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ichael Vanderbeek\Desktop\Projects\Bar Harbor\Project Docs\FINAL DOCUMENTS\"/>
    </mc:Choice>
  </mc:AlternateContent>
  <bookViews>
    <workbookView xWindow="0" yWindow="0" windowWidth="14400" windowHeight="10470" tabRatio="601"/>
  </bookViews>
  <sheets>
    <sheet name="Intro" sheetId="9" r:id="rId1"/>
    <sheet name="Inputs" sheetId="5" r:id="rId2"/>
    <sheet name="Annual Summaries" sheetId="71" r:id="rId3"/>
    <sheet name="P&amp;L - Concept A1" sheetId="97" r:id="rId4"/>
    <sheet name="P&amp;L - Concept A2" sheetId="108" r:id="rId5"/>
    <sheet name="P&amp;L - Concept B1 - Carnival" sheetId="113" r:id="rId6"/>
    <sheet name="P&amp;L - Concept B1 - RCCL" sheetId="114" r:id="rId7"/>
    <sheet name="P&amp;L - Concept B1 - NCLH" sheetId="115" r:id="rId8"/>
    <sheet name="P&amp;L - Concept B1 - ALL" sheetId="116" r:id="rId9"/>
    <sheet name="P&amp;L - Concept B2 - Carnival" sheetId="109" r:id="rId10"/>
    <sheet name="P&amp;L - Concept B2 - RCCL" sheetId="110" r:id="rId11"/>
    <sheet name="P&amp;L - Concept B2 - NCLH" sheetId="111" r:id="rId12"/>
    <sheet name="P&amp;L - Concept B2 - ALL" sheetId="112" r:id="rId13"/>
    <sheet name="P&amp;L - Concept B3 - Carnival" sheetId="96" r:id="rId14"/>
    <sheet name="P&amp;L - Concept B3 - RCCL" sheetId="99" r:id="rId15"/>
    <sheet name="P&amp;L - Concept B3 - NCLH" sheetId="101" r:id="rId16"/>
    <sheet name="P&amp;L - Concept B3 - ALL" sheetId="102" r:id="rId17"/>
    <sheet name="P&amp;L - Concept C1 - Carnival" sheetId="117" r:id="rId18"/>
    <sheet name="P&amp;L - Concept C1 - RCCL" sheetId="118" r:id="rId19"/>
    <sheet name="P&amp;L - Concept C1 - NCLH" sheetId="119" r:id="rId20"/>
    <sheet name="P&amp;L - Concept C1 - All" sheetId="120" r:id="rId21"/>
    <sheet name="P&amp;L - Concept C2 - Carnival" sheetId="93" r:id="rId22"/>
    <sheet name="P&amp;L - Concept C2 - RCCL" sheetId="103" r:id="rId23"/>
    <sheet name="P&amp;L - Concept C2 - NCLH" sheetId="104" r:id="rId24"/>
    <sheet name="P&amp;L - Concept C2 - All" sheetId="105" r:id="rId25"/>
    <sheet name="BH Tariffs" sheetId="14" r:id="rId26"/>
    <sheet name="CCNE Comps" sheetId="144" r:id="rId27"/>
    <sheet name="OPEX - Concept A1" sheetId="122" r:id="rId28"/>
    <sheet name="OPEX - Concept A2" sheetId="123" r:id="rId29"/>
    <sheet name="OPEX - Concept B1 - Carnival" sheetId="124" r:id="rId30"/>
    <sheet name="OPEX - Concept B1 - RCCL" sheetId="125" r:id="rId31"/>
    <sheet name="OPEX - Concept B1 - NCLH" sheetId="126" r:id="rId32"/>
    <sheet name="OPEX - Concept B1 - ALL" sheetId="127" r:id="rId33"/>
    <sheet name="OPEX - Concept B2 - Carnival" sheetId="128" r:id="rId34"/>
    <sheet name="OPEX - Concept B2 - RCCL" sheetId="130" r:id="rId35"/>
    <sheet name="OPEX - Concept B2 - NCLH" sheetId="131" r:id="rId36"/>
    <sheet name="OPEX - Concept B2 - ALL" sheetId="132" r:id="rId37"/>
    <sheet name="OPEX - Concept B3 - Carnival" sheetId="129" r:id="rId38"/>
    <sheet name="OPEX - Concept B3 - RCCL" sheetId="133" r:id="rId39"/>
    <sheet name="OPEX - Concept B3 - NCLH" sheetId="134" r:id="rId40"/>
    <sheet name="OPEX - Concept B3 - ALL" sheetId="135" r:id="rId41"/>
    <sheet name="OPEX - Concept C1 - Carnival" sheetId="136" r:id="rId42"/>
    <sheet name="OPEX - Concept C1 - RCCL" sheetId="137" r:id="rId43"/>
    <sheet name="OPEX - Concept C1 - NCLH" sheetId="138" r:id="rId44"/>
    <sheet name="OPEX - Concept C1 - ALL" sheetId="139" r:id="rId45"/>
    <sheet name="OPEX - Concept C2 - Carnival" sheetId="140" r:id="rId46"/>
    <sheet name="OPEX - Concept C2 - RCCL" sheetId="141" r:id="rId47"/>
    <sheet name="OPEX - Concept C2 - NCLH" sheetId="142" r:id="rId48"/>
    <sheet name="OPEX - Concept C2 - ALL" sheetId="143" r:id="rId49"/>
    <sheet name="Cruise Projections" sheetId="13" r:id="rId50"/>
    <sheet name="Marina Projections" sheetId="94" r:id="rId51"/>
    <sheet name="International Ferry Projections" sheetId="73" r:id="rId52"/>
    <sheet name="Parking Projections" sheetId="95" r:id="rId53"/>
    <sheet name="Shuttle Projections" sheetId="98" r:id="rId54"/>
    <sheet name="Slips by Length" sheetId="107" r:id="rId55"/>
    <sheet name="Parking by Use" sheetId="106" r:id="rId56"/>
    <sheet name="Capital Financing" sheetId="145" r:id="rId57"/>
    <sheet name="Comparison Tables" sheetId="146" r:id="rId58"/>
    <sheet name="Comparison Graphs" sheetId="148" r:id="rId59"/>
    <sheet name="Overall P&amp;L Comparisons" sheetId="147" r:id="rId60"/>
  </sheets>
  <externalReferences>
    <externalReference r:id="rId61"/>
    <externalReference r:id="rId62"/>
    <externalReference r:id="rId63"/>
    <externalReference r:id="rId64"/>
    <externalReference r:id="rId65"/>
  </externalReferences>
  <definedNames>
    <definedName name="ANNUALIZED_FUND" localSheetId="26">#REF!</definedName>
    <definedName name="ANNUALIZED_FUND" localSheetId="58">#REF!</definedName>
    <definedName name="ANNUALIZED_FUND" localSheetId="50">#REF!</definedName>
    <definedName name="ANNUALIZED_FUND" localSheetId="27">#REF!</definedName>
    <definedName name="ANNUALIZED_FUND" localSheetId="28">#REF!</definedName>
    <definedName name="ANNUALIZED_FUND" localSheetId="32">#REF!</definedName>
    <definedName name="ANNUALIZED_FUND" localSheetId="29">#REF!</definedName>
    <definedName name="ANNUALIZED_FUND" localSheetId="31">#REF!</definedName>
    <definedName name="ANNUALIZED_FUND" localSheetId="30">#REF!</definedName>
    <definedName name="ANNUALIZED_FUND" localSheetId="36">#REF!</definedName>
    <definedName name="ANNUALIZED_FUND" localSheetId="33">#REF!</definedName>
    <definedName name="ANNUALIZED_FUND" localSheetId="35">#REF!</definedName>
    <definedName name="ANNUALIZED_FUND" localSheetId="34">#REF!</definedName>
    <definedName name="ANNUALIZED_FUND" localSheetId="40">#REF!</definedName>
    <definedName name="ANNUALIZED_FUND" localSheetId="37">#REF!</definedName>
    <definedName name="ANNUALIZED_FUND" localSheetId="39">#REF!</definedName>
    <definedName name="ANNUALIZED_FUND" localSheetId="38">#REF!</definedName>
    <definedName name="ANNUALIZED_FUND" localSheetId="44">#REF!</definedName>
    <definedName name="ANNUALIZED_FUND" localSheetId="41">#REF!</definedName>
    <definedName name="ANNUALIZED_FUND" localSheetId="43">#REF!</definedName>
    <definedName name="ANNUALIZED_FUND" localSheetId="42">#REF!</definedName>
    <definedName name="ANNUALIZED_FUND" localSheetId="48">#REF!</definedName>
    <definedName name="ANNUALIZED_FUND" localSheetId="45">#REF!</definedName>
    <definedName name="ANNUALIZED_FUND" localSheetId="47">#REF!</definedName>
    <definedName name="ANNUALIZED_FUND" localSheetId="46">#REF!</definedName>
    <definedName name="ANNUALIZED_FUND" localSheetId="3">#REF!</definedName>
    <definedName name="ANNUALIZED_FUND" localSheetId="4">#REF!</definedName>
    <definedName name="ANNUALIZED_FUND" localSheetId="8">#REF!</definedName>
    <definedName name="ANNUALIZED_FUND" localSheetId="5">#REF!</definedName>
    <definedName name="ANNUALIZED_FUND" localSheetId="7">#REF!</definedName>
    <definedName name="ANNUALIZED_FUND" localSheetId="6">#REF!</definedName>
    <definedName name="ANNUALIZED_FUND" localSheetId="12">#REF!</definedName>
    <definedName name="ANNUALIZED_FUND" localSheetId="9">#REF!</definedName>
    <definedName name="ANNUALIZED_FUND" localSheetId="11">#REF!</definedName>
    <definedName name="ANNUALIZED_FUND" localSheetId="10">#REF!</definedName>
    <definedName name="ANNUALIZED_FUND" localSheetId="16">#REF!</definedName>
    <definedName name="ANNUALIZED_FUND" localSheetId="13">#REF!</definedName>
    <definedName name="ANNUALIZED_FUND" localSheetId="15">#REF!</definedName>
    <definedName name="ANNUALIZED_FUND" localSheetId="14">#REF!</definedName>
    <definedName name="ANNUALIZED_FUND" localSheetId="20">#REF!</definedName>
    <definedName name="ANNUALIZED_FUND" localSheetId="17">#REF!</definedName>
    <definedName name="ANNUALIZED_FUND" localSheetId="19">#REF!</definedName>
    <definedName name="ANNUALIZED_FUND" localSheetId="18">#REF!</definedName>
    <definedName name="ANNUALIZED_FUND" localSheetId="24">#REF!</definedName>
    <definedName name="ANNUALIZED_FUND" localSheetId="21">#REF!</definedName>
    <definedName name="ANNUALIZED_FUND" localSheetId="23">#REF!</definedName>
    <definedName name="ANNUALIZED_FUND" localSheetId="22">#REF!</definedName>
    <definedName name="ANNUALIZED_FUND" localSheetId="52">#REF!</definedName>
    <definedName name="ANNUALIZED_FUND" localSheetId="53">#REF!</definedName>
    <definedName name="ANNUALIZED_FUND">#REF!</definedName>
    <definedName name="Assistant_Manager">Inputs!$B$34</definedName>
    <definedName name="Assistant_Manager___Maintenance">Inputs!$B$42</definedName>
    <definedName name="Assistant_manager___security">Inputs!$B$50</definedName>
    <definedName name="Assistant_Secretary">Inputs!$B$39</definedName>
    <definedName name="Assistant_supervisor" localSheetId="26">Inputs!#REF!</definedName>
    <definedName name="Assistant_supervisor" localSheetId="58">Inputs!#REF!</definedName>
    <definedName name="Assistant_supervisor" localSheetId="50">Inputs!#REF!</definedName>
    <definedName name="Assistant_supervisor" localSheetId="27">Inputs!#REF!</definedName>
    <definedName name="Assistant_supervisor" localSheetId="28">Inputs!#REF!</definedName>
    <definedName name="Assistant_supervisor" localSheetId="32">Inputs!#REF!</definedName>
    <definedName name="Assistant_supervisor" localSheetId="29">Inputs!#REF!</definedName>
    <definedName name="Assistant_supervisor" localSheetId="31">Inputs!#REF!</definedName>
    <definedName name="Assistant_supervisor" localSheetId="30">Inputs!#REF!</definedName>
    <definedName name="Assistant_supervisor" localSheetId="36">Inputs!#REF!</definedName>
    <definedName name="Assistant_supervisor" localSheetId="33">Inputs!#REF!</definedName>
    <definedName name="Assistant_supervisor" localSheetId="35">Inputs!#REF!</definedName>
    <definedName name="Assistant_supervisor" localSheetId="34">Inputs!#REF!</definedName>
    <definedName name="Assistant_supervisor" localSheetId="40">Inputs!#REF!</definedName>
    <definedName name="Assistant_supervisor" localSheetId="37">Inputs!#REF!</definedName>
    <definedName name="Assistant_supervisor" localSheetId="39">Inputs!#REF!</definedName>
    <definedName name="Assistant_supervisor" localSheetId="38">Inputs!#REF!</definedName>
    <definedName name="Assistant_supervisor" localSheetId="44">Inputs!#REF!</definedName>
    <definedName name="Assistant_supervisor" localSheetId="41">Inputs!#REF!</definedName>
    <definedName name="Assistant_supervisor" localSheetId="43">Inputs!#REF!</definedName>
    <definedName name="Assistant_supervisor" localSheetId="42">Inputs!#REF!</definedName>
    <definedName name="Assistant_supervisor" localSheetId="48">Inputs!#REF!</definedName>
    <definedName name="Assistant_supervisor" localSheetId="45">Inputs!#REF!</definedName>
    <definedName name="Assistant_supervisor" localSheetId="47">Inputs!#REF!</definedName>
    <definedName name="Assistant_supervisor" localSheetId="46">Inputs!#REF!</definedName>
    <definedName name="Assistant_supervisor" localSheetId="3">Inputs!#REF!</definedName>
    <definedName name="Assistant_supervisor" localSheetId="4">Inputs!#REF!</definedName>
    <definedName name="Assistant_supervisor" localSheetId="8">Inputs!#REF!</definedName>
    <definedName name="Assistant_supervisor" localSheetId="5">Inputs!#REF!</definedName>
    <definedName name="Assistant_supervisor" localSheetId="7">Inputs!#REF!</definedName>
    <definedName name="Assistant_supervisor" localSheetId="6">Inputs!#REF!</definedName>
    <definedName name="Assistant_supervisor" localSheetId="12">Inputs!#REF!</definedName>
    <definedName name="Assistant_supervisor" localSheetId="9">Inputs!#REF!</definedName>
    <definedName name="Assistant_supervisor" localSheetId="11">Inputs!#REF!</definedName>
    <definedName name="Assistant_supervisor" localSheetId="10">Inputs!#REF!</definedName>
    <definedName name="Assistant_supervisor" localSheetId="16">Inputs!#REF!</definedName>
    <definedName name="Assistant_supervisor" localSheetId="13">Inputs!#REF!</definedName>
    <definedName name="Assistant_supervisor" localSheetId="15">Inputs!#REF!</definedName>
    <definedName name="Assistant_supervisor" localSheetId="14">Inputs!#REF!</definedName>
    <definedName name="Assistant_supervisor" localSheetId="20">Inputs!#REF!</definedName>
    <definedName name="Assistant_supervisor" localSheetId="17">Inputs!#REF!</definedName>
    <definedName name="Assistant_supervisor" localSheetId="19">Inputs!#REF!</definedName>
    <definedName name="Assistant_supervisor" localSheetId="18">Inputs!#REF!</definedName>
    <definedName name="Assistant_supervisor" localSheetId="24">Inputs!#REF!</definedName>
    <definedName name="Assistant_supervisor" localSheetId="21">Inputs!#REF!</definedName>
    <definedName name="Assistant_supervisor" localSheetId="23">Inputs!#REF!</definedName>
    <definedName name="Assistant_supervisor" localSheetId="22">Inputs!#REF!</definedName>
    <definedName name="Assistant_supervisor" localSheetId="52">Inputs!#REF!</definedName>
    <definedName name="Assistant_supervisor" localSheetId="53">Inputs!#REF!</definedName>
    <definedName name="Assistant_supervisor">Inputs!#REF!</definedName>
    <definedName name="Average_nights_parking" localSheetId="58">Inputs!#REF!</definedName>
    <definedName name="Average_nights_parking">Inputs!#REF!</definedName>
    <definedName name="Average_number_of_crew__2012">Inputs!$E$49</definedName>
    <definedName name="Average_shp_size">Inputs!$B$13</definedName>
    <definedName name="Berth_per_lm">Inputs!$B$75</definedName>
    <definedName name="Berthing_Officer">Inputs!$B$35</definedName>
    <definedName name="Billing_Clerk" localSheetId="26">Inputs!#REF!</definedName>
    <definedName name="Billing_Clerk" localSheetId="58">Inputs!#REF!</definedName>
    <definedName name="Billing_Clerk" localSheetId="50">Inputs!#REF!</definedName>
    <definedName name="Billing_Clerk" localSheetId="27">Inputs!#REF!</definedName>
    <definedName name="Billing_Clerk" localSheetId="28">Inputs!#REF!</definedName>
    <definedName name="Billing_Clerk" localSheetId="32">Inputs!#REF!</definedName>
    <definedName name="Billing_Clerk" localSheetId="29">Inputs!#REF!</definedName>
    <definedName name="Billing_Clerk" localSheetId="31">Inputs!#REF!</definedName>
    <definedName name="Billing_Clerk" localSheetId="30">Inputs!#REF!</definedName>
    <definedName name="Billing_Clerk" localSheetId="36">Inputs!#REF!</definedName>
    <definedName name="Billing_Clerk" localSheetId="33">Inputs!#REF!</definedName>
    <definedName name="Billing_Clerk" localSheetId="35">Inputs!#REF!</definedName>
    <definedName name="Billing_Clerk" localSheetId="34">Inputs!#REF!</definedName>
    <definedName name="Billing_Clerk" localSheetId="40">Inputs!#REF!</definedName>
    <definedName name="Billing_Clerk" localSheetId="37">Inputs!#REF!</definedName>
    <definedName name="Billing_Clerk" localSheetId="39">Inputs!#REF!</definedName>
    <definedName name="Billing_Clerk" localSheetId="38">Inputs!#REF!</definedName>
    <definedName name="Billing_Clerk" localSheetId="44">Inputs!#REF!</definedName>
    <definedName name="Billing_Clerk" localSheetId="41">Inputs!#REF!</definedName>
    <definedName name="Billing_Clerk" localSheetId="43">Inputs!#REF!</definedName>
    <definedName name="Billing_Clerk" localSheetId="42">Inputs!#REF!</definedName>
    <definedName name="Billing_Clerk" localSheetId="48">Inputs!#REF!</definedName>
    <definedName name="Billing_Clerk" localSheetId="45">Inputs!#REF!</definedName>
    <definedName name="Billing_Clerk" localSheetId="47">Inputs!#REF!</definedName>
    <definedName name="Billing_Clerk" localSheetId="46">Inputs!#REF!</definedName>
    <definedName name="Billing_Clerk" localSheetId="3">Inputs!#REF!</definedName>
    <definedName name="Billing_Clerk" localSheetId="4">Inputs!#REF!</definedName>
    <definedName name="Billing_Clerk" localSheetId="8">Inputs!#REF!</definedName>
    <definedName name="Billing_Clerk" localSheetId="5">Inputs!#REF!</definedName>
    <definedName name="Billing_Clerk" localSheetId="7">Inputs!#REF!</definedName>
    <definedName name="Billing_Clerk" localSheetId="6">Inputs!#REF!</definedName>
    <definedName name="Billing_Clerk" localSheetId="12">Inputs!#REF!</definedName>
    <definedName name="Billing_Clerk" localSheetId="9">Inputs!#REF!</definedName>
    <definedName name="Billing_Clerk" localSheetId="11">Inputs!#REF!</definedName>
    <definedName name="Billing_Clerk" localSheetId="10">Inputs!#REF!</definedName>
    <definedName name="Billing_Clerk" localSheetId="16">Inputs!#REF!</definedName>
    <definedName name="Billing_Clerk" localSheetId="13">Inputs!#REF!</definedName>
    <definedName name="Billing_Clerk" localSheetId="15">Inputs!#REF!</definedName>
    <definedName name="Billing_Clerk" localSheetId="14">Inputs!#REF!</definedName>
    <definedName name="Billing_Clerk" localSheetId="20">Inputs!#REF!</definedName>
    <definedName name="Billing_Clerk" localSheetId="17">Inputs!#REF!</definedName>
    <definedName name="Billing_Clerk" localSheetId="19">Inputs!#REF!</definedName>
    <definedName name="Billing_Clerk" localSheetId="18">Inputs!#REF!</definedName>
    <definedName name="Billing_Clerk" localSheetId="24">Inputs!#REF!</definedName>
    <definedName name="Billing_Clerk" localSheetId="21">Inputs!#REF!</definedName>
    <definedName name="Billing_Clerk" localSheetId="23">Inputs!#REF!</definedName>
    <definedName name="Billing_Clerk" localSheetId="22">Inputs!#REF!</definedName>
    <definedName name="Billing_Clerk" localSheetId="52">Inputs!#REF!</definedName>
    <definedName name="Billing_Clerk" localSheetId="53">Inputs!#REF!</definedName>
    <definedName name="Billing_Clerk">Inputs!#REF!</definedName>
    <definedName name="Building_demolition__SM">Inputs!$B$77</definedName>
    <definedName name="Check_in_agent" localSheetId="26">Inputs!#REF!</definedName>
    <definedName name="Check_in_agent" localSheetId="58">Inputs!#REF!</definedName>
    <definedName name="Check_in_agent" localSheetId="50">Inputs!#REF!</definedName>
    <definedName name="Check_in_agent" localSheetId="27">Inputs!#REF!</definedName>
    <definedName name="Check_in_agent" localSheetId="28">Inputs!#REF!</definedName>
    <definedName name="Check_in_agent" localSheetId="32">Inputs!#REF!</definedName>
    <definedName name="Check_in_agent" localSheetId="29">Inputs!#REF!</definedName>
    <definedName name="Check_in_agent" localSheetId="31">Inputs!#REF!</definedName>
    <definedName name="Check_in_agent" localSheetId="30">Inputs!#REF!</definedName>
    <definedName name="Check_in_agent" localSheetId="36">Inputs!#REF!</definedName>
    <definedName name="Check_in_agent" localSheetId="33">Inputs!#REF!</definedName>
    <definedName name="Check_in_agent" localSheetId="35">Inputs!#REF!</definedName>
    <definedName name="Check_in_agent" localSheetId="34">Inputs!#REF!</definedName>
    <definedName name="Check_in_agent" localSheetId="40">Inputs!#REF!</definedName>
    <definedName name="Check_in_agent" localSheetId="37">Inputs!#REF!</definedName>
    <definedName name="Check_in_agent" localSheetId="39">Inputs!#REF!</definedName>
    <definedName name="Check_in_agent" localSheetId="38">Inputs!#REF!</definedName>
    <definedName name="Check_in_agent" localSheetId="44">Inputs!#REF!</definedName>
    <definedName name="Check_in_agent" localSheetId="41">Inputs!#REF!</definedName>
    <definedName name="Check_in_agent" localSheetId="43">Inputs!#REF!</definedName>
    <definedName name="Check_in_agent" localSheetId="42">Inputs!#REF!</definedName>
    <definedName name="Check_in_agent" localSheetId="48">Inputs!#REF!</definedName>
    <definedName name="Check_in_agent" localSheetId="45">Inputs!#REF!</definedName>
    <definedName name="Check_in_agent" localSheetId="47">Inputs!#REF!</definedName>
    <definedName name="Check_in_agent" localSheetId="46">Inputs!#REF!</definedName>
    <definedName name="Check_in_agent" localSheetId="3">Inputs!#REF!</definedName>
    <definedName name="Check_in_agent" localSheetId="4">Inputs!#REF!</definedName>
    <definedName name="Check_in_agent" localSheetId="8">Inputs!#REF!</definedName>
    <definedName name="Check_in_agent" localSheetId="5">Inputs!#REF!</definedName>
    <definedName name="Check_in_agent" localSheetId="7">Inputs!#REF!</definedName>
    <definedName name="Check_in_agent" localSheetId="6">Inputs!#REF!</definedName>
    <definedName name="Check_in_agent" localSheetId="12">Inputs!#REF!</definedName>
    <definedName name="Check_in_agent" localSheetId="9">Inputs!#REF!</definedName>
    <definedName name="Check_in_agent" localSheetId="11">Inputs!#REF!</definedName>
    <definedName name="Check_in_agent" localSheetId="10">Inputs!#REF!</definedName>
    <definedName name="Check_in_agent" localSheetId="16">Inputs!#REF!</definedName>
    <definedName name="Check_in_agent" localSheetId="13">Inputs!#REF!</definedName>
    <definedName name="Check_in_agent" localSheetId="15">Inputs!#REF!</definedName>
    <definedName name="Check_in_agent" localSheetId="14">Inputs!#REF!</definedName>
    <definedName name="Check_in_agent" localSheetId="20">Inputs!#REF!</definedName>
    <definedName name="Check_in_agent" localSheetId="17">Inputs!#REF!</definedName>
    <definedName name="Check_in_agent" localSheetId="19">Inputs!#REF!</definedName>
    <definedName name="Check_in_agent" localSheetId="18">Inputs!#REF!</definedName>
    <definedName name="Check_in_agent" localSheetId="24">Inputs!#REF!</definedName>
    <definedName name="Check_in_agent" localSheetId="21">Inputs!#REF!</definedName>
    <definedName name="Check_in_agent" localSheetId="23">Inputs!#REF!</definedName>
    <definedName name="Check_in_agent" localSheetId="22">Inputs!#REF!</definedName>
    <definedName name="Check_in_agent" localSheetId="52">Inputs!#REF!</definedName>
    <definedName name="Check_in_agent" localSheetId="53">Inputs!#REF!</definedName>
    <definedName name="Check_in_agent">Inputs!#REF!</definedName>
    <definedName name="Collector">Inputs!$B$59</definedName>
    <definedName name="Commercial_sapce__square_meters" localSheetId="58">Inputs!#REF!</definedName>
    <definedName name="Commercial_sapce__square_meters">Inputs!#REF!</definedName>
    <definedName name="Commercial_space__square_meters" localSheetId="58">Inputs!#REF!</definedName>
    <definedName name="Commercial_space__square_meters">Inputs!#REF!</definedName>
    <definedName name="Comptroller" localSheetId="26">Inputs!#REF!</definedName>
    <definedName name="Comptroller" localSheetId="58">Inputs!#REF!</definedName>
    <definedName name="Comptroller" localSheetId="50">Inputs!#REF!</definedName>
    <definedName name="Comptroller" localSheetId="27">Inputs!#REF!</definedName>
    <definedName name="Comptroller" localSheetId="28">Inputs!#REF!</definedName>
    <definedName name="Comptroller" localSheetId="32">Inputs!#REF!</definedName>
    <definedName name="Comptroller" localSheetId="29">Inputs!#REF!</definedName>
    <definedName name="Comptroller" localSheetId="31">Inputs!#REF!</definedName>
    <definedName name="Comptroller" localSheetId="30">Inputs!#REF!</definedName>
    <definedName name="Comptroller" localSheetId="36">Inputs!#REF!</definedName>
    <definedName name="Comptroller" localSheetId="33">Inputs!#REF!</definedName>
    <definedName name="Comptroller" localSheetId="35">Inputs!#REF!</definedName>
    <definedName name="Comptroller" localSheetId="34">Inputs!#REF!</definedName>
    <definedName name="Comptroller" localSheetId="40">Inputs!#REF!</definedName>
    <definedName name="Comptroller" localSheetId="37">Inputs!#REF!</definedName>
    <definedName name="Comptroller" localSheetId="39">Inputs!#REF!</definedName>
    <definedName name="Comptroller" localSheetId="38">Inputs!#REF!</definedName>
    <definedName name="Comptroller" localSheetId="44">Inputs!#REF!</definedName>
    <definedName name="Comptroller" localSheetId="41">Inputs!#REF!</definedName>
    <definedName name="Comptroller" localSheetId="43">Inputs!#REF!</definedName>
    <definedName name="Comptroller" localSheetId="42">Inputs!#REF!</definedName>
    <definedName name="Comptroller" localSheetId="48">Inputs!#REF!</definedName>
    <definedName name="Comptroller" localSheetId="45">Inputs!#REF!</definedName>
    <definedName name="Comptroller" localSheetId="47">Inputs!#REF!</definedName>
    <definedName name="Comptroller" localSheetId="46">Inputs!#REF!</definedName>
    <definedName name="Comptroller" localSheetId="3">Inputs!#REF!</definedName>
    <definedName name="Comptroller" localSheetId="4">Inputs!#REF!</definedName>
    <definedName name="Comptroller" localSheetId="8">Inputs!#REF!</definedName>
    <definedName name="Comptroller" localSheetId="5">Inputs!#REF!</definedName>
    <definedName name="Comptroller" localSheetId="7">Inputs!#REF!</definedName>
    <definedName name="Comptroller" localSheetId="6">Inputs!#REF!</definedName>
    <definedName name="Comptroller" localSheetId="12">Inputs!#REF!</definedName>
    <definedName name="Comptroller" localSheetId="9">Inputs!#REF!</definedName>
    <definedName name="Comptroller" localSheetId="11">Inputs!#REF!</definedName>
    <definedName name="Comptroller" localSheetId="10">Inputs!#REF!</definedName>
    <definedName name="Comptroller" localSheetId="16">Inputs!#REF!</definedName>
    <definedName name="Comptroller" localSheetId="13">Inputs!#REF!</definedName>
    <definedName name="Comptroller" localSheetId="15">Inputs!#REF!</definedName>
    <definedName name="Comptroller" localSheetId="14">Inputs!#REF!</definedName>
    <definedName name="Comptroller" localSheetId="20">Inputs!#REF!</definedName>
    <definedName name="Comptroller" localSheetId="17">Inputs!#REF!</definedName>
    <definedName name="Comptroller" localSheetId="19">Inputs!#REF!</definedName>
    <definedName name="Comptroller" localSheetId="18">Inputs!#REF!</definedName>
    <definedName name="Comptroller" localSheetId="24">Inputs!#REF!</definedName>
    <definedName name="Comptroller" localSheetId="21">Inputs!#REF!</definedName>
    <definedName name="Comptroller" localSheetId="23">Inputs!#REF!</definedName>
    <definedName name="Comptroller" localSheetId="22">Inputs!#REF!</definedName>
    <definedName name="Comptroller" localSheetId="52">Inputs!#REF!</definedName>
    <definedName name="Comptroller" localSheetId="53">Inputs!#REF!</definedName>
    <definedName name="Comptroller">Inputs!#REF!</definedName>
    <definedName name="Computer_Support">Inputs!$B$38</definedName>
    <definedName name="Contingency">Inputs!$B$79</definedName>
    <definedName name="Control_officers">Inputs!$B$46</definedName>
    <definedName name="Cost_of_Money__DPC">Inputs!$B$27</definedName>
    <definedName name="Dredging__CM" localSheetId="58">Inputs!#REF!</definedName>
    <definedName name="Dredging__CM">Inputs!#REF!</definedName>
    <definedName name="Effective_area_used_for_secondary_uses" localSheetId="58">Inputs!#REF!</definedName>
    <definedName name="Effective_area_used_for_secondary_uses">Inputs!#REF!</definedName>
    <definedName name="Electric_consumption_per_sf_yr">Inputs!$E$59</definedName>
    <definedName name="Engineer">Inputs!$B$43</definedName>
    <definedName name="Engineer_2">Inputs!$B$44</definedName>
    <definedName name="Equipment__xray__belts" localSheetId="58">Inputs!#REF!</definedName>
    <definedName name="Equipment__xray__belts">Inputs!#REF!</definedName>
    <definedName name="Fencing__LM" localSheetId="26">Inputs!#REF!</definedName>
    <definedName name="Fencing__LM" localSheetId="58">Inputs!#REF!</definedName>
    <definedName name="Fencing__LM" localSheetId="50">Inputs!#REF!</definedName>
    <definedName name="Fencing__LM" localSheetId="27">Inputs!#REF!</definedName>
    <definedName name="Fencing__LM" localSheetId="28">Inputs!#REF!</definedName>
    <definedName name="Fencing__LM" localSheetId="32">Inputs!#REF!</definedName>
    <definedName name="Fencing__LM" localSheetId="29">Inputs!#REF!</definedName>
    <definedName name="Fencing__LM" localSheetId="31">Inputs!#REF!</definedName>
    <definedName name="Fencing__LM" localSheetId="30">Inputs!#REF!</definedName>
    <definedName name="Fencing__LM" localSheetId="36">Inputs!#REF!</definedName>
    <definedName name="Fencing__LM" localSheetId="33">Inputs!#REF!</definedName>
    <definedName name="Fencing__LM" localSheetId="35">Inputs!#REF!</definedName>
    <definedName name="Fencing__LM" localSheetId="34">Inputs!#REF!</definedName>
    <definedName name="Fencing__LM" localSheetId="40">Inputs!#REF!</definedName>
    <definedName name="Fencing__LM" localSheetId="37">Inputs!#REF!</definedName>
    <definedName name="Fencing__LM" localSheetId="39">Inputs!#REF!</definedName>
    <definedName name="Fencing__LM" localSheetId="38">Inputs!#REF!</definedName>
    <definedName name="Fencing__LM" localSheetId="44">Inputs!#REF!</definedName>
    <definedName name="Fencing__LM" localSheetId="41">Inputs!#REF!</definedName>
    <definedName name="Fencing__LM" localSheetId="43">Inputs!#REF!</definedName>
    <definedName name="Fencing__LM" localSheetId="42">Inputs!#REF!</definedName>
    <definedName name="Fencing__LM" localSheetId="48">Inputs!#REF!</definedName>
    <definedName name="Fencing__LM" localSheetId="45">Inputs!#REF!</definedName>
    <definedName name="Fencing__LM" localSheetId="47">Inputs!#REF!</definedName>
    <definedName name="Fencing__LM" localSheetId="46">Inputs!#REF!</definedName>
    <definedName name="Fencing__LM" localSheetId="3">Inputs!#REF!</definedName>
    <definedName name="Fencing__LM" localSheetId="4">Inputs!#REF!</definedName>
    <definedName name="Fencing__LM" localSheetId="8">Inputs!#REF!</definedName>
    <definedName name="Fencing__LM" localSheetId="5">Inputs!#REF!</definedName>
    <definedName name="Fencing__LM" localSheetId="7">Inputs!#REF!</definedName>
    <definedName name="Fencing__LM" localSheetId="6">Inputs!#REF!</definedName>
    <definedName name="Fencing__LM" localSheetId="12">Inputs!#REF!</definedName>
    <definedName name="Fencing__LM" localSheetId="9">Inputs!#REF!</definedName>
    <definedName name="Fencing__LM" localSheetId="11">Inputs!#REF!</definedName>
    <definedName name="Fencing__LM" localSheetId="10">Inputs!#REF!</definedName>
    <definedName name="Fencing__LM" localSheetId="16">Inputs!#REF!</definedName>
    <definedName name="Fencing__LM" localSheetId="13">Inputs!#REF!</definedName>
    <definedName name="Fencing__LM" localSheetId="15">Inputs!#REF!</definedName>
    <definedName name="Fencing__LM" localSheetId="14">Inputs!#REF!</definedName>
    <definedName name="Fencing__LM" localSheetId="20">Inputs!#REF!</definedName>
    <definedName name="Fencing__LM" localSheetId="17">Inputs!#REF!</definedName>
    <definedName name="Fencing__LM" localSheetId="19">Inputs!#REF!</definedName>
    <definedName name="Fencing__LM" localSheetId="18">Inputs!#REF!</definedName>
    <definedName name="Fencing__LM" localSheetId="24">Inputs!#REF!</definedName>
    <definedName name="Fencing__LM" localSheetId="21">Inputs!#REF!</definedName>
    <definedName name="Fencing__LM" localSheetId="23">Inputs!#REF!</definedName>
    <definedName name="Fencing__LM" localSheetId="22">Inputs!#REF!</definedName>
    <definedName name="Fencing__LM" localSheetId="52">Inputs!#REF!</definedName>
    <definedName name="Fencing__LM" localSheetId="53">Inputs!#REF!</definedName>
    <definedName name="Fencing__LM">Inputs!#REF!</definedName>
    <definedName name="FF_E" localSheetId="58">Inputs!#REF!</definedName>
    <definedName name="FF_E">Inputs!#REF!</definedName>
    <definedName name="FF_E__EACH" localSheetId="26">Inputs!#REF!</definedName>
    <definedName name="FF_E__EACH" localSheetId="58">Inputs!#REF!</definedName>
    <definedName name="FF_E__EACH" localSheetId="50">Inputs!#REF!</definedName>
    <definedName name="FF_E__EACH" localSheetId="27">Inputs!#REF!</definedName>
    <definedName name="FF_E__EACH" localSheetId="28">Inputs!#REF!</definedName>
    <definedName name="FF_E__EACH" localSheetId="32">Inputs!#REF!</definedName>
    <definedName name="FF_E__EACH" localSheetId="29">Inputs!#REF!</definedName>
    <definedName name="FF_E__EACH" localSheetId="31">Inputs!#REF!</definedName>
    <definedName name="FF_E__EACH" localSheetId="30">Inputs!#REF!</definedName>
    <definedName name="FF_E__EACH" localSheetId="36">Inputs!#REF!</definedName>
    <definedName name="FF_E__EACH" localSheetId="33">Inputs!#REF!</definedName>
    <definedName name="FF_E__EACH" localSheetId="35">Inputs!#REF!</definedName>
    <definedName name="FF_E__EACH" localSheetId="34">Inputs!#REF!</definedName>
    <definedName name="FF_E__EACH" localSheetId="40">Inputs!#REF!</definedName>
    <definedName name="FF_E__EACH" localSheetId="37">Inputs!#REF!</definedName>
    <definedName name="FF_E__EACH" localSheetId="39">Inputs!#REF!</definedName>
    <definedName name="FF_E__EACH" localSheetId="38">Inputs!#REF!</definedName>
    <definedName name="FF_E__EACH" localSheetId="44">Inputs!#REF!</definedName>
    <definedName name="FF_E__EACH" localSheetId="41">Inputs!#REF!</definedName>
    <definedName name="FF_E__EACH" localSheetId="43">Inputs!#REF!</definedName>
    <definedName name="FF_E__EACH" localSheetId="42">Inputs!#REF!</definedName>
    <definedName name="FF_E__EACH" localSheetId="48">Inputs!#REF!</definedName>
    <definedName name="FF_E__EACH" localSheetId="45">Inputs!#REF!</definedName>
    <definedName name="FF_E__EACH" localSheetId="47">Inputs!#REF!</definedName>
    <definedName name="FF_E__EACH" localSheetId="46">Inputs!#REF!</definedName>
    <definedName name="FF_E__EACH" localSheetId="3">Inputs!#REF!</definedName>
    <definedName name="FF_E__EACH" localSheetId="4">Inputs!#REF!</definedName>
    <definedName name="FF_E__EACH" localSheetId="8">Inputs!#REF!</definedName>
    <definedName name="FF_E__EACH" localSheetId="5">Inputs!#REF!</definedName>
    <definedName name="FF_E__EACH" localSheetId="7">Inputs!#REF!</definedName>
    <definedName name="FF_E__EACH" localSheetId="6">Inputs!#REF!</definedName>
    <definedName name="FF_E__EACH" localSheetId="12">Inputs!#REF!</definedName>
    <definedName name="FF_E__EACH" localSheetId="9">Inputs!#REF!</definedName>
    <definedName name="FF_E__EACH" localSheetId="11">Inputs!#REF!</definedName>
    <definedName name="FF_E__EACH" localSheetId="10">Inputs!#REF!</definedName>
    <definedName name="FF_E__EACH" localSheetId="16">Inputs!#REF!</definedName>
    <definedName name="FF_E__EACH" localSheetId="13">Inputs!#REF!</definedName>
    <definedName name="FF_E__EACH" localSheetId="15">Inputs!#REF!</definedName>
    <definedName name="FF_E__EACH" localSheetId="14">Inputs!#REF!</definedName>
    <definedName name="FF_E__EACH" localSheetId="20">Inputs!#REF!</definedName>
    <definedName name="FF_E__EACH" localSheetId="17">Inputs!#REF!</definedName>
    <definedName name="FF_E__EACH" localSheetId="19">Inputs!#REF!</definedName>
    <definedName name="FF_E__EACH" localSheetId="18">Inputs!#REF!</definedName>
    <definedName name="FF_E__EACH" localSheetId="24">Inputs!#REF!</definedName>
    <definedName name="FF_E__EACH" localSheetId="21">Inputs!#REF!</definedName>
    <definedName name="FF_E__EACH" localSheetId="23">Inputs!#REF!</definedName>
    <definedName name="FF_E__EACH" localSheetId="22">Inputs!#REF!</definedName>
    <definedName name="FF_E__EACH" localSheetId="52">Inputs!#REF!</definedName>
    <definedName name="FF_E__EACH" localSheetId="53">Inputs!#REF!</definedName>
    <definedName name="FF_E__EACH">Inputs!#REF!</definedName>
    <definedName name="Financing_cost">Inputs!$B$29</definedName>
    <definedName name="Foreperson">Inputs!$B$63</definedName>
    <definedName name="Forklift_operator">Inputs!$B$66</definedName>
    <definedName name="Gangways" localSheetId="58">Inputs!#REF!</definedName>
    <definedName name="Gangways">Inputs!#REF!</definedName>
    <definedName name="Gangways__each" localSheetId="26">Inputs!#REF!</definedName>
    <definedName name="Gangways__each" localSheetId="58">Inputs!#REF!</definedName>
    <definedName name="Gangways__each" localSheetId="51">Inputs!#REF!</definedName>
    <definedName name="Gangways__each" localSheetId="50">Inputs!#REF!</definedName>
    <definedName name="Gangways__each" localSheetId="27">Inputs!#REF!</definedName>
    <definedName name="Gangways__each" localSheetId="28">Inputs!#REF!</definedName>
    <definedName name="Gangways__each" localSheetId="32">Inputs!#REF!</definedName>
    <definedName name="Gangways__each" localSheetId="29">Inputs!#REF!</definedName>
    <definedName name="Gangways__each" localSheetId="31">Inputs!#REF!</definedName>
    <definedName name="Gangways__each" localSheetId="30">Inputs!#REF!</definedName>
    <definedName name="Gangways__each" localSheetId="36">Inputs!#REF!</definedName>
    <definedName name="Gangways__each" localSheetId="33">Inputs!#REF!</definedName>
    <definedName name="Gangways__each" localSheetId="35">Inputs!#REF!</definedName>
    <definedName name="Gangways__each" localSheetId="34">Inputs!#REF!</definedName>
    <definedName name="Gangways__each" localSheetId="40">Inputs!#REF!</definedName>
    <definedName name="Gangways__each" localSheetId="37">Inputs!#REF!</definedName>
    <definedName name="Gangways__each" localSheetId="39">Inputs!#REF!</definedName>
    <definedName name="Gangways__each" localSheetId="38">Inputs!#REF!</definedName>
    <definedName name="Gangways__each" localSheetId="44">Inputs!#REF!</definedName>
    <definedName name="Gangways__each" localSheetId="41">Inputs!#REF!</definedName>
    <definedName name="Gangways__each" localSheetId="43">Inputs!#REF!</definedName>
    <definedName name="Gangways__each" localSheetId="42">Inputs!#REF!</definedName>
    <definedName name="Gangways__each" localSheetId="48">Inputs!#REF!</definedName>
    <definedName name="Gangways__each" localSheetId="45">Inputs!#REF!</definedName>
    <definedName name="Gangways__each" localSheetId="47">Inputs!#REF!</definedName>
    <definedName name="Gangways__each" localSheetId="46">Inputs!#REF!</definedName>
    <definedName name="Gangways__each" localSheetId="3">Inputs!#REF!</definedName>
    <definedName name="Gangways__each" localSheetId="4">Inputs!#REF!</definedName>
    <definedName name="Gangways__each" localSheetId="8">Inputs!#REF!</definedName>
    <definedName name="Gangways__each" localSheetId="5">Inputs!#REF!</definedName>
    <definedName name="Gangways__each" localSheetId="7">Inputs!#REF!</definedName>
    <definedName name="Gangways__each" localSheetId="6">Inputs!#REF!</definedName>
    <definedName name="Gangways__each" localSheetId="12">Inputs!#REF!</definedName>
    <definedName name="Gangways__each" localSheetId="9">Inputs!#REF!</definedName>
    <definedName name="Gangways__each" localSheetId="11">Inputs!#REF!</definedName>
    <definedName name="Gangways__each" localSheetId="10">Inputs!#REF!</definedName>
    <definedName name="Gangways__each" localSheetId="16">Inputs!#REF!</definedName>
    <definedName name="Gangways__each" localSheetId="13">Inputs!#REF!</definedName>
    <definedName name="Gangways__each" localSheetId="15">Inputs!#REF!</definedName>
    <definedName name="Gangways__each" localSheetId="14">Inputs!#REF!</definedName>
    <definedName name="Gangways__each" localSheetId="20">Inputs!#REF!</definedName>
    <definedName name="Gangways__each" localSheetId="17">Inputs!#REF!</definedName>
    <definedName name="Gangways__each" localSheetId="19">Inputs!#REF!</definedName>
    <definedName name="Gangways__each" localSheetId="18">Inputs!#REF!</definedName>
    <definedName name="Gangways__each" localSheetId="24">Inputs!#REF!</definedName>
    <definedName name="Gangways__each" localSheetId="21">Inputs!#REF!</definedName>
    <definedName name="Gangways__each" localSheetId="23">Inputs!#REF!</definedName>
    <definedName name="Gangways__each" localSheetId="22">Inputs!#REF!</definedName>
    <definedName name="Gangways__each" localSheetId="52">Inputs!#REF!</definedName>
    <definedName name="Gangways__each" localSheetId="53">Inputs!#REF!</definedName>
    <definedName name="Gangways__each">Inputs!#REF!</definedName>
    <definedName name="Gangways_ea" localSheetId="58">Inputs!#REF!</definedName>
    <definedName name="Gangways_ea">Inputs!#REF!</definedName>
    <definedName name="Gangways_each" localSheetId="26">Inputs!#REF!</definedName>
    <definedName name="Gangways_each" localSheetId="58">Inputs!#REF!</definedName>
    <definedName name="Gangways_each" localSheetId="27">Inputs!#REF!</definedName>
    <definedName name="Gangways_each" localSheetId="28">Inputs!#REF!</definedName>
    <definedName name="Gangways_each" localSheetId="32">Inputs!#REF!</definedName>
    <definedName name="Gangways_each" localSheetId="29">Inputs!#REF!</definedName>
    <definedName name="Gangways_each" localSheetId="31">Inputs!#REF!</definedName>
    <definedName name="Gangways_each" localSheetId="30">Inputs!#REF!</definedName>
    <definedName name="Gangways_each" localSheetId="36">Inputs!#REF!</definedName>
    <definedName name="Gangways_each" localSheetId="33">Inputs!#REF!</definedName>
    <definedName name="Gangways_each" localSheetId="35">Inputs!#REF!</definedName>
    <definedName name="Gangways_each" localSheetId="34">Inputs!#REF!</definedName>
    <definedName name="Gangways_each" localSheetId="40">Inputs!#REF!</definedName>
    <definedName name="Gangways_each" localSheetId="37">Inputs!#REF!</definedName>
    <definedName name="Gangways_each" localSheetId="39">Inputs!#REF!</definedName>
    <definedName name="Gangways_each" localSheetId="38">Inputs!#REF!</definedName>
    <definedName name="Gangways_each" localSheetId="44">Inputs!#REF!</definedName>
    <definedName name="Gangways_each" localSheetId="41">Inputs!#REF!</definedName>
    <definedName name="Gangways_each" localSheetId="43">Inputs!#REF!</definedName>
    <definedName name="Gangways_each" localSheetId="42">Inputs!#REF!</definedName>
    <definedName name="Gangways_each" localSheetId="48">Inputs!#REF!</definedName>
    <definedName name="Gangways_each" localSheetId="45">Inputs!#REF!</definedName>
    <definedName name="Gangways_each" localSheetId="47">Inputs!#REF!</definedName>
    <definedName name="Gangways_each" localSheetId="46">Inputs!#REF!</definedName>
    <definedName name="Gangways_each" localSheetId="3">Inputs!#REF!</definedName>
    <definedName name="Gangways_each" localSheetId="4">Inputs!#REF!</definedName>
    <definedName name="Gangways_each" localSheetId="8">Inputs!#REF!</definedName>
    <definedName name="Gangways_each" localSheetId="5">Inputs!#REF!</definedName>
    <definedName name="Gangways_each" localSheetId="7">Inputs!#REF!</definedName>
    <definedName name="Gangways_each" localSheetId="6">Inputs!#REF!</definedName>
    <definedName name="Gangways_each" localSheetId="12">Inputs!#REF!</definedName>
    <definedName name="Gangways_each" localSheetId="9">Inputs!#REF!</definedName>
    <definedName name="Gangways_each" localSheetId="11">Inputs!#REF!</definedName>
    <definedName name="Gangways_each" localSheetId="10">Inputs!#REF!</definedName>
    <definedName name="Gangways_each" localSheetId="16">Inputs!#REF!</definedName>
    <definedName name="Gangways_each" localSheetId="13">Inputs!#REF!</definedName>
    <definedName name="Gangways_each" localSheetId="15">Inputs!#REF!</definedName>
    <definedName name="Gangways_each" localSheetId="14">Inputs!#REF!</definedName>
    <definedName name="Gangways_each" localSheetId="20">Inputs!#REF!</definedName>
    <definedName name="Gangways_each" localSheetId="19">Inputs!#REF!</definedName>
    <definedName name="Gangways_each" localSheetId="18">Inputs!#REF!</definedName>
    <definedName name="Gangways_each" localSheetId="24">Inputs!#REF!</definedName>
    <definedName name="Gangways_each" localSheetId="23">Inputs!#REF!</definedName>
    <definedName name="Gangways_each" localSheetId="22">Inputs!#REF!</definedName>
    <definedName name="Gangways_each" localSheetId="52">Inputs!#REF!</definedName>
    <definedName name="Gangways_each" localSheetId="53">Inputs!#REF!</definedName>
    <definedName name="Gangways_each">Inputs!#REF!</definedName>
    <definedName name="General_Manager">Inputs!$B$33</definedName>
    <definedName name="Growth_of_crew_size">Inputs!$E$50</definedName>
    <definedName name="Growth_rate_of_cruise_ships">Inputs!$B$14</definedName>
    <definedName name="Growth_rate_of_cruise_ships_GRT">Inputs!$B$15</definedName>
    <definedName name="GST" localSheetId="26">Inputs!#REF!</definedName>
    <definedName name="GST" localSheetId="58">Inputs!#REF!</definedName>
    <definedName name="GST" localSheetId="50">Inputs!#REF!</definedName>
    <definedName name="GST" localSheetId="27">Inputs!#REF!</definedName>
    <definedName name="GST" localSheetId="28">Inputs!#REF!</definedName>
    <definedName name="GST" localSheetId="32">Inputs!#REF!</definedName>
    <definedName name="GST" localSheetId="29">Inputs!#REF!</definedName>
    <definedName name="GST" localSheetId="31">Inputs!#REF!</definedName>
    <definedName name="GST" localSheetId="30">Inputs!#REF!</definedName>
    <definedName name="GST" localSheetId="36">Inputs!#REF!</definedName>
    <definedName name="GST" localSheetId="33">Inputs!#REF!</definedName>
    <definedName name="GST" localSheetId="35">Inputs!#REF!</definedName>
    <definedName name="GST" localSheetId="34">Inputs!#REF!</definedName>
    <definedName name="GST" localSheetId="40">Inputs!#REF!</definedName>
    <definedName name="GST" localSheetId="37">Inputs!#REF!</definedName>
    <definedName name="GST" localSheetId="39">Inputs!#REF!</definedName>
    <definedName name="GST" localSheetId="38">Inputs!#REF!</definedName>
    <definedName name="GST" localSheetId="44">Inputs!#REF!</definedName>
    <definedName name="GST" localSheetId="41">Inputs!#REF!</definedName>
    <definedName name="GST" localSheetId="43">Inputs!#REF!</definedName>
    <definedName name="GST" localSheetId="42">Inputs!#REF!</definedName>
    <definedName name="GST" localSheetId="48">Inputs!#REF!</definedName>
    <definedName name="GST" localSheetId="45">Inputs!#REF!</definedName>
    <definedName name="GST" localSheetId="47">Inputs!#REF!</definedName>
    <definedName name="GST" localSheetId="46">Inputs!#REF!</definedName>
    <definedName name="GST" localSheetId="3">Inputs!#REF!</definedName>
    <definedName name="GST" localSheetId="4">Inputs!#REF!</definedName>
    <definedName name="GST" localSheetId="8">Inputs!#REF!</definedName>
    <definedName name="GST" localSheetId="5">Inputs!#REF!</definedName>
    <definedName name="GST" localSheetId="7">Inputs!#REF!</definedName>
    <definedName name="GST" localSheetId="6">Inputs!#REF!</definedName>
    <definedName name="GST" localSheetId="12">Inputs!#REF!</definedName>
    <definedName name="GST" localSheetId="9">Inputs!#REF!</definedName>
    <definedName name="GST" localSheetId="11">Inputs!#REF!</definedName>
    <definedName name="GST" localSheetId="10">Inputs!#REF!</definedName>
    <definedName name="GST" localSheetId="16">Inputs!#REF!</definedName>
    <definedName name="GST" localSheetId="13">Inputs!#REF!</definedName>
    <definedName name="GST" localSheetId="15">Inputs!#REF!</definedName>
    <definedName name="GST" localSheetId="14">Inputs!#REF!</definedName>
    <definedName name="GST" localSheetId="20">Inputs!#REF!</definedName>
    <definedName name="GST" localSheetId="17">Inputs!#REF!</definedName>
    <definedName name="GST" localSheetId="19">Inputs!#REF!</definedName>
    <definedName name="GST" localSheetId="18">Inputs!#REF!</definedName>
    <definedName name="GST" localSheetId="24">Inputs!#REF!</definedName>
    <definedName name="GST" localSheetId="21">Inputs!#REF!</definedName>
    <definedName name="GST" localSheetId="23">Inputs!#REF!</definedName>
    <definedName name="GST" localSheetId="22">Inputs!#REF!</definedName>
    <definedName name="GST" localSheetId="52">Inputs!#REF!</definedName>
    <definedName name="GST" localSheetId="53">Inputs!#REF!</definedName>
    <definedName name="GST">Inputs!#REF!</definedName>
    <definedName name="High_growth_rate" localSheetId="26">#REF!</definedName>
    <definedName name="High_growth_rate" localSheetId="58">#REF!</definedName>
    <definedName name="High_growth_rate" localSheetId="51">#REF!</definedName>
    <definedName name="High_growth_rate" localSheetId="50">#REF!</definedName>
    <definedName name="High_growth_rate" localSheetId="27">#REF!</definedName>
    <definedName name="High_growth_rate" localSheetId="28">#REF!</definedName>
    <definedName name="High_growth_rate" localSheetId="32">#REF!</definedName>
    <definedName name="High_growth_rate" localSheetId="29">#REF!</definedName>
    <definedName name="High_growth_rate" localSheetId="31">#REF!</definedName>
    <definedName name="High_growth_rate" localSheetId="30">#REF!</definedName>
    <definedName name="High_growth_rate" localSheetId="36">#REF!</definedName>
    <definedName name="High_growth_rate" localSheetId="33">#REF!</definedName>
    <definedName name="High_growth_rate" localSheetId="35">#REF!</definedName>
    <definedName name="High_growth_rate" localSheetId="34">#REF!</definedName>
    <definedName name="High_growth_rate" localSheetId="40">#REF!</definedName>
    <definedName name="High_growth_rate" localSheetId="37">#REF!</definedName>
    <definedName name="High_growth_rate" localSheetId="39">#REF!</definedName>
    <definedName name="High_growth_rate" localSheetId="38">#REF!</definedName>
    <definedName name="High_growth_rate" localSheetId="44">#REF!</definedName>
    <definedName name="High_growth_rate" localSheetId="41">#REF!</definedName>
    <definedName name="High_growth_rate" localSheetId="43">#REF!</definedName>
    <definedName name="High_growth_rate" localSheetId="42">#REF!</definedName>
    <definedName name="High_growth_rate" localSheetId="48">#REF!</definedName>
    <definedName name="High_growth_rate" localSheetId="45">#REF!</definedName>
    <definedName name="High_growth_rate" localSheetId="47">#REF!</definedName>
    <definedName name="High_growth_rate" localSheetId="46">#REF!</definedName>
    <definedName name="High_growth_rate" localSheetId="3">#REF!</definedName>
    <definedName name="High_growth_rate" localSheetId="4">#REF!</definedName>
    <definedName name="High_growth_rate" localSheetId="8">#REF!</definedName>
    <definedName name="High_growth_rate" localSheetId="5">#REF!</definedName>
    <definedName name="High_growth_rate" localSheetId="7">#REF!</definedName>
    <definedName name="High_growth_rate" localSheetId="6">#REF!</definedName>
    <definedName name="High_growth_rate" localSheetId="12">#REF!</definedName>
    <definedName name="High_growth_rate" localSheetId="9">#REF!</definedName>
    <definedName name="High_growth_rate" localSheetId="11">#REF!</definedName>
    <definedName name="High_growth_rate" localSheetId="10">#REF!</definedName>
    <definedName name="High_growth_rate" localSheetId="16">#REF!</definedName>
    <definedName name="High_growth_rate" localSheetId="13">#REF!</definedName>
    <definedName name="High_growth_rate" localSheetId="15">#REF!</definedName>
    <definedName name="High_growth_rate" localSheetId="14">#REF!</definedName>
    <definedName name="High_growth_rate" localSheetId="20">#REF!</definedName>
    <definedName name="High_growth_rate" localSheetId="17">#REF!</definedName>
    <definedName name="High_growth_rate" localSheetId="19">#REF!</definedName>
    <definedName name="High_growth_rate" localSheetId="18">#REF!</definedName>
    <definedName name="High_growth_rate" localSheetId="24">#REF!</definedName>
    <definedName name="High_growth_rate" localSheetId="21">#REF!</definedName>
    <definedName name="High_growth_rate" localSheetId="23">#REF!</definedName>
    <definedName name="High_growth_rate" localSheetId="22">#REF!</definedName>
    <definedName name="High_growth_rate" localSheetId="52">#REF!</definedName>
    <definedName name="High_growth_rate" localSheetId="53">#REF!</definedName>
    <definedName name="High_growth_rate">#REF!</definedName>
    <definedName name="Hospitality_desk" localSheetId="26">Inputs!#REF!</definedName>
    <definedName name="Hospitality_desk" localSheetId="58">Inputs!#REF!</definedName>
    <definedName name="Hospitality_desk" localSheetId="50">Inputs!#REF!</definedName>
    <definedName name="Hospitality_desk" localSheetId="27">Inputs!#REF!</definedName>
    <definedName name="Hospitality_desk" localSheetId="28">Inputs!#REF!</definedName>
    <definedName name="Hospitality_desk" localSheetId="32">Inputs!#REF!</definedName>
    <definedName name="Hospitality_desk" localSheetId="29">Inputs!#REF!</definedName>
    <definedName name="Hospitality_desk" localSheetId="31">Inputs!#REF!</definedName>
    <definedName name="Hospitality_desk" localSheetId="30">Inputs!#REF!</definedName>
    <definedName name="Hospitality_desk" localSheetId="36">Inputs!#REF!</definedName>
    <definedName name="Hospitality_desk" localSheetId="33">Inputs!#REF!</definedName>
    <definedName name="Hospitality_desk" localSheetId="35">Inputs!#REF!</definedName>
    <definedName name="Hospitality_desk" localSheetId="34">Inputs!#REF!</definedName>
    <definedName name="Hospitality_desk" localSheetId="40">Inputs!#REF!</definedName>
    <definedName name="Hospitality_desk" localSheetId="37">Inputs!#REF!</definedName>
    <definedName name="Hospitality_desk" localSheetId="39">Inputs!#REF!</definedName>
    <definedName name="Hospitality_desk" localSheetId="38">Inputs!#REF!</definedName>
    <definedName name="Hospitality_desk" localSheetId="44">Inputs!#REF!</definedName>
    <definedName name="Hospitality_desk" localSheetId="41">Inputs!#REF!</definedName>
    <definedName name="Hospitality_desk" localSheetId="43">Inputs!#REF!</definedName>
    <definedName name="Hospitality_desk" localSheetId="42">Inputs!#REF!</definedName>
    <definedName name="Hospitality_desk" localSheetId="48">Inputs!#REF!</definedName>
    <definedName name="Hospitality_desk" localSheetId="45">Inputs!#REF!</definedName>
    <definedName name="Hospitality_desk" localSheetId="47">Inputs!#REF!</definedName>
    <definedName name="Hospitality_desk" localSheetId="46">Inputs!#REF!</definedName>
    <definedName name="Hospitality_desk" localSheetId="3">Inputs!#REF!</definedName>
    <definedName name="Hospitality_desk" localSheetId="4">Inputs!#REF!</definedName>
    <definedName name="Hospitality_desk" localSheetId="8">Inputs!#REF!</definedName>
    <definedName name="Hospitality_desk" localSheetId="5">Inputs!#REF!</definedName>
    <definedName name="Hospitality_desk" localSheetId="7">Inputs!#REF!</definedName>
    <definedName name="Hospitality_desk" localSheetId="6">Inputs!#REF!</definedName>
    <definedName name="Hospitality_desk" localSheetId="12">Inputs!#REF!</definedName>
    <definedName name="Hospitality_desk" localSheetId="9">Inputs!#REF!</definedName>
    <definedName name="Hospitality_desk" localSheetId="11">Inputs!#REF!</definedName>
    <definedName name="Hospitality_desk" localSheetId="10">Inputs!#REF!</definedName>
    <definedName name="Hospitality_desk" localSheetId="16">Inputs!#REF!</definedName>
    <definedName name="Hospitality_desk" localSheetId="13">Inputs!#REF!</definedName>
    <definedName name="Hospitality_desk" localSheetId="15">Inputs!#REF!</definedName>
    <definedName name="Hospitality_desk" localSheetId="14">Inputs!#REF!</definedName>
    <definedName name="Hospitality_desk" localSheetId="20">Inputs!#REF!</definedName>
    <definedName name="Hospitality_desk" localSheetId="17">Inputs!#REF!</definedName>
    <definedName name="Hospitality_desk" localSheetId="19">Inputs!#REF!</definedName>
    <definedName name="Hospitality_desk" localSheetId="18">Inputs!#REF!</definedName>
    <definedName name="Hospitality_desk" localSheetId="24">Inputs!#REF!</definedName>
    <definedName name="Hospitality_desk" localSheetId="21">Inputs!#REF!</definedName>
    <definedName name="Hospitality_desk" localSheetId="23">Inputs!#REF!</definedName>
    <definedName name="Hospitality_desk" localSheetId="22">Inputs!#REF!</definedName>
    <definedName name="Hospitality_desk" localSheetId="52">Inputs!#REF!</definedName>
    <definedName name="Hospitality_desk" localSheetId="53">Inputs!#REF!</definedName>
    <definedName name="Hospitality_desk">Inputs!#REF!</definedName>
    <definedName name="Hours_of_operations_per_call_of_PS_staff">Inputs!$E$73</definedName>
    <definedName name="Hours_of_operations_per_call_of_security_staff">Inputs!$E$72</definedName>
    <definedName name="Hours_of_pperations_per_call_for_terminal_staff">Inputs!$E$71</definedName>
    <definedName name="Hours_of_ship_in_port_per_call">Inputs!$E$74</definedName>
    <definedName name="Housekeeper">Inputs!$B$56</definedName>
    <definedName name="Indirect_multiplier">Inputs!$E$51</definedName>
    <definedName name="Insured_property_value">Inputs!$E$67</definedName>
    <definedName name="Landscaping__SM" localSheetId="26">Inputs!#REF!</definedName>
    <definedName name="Landscaping__SM" localSheetId="58">Inputs!#REF!</definedName>
    <definedName name="Landscaping__SM" localSheetId="50">Inputs!#REF!</definedName>
    <definedName name="Landscaping__SM" localSheetId="27">Inputs!#REF!</definedName>
    <definedName name="Landscaping__SM" localSheetId="28">Inputs!#REF!</definedName>
    <definedName name="Landscaping__SM" localSheetId="32">Inputs!#REF!</definedName>
    <definedName name="Landscaping__SM" localSheetId="29">Inputs!#REF!</definedName>
    <definedName name="Landscaping__SM" localSheetId="31">Inputs!#REF!</definedName>
    <definedName name="Landscaping__SM" localSheetId="30">Inputs!#REF!</definedName>
    <definedName name="Landscaping__SM" localSheetId="36">Inputs!#REF!</definedName>
    <definedName name="Landscaping__SM" localSheetId="33">Inputs!#REF!</definedName>
    <definedName name="Landscaping__SM" localSheetId="35">Inputs!#REF!</definedName>
    <definedName name="Landscaping__SM" localSheetId="34">Inputs!#REF!</definedName>
    <definedName name="Landscaping__SM" localSheetId="40">Inputs!#REF!</definedName>
    <definedName name="Landscaping__SM" localSheetId="37">Inputs!#REF!</definedName>
    <definedName name="Landscaping__SM" localSheetId="39">Inputs!#REF!</definedName>
    <definedName name="Landscaping__SM" localSheetId="38">Inputs!#REF!</definedName>
    <definedName name="Landscaping__SM" localSheetId="44">Inputs!#REF!</definedName>
    <definedName name="Landscaping__SM" localSheetId="41">Inputs!#REF!</definedName>
    <definedName name="Landscaping__SM" localSheetId="43">Inputs!#REF!</definedName>
    <definedName name="Landscaping__SM" localSheetId="42">Inputs!#REF!</definedName>
    <definedName name="Landscaping__SM" localSheetId="48">Inputs!#REF!</definedName>
    <definedName name="Landscaping__SM" localSheetId="45">Inputs!#REF!</definedName>
    <definedName name="Landscaping__SM" localSheetId="47">Inputs!#REF!</definedName>
    <definedName name="Landscaping__SM" localSheetId="46">Inputs!#REF!</definedName>
    <definedName name="Landscaping__SM" localSheetId="3">Inputs!#REF!</definedName>
    <definedName name="Landscaping__SM" localSheetId="4">Inputs!#REF!</definedName>
    <definedName name="Landscaping__SM" localSheetId="8">Inputs!#REF!</definedName>
    <definedName name="Landscaping__SM" localSheetId="5">Inputs!#REF!</definedName>
    <definedName name="Landscaping__SM" localSheetId="7">Inputs!#REF!</definedName>
    <definedName name="Landscaping__SM" localSheetId="6">Inputs!#REF!</definedName>
    <definedName name="Landscaping__SM" localSheetId="12">Inputs!#REF!</definedName>
    <definedName name="Landscaping__SM" localSheetId="9">Inputs!#REF!</definedName>
    <definedName name="Landscaping__SM" localSheetId="11">Inputs!#REF!</definedName>
    <definedName name="Landscaping__SM" localSheetId="10">Inputs!#REF!</definedName>
    <definedName name="Landscaping__SM" localSheetId="16">Inputs!#REF!</definedName>
    <definedName name="Landscaping__SM" localSheetId="13">Inputs!#REF!</definedName>
    <definedName name="Landscaping__SM" localSheetId="15">Inputs!#REF!</definedName>
    <definedName name="Landscaping__SM" localSheetId="14">Inputs!#REF!</definedName>
    <definedName name="Landscaping__SM" localSheetId="20">Inputs!#REF!</definedName>
    <definedName name="Landscaping__SM" localSheetId="17">Inputs!#REF!</definedName>
    <definedName name="Landscaping__SM" localSheetId="19">Inputs!#REF!</definedName>
    <definedName name="Landscaping__SM" localSheetId="18">Inputs!#REF!</definedName>
    <definedName name="Landscaping__SM" localSheetId="24">Inputs!#REF!</definedName>
    <definedName name="Landscaping__SM" localSheetId="21">Inputs!#REF!</definedName>
    <definedName name="Landscaping__SM" localSheetId="23">Inputs!#REF!</definedName>
    <definedName name="Landscaping__SM" localSheetId="22">Inputs!#REF!</definedName>
    <definedName name="Landscaping__SM" localSheetId="52">Inputs!#REF!</definedName>
    <definedName name="Landscaping__SM" localSheetId="53">Inputs!#REF!</definedName>
    <definedName name="Landscaping__SM">Inputs!#REF!</definedName>
    <definedName name="Low_growth_rate" localSheetId="26">#REF!</definedName>
    <definedName name="Low_growth_rate" localSheetId="58">#REF!</definedName>
    <definedName name="Low_growth_rate" localSheetId="50">#REF!</definedName>
    <definedName name="Low_growth_rate" localSheetId="27">#REF!</definedName>
    <definedName name="Low_growth_rate" localSheetId="28">#REF!</definedName>
    <definedName name="Low_growth_rate" localSheetId="32">#REF!</definedName>
    <definedName name="Low_growth_rate" localSheetId="29">#REF!</definedName>
    <definedName name="Low_growth_rate" localSheetId="31">#REF!</definedName>
    <definedName name="Low_growth_rate" localSheetId="30">#REF!</definedName>
    <definedName name="Low_growth_rate" localSheetId="36">#REF!</definedName>
    <definedName name="Low_growth_rate" localSheetId="33">#REF!</definedName>
    <definedName name="Low_growth_rate" localSheetId="35">#REF!</definedName>
    <definedName name="Low_growth_rate" localSheetId="34">#REF!</definedName>
    <definedName name="Low_growth_rate" localSheetId="40">#REF!</definedName>
    <definedName name="Low_growth_rate" localSheetId="37">#REF!</definedName>
    <definedName name="Low_growth_rate" localSheetId="39">#REF!</definedName>
    <definedName name="Low_growth_rate" localSheetId="38">#REF!</definedName>
    <definedName name="Low_growth_rate" localSheetId="44">#REF!</definedName>
    <definedName name="Low_growth_rate" localSheetId="41">#REF!</definedName>
    <definedName name="Low_growth_rate" localSheetId="43">#REF!</definedName>
    <definedName name="Low_growth_rate" localSheetId="42">#REF!</definedName>
    <definedName name="Low_growth_rate" localSheetId="48">#REF!</definedName>
    <definedName name="Low_growth_rate" localSheetId="45">#REF!</definedName>
    <definedName name="Low_growth_rate" localSheetId="47">#REF!</definedName>
    <definedName name="Low_growth_rate" localSheetId="46">#REF!</definedName>
    <definedName name="Low_growth_rate" localSheetId="3">#REF!</definedName>
    <definedName name="Low_growth_rate" localSheetId="4">#REF!</definedName>
    <definedName name="Low_growth_rate" localSheetId="8">#REF!</definedName>
    <definedName name="Low_growth_rate" localSheetId="5">#REF!</definedName>
    <definedName name="Low_growth_rate" localSheetId="7">#REF!</definedName>
    <definedName name="Low_growth_rate" localSheetId="6">#REF!</definedName>
    <definedName name="Low_growth_rate" localSheetId="12">#REF!</definedName>
    <definedName name="Low_growth_rate" localSheetId="9">#REF!</definedName>
    <definedName name="Low_growth_rate" localSheetId="11">#REF!</definedName>
    <definedName name="Low_growth_rate" localSheetId="10">#REF!</definedName>
    <definedName name="Low_growth_rate" localSheetId="16">#REF!</definedName>
    <definedName name="Low_growth_rate" localSheetId="13">#REF!</definedName>
    <definedName name="Low_growth_rate" localSheetId="15">#REF!</definedName>
    <definedName name="Low_growth_rate" localSheetId="14">#REF!</definedName>
    <definedName name="Low_growth_rate" localSheetId="20">#REF!</definedName>
    <definedName name="Low_growth_rate" localSheetId="17">#REF!</definedName>
    <definedName name="Low_growth_rate" localSheetId="19">#REF!</definedName>
    <definedName name="Low_growth_rate" localSheetId="18">#REF!</definedName>
    <definedName name="Low_growth_rate" localSheetId="24">#REF!</definedName>
    <definedName name="Low_growth_rate" localSheetId="21">#REF!</definedName>
    <definedName name="Low_growth_rate" localSheetId="23">#REF!</definedName>
    <definedName name="Low_growth_rate" localSheetId="22">#REF!</definedName>
    <definedName name="Low_growth_rate" localSheetId="52">#REF!</definedName>
    <definedName name="Low_growth_rate" localSheetId="53">#REF!</definedName>
    <definedName name="Low_growth_rate">#REF!</definedName>
    <definedName name="Luggage_per_passenger">Inputs!$E$77</definedName>
    <definedName name="Luggage_screening" localSheetId="26">Inputs!#REF!</definedName>
    <definedName name="Luggage_screening" localSheetId="58">Inputs!#REF!</definedName>
    <definedName name="Luggage_screening" localSheetId="50">Inputs!#REF!</definedName>
    <definedName name="Luggage_screening" localSheetId="27">Inputs!#REF!</definedName>
    <definedName name="Luggage_screening" localSheetId="28">Inputs!#REF!</definedName>
    <definedName name="Luggage_screening" localSheetId="32">Inputs!#REF!</definedName>
    <definedName name="Luggage_screening" localSheetId="29">Inputs!#REF!</definedName>
    <definedName name="Luggage_screening" localSheetId="31">Inputs!#REF!</definedName>
    <definedName name="Luggage_screening" localSheetId="30">Inputs!#REF!</definedName>
    <definedName name="Luggage_screening" localSheetId="36">Inputs!#REF!</definedName>
    <definedName name="Luggage_screening" localSheetId="33">Inputs!#REF!</definedName>
    <definedName name="Luggage_screening" localSheetId="35">Inputs!#REF!</definedName>
    <definedName name="Luggage_screening" localSheetId="34">Inputs!#REF!</definedName>
    <definedName name="Luggage_screening" localSheetId="40">Inputs!#REF!</definedName>
    <definedName name="Luggage_screening" localSheetId="37">Inputs!#REF!</definedName>
    <definedName name="Luggage_screening" localSheetId="39">Inputs!#REF!</definedName>
    <definedName name="Luggage_screening" localSheetId="38">Inputs!#REF!</definedName>
    <definedName name="Luggage_screening" localSheetId="44">Inputs!#REF!</definedName>
    <definedName name="Luggage_screening" localSheetId="41">Inputs!#REF!</definedName>
    <definedName name="Luggage_screening" localSheetId="43">Inputs!#REF!</definedName>
    <definedName name="Luggage_screening" localSheetId="42">Inputs!#REF!</definedName>
    <definedName name="Luggage_screening" localSheetId="48">Inputs!#REF!</definedName>
    <definedName name="Luggage_screening" localSheetId="45">Inputs!#REF!</definedName>
    <definedName name="Luggage_screening" localSheetId="47">Inputs!#REF!</definedName>
    <definedName name="Luggage_screening" localSheetId="46">Inputs!#REF!</definedName>
    <definedName name="Luggage_screening" localSheetId="3">Inputs!#REF!</definedName>
    <definedName name="Luggage_screening" localSheetId="4">Inputs!#REF!</definedName>
    <definedName name="Luggage_screening" localSheetId="8">Inputs!#REF!</definedName>
    <definedName name="Luggage_screening" localSheetId="5">Inputs!#REF!</definedName>
    <definedName name="Luggage_screening" localSheetId="7">Inputs!#REF!</definedName>
    <definedName name="Luggage_screening" localSheetId="6">Inputs!#REF!</definedName>
    <definedName name="Luggage_screening" localSheetId="12">Inputs!#REF!</definedName>
    <definedName name="Luggage_screening" localSheetId="9">Inputs!#REF!</definedName>
    <definedName name="Luggage_screening" localSheetId="11">Inputs!#REF!</definedName>
    <definedName name="Luggage_screening" localSheetId="10">Inputs!#REF!</definedName>
    <definedName name="Luggage_screening" localSheetId="16">Inputs!#REF!</definedName>
    <definedName name="Luggage_screening" localSheetId="13">Inputs!#REF!</definedName>
    <definedName name="Luggage_screening" localSheetId="15">Inputs!#REF!</definedName>
    <definedName name="Luggage_screening" localSheetId="14">Inputs!#REF!</definedName>
    <definedName name="Luggage_screening" localSheetId="20">Inputs!#REF!</definedName>
    <definedName name="Luggage_screening" localSheetId="17">Inputs!#REF!</definedName>
    <definedName name="Luggage_screening" localSheetId="19">Inputs!#REF!</definedName>
    <definedName name="Luggage_screening" localSheetId="18">Inputs!#REF!</definedName>
    <definedName name="Luggage_screening" localSheetId="24">Inputs!#REF!</definedName>
    <definedName name="Luggage_screening" localSheetId="21">Inputs!#REF!</definedName>
    <definedName name="Luggage_screening" localSheetId="23">Inputs!#REF!</definedName>
    <definedName name="Luggage_screening" localSheetId="22">Inputs!#REF!</definedName>
    <definedName name="Luggage_screening" localSheetId="52">Inputs!#REF!</definedName>
    <definedName name="Luggage_screening" localSheetId="53">Inputs!#REF!</definedName>
    <definedName name="Luggage_screening">Inputs!#REF!</definedName>
    <definedName name="Manager___Housekeeping">Inputs!$B$54</definedName>
    <definedName name="Manager___Maintenance">Inputs!$B$41</definedName>
    <definedName name="Manager___Parking">Inputs!$B$58</definedName>
    <definedName name="Manager___Security">Inputs!$B$49</definedName>
    <definedName name="Mark_up_on_subs">Inputs!$B$21</definedName>
    <definedName name="Mark_up_on_water_sales" localSheetId="58">Inputs!#REF!</definedName>
    <definedName name="Mark_up_on_water_sales">Inputs!#REF!</definedName>
    <definedName name="Marketing_Assistant">Inputs!$B$36</definedName>
    <definedName name="Maximum_occupancy">Inputs!$B$12</definedName>
    <definedName name="Maximum_practical_berth_occupancy">Inputs!$B$11</definedName>
    <definedName name="Mechanic">Inputs!$B$64</definedName>
    <definedName name="Meet_and_Greet" localSheetId="26">Inputs!#REF!</definedName>
    <definedName name="Meet_and_Greet" localSheetId="58">Inputs!#REF!</definedName>
    <definedName name="Meet_and_Greet" localSheetId="50">Inputs!#REF!</definedName>
    <definedName name="Meet_and_Greet" localSheetId="27">Inputs!#REF!</definedName>
    <definedName name="Meet_and_Greet" localSheetId="28">Inputs!#REF!</definedName>
    <definedName name="Meet_and_Greet" localSheetId="32">Inputs!#REF!</definedName>
    <definedName name="Meet_and_Greet" localSheetId="29">Inputs!#REF!</definedName>
    <definedName name="Meet_and_Greet" localSheetId="31">Inputs!#REF!</definedName>
    <definedName name="Meet_and_Greet" localSheetId="30">Inputs!#REF!</definedName>
    <definedName name="Meet_and_Greet" localSheetId="36">Inputs!#REF!</definedName>
    <definedName name="Meet_and_Greet" localSheetId="33">Inputs!#REF!</definedName>
    <definedName name="Meet_and_Greet" localSheetId="35">Inputs!#REF!</definedName>
    <definedName name="Meet_and_Greet" localSheetId="34">Inputs!#REF!</definedName>
    <definedName name="Meet_and_Greet" localSheetId="40">Inputs!#REF!</definedName>
    <definedName name="Meet_and_Greet" localSheetId="37">Inputs!#REF!</definedName>
    <definedName name="Meet_and_Greet" localSheetId="39">Inputs!#REF!</definedName>
    <definedName name="Meet_and_Greet" localSheetId="38">Inputs!#REF!</definedName>
    <definedName name="Meet_and_Greet" localSheetId="44">Inputs!#REF!</definedName>
    <definedName name="Meet_and_Greet" localSheetId="41">Inputs!#REF!</definedName>
    <definedName name="Meet_and_Greet" localSheetId="43">Inputs!#REF!</definedName>
    <definedName name="Meet_and_Greet" localSheetId="42">Inputs!#REF!</definedName>
    <definedName name="Meet_and_Greet" localSheetId="48">Inputs!#REF!</definedName>
    <definedName name="Meet_and_Greet" localSheetId="45">Inputs!#REF!</definedName>
    <definedName name="Meet_and_Greet" localSheetId="47">Inputs!#REF!</definedName>
    <definedName name="Meet_and_Greet" localSheetId="46">Inputs!#REF!</definedName>
    <definedName name="Meet_and_Greet" localSheetId="3">Inputs!#REF!</definedName>
    <definedName name="Meet_and_Greet" localSheetId="4">Inputs!#REF!</definedName>
    <definedName name="Meet_and_Greet" localSheetId="8">Inputs!#REF!</definedName>
    <definedName name="Meet_and_Greet" localSheetId="5">Inputs!#REF!</definedName>
    <definedName name="Meet_and_Greet" localSheetId="7">Inputs!#REF!</definedName>
    <definedName name="Meet_and_Greet" localSheetId="6">Inputs!#REF!</definedName>
    <definedName name="Meet_and_Greet" localSheetId="12">Inputs!#REF!</definedName>
    <definedName name="Meet_and_Greet" localSheetId="9">Inputs!#REF!</definedName>
    <definedName name="Meet_and_Greet" localSheetId="11">Inputs!#REF!</definedName>
    <definedName name="Meet_and_Greet" localSheetId="10">Inputs!#REF!</definedName>
    <definedName name="Meet_and_Greet" localSheetId="16">Inputs!#REF!</definedName>
    <definedName name="Meet_and_Greet" localSheetId="13">Inputs!#REF!</definedName>
    <definedName name="Meet_and_Greet" localSheetId="15">Inputs!#REF!</definedName>
    <definedName name="Meet_and_Greet" localSheetId="14">Inputs!#REF!</definedName>
    <definedName name="Meet_and_Greet" localSheetId="20">Inputs!#REF!</definedName>
    <definedName name="Meet_and_Greet" localSheetId="17">Inputs!#REF!</definedName>
    <definedName name="Meet_and_Greet" localSheetId="19">Inputs!#REF!</definedName>
    <definedName name="Meet_and_Greet" localSheetId="18">Inputs!#REF!</definedName>
    <definedName name="Meet_and_Greet" localSheetId="24">Inputs!#REF!</definedName>
    <definedName name="Meet_and_Greet" localSheetId="21">Inputs!#REF!</definedName>
    <definedName name="Meet_and_Greet" localSheetId="23">Inputs!#REF!</definedName>
    <definedName name="Meet_and_Greet" localSheetId="22">Inputs!#REF!</definedName>
    <definedName name="Meet_and_Greet" localSheetId="52">Inputs!#REF!</definedName>
    <definedName name="Meet_and_Greet" localSheetId="53">Inputs!#REF!</definedName>
    <definedName name="Meet_and_Greet">Inputs!#REF!</definedName>
    <definedName name="MIS_Manager_Support_Web">Inputs!$B$37</definedName>
    <definedName name="Miscellenous_income" localSheetId="58">Inputs!#REF!</definedName>
    <definedName name="Miscellenous_income">Inputs!#REF!</definedName>
    <definedName name="New_homeport_passenger_tariff__with_GST" localSheetId="58">#REF!</definedName>
    <definedName name="New_homeport_passenger_tariff__with_GST">#REF!</definedName>
    <definedName name="New_transit_passenger_tariff__with_GST" localSheetId="58">#REF!</definedName>
    <definedName name="New_transit_passenger_tariff__with_GST">#REF!</definedName>
    <definedName name="Number_of_parking_spaces" localSheetId="58">Inputs!#REF!</definedName>
    <definedName name="Number_of_parking_spaces">Inputs!#REF!</definedName>
    <definedName name="Officers" localSheetId="26">Inputs!#REF!</definedName>
    <definedName name="Officers" localSheetId="58">Inputs!#REF!</definedName>
    <definedName name="Officers" localSheetId="50">Inputs!#REF!</definedName>
    <definedName name="Officers" localSheetId="27">Inputs!#REF!</definedName>
    <definedName name="Officers" localSheetId="28">Inputs!#REF!</definedName>
    <definedName name="Officers" localSheetId="32">Inputs!#REF!</definedName>
    <definedName name="Officers" localSheetId="29">Inputs!#REF!</definedName>
    <definedName name="Officers" localSheetId="31">Inputs!#REF!</definedName>
    <definedName name="Officers" localSheetId="30">Inputs!#REF!</definedName>
    <definedName name="Officers" localSheetId="36">Inputs!#REF!</definedName>
    <definedName name="Officers" localSheetId="33">Inputs!#REF!</definedName>
    <definedName name="Officers" localSheetId="35">Inputs!#REF!</definedName>
    <definedName name="Officers" localSheetId="34">Inputs!#REF!</definedName>
    <definedName name="Officers" localSheetId="40">Inputs!#REF!</definedName>
    <definedName name="Officers" localSheetId="37">Inputs!#REF!</definedName>
    <definedName name="Officers" localSheetId="39">Inputs!#REF!</definedName>
    <definedName name="Officers" localSheetId="38">Inputs!#REF!</definedName>
    <definedName name="Officers" localSheetId="44">Inputs!#REF!</definedName>
    <definedName name="Officers" localSheetId="41">Inputs!#REF!</definedName>
    <definedName name="Officers" localSheetId="43">Inputs!#REF!</definedName>
    <definedName name="Officers" localSheetId="42">Inputs!#REF!</definedName>
    <definedName name="Officers" localSheetId="48">Inputs!#REF!</definedName>
    <definedName name="Officers" localSheetId="45">Inputs!#REF!</definedName>
    <definedName name="Officers" localSheetId="47">Inputs!#REF!</definedName>
    <definedName name="Officers" localSheetId="46">Inputs!#REF!</definedName>
    <definedName name="Officers" localSheetId="3">Inputs!#REF!</definedName>
    <definedName name="Officers" localSheetId="4">Inputs!#REF!</definedName>
    <definedName name="Officers" localSheetId="8">Inputs!#REF!</definedName>
    <definedName name="Officers" localSheetId="5">Inputs!#REF!</definedName>
    <definedName name="Officers" localSheetId="7">Inputs!#REF!</definedName>
    <definedName name="Officers" localSheetId="6">Inputs!#REF!</definedName>
    <definedName name="Officers" localSheetId="12">Inputs!#REF!</definedName>
    <definedName name="Officers" localSheetId="9">Inputs!#REF!</definedName>
    <definedName name="Officers" localSheetId="11">Inputs!#REF!</definedName>
    <definedName name="Officers" localSheetId="10">Inputs!#REF!</definedName>
    <definedName name="Officers" localSheetId="16">Inputs!#REF!</definedName>
    <definedName name="Officers" localSheetId="13">Inputs!#REF!</definedName>
    <definedName name="Officers" localSheetId="15">Inputs!#REF!</definedName>
    <definedName name="Officers" localSheetId="14">Inputs!#REF!</definedName>
    <definedName name="Officers" localSheetId="20">Inputs!#REF!</definedName>
    <definedName name="Officers" localSheetId="17">Inputs!#REF!</definedName>
    <definedName name="Officers" localSheetId="19">Inputs!#REF!</definedName>
    <definedName name="Officers" localSheetId="18">Inputs!#REF!</definedName>
    <definedName name="Officers" localSheetId="24">Inputs!#REF!</definedName>
    <definedName name="Officers" localSheetId="21">Inputs!#REF!</definedName>
    <definedName name="Officers" localSheetId="23">Inputs!#REF!</definedName>
    <definedName name="Officers" localSheetId="22">Inputs!#REF!</definedName>
    <definedName name="Officers" localSheetId="52">Inputs!#REF!</definedName>
    <definedName name="Officers" localSheetId="53">Inputs!#REF!</definedName>
    <definedName name="Officers">Inputs!#REF!</definedName>
    <definedName name="Overhead_walkway__SM" localSheetId="26">Inputs!#REF!</definedName>
    <definedName name="Overhead_walkway__SM" localSheetId="58">Inputs!#REF!</definedName>
    <definedName name="Overhead_walkway__SM" localSheetId="50">Inputs!#REF!</definedName>
    <definedName name="Overhead_walkway__SM" localSheetId="27">Inputs!#REF!</definedName>
    <definedName name="Overhead_walkway__SM" localSheetId="28">Inputs!#REF!</definedName>
    <definedName name="Overhead_walkway__SM" localSheetId="32">Inputs!#REF!</definedName>
    <definedName name="Overhead_walkway__SM" localSheetId="29">Inputs!#REF!</definedName>
    <definedName name="Overhead_walkway__SM" localSheetId="31">Inputs!#REF!</definedName>
    <definedName name="Overhead_walkway__SM" localSheetId="30">Inputs!#REF!</definedName>
    <definedName name="Overhead_walkway__SM" localSheetId="36">Inputs!#REF!</definedName>
    <definedName name="Overhead_walkway__SM" localSheetId="33">Inputs!#REF!</definedName>
    <definedName name="Overhead_walkway__SM" localSheetId="35">Inputs!#REF!</definedName>
    <definedName name="Overhead_walkway__SM" localSheetId="34">Inputs!#REF!</definedName>
    <definedName name="Overhead_walkway__SM" localSheetId="40">Inputs!#REF!</definedName>
    <definedName name="Overhead_walkway__SM" localSheetId="37">Inputs!#REF!</definedName>
    <definedName name="Overhead_walkway__SM" localSheetId="39">Inputs!#REF!</definedName>
    <definedName name="Overhead_walkway__SM" localSheetId="38">Inputs!#REF!</definedName>
    <definedName name="Overhead_walkway__SM" localSheetId="44">Inputs!#REF!</definedName>
    <definedName name="Overhead_walkway__SM" localSheetId="41">Inputs!#REF!</definedName>
    <definedName name="Overhead_walkway__SM" localSheetId="43">Inputs!#REF!</definedName>
    <definedName name="Overhead_walkway__SM" localSheetId="42">Inputs!#REF!</definedName>
    <definedName name="Overhead_walkway__SM" localSheetId="48">Inputs!#REF!</definedName>
    <definedName name="Overhead_walkway__SM" localSheetId="45">Inputs!#REF!</definedName>
    <definedName name="Overhead_walkway__SM" localSheetId="47">Inputs!#REF!</definedName>
    <definedName name="Overhead_walkway__SM" localSheetId="46">Inputs!#REF!</definedName>
    <definedName name="Overhead_walkway__SM" localSheetId="3">Inputs!#REF!</definedName>
    <definedName name="Overhead_walkway__SM" localSheetId="4">Inputs!#REF!</definedName>
    <definedName name="Overhead_walkway__SM" localSheetId="8">Inputs!#REF!</definedName>
    <definedName name="Overhead_walkway__SM" localSheetId="5">Inputs!#REF!</definedName>
    <definedName name="Overhead_walkway__SM" localSheetId="7">Inputs!#REF!</definedName>
    <definedName name="Overhead_walkway__SM" localSheetId="6">Inputs!#REF!</definedName>
    <definedName name="Overhead_walkway__SM" localSheetId="12">Inputs!#REF!</definedName>
    <definedName name="Overhead_walkway__SM" localSheetId="9">Inputs!#REF!</definedName>
    <definedName name="Overhead_walkway__SM" localSheetId="11">Inputs!#REF!</definedName>
    <definedName name="Overhead_walkway__SM" localSheetId="10">Inputs!#REF!</definedName>
    <definedName name="Overhead_walkway__SM" localSheetId="16">Inputs!#REF!</definedName>
    <definedName name="Overhead_walkway__SM" localSheetId="13">Inputs!#REF!</definedName>
    <definedName name="Overhead_walkway__SM" localSheetId="15">Inputs!#REF!</definedName>
    <definedName name="Overhead_walkway__SM" localSheetId="14">Inputs!#REF!</definedName>
    <definedName name="Overhead_walkway__SM" localSheetId="20">Inputs!#REF!</definedName>
    <definedName name="Overhead_walkway__SM" localSheetId="17">Inputs!#REF!</definedName>
    <definedName name="Overhead_walkway__SM" localSheetId="19">Inputs!#REF!</definedName>
    <definedName name="Overhead_walkway__SM" localSheetId="18">Inputs!#REF!</definedName>
    <definedName name="Overhead_walkway__SM" localSheetId="24">Inputs!#REF!</definedName>
    <definedName name="Overhead_walkway__SM" localSheetId="21">Inputs!#REF!</definedName>
    <definedName name="Overhead_walkway__SM" localSheetId="23">Inputs!#REF!</definedName>
    <definedName name="Overhead_walkway__SM" localSheetId="22">Inputs!#REF!</definedName>
    <definedName name="Overhead_walkway__SM" localSheetId="52">Inputs!#REF!</definedName>
    <definedName name="Overhead_walkway__SM" localSheetId="53">Inputs!#REF!</definedName>
    <definedName name="Overhead_walkway__SM">Inputs!#REF!</definedName>
    <definedName name="Parking__hourly" localSheetId="58">Inputs!#REF!</definedName>
    <definedName name="Parking__hourly">Inputs!#REF!</definedName>
    <definedName name="Passenger_growth_after_2033">Inputs!$B$10</definedName>
    <definedName name="Passenger_growth_rate_after_2025">Inputs!$B$10</definedName>
    <definedName name="Passenger_screening" localSheetId="26">Inputs!#REF!</definedName>
    <definedName name="Passenger_screening" localSheetId="58">Inputs!#REF!</definedName>
    <definedName name="Passenger_screening" localSheetId="50">Inputs!#REF!</definedName>
    <definedName name="Passenger_screening" localSheetId="27">Inputs!#REF!</definedName>
    <definedName name="Passenger_screening" localSheetId="28">Inputs!#REF!</definedName>
    <definedName name="Passenger_screening" localSheetId="32">Inputs!#REF!</definedName>
    <definedName name="Passenger_screening" localSheetId="29">Inputs!#REF!</definedName>
    <definedName name="Passenger_screening" localSheetId="31">Inputs!#REF!</definedName>
    <definedName name="Passenger_screening" localSheetId="30">Inputs!#REF!</definedName>
    <definedName name="Passenger_screening" localSheetId="36">Inputs!#REF!</definedName>
    <definedName name="Passenger_screening" localSheetId="33">Inputs!#REF!</definedName>
    <definedName name="Passenger_screening" localSheetId="35">Inputs!#REF!</definedName>
    <definedName name="Passenger_screening" localSheetId="34">Inputs!#REF!</definedName>
    <definedName name="Passenger_screening" localSheetId="40">Inputs!#REF!</definedName>
    <definedName name="Passenger_screening" localSheetId="37">Inputs!#REF!</definedName>
    <definedName name="Passenger_screening" localSheetId="39">Inputs!#REF!</definedName>
    <definedName name="Passenger_screening" localSheetId="38">Inputs!#REF!</definedName>
    <definedName name="Passenger_screening" localSheetId="44">Inputs!#REF!</definedName>
    <definedName name="Passenger_screening" localSheetId="41">Inputs!#REF!</definedName>
    <definedName name="Passenger_screening" localSheetId="43">Inputs!#REF!</definedName>
    <definedName name="Passenger_screening" localSheetId="42">Inputs!#REF!</definedName>
    <definedName name="Passenger_screening" localSheetId="48">Inputs!#REF!</definedName>
    <definedName name="Passenger_screening" localSheetId="45">Inputs!#REF!</definedName>
    <definedName name="Passenger_screening" localSheetId="47">Inputs!#REF!</definedName>
    <definedName name="Passenger_screening" localSheetId="46">Inputs!#REF!</definedName>
    <definedName name="Passenger_screening" localSheetId="3">Inputs!#REF!</definedName>
    <definedName name="Passenger_screening" localSheetId="4">Inputs!#REF!</definedName>
    <definedName name="Passenger_screening" localSheetId="8">Inputs!#REF!</definedName>
    <definedName name="Passenger_screening" localSheetId="5">Inputs!#REF!</definedName>
    <definedName name="Passenger_screening" localSheetId="7">Inputs!#REF!</definedName>
    <definedName name="Passenger_screening" localSheetId="6">Inputs!#REF!</definedName>
    <definedName name="Passenger_screening" localSheetId="12">Inputs!#REF!</definedName>
    <definedName name="Passenger_screening" localSheetId="9">Inputs!#REF!</definedName>
    <definedName name="Passenger_screening" localSheetId="11">Inputs!#REF!</definedName>
    <definedName name="Passenger_screening" localSheetId="10">Inputs!#REF!</definedName>
    <definedName name="Passenger_screening" localSheetId="16">Inputs!#REF!</definedName>
    <definedName name="Passenger_screening" localSheetId="13">Inputs!#REF!</definedName>
    <definedName name="Passenger_screening" localSheetId="15">Inputs!#REF!</definedName>
    <definedName name="Passenger_screening" localSheetId="14">Inputs!#REF!</definedName>
    <definedName name="Passenger_screening" localSheetId="20">Inputs!#REF!</definedName>
    <definedName name="Passenger_screening" localSheetId="17">Inputs!#REF!</definedName>
    <definedName name="Passenger_screening" localSheetId="19">Inputs!#REF!</definedName>
    <definedName name="Passenger_screening" localSheetId="18">Inputs!#REF!</definedName>
    <definedName name="Passenger_screening" localSheetId="24">Inputs!#REF!</definedName>
    <definedName name="Passenger_screening" localSheetId="21">Inputs!#REF!</definedName>
    <definedName name="Passenger_screening" localSheetId="23">Inputs!#REF!</definedName>
    <definedName name="Passenger_screening" localSheetId="22">Inputs!#REF!</definedName>
    <definedName name="Passenger_screening" localSheetId="52">Inputs!#REF!</definedName>
    <definedName name="Passenger_screening" localSheetId="53">Inputs!#REF!</definedName>
    <definedName name="Passenger_screening">Inputs!#REF!</definedName>
    <definedName name="Passenger_security__per_passenger" localSheetId="26">Inputs!#REF!</definedName>
    <definedName name="Passenger_security__per_passenger" localSheetId="58">Inputs!#REF!</definedName>
    <definedName name="Passenger_security__per_passenger" localSheetId="50">Inputs!#REF!</definedName>
    <definedName name="Passenger_security__per_passenger" localSheetId="27">Inputs!#REF!</definedName>
    <definedName name="Passenger_security__per_passenger" localSheetId="28">Inputs!#REF!</definedName>
    <definedName name="Passenger_security__per_passenger" localSheetId="32">Inputs!#REF!</definedName>
    <definedName name="Passenger_security__per_passenger" localSheetId="29">Inputs!#REF!</definedName>
    <definedName name="Passenger_security__per_passenger" localSheetId="31">Inputs!#REF!</definedName>
    <definedName name="Passenger_security__per_passenger" localSheetId="30">Inputs!#REF!</definedName>
    <definedName name="Passenger_security__per_passenger" localSheetId="36">Inputs!#REF!</definedName>
    <definedName name="Passenger_security__per_passenger" localSheetId="33">Inputs!#REF!</definedName>
    <definedName name="Passenger_security__per_passenger" localSheetId="35">Inputs!#REF!</definedName>
    <definedName name="Passenger_security__per_passenger" localSheetId="34">Inputs!#REF!</definedName>
    <definedName name="Passenger_security__per_passenger" localSheetId="40">Inputs!#REF!</definedName>
    <definedName name="Passenger_security__per_passenger" localSheetId="37">Inputs!#REF!</definedName>
    <definedName name="Passenger_security__per_passenger" localSheetId="39">Inputs!#REF!</definedName>
    <definedName name="Passenger_security__per_passenger" localSheetId="38">Inputs!#REF!</definedName>
    <definedName name="Passenger_security__per_passenger" localSheetId="44">Inputs!#REF!</definedName>
    <definedName name="Passenger_security__per_passenger" localSheetId="41">Inputs!#REF!</definedName>
    <definedName name="Passenger_security__per_passenger" localSheetId="43">Inputs!#REF!</definedName>
    <definedName name="Passenger_security__per_passenger" localSheetId="42">Inputs!#REF!</definedName>
    <definedName name="Passenger_security__per_passenger" localSheetId="48">Inputs!#REF!</definedName>
    <definedName name="Passenger_security__per_passenger" localSheetId="45">Inputs!#REF!</definedName>
    <definedName name="Passenger_security__per_passenger" localSheetId="47">Inputs!#REF!</definedName>
    <definedName name="Passenger_security__per_passenger" localSheetId="46">Inputs!#REF!</definedName>
    <definedName name="Passenger_security__per_passenger" localSheetId="3">Inputs!#REF!</definedName>
    <definedName name="Passenger_security__per_passenger" localSheetId="4">Inputs!#REF!</definedName>
    <definedName name="Passenger_security__per_passenger" localSheetId="8">Inputs!#REF!</definedName>
    <definedName name="Passenger_security__per_passenger" localSheetId="5">Inputs!#REF!</definedName>
    <definedName name="Passenger_security__per_passenger" localSheetId="7">Inputs!#REF!</definedName>
    <definedName name="Passenger_security__per_passenger" localSheetId="6">Inputs!#REF!</definedName>
    <definedName name="Passenger_security__per_passenger" localSheetId="12">Inputs!#REF!</definedName>
    <definedName name="Passenger_security__per_passenger" localSheetId="9">Inputs!#REF!</definedName>
    <definedName name="Passenger_security__per_passenger" localSheetId="11">Inputs!#REF!</definedName>
    <definedName name="Passenger_security__per_passenger" localSheetId="10">Inputs!#REF!</definedName>
    <definedName name="Passenger_security__per_passenger" localSheetId="16">Inputs!#REF!</definedName>
    <definedName name="Passenger_security__per_passenger" localSheetId="13">Inputs!#REF!</definedName>
    <definedName name="Passenger_security__per_passenger" localSheetId="15">Inputs!#REF!</definedName>
    <definedName name="Passenger_security__per_passenger" localSheetId="14">Inputs!#REF!</definedName>
    <definedName name="Passenger_security__per_passenger" localSheetId="20">Inputs!#REF!</definedName>
    <definedName name="Passenger_security__per_passenger" localSheetId="17">Inputs!#REF!</definedName>
    <definedName name="Passenger_security__per_passenger" localSheetId="19">Inputs!#REF!</definedName>
    <definedName name="Passenger_security__per_passenger" localSheetId="18">Inputs!#REF!</definedName>
    <definedName name="Passenger_security__per_passenger" localSheetId="24">Inputs!#REF!</definedName>
    <definedName name="Passenger_security__per_passenger" localSheetId="21">Inputs!#REF!</definedName>
    <definedName name="Passenger_security__per_passenger" localSheetId="23">Inputs!#REF!</definedName>
    <definedName name="Passenger_security__per_passenger" localSheetId="22">Inputs!#REF!</definedName>
    <definedName name="Passenger_security__per_passenger" localSheetId="52">Inputs!#REF!</definedName>
    <definedName name="Passenger_security__per_passenger" localSheetId="53">Inputs!#REF!</definedName>
    <definedName name="Passenger_security__per_passenger">Inputs!#REF!</definedName>
    <definedName name="Passengers_per_counter">Inputs!$E$80</definedName>
    <definedName name="Pavement__SM">Inputs!$B$76</definedName>
    <definedName name="Pedestrian_bridge" localSheetId="26">Inputs!#REF!</definedName>
    <definedName name="Pedestrian_bridge" localSheetId="58">Inputs!#REF!</definedName>
    <definedName name="Pedestrian_bridge" localSheetId="50">Inputs!#REF!</definedName>
    <definedName name="Pedestrian_bridge" localSheetId="27">Inputs!#REF!</definedName>
    <definedName name="Pedestrian_bridge" localSheetId="28">Inputs!#REF!</definedName>
    <definedName name="Pedestrian_bridge" localSheetId="32">Inputs!#REF!</definedName>
    <definedName name="Pedestrian_bridge" localSheetId="29">Inputs!#REF!</definedName>
    <definedName name="Pedestrian_bridge" localSheetId="31">Inputs!#REF!</definedName>
    <definedName name="Pedestrian_bridge" localSheetId="30">Inputs!#REF!</definedName>
    <definedName name="Pedestrian_bridge" localSheetId="36">Inputs!#REF!</definedName>
    <definedName name="Pedestrian_bridge" localSheetId="33">Inputs!#REF!</definedName>
    <definedName name="Pedestrian_bridge" localSheetId="35">Inputs!#REF!</definedName>
    <definedName name="Pedestrian_bridge" localSheetId="34">Inputs!#REF!</definedName>
    <definedName name="Pedestrian_bridge" localSheetId="40">Inputs!#REF!</definedName>
    <definedName name="Pedestrian_bridge" localSheetId="37">Inputs!#REF!</definedName>
    <definedName name="Pedestrian_bridge" localSheetId="39">Inputs!#REF!</definedName>
    <definedName name="Pedestrian_bridge" localSheetId="38">Inputs!#REF!</definedName>
    <definedName name="Pedestrian_bridge" localSheetId="44">Inputs!#REF!</definedName>
    <definedName name="Pedestrian_bridge" localSheetId="41">Inputs!#REF!</definedName>
    <definedName name="Pedestrian_bridge" localSheetId="43">Inputs!#REF!</definedName>
    <definedName name="Pedestrian_bridge" localSheetId="42">Inputs!#REF!</definedName>
    <definedName name="Pedestrian_bridge" localSheetId="48">Inputs!#REF!</definedName>
    <definedName name="Pedestrian_bridge" localSheetId="45">Inputs!#REF!</definedName>
    <definedName name="Pedestrian_bridge" localSheetId="47">Inputs!#REF!</definedName>
    <definedName name="Pedestrian_bridge" localSheetId="46">Inputs!#REF!</definedName>
    <definedName name="Pedestrian_bridge" localSheetId="3">Inputs!#REF!</definedName>
    <definedName name="Pedestrian_bridge" localSheetId="4">Inputs!#REF!</definedName>
    <definedName name="Pedestrian_bridge" localSheetId="8">Inputs!#REF!</definedName>
    <definedName name="Pedestrian_bridge" localSheetId="5">Inputs!#REF!</definedName>
    <definedName name="Pedestrian_bridge" localSheetId="7">Inputs!#REF!</definedName>
    <definedName name="Pedestrian_bridge" localSheetId="6">Inputs!#REF!</definedName>
    <definedName name="Pedestrian_bridge" localSheetId="12">Inputs!#REF!</definedName>
    <definedName name="Pedestrian_bridge" localSheetId="9">Inputs!#REF!</definedName>
    <definedName name="Pedestrian_bridge" localSheetId="11">Inputs!#REF!</definedName>
    <definedName name="Pedestrian_bridge" localSheetId="10">Inputs!#REF!</definedName>
    <definedName name="Pedestrian_bridge" localSheetId="16">Inputs!#REF!</definedName>
    <definedName name="Pedestrian_bridge" localSheetId="13">Inputs!#REF!</definedName>
    <definedName name="Pedestrian_bridge" localSheetId="15">Inputs!#REF!</definedName>
    <definedName name="Pedestrian_bridge" localSheetId="14">Inputs!#REF!</definedName>
    <definedName name="Pedestrian_bridge" localSheetId="20">Inputs!#REF!</definedName>
    <definedName name="Pedestrian_bridge" localSheetId="17">Inputs!#REF!</definedName>
    <definedName name="Pedestrian_bridge" localSheetId="19">Inputs!#REF!</definedName>
    <definedName name="Pedestrian_bridge" localSheetId="18">Inputs!#REF!</definedName>
    <definedName name="Pedestrian_bridge" localSheetId="24">Inputs!#REF!</definedName>
    <definedName name="Pedestrian_bridge" localSheetId="21">Inputs!#REF!</definedName>
    <definedName name="Pedestrian_bridge" localSheetId="23">Inputs!#REF!</definedName>
    <definedName name="Pedestrian_bridge" localSheetId="22">Inputs!#REF!</definedName>
    <definedName name="Pedestrian_bridge" localSheetId="52">Inputs!#REF!</definedName>
    <definedName name="Pedestrian_bridge" localSheetId="53">Inputs!#REF!</definedName>
    <definedName name="Pedestrian_bridge">Inputs!#REF!</definedName>
    <definedName name="People_per_car" localSheetId="58">Inputs!#REF!</definedName>
    <definedName name="People_per_car">Inputs!#REF!</definedName>
    <definedName name="Percent_of_passengers_parking" localSheetId="58">Inputs!#REF!</definedName>
    <definedName name="Percent_of_passengers_parking">Inputs!#REF!</definedName>
    <definedName name="Pier_demolition__CM" localSheetId="58">Inputs!#REF!</definedName>
    <definedName name="Pier_demolition__CM">Inputs!#REF!</definedName>
    <definedName name="Plaza__SM" localSheetId="26">Inputs!#REF!</definedName>
    <definedName name="Plaza__SM" localSheetId="58">Inputs!#REF!</definedName>
    <definedName name="Plaza__SM" localSheetId="50">Inputs!#REF!</definedName>
    <definedName name="Plaza__SM" localSheetId="27">Inputs!#REF!</definedName>
    <definedName name="Plaza__SM" localSheetId="28">Inputs!#REF!</definedName>
    <definedName name="Plaza__SM" localSheetId="32">Inputs!#REF!</definedName>
    <definedName name="Plaza__SM" localSheetId="29">Inputs!#REF!</definedName>
    <definedName name="Plaza__SM" localSheetId="31">Inputs!#REF!</definedName>
    <definedName name="Plaza__SM" localSheetId="30">Inputs!#REF!</definedName>
    <definedName name="Plaza__SM" localSheetId="36">Inputs!#REF!</definedName>
    <definedName name="Plaza__SM" localSheetId="33">Inputs!#REF!</definedName>
    <definedName name="Plaza__SM" localSheetId="35">Inputs!#REF!</definedName>
    <definedName name="Plaza__SM" localSheetId="34">Inputs!#REF!</definedName>
    <definedName name="Plaza__SM" localSheetId="40">Inputs!#REF!</definedName>
    <definedName name="Plaza__SM" localSheetId="37">Inputs!#REF!</definedName>
    <definedName name="Plaza__SM" localSheetId="39">Inputs!#REF!</definedName>
    <definedName name="Plaza__SM" localSheetId="38">Inputs!#REF!</definedName>
    <definedName name="Plaza__SM" localSheetId="44">Inputs!#REF!</definedName>
    <definedName name="Plaza__SM" localSheetId="41">Inputs!#REF!</definedName>
    <definedName name="Plaza__SM" localSheetId="43">Inputs!#REF!</definedName>
    <definedName name="Plaza__SM" localSheetId="42">Inputs!#REF!</definedName>
    <definedName name="Plaza__SM" localSheetId="48">Inputs!#REF!</definedName>
    <definedName name="Plaza__SM" localSheetId="45">Inputs!#REF!</definedName>
    <definedName name="Plaza__SM" localSheetId="47">Inputs!#REF!</definedName>
    <definedName name="Plaza__SM" localSheetId="46">Inputs!#REF!</definedName>
    <definedName name="Plaza__SM" localSheetId="3">Inputs!#REF!</definedName>
    <definedName name="Plaza__SM" localSheetId="4">Inputs!#REF!</definedName>
    <definedName name="Plaza__SM" localSheetId="8">Inputs!#REF!</definedName>
    <definedName name="Plaza__SM" localSheetId="5">Inputs!#REF!</definedName>
    <definedName name="Plaza__SM" localSheetId="7">Inputs!#REF!</definedName>
    <definedName name="Plaza__SM" localSheetId="6">Inputs!#REF!</definedName>
    <definedName name="Plaza__SM" localSheetId="12">Inputs!#REF!</definedName>
    <definedName name="Plaza__SM" localSheetId="9">Inputs!#REF!</definedName>
    <definedName name="Plaza__SM" localSheetId="11">Inputs!#REF!</definedName>
    <definedName name="Plaza__SM" localSheetId="10">Inputs!#REF!</definedName>
    <definedName name="Plaza__SM" localSheetId="16">Inputs!#REF!</definedName>
    <definedName name="Plaza__SM" localSheetId="13">Inputs!#REF!</definedName>
    <definedName name="Plaza__SM" localSheetId="15">Inputs!#REF!</definedName>
    <definedName name="Plaza__SM" localSheetId="14">Inputs!#REF!</definedName>
    <definedName name="Plaza__SM" localSheetId="20">Inputs!#REF!</definedName>
    <definedName name="Plaza__SM" localSheetId="17">Inputs!#REF!</definedName>
    <definedName name="Plaza__SM" localSheetId="19">Inputs!#REF!</definedName>
    <definedName name="Plaza__SM" localSheetId="18">Inputs!#REF!</definedName>
    <definedName name="Plaza__SM" localSheetId="24">Inputs!#REF!</definedName>
    <definedName name="Plaza__SM" localSheetId="21">Inputs!#REF!</definedName>
    <definedName name="Plaza__SM" localSheetId="23">Inputs!#REF!</definedName>
    <definedName name="Plaza__SM" localSheetId="22">Inputs!#REF!</definedName>
    <definedName name="Plaza__SM" localSheetId="52">Inputs!#REF!</definedName>
    <definedName name="Plaza__SM" localSheetId="53">Inputs!#REF!</definedName>
    <definedName name="Plaza__SM">Inputs!#REF!</definedName>
    <definedName name="Porter">Inputs!$B$65</definedName>
    <definedName name="Porter_hours_per_call">Inputs!$E$78</definedName>
    <definedName name="Porters__per_hour" localSheetId="26">Inputs!#REF!</definedName>
    <definedName name="Porters__per_hour" localSheetId="58">Inputs!#REF!</definedName>
    <definedName name="Porters__per_hour" localSheetId="51">Inputs!#REF!</definedName>
    <definedName name="Porters__per_hour" localSheetId="50">Inputs!#REF!</definedName>
    <definedName name="Porters__per_hour" localSheetId="27">Inputs!#REF!</definedName>
    <definedName name="Porters__per_hour" localSheetId="28">Inputs!#REF!</definedName>
    <definedName name="Porters__per_hour" localSheetId="32">Inputs!#REF!</definedName>
    <definedName name="Porters__per_hour" localSheetId="29">Inputs!#REF!</definedName>
    <definedName name="Porters__per_hour" localSheetId="31">Inputs!#REF!</definedName>
    <definedName name="Porters__per_hour" localSheetId="30">Inputs!#REF!</definedName>
    <definedName name="Porters__per_hour" localSheetId="36">Inputs!#REF!</definedName>
    <definedName name="Porters__per_hour" localSheetId="33">Inputs!#REF!</definedName>
    <definedName name="Porters__per_hour" localSheetId="35">Inputs!#REF!</definedName>
    <definedName name="Porters__per_hour" localSheetId="34">Inputs!#REF!</definedName>
    <definedName name="Porters__per_hour" localSheetId="40">Inputs!#REF!</definedName>
    <definedName name="Porters__per_hour" localSheetId="37">Inputs!#REF!</definedName>
    <definedName name="Porters__per_hour" localSheetId="39">Inputs!#REF!</definedName>
    <definedName name="Porters__per_hour" localSheetId="38">Inputs!#REF!</definedName>
    <definedName name="Porters__per_hour" localSheetId="44">Inputs!#REF!</definedName>
    <definedName name="Porters__per_hour" localSheetId="41">Inputs!#REF!</definedName>
    <definedName name="Porters__per_hour" localSheetId="43">Inputs!#REF!</definedName>
    <definedName name="Porters__per_hour" localSheetId="42">Inputs!#REF!</definedName>
    <definedName name="Porters__per_hour" localSheetId="48">Inputs!#REF!</definedName>
    <definedName name="Porters__per_hour" localSheetId="45">Inputs!#REF!</definedName>
    <definedName name="Porters__per_hour" localSheetId="47">Inputs!#REF!</definedName>
    <definedName name="Porters__per_hour" localSheetId="46">Inputs!#REF!</definedName>
    <definedName name="Porters__per_hour" localSheetId="3">Inputs!#REF!</definedName>
    <definedName name="Porters__per_hour" localSheetId="4">Inputs!#REF!</definedName>
    <definedName name="Porters__per_hour" localSheetId="8">Inputs!#REF!</definedName>
    <definedName name="Porters__per_hour" localSheetId="5">Inputs!#REF!</definedName>
    <definedName name="Porters__per_hour" localSheetId="7">Inputs!#REF!</definedName>
    <definedName name="Porters__per_hour" localSheetId="6">Inputs!#REF!</definedName>
    <definedName name="Porters__per_hour" localSheetId="12">Inputs!#REF!</definedName>
    <definedName name="Porters__per_hour" localSheetId="9">Inputs!#REF!</definedName>
    <definedName name="Porters__per_hour" localSheetId="11">Inputs!#REF!</definedName>
    <definedName name="Porters__per_hour" localSheetId="10">Inputs!#REF!</definedName>
    <definedName name="Porters__per_hour" localSheetId="16">Inputs!#REF!</definedName>
    <definedName name="Porters__per_hour" localSheetId="13">Inputs!#REF!</definedName>
    <definedName name="Porters__per_hour" localSheetId="15">Inputs!#REF!</definedName>
    <definedName name="Porters__per_hour" localSheetId="14">Inputs!#REF!</definedName>
    <definedName name="Porters__per_hour" localSheetId="20">Inputs!#REF!</definedName>
    <definedName name="Porters__per_hour" localSheetId="17">Inputs!#REF!</definedName>
    <definedName name="Porters__per_hour" localSheetId="19">Inputs!#REF!</definedName>
    <definedName name="Porters__per_hour" localSheetId="18">Inputs!#REF!</definedName>
    <definedName name="Porters__per_hour" localSheetId="24">Inputs!#REF!</definedName>
    <definedName name="Porters__per_hour" localSheetId="21">Inputs!#REF!</definedName>
    <definedName name="Porters__per_hour" localSheetId="23">Inputs!#REF!</definedName>
    <definedName name="Porters__per_hour" localSheetId="22">Inputs!#REF!</definedName>
    <definedName name="Porters__per_hour" localSheetId="52">Inputs!#REF!</definedName>
    <definedName name="Porters__per_hour" localSheetId="53">Inputs!#REF!</definedName>
    <definedName name="Porters__per_hour">Inputs!#REF!</definedName>
    <definedName name="Practical_cruise_berth_occupancy">Inputs!$B$11</definedName>
    <definedName name="_xlnm.Print_Area" localSheetId="26">#REF!</definedName>
    <definedName name="_xlnm.Print_Area" localSheetId="58">#REF!</definedName>
    <definedName name="_xlnm.Print_Area" localSheetId="51">#REF!</definedName>
    <definedName name="_xlnm.Print_Area" localSheetId="50">#REF!</definedName>
    <definedName name="_xlnm.Print_Area" localSheetId="27">#REF!</definedName>
    <definedName name="_xlnm.Print_Area" localSheetId="28">#REF!</definedName>
    <definedName name="_xlnm.Print_Area" localSheetId="32">#REF!</definedName>
    <definedName name="_xlnm.Print_Area" localSheetId="29">#REF!</definedName>
    <definedName name="_xlnm.Print_Area" localSheetId="31">#REF!</definedName>
    <definedName name="_xlnm.Print_Area" localSheetId="30">#REF!</definedName>
    <definedName name="_xlnm.Print_Area" localSheetId="36">#REF!</definedName>
    <definedName name="_xlnm.Print_Area" localSheetId="33">#REF!</definedName>
    <definedName name="_xlnm.Print_Area" localSheetId="35">#REF!</definedName>
    <definedName name="_xlnm.Print_Area" localSheetId="34">#REF!</definedName>
    <definedName name="_xlnm.Print_Area" localSheetId="40">#REF!</definedName>
    <definedName name="_xlnm.Print_Area" localSheetId="37">#REF!</definedName>
    <definedName name="_xlnm.Print_Area" localSheetId="39">#REF!</definedName>
    <definedName name="_xlnm.Print_Area" localSheetId="38">#REF!</definedName>
    <definedName name="_xlnm.Print_Area" localSheetId="44">#REF!</definedName>
    <definedName name="_xlnm.Print_Area" localSheetId="41">#REF!</definedName>
    <definedName name="_xlnm.Print_Area" localSheetId="43">#REF!</definedName>
    <definedName name="_xlnm.Print_Area" localSheetId="42">#REF!</definedName>
    <definedName name="_xlnm.Print_Area" localSheetId="48">#REF!</definedName>
    <definedName name="_xlnm.Print_Area" localSheetId="45">#REF!</definedName>
    <definedName name="_xlnm.Print_Area" localSheetId="47">#REF!</definedName>
    <definedName name="_xlnm.Print_Area" localSheetId="46">#REF!</definedName>
    <definedName name="_xlnm.Print_Area" localSheetId="3">#REF!</definedName>
    <definedName name="_xlnm.Print_Area" localSheetId="4">#REF!</definedName>
    <definedName name="_xlnm.Print_Area" localSheetId="8">#REF!</definedName>
    <definedName name="_xlnm.Print_Area" localSheetId="5">#REF!</definedName>
    <definedName name="_xlnm.Print_Area" localSheetId="7">#REF!</definedName>
    <definedName name="_xlnm.Print_Area" localSheetId="6">#REF!</definedName>
    <definedName name="_xlnm.Print_Area" localSheetId="12">#REF!</definedName>
    <definedName name="_xlnm.Print_Area" localSheetId="9">#REF!</definedName>
    <definedName name="_xlnm.Print_Area" localSheetId="11">#REF!</definedName>
    <definedName name="_xlnm.Print_Area" localSheetId="10">#REF!</definedName>
    <definedName name="_xlnm.Print_Area" localSheetId="16">#REF!</definedName>
    <definedName name="_xlnm.Print_Area" localSheetId="13">#REF!</definedName>
    <definedName name="_xlnm.Print_Area" localSheetId="15">#REF!</definedName>
    <definedName name="_xlnm.Print_Area" localSheetId="14">#REF!</definedName>
    <definedName name="_xlnm.Print_Area" localSheetId="20">#REF!</definedName>
    <definedName name="_xlnm.Print_Area" localSheetId="17">#REF!</definedName>
    <definedName name="_xlnm.Print_Area" localSheetId="19">#REF!</definedName>
    <definedName name="_xlnm.Print_Area" localSheetId="18">#REF!</definedName>
    <definedName name="_xlnm.Print_Area" localSheetId="24">#REF!</definedName>
    <definedName name="_xlnm.Print_Area" localSheetId="21">#REF!</definedName>
    <definedName name="_xlnm.Print_Area" localSheetId="23">#REF!</definedName>
    <definedName name="_xlnm.Print_Area" localSheetId="22">#REF!</definedName>
    <definedName name="_xlnm.Print_Area" localSheetId="52">#REF!</definedName>
    <definedName name="_xlnm.Print_Area" localSheetId="53">#REF!</definedName>
    <definedName name="_xlnm.Print_Area">#REF!</definedName>
    <definedName name="_xlnm.Print_Titles">#N/A</definedName>
    <definedName name="Property_insurance_premiums____value" localSheetId="58">Inputs!#REF!</definedName>
    <definedName name="Property_insurance_premiums____value">Inputs!#REF!</definedName>
    <definedName name="Property_Mangement_fee" localSheetId="26">Inputs!#REF!</definedName>
    <definedName name="Property_Mangement_fee" localSheetId="58">Inputs!#REF!</definedName>
    <definedName name="Property_Mangement_fee" localSheetId="51">Inputs!#REF!</definedName>
    <definedName name="Property_Mangement_fee" localSheetId="50">Inputs!#REF!</definedName>
    <definedName name="Property_Mangement_fee" localSheetId="27">Inputs!#REF!</definedName>
    <definedName name="Property_Mangement_fee" localSheetId="28">Inputs!#REF!</definedName>
    <definedName name="Property_Mangement_fee" localSheetId="32">Inputs!#REF!</definedName>
    <definedName name="Property_Mangement_fee" localSheetId="29">Inputs!#REF!</definedName>
    <definedName name="Property_Mangement_fee" localSheetId="31">Inputs!#REF!</definedName>
    <definedName name="Property_Mangement_fee" localSheetId="30">Inputs!#REF!</definedName>
    <definedName name="Property_Mangement_fee" localSheetId="36">Inputs!#REF!</definedName>
    <definedName name="Property_Mangement_fee" localSheetId="33">Inputs!#REF!</definedName>
    <definedName name="Property_Mangement_fee" localSheetId="35">Inputs!#REF!</definedName>
    <definedName name="Property_Mangement_fee" localSheetId="34">Inputs!#REF!</definedName>
    <definedName name="Property_Mangement_fee" localSheetId="40">Inputs!#REF!</definedName>
    <definedName name="Property_Mangement_fee" localSheetId="37">Inputs!#REF!</definedName>
    <definedName name="Property_Mangement_fee" localSheetId="39">Inputs!#REF!</definedName>
    <definedName name="Property_Mangement_fee" localSheetId="38">Inputs!#REF!</definedName>
    <definedName name="Property_Mangement_fee" localSheetId="44">Inputs!#REF!</definedName>
    <definedName name="Property_Mangement_fee" localSheetId="41">Inputs!#REF!</definedName>
    <definedName name="Property_Mangement_fee" localSheetId="43">Inputs!#REF!</definedName>
    <definedName name="Property_Mangement_fee" localSheetId="42">Inputs!#REF!</definedName>
    <definedName name="Property_Mangement_fee" localSheetId="48">Inputs!#REF!</definedName>
    <definedName name="Property_Mangement_fee" localSheetId="45">Inputs!#REF!</definedName>
    <definedName name="Property_Mangement_fee" localSheetId="47">Inputs!#REF!</definedName>
    <definedName name="Property_Mangement_fee" localSheetId="46">Inputs!#REF!</definedName>
    <definedName name="Property_Mangement_fee" localSheetId="3">Inputs!#REF!</definedName>
    <definedName name="Property_Mangement_fee" localSheetId="4">Inputs!#REF!</definedName>
    <definedName name="Property_Mangement_fee" localSheetId="8">Inputs!#REF!</definedName>
    <definedName name="Property_Mangement_fee" localSheetId="5">Inputs!#REF!</definedName>
    <definedName name="Property_Mangement_fee" localSheetId="7">Inputs!#REF!</definedName>
    <definedName name="Property_Mangement_fee" localSheetId="6">Inputs!#REF!</definedName>
    <definedName name="Property_Mangement_fee" localSheetId="12">Inputs!#REF!</definedName>
    <definedName name="Property_Mangement_fee" localSheetId="9">Inputs!#REF!</definedName>
    <definedName name="Property_Mangement_fee" localSheetId="11">Inputs!#REF!</definedName>
    <definedName name="Property_Mangement_fee" localSheetId="10">Inputs!#REF!</definedName>
    <definedName name="Property_Mangement_fee" localSheetId="16">Inputs!#REF!</definedName>
    <definedName name="Property_Mangement_fee" localSheetId="13">Inputs!#REF!</definedName>
    <definedName name="Property_Mangement_fee" localSheetId="15">Inputs!#REF!</definedName>
    <definedName name="Property_Mangement_fee" localSheetId="14">Inputs!#REF!</definedName>
    <definedName name="Property_Mangement_fee" localSheetId="20">Inputs!#REF!</definedName>
    <definedName name="Property_Mangement_fee" localSheetId="17">Inputs!#REF!</definedName>
    <definedName name="Property_Mangement_fee" localSheetId="19">Inputs!#REF!</definedName>
    <definedName name="Property_Mangement_fee" localSheetId="18">Inputs!#REF!</definedName>
    <definedName name="Property_Mangement_fee" localSheetId="24">Inputs!#REF!</definedName>
    <definedName name="Property_Mangement_fee" localSheetId="21">Inputs!#REF!</definedName>
    <definedName name="Property_Mangement_fee" localSheetId="23">Inputs!#REF!</definedName>
    <definedName name="Property_Mangement_fee" localSheetId="22">Inputs!#REF!</definedName>
    <definedName name="Property_Mangement_fee" localSheetId="52">Inputs!#REF!</definedName>
    <definedName name="Property_Mangement_fee" localSheetId="53">Inputs!#REF!</definedName>
    <definedName name="Property_Mangement_fee">Inputs!#REF!</definedName>
    <definedName name="Property_value">Inputs!$E$67</definedName>
    <definedName name="PUB___Sewage_charges_per_cubic_meter">Inputs!$E$58</definedName>
    <definedName name="PUB___Water_charges_per_cubic_meter">Inputs!$E$56</definedName>
    <definedName name="Rate_of_cost_escalation">Inputs!$B$23</definedName>
    <definedName name="Rate_of_tariff_escalation">Inputs!$B$22</definedName>
    <definedName name="Relocation_of_powerline__EA" localSheetId="26">Inputs!#REF!</definedName>
    <definedName name="Relocation_of_powerline__EA" localSheetId="58">Inputs!#REF!</definedName>
    <definedName name="Relocation_of_powerline__EA" localSheetId="50">Inputs!#REF!</definedName>
    <definedName name="Relocation_of_powerline__EA" localSheetId="27">Inputs!#REF!</definedName>
    <definedName name="Relocation_of_powerline__EA" localSheetId="28">Inputs!#REF!</definedName>
    <definedName name="Relocation_of_powerline__EA" localSheetId="32">Inputs!#REF!</definedName>
    <definedName name="Relocation_of_powerline__EA" localSheetId="29">Inputs!#REF!</definedName>
    <definedName name="Relocation_of_powerline__EA" localSheetId="31">Inputs!#REF!</definedName>
    <definedName name="Relocation_of_powerline__EA" localSheetId="30">Inputs!#REF!</definedName>
    <definedName name="Relocation_of_powerline__EA" localSheetId="36">Inputs!#REF!</definedName>
    <definedName name="Relocation_of_powerline__EA" localSheetId="33">Inputs!#REF!</definedName>
    <definedName name="Relocation_of_powerline__EA" localSheetId="35">Inputs!#REF!</definedName>
    <definedName name="Relocation_of_powerline__EA" localSheetId="34">Inputs!#REF!</definedName>
    <definedName name="Relocation_of_powerline__EA" localSheetId="40">Inputs!#REF!</definedName>
    <definedName name="Relocation_of_powerline__EA" localSheetId="37">Inputs!#REF!</definedName>
    <definedName name="Relocation_of_powerline__EA" localSheetId="39">Inputs!#REF!</definedName>
    <definedName name="Relocation_of_powerline__EA" localSheetId="38">Inputs!#REF!</definedName>
    <definedName name="Relocation_of_powerline__EA" localSheetId="44">Inputs!#REF!</definedName>
    <definedName name="Relocation_of_powerline__EA" localSheetId="41">Inputs!#REF!</definedName>
    <definedName name="Relocation_of_powerline__EA" localSheetId="43">Inputs!#REF!</definedName>
    <definedName name="Relocation_of_powerline__EA" localSheetId="42">Inputs!#REF!</definedName>
    <definedName name="Relocation_of_powerline__EA" localSheetId="48">Inputs!#REF!</definedName>
    <definedName name="Relocation_of_powerline__EA" localSheetId="45">Inputs!#REF!</definedName>
    <definedName name="Relocation_of_powerline__EA" localSheetId="47">Inputs!#REF!</definedName>
    <definedName name="Relocation_of_powerline__EA" localSheetId="46">Inputs!#REF!</definedName>
    <definedName name="Relocation_of_powerline__EA" localSheetId="3">Inputs!#REF!</definedName>
    <definedName name="Relocation_of_powerline__EA" localSheetId="4">Inputs!#REF!</definedName>
    <definedName name="Relocation_of_powerline__EA" localSheetId="8">Inputs!#REF!</definedName>
    <definedName name="Relocation_of_powerline__EA" localSheetId="5">Inputs!#REF!</definedName>
    <definedName name="Relocation_of_powerline__EA" localSheetId="7">Inputs!#REF!</definedName>
    <definedName name="Relocation_of_powerline__EA" localSheetId="6">Inputs!#REF!</definedName>
    <definedName name="Relocation_of_powerline__EA" localSheetId="12">Inputs!#REF!</definedName>
    <definedName name="Relocation_of_powerline__EA" localSheetId="9">Inputs!#REF!</definedName>
    <definedName name="Relocation_of_powerline__EA" localSheetId="11">Inputs!#REF!</definedName>
    <definedName name="Relocation_of_powerline__EA" localSheetId="10">Inputs!#REF!</definedName>
    <definedName name="Relocation_of_powerline__EA" localSheetId="16">Inputs!#REF!</definedName>
    <definedName name="Relocation_of_powerline__EA" localSheetId="13">Inputs!#REF!</definedName>
    <definedName name="Relocation_of_powerline__EA" localSheetId="15">Inputs!#REF!</definedName>
    <definedName name="Relocation_of_powerline__EA" localSheetId="14">Inputs!#REF!</definedName>
    <definedName name="Relocation_of_powerline__EA" localSheetId="20">Inputs!#REF!</definedName>
    <definedName name="Relocation_of_powerline__EA" localSheetId="17">Inputs!#REF!</definedName>
    <definedName name="Relocation_of_powerline__EA" localSheetId="19">Inputs!#REF!</definedName>
    <definedName name="Relocation_of_powerline__EA" localSheetId="18">Inputs!#REF!</definedName>
    <definedName name="Relocation_of_powerline__EA" localSheetId="24">Inputs!#REF!</definedName>
    <definedName name="Relocation_of_powerline__EA" localSheetId="21">Inputs!#REF!</definedName>
    <definedName name="Relocation_of_powerline__EA" localSheetId="23">Inputs!#REF!</definedName>
    <definedName name="Relocation_of_powerline__EA" localSheetId="22">Inputs!#REF!</definedName>
    <definedName name="Relocation_of_powerline__EA" localSheetId="52">Inputs!#REF!</definedName>
    <definedName name="Relocation_of_powerline__EA" localSheetId="53">Inputs!#REF!</definedName>
    <definedName name="Relocation_of_powerline__EA">Inputs!#REF!</definedName>
    <definedName name="Rental_rate_for_terminal_secondary_uses__per_sm" localSheetId="58">Inputs!#REF!</definedName>
    <definedName name="Rental_rate_for_terminal_secondary_uses__per_sm">Inputs!#REF!</definedName>
    <definedName name="Secretary" localSheetId="26">Inputs!#REF!</definedName>
    <definedName name="Secretary" localSheetId="58">Inputs!#REF!</definedName>
    <definedName name="Secretary" localSheetId="50">Inputs!#REF!</definedName>
    <definedName name="Secretary" localSheetId="27">Inputs!#REF!</definedName>
    <definedName name="Secretary" localSheetId="28">Inputs!#REF!</definedName>
    <definedName name="Secretary" localSheetId="32">Inputs!#REF!</definedName>
    <definedName name="Secretary" localSheetId="29">Inputs!#REF!</definedName>
    <definedName name="Secretary" localSheetId="31">Inputs!#REF!</definedName>
    <definedName name="Secretary" localSheetId="30">Inputs!#REF!</definedName>
    <definedName name="Secretary" localSheetId="36">Inputs!#REF!</definedName>
    <definedName name="Secretary" localSheetId="33">Inputs!#REF!</definedName>
    <definedName name="Secretary" localSheetId="35">Inputs!#REF!</definedName>
    <definedName name="Secretary" localSheetId="34">Inputs!#REF!</definedName>
    <definedName name="Secretary" localSheetId="40">Inputs!#REF!</definedName>
    <definedName name="Secretary" localSheetId="37">Inputs!#REF!</definedName>
    <definedName name="Secretary" localSheetId="39">Inputs!#REF!</definedName>
    <definedName name="Secretary" localSheetId="38">Inputs!#REF!</definedName>
    <definedName name="Secretary" localSheetId="44">Inputs!#REF!</definedName>
    <definedName name="Secretary" localSheetId="41">Inputs!#REF!</definedName>
    <definedName name="Secretary" localSheetId="43">Inputs!#REF!</definedName>
    <definedName name="Secretary" localSheetId="42">Inputs!#REF!</definedName>
    <definedName name="Secretary" localSheetId="48">Inputs!#REF!</definedName>
    <definedName name="Secretary" localSheetId="45">Inputs!#REF!</definedName>
    <definedName name="Secretary" localSheetId="47">Inputs!#REF!</definedName>
    <definedName name="Secretary" localSheetId="46">Inputs!#REF!</definedName>
    <definedName name="Secretary" localSheetId="3">Inputs!#REF!</definedName>
    <definedName name="Secretary" localSheetId="4">Inputs!#REF!</definedName>
    <definedName name="Secretary" localSheetId="8">Inputs!#REF!</definedName>
    <definedName name="Secretary" localSheetId="5">Inputs!#REF!</definedName>
    <definedName name="Secretary" localSheetId="7">Inputs!#REF!</definedName>
    <definedName name="Secretary" localSheetId="6">Inputs!#REF!</definedName>
    <definedName name="Secretary" localSheetId="12">Inputs!#REF!</definedName>
    <definedName name="Secretary" localSheetId="9">Inputs!#REF!</definedName>
    <definedName name="Secretary" localSheetId="11">Inputs!#REF!</definedName>
    <definedName name="Secretary" localSheetId="10">Inputs!#REF!</definedName>
    <definedName name="Secretary" localSheetId="16">Inputs!#REF!</definedName>
    <definedName name="Secretary" localSheetId="13">Inputs!#REF!</definedName>
    <definedName name="Secretary" localSheetId="15">Inputs!#REF!</definedName>
    <definedName name="Secretary" localSheetId="14">Inputs!#REF!</definedName>
    <definedName name="Secretary" localSheetId="20">Inputs!#REF!</definedName>
    <definedName name="Secretary" localSheetId="17">Inputs!#REF!</definedName>
    <definedName name="Secretary" localSheetId="19">Inputs!#REF!</definedName>
    <definedName name="Secretary" localSheetId="18">Inputs!#REF!</definedName>
    <definedName name="Secretary" localSheetId="24">Inputs!#REF!</definedName>
    <definedName name="Secretary" localSheetId="21">Inputs!#REF!</definedName>
    <definedName name="Secretary" localSheetId="23">Inputs!#REF!</definedName>
    <definedName name="Secretary" localSheetId="22">Inputs!#REF!</definedName>
    <definedName name="Secretary" localSheetId="52">Inputs!#REF!</definedName>
    <definedName name="Secretary" localSheetId="53">Inputs!#REF!</definedName>
    <definedName name="Secretary">Inputs!#REF!</definedName>
    <definedName name="Security_equipment__EA" localSheetId="26">Inputs!#REF!</definedName>
    <definedName name="Security_equipment__EA" localSheetId="58">Inputs!#REF!</definedName>
    <definedName name="Security_equipment__EA" localSheetId="50">Inputs!#REF!</definedName>
    <definedName name="Security_equipment__EA" localSheetId="27">Inputs!#REF!</definedName>
    <definedName name="Security_equipment__EA" localSheetId="28">Inputs!#REF!</definedName>
    <definedName name="Security_equipment__EA" localSheetId="32">Inputs!#REF!</definedName>
    <definedName name="Security_equipment__EA" localSheetId="29">Inputs!#REF!</definedName>
    <definedName name="Security_equipment__EA" localSheetId="31">Inputs!#REF!</definedName>
    <definedName name="Security_equipment__EA" localSheetId="30">Inputs!#REF!</definedName>
    <definedName name="Security_equipment__EA" localSheetId="36">Inputs!#REF!</definedName>
    <definedName name="Security_equipment__EA" localSheetId="33">Inputs!#REF!</definedName>
    <definedName name="Security_equipment__EA" localSheetId="35">Inputs!#REF!</definedName>
    <definedName name="Security_equipment__EA" localSheetId="34">Inputs!#REF!</definedName>
    <definedName name="Security_equipment__EA" localSheetId="40">Inputs!#REF!</definedName>
    <definedName name="Security_equipment__EA" localSheetId="37">Inputs!#REF!</definedName>
    <definedName name="Security_equipment__EA" localSheetId="39">Inputs!#REF!</definedName>
    <definedName name="Security_equipment__EA" localSheetId="38">Inputs!#REF!</definedName>
    <definedName name="Security_equipment__EA" localSheetId="44">Inputs!#REF!</definedName>
    <definedName name="Security_equipment__EA" localSheetId="41">Inputs!#REF!</definedName>
    <definedName name="Security_equipment__EA" localSheetId="43">Inputs!#REF!</definedName>
    <definedName name="Security_equipment__EA" localSheetId="42">Inputs!#REF!</definedName>
    <definedName name="Security_equipment__EA" localSheetId="48">Inputs!#REF!</definedName>
    <definedName name="Security_equipment__EA" localSheetId="45">Inputs!#REF!</definedName>
    <definedName name="Security_equipment__EA" localSheetId="47">Inputs!#REF!</definedName>
    <definedName name="Security_equipment__EA" localSheetId="46">Inputs!#REF!</definedName>
    <definedName name="Security_equipment__EA" localSheetId="3">Inputs!#REF!</definedName>
    <definedName name="Security_equipment__EA" localSheetId="4">Inputs!#REF!</definedName>
    <definedName name="Security_equipment__EA" localSheetId="8">Inputs!#REF!</definedName>
    <definedName name="Security_equipment__EA" localSheetId="5">Inputs!#REF!</definedName>
    <definedName name="Security_equipment__EA" localSheetId="7">Inputs!#REF!</definedName>
    <definedName name="Security_equipment__EA" localSheetId="6">Inputs!#REF!</definedName>
    <definedName name="Security_equipment__EA" localSheetId="12">Inputs!#REF!</definedName>
    <definedName name="Security_equipment__EA" localSheetId="9">Inputs!#REF!</definedName>
    <definedName name="Security_equipment__EA" localSheetId="11">Inputs!#REF!</definedName>
    <definedName name="Security_equipment__EA" localSheetId="10">Inputs!#REF!</definedName>
    <definedName name="Security_equipment__EA" localSheetId="16">Inputs!#REF!</definedName>
    <definedName name="Security_equipment__EA" localSheetId="13">Inputs!#REF!</definedName>
    <definedName name="Security_equipment__EA" localSheetId="15">Inputs!#REF!</definedName>
    <definedName name="Security_equipment__EA" localSheetId="14">Inputs!#REF!</definedName>
    <definedName name="Security_equipment__EA" localSheetId="20">Inputs!#REF!</definedName>
    <definedName name="Security_equipment__EA" localSheetId="17">Inputs!#REF!</definedName>
    <definedName name="Security_equipment__EA" localSheetId="19">Inputs!#REF!</definedName>
    <definedName name="Security_equipment__EA" localSheetId="18">Inputs!#REF!</definedName>
    <definedName name="Security_equipment__EA" localSheetId="24">Inputs!#REF!</definedName>
    <definedName name="Security_equipment__EA" localSheetId="21">Inputs!#REF!</definedName>
    <definedName name="Security_equipment__EA" localSheetId="23">Inputs!#REF!</definedName>
    <definedName name="Security_equipment__EA" localSheetId="22">Inputs!#REF!</definedName>
    <definedName name="Security_equipment__EA" localSheetId="52">Inputs!#REF!</definedName>
    <definedName name="Security_equipment__EA" localSheetId="53">Inputs!#REF!</definedName>
    <definedName name="Security_equipment__EA">Inputs!#REF!</definedName>
    <definedName name="Sewage_charges_per_cubic_meter">Inputs!$E$58</definedName>
    <definedName name="Ship_size_increase_factor">Inputs!$B$15</definedName>
    <definedName name="Ships_size_growth_rate">Inputs!$B$15</definedName>
    <definedName name="Sinage__EA" localSheetId="26">Inputs!#REF!</definedName>
    <definedName name="Sinage__EA" localSheetId="58">Inputs!#REF!</definedName>
    <definedName name="Sinage__EA" localSheetId="50">Inputs!#REF!</definedName>
    <definedName name="Sinage__EA" localSheetId="27">Inputs!#REF!</definedName>
    <definedName name="Sinage__EA" localSheetId="28">Inputs!#REF!</definedName>
    <definedName name="Sinage__EA" localSheetId="32">Inputs!#REF!</definedName>
    <definedName name="Sinage__EA" localSheetId="29">Inputs!#REF!</definedName>
    <definedName name="Sinage__EA" localSheetId="31">Inputs!#REF!</definedName>
    <definedName name="Sinage__EA" localSheetId="30">Inputs!#REF!</definedName>
    <definedName name="Sinage__EA" localSheetId="36">Inputs!#REF!</definedName>
    <definedName name="Sinage__EA" localSheetId="33">Inputs!#REF!</definedName>
    <definedName name="Sinage__EA" localSheetId="35">Inputs!#REF!</definedName>
    <definedName name="Sinage__EA" localSheetId="34">Inputs!#REF!</definedName>
    <definedName name="Sinage__EA" localSheetId="40">Inputs!#REF!</definedName>
    <definedName name="Sinage__EA" localSheetId="37">Inputs!#REF!</definedName>
    <definedName name="Sinage__EA" localSheetId="39">Inputs!#REF!</definedName>
    <definedName name="Sinage__EA" localSheetId="38">Inputs!#REF!</definedName>
    <definedName name="Sinage__EA" localSheetId="44">Inputs!#REF!</definedName>
    <definedName name="Sinage__EA" localSheetId="41">Inputs!#REF!</definedName>
    <definedName name="Sinage__EA" localSheetId="43">Inputs!#REF!</definedName>
    <definedName name="Sinage__EA" localSheetId="42">Inputs!#REF!</definedName>
    <definedName name="Sinage__EA" localSheetId="48">Inputs!#REF!</definedName>
    <definedName name="Sinage__EA" localSheetId="45">Inputs!#REF!</definedName>
    <definedName name="Sinage__EA" localSheetId="47">Inputs!#REF!</definedName>
    <definedName name="Sinage__EA" localSheetId="46">Inputs!#REF!</definedName>
    <definedName name="Sinage__EA" localSheetId="3">Inputs!#REF!</definedName>
    <definedName name="Sinage__EA" localSheetId="4">Inputs!#REF!</definedName>
    <definedName name="Sinage__EA" localSheetId="8">Inputs!#REF!</definedName>
    <definedName name="Sinage__EA" localSheetId="5">Inputs!#REF!</definedName>
    <definedName name="Sinage__EA" localSheetId="7">Inputs!#REF!</definedName>
    <definedName name="Sinage__EA" localSheetId="6">Inputs!#REF!</definedName>
    <definedName name="Sinage__EA" localSheetId="12">Inputs!#REF!</definedName>
    <definedName name="Sinage__EA" localSheetId="9">Inputs!#REF!</definedName>
    <definedName name="Sinage__EA" localSheetId="11">Inputs!#REF!</definedName>
    <definedName name="Sinage__EA" localSheetId="10">Inputs!#REF!</definedName>
    <definedName name="Sinage__EA" localSheetId="16">Inputs!#REF!</definedName>
    <definedName name="Sinage__EA" localSheetId="13">Inputs!#REF!</definedName>
    <definedName name="Sinage__EA" localSheetId="15">Inputs!#REF!</definedName>
    <definedName name="Sinage__EA" localSheetId="14">Inputs!#REF!</definedName>
    <definedName name="Sinage__EA" localSheetId="20">Inputs!#REF!</definedName>
    <definedName name="Sinage__EA" localSheetId="17">Inputs!#REF!</definedName>
    <definedName name="Sinage__EA" localSheetId="19">Inputs!#REF!</definedName>
    <definedName name="Sinage__EA" localSheetId="18">Inputs!#REF!</definedName>
    <definedName name="Sinage__EA" localSheetId="24">Inputs!#REF!</definedName>
    <definedName name="Sinage__EA" localSheetId="21">Inputs!#REF!</definedName>
    <definedName name="Sinage__EA" localSheetId="23">Inputs!#REF!</definedName>
    <definedName name="Sinage__EA" localSheetId="22">Inputs!#REF!</definedName>
    <definedName name="Sinage__EA" localSheetId="52">Inputs!#REF!</definedName>
    <definedName name="Sinage__EA" localSheetId="53">Inputs!#REF!</definedName>
    <definedName name="Sinage__EA">Inputs!#REF!</definedName>
    <definedName name="Soft_costs">Inputs!$B$78</definedName>
    <definedName name="Stabilized_secondary_use_percent_of_the_time" localSheetId="58">Inputs!#REF!</definedName>
    <definedName name="Stabilized_secondary_use_percent_of_the_time">Inputs!#REF!</definedName>
    <definedName name="Stevedore___TO_profit">Inputs!$B$20</definedName>
    <definedName name="Stores_per_ship__tonnes">Inputs!$E$79</definedName>
    <definedName name="Strengthen_quay_wall__LM" localSheetId="58">Inputs!#REF!</definedName>
    <definedName name="Strengthen_quay_wall__LM">Inputs!#REF!</definedName>
    <definedName name="Supervisor" localSheetId="58">Inputs!#REF!</definedName>
    <definedName name="Supervisor">Inputs!#REF!</definedName>
    <definedName name="Supervisor___housekeeping">Inputs!$B$55</definedName>
    <definedName name="Supervisor___passenger_screening" localSheetId="26">Inputs!#REF!</definedName>
    <definedName name="Supervisor___passenger_screening" localSheetId="58">Inputs!#REF!</definedName>
    <definedName name="Supervisor___passenger_screening" localSheetId="50">Inputs!#REF!</definedName>
    <definedName name="Supervisor___passenger_screening" localSheetId="27">Inputs!#REF!</definedName>
    <definedName name="Supervisor___passenger_screening" localSheetId="28">Inputs!#REF!</definedName>
    <definedName name="Supervisor___passenger_screening" localSheetId="32">Inputs!#REF!</definedName>
    <definedName name="Supervisor___passenger_screening" localSheetId="29">Inputs!#REF!</definedName>
    <definedName name="Supervisor___passenger_screening" localSheetId="31">Inputs!#REF!</definedName>
    <definedName name="Supervisor___passenger_screening" localSheetId="30">Inputs!#REF!</definedName>
    <definedName name="Supervisor___passenger_screening" localSheetId="36">Inputs!#REF!</definedName>
    <definedName name="Supervisor___passenger_screening" localSheetId="33">Inputs!#REF!</definedName>
    <definedName name="Supervisor___passenger_screening" localSheetId="35">Inputs!#REF!</definedName>
    <definedName name="Supervisor___passenger_screening" localSheetId="34">Inputs!#REF!</definedName>
    <definedName name="Supervisor___passenger_screening" localSheetId="40">Inputs!#REF!</definedName>
    <definedName name="Supervisor___passenger_screening" localSheetId="37">Inputs!#REF!</definedName>
    <definedName name="Supervisor___passenger_screening" localSheetId="39">Inputs!#REF!</definedName>
    <definedName name="Supervisor___passenger_screening" localSheetId="38">Inputs!#REF!</definedName>
    <definedName name="Supervisor___passenger_screening" localSheetId="44">Inputs!#REF!</definedName>
    <definedName name="Supervisor___passenger_screening" localSheetId="41">Inputs!#REF!</definedName>
    <definedName name="Supervisor___passenger_screening" localSheetId="43">Inputs!#REF!</definedName>
    <definedName name="Supervisor___passenger_screening" localSheetId="42">Inputs!#REF!</definedName>
    <definedName name="Supervisor___passenger_screening" localSheetId="48">Inputs!#REF!</definedName>
    <definedName name="Supervisor___passenger_screening" localSheetId="45">Inputs!#REF!</definedName>
    <definedName name="Supervisor___passenger_screening" localSheetId="47">Inputs!#REF!</definedName>
    <definedName name="Supervisor___passenger_screening" localSheetId="46">Inputs!#REF!</definedName>
    <definedName name="Supervisor___passenger_screening" localSheetId="3">Inputs!#REF!</definedName>
    <definedName name="Supervisor___passenger_screening" localSheetId="4">Inputs!#REF!</definedName>
    <definedName name="Supervisor___passenger_screening" localSheetId="8">Inputs!#REF!</definedName>
    <definedName name="Supervisor___passenger_screening" localSheetId="5">Inputs!#REF!</definedName>
    <definedName name="Supervisor___passenger_screening" localSheetId="7">Inputs!#REF!</definedName>
    <definedName name="Supervisor___passenger_screening" localSheetId="6">Inputs!#REF!</definedName>
    <definedName name="Supervisor___passenger_screening" localSheetId="12">Inputs!#REF!</definedName>
    <definedName name="Supervisor___passenger_screening" localSheetId="9">Inputs!#REF!</definedName>
    <definedName name="Supervisor___passenger_screening" localSheetId="11">Inputs!#REF!</definedName>
    <definedName name="Supervisor___passenger_screening" localSheetId="10">Inputs!#REF!</definedName>
    <definedName name="Supervisor___passenger_screening" localSheetId="16">Inputs!#REF!</definedName>
    <definedName name="Supervisor___passenger_screening" localSheetId="13">Inputs!#REF!</definedName>
    <definedName name="Supervisor___passenger_screening" localSheetId="15">Inputs!#REF!</definedName>
    <definedName name="Supervisor___passenger_screening" localSheetId="14">Inputs!#REF!</definedName>
    <definedName name="Supervisor___passenger_screening" localSheetId="20">Inputs!#REF!</definedName>
    <definedName name="Supervisor___passenger_screening" localSheetId="17">Inputs!#REF!</definedName>
    <definedName name="Supervisor___passenger_screening" localSheetId="19">Inputs!#REF!</definedName>
    <definedName name="Supervisor___passenger_screening" localSheetId="18">Inputs!#REF!</definedName>
    <definedName name="Supervisor___passenger_screening" localSheetId="24">Inputs!#REF!</definedName>
    <definedName name="Supervisor___passenger_screening" localSheetId="21">Inputs!#REF!</definedName>
    <definedName name="Supervisor___passenger_screening" localSheetId="23">Inputs!#REF!</definedName>
    <definedName name="Supervisor___passenger_screening" localSheetId="22">Inputs!#REF!</definedName>
    <definedName name="Supervisor___passenger_screening" localSheetId="52">Inputs!#REF!</definedName>
    <definedName name="Supervisor___passenger_screening" localSheetId="53">Inputs!#REF!</definedName>
    <definedName name="Supervisor___passenger_screening">Inputs!#REF!</definedName>
    <definedName name="Supervisor___passenger_services" localSheetId="26">Inputs!#REF!</definedName>
    <definedName name="Supervisor___passenger_services" localSheetId="58">Inputs!#REF!</definedName>
    <definedName name="Supervisor___passenger_services" localSheetId="50">Inputs!#REF!</definedName>
    <definedName name="Supervisor___passenger_services" localSheetId="27">Inputs!#REF!</definedName>
    <definedName name="Supervisor___passenger_services" localSheetId="28">Inputs!#REF!</definedName>
    <definedName name="Supervisor___passenger_services" localSheetId="32">Inputs!#REF!</definedName>
    <definedName name="Supervisor___passenger_services" localSheetId="29">Inputs!#REF!</definedName>
    <definedName name="Supervisor___passenger_services" localSheetId="31">Inputs!#REF!</definedName>
    <definedName name="Supervisor___passenger_services" localSheetId="30">Inputs!#REF!</definedName>
    <definedName name="Supervisor___passenger_services" localSheetId="36">Inputs!#REF!</definedName>
    <definedName name="Supervisor___passenger_services" localSheetId="33">Inputs!#REF!</definedName>
    <definedName name="Supervisor___passenger_services" localSheetId="35">Inputs!#REF!</definedName>
    <definedName name="Supervisor___passenger_services" localSheetId="34">Inputs!#REF!</definedName>
    <definedName name="Supervisor___passenger_services" localSheetId="40">Inputs!#REF!</definedName>
    <definedName name="Supervisor___passenger_services" localSheetId="37">Inputs!#REF!</definedName>
    <definedName name="Supervisor___passenger_services" localSheetId="39">Inputs!#REF!</definedName>
    <definedName name="Supervisor___passenger_services" localSheetId="38">Inputs!#REF!</definedName>
    <definedName name="Supervisor___passenger_services" localSheetId="44">Inputs!#REF!</definedName>
    <definedName name="Supervisor___passenger_services" localSheetId="41">Inputs!#REF!</definedName>
    <definedName name="Supervisor___passenger_services" localSheetId="43">Inputs!#REF!</definedName>
    <definedName name="Supervisor___passenger_services" localSheetId="42">Inputs!#REF!</definedName>
    <definedName name="Supervisor___passenger_services" localSheetId="48">Inputs!#REF!</definedName>
    <definedName name="Supervisor___passenger_services" localSheetId="45">Inputs!#REF!</definedName>
    <definedName name="Supervisor___passenger_services" localSheetId="47">Inputs!#REF!</definedName>
    <definedName name="Supervisor___passenger_services" localSheetId="46">Inputs!#REF!</definedName>
    <definedName name="Supervisor___passenger_services" localSheetId="3">Inputs!#REF!</definedName>
    <definedName name="Supervisor___passenger_services" localSheetId="4">Inputs!#REF!</definedName>
    <definedName name="Supervisor___passenger_services" localSheetId="8">Inputs!#REF!</definedName>
    <definedName name="Supervisor___passenger_services" localSheetId="5">Inputs!#REF!</definedName>
    <definedName name="Supervisor___passenger_services" localSheetId="7">Inputs!#REF!</definedName>
    <definedName name="Supervisor___passenger_services" localSheetId="6">Inputs!#REF!</definedName>
    <definedName name="Supervisor___passenger_services" localSheetId="12">Inputs!#REF!</definedName>
    <definedName name="Supervisor___passenger_services" localSheetId="9">Inputs!#REF!</definedName>
    <definedName name="Supervisor___passenger_services" localSheetId="11">Inputs!#REF!</definedName>
    <definedName name="Supervisor___passenger_services" localSheetId="10">Inputs!#REF!</definedName>
    <definedName name="Supervisor___passenger_services" localSheetId="16">Inputs!#REF!</definedName>
    <definedName name="Supervisor___passenger_services" localSheetId="13">Inputs!#REF!</definedName>
    <definedName name="Supervisor___passenger_services" localSheetId="15">Inputs!#REF!</definedName>
    <definedName name="Supervisor___passenger_services" localSheetId="14">Inputs!#REF!</definedName>
    <definedName name="Supervisor___passenger_services" localSheetId="20">Inputs!#REF!</definedName>
    <definedName name="Supervisor___passenger_services" localSheetId="17">Inputs!#REF!</definedName>
    <definedName name="Supervisor___passenger_services" localSheetId="19">Inputs!#REF!</definedName>
    <definedName name="Supervisor___passenger_services" localSheetId="18">Inputs!#REF!</definedName>
    <definedName name="Supervisor___passenger_services" localSheetId="24">Inputs!#REF!</definedName>
    <definedName name="Supervisor___passenger_services" localSheetId="21">Inputs!#REF!</definedName>
    <definedName name="Supervisor___passenger_services" localSheetId="23">Inputs!#REF!</definedName>
    <definedName name="Supervisor___passenger_services" localSheetId="22">Inputs!#REF!</definedName>
    <definedName name="Supervisor___passenger_services" localSheetId="52">Inputs!#REF!</definedName>
    <definedName name="Supervisor___passenger_services" localSheetId="53">Inputs!#REF!</definedName>
    <definedName name="Supervisor___passenger_services">Inputs!#REF!</definedName>
    <definedName name="Supervisor___stevdoring">Inputs!$B$62</definedName>
    <definedName name="Target_growth_rate" localSheetId="26">#REF!</definedName>
    <definedName name="Target_growth_rate" localSheetId="58">#REF!</definedName>
    <definedName name="Target_growth_rate" localSheetId="50">#REF!</definedName>
    <definedName name="Target_growth_rate" localSheetId="27">#REF!</definedName>
    <definedName name="Target_growth_rate" localSheetId="28">#REF!</definedName>
    <definedName name="Target_growth_rate" localSheetId="32">#REF!</definedName>
    <definedName name="Target_growth_rate" localSheetId="29">#REF!</definedName>
    <definedName name="Target_growth_rate" localSheetId="31">#REF!</definedName>
    <definedName name="Target_growth_rate" localSheetId="30">#REF!</definedName>
    <definedName name="Target_growth_rate" localSheetId="36">#REF!</definedName>
    <definedName name="Target_growth_rate" localSheetId="33">#REF!</definedName>
    <definedName name="Target_growth_rate" localSheetId="35">#REF!</definedName>
    <definedName name="Target_growth_rate" localSheetId="34">#REF!</definedName>
    <definedName name="Target_growth_rate" localSheetId="40">#REF!</definedName>
    <definedName name="Target_growth_rate" localSheetId="37">#REF!</definedName>
    <definedName name="Target_growth_rate" localSheetId="39">#REF!</definedName>
    <definedName name="Target_growth_rate" localSheetId="38">#REF!</definedName>
    <definedName name="Target_growth_rate" localSheetId="44">#REF!</definedName>
    <definedName name="Target_growth_rate" localSheetId="41">#REF!</definedName>
    <definedName name="Target_growth_rate" localSheetId="43">#REF!</definedName>
    <definedName name="Target_growth_rate" localSheetId="42">#REF!</definedName>
    <definedName name="Target_growth_rate" localSheetId="48">#REF!</definedName>
    <definedName name="Target_growth_rate" localSheetId="45">#REF!</definedName>
    <definedName name="Target_growth_rate" localSheetId="47">#REF!</definedName>
    <definedName name="Target_growth_rate" localSheetId="46">#REF!</definedName>
    <definedName name="Target_growth_rate" localSheetId="3">#REF!</definedName>
    <definedName name="Target_growth_rate" localSheetId="4">#REF!</definedName>
    <definedName name="Target_growth_rate" localSheetId="8">#REF!</definedName>
    <definedName name="Target_growth_rate" localSheetId="5">#REF!</definedName>
    <definedName name="Target_growth_rate" localSheetId="7">#REF!</definedName>
    <definedName name="Target_growth_rate" localSheetId="6">#REF!</definedName>
    <definedName name="Target_growth_rate" localSheetId="12">#REF!</definedName>
    <definedName name="Target_growth_rate" localSheetId="9">#REF!</definedName>
    <definedName name="Target_growth_rate" localSheetId="11">#REF!</definedName>
    <definedName name="Target_growth_rate" localSheetId="10">#REF!</definedName>
    <definedName name="Target_growth_rate" localSheetId="16">#REF!</definedName>
    <definedName name="Target_growth_rate" localSheetId="13">#REF!</definedName>
    <definedName name="Target_growth_rate" localSheetId="15">#REF!</definedName>
    <definedName name="Target_growth_rate" localSheetId="14">#REF!</definedName>
    <definedName name="Target_growth_rate" localSheetId="20">#REF!</definedName>
    <definedName name="Target_growth_rate" localSheetId="19">#REF!</definedName>
    <definedName name="Target_growth_rate" localSheetId="18">#REF!</definedName>
    <definedName name="Target_growth_rate" localSheetId="24">#REF!</definedName>
    <definedName name="Target_growth_rate" localSheetId="23">#REF!</definedName>
    <definedName name="Target_growth_rate" localSheetId="22">#REF!</definedName>
    <definedName name="Target_growth_rate" localSheetId="52">#REF!</definedName>
    <definedName name="Target_growth_rate" localSheetId="53">#REF!</definedName>
    <definedName name="Target_growth_rate">#REF!</definedName>
    <definedName name="Tax_on_occupation_of_property" localSheetId="26">Inputs!#REF!</definedName>
    <definedName name="Tax_on_occupation_of_property" localSheetId="58">Inputs!#REF!</definedName>
    <definedName name="Tax_on_occupation_of_property" localSheetId="51">Inputs!#REF!</definedName>
    <definedName name="Tax_on_occupation_of_property" localSheetId="50">Inputs!#REF!</definedName>
    <definedName name="Tax_on_occupation_of_property" localSheetId="27">Inputs!#REF!</definedName>
    <definedName name="Tax_on_occupation_of_property" localSheetId="28">Inputs!#REF!</definedName>
    <definedName name="Tax_on_occupation_of_property" localSheetId="32">Inputs!#REF!</definedName>
    <definedName name="Tax_on_occupation_of_property" localSheetId="29">Inputs!#REF!</definedName>
    <definedName name="Tax_on_occupation_of_property" localSheetId="31">Inputs!#REF!</definedName>
    <definedName name="Tax_on_occupation_of_property" localSheetId="30">Inputs!#REF!</definedName>
    <definedName name="Tax_on_occupation_of_property" localSheetId="36">Inputs!#REF!</definedName>
    <definedName name="Tax_on_occupation_of_property" localSheetId="33">Inputs!#REF!</definedName>
    <definedName name="Tax_on_occupation_of_property" localSheetId="35">Inputs!#REF!</definedName>
    <definedName name="Tax_on_occupation_of_property" localSheetId="34">Inputs!#REF!</definedName>
    <definedName name="Tax_on_occupation_of_property" localSheetId="40">Inputs!#REF!</definedName>
    <definedName name="Tax_on_occupation_of_property" localSheetId="37">Inputs!#REF!</definedName>
    <definedName name="Tax_on_occupation_of_property" localSheetId="39">Inputs!#REF!</definedName>
    <definedName name="Tax_on_occupation_of_property" localSheetId="38">Inputs!#REF!</definedName>
    <definedName name="Tax_on_occupation_of_property" localSheetId="44">Inputs!#REF!</definedName>
    <definedName name="Tax_on_occupation_of_property" localSheetId="41">Inputs!#REF!</definedName>
    <definedName name="Tax_on_occupation_of_property" localSheetId="43">Inputs!#REF!</definedName>
    <definedName name="Tax_on_occupation_of_property" localSheetId="42">Inputs!#REF!</definedName>
    <definedName name="Tax_on_occupation_of_property" localSheetId="48">Inputs!#REF!</definedName>
    <definedName name="Tax_on_occupation_of_property" localSheetId="45">Inputs!#REF!</definedName>
    <definedName name="Tax_on_occupation_of_property" localSheetId="47">Inputs!#REF!</definedName>
    <definedName name="Tax_on_occupation_of_property" localSheetId="46">Inputs!#REF!</definedName>
    <definedName name="Tax_on_occupation_of_property" localSheetId="3">Inputs!#REF!</definedName>
    <definedName name="Tax_on_occupation_of_property" localSheetId="4">Inputs!#REF!</definedName>
    <definedName name="Tax_on_occupation_of_property" localSheetId="8">Inputs!#REF!</definedName>
    <definedName name="Tax_on_occupation_of_property" localSheetId="5">Inputs!#REF!</definedName>
    <definedName name="Tax_on_occupation_of_property" localSheetId="7">Inputs!#REF!</definedName>
    <definedName name="Tax_on_occupation_of_property" localSheetId="6">Inputs!#REF!</definedName>
    <definedName name="Tax_on_occupation_of_property" localSheetId="12">Inputs!#REF!</definedName>
    <definedName name="Tax_on_occupation_of_property" localSheetId="9">Inputs!#REF!</definedName>
    <definedName name="Tax_on_occupation_of_property" localSheetId="11">Inputs!#REF!</definedName>
    <definedName name="Tax_on_occupation_of_property" localSheetId="10">Inputs!#REF!</definedName>
    <definedName name="Tax_on_occupation_of_property" localSheetId="16">Inputs!#REF!</definedName>
    <definedName name="Tax_on_occupation_of_property" localSheetId="13">Inputs!#REF!</definedName>
    <definedName name="Tax_on_occupation_of_property" localSheetId="15">Inputs!#REF!</definedName>
    <definedName name="Tax_on_occupation_of_property" localSheetId="14">Inputs!#REF!</definedName>
    <definedName name="Tax_on_occupation_of_property" localSheetId="20">Inputs!#REF!</definedName>
    <definedName name="Tax_on_occupation_of_property" localSheetId="17">Inputs!#REF!</definedName>
    <definedName name="Tax_on_occupation_of_property" localSheetId="19">Inputs!#REF!</definedName>
    <definedName name="Tax_on_occupation_of_property" localSheetId="18">Inputs!#REF!</definedName>
    <definedName name="Tax_on_occupation_of_property" localSheetId="24">Inputs!#REF!</definedName>
    <definedName name="Tax_on_occupation_of_property" localSheetId="21">Inputs!#REF!</definedName>
    <definedName name="Tax_on_occupation_of_property" localSheetId="23">Inputs!#REF!</definedName>
    <definedName name="Tax_on_occupation_of_property" localSheetId="22">Inputs!#REF!</definedName>
    <definedName name="Tax_on_occupation_of_property" localSheetId="52">Inputs!#REF!</definedName>
    <definedName name="Tax_on_occupation_of_property" localSheetId="53">Inputs!#REF!</definedName>
    <definedName name="Tax_on_occupation_of_property">Inputs!#REF!</definedName>
    <definedName name="Technical_staff">Inputs!$B$45</definedName>
    <definedName name="Temporary_terminal__SM">Inputs!$B$75</definedName>
    <definedName name="Term__years">Inputs!$B$24</definedName>
    <definedName name="Terminal" localSheetId="58">Inputs!#REF!</definedName>
    <definedName name="Terminal">Inputs!#REF!</definedName>
    <definedName name="Terminal__SM">Inputs!$B$74</definedName>
    <definedName name="Terminal_per_sm">Inputs!$B$74</definedName>
    <definedName name="Trailers_per_call">Inputs!$E$76</definedName>
    <definedName name="Utilization_rate_for_functions" localSheetId="58">Inputs!#REF!</definedName>
    <definedName name="Utilization_rate_for_functions">Inputs!#REF!</definedName>
    <definedName name="Vacacy_factor" localSheetId="58">Inputs!#REF!</definedName>
    <definedName name="Vacacy_factor">Inputs!#REF!</definedName>
    <definedName name="Vehicles_per_call">Inputs!$E$75</definedName>
    <definedName name="Watchman" localSheetId="26">Inputs!#REF!</definedName>
    <definedName name="Watchman" localSheetId="58">Inputs!#REF!</definedName>
    <definedName name="Watchman" localSheetId="50">Inputs!#REF!</definedName>
    <definedName name="Watchman" localSheetId="27">Inputs!#REF!</definedName>
    <definedName name="Watchman" localSheetId="28">Inputs!#REF!</definedName>
    <definedName name="Watchman" localSheetId="32">Inputs!#REF!</definedName>
    <definedName name="Watchman" localSheetId="29">Inputs!#REF!</definedName>
    <definedName name="Watchman" localSheetId="31">Inputs!#REF!</definedName>
    <definedName name="Watchman" localSheetId="30">Inputs!#REF!</definedName>
    <definedName name="Watchman" localSheetId="36">Inputs!#REF!</definedName>
    <definedName name="Watchman" localSheetId="33">Inputs!#REF!</definedName>
    <definedName name="Watchman" localSheetId="35">Inputs!#REF!</definedName>
    <definedName name="Watchman" localSheetId="34">Inputs!#REF!</definedName>
    <definedName name="Watchman" localSheetId="40">Inputs!#REF!</definedName>
    <definedName name="Watchman" localSheetId="37">Inputs!#REF!</definedName>
    <definedName name="Watchman" localSheetId="39">Inputs!#REF!</definedName>
    <definedName name="Watchman" localSheetId="38">Inputs!#REF!</definedName>
    <definedName name="Watchman" localSheetId="44">Inputs!#REF!</definedName>
    <definedName name="Watchman" localSheetId="41">Inputs!#REF!</definedName>
    <definedName name="Watchman" localSheetId="43">Inputs!#REF!</definedName>
    <definedName name="Watchman" localSheetId="42">Inputs!#REF!</definedName>
    <definedName name="Watchman" localSheetId="48">Inputs!#REF!</definedName>
    <definedName name="Watchman" localSheetId="45">Inputs!#REF!</definedName>
    <definedName name="Watchman" localSheetId="47">Inputs!#REF!</definedName>
    <definedName name="Watchman" localSheetId="46">Inputs!#REF!</definedName>
    <definedName name="Watchman" localSheetId="3">Inputs!#REF!</definedName>
    <definedName name="Watchman" localSheetId="4">Inputs!#REF!</definedName>
    <definedName name="Watchman" localSheetId="8">Inputs!#REF!</definedName>
    <definedName name="Watchman" localSheetId="5">Inputs!#REF!</definedName>
    <definedName name="Watchman" localSheetId="7">Inputs!#REF!</definedName>
    <definedName name="Watchman" localSheetId="6">Inputs!#REF!</definedName>
    <definedName name="Watchman" localSheetId="12">Inputs!#REF!</definedName>
    <definedName name="Watchman" localSheetId="9">Inputs!#REF!</definedName>
    <definedName name="Watchman" localSheetId="11">Inputs!#REF!</definedName>
    <definedName name="Watchman" localSheetId="10">Inputs!#REF!</definedName>
    <definedName name="Watchman" localSheetId="16">Inputs!#REF!</definedName>
    <definedName name="Watchman" localSheetId="13">Inputs!#REF!</definedName>
    <definedName name="Watchman" localSheetId="15">Inputs!#REF!</definedName>
    <definedName name="Watchman" localSheetId="14">Inputs!#REF!</definedName>
    <definedName name="Watchman" localSheetId="20">Inputs!#REF!</definedName>
    <definedName name="Watchman" localSheetId="17">Inputs!#REF!</definedName>
    <definedName name="Watchman" localSheetId="19">Inputs!#REF!</definedName>
    <definedName name="Watchman" localSheetId="18">Inputs!#REF!</definedName>
    <definedName name="Watchman" localSheetId="24">Inputs!#REF!</definedName>
    <definedName name="Watchman" localSheetId="21">Inputs!#REF!</definedName>
    <definedName name="Watchman" localSheetId="23">Inputs!#REF!</definedName>
    <definedName name="Watchman" localSheetId="22">Inputs!#REF!</definedName>
    <definedName name="Watchman" localSheetId="52">Inputs!#REF!</definedName>
    <definedName name="Watchman" localSheetId="53">Inputs!#REF!</definedName>
    <definedName name="Watchman">Inputs!#REF!</definedName>
    <definedName name="Water_charges_per_cubic_meter__land">Inputs!$E$56</definedName>
    <definedName name="Water_charges_per_cubic_meter__ship">Inputs!$E$57</definedName>
    <definedName name="Water_consumption_cm_per_month" localSheetId="58">Inputs!#REF!</definedName>
    <definedName name="Water_consumption_cm_per_month">Inputs!#REF!</definedName>
    <definedName name="Water_sales_per_call__cubic_meters____call" localSheetId="58">Inputs!#REF!</definedName>
    <definedName name="Water_sales_per_call__cubic_meters____call">Inputs!#REF!</definedName>
    <definedName name="Working_hours__yr">Inputs!$E$70</definedName>
  </definedNames>
  <calcPr calcId="152511" concurrentCalc="0"/>
</workbook>
</file>

<file path=xl/calcChain.xml><?xml version="1.0" encoding="utf-8"?>
<calcChain xmlns="http://schemas.openxmlformats.org/spreadsheetml/2006/main">
  <c r="AL81" i="146" l="1"/>
  <c r="E80" i="147"/>
  <c r="G80" i="147"/>
  <c r="I80" i="147"/>
  <c r="E81" i="147"/>
  <c r="G81" i="147"/>
  <c r="I81" i="147"/>
  <c r="E82" i="147"/>
  <c r="G82" i="147"/>
  <c r="I82" i="147"/>
  <c r="E56" i="147"/>
  <c r="G56" i="147"/>
  <c r="I56" i="147"/>
  <c r="E57" i="147"/>
  <c r="G57" i="147"/>
  <c r="I57" i="147"/>
  <c r="I84" i="147"/>
  <c r="G84" i="147"/>
  <c r="I85" i="147"/>
  <c r="I87" i="147"/>
  <c r="I89" i="147"/>
  <c r="G85" i="147"/>
  <c r="G87" i="147"/>
  <c r="G89" i="147"/>
  <c r="E84" i="147"/>
  <c r="E85" i="147"/>
  <c r="E87" i="147"/>
  <c r="E89" i="147"/>
  <c r="I70" i="147"/>
  <c r="I67" i="147"/>
  <c r="I68" i="147"/>
  <c r="I71" i="147"/>
  <c r="I73" i="147"/>
  <c r="I75" i="147"/>
  <c r="I66" i="147"/>
  <c r="G70" i="147"/>
  <c r="G67" i="147"/>
  <c r="G68" i="147"/>
  <c r="G71" i="147"/>
  <c r="G73" i="147"/>
  <c r="G75" i="147"/>
  <c r="G66" i="147"/>
  <c r="E70" i="147"/>
  <c r="E67" i="147"/>
  <c r="E68" i="147"/>
  <c r="E71" i="147"/>
  <c r="E73" i="147"/>
  <c r="E75" i="147"/>
  <c r="E66" i="147"/>
  <c r="I53" i="147"/>
  <c r="I54" i="147"/>
  <c r="I59" i="147"/>
  <c r="I61" i="147"/>
  <c r="I52" i="147"/>
  <c r="G53" i="147"/>
  <c r="G54" i="147"/>
  <c r="G59" i="147"/>
  <c r="G61" i="147"/>
  <c r="G52" i="147"/>
  <c r="E53" i="147"/>
  <c r="E54" i="147"/>
  <c r="E59" i="147"/>
  <c r="E61" i="147"/>
  <c r="E52" i="147"/>
  <c r="I42" i="147"/>
  <c r="I39" i="147"/>
  <c r="I40" i="147"/>
  <c r="I43" i="147"/>
  <c r="I45" i="147"/>
  <c r="I47" i="147"/>
  <c r="I38" i="147"/>
  <c r="G42" i="147"/>
  <c r="G39" i="147"/>
  <c r="G40" i="147"/>
  <c r="G43" i="147"/>
  <c r="G45" i="147"/>
  <c r="G47" i="147"/>
  <c r="G38" i="147"/>
  <c r="E42" i="147"/>
  <c r="E39" i="147"/>
  <c r="E40" i="147"/>
  <c r="E43" i="147"/>
  <c r="E45" i="147"/>
  <c r="E47" i="147"/>
  <c r="E38" i="147"/>
  <c r="G28" i="147"/>
  <c r="G25" i="147"/>
  <c r="G26" i="147"/>
  <c r="G29" i="147"/>
  <c r="G31" i="147"/>
  <c r="G33" i="147"/>
  <c r="G24" i="147"/>
  <c r="E28" i="147"/>
  <c r="E25" i="147"/>
  <c r="E26" i="147"/>
  <c r="E29" i="147"/>
  <c r="E31" i="147"/>
  <c r="E33" i="147"/>
  <c r="E24" i="147"/>
  <c r="Q88" i="143"/>
  <c r="R88" i="143"/>
  <c r="S88" i="143"/>
  <c r="T88" i="143"/>
  <c r="U88" i="143"/>
  <c r="V88" i="143"/>
  <c r="W88" i="143"/>
  <c r="X88" i="143"/>
  <c r="Y88" i="143"/>
  <c r="Z88" i="143"/>
  <c r="AA88" i="143"/>
  <c r="AB88" i="143"/>
  <c r="AC88" i="143"/>
  <c r="AD88" i="143"/>
  <c r="AE88" i="143"/>
  <c r="Q88" i="142"/>
  <c r="R88" i="142"/>
  <c r="S88" i="142"/>
  <c r="T88" i="142"/>
  <c r="U88" i="142"/>
  <c r="V88" i="142"/>
  <c r="W88" i="142"/>
  <c r="X88" i="142"/>
  <c r="Y88" i="142"/>
  <c r="Z88" i="142"/>
  <c r="AA88" i="142"/>
  <c r="AB88" i="142"/>
  <c r="AC88" i="142"/>
  <c r="AD88" i="142"/>
  <c r="AE88" i="142"/>
  <c r="Q88" i="141"/>
  <c r="R88" i="141"/>
  <c r="S88" i="141"/>
  <c r="T88" i="141"/>
  <c r="U88" i="141"/>
  <c r="V88" i="141"/>
  <c r="W88" i="141"/>
  <c r="X88" i="141"/>
  <c r="Y88" i="141"/>
  <c r="Z88" i="141"/>
  <c r="AA88" i="141"/>
  <c r="AB88" i="141"/>
  <c r="AC88" i="141"/>
  <c r="AD88" i="141"/>
  <c r="AE88" i="141"/>
  <c r="Q88" i="140"/>
  <c r="R88" i="140"/>
  <c r="S88" i="140"/>
  <c r="T88" i="140"/>
  <c r="U88" i="140"/>
  <c r="V88" i="140"/>
  <c r="W88" i="140"/>
  <c r="X88" i="140"/>
  <c r="Y88" i="140"/>
  <c r="Z88" i="140"/>
  <c r="AA88" i="140"/>
  <c r="AB88" i="140"/>
  <c r="AC88" i="140"/>
  <c r="AD88" i="140"/>
  <c r="AE88" i="140"/>
  <c r="Q88" i="135"/>
  <c r="R88" i="135"/>
  <c r="S88" i="135"/>
  <c r="T88" i="135"/>
  <c r="U88" i="135"/>
  <c r="V88" i="135"/>
  <c r="W88" i="135"/>
  <c r="X88" i="135"/>
  <c r="Y88" i="135"/>
  <c r="Z88" i="135"/>
  <c r="AA88" i="135"/>
  <c r="AB88" i="135"/>
  <c r="AC88" i="135"/>
  <c r="AD88" i="135"/>
  <c r="AE88" i="135"/>
  <c r="Q88" i="134"/>
  <c r="R88" i="134"/>
  <c r="S88" i="134"/>
  <c r="T88" i="134"/>
  <c r="U88" i="134"/>
  <c r="V88" i="134"/>
  <c r="W88" i="134"/>
  <c r="X88" i="134"/>
  <c r="Y88" i="134"/>
  <c r="Z88" i="134"/>
  <c r="AA88" i="134"/>
  <c r="AB88" i="134"/>
  <c r="AC88" i="134"/>
  <c r="AD88" i="134"/>
  <c r="AE88" i="134"/>
  <c r="Q88" i="133"/>
  <c r="R88" i="133"/>
  <c r="S88" i="133"/>
  <c r="T88" i="133"/>
  <c r="U88" i="133"/>
  <c r="V88" i="133"/>
  <c r="W88" i="133"/>
  <c r="X88" i="133"/>
  <c r="Y88" i="133"/>
  <c r="Z88" i="133"/>
  <c r="AA88" i="133"/>
  <c r="AB88" i="133"/>
  <c r="AC88" i="133"/>
  <c r="AD88" i="133"/>
  <c r="AE88" i="133"/>
  <c r="Q88" i="129"/>
  <c r="R88" i="129"/>
  <c r="S88" i="129"/>
  <c r="T88" i="129"/>
  <c r="U88" i="129"/>
  <c r="V88" i="129"/>
  <c r="W88" i="129"/>
  <c r="X88" i="129"/>
  <c r="Y88" i="129"/>
  <c r="Z88" i="129"/>
  <c r="AA88" i="129"/>
  <c r="AB88" i="129"/>
  <c r="AC88" i="129"/>
  <c r="AD88" i="129"/>
  <c r="AE88" i="129"/>
  <c r="G96" i="123"/>
  <c r="F120" i="105"/>
  <c r="G120" i="105"/>
  <c r="H120" i="105"/>
  <c r="I120" i="105"/>
  <c r="J120" i="105"/>
  <c r="K120" i="105"/>
  <c r="L120" i="105"/>
  <c r="M120" i="105"/>
  <c r="N120" i="105"/>
  <c r="O120" i="105"/>
  <c r="P120" i="105"/>
  <c r="Q120" i="105"/>
  <c r="R120" i="105"/>
  <c r="S120" i="105"/>
  <c r="T120" i="105"/>
  <c r="U120" i="105"/>
  <c r="V120" i="105"/>
  <c r="W120" i="105"/>
  <c r="X120" i="105"/>
  <c r="E120" i="105"/>
  <c r="D118" i="105"/>
  <c r="F120" i="104"/>
  <c r="G120" i="104"/>
  <c r="H120" i="104"/>
  <c r="I120" i="104"/>
  <c r="J120" i="104"/>
  <c r="K120" i="104"/>
  <c r="L120" i="104"/>
  <c r="M120" i="104"/>
  <c r="N120" i="104"/>
  <c r="O120" i="104"/>
  <c r="P120" i="104"/>
  <c r="Q120" i="104"/>
  <c r="R120" i="104"/>
  <c r="S120" i="104"/>
  <c r="T120" i="104"/>
  <c r="U120" i="104"/>
  <c r="V120" i="104"/>
  <c r="W120" i="104"/>
  <c r="X120" i="104"/>
  <c r="E120" i="104"/>
  <c r="D118" i="104"/>
  <c r="F120" i="103"/>
  <c r="G120" i="103"/>
  <c r="H120" i="103"/>
  <c r="I120" i="103"/>
  <c r="J120" i="103"/>
  <c r="K120" i="103"/>
  <c r="L120" i="103"/>
  <c r="M120" i="103"/>
  <c r="N120" i="103"/>
  <c r="O120" i="103"/>
  <c r="P120" i="103"/>
  <c r="Q120" i="103"/>
  <c r="R120" i="103"/>
  <c r="S120" i="103"/>
  <c r="T120" i="103"/>
  <c r="U120" i="103"/>
  <c r="V120" i="103"/>
  <c r="W120" i="103"/>
  <c r="X120" i="103"/>
  <c r="E120" i="103"/>
  <c r="D118" i="103"/>
  <c r="F120" i="93"/>
  <c r="G120" i="93"/>
  <c r="H120" i="93"/>
  <c r="I120" i="93"/>
  <c r="J120" i="93"/>
  <c r="K120" i="93"/>
  <c r="L120" i="93"/>
  <c r="M120" i="93"/>
  <c r="N120" i="93"/>
  <c r="O120" i="93"/>
  <c r="P120" i="93"/>
  <c r="Q120" i="93"/>
  <c r="R120" i="93"/>
  <c r="S120" i="93"/>
  <c r="T120" i="93"/>
  <c r="U120" i="93"/>
  <c r="V120" i="93"/>
  <c r="W120" i="93"/>
  <c r="X120" i="93"/>
  <c r="E120" i="93"/>
  <c r="D118" i="93"/>
  <c r="F120" i="120"/>
  <c r="G120" i="120"/>
  <c r="H120" i="120"/>
  <c r="I120" i="120"/>
  <c r="J120" i="120"/>
  <c r="K120" i="120"/>
  <c r="L120" i="120"/>
  <c r="M120" i="120"/>
  <c r="N120" i="120"/>
  <c r="O120" i="120"/>
  <c r="P120" i="120"/>
  <c r="Q120" i="120"/>
  <c r="R120" i="120"/>
  <c r="S120" i="120"/>
  <c r="T120" i="120"/>
  <c r="U120" i="120"/>
  <c r="V120" i="120"/>
  <c r="W120" i="120"/>
  <c r="X120" i="120"/>
  <c r="E120" i="120"/>
  <c r="D118" i="120"/>
  <c r="F120" i="119"/>
  <c r="G120" i="119"/>
  <c r="H120" i="119"/>
  <c r="I120" i="119"/>
  <c r="J120" i="119"/>
  <c r="K120" i="119"/>
  <c r="L120" i="119"/>
  <c r="M120" i="119"/>
  <c r="N120" i="119"/>
  <c r="O120" i="119"/>
  <c r="P120" i="119"/>
  <c r="Q120" i="119"/>
  <c r="R120" i="119"/>
  <c r="S120" i="119"/>
  <c r="T120" i="119"/>
  <c r="U120" i="119"/>
  <c r="V120" i="119"/>
  <c r="W120" i="119"/>
  <c r="X120" i="119"/>
  <c r="E120" i="119"/>
  <c r="D118" i="119"/>
  <c r="F120" i="118"/>
  <c r="G120" i="118"/>
  <c r="H120" i="118"/>
  <c r="I120" i="118"/>
  <c r="J120" i="118"/>
  <c r="K120" i="118"/>
  <c r="L120" i="118"/>
  <c r="M120" i="118"/>
  <c r="N120" i="118"/>
  <c r="O120" i="118"/>
  <c r="P120" i="118"/>
  <c r="Q120" i="118"/>
  <c r="R120" i="118"/>
  <c r="S120" i="118"/>
  <c r="T120" i="118"/>
  <c r="U120" i="118"/>
  <c r="V120" i="118"/>
  <c r="W120" i="118"/>
  <c r="X120" i="118"/>
  <c r="E120" i="118"/>
  <c r="D118" i="118"/>
  <c r="F120" i="117"/>
  <c r="G120" i="117"/>
  <c r="H120" i="117"/>
  <c r="I120" i="117"/>
  <c r="J120" i="117"/>
  <c r="K120" i="117"/>
  <c r="L120" i="117"/>
  <c r="M120" i="117"/>
  <c r="N120" i="117"/>
  <c r="O120" i="117"/>
  <c r="P120" i="117"/>
  <c r="Q120" i="117"/>
  <c r="R120" i="117"/>
  <c r="S120" i="117"/>
  <c r="T120" i="117"/>
  <c r="U120" i="117"/>
  <c r="V120" i="117"/>
  <c r="W120" i="117"/>
  <c r="X120" i="117"/>
  <c r="E120" i="117"/>
  <c r="D118" i="117"/>
  <c r="F119" i="102"/>
  <c r="G119" i="102"/>
  <c r="H119" i="102"/>
  <c r="I119" i="102"/>
  <c r="J119" i="102"/>
  <c r="K119" i="102"/>
  <c r="L119" i="102"/>
  <c r="M119" i="102"/>
  <c r="N119" i="102"/>
  <c r="O119" i="102"/>
  <c r="P119" i="102"/>
  <c r="Q119" i="102"/>
  <c r="R119" i="102"/>
  <c r="S119" i="102"/>
  <c r="T119" i="102"/>
  <c r="U119" i="102"/>
  <c r="V119" i="102"/>
  <c r="W119" i="102"/>
  <c r="X119" i="102"/>
  <c r="E119" i="102"/>
  <c r="D117" i="102"/>
  <c r="F119" i="101"/>
  <c r="G119" i="101"/>
  <c r="H119" i="101"/>
  <c r="I119" i="101"/>
  <c r="J119" i="101"/>
  <c r="K119" i="101"/>
  <c r="L119" i="101"/>
  <c r="M119" i="101"/>
  <c r="N119" i="101"/>
  <c r="O119" i="101"/>
  <c r="P119" i="101"/>
  <c r="Q119" i="101"/>
  <c r="R119" i="101"/>
  <c r="S119" i="101"/>
  <c r="T119" i="101"/>
  <c r="U119" i="101"/>
  <c r="V119" i="101"/>
  <c r="W119" i="101"/>
  <c r="X119" i="101"/>
  <c r="E119" i="101"/>
  <c r="D117" i="101"/>
  <c r="F119" i="99"/>
  <c r="G119" i="99"/>
  <c r="H119" i="99"/>
  <c r="I119" i="99"/>
  <c r="J119" i="99"/>
  <c r="K119" i="99"/>
  <c r="L119" i="99"/>
  <c r="M119" i="99"/>
  <c r="N119" i="99"/>
  <c r="O119" i="99"/>
  <c r="P119" i="99"/>
  <c r="Q119" i="99"/>
  <c r="R119" i="99"/>
  <c r="S119" i="99"/>
  <c r="T119" i="99"/>
  <c r="U119" i="99"/>
  <c r="V119" i="99"/>
  <c r="W119" i="99"/>
  <c r="X119" i="99"/>
  <c r="E119" i="99"/>
  <c r="D117" i="99"/>
  <c r="F119" i="96"/>
  <c r="G119" i="96"/>
  <c r="H119" i="96"/>
  <c r="I119" i="96"/>
  <c r="J119" i="96"/>
  <c r="K119" i="96"/>
  <c r="L119" i="96"/>
  <c r="M119" i="96"/>
  <c r="N119" i="96"/>
  <c r="O119" i="96"/>
  <c r="P119" i="96"/>
  <c r="Q119" i="96"/>
  <c r="R119" i="96"/>
  <c r="S119" i="96"/>
  <c r="T119" i="96"/>
  <c r="U119" i="96"/>
  <c r="V119" i="96"/>
  <c r="W119" i="96"/>
  <c r="X119" i="96"/>
  <c r="E119" i="96"/>
  <c r="D117" i="96"/>
  <c r="F119" i="112"/>
  <c r="G119" i="112"/>
  <c r="H119" i="112"/>
  <c r="I119" i="112"/>
  <c r="J119" i="112"/>
  <c r="K119" i="112"/>
  <c r="L119" i="112"/>
  <c r="M119" i="112"/>
  <c r="N119" i="112"/>
  <c r="O119" i="112"/>
  <c r="P119" i="112"/>
  <c r="Q119" i="112"/>
  <c r="R119" i="112"/>
  <c r="S119" i="112"/>
  <c r="T119" i="112"/>
  <c r="U119" i="112"/>
  <c r="V119" i="112"/>
  <c r="W119" i="112"/>
  <c r="X119" i="112"/>
  <c r="E119" i="112"/>
  <c r="D117" i="112"/>
  <c r="F119" i="111"/>
  <c r="G119" i="111"/>
  <c r="H119" i="111"/>
  <c r="I119" i="111"/>
  <c r="J119" i="111"/>
  <c r="K119" i="111"/>
  <c r="L119" i="111"/>
  <c r="M119" i="111"/>
  <c r="N119" i="111"/>
  <c r="O119" i="111"/>
  <c r="P119" i="111"/>
  <c r="Q119" i="111"/>
  <c r="R119" i="111"/>
  <c r="S119" i="111"/>
  <c r="T119" i="111"/>
  <c r="U119" i="111"/>
  <c r="V119" i="111"/>
  <c r="W119" i="111"/>
  <c r="X119" i="111"/>
  <c r="E119" i="111"/>
  <c r="D117" i="111"/>
  <c r="F119" i="110"/>
  <c r="G119" i="110"/>
  <c r="H119" i="110"/>
  <c r="I119" i="110"/>
  <c r="J119" i="110"/>
  <c r="K119" i="110"/>
  <c r="L119" i="110"/>
  <c r="M119" i="110"/>
  <c r="N119" i="110"/>
  <c r="O119" i="110"/>
  <c r="P119" i="110"/>
  <c r="Q119" i="110"/>
  <c r="R119" i="110"/>
  <c r="S119" i="110"/>
  <c r="T119" i="110"/>
  <c r="U119" i="110"/>
  <c r="V119" i="110"/>
  <c r="W119" i="110"/>
  <c r="X119" i="110"/>
  <c r="E119" i="110"/>
  <c r="D117" i="110"/>
  <c r="F119" i="109"/>
  <c r="G119" i="109"/>
  <c r="H119" i="109"/>
  <c r="I119" i="109"/>
  <c r="J119" i="109"/>
  <c r="K119" i="109"/>
  <c r="L119" i="109"/>
  <c r="M119" i="109"/>
  <c r="N119" i="109"/>
  <c r="O119" i="109"/>
  <c r="P119" i="109"/>
  <c r="Q119" i="109"/>
  <c r="R119" i="109"/>
  <c r="S119" i="109"/>
  <c r="T119" i="109"/>
  <c r="U119" i="109"/>
  <c r="V119" i="109"/>
  <c r="W119" i="109"/>
  <c r="X119" i="109"/>
  <c r="E119" i="109"/>
  <c r="D117" i="109"/>
  <c r="F119" i="116"/>
  <c r="G119" i="116"/>
  <c r="H119" i="116"/>
  <c r="I119" i="116"/>
  <c r="J119" i="116"/>
  <c r="K119" i="116"/>
  <c r="L119" i="116"/>
  <c r="M119" i="116"/>
  <c r="N119" i="116"/>
  <c r="O119" i="116"/>
  <c r="P119" i="116"/>
  <c r="Q119" i="116"/>
  <c r="R119" i="116"/>
  <c r="S119" i="116"/>
  <c r="T119" i="116"/>
  <c r="U119" i="116"/>
  <c r="V119" i="116"/>
  <c r="W119" i="116"/>
  <c r="X119" i="116"/>
  <c r="E119" i="116"/>
  <c r="D117" i="116"/>
  <c r="F119" i="115"/>
  <c r="G119" i="115"/>
  <c r="H119" i="115"/>
  <c r="I119" i="115"/>
  <c r="J119" i="115"/>
  <c r="K119" i="115"/>
  <c r="L119" i="115"/>
  <c r="M119" i="115"/>
  <c r="N119" i="115"/>
  <c r="O119" i="115"/>
  <c r="P119" i="115"/>
  <c r="Q119" i="115"/>
  <c r="R119" i="115"/>
  <c r="S119" i="115"/>
  <c r="T119" i="115"/>
  <c r="U119" i="115"/>
  <c r="V119" i="115"/>
  <c r="W119" i="115"/>
  <c r="X119" i="115"/>
  <c r="E119" i="115"/>
  <c r="D117" i="115"/>
  <c r="F119" i="114"/>
  <c r="G119" i="114"/>
  <c r="H119" i="114"/>
  <c r="I119" i="114"/>
  <c r="J119" i="114"/>
  <c r="K119" i="114"/>
  <c r="L119" i="114"/>
  <c r="M119" i="114"/>
  <c r="N119" i="114"/>
  <c r="O119" i="114"/>
  <c r="P119" i="114"/>
  <c r="Q119" i="114"/>
  <c r="R119" i="114"/>
  <c r="S119" i="114"/>
  <c r="T119" i="114"/>
  <c r="U119" i="114"/>
  <c r="V119" i="114"/>
  <c r="W119" i="114"/>
  <c r="X119" i="114"/>
  <c r="E119" i="114"/>
  <c r="D117" i="114"/>
  <c r="F119" i="113"/>
  <c r="G119" i="113"/>
  <c r="H119" i="113"/>
  <c r="I119" i="113"/>
  <c r="J119" i="113"/>
  <c r="K119" i="113"/>
  <c r="L119" i="113"/>
  <c r="M119" i="113"/>
  <c r="N119" i="113"/>
  <c r="O119" i="113"/>
  <c r="P119" i="113"/>
  <c r="Q119" i="113"/>
  <c r="R119" i="113"/>
  <c r="S119" i="113"/>
  <c r="T119" i="113"/>
  <c r="U119" i="113"/>
  <c r="V119" i="113"/>
  <c r="W119" i="113"/>
  <c r="X119" i="113"/>
  <c r="E119" i="113"/>
  <c r="D117" i="113"/>
  <c r="F119" i="108"/>
  <c r="G119" i="108"/>
  <c r="H119" i="108"/>
  <c r="I119" i="108"/>
  <c r="J119" i="108"/>
  <c r="K119" i="108"/>
  <c r="L119" i="108"/>
  <c r="M119" i="108"/>
  <c r="N119" i="108"/>
  <c r="O119" i="108"/>
  <c r="P119" i="108"/>
  <c r="Q119" i="108"/>
  <c r="R119" i="108"/>
  <c r="S119" i="108"/>
  <c r="T119" i="108"/>
  <c r="U119" i="108"/>
  <c r="V119" i="108"/>
  <c r="W119" i="108"/>
  <c r="X119" i="108"/>
  <c r="E119" i="108"/>
  <c r="D117" i="108"/>
  <c r="F119" i="97"/>
  <c r="G119" i="97"/>
  <c r="H119" i="97"/>
  <c r="I119" i="97"/>
  <c r="J119" i="97"/>
  <c r="K119" i="97"/>
  <c r="L119" i="97"/>
  <c r="M119" i="97"/>
  <c r="N119" i="97"/>
  <c r="O119" i="97"/>
  <c r="P119" i="97"/>
  <c r="Q119" i="97"/>
  <c r="R119" i="97"/>
  <c r="S119" i="97"/>
  <c r="T119" i="97"/>
  <c r="U119" i="97"/>
  <c r="V119" i="97"/>
  <c r="W119" i="97"/>
  <c r="X119" i="97"/>
  <c r="E119" i="97"/>
  <c r="D117" i="97"/>
  <c r="F71" i="145"/>
  <c r="F60" i="145"/>
  <c r="D73" i="145"/>
  <c r="D62" i="145"/>
  <c r="Q88" i="123"/>
  <c r="R88" i="123"/>
  <c r="S88" i="123"/>
  <c r="T88" i="123"/>
  <c r="U88" i="123"/>
  <c r="V88" i="123"/>
  <c r="W88" i="123"/>
  <c r="X88" i="123"/>
  <c r="Y88" i="123"/>
  <c r="Z88" i="123"/>
  <c r="AA88" i="123"/>
  <c r="AB88" i="123"/>
  <c r="AC88" i="123"/>
  <c r="AD88" i="123"/>
  <c r="AE88" i="123"/>
  <c r="AO57" i="146"/>
  <c r="AM57" i="146"/>
  <c r="AK57" i="146"/>
  <c r="AH57" i="146"/>
  <c r="AF57" i="146"/>
  <c r="AD57" i="146"/>
  <c r="B77" i="145"/>
  <c r="B66" i="145"/>
  <c r="B75" i="145"/>
  <c r="B64" i="145"/>
  <c r="AO49" i="146"/>
  <c r="AM49" i="146"/>
  <c r="AK49" i="146"/>
  <c r="AH49" i="146"/>
  <c r="AF49" i="146"/>
  <c r="AD49" i="146"/>
  <c r="L172" i="140"/>
  <c r="L172" i="142"/>
  <c r="E166" i="104"/>
  <c r="C396" i="71"/>
  <c r="M172" i="140"/>
  <c r="M172" i="142"/>
  <c r="F166" i="104"/>
  <c r="D396" i="71"/>
  <c r="N172" i="140"/>
  <c r="N172" i="142"/>
  <c r="G166" i="104"/>
  <c r="E396" i="71"/>
  <c r="O172" i="140"/>
  <c r="O172" i="142"/>
  <c r="H166" i="104"/>
  <c r="F396" i="71"/>
  <c r="P172" i="140"/>
  <c r="P172" i="142"/>
  <c r="I166" i="104"/>
  <c r="G396" i="71"/>
  <c r="Q172" i="140"/>
  <c r="Q172" i="142"/>
  <c r="J166" i="104"/>
  <c r="H396" i="71"/>
  <c r="R172" i="140"/>
  <c r="R172" i="142"/>
  <c r="K166" i="104"/>
  <c r="I396" i="71"/>
  <c r="S172" i="140"/>
  <c r="S172" i="142"/>
  <c r="L166" i="104"/>
  <c r="J396" i="71"/>
  <c r="T172" i="140"/>
  <c r="T172" i="142"/>
  <c r="M166" i="104"/>
  <c r="K396" i="71"/>
  <c r="U172" i="140"/>
  <c r="U172" i="142"/>
  <c r="N166" i="104"/>
  <c r="L396" i="71"/>
  <c r="V172" i="140"/>
  <c r="V172" i="142"/>
  <c r="O166" i="104"/>
  <c r="M396" i="71"/>
  <c r="W172" i="140"/>
  <c r="W172" i="142"/>
  <c r="P166" i="104"/>
  <c r="N396" i="71"/>
  <c r="X172" i="140"/>
  <c r="X172" i="142"/>
  <c r="Q166" i="104"/>
  <c r="O396" i="71"/>
  <c r="Y172" i="140"/>
  <c r="Y172" i="142"/>
  <c r="R166" i="104"/>
  <c r="P396" i="71"/>
  <c r="Z172" i="140"/>
  <c r="Z172" i="142"/>
  <c r="S166" i="104"/>
  <c r="Q396" i="71"/>
  <c r="AA172" i="140"/>
  <c r="AA172" i="142"/>
  <c r="T166" i="104"/>
  <c r="R396" i="71"/>
  <c r="AB172" i="140"/>
  <c r="AB172" i="142"/>
  <c r="U166" i="104"/>
  <c r="S396" i="71"/>
  <c r="AC172" i="140"/>
  <c r="AC172" i="142"/>
  <c r="V166" i="104"/>
  <c r="T396" i="71"/>
  <c r="AD172" i="140"/>
  <c r="AD172" i="142"/>
  <c r="W166" i="104"/>
  <c r="U396" i="71"/>
  <c r="AE172" i="140"/>
  <c r="AE172" i="142"/>
  <c r="X166" i="104"/>
  <c r="V396" i="71"/>
  <c r="W396" i="71"/>
  <c r="E126" i="104"/>
  <c r="E127" i="104"/>
  <c r="E128" i="104"/>
  <c r="E129" i="104"/>
  <c r="E130" i="104"/>
  <c r="E131" i="104"/>
  <c r="E132" i="104"/>
  <c r="E134" i="104"/>
  <c r="E135" i="104"/>
  <c r="E136" i="104"/>
  <c r="E137" i="104"/>
  <c r="E141" i="104"/>
  <c r="E142" i="104"/>
  <c r="E143" i="104"/>
  <c r="E145" i="104"/>
  <c r="E153" i="104"/>
  <c r="C392" i="71"/>
  <c r="F126" i="104"/>
  <c r="F127" i="104"/>
  <c r="F128" i="104"/>
  <c r="F129" i="104"/>
  <c r="F130" i="104"/>
  <c r="F131" i="104"/>
  <c r="F132" i="104"/>
  <c r="F134" i="104"/>
  <c r="F135" i="104"/>
  <c r="F136" i="104"/>
  <c r="F137" i="104"/>
  <c r="F27" i="104"/>
  <c r="M32" i="142"/>
  <c r="M121" i="142"/>
  <c r="M122" i="142"/>
  <c r="M123" i="142"/>
  <c r="M124" i="142"/>
  <c r="M130" i="142"/>
  <c r="M132" i="142"/>
  <c r="F141" i="104"/>
  <c r="M136" i="142"/>
  <c r="M137" i="142"/>
  <c r="M138" i="142"/>
  <c r="M139" i="142"/>
  <c r="M140" i="142"/>
  <c r="M141" i="142"/>
  <c r="M147" i="142"/>
  <c r="M155" i="142"/>
  <c r="F142" i="104"/>
  <c r="F143" i="104"/>
  <c r="F145" i="104"/>
  <c r="F153" i="104"/>
  <c r="D392" i="71"/>
  <c r="G126" i="104"/>
  <c r="G127" i="104"/>
  <c r="G128" i="104"/>
  <c r="G129" i="104"/>
  <c r="G130" i="104"/>
  <c r="G131" i="104"/>
  <c r="G132" i="104"/>
  <c r="G134" i="104"/>
  <c r="G135" i="104"/>
  <c r="G136" i="104"/>
  <c r="G137" i="104"/>
  <c r="N121" i="142"/>
  <c r="N122" i="142"/>
  <c r="N123" i="142"/>
  <c r="N124" i="142"/>
  <c r="N130" i="142"/>
  <c r="N132" i="142"/>
  <c r="G141" i="104"/>
  <c r="N136" i="142"/>
  <c r="N137" i="142"/>
  <c r="N138" i="142"/>
  <c r="N139" i="142"/>
  <c r="N140" i="142"/>
  <c r="N141" i="142"/>
  <c r="N147" i="142"/>
  <c r="N155" i="142"/>
  <c r="G142" i="104"/>
  <c r="G143" i="104"/>
  <c r="G145" i="104"/>
  <c r="G153" i="104"/>
  <c r="E392" i="71"/>
  <c r="H126" i="104"/>
  <c r="H127" i="104"/>
  <c r="H128" i="104"/>
  <c r="H129" i="104"/>
  <c r="H130" i="104"/>
  <c r="H131" i="104"/>
  <c r="H132" i="104"/>
  <c r="H134" i="104"/>
  <c r="H135" i="104"/>
  <c r="H136" i="104"/>
  <c r="H137" i="104"/>
  <c r="O121" i="142"/>
  <c r="O122" i="142"/>
  <c r="O123" i="142"/>
  <c r="O124" i="142"/>
  <c r="O130" i="142"/>
  <c r="O132" i="142"/>
  <c r="H141" i="104"/>
  <c r="O136" i="142"/>
  <c r="O137" i="142"/>
  <c r="O138" i="142"/>
  <c r="O139" i="142"/>
  <c r="O140" i="142"/>
  <c r="O141" i="142"/>
  <c r="O147" i="142"/>
  <c r="O155" i="142"/>
  <c r="H142" i="104"/>
  <c r="H143" i="104"/>
  <c r="H145" i="104"/>
  <c r="H153" i="104"/>
  <c r="F392" i="71"/>
  <c r="I126" i="104"/>
  <c r="I127" i="104"/>
  <c r="I128" i="104"/>
  <c r="I129" i="104"/>
  <c r="I130" i="104"/>
  <c r="I131" i="104"/>
  <c r="I132" i="104"/>
  <c r="I134" i="104"/>
  <c r="I135" i="104"/>
  <c r="I136" i="104"/>
  <c r="I137" i="104"/>
  <c r="P121" i="142"/>
  <c r="P122" i="142"/>
  <c r="P123" i="142"/>
  <c r="P124" i="142"/>
  <c r="P130" i="142"/>
  <c r="P132" i="142"/>
  <c r="I141" i="104"/>
  <c r="P136" i="142"/>
  <c r="P137" i="142"/>
  <c r="P138" i="142"/>
  <c r="P139" i="142"/>
  <c r="P140" i="142"/>
  <c r="P141" i="142"/>
  <c r="P147" i="142"/>
  <c r="P155" i="142"/>
  <c r="I142" i="104"/>
  <c r="I143" i="104"/>
  <c r="I145" i="104"/>
  <c r="I153" i="104"/>
  <c r="G392" i="71"/>
  <c r="J126" i="104"/>
  <c r="J127" i="104"/>
  <c r="J128" i="104"/>
  <c r="J129" i="104"/>
  <c r="J130" i="104"/>
  <c r="J131" i="104"/>
  <c r="J132" i="104"/>
  <c r="J134" i="104"/>
  <c r="J135" i="104"/>
  <c r="J136" i="104"/>
  <c r="J137" i="104"/>
  <c r="Q121" i="142"/>
  <c r="Q122" i="142"/>
  <c r="Q123" i="142"/>
  <c r="Q124" i="142"/>
  <c r="Q130" i="142"/>
  <c r="Q132" i="142"/>
  <c r="J141" i="104"/>
  <c r="Q136" i="142"/>
  <c r="Q137" i="142"/>
  <c r="Q138" i="142"/>
  <c r="Q139" i="142"/>
  <c r="Q140" i="142"/>
  <c r="Q141" i="142"/>
  <c r="Q147" i="142"/>
  <c r="Q155" i="142"/>
  <c r="J142" i="104"/>
  <c r="J143" i="104"/>
  <c r="J145" i="104"/>
  <c r="J153" i="104"/>
  <c r="H392" i="71"/>
  <c r="K126" i="104"/>
  <c r="K127" i="104"/>
  <c r="K128" i="104"/>
  <c r="K129" i="104"/>
  <c r="K130" i="104"/>
  <c r="K131" i="104"/>
  <c r="K132" i="104"/>
  <c r="K134" i="104"/>
  <c r="K135" i="104"/>
  <c r="K136" i="104"/>
  <c r="K137" i="104"/>
  <c r="R121" i="142"/>
  <c r="R122" i="142"/>
  <c r="R123" i="142"/>
  <c r="R124" i="142"/>
  <c r="R130" i="142"/>
  <c r="R132" i="142"/>
  <c r="K141" i="104"/>
  <c r="R136" i="142"/>
  <c r="R137" i="142"/>
  <c r="R138" i="142"/>
  <c r="R139" i="142"/>
  <c r="R140" i="142"/>
  <c r="R141" i="142"/>
  <c r="R147" i="142"/>
  <c r="R155" i="142"/>
  <c r="K142" i="104"/>
  <c r="K143" i="104"/>
  <c r="K145" i="104"/>
  <c r="K153" i="104"/>
  <c r="I392" i="71"/>
  <c r="L126" i="104"/>
  <c r="L127" i="104"/>
  <c r="L128" i="104"/>
  <c r="L129" i="104"/>
  <c r="L130" i="104"/>
  <c r="L131" i="104"/>
  <c r="L132" i="104"/>
  <c r="L134" i="104"/>
  <c r="L135" i="104"/>
  <c r="L136" i="104"/>
  <c r="L137" i="104"/>
  <c r="S121" i="142"/>
  <c r="S122" i="142"/>
  <c r="S123" i="142"/>
  <c r="S124" i="142"/>
  <c r="S130" i="142"/>
  <c r="S132" i="142"/>
  <c r="L141" i="104"/>
  <c r="S136" i="142"/>
  <c r="S137" i="142"/>
  <c r="S138" i="142"/>
  <c r="S139" i="142"/>
  <c r="S140" i="142"/>
  <c r="S141" i="142"/>
  <c r="S147" i="142"/>
  <c r="S155" i="142"/>
  <c r="L142" i="104"/>
  <c r="L143" i="104"/>
  <c r="L145" i="104"/>
  <c r="L153" i="104"/>
  <c r="J392" i="71"/>
  <c r="M126" i="104"/>
  <c r="M127" i="104"/>
  <c r="M128" i="104"/>
  <c r="M129" i="104"/>
  <c r="M130" i="104"/>
  <c r="M131" i="104"/>
  <c r="M132" i="104"/>
  <c r="M134" i="104"/>
  <c r="M135" i="104"/>
  <c r="M136" i="104"/>
  <c r="M137" i="104"/>
  <c r="T121" i="142"/>
  <c r="T122" i="142"/>
  <c r="T123" i="142"/>
  <c r="T124" i="142"/>
  <c r="T130" i="142"/>
  <c r="T132" i="142"/>
  <c r="M141" i="104"/>
  <c r="T136" i="142"/>
  <c r="T137" i="142"/>
  <c r="T138" i="142"/>
  <c r="T139" i="142"/>
  <c r="T140" i="142"/>
  <c r="T141" i="142"/>
  <c r="T147" i="142"/>
  <c r="T155" i="142"/>
  <c r="M142" i="104"/>
  <c r="M143" i="104"/>
  <c r="M145" i="104"/>
  <c r="M153" i="104"/>
  <c r="K392" i="71"/>
  <c r="N126" i="104"/>
  <c r="N127" i="104"/>
  <c r="N128" i="104"/>
  <c r="N129" i="104"/>
  <c r="N130" i="104"/>
  <c r="N131" i="104"/>
  <c r="N132" i="104"/>
  <c r="N134" i="104"/>
  <c r="N135" i="104"/>
  <c r="N136" i="104"/>
  <c r="N137" i="104"/>
  <c r="U121" i="142"/>
  <c r="U122" i="142"/>
  <c r="U123" i="142"/>
  <c r="U124" i="142"/>
  <c r="U130" i="142"/>
  <c r="U132" i="142"/>
  <c r="N141" i="104"/>
  <c r="U136" i="142"/>
  <c r="U137" i="142"/>
  <c r="U138" i="142"/>
  <c r="U139" i="142"/>
  <c r="U140" i="142"/>
  <c r="U141" i="142"/>
  <c r="U147" i="142"/>
  <c r="U155" i="142"/>
  <c r="N142" i="104"/>
  <c r="N143" i="104"/>
  <c r="N145" i="104"/>
  <c r="N153" i="104"/>
  <c r="L392" i="71"/>
  <c r="O126" i="104"/>
  <c r="O127" i="104"/>
  <c r="O128" i="104"/>
  <c r="O129" i="104"/>
  <c r="O130" i="104"/>
  <c r="O131" i="104"/>
  <c r="O132" i="104"/>
  <c r="O134" i="104"/>
  <c r="O135" i="104"/>
  <c r="O136" i="104"/>
  <c r="O137" i="104"/>
  <c r="V121" i="142"/>
  <c r="V122" i="142"/>
  <c r="V123" i="142"/>
  <c r="V124" i="142"/>
  <c r="V130" i="142"/>
  <c r="V132" i="142"/>
  <c r="O141" i="104"/>
  <c r="V136" i="142"/>
  <c r="V137" i="142"/>
  <c r="V138" i="142"/>
  <c r="V139" i="142"/>
  <c r="V140" i="142"/>
  <c r="V141" i="142"/>
  <c r="V147" i="142"/>
  <c r="V155" i="142"/>
  <c r="O142" i="104"/>
  <c r="O143" i="104"/>
  <c r="O145" i="104"/>
  <c r="O153" i="104"/>
  <c r="M392" i="71"/>
  <c r="P126" i="104"/>
  <c r="P127" i="104"/>
  <c r="P128" i="104"/>
  <c r="P129" i="104"/>
  <c r="P130" i="104"/>
  <c r="P131" i="104"/>
  <c r="P132" i="104"/>
  <c r="P134" i="104"/>
  <c r="P135" i="104"/>
  <c r="P136" i="104"/>
  <c r="P137" i="104"/>
  <c r="W121" i="142"/>
  <c r="W122" i="142"/>
  <c r="W123" i="142"/>
  <c r="W124" i="142"/>
  <c r="W130" i="142"/>
  <c r="W132" i="142"/>
  <c r="P141" i="104"/>
  <c r="W136" i="142"/>
  <c r="W137" i="142"/>
  <c r="W138" i="142"/>
  <c r="W139" i="142"/>
  <c r="W140" i="142"/>
  <c r="W141" i="142"/>
  <c r="W147" i="142"/>
  <c r="W155" i="142"/>
  <c r="P142" i="104"/>
  <c r="P143" i="104"/>
  <c r="P145" i="104"/>
  <c r="P153" i="104"/>
  <c r="N392" i="71"/>
  <c r="Q126" i="104"/>
  <c r="Q127" i="104"/>
  <c r="Q128" i="104"/>
  <c r="Q129" i="104"/>
  <c r="Q130" i="104"/>
  <c r="Q131" i="104"/>
  <c r="Q132" i="104"/>
  <c r="Q134" i="104"/>
  <c r="Q135" i="104"/>
  <c r="Q136" i="104"/>
  <c r="Q137" i="104"/>
  <c r="X121" i="142"/>
  <c r="X122" i="142"/>
  <c r="X123" i="142"/>
  <c r="X124" i="142"/>
  <c r="X130" i="142"/>
  <c r="X132" i="142"/>
  <c r="Q141" i="104"/>
  <c r="X136" i="142"/>
  <c r="X137" i="142"/>
  <c r="X138" i="142"/>
  <c r="X139" i="142"/>
  <c r="X140" i="142"/>
  <c r="X141" i="142"/>
  <c r="X147" i="142"/>
  <c r="X155" i="142"/>
  <c r="Q142" i="104"/>
  <c r="Q143" i="104"/>
  <c r="Q145" i="104"/>
  <c r="Q153" i="104"/>
  <c r="O392" i="71"/>
  <c r="R126" i="104"/>
  <c r="R127" i="104"/>
  <c r="R128" i="104"/>
  <c r="R129" i="104"/>
  <c r="R130" i="104"/>
  <c r="R131" i="104"/>
  <c r="R132" i="104"/>
  <c r="R134" i="104"/>
  <c r="R135" i="104"/>
  <c r="R136" i="104"/>
  <c r="R137" i="104"/>
  <c r="Y121" i="142"/>
  <c r="Y122" i="142"/>
  <c r="Y123" i="142"/>
  <c r="Y124" i="142"/>
  <c r="Y130" i="142"/>
  <c r="Y132" i="142"/>
  <c r="R141" i="104"/>
  <c r="Y136" i="142"/>
  <c r="Y137" i="142"/>
  <c r="Y138" i="142"/>
  <c r="Y139" i="142"/>
  <c r="Y140" i="142"/>
  <c r="Y141" i="142"/>
  <c r="Y147" i="142"/>
  <c r="Y155" i="142"/>
  <c r="R142" i="104"/>
  <c r="R143" i="104"/>
  <c r="R145" i="104"/>
  <c r="R153" i="104"/>
  <c r="P392" i="71"/>
  <c r="S126" i="104"/>
  <c r="S127" i="104"/>
  <c r="S128" i="104"/>
  <c r="S129" i="104"/>
  <c r="S130" i="104"/>
  <c r="S131" i="104"/>
  <c r="S132" i="104"/>
  <c r="S134" i="104"/>
  <c r="S135" i="104"/>
  <c r="S136" i="104"/>
  <c r="S137" i="104"/>
  <c r="Z121" i="142"/>
  <c r="Z122" i="142"/>
  <c r="Z123" i="142"/>
  <c r="Z124" i="142"/>
  <c r="Z130" i="142"/>
  <c r="Z132" i="142"/>
  <c r="S141" i="104"/>
  <c r="Z136" i="142"/>
  <c r="Z137" i="142"/>
  <c r="Z138" i="142"/>
  <c r="Z139" i="142"/>
  <c r="Z140" i="142"/>
  <c r="Z141" i="142"/>
  <c r="Z147" i="142"/>
  <c r="Z155" i="142"/>
  <c r="S142" i="104"/>
  <c r="S143" i="104"/>
  <c r="S145" i="104"/>
  <c r="S153" i="104"/>
  <c r="Q392" i="71"/>
  <c r="T126" i="104"/>
  <c r="T127" i="104"/>
  <c r="T128" i="104"/>
  <c r="T129" i="104"/>
  <c r="T130" i="104"/>
  <c r="T131" i="104"/>
  <c r="T132" i="104"/>
  <c r="T134" i="104"/>
  <c r="T135" i="104"/>
  <c r="T136" i="104"/>
  <c r="T137" i="104"/>
  <c r="AA121" i="142"/>
  <c r="AA122" i="142"/>
  <c r="AA123" i="142"/>
  <c r="AA124" i="142"/>
  <c r="AA130" i="142"/>
  <c r="AA132" i="142"/>
  <c r="T141" i="104"/>
  <c r="AA136" i="142"/>
  <c r="AA137" i="142"/>
  <c r="AA138" i="142"/>
  <c r="AA139" i="142"/>
  <c r="AA140" i="142"/>
  <c r="AA141" i="142"/>
  <c r="AA147" i="142"/>
  <c r="AA155" i="142"/>
  <c r="T142" i="104"/>
  <c r="T143" i="104"/>
  <c r="T145" i="104"/>
  <c r="T153" i="104"/>
  <c r="R392" i="71"/>
  <c r="U126" i="104"/>
  <c r="U127" i="104"/>
  <c r="U128" i="104"/>
  <c r="U129" i="104"/>
  <c r="U130" i="104"/>
  <c r="U131" i="104"/>
  <c r="U132" i="104"/>
  <c r="U134" i="104"/>
  <c r="U135" i="104"/>
  <c r="U136" i="104"/>
  <c r="U137" i="104"/>
  <c r="AB121" i="142"/>
  <c r="AB122" i="142"/>
  <c r="AB123" i="142"/>
  <c r="AB124" i="142"/>
  <c r="AB130" i="142"/>
  <c r="AB132" i="142"/>
  <c r="U141" i="104"/>
  <c r="AB136" i="142"/>
  <c r="AB137" i="142"/>
  <c r="AB138" i="142"/>
  <c r="AB139" i="142"/>
  <c r="AB140" i="142"/>
  <c r="AB141" i="142"/>
  <c r="AB147" i="142"/>
  <c r="AB155" i="142"/>
  <c r="U142" i="104"/>
  <c r="U143" i="104"/>
  <c r="U145" i="104"/>
  <c r="U153" i="104"/>
  <c r="S392" i="71"/>
  <c r="V126" i="104"/>
  <c r="V127" i="104"/>
  <c r="V128" i="104"/>
  <c r="V129" i="104"/>
  <c r="V130" i="104"/>
  <c r="V131" i="104"/>
  <c r="V132" i="104"/>
  <c r="V134" i="104"/>
  <c r="V135" i="104"/>
  <c r="V136" i="104"/>
  <c r="V137" i="104"/>
  <c r="AC121" i="142"/>
  <c r="AC122" i="142"/>
  <c r="AC123" i="142"/>
  <c r="AC124" i="142"/>
  <c r="AC130" i="142"/>
  <c r="AC132" i="142"/>
  <c r="V141" i="104"/>
  <c r="AC136" i="142"/>
  <c r="AC137" i="142"/>
  <c r="AC138" i="142"/>
  <c r="AC139" i="142"/>
  <c r="AC140" i="142"/>
  <c r="AC141" i="142"/>
  <c r="AC147" i="142"/>
  <c r="AC155" i="142"/>
  <c r="V142" i="104"/>
  <c r="V143" i="104"/>
  <c r="V145" i="104"/>
  <c r="V153" i="104"/>
  <c r="T392" i="71"/>
  <c r="W126" i="104"/>
  <c r="W127" i="104"/>
  <c r="W128" i="104"/>
  <c r="W129" i="104"/>
  <c r="W130" i="104"/>
  <c r="W131" i="104"/>
  <c r="W132" i="104"/>
  <c r="W134" i="104"/>
  <c r="W135" i="104"/>
  <c r="W136" i="104"/>
  <c r="W137" i="104"/>
  <c r="AD121" i="142"/>
  <c r="AD122" i="142"/>
  <c r="AD123" i="142"/>
  <c r="AD124" i="142"/>
  <c r="AD130" i="142"/>
  <c r="AD132" i="142"/>
  <c r="W141" i="104"/>
  <c r="AD136" i="142"/>
  <c r="AD137" i="142"/>
  <c r="AD138" i="142"/>
  <c r="AD139" i="142"/>
  <c r="AD140" i="142"/>
  <c r="AD141" i="142"/>
  <c r="AD147" i="142"/>
  <c r="AD155" i="142"/>
  <c r="W142" i="104"/>
  <c r="W143" i="104"/>
  <c r="W145" i="104"/>
  <c r="W153" i="104"/>
  <c r="U392" i="71"/>
  <c r="X126" i="104"/>
  <c r="X127" i="104"/>
  <c r="X128" i="104"/>
  <c r="X129" i="104"/>
  <c r="X130" i="104"/>
  <c r="X131" i="104"/>
  <c r="X132" i="104"/>
  <c r="X134" i="104"/>
  <c r="X135" i="104"/>
  <c r="X136" i="104"/>
  <c r="X137" i="104"/>
  <c r="AE121" i="142"/>
  <c r="AE122" i="142"/>
  <c r="AE123" i="142"/>
  <c r="AE124" i="142"/>
  <c r="AE130" i="142"/>
  <c r="AE132" i="142"/>
  <c r="X141" i="104"/>
  <c r="AE136" i="142"/>
  <c r="AE137" i="142"/>
  <c r="AE138" i="142"/>
  <c r="AE139" i="142"/>
  <c r="AE140" i="142"/>
  <c r="AE141" i="142"/>
  <c r="AE147" i="142"/>
  <c r="AE155" i="142"/>
  <c r="X142" i="104"/>
  <c r="X143" i="104"/>
  <c r="X145" i="104"/>
  <c r="X153" i="104"/>
  <c r="V392" i="71"/>
  <c r="W392" i="71"/>
  <c r="E165" i="104"/>
  <c r="C395" i="71"/>
  <c r="F165" i="104"/>
  <c r="D395" i="71"/>
  <c r="G165" i="104"/>
  <c r="E395" i="71"/>
  <c r="H165" i="104"/>
  <c r="F395" i="71"/>
  <c r="I165" i="104"/>
  <c r="G395" i="71"/>
  <c r="J165" i="104"/>
  <c r="H395" i="71"/>
  <c r="K165" i="104"/>
  <c r="I395" i="71"/>
  <c r="L165" i="104"/>
  <c r="J395" i="71"/>
  <c r="M165" i="104"/>
  <c r="K395" i="71"/>
  <c r="N165" i="104"/>
  <c r="L395" i="71"/>
  <c r="O165" i="104"/>
  <c r="M395" i="71"/>
  <c r="P165" i="104"/>
  <c r="N395" i="71"/>
  <c r="Q165" i="104"/>
  <c r="O395" i="71"/>
  <c r="R165" i="104"/>
  <c r="P395" i="71"/>
  <c r="S165" i="104"/>
  <c r="Q395" i="71"/>
  <c r="T165" i="104"/>
  <c r="R395" i="71"/>
  <c r="U165" i="104"/>
  <c r="S395" i="71"/>
  <c r="V165" i="104"/>
  <c r="T395" i="71"/>
  <c r="W165" i="104"/>
  <c r="U395" i="71"/>
  <c r="X165" i="104"/>
  <c r="V395" i="71"/>
  <c r="W395" i="71"/>
  <c r="Z397" i="71"/>
  <c r="L172" i="141"/>
  <c r="E166" i="103"/>
  <c r="C377" i="71"/>
  <c r="M172" i="141"/>
  <c r="F166" i="103"/>
  <c r="D377" i="71"/>
  <c r="N172" i="141"/>
  <c r="G166" i="103"/>
  <c r="E377" i="71"/>
  <c r="O172" i="141"/>
  <c r="H166" i="103"/>
  <c r="F377" i="71"/>
  <c r="P172" i="141"/>
  <c r="I166" i="103"/>
  <c r="G377" i="71"/>
  <c r="Q172" i="141"/>
  <c r="J166" i="103"/>
  <c r="H377" i="71"/>
  <c r="R172" i="141"/>
  <c r="K166" i="103"/>
  <c r="I377" i="71"/>
  <c r="S172" i="141"/>
  <c r="L166" i="103"/>
  <c r="J377" i="71"/>
  <c r="T172" i="141"/>
  <c r="M166" i="103"/>
  <c r="K377" i="71"/>
  <c r="U172" i="141"/>
  <c r="N166" i="103"/>
  <c r="L377" i="71"/>
  <c r="V172" i="141"/>
  <c r="O166" i="103"/>
  <c r="M377" i="71"/>
  <c r="W172" i="141"/>
  <c r="P166" i="103"/>
  <c r="N377" i="71"/>
  <c r="X172" i="141"/>
  <c r="Q166" i="103"/>
  <c r="O377" i="71"/>
  <c r="Y172" i="141"/>
  <c r="R166" i="103"/>
  <c r="P377" i="71"/>
  <c r="Z172" i="141"/>
  <c r="S166" i="103"/>
  <c r="Q377" i="71"/>
  <c r="AA172" i="141"/>
  <c r="T166" i="103"/>
  <c r="R377" i="71"/>
  <c r="AB172" i="141"/>
  <c r="U166" i="103"/>
  <c r="S377" i="71"/>
  <c r="AC172" i="141"/>
  <c r="V166" i="103"/>
  <c r="T377" i="71"/>
  <c r="AD172" i="141"/>
  <c r="W166" i="103"/>
  <c r="U377" i="71"/>
  <c r="AE172" i="141"/>
  <c r="X166" i="103"/>
  <c r="V377" i="71"/>
  <c r="W377" i="71"/>
  <c r="E126" i="103"/>
  <c r="E127" i="103"/>
  <c r="E128" i="103"/>
  <c r="E129" i="103"/>
  <c r="E130" i="103"/>
  <c r="E131" i="103"/>
  <c r="E132" i="103"/>
  <c r="E134" i="103"/>
  <c r="E135" i="103"/>
  <c r="E136" i="103"/>
  <c r="E137" i="103"/>
  <c r="E141" i="103"/>
  <c r="E142" i="103"/>
  <c r="E143" i="103"/>
  <c r="E145" i="103"/>
  <c r="E153" i="103"/>
  <c r="C373" i="71"/>
  <c r="F126" i="103"/>
  <c r="F127" i="103"/>
  <c r="F128" i="103"/>
  <c r="F129" i="103"/>
  <c r="F130" i="103"/>
  <c r="F131" i="103"/>
  <c r="F132" i="103"/>
  <c r="F134" i="103"/>
  <c r="F135" i="103"/>
  <c r="F136" i="103"/>
  <c r="F137" i="103"/>
  <c r="F27" i="103"/>
  <c r="M32" i="141"/>
  <c r="M121" i="141"/>
  <c r="M122" i="141"/>
  <c r="M123" i="141"/>
  <c r="M124" i="141"/>
  <c r="M130" i="141"/>
  <c r="M132" i="141"/>
  <c r="F141" i="103"/>
  <c r="M136" i="141"/>
  <c r="M137" i="141"/>
  <c r="M138" i="141"/>
  <c r="M139" i="141"/>
  <c r="M140" i="141"/>
  <c r="M141" i="141"/>
  <c r="M147" i="141"/>
  <c r="M155" i="141"/>
  <c r="F142" i="103"/>
  <c r="F143" i="103"/>
  <c r="F145" i="103"/>
  <c r="F153" i="103"/>
  <c r="D373" i="71"/>
  <c r="G126" i="103"/>
  <c r="G127" i="103"/>
  <c r="G128" i="103"/>
  <c r="G129" i="103"/>
  <c r="G130" i="103"/>
  <c r="G131" i="103"/>
  <c r="G132" i="103"/>
  <c r="G134" i="103"/>
  <c r="G135" i="103"/>
  <c r="G136" i="103"/>
  <c r="G137" i="103"/>
  <c r="N121" i="141"/>
  <c r="N122" i="141"/>
  <c r="N123" i="141"/>
  <c r="N124" i="141"/>
  <c r="N130" i="141"/>
  <c r="N132" i="141"/>
  <c r="G141" i="103"/>
  <c r="N136" i="141"/>
  <c r="N137" i="141"/>
  <c r="N138" i="141"/>
  <c r="N139" i="141"/>
  <c r="N140" i="141"/>
  <c r="N141" i="141"/>
  <c r="N147" i="141"/>
  <c r="N155" i="141"/>
  <c r="G142" i="103"/>
  <c r="G143" i="103"/>
  <c r="G145" i="103"/>
  <c r="G153" i="103"/>
  <c r="E373" i="71"/>
  <c r="H126" i="103"/>
  <c r="H127" i="103"/>
  <c r="H128" i="103"/>
  <c r="H129" i="103"/>
  <c r="H130" i="103"/>
  <c r="H131" i="103"/>
  <c r="H132" i="103"/>
  <c r="H134" i="103"/>
  <c r="H135" i="103"/>
  <c r="H136" i="103"/>
  <c r="H137" i="103"/>
  <c r="O121" i="141"/>
  <c r="O122" i="141"/>
  <c r="O123" i="141"/>
  <c r="O124" i="141"/>
  <c r="O130" i="141"/>
  <c r="O132" i="141"/>
  <c r="H141" i="103"/>
  <c r="O136" i="141"/>
  <c r="O137" i="141"/>
  <c r="O138" i="141"/>
  <c r="O139" i="141"/>
  <c r="O140" i="141"/>
  <c r="O141" i="141"/>
  <c r="O147" i="141"/>
  <c r="O155" i="141"/>
  <c r="H142" i="103"/>
  <c r="H143" i="103"/>
  <c r="H145" i="103"/>
  <c r="H153" i="103"/>
  <c r="F373" i="71"/>
  <c r="I126" i="103"/>
  <c r="I127" i="103"/>
  <c r="I128" i="103"/>
  <c r="I129" i="103"/>
  <c r="I130" i="103"/>
  <c r="I131" i="103"/>
  <c r="I132" i="103"/>
  <c r="I134" i="103"/>
  <c r="I135" i="103"/>
  <c r="I136" i="103"/>
  <c r="I137" i="103"/>
  <c r="P121" i="141"/>
  <c r="P122" i="141"/>
  <c r="P123" i="141"/>
  <c r="P124" i="141"/>
  <c r="P130" i="141"/>
  <c r="P132" i="141"/>
  <c r="I141" i="103"/>
  <c r="P136" i="141"/>
  <c r="P137" i="141"/>
  <c r="P138" i="141"/>
  <c r="P139" i="141"/>
  <c r="P140" i="141"/>
  <c r="P141" i="141"/>
  <c r="P147" i="141"/>
  <c r="P155" i="141"/>
  <c r="I142" i="103"/>
  <c r="I143" i="103"/>
  <c r="I145" i="103"/>
  <c r="I153" i="103"/>
  <c r="G373" i="71"/>
  <c r="J126" i="103"/>
  <c r="J127" i="103"/>
  <c r="J128" i="103"/>
  <c r="J129" i="103"/>
  <c r="J130" i="103"/>
  <c r="J131" i="103"/>
  <c r="J132" i="103"/>
  <c r="J134" i="103"/>
  <c r="J135" i="103"/>
  <c r="J136" i="103"/>
  <c r="J137" i="103"/>
  <c r="Q121" i="141"/>
  <c r="Q122" i="141"/>
  <c r="Q123" i="141"/>
  <c r="Q124" i="141"/>
  <c r="Q130" i="141"/>
  <c r="Q132" i="141"/>
  <c r="J141" i="103"/>
  <c r="Q136" i="141"/>
  <c r="Q137" i="141"/>
  <c r="Q138" i="141"/>
  <c r="Q139" i="141"/>
  <c r="Q140" i="141"/>
  <c r="Q141" i="141"/>
  <c r="Q147" i="141"/>
  <c r="Q155" i="141"/>
  <c r="J142" i="103"/>
  <c r="J143" i="103"/>
  <c r="J145" i="103"/>
  <c r="J153" i="103"/>
  <c r="H373" i="71"/>
  <c r="K126" i="103"/>
  <c r="K127" i="103"/>
  <c r="K128" i="103"/>
  <c r="K129" i="103"/>
  <c r="K130" i="103"/>
  <c r="K131" i="103"/>
  <c r="K132" i="103"/>
  <c r="K134" i="103"/>
  <c r="K135" i="103"/>
  <c r="K136" i="103"/>
  <c r="K137" i="103"/>
  <c r="R121" i="141"/>
  <c r="R122" i="141"/>
  <c r="R123" i="141"/>
  <c r="R124" i="141"/>
  <c r="R130" i="141"/>
  <c r="R132" i="141"/>
  <c r="K141" i="103"/>
  <c r="R136" i="141"/>
  <c r="R137" i="141"/>
  <c r="R138" i="141"/>
  <c r="R139" i="141"/>
  <c r="R140" i="141"/>
  <c r="R141" i="141"/>
  <c r="R147" i="141"/>
  <c r="R155" i="141"/>
  <c r="K142" i="103"/>
  <c r="K143" i="103"/>
  <c r="K145" i="103"/>
  <c r="K153" i="103"/>
  <c r="I373" i="71"/>
  <c r="L126" i="103"/>
  <c r="L127" i="103"/>
  <c r="L128" i="103"/>
  <c r="L129" i="103"/>
  <c r="L130" i="103"/>
  <c r="L131" i="103"/>
  <c r="L132" i="103"/>
  <c r="L134" i="103"/>
  <c r="L135" i="103"/>
  <c r="L136" i="103"/>
  <c r="L137" i="103"/>
  <c r="S121" i="141"/>
  <c r="S122" i="141"/>
  <c r="S123" i="141"/>
  <c r="S124" i="141"/>
  <c r="S130" i="141"/>
  <c r="S132" i="141"/>
  <c r="L141" i="103"/>
  <c r="S136" i="141"/>
  <c r="S137" i="141"/>
  <c r="S138" i="141"/>
  <c r="S139" i="141"/>
  <c r="S140" i="141"/>
  <c r="S141" i="141"/>
  <c r="S147" i="141"/>
  <c r="S155" i="141"/>
  <c r="L142" i="103"/>
  <c r="L143" i="103"/>
  <c r="L145" i="103"/>
  <c r="L153" i="103"/>
  <c r="J373" i="71"/>
  <c r="M126" i="103"/>
  <c r="M127" i="103"/>
  <c r="M128" i="103"/>
  <c r="M129" i="103"/>
  <c r="M130" i="103"/>
  <c r="M131" i="103"/>
  <c r="M132" i="103"/>
  <c r="M134" i="103"/>
  <c r="M135" i="103"/>
  <c r="M136" i="103"/>
  <c r="M137" i="103"/>
  <c r="T121" i="141"/>
  <c r="T122" i="141"/>
  <c r="T123" i="141"/>
  <c r="T124" i="141"/>
  <c r="T130" i="141"/>
  <c r="T132" i="141"/>
  <c r="M141" i="103"/>
  <c r="T136" i="141"/>
  <c r="T137" i="141"/>
  <c r="T138" i="141"/>
  <c r="T139" i="141"/>
  <c r="T140" i="141"/>
  <c r="T141" i="141"/>
  <c r="T147" i="141"/>
  <c r="T155" i="141"/>
  <c r="M142" i="103"/>
  <c r="M143" i="103"/>
  <c r="M145" i="103"/>
  <c r="M153" i="103"/>
  <c r="K373" i="71"/>
  <c r="N126" i="103"/>
  <c r="N127" i="103"/>
  <c r="N128" i="103"/>
  <c r="N129" i="103"/>
  <c r="N130" i="103"/>
  <c r="N131" i="103"/>
  <c r="N132" i="103"/>
  <c r="N134" i="103"/>
  <c r="N135" i="103"/>
  <c r="N136" i="103"/>
  <c r="N137" i="103"/>
  <c r="U121" i="141"/>
  <c r="U122" i="141"/>
  <c r="U123" i="141"/>
  <c r="U124" i="141"/>
  <c r="U130" i="141"/>
  <c r="U132" i="141"/>
  <c r="N141" i="103"/>
  <c r="U136" i="141"/>
  <c r="U137" i="141"/>
  <c r="U138" i="141"/>
  <c r="U139" i="141"/>
  <c r="U140" i="141"/>
  <c r="U141" i="141"/>
  <c r="U147" i="141"/>
  <c r="U155" i="141"/>
  <c r="N142" i="103"/>
  <c r="N143" i="103"/>
  <c r="N145" i="103"/>
  <c r="N153" i="103"/>
  <c r="L373" i="71"/>
  <c r="O126" i="103"/>
  <c r="O127" i="103"/>
  <c r="O128" i="103"/>
  <c r="O129" i="103"/>
  <c r="O130" i="103"/>
  <c r="O131" i="103"/>
  <c r="O132" i="103"/>
  <c r="O134" i="103"/>
  <c r="O135" i="103"/>
  <c r="O136" i="103"/>
  <c r="O137" i="103"/>
  <c r="V121" i="141"/>
  <c r="V122" i="141"/>
  <c r="V123" i="141"/>
  <c r="V124" i="141"/>
  <c r="V130" i="141"/>
  <c r="V132" i="141"/>
  <c r="O141" i="103"/>
  <c r="V136" i="141"/>
  <c r="V137" i="141"/>
  <c r="V138" i="141"/>
  <c r="V139" i="141"/>
  <c r="V140" i="141"/>
  <c r="V141" i="141"/>
  <c r="V147" i="141"/>
  <c r="V155" i="141"/>
  <c r="O142" i="103"/>
  <c r="O143" i="103"/>
  <c r="O145" i="103"/>
  <c r="O153" i="103"/>
  <c r="M373" i="71"/>
  <c r="P126" i="103"/>
  <c r="P127" i="103"/>
  <c r="P128" i="103"/>
  <c r="P129" i="103"/>
  <c r="P130" i="103"/>
  <c r="P131" i="103"/>
  <c r="P132" i="103"/>
  <c r="P134" i="103"/>
  <c r="P135" i="103"/>
  <c r="P136" i="103"/>
  <c r="P137" i="103"/>
  <c r="W121" i="141"/>
  <c r="W122" i="141"/>
  <c r="W123" i="141"/>
  <c r="W124" i="141"/>
  <c r="W130" i="141"/>
  <c r="W132" i="141"/>
  <c r="P141" i="103"/>
  <c r="W136" i="141"/>
  <c r="W137" i="141"/>
  <c r="W138" i="141"/>
  <c r="W139" i="141"/>
  <c r="W140" i="141"/>
  <c r="W141" i="141"/>
  <c r="W147" i="141"/>
  <c r="W155" i="141"/>
  <c r="P142" i="103"/>
  <c r="P143" i="103"/>
  <c r="P145" i="103"/>
  <c r="P153" i="103"/>
  <c r="N373" i="71"/>
  <c r="Q126" i="103"/>
  <c r="Q127" i="103"/>
  <c r="Q128" i="103"/>
  <c r="Q129" i="103"/>
  <c r="Q130" i="103"/>
  <c r="Q131" i="103"/>
  <c r="Q132" i="103"/>
  <c r="Q134" i="103"/>
  <c r="Q135" i="103"/>
  <c r="Q136" i="103"/>
  <c r="Q137" i="103"/>
  <c r="X121" i="141"/>
  <c r="X122" i="141"/>
  <c r="X123" i="141"/>
  <c r="X124" i="141"/>
  <c r="X130" i="141"/>
  <c r="X132" i="141"/>
  <c r="Q141" i="103"/>
  <c r="X136" i="141"/>
  <c r="X137" i="141"/>
  <c r="X138" i="141"/>
  <c r="X139" i="141"/>
  <c r="X140" i="141"/>
  <c r="X141" i="141"/>
  <c r="X147" i="141"/>
  <c r="X155" i="141"/>
  <c r="Q142" i="103"/>
  <c r="Q143" i="103"/>
  <c r="Q145" i="103"/>
  <c r="Q153" i="103"/>
  <c r="O373" i="71"/>
  <c r="R126" i="103"/>
  <c r="R127" i="103"/>
  <c r="R128" i="103"/>
  <c r="R129" i="103"/>
  <c r="R130" i="103"/>
  <c r="R131" i="103"/>
  <c r="R132" i="103"/>
  <c r="R134" i="103"/>
  <c r="R135" i="103"/>
  <c r="R136" i="103"/>
  <c r="R137" i="103"/>
  <c r="Y121" i="141"/>
  <c r="Y122" i="141"/>
  <c r="Y123" i="141"/>
  <c r="Y124" i="141"/>
  <c r="Y130" i="141"/>
  <c r="Y132" i="141"/>
  <c r="R141" i="103"/>
  <c r="Y136" i="141"/>
  <c r="Y137" i="141"/>
  <c r="Y138" i="141"/>
  <c r="Y139" i="141"/>
  <c r="Y140" i="141"/>
  <c r="Y141" i="141"/>
  <c r="Y147" i="141"/>
  <c r="Y155" i="141"/>
  <c r="R142" i="103"/>
  <c r="R143" i="103"/>
  <c r="R145" i="103"/>
  <c r="R153" i="103"/>
  <c r="P373" i="71"/>
  <c r="S126" i="103"/>
  <c r="S127" i="103"/>
  <c r="S128" i="103"/>
  <c r="S129" i="103"/>
  <c r="S130" i="103"/>
  <c r="S131" i="103"/>
  <c r="S132" i="103"/>
  <c r="S134" i="103"/>
  <c r="S135" i="103"/>
  <c r="S136" i="103"/>
  <c r="S137" i="103"/>
  <c r="Z121" i="141"/>
  <c r="Z122" i="141"/>
  <c r="Z123" i="141"/>
  <c r="Z124" i="141"/>
  <c r="Z130" i="141"/>
  <c r="Z132" i="141"/>
  <c r="S141" i="103"/>
  <c r="Z136" i="141"/>
  <c r="Z137" i="141"/>
  <c r="Z138" i="141"/>
  <c r="Z139" i="141"/>
  <c r="Z140" i="141"/>
  <c r="Z141" i="141"/>
  <c r="Z147" i="141"/>
  <c r="Z155" i="141"/>
  <c r="S142" i="103"/>
  <c r="S143" i="103"/>
  <c r="S145" i="103"/>
  <c r="S153" i="103"/>
  <c r="Q373" i="71"/>
  <c r="T126" i="103"/>
  <c r="T127" i="103"/>
  <c r="T128" i="103"/>
  <c r="T129" i="103"/>
  <c r="T130" i="103"/>
  <c r="T131" i="103"/>
  <c r="T132" i="103"/>
  <c r="T134" i="103"/>
  <c r="T135" i="103"/>
  <c r="T136" i="103"/>
  <c r="T137" i="103"/>
  <c r="AA121" i="141"/>
  <c r="AA122" i="141"/>
  <c r="AA123" i="141"/>
  <c r="AA124" i="141"/>
  <c r="AA130" i="141"/>
  <c r="AA132" i="141"/>
  <c r="T141" i="103"/>
  <c r="AA136" i="141"/>
  <c r="AA137" i="141"/>
  <c r="AA138" i="141"/>
  <c r="AA139" i="141"/>
  <c r="AA140" i="141"/>
  <c r="AA141" i="141"/>
  <c r="AA147" i="141"/>
  <c r="AA155" i="141"/>
  <c r="T142" i="103"/>
  <c r="T143" i="103"/>
  <c r="T145" i="103"/>
  <c r="T153" i="103"/>
  <c r="R373" i="71"/>
  <c r="U126" i="103"/>
  <c r="U127" i="103"/>
  <c r="U128" i="103"/>
  <c r="U129" i="103"/>
  <c r="U130" i="103"/>
  <c r="U131" i="103"/>
  <c r="U132" i="103"/>
  <c r="U134" i="103"/>
  <c r="U135" i="103"/>
  <c r="U136" i="103"/>
  <c r="U137" i="103"/>
  <c r="AB121" i="141"/>
  <c r="AB122" i="141"/>
  <c r="AB123" i="141"/>
  <c r="AB124" i="141"/>
  <c r="AB130" i="141"/>
  <c r="AB132" i="141"/>
  <c r="U141" i="103"/>
  <c r="AB136" i="141"/>
  <c r="AB137" i="141"/>
  <c r="AB138" i="141"/>
  <c r="AB139" i="141"/>
  <c r="AB140" i="141"/>
  <c r="AB141" i="141"/>
  <c r="AB147" i="141"/>
  <c r="AB155" i="141"/>
  <c r="U142" i="103"/>
  <c r="U143" i="103"/>
  <c r="U145" i="103"/>
  <c r="U153" i="103"/>
  <c r="S373" i="71"/>
  <c r="V126" i="103"/>
  <c r="V127" i="103"/>
  <c r="V128" i="103"/>
  <c r="V129" i="103"/>
  <c r="V130" i="103"/>
  <c r="V131" i="103"/>
  <c r="V132" i="103"/>
  <c r="V134" i="103"/>
  <c r="V135" i="103"/>
  <c r="V136" i="103"/>
  <c r="V137" i="103"/>
  <c r="AC121" i="141"/>
  <c r="AC122" i="141"/>
  <c r="AC123" i="141"/>
  <c r="AC124" i="141"/>
  <c r="AC130" i="141"/>
  <c r="AC132" i="141"/>
  <c r="V141" i="103"/>
  <c r="AC136" i="141"/>
  <c r="AC137" i="141"/>
  <c r="AC138" i="141"/>
  <c r="AC139" i="141"/>
  <c r="AC140" i="141"/>
  <c r="AC141" i="141"/>
  <c r="AC147" i="141"/>
  <c r="AC155" i="141"/>
  <c r="V142" i="103"/>
  <c r="V143" i="103"/>
  <c r="V145" i="103"/>
  <c r="V153" i="103"/>
  <c r="T373" i="71"/>
  <c r="W126" i="103"/>
  <c r="W127" i="103"/>
  <c r="W128" i="103"/>
  <c r="W129" i="103"/>
  <c r="W130" i="103"/>
  <c r="W131" i="103"/>
  <c r="W132" i="103"/>
  <c r="W134" i="103"/>
  <c r="W135" i="103"/>
  <c r="W136" i="103"/>
  <c r="W137" i="103"/>
  <c r="AD121" i="141"/>
  <c r="AD122" i="141"/>
  <c r="AD123" i="141"/>
  <c r="AD124" i="141"/>
  <c r="AD130" i="141"/>
  <c r="AD132" i="141"/>
  <c r="W141" i="103"/>
  <c r="AD136" i="141"/>
  <c r="AD137" i="141"/>
  <c r="AD138" i="141"/>
  <c r="AD139" i="141"/>
  <c r="AD140" i="141"/>
  <c r="AD141" i="141"/>
  <c r="AD147" i="141"/>
  <c r="AD155" i="141"/>
  <c r="W142" i="103"/>
  <c r="W143" i="103"/>
  <c r="W145" i="103"/>
  <c r="W153" i="103"/>
  <c r="U373" i="71"/>
  <c r="X126" i="103"/>
  <c r="X127" i="103"/>
  <c r="X128" i="103"/>
  <c r="X129" i="103"/>
  <c r="X130" i="103"/>
  <c r="X131" i="103"/>
  <c r="X132" i="103"/>
  <c r="X134" i="103"/>
  <c r="X135" i="103"/>
  <c r="X136" i="103"/>
  <c r="X137" i="103"/>
  <c r="AE121" i="141"/>
  <c r="AE122" i="141"/>
  <c r="AE123" i="141"/>
  <c r="AE124" i="141"/>
  <c r="AE130" i="141"/>
  <c r="AE132" i="141"/>
  <c r="X141" i="103"/>
  <c r="AE136" i="141"/>
  <c r="AE137" i="141"/>
  <c r="AE138" i="141"/>
  <c r="AE139" i="141"/>
  <c r="AE140" i="141"/>
  <c r="AE141" i="141"/>
  <c r="AE147" i="141"/>
  <c r="AE155" i="141"/>
  <c r="X142" i="103"/>
  <c r="X143" i="103"/>
  <c r="X145" i="103"/>
  <c r="X153" i="103"/>
  <c r="V373" i="71"/>
  <c r="W373" i="71"/>
  <c r="E165" i="103"/>
  <c r="C376" i="71"/>
  <c r="F165" i="103"/>
  <c r="D376" i="71"/>
  <c r="G165" i="103"/>
  <c r="E376" i="71"/>
  <c r="H165" i="103"/>
  <c r="F376" i="71"/>
  <c r="I165" i="103"/>
  <c r="G376" i="71"/>
  <c r="J165" i="103"/>
  <c r="H376" i="71"/>
  <c r="K165" i="103"/>
  <c r="I376" i="71"/>
  <c r="L165" i="103"/>
  <c r="J376" i="71"/>
  <c r="M165" i="103"/>
  <c r="K376" i="71"/>
  <c r="N165" i="103"/>
  <c r="L376" i="71"/>
  <c r="O165" i="103"/>
  <c r="M376" i="71"/>
  <c r="P165" i="103"/>
  <c r="N376" i="71"/>
  <c r="Q165" i="103"/>
  <c r="O376" i="71"/>
  <c r="R165" i="103"/>
  <c r="P376" i="71"/>
  <c r="S165" i="103"/>
  <c r="Q376" i="71"/>
  <c r="T165" i="103"/>
  <c r="R376" i="71"/>
  <c r="U165" i="103"/>
  <c r="S376" i="71"/>
  <c r="V165" i="103"/>
  <c r="T376" i="71"/>
  <c r="W165" i="103"/>
  <c r="U376" i="71"/>
  <c r="X165" i="103"/>
  <c r="V376" i="71"/>
  <c r="W376" i="71"/>
  <c r="Z378" i="71"/>
  <c r="E166" i="93"/>
  <c r="C358" i="71"/>
  <c r="F166" i="93"/>
  <c r="D358" i="71"/>
  <c r="G166" i="93"/>
  <c r="E358" i="71"/>
  <c r="H166" i="93"/>
  <c r="F358" i="71"/>
  <c r="I166" i="93"/>
  <c r="G358" i="71"/>
  <c r="J166" i="93"/>
  <c r="H358" i="71"/>
  <c r="K166" i="93"/>
  <c r="I358" i="71"/>
  <c r="L166" i="93"/>
  <c r="J358" i="71"/>
  <c r="M166" i="93"/>
  <c r="K358" i="71"/>
  <c r="N166" i="93"/>
  <c r="L358" i="71"/>
  <c r="O166" i="93"/>
  <c r="M358" i="71"/>
  <c r="P166" i="93"/>
  <c r="N358" i="71"/>
  <c r="Q166" i="93"/>
  <c r="O358" i="71"/>
  <c r="R166" i="93"/>
  <c r="P358" i="71"/>
  <c r="S166" i="93"/>
  <c r="Q358" i="71"/>
  <c r="T166" i="93"/>
  <c r="R358" i="71"/>
  <c r="U166" i="93"/>
  <c r="S358" i="71"/>
  <c r="V166" i="93"/>
  <c r="T358" i="71"/>
  <c r="W166" i="93"/>
  <c r="U358" i="71"/>
  <c r="X166" i="93"/>
  <c r="V358" i="71"/>
  <c r="W358" i="71"/>
  <c r="E126" i="93"/>
  <c r="E127" i="93"/>
  <c r="E128" i="93"/>
  <c r="E129" i="93"/>
  <c r="E130" i="93"/>
  <c r="E131" i="93"/>
  <c r="E132" i="93"/>
  <c r="E134" i="93"/>
  <c r="E135" i="93"/>
  <c r="E136" i="93"/>
  <c r="E137" i="93"/>
  <c r="E141" i="93"/>
  <c r="E142" i="93"/>
  <c r="E143" i="93"/>
  <c r="E145" i="93"/>
  <c r="E153" i="93"/>
  <c r="C354" i="71"/>
  <c r="F126" i="93"/>
  <c r="F127" i="93"/>
  <c r="F128" i="93"/>
  <c r="F129" i="93"/>
  <c r="F130" i="93"/>
  <c r="F131" i="93"/>
  <c r="F132" i="93"/>
  <c r="F134" i="93"/>
  <c r="F135" i="93"/>
  <c r="F136" i="93"/>
  <c r="F137" i="93"/>
  <c r="F27" i="93"/>
  <c r="M32" i="140"/>
  <c r="M121" i="140"/>
  <c r="M122" i="140"/>
  <c r="M123" i="140"/>
  <c r="M124" i="140"/>
  <c r="M130" i="140"/>
  <c r="M132" i="140"/>
  <c r="F141" i="93"/>
  <c r="M136" i="140"/>
  <c r="M137" i="140"/>
  <c r="M138" i="140"/>
  <c r="M139" i="140"/>
  <c r="M140" i="140"/>
  <c r="M141" i="140"/>
  <c r="M147" i="140"/>
  <c r="M155" i="140"/>
  <c r="F142" i="93"/>
  <c r="F143" i="93"/>
  <c r="F145" i="93"/>
  <c r="F153" i="93"/>
  <c r="D354" i="71"/>
  <c r="G126" i="93"/>
  <c r="G127" i="93"/>
  <c r="G128" i="93"/>
  <c r="G129" i="93"/>
  <c r="G130" i="93"/>
  <c r="G131" i="93"/>
  <c r="G132" i="93"/>
  <c r="G134" i="93"/>
  <c r="G135" i="93"/>
  <c r="G136" i="93"/>
  <c r="G137" i="93"/>
  <c r="N121" i="140"/>
  <c r="N122" i="140"/>
  <c r="N123" i="140"/>
  <c r="N124" i="140"/>
  <c r="N130" i="140"/>
  <c r="N132" i="140"/>
  <c r="G141" i="93"/>
  <c r="N136" i="140"/>
  <c r="N137" i="140"/>
  <c r="N138" i="140"/>
  <c r="N139" i="140"/>
  <c r="N140" i="140"/>
  <c r="N141" i="140"/>
  <c r="N147" i="140"/>
  <c r="N155" i="140"/>
  <c r="G142" i="93"/>
  <c r="G143" i="93"/>
  <c r="G145" i="93"/>
  <c r="G153" i="93"/>
  <c r="E354" i="71"/>
  <c r="H126" i="93"/>
  <c r="H127" i="93"/>
  <c r="H128" i="93"/>
  <c r="H129" i="93"/>
  <c r="H130" i="93"/>
  <c r="H131" i="93"/>
  <c r="H132" i="93"/>
  <c r="H134" i="93"/>
  <c r="H135" i="93"/>
  <c r="H136" i="93"/>
  <c r="H137" i="93"/>
  <c r="O121" i="140"/>
  <c r="O122" i="140"/>
  <c r="O123" i="140"/>
  <c r="O124" i="140"/>
  <c r="O130" i="140"/>
  <c r="O132" i="140"/>
  <c r="H141" i="93"/>
  <c r="O136" i="140"/>
  <c r="O137" i="140"/>
  <c r="O138" i="140"/>
  <c r="O139" i="140"/>
  <c r="O140" i="140"/>
  <c r="O141" i="140"/>
  <c r="O147" i="140"/>
  <c r="O155" i="140"/>
  <c r="H142" i="93"/>
  <c r="H143" i="93"/>
  <c r="H145" i="93"/>
  <c r="H153" i="93"/>
  <c r="F354" i="71"/>
  <c r="I126" i="93"/>
  <c r="I127" i="93"/>
  <c r="I128" i="93"/>
  <c r="I129" i="93"/>
  <c r="I130" i="93"/>
  <c r="I131" i="93"/>
  <c r="I132" i="93"/>
  <c r="I134" i="93"/>
  <c r="I135" i="93"/>
  <c r="I136" i="93"/>
  <c r="I137" i="93"/>
  <c r="P121" i="140"/>
  <c r="P122" i="140"/>
  <c r="P123" i="140"/>
  <c r="P124" i="140"/>
  <c r="P130" i="140"/>
  <c r="P132" i="140"/>
  <c r="I141" i="93"/>
  <c r="P136" i="140"/>
  <c r="P137" i="140"/>
  <c r="P138" i="140"/>
  <c r="P139" i="140"/>
  <c r="P140" i="140"/>
  <c r="P141" i="140"/>
  <c r="P147" i="140"/>
  <c r="P155" i="140"/>
  <c r="I142" i="93"/>
  <c r="I143" i="93"/>
  <c r="I145" i="93"/>
  <c r="I153" i="93"/>
  <c r="G354" i="71"/>
  <c r="J126" i="93"/>
  <c r="J127" i="93"/>
  <c r="J128" i="93"/>
  <c r="J129" i="93"/>
  <c r="J130" i="93"/>
  <c r="J131" i="93"/>
  <c r="J132" i="93"/>
  <c r="J134" i="93"/>
  <c r="J135" i="93"/>
  <c r="J136" i="93"/>
  <c r="J137" i="93"/>
  <c r="Q121" i="140"/>
  <c r="Q122" i="140"/>
  <c r="Q123" i="140"/>
  <c r="Q124" i="140"/>
  <c r="Q130" i="140"/>
  <c r="Q132" i="140"/>
  <c r="J141" i="93"/>
  <c r="Q136" i="140"/>
  <c r="Q137" i="140"/>
  <c r="Q138" i="140"/>
  <c r="Q139" i="140"/>
  <c r="Q140" i="140"/>
  <c r="Q141" i="140"/>
  <c r="Q147" i="140"/>
  <c r="Q155" i="140"/>
  <c r="J142" i="93"/>
  <c r="J143" i="93"/>
  <c r="J145" i="93"/>
  <c r="J153" i="93"/>
  <c r="H354" i="71"/>
  <c r="K126" i="93"/>
  <c r="K127" i="93"/>
  <c r="K128" i="93"/>
  <c r="K129" i="93"/>
  <c r="K130" i="93"/>
  <c r="K131" i="93"/>
  <c r="K132" i="93"/>
  <c r="K134" i="93"/>
  <c r="K135" i="93"/>
  <c r="K136" i="93"/>
  <c r="K137" i="93"/>
  <c r="R121" i="140"/>
  <c r="R122" i="140"/>
  <c r="R123" i="140"/>
  <c r="R124" i="140"/>
  <c r="R130" i="140"/>
  <c r="R132" i="140"/>
  <c r="K141" i="93"/>
  <c r="R136" i="140"/>
  <c r="R137" i="140"/>
  <c r="R138" i="140"/>
  <c r="R139" i="140"/>
  <c r="R140" i="140"/>
  <c r="R141" i="140"/>
  <c r="R147" i="140"/>
  <c r="R155" i="140"/>
  <c r="K142" i="93"/>
  <c r="K143" i="93"/>
  <c r="K145" i="93"/>
  <c r="K153" i="93"/>
  <c r="I354" i="71"/>
  <c r="L126" i="93"/>
  <c r="L127" i="93"/>
  <c r="L128" i="93"/>
  <c r="L129" i="93"/>
  <c r="L130" i="93"/>
  <c r="L131" i="93"/>
  <c r="L132" i="93"/>
  <c r="L134" i="93"/>
  <c r="L135" i="93"/>
  <c r="L136" i="93"/>
  <c r="L137" i="93"/>
  <c r="S121" i="140"/>
  <c r="S122" i="140"/>
  <c r="S123" i="140"/>
  <c r="S124" i="140"/>
  <c r="S130" i="140"/>
  <c r="S132" i="140"/>
  <c r="L141" i="93"/>
  <c r="S136" i="140"/>
  <c r="S137" i="140"/>
  <c r="S138" i="140"/>
  <c r="S139" i="140"/>
  <c r="S140" i="140"/>
  <c r="S141" i="140"/>
  <c r="S147" i="140"/>
  <c r="S155" i="140"/>
  <c r="L142" i="93"/>
  <c r="L143" i="93"/>
  <c r="L145" i="93"/>
  <c r="L153" i="93"/>
  <c r="J354" i="71"/>
  <c r="M126" i="93"/>
  <c r="M127" i="93"/>
  <c r="M128" i="93"/>
  <c r="M129" i="93"/>
  <c r="M130" i="93"/>
  <c r="M131" i="93"/>
  <c r="M132" i="93"/>
  <c r="M134" i="93"/>
  <c r="M135" i="93"/>
  <c r="M136" i="93"/>
  <c r="M137" i="93"/>
  <c r="T121" i="140"/>
  <c r="T122" i="140"/>
  <c r="T123" i="140"/>
  <c r="T124" i="140"/>
  <c r="T130" i="140"/>
  <c r="T132" i="140"/>
  <c r="M141" i="93"/>
  <c r="T136" i="140"/>
  <c r="T137" i="140"/>
  <c r="T138" i="140"/>
  <c r="T139" i="140"/>
  <c r="T140" i="140"/>
  <c r="T141" i="140"/>
  <c r="T147" i="140"/>
  <c r="T155" i="140"/>
  <c r="M142" i="93"/>
  <c r="M143" i="93"/>
  <c r="M145" i="93"/>
  <c r="M153" i="93"/>
  <c r="K354" i="71"/>
  <c r="N126" i="93"/>
  <c r="N127" i="93"/>
  <c r="N128" i="93"/>
  <c r="N129" i="93"/>
  <c r="N130" i="93"/>
  <c r="N131" i="93"/>
  <c r="N132" i="93"/>
  <c r="N134" i="93"/>
  <c r="N135" i="93"/>
  <c r="N136" i="93"/>
  <c r="N137" i="93"/>
  <c r="U121" i="140"/>
  <c r="U122" i="140"/>
  <c r="U123" i="140"/>
  <c r="U124" i="140"/>
  <c r="U130" i="140"/>
  <c r="U132" i="140"/>
  <c r="N141" i="93"/>
  <c r="U136" i="140"/>
  <c r="U137" i="140"/>
  <c r="U138" i="140"/>
  <c r="U139" i="140"/>
  <c r="U140" i="140"/>
  <c r="U141" i="140"/>
  <c r="U147" i="140"/>
  <c r="U155" i="140"/>
  <c r="N142" i="93"/>
  <c r="N143" i="93"/>
  <c r="N145" i="93"/>
  <c r="N153" i="93"/>
  <c r="L354" i="71"/>
  <c r="O126" i="93"/>
  <c r="O127" i="93"/>
  <c r="O128" i="93"/>
  <c r="O129" i="93"/>
  <c r="O130" i="93"/>
  <c r="O131" i="93"/>
  <c r="O132" i="93"/>
  <c r="O134" i="93"/>
  <c r="O135" i="93"/>
  <c r="O136" i="93"/>
  <c r="O137" i="93"/>
  <c r="V121" i="140"/>
  <c r="V122" i="140"/>
  <c r="V123" i="140"/>
  <c r="V124" i="140"/>
  <c r="V130" i="140"/>
  <c r="V132" i="140"/>
  <c r="O141" i="93"/>
  <c r="V136" i="140"/>
  <c r="V137" i="140"/>
  <c r="V138" i="140"/>
  <c r="V139" i="140"/>
  <c r="V140" i="140"/>
  <c r="V141" i="140"/>
  <c r="V147" i="140"/>
  <c r="V155" i="140"/>
  <c r="O142" i="93"/>
  <c r="O143" i="93"/>
  <c r="O145" i="93"/>
  <c r="O153" i="93"/>
  <c r="M354" i="71"/>
  <c r="P126" i="93"/>
  <c r="P127" i="93"/>
  <c r="P128" i="93"/>
  <c r="P129" i="93"/>
  <c r="P130" i="93"/>
  <c r="P131" i="93"/>
  <c r="P132" i="93"/>
  <c r="P134" i="93"/>
  <c r="P135" i="93"/>
  <c r="P136" i="93"/>
  <c r="P137" i="93"/>
  <c r="W121" i="140"/>
  <c r="W122" i="140"/>
  <c r="W123" i="140"/>
  <c r="W124" i="140"/>
  <c r="W130" i="140"/>
  <c r="W132" i="140"/>
  <c r="P141" i="93"/>
  <c r="W136" i="140"/>
  <c r="W137" i="140"/>
  <c r="W138" i="140"/>
  <c r="W139" i="140"/>
  <c r="W140" i="140"/>
  <c r="W141" i="140"/>
  <c r="W147" i="140"/>
  <c r="W155" i="140"/>
  <c r="P142" i="93"/>
  <c r="P143" i="93"/>
  <c r="P145" i="93"/>
  <c r="P153" i="93"/>
  <c r="N354" i="71"/>
  <c r="Q126" i="93"/>
  <c r="Q127" i="93"/>
  <c r="Q128" i="93"/>
  <c r="Q129" i="93"/>
  <c r="Q130" i="93"/>
  <c r="Q131" i="93"/>
  <c r="Q132" i="93"/>
  <c r="Q134" i="93"/>
  <c r="Q135" i="93"/>
  <c r="Q136" i="93"/>
  <c r="Q137" i="93"/>
  <c r="X121" i="140"/>
  <c r="X122" i="140"/>
  <c r="X123" i="140"/>
  <c r="X124" i="140"/>
  <c r="X130" i="140"/>
  <c r="X132" i="140"/>
  <c r="Q141" i="93"/>
  <c r="X136" i="140"/>
  <c r="X137" i="140"/>
  <c r="X138" i="140"/>
  <c r="X139" i="140"/>
  <c r="X140" i="140"/>
  <c r="X141" i="140"/>
  <c r="X147" i="140"/>
  <c r="X155" i="140"/>
  <c r="Q142" i="93"/>
  <c r="Q143" i="93"/>
  <c r="Q145" i="93"/>
  <c r="Q153" i="93"/>
  <c r="O354" i="71"/>
  <c r="R126" i="93"/>
  <c r="R127" i="93"/>
  <c r="R128" i="93"/>
  <c r="R129" i="93"/>
  <c r="R130" i="93"/>
  <c r="R131" i="93"/>
  <c r="R132" i="93"/>
  <c r="R134" i="93"/>
  <c r="R135" i="93"/>
  <c r="R136" i="93"/>
  <c r="R137" i="93"/>
  <c r="Y121" i="140"/>
  <c r="Y122" i="140"/>
  <c r="Y123" i="140"/>
  <c r="Y124" i="140"/>
  <c r="Y130" i="140"/>
  <c r="Y132" i="140"/>
  <c r="R141" i="93"/>
  <c r="Y136" i="140"/>
  <c r="Y137" i="140"/>
  <c r="Y138" i="140"/>
  <c r="Y139" i="140"/>
  <c r="Y140" i="140"/>
  <c r="Y141" i="140"/>
  <c r="Y147" i="140"/>
  <c r="Y155" i="140"/>
  <c r="R142" i="93"/>
  <c r="R143" i="93"/>
  <c r="R145" i="93"/>
  <c r="R153" i="93"/>
  <c r="P354" i="71"/>
  <c r="S126" i="93"/>
  <c r="S127" i="93"/>
  <c r="S128" i="93"/>
  <c r="S129" i="93"/>
  <c r="S130" i="93"/>
  <c r="S131" i="93"/>
  <c r="S132" i="93"/>
  <c r="S134" i="93"/>
  <c r="S135" i="93"/>
  <c r="S136" i="93"/>
  <c r="S137" i="93"/>
  <c r="Z121" i="140"/>
  <c r="Z122" i="140"/>
  <c r="Z123" i="140"/>
  <c r="Z124" i="140"/>
  <c r="Z130" i="140"/>
  <c r="Z132" i="140"/>
  <c r="S141" i="93"/>
  <c r="Z136" i="140"/>
  <c r="Z137" i="140"/>
  <c r="Z138" i="140"/>
  <c r="Z139" i="140"/>
  <c r="Z140" i="140"/>
  <c r="Z141" i="140"/>
  <c r="Z147" i="140"/>
  <c r="Z155" i="140"/>
  <c r="S142" i="93"/>
  <c r="S143" i="93"/>
  <c r="S145" i="93"/>
  <c r="S153" i="93"/>
  <c r="Q354" i="71"/>
  <c r="T126" i="93"/>
  <c r="T127" i="93"/>
  <c r="T128" i="93"/>
  <c r="T129" i="93"/>
  <c r="T130" i="93"/>
  <c r="T131" i="93"/>
  <c r="T132" i="93"/>
  <c r="T134" i="93"/>
  <c r="T135" i="93"/>
  <c r="T136" i="93"/>
  <c r="T137" i="93"/>
  <c r="AA121" i="140"/>
  <c r="AA122" i="140"/>
  <c r="AA123" i="140"/>
  <c r="AA124" i="140"/>
  <c r="AA130" i="140"/>
  <c r="AA132" i="140"/>
  <c r="T141" i="93"/>
  <c r="AA136" i="140"/>
  <c r="AA137" i="140"/>
  <c r="AA138" i="140"/>
  <c r="AA139" i="140"/>
  <c r="AA140" i="140"/>
  <c r="AA141" i="140"/>
  <c r="AA147" i="140"/>
  <c r="AA155" i="140"/>
  <c r="T142" i="93"/>
  <c r="T143" i="93"/>
  <c r="T145" i="93"/>
  <c r="T153" i="93"/>
  <c r="R354" i="71"/>
  <c r="U126" i="93"/>
  <c r="U127" i="93"/>
  <c r="U128" i="93"/>
  <c r="U129" i="93"/>
  <c r="U130" i="93"/>
  <c r="U131" i="93"/>
  <c r="U132" i="93"/>
  <c r="U134" i="93"/>
  <c r="U135" i="93"/>
  <c r="U136" i="93"/>
  <c r="U137" i="93"/>
  <c r="AB121" i="140"/>
  <c r="AB122" i="140"/>
  <c r="AB123" i="140"/>
  <c r="AB124" i="140"/>
  <c r="AB130" i="140"/>
  <c r="AB132" i="140"/>
  <c r="U141" i="93"/>
  <c r="AB136" i="140"/>
  <c r="AB137" i="140"/>
  <c r="AB138" i="140"/>
  <c r="AB139" i="140"/>
  <c r="AB140" i="140"/>
  <c r="AB141" i="140"/>
  <c r="AB147" i="140"/>
  <c r="AB155" i="140"/>
  <c r="U142" i="93"/>
  <c r="U143" i="93"/>
  <c r="U145" i="93"/>
  <c r="U153" i="93"/>
  <c r="S354" i="71"/>
  <c r="V126" i="93"/>
  <c r="V127" i="93"/>
  <c r="V128" i="93"/>
  <c r="V129" i="93"/>
  <c r="V130" i="93"/>
  <c r="V131" i="93"/>
  <c r="V132" i="93"/>
  <c r="V134" i="93"/>
  <c r="V135" i="93"/>
  <c r="V136" i="93"/>
  <c r="V137" i="93"/>
  <c r="AC121" i="140"/>
  <c r="AC122" i="140"/>
  <c r="AC123" i="140"/>
  <c r="AC124" i="140"/>
  <c r="AC130" i="140"/>
  <c r="AC132" i="140"/>
  <c r="V141" i="93"/>
  <c r="AC136" i="140"/>
  <c r="AC137" i="140"/>
  <c r="AC138" i="140"/>
  <c r="AC139" i="140"/>
  <c r="AC140" i="140"/>
  <c r="AC141" i="140"/>
  <c r="AC147" i="140"/>
  <c r="AC155" i="140"/>
  <c r="V142" i="93"/>
  <c r="V143" i="93"/>
  <c r="V145" i="93"/>
  <c r="V153" i="93"/>
  <c r="T354" i="71"/>
  <c r="W126" i="93"/>
  <c r="W127" i="93"/>
  <c r="W128" i="93"/>
  <c r="W129" i="93"/>
  <c r="W130" i="93"/>
  <c r="W131" i="93"/>
  <c r="W132" i="93"/>
  <c r="W134" i="93"/>
  <c r="W135" i="93"/>
  <c r="W136" i="93"/>
  <c r="W137" i="93"/>
  <c r="AD121" i="140"/>
  <c r="AD122" i="140"/>
  <c r="AD123" i="140"/>
  <c r="AD124" i="140"/>
  <c r="AD130" i="140"/>
  <c r="AD132" i="140"/>
  <c r="W141" i="93"/>
  <c r="AD136" i="140"/>
  <c r="AD137" i="140"/>
  <c r="AD138" i="140"/>
  <c r="AD139" i="140"/>
  <c r="AD140" i="140"/>
  <c r="AD141" i="140"/>
  <c r="AD147" i="140"/>
  <c r="AD155" i="140"/>
  <c r="W142" i="93"/>
  <c r="W143" i="93"/>
  <c r="W145" i="93"/>
  <c r="W153" i="93"/>
  <c r="U354" i="71"/>
  <c r="X126" i="93"/>
  <c r="X127" i="93"/>
  <c r="X128" i="93"/>
  <c r="X129" i="93"/>
  <c r="X130" i="93"/>
  <c r="X131" i="93"/>
  <c r="X132" i="93"/>
  <c r="X134" i="93"/>
  <c r="X135" i="93"/>
  <c r="X136" i="93"/>
  <c r="X137" i="93"/>
  <c r="AE121" i="140"/>
  <c r="AE122" i="140"/>
  <c r="AE123" i="140"/>
  <c r="AE124" i="140"/>
  <c r="AE130" i="140"/>
  <c r="AE132" i="140"/>
  <c r="X141" i="93"/>
  <c r="AE136" i="140"/>
  <c r="AE137" i="140"/>
  <c r="AE138" i="140"/>
  <c r="AE139" i="140"/>
  <c r="AE140" i="140"/>
  <c r="AE141" i="140"/>
  <c r="AE147" i="140"/>
  <c r="AE155" i="140"/>
  <c r="X142" i="93"/>
  <c r="X143" i="93"/>
  <c r="X145" i="93"/>
  <c r="X153" i="93"/>
  <c r="V354" i="71"/>
  <c r="W354" i="71"/>
  <c r="E165" i="93"/>
  <c r="C357" i="71"/>
  <c r="F165" i="93"/>
  <c r="D357" i="71"/>
  <c r="G165" i="93"/>
  <c r="E357" i="71"/>
  <c r="H165" i="93"/>
  <c r="F357" i="71"/>
  <c r="I165" i="93"/>
  <c r="G357" i="71"/>
  <c r="J165" i="93"/>
  <c r="H357" i="71"/>
  <c r="K165" i="93"/>
  <c r="I357" i="71"/>
  <c r="L165" i="93"/>
  <c r="J357" i="71"/>
  <c r="M165" i="93"/>
  <c r="K357" i="71"/>
  <c r="N165" i="93"/>
  <c r="L357" i="71"/>
  <c r="O165" i="93"/>
  <c r="M357" i="71"/>
  <c r="P165" i="93"/>
  <c r="N357" i="71"/>
  <c r="Q165" i="93"/>
  <c r="O357" i="71"/>
  <c r="R165" i="93"/>
  <c r="P357" i="71"/>
  <c r="S165" i="93"/>
  <c r="Q357" i="71"/>
  <c r="T165" i="93"/>
  <c r="R357" i="71"/>
  <c r="U165" i="93"/>
  <c r="S357" i="71"/>
  <c r="V165" i="93"/>
  <c r="T357" i="71"/>
  <c r="W165" i="93"/>
  <c r="U357" i="71"/>
  <c r="X165" i="93"/>
  <c r="V357" i="71"/>
  <c r="W357" i="71"/>
  <c r="Z359" i="71"/>
  <c r="L171" i="136"/>
  <c r="L171" i="138"/>
  <c r="E166" i="119"/>
  <c r="C320" i="71"/>
  <c r="M171" i="136"/>
  <c r="M171" i="138"/>
  <c r="F166" i="119"/>
  <c r="D320" i="71"/>
  <c r="N171" i="136"/>
  <c r="N171" i="138"/>
  <c r="G166" i="119"/>
  <c r="E320" i="71"/>
  <c r="O171" i="136"/>
  <c r="O171" i="138"/>
  <c r="H166" i="119"/>
  <c r="F320" i="71"/>
  <c r="P171" i="136"/>
  <c r="P171" i="138"/>
  <c r="I166" i="119"/>
  <c r="G320" i="71"/>
  <c r="Q171" i="136"/>
  <c r="Q171" i="138"/>
  <c r="J166" i="119"/>
  <c r="H320" i="71"/>
  <c r="R171" i="136"/>
  <c r="R171" i="138"/>
  <c r="K166" i="119"/>
  <c r="I320" i="71"/>
  <c r="S171" i="136"/>
  <c r="S171" i="138"/>
  <c r="L166" i="119"/>
  <c r="J320" i="71"/>
  <c r="T171" i="136"/>
  <c r="T171" i="138"/>
  <c r="M166" i="119"/>
  <c r="K320" i="71"/>
  <c r="U171" i="136"/>
  <c r="U171" i="138"/>
  <c r="N166" i="119"/>
  <c r="L320" i="71"/>
  <c r="V171" i="136"/>
  <c r="V171" i="138"/>
  <c r="O166" i="119"/>
  <c r="M320" i="71"/>
  <c r="W171" i="136"/>
  <c r="W171" i="138"/>
  <c r="P166" i="119"/>
  <c r="N320" i="71"/>
  <c r="X171" i="136"/>
  <c r="X171" i="138"/>
  <c r="Q166" i="119"/>
  <c r="O320" i="71"/>
  <c r="Y171" i="136"/>
  <c r="Y171" i="138"/>
  <c r="R166" i="119"/>
  <c r="P320" i="71"/>
  <c r="Z171" i="136"/>
  <c r="Z171" i="138"/>
  <c r="S166" i="119"/>
  <c r="Q320" i="71"/>
  <c r="AA171" i="136"/>
  <c r="AA171" i="138"/>
  <c r="T166" i="119"/>
  <c r="R320" i="71"/>
  <c r="AB171" i="136"/>
  <c r="AB171" i="138"/>
  <c r="U166" i="119"/>
  <c r="S320" i="71"/>
  <c r="AC171" i="136"/>
  <c r="AC171" i="138"/>
  <c r="V166" i="119"/>
  <c r="T320" i="71"/>
  <c r="AD171" i="136"/>
  <c r="AD171" i="138"/>
  <c r="W166" i="119"/>
  <c r="U320" i="71"/>
  <c r="AE171" i="136"/>
  <c r="AE171" i="138"/>
  <c r="X166" i="119"/>
  <c r="V320" i="71"/>
  <c r="W320" i="71"/>
  <c r="E126" i="119"/>
  <c r="E127" i="119"/>
  <c r="E128" i="119"/>
  <c r="E129" i="119"/>
  <c r="E130" i="119"/>
  <c r="E131" i="119"/>
  <c r="E132" i="119"/>
  <c r="E134" i="119"/>
  <c r="E135" i="119"/>
  <c r="E136" i="119"/>
  <c r="E137" i="119"/>
  <c r="E141" i="119"/>
  <c r="E142" i="119"/>
  <c r="E143" i="119"/>
  <c r="E145" i="119"/>
  <c r="E153" i="119"/>
  <c r="C316" i="71"/>
  <c r="F126" i="119"/>
  <c r="F127" i="119"/>
  <c r="F128" i="119"/>
  <c r="F129" i="119"/>
  <c r="F130" i="119"/>
  <c r="F131" i="119"/>
  <c r="F132" i="119"/>
  <c r="F134" i="119"/>
  <c r="F135" i="119"/>
  <c r="F136" i="119"/>
  <c r="F137" i="119"/>
  <c r="F27" i="119"/>
  <c r="M32" i="138"/>
  <c r="M120" i="138"/>
  <c r="M121" i="138"/>
  <c r="M122" i="138"/>
  <c r="M123" i="138"/>
  <c r="M129" i="138"/>
  <c r="M131" i="138"/>
  <c r="F141" i="119"/>
  <c r="M135" i="138"/>
  <c r="M136" i="138"/>
  <c r="M137" i="138"/>
  <c r="M138" i="138"/>
  <c r="M139" i="138"/>
  <c r="M140" i="138"/>
  <c r="M146" i="138"/>
  <c r="M154" i="138"/>
  <c r="F142" i="119"/>
  <c r="F143" i="119"/>
  <c r="F145" i="119"/>
  <c r="F153" i="119"/>
  <c r="D316" i="71"/>
  <c r="G126" i="119"/>
  <c r="G127" i="119"/>
  <c r="G128" i="119"/>
  <c r="G129" i="119"/>
  <c r="G130" i="119"/>
  <c r="G131" i="119"/>
  <c r="G132" i="119"/>
  <c r="G134" i="119"/>
  <c r="G135" i="119"/>
  <c r="G136" i="119"/>
  <c r="G137" i="119"/>
  <c r="N120" i="138"/>
  <c r="N121" i="138"/>
  <c r="N122" i="138"/>
  <c r="N123" i="138"/>
  <c r="N129" i="138"/>
  <c r="N131" i="138"/>
  <c r="G141" i="119"/>
  <c r="N135" i="138"/>
  <c r="N136" i="138"/>
  <c r="N137" i="138"/>
  <c r="N138" i="138"/>
  <c r="N139" i="138"/>
  <c r="N140" i="138"/>
  <c r="N146" i="138"/>
  <c r="N154" i="138"/>
  <c r="G142" i="119"/>
  <c r="G143" i="119"/>
  <c r="G145" i="119"/>
  <c r="G153" i="119"/>
  <c r="E316" i="71"/>
  <c r="H126" i="119"/>
  <c r="H127" i="119"/>
  <c r="H128" i="119"/>
  <c r="H129" i="119"/>
  <c r="H130" i="119"/>
  <c r="H131" i="119"/>
  <c r="H132" i="119"/>
  <c r="H134" i="119"/>
  <c r="H135" i="119"/>
  <c r="H136" i="119"/>
  <c r="H137" i="119"/>
  <c r="O120" i="138"/>
  <c r="O121" i="138"/>
  <c r="O122" i="138"/>
  <c r="O123" i="138"/>
  <c r="O129" i="138"/>
  <c r="O131" i="138"/>
  <c r="H141" i="119"/>
  <c r="O135" i="138"/>
  <c r="O136" i="138"/>
  <c r="O137" i="138"/>
  <c r="O138" i="138"/>
  <c r="O139" i="138"/>
  <c r="O140" i="138"/>
  <c r="O146" i="138"/>
  <c r="O154" i="138"/>
  <c r="H142" i="119"/>
  <c r="H143" i="119"/>
  <c r="H145" i="119"/>
  <c r="H153" i="119"/>
  <c r="F316" i="71"/>
  <c r="I126" i="119"/>
  <c r="I127" i="119"/>
  <c r="I128" i="119"/>
  <c r="I129" i="119"/>
  <c r="I130" i="119"/>
  <c r="I131" i="119"/>
  <c r="I132" i="119"/>
  <c r="I134" i="119"/>
  <c r="I135" i="119"/>
  <c r="I136" i="119"/>
  <c r="I137" i="119"/>
  <c r="P120" i="138"/>
  <c r="P121" i="138"/>
  <c r="P122" i="138"/>
  <c r="P123" i="138"/>
  <c r="P129" i="138"/>
  <c r="P131" i="138"/>
  <c r="I141" i="119"/>
  <c r="P135" i="138"/>
  <c r="P136" i="138"/>
  <c r="P137" i="138"/>
  <c r="P138" i="138"/>
  <c r="P139" i="138"/>
  <c r="P140" i="138"/>
  <c r="P146" i="138"/>
  <c r="P154" i="138"/>
  <c r="I142" i="119"/>
  <c r="I143" i="119"/>
  <c r="I145" i="119"/>
  <c r="I153" i="119"/>
  <c r="G316" i="71"/>
  <c r="J126" i="119"/>
  <c r="J127" i="119"/>
  <c r="J128" i="119"/>
  <c r="J129" i="119"/>
  <c r="J130" i="119"/>
  <c r="J131" i="119"/>
  <c r="J132" i="119"/>
  <c r="J134" i="119"/>
  <c r="J135" i="119"/>
  <c r="J136" i="119"/>
  <c r="J137" i="119"/>
  <c r="Q120" i="138"/>
  <c r="Q121" i="138"/>
  <c r="Q122" i="138"/>
  <c r="Q123" i="138"/>
  <c r="Q129" i="138"/>
  <c r="Q131" i="138"/>
  <c r="J141" i="119"/>
  <c r="Q135" i="138"/>
  <c r="Q136" i="138"/>
  <c r="Q137" i="138"/>
  <c r="Q138" i="138"/>
  <c r="Q139" i="138"/>
  <c r="Q140" i="138"/>
  <c r="Q146" i="138"/>
  <c r="Q154" i="138"/>
  <c r="J142" i="119"/>
  <c r="J143" i="119"/>
  <c r="J145" i="119"/>
  <c r="J153" i="119"/>
  <c r="H316" i="71"/>
  <c r="K126" i="119"/>
  <c r="K127" i="119"/>
  <c r="K128" i="119"/>
  <c r="K129" i="119"/>
  <c r="K130" i="119"/>
  <c r="K131" i="119"/>
  <c r="K132" i="119"/>
  <c r="K134" i="119"/>
  <c r="K135" i="119"/>
  <c r="K136" i="119"/>
  <c r="K137" i="119"/>
  <c r="R120" i="138"/>
  <c r="R121" i="138"/>
  <c r="R122" i="138"/>
  <c r="R123" i="138"/>
  <c r="R129" i="138"/>
  <c r="R131" i="138"/>
  <c r="K141" i="119"/>
  <c r="R135" i="138"/>
  <c r="R136" i="138"/>
  <c r="R137" i="138"/>
  <c r="R138" i="138"/>
  <c r="R139" i="138"/>
  <c r="R140" i="138"/>
  <c r="R146" i="138"/>
  <c r="R154" i="138"/>
  <c r="K142" i="119"/>
  <c r="K143" i="119"/>
  <c r="K145" i="119"/>
  <c r="K153" i="119"/>
  <c r="I316" i="71"/>
  <c r="L126" i="119"/>
  <c r="L127" i="119"/>
  <c r="L128" i="119"/>
  <c r="L129" i="119"/>
  <c r="L130" i="119"/>
  <c r="L131" i="119"/>
  <c r="L132" i="119"/>
  <c r="L134" i="119"/>
  <c r="L135" i="119"/>
  <c r="L136" i="119"/>
  <c r="L137" i="119"/>
  <c r="S120" i="138"/>
  <c r="S121" i="138"/>
  <c r="S122" i="138"/>
  <c r="S123" i="138"/>
  <c r="S129" i="138"/>
  <c r="S131" i="138"/>
  <c r="L141" i="119"/>
  <c r="S135" i="138"/>
  <c r="S136" i="138"/>
  <c r="S137" i="138"/>
  <c r="S138" i="138"/>
  <c r="S139" i="138"/>
  <c r="S140" i="138"/>
  <c r="S146" i="138"/>
  <c r="S154" i="138"/>
  <c r="L142" i="119"/>
  <c r="L143" i="119"/>
  <c r="L145" i="119"/>
  <c r="L153" i="119"/>
  <c r="J316" i="71"/>
  <c r="M126" i="119"/>
  <c r="M127" i="119"/>
  <c r="M128" i="119"/>
  <c r="M129" i="119"/>
  <c r="M130" i="119"/>
  <c r="M131" i="119"/>
  <c r="M132" i="119"/>
  <c r="M134" i="119"/>
  <c r="M135" i="119"/>
  <c r="M136" i="119"/>
  <c r="M137" i="119"/>
  <c r="T120" i="138"/>
  <c r="T121" i="138"/>
  <c r="T122" i="138"/>
  <c r="T123" i="138"/>
  <c r="T129" i="138"/>
  <c r="T131" i="138"/>
  <c r="M141" i="119"/>
  <c r="T135" i="138"/>
  <c r="T136" i="138"/>
  <c r="T137" i="138"/>
  <c r="T138" i="138"/>
  <c r="T139" i="138"/>
  <c r="T140" i="138"/>
  <c r="T146" i="138"/>
  <c r="T154" i="138"/>
  <c r="M142" i="119"/>
  <c r="M143" i="119"/>
  <c r="M145" i="119"/>
  <c r="M153" i="119"/>
  <c r="K316" i="71"/>
  <c r="N126" i="119"/>
  <c r="N127" i="119"/>
  <c r="N128" i="119"/>
  <c r="N129" i="119"/>
  <c r="N130" i="119"/>
  <c r="N131" i="119"/>
  <c r="N132" i="119"/>
  <c r="N134" i="119"/>
  <c r="N135" i="119"/>
  <c r="N136" i="119"/>
  <c r="N137" i="119"/>
  <c r="U120" i="138"/>
  <c r="U121" i="138"/>
  <c r="U122" i="138"/>
  <c r="U123" i="138"/>
  <c r="U129" i="138"/>
  <c r="U131" i="138"/>
  <c r="N141" i="119"/>
  <c r="U135" i="138"/>
  <c r="U136" i="138"/>
  <c r="U137" i="138"/>
  <c r="U138" i="138"/>
  <c r="U139" i="138"/>
  <c r="U140" i="138"/>
  <c r="U146" i="138"/>
  <c r="U154" i="138"/>
  <c r="N142" i="119"/>
  <c r="N143" i="119"/>
  <c r="N145" i="119"/>
  <c r="N153" i="119"/>
  <c r="L316" i="71"/>
  <c r="O126" i="119"/>
  <c r="O127" i="119"/>
  <c r="O128" i="119"/>
  <c r="O129" i="119"/>
  <c r="O130" i="119"/>
  <c r="O131" i="119"/>
  <c r="O132" i="119"/>
  <c r="O134" i="119"/>
  <c r="O135" i="119"/>
  <c r="O136" i="119"/>
  <c r="O137" i="119"/>
  <c r="V120" i="138"/>
  <c r="V121" i="138"/>
  <c r="V122" i="138"/>
  <c r="V123" i="138"/>
  <c r="V129" i="138"/>
  <c r="V131" i="138"/>
  <c r="O141" i="119"/>
  <c r="V135" i="138"/>
  <c r="V136" i="138"/>
  <c r="V137" i="138"/>
  <c r="V138" i="138"/>
  <c r="V139" i="138"/>
  <c r="V140" i="138"/>
  <c r="V146" i="138"/>
  <c r="V154" i="138"/>
  <c r="O142" i="119"/>
  <c r="O143" i="119"/>
  <c r="O145" i="119"/>
  <c r="O153" i="119"/>
  <c r="M316" i="71"/>
  <c r="P126" i="119"/>
  <c r="P127" i="119"/>
  <c r="P128" i="119"/>
  <c r="P129" i="119"/>
  <c r="P130" i="119"/>
  <c r="P131" i="119"/>
  <c r="P132" i="119"/>
  <c r="P134" i="119"/>
  <c r="P135" i="119"/>
  <c r="P136" i="119"/>
  <c r="P137" i="119"/>
  <c r="W120" i="138"/>
  <c r="W121" i="138"/>
  <c r="W122" i="138"/>
  <c r="W123" i="138"/>
  <c r="W129" i="138"/>
  <c r="W131" i="138"/>
  <c r="P141" i="119"/>
  <c r="W135" i="138"/>
  <c r="W136" i="138"/>
  <c r="W137" i="138"/>
  <c r="W138" i="138"/>
  <c r="W139" i="138"/>
  <c r="W140" i="138"/>
  <c r="W146" i="138"/>
  <c r="W154" i="138"/>
  <c r="P142" i="119"/>
  <c r="P143" i="119"/>
  <c r="P145" i="119"/>
  <c r="P153" i="119"/>
  <c r="N316" i="71"/>
  <c r="Q126" i="119"/>
  <c r="Q127" i="119"/>
  <c r="Q128" i="119"/>
  <c r="Q129" i="119"/>
  <c r="Q130" i="119"/>
  <c r="Q131" i="119"/>
  <c r="Q132" i="119"/>
  <c r="Q134" i="119"/>
  <c r="Q135" i="119"/>
  <c r="Q136" i="119"/>
  <c r="Q137" i="119"/>
  <c r="X120" i="138"/>
  <c r="X121" i="138"/>
  <c r="X122" i="138"/>
  <c r="X123" i="138"/>
  <c r="X129" i="138"/>
  <c r="X131" i="138"/>
  <c r="Q141" i="119"/>
  <c r="X135" i="138"/>
  <c r="X136" i="138"/>
  <c r="X137" i="138"/>
  <c r="X138" i="138"/>
  <c r="X139" i="138"/>
  <c r="X140" i="138"/>
  <c r="X146" i="138"/>
  <c r="X154" i="138"/>
  <c r="Q142" i="119"/>
  <c r="Q143" i="119"/>
  <c r="Q145" i="119"/>
  <c r="Q153" i="119"/>
  <c r="O316" i="71"/>
  <c r="R126" i="119"/>
  <c r="R127" i="119"/>
  <c r="R128" i="119"/>
  <c r="R129" i="119"/>
  <c r="R130" i="119"/>
  <c r="R131" i="119"/>
  <c r="R132" i="119"/>
  <c r="R134" i="119"/>
  <c r="R135" i="119"/>
  <c r="R136" i="119"/>
  <c r="R137" i="119"/>
  <c r="Y120" i="138"/>
  <c r="Y121" i="138"/>
  <c r="Y122" i="138"/>
  <c r="Y123" i="138"/>
  <c r="Y129" i="138"/>
  <c r="Y131" i="138"/>
  <c r="R141" i="119"/>
  <c r="Y135" i="138"/>
  <c r="Y136" i="138"/>
  <c r="Y137" i="138"/>
  <c r="Y138" i="138"/>
  <c r="Y139" i="138"/>
  <c r="Y140" i="138"/>
  <c r="Y146" i="138"/>
  <c r="Y154" i="138"/>
  <c r="R142" i="119"/>
  <c r="R143" i="119"/>
  <c r="R145" i="119"/>
  <c r="R153" i="119"/>
  <c r="P316" i="71"/>
  <c r="S126" i="119"/>
  <c r="S127" i="119"/>
  <c r="S128" i="119"/>
  <c r="S129" i="119"/>
  <c r="S130" i="119"/>
  <c r="S131" i="119"/>
  <c r="S132" i="119"/>
  <c r="S134" i="119"/>
  <c r="S135" i="119"/>
  <c r="S136" i="119"/>
  <c r="S137" i="119"/>
  <c r="Z120" i="138"/>
  <c r="Z121" i="138"/>
  <c r="Z122" i="138"/>
  <c r="Z123" i="138"/>
  <c r="Z129" i="138"/>
  <c r="Z131" i="138"/>
  <c r="S141" i="119"/>
  <c r="Z135" i="138"/>
  <c r="Z136" i="138"/>
  <c r="Z137" i="138"/>
  <c r="Z138" i="138"/>
  <c r="Z139" i="138"/>
  <c r="Z140" i="138"/>
  <c r="Z146" i="138"/>
  <c r="Z154" i="138"/>
  <c r="S142" i="119"/>
  <c r="S143" i="119"/>
  <c r="S145" i="119"/>
  <c r="S153" i="119"/>
  <c r="Q316" i="71"/>
  <c r="T126" i="119"/>
  <c r="T127" i="119"/>
  <c r="T128" i="119"/>
  <c r="T129" i="119"/>
  <c r="T130" i="119"/>
  <c r="T131" i="119"/>
  <c r="T132" i="119"/>
  <c r="T134" i="119"/>
  <c r="T135" i="119"/>
  <c r="T136" i="119"/>
  <c r="T137" i="119"/>
  <c r="AA120" i="138"/>
  <c r="AA121" i="138"/>
  <c r="AA122" i="138"/>
  <c r="AA123" i="138"/>
  <c r="AA129" i="138"/>
  <c r="AA131" i="138"/>
  <c r="T141" i="119"/>
  <c r="AA135" i="138"/>
  <c r="AA136" i="138"/>
  <c r="AA137" i="138"/>
  <c r="AA138" i="138"/>
  <c r="AA139" i="138"/>
  <c r="AA140" i="138"/>
  <c r="AA146" i="138"/>
  <c r="AA154" i="138"/>
  <c r="T142" i="119"/>
  <c r="T143" i="119"/>
  <c r="T145" i="119"/>
  <c r="T153" i="119"/>
  <c r="R316" i="71"/>
  <c r="U126" i="119"/>
  <c r="U127" i="119"/>
  <c r="U128" i="119"/>
  <c r="U129" i="119"/>
  <c r="U130" i="119"/>
  <c r="U131" i="119"/>
  <c r="U132" i="119"/>
  <c r="U134" i="119"/>
  <c r="U135" i="119"/>
  <c r="U136" i="119"/>
  <c r="U137" i="119"/>
  <c r="AB120" i="138"/>
  <c r="AB121" i="138"/>
  <c r="AB122" i="138"/>
  <c r="AB123" i="138"/>
  <c r="AB129" i="138"/>
  <c r="AB131" i="138"/>
  <c r="U141" i="119"/>
  <c r="AB135" i="138"/>
  <c r="AB136" i="138"/>
  <c r="AB137" i="138"/>
  <c r="AB138" i="138"/>
  <c r="AB139" i="138"/>
  <c r="AB140" i="138"/>
  <c r="AB146" i="138"/>
  <c r="AB154" i="138"/>
  <c r="U142" i="119"/>
  <c r="U143" i="119"/>
  <c r="U145" i="119"/>
  <c r="U153" i="119"/>
  <c r="S316" i="71"/>
  <c r="V126" i="119"/>
  <c r="V127" i="119"/>
  <c r="V128" i="119"/>
  <c r="V129" i="119"/>
  <c r="V130" i="119"/>
  <c r="V131" i="119"/>
  <c r="V132" i="119"/>
  <c r="V134" i="119"/>
  <c r="V135" i="119"/>
  <c r="V136" i="119"/>
  <c r="V137" i="119"/>
  <c r="AC120" i="138"/>
  <c r="AC121" i="138"/>
  <c r="AC122" i="138"/>
  <c r="AC123" i="138"/>
  <c r="AC129" i="138"/>
  <c r="AC131" i="138"/>
  <c r="V141" i="119"/>
  <c r="AC135" i="138"/>
  <c r="AC136" i="138"/>
  <c r="AC137" i="138"/>
  <c r="AC138" i="138"/>
  <c r="AC139" i="138"/>
  <c r="AC140" i="138"/>
  <c r="AC146" i="138"/>
  <c r="AC154" i="138"/>
  <c r="V142" i="119"/>
  <c r="V143" i="119"/>
  <c r="V145" i="119"/>
  <c r="V153" i="119"/>
  <c r="T316" i="71"/>
  <c r="W126" i="119"/>
  <c r="W127" i="119"/>
  <c r="W128" i="119"/>
  <c r="W129" i="119"/>
  <c r="W130" i="119"/>
  <c r="W131" i="119"/>
  <c r="W132" i="119"/>
  <c r="W134" i="119"/>
  <c r="W135" i="119"/>
  <c r="W136" i="119"/>
  <c r="W137" i="119"/>
  <c r="AD120" i="138"/>
  <c r="AD121" i="138"/>
  <c r="AD122" i="138"/>
  <c r="AD123" i="138"/>
  <c r="AD129" i="138"/>
  <c r="AD131" i="138"/>
  <c r="W141" i="119"/>
  <c r="AD135" i="138"/>
  <c r="AD136" i="138"/>
  <c r="AD137" i="138"/>
  <c r="AD138" i="138"/>
  <c r="AD139" i="138"/>
  <c r="AD140" i="138"/>
  <c r="AD146" i="138"/>
  <c r="AD154" i="138"/>
  <c r="W142" i="119"/>
  <c r="W143" i="119"/>
  <c r="W145" i="119"/>
  <c r="W153" i="119"/>
  <c r="U316" i="71"/>
  <c r="X126" i="119"/>
  <c r="X127" i="119"/>
  <c r="X128" i="119"/>
  <c r="X129" i="119"/>
  <c r="X130" i="119"/>
  <c r="X131" i="119"/>
  <c r="X132" i="119"/>
  <c r="X134" i="119"/>
  <c r="X135" i="119"/>
  <c r="X136" i="119"/>
  <c r="X137" i="119"/>
  <c r="AE120" i="138"/>
  <c r="AE121" i="138"/>
  <c r="AE122" i="138"/>
  <c r="AE123" i="138"/>
  <c r="AE129" i="138"/>
  <c r="AE131" i="138"/>
  <c r="X141" i="119"/>
  <c r="AE135" i="138"/>
  <c r="AE136" i="138"/>
  <c r="AE137" i="138"/>
  <c r="AE138" i="138"/>
  <c r="AE139" i="138"/>
  <c r="AE140" i="138"/>
  <c r="AE146" i="138"/>
  <c r="AE154" i="138"/>
  <c r="X142" i="119"/>
  <c r="X143" i="119"/>
  <c r="X145" i="119"/>
  <c r="X153" i="119"/>
  <c r="V316" i="71"/>
  <c r="W316" i="71"/>
  <c r="E165" i="119"/>
  <c r="C319" i="71"/>
  <c r="F165" i="119"/>
  <c r="D319" i="71"/>
  <c r="G165" i="119"/>
  <c r="E319" i="71"/>
  <c r="H165" i="119"/>
  <c r="F319" i="71"/>
  <c r="I165" i="119"/>
  <c r="G319" i="71"/>
  <c r="J165" i="119"/>
  <c r="H319" i="71"/>
  <c r="K165" i="119"/>
  <c r="I319" i="71"/>
  <c r="L165" i="119"/>
  <c r="J319" i="71"/>
  <c r="M165" i="119"/>
  <c r="K319" i="71"/>
  <c r="N165" i="119"/>
  <c r="L319" i="71"/>
  <c r="O165" i="119"/>
  <c r="M319" i="71"/>
  <c r="P165" i="119"/>
  <c r="N319" i="71"/>
  <c r="Q165" i="119"/>
  <c r="O319" i="71"/>
  <c r="R165" i="119"/>
  <c r="P319" i="71"/>
  <c r="S165" i="119"/>
  <c r="Q319" i="71"/>
  <c r="T165" i="119"/>
  <c r="R319" i="71"/>
  <c r="U165" i="119"/>
  <c r="S319" i="71"/>
  <c r="V165" i="119"/>
  <c r="T319" i="71"/>
  <c r="W165" i="119"/>
  <c r="U319" i="71"/>
  <c r="X165" i="119"/>
  <c r="V319" i="71"/>
  <c r="W319" i="71"/>
  <c r="Z321" i="71"/>
  <c r="L171" i="137"/>
  <c r="E166" i="118"/>
  <c r="C301" i="71"/>
  <c r="M171" i="137"/>
  <c r="F166" i="118"/>
  <c r="D301" i="71"/>
  <c r="N171" i="137"/>
  <c r="G166" i="118"/>
  <c r="E301" i="71"/>
  <c r="O171" i="137"/>
  <c r="H166" i="118"/>
  <c r="F301" i="71"/>
  <c r="P171" i="137"/>
  <c r="I166" i="118"/>
  <c r="G301" i="71"/>
  <c r="Q171" i="137"/>
  <c r="J166" i="118"/>
  <c r="H301" i="71"/>
  <c r="R171" i="137"/>
  <c r="K166" i="118"/>
  <c r="I301" i="71"/>
  <c r="S171" i="137"/>
  <c r="L166" i="118"/>
  <c r="J301" i="71"/>
  <c r="T171" i="137"/>
  <c r="M166" i="118"/>
  <c r="K301" i="71"/>
  <c r="U171" i="137"/>
  <c r="N166" i="118"/>
  <c r="L301" i="71"/>
  <c r="V171" i="137"/>
  <c r="O166" i="118"/>
  <c r="M301" i="71"/>
  <c r="W171" i="137"/>
  <c r="P166" i="118"/>
  <c r="N301" i="71"/>
  <c r="X171" i="137"/>
  <c r="Q166" i="118"/>
  <c r="O301" i="71"/>
  <c r="Y171" i="137"/>
  <c r="R166" i="118"/>
  <c r="P301" i="71"/>
  <c r="Z171" i="137"/>
  <c r="S166" i="118"/>
  <c r="Q301" i="71"/>
  <c r="AA171" i="137"/>
  <c r="T166" i="118"/>
  <c r="R301" i="71"/>
  <c r="AB171" i="137"/>
  <c r="U166" i="118"/>
  <c r="S301" i="71"/>
  <c r="AC171" i="137"/>
  <c r="V166" i="118"/>
  <c r="T301" i="71"/>
  <c r="AD171" i="137"/>
  <c r="W166" i="118"/>
  <c r="U301" i="71"/>
  <c r="AE171" i="137"/>
  <c r="X166" i="118"/>
  <c r="V301" i="71"/>
  <c r="W301" i="71"/>
  <c r="E126" i="118"/>
  <c r="E127" i="118"/>
  <c r="E128" i="118"/>
  <c r="E129" i="118"/>
  <c r="E130" i="118"/>
  <c r="E131" i="118"/>
  <c r="E132" i="118"/>
  <c r="E134" i="118"/>
  <c r="E135" i="118"/>
  <c r="E136" i="118"/>
  <c r="E137" i="118"/>
  <c r="E141" i="118"/>
  <c r="E142" i="118"/>
  <c r="E143" i="118"/>
  <c r="E145" i="118"/>
  <c r="E153" i="118"/>
  <c r="C297" i="71"/>
  <c r="F126" i="118"/>
  <c r="F127" i="118"/>
  <c r="F128" i="118"/>
  <c r="F129" i="118"/>
  <c r="F130" i="118"/>
  <c r="F131" i="118"/>
  <c r="F132" i="118"/>
  <c r="F134" i="118"/>
  <c r="F135" i="118"/>
  <c r="F136" i="118"/>
  <c r="F137" i="118"/>
  <c r="F27" i="118"/>
  <c r="M32" i="137"/>
  <c r="M120" i="137"/>
  <c r="M121" i="137"/>
  <c r="M122" i="137"/>
  <c r="M123" i="137"/>
  <c r="M129" i="137"/>
  <c r="M131" i="137"/>
  <c r="F141" i="118"/>
  <c r="M135" i="137"/>
  <c r="M136" i="137"/>
  <c r="M137" i="137"/>
  <c r="M138" i="137"/>
  <c r="M139" i="137"/>
  <c r="M140" i="137"/>
  <c r="M146" i="137"/>
  <c r="M154" i="137"/>
  <c r="F142" i="118"/>
  <c r="F143" i="118"/>
  <c r="F145" i="118"/>
  <c r="F153" i="118"/>
  <c r="D297" i="71"/>
  <c r="G126" i="118"/>
  <c r="G127" i="118"/>
  <c r="G128" i="118"/>
  <c r="G129" i="118"/>
  <c r="G130" i="118"/>
  <c r="G131" i="118"/>
  <c r="G132" i="118"/>
  <c r="G134" i="118"/>
  <c r="G135" i="118"/>
  <c r="G136" i="118"/>
  <c r="G137" i="118"/>
  <c r="N120" i="137"/>
  <c r="N121" i="137"/>
  <c r="N122" i="137"/>
  <c r="N123" i="137"/>
  <c r="N129" i="137"/>
  <c r="N131" i="137"/>
  <c r="G141" i="118"/>
  <c r="N135" i="137"/>
  <c r="N136" i="137"/>
  <c r="N137" i="137"/>
  <c r="N138" i="137"/>
  <c r="N139" i="137"/>
  <c r="N140" i="137"/>
  <c r="N146" i="137"/>
  <c r="N154" i="137"/>
  <c r="G142" i="118"/>
  <c r="G143" i="118"/>
  <c r="G145" i="118"/>
  <c r="G153" i="118"/>
  <c r="E297" i="71"/>
  <c r="H126" i="118"/>
  <c r="H127" i="118"/>
  <c r="H128" i="118"/>
  <c r="H129" i="118"/>
  <c r="H130" i="118"/>
  <c r="H131" i="118"/>
  <c r="H132" i="118"/>
  <c r="H134" i="118"/>
  <c r="H135" i="118"/>
  <c r="H136" i="118"/>
  <c r="H137" i="118"/>
  <c r="O120" i="137"/>
  <c r="O121" i="137"/>
  <c r="O122" i="137"/>
  <c r="O123" i="137"/>
  <c r="O129" i="137"/>
  <c r="O131" i="137"/>
  <c r="H141" i="118"/>
  <c r="O135" i="137"/>
  <c r="O136" i="137"/>
  <c r="O137" i="137"/>
  <c r="O138" i="137"/>
  <c r="O139" i="137"/>
  <c r="O140" i="137"/>
  <c r="O146" i="137"/>
  <c r="O154" i="137"/>
  <c r="H142" i="118"/>
  <c r="H143" i="118"/>
  <c r="H145" i="118"/>
  <c r="H153" i="118"/>
  <c r="F297" i="71"/>
  <c r="I126" i="118"/>
  <c r="I127" i="118"/>
  <c r="I128" i="118"/>
  <c r="I129" i="118"/>
  <c r="I130" i="118"/>
  <c r="I131" i="118"/>
  <c r="I132" i="118"/>
  <c r="I134" i="118"/>
  <c r="I135" i="118"/>
  <c r="I136" i="118"/>
  <c r="I137" i="118"/>
  <c r="P120" i="137"/>
  <c r="P121" i="137"/>
  <c r="P122" i="137"/>
  <c r="P123" i="137"/>
  <c r="P129" i="137"/>
  <c r="P131" i="137"/>
  <c r="I141" i="118"/>
  <c r="P135" i="137"/>
  <c r="P136" i="137"/>
  <c r="P137" i="137"/>
  <c r="P138" i="137"/>
  <c r="P139" i="137"/>
  <c r="P140" i="137"/>
  <c r="P146" i="137"/>
  <c r="P154" i="137"/>
  <c r="I142" i="118"/>
  <c r="I143" i="118"/>
  <c r="I145" i="118"/>
  <c r="I153" i="118"/>
  <c r="G297" i="71"/>
  <c r="J126" i="118"/>
  <c r="J127" i="118"/>
  <c r="J128" i="118"/>
  <c r="J129" i="118"/>
  <c r="J130" i="118"/>
  <c r="J131" i="118"/>
  <c r="J132" i="118"/>
  <c r="J134" i="118"/>
  <c r="J135" i="118"/>
  <c r="J136" i="118"/>
  <c r="J137" i="118"/>
  <c r="Q120" i="137"/>
  <c r="Q121" i="137"/>
  <c r="Q122" i="137"/>
  <c r="Q123" i="137"/>
  <c r="Q129" i="137"/>
  <c r="Q131" i="137"/>
  <c r="J141" i="118"/>
  <c r="Q135" i="137"/>
  <c r="Q136" i="137"/>
  <c r="Q137" i="137"/>
  <c r="Q138" i="137"/>
  <c r="Q139" i="137"/>
  <c r="Q140" i="137"/>
  <c r="Q146" i="137"/>
  <c r="Q154" i="137"/>
  <c r="J142" i="118"/>
  <c r="J143" i="118"/>
  <c r="J145" i="118"/>
  <c r="J153" i="118"/>
  <c r="H297" i="71"/>
  <c r="K126" i="118"/>
  <c r="K127" i="118"/>
  <c r="K128" i="118"/>
  <c r="K129" i="118"/>
  <c r="K130" i="118"/>
  <c r="K131" i="118"/>
  <c r="K132" i="118"/>
  <c r="K134" i="118"/>
  <c r="K135" i="118"/>
  <c r="K136" i="118"/>
  <c r="K137" i="118"/>
  <c r="R120" i="137"/>
  <c r="R121" i="137"/>
  <c r="R122" i="137"/>
  <c r="R123" i="137"/>
  <c r="R129" i="137"/>
  <c r="R131" i="137"/>
  <c r="K141" i="118"/>
  <c r="R135" i="137"/>
  <c r="R136" i="137"/>
  <c r="R137" i="137"/>
  <c r="R138" i="137"/>
  <c r="R139" i="137"/>
  <c r="R140" i="137"/>
  <c r="R146" i="137"/>
  <c r="R154" i="137"/>
  <c r="K142" i="118"/>
  <c r="K143" i="118"/>
  <c r="K145" i="118"/>
  <c r="K153" i="118"/>
  <c r="I297" i="71"/>
  <c r="L126" i="118"/>
  <c r="L127" i="118"/>
  <c r="L128" i="118"/>
  <c r="L129" i="118"/>
  <c r="L130" i="118"/>
  <c r="L131" i="118"/>
  <c r="L132" i="118"/>
  <c r="L134" i="118"/>
  <c r="L135" i="118"/>
  <c r="L136" i="118"/>
  <c r="L137" i="118"/>
  <c r="S120" i="137"/>
  <c r="S121" i="137"/>
  <c r="S122" i="137"/>
  <c r="S123" i="137"/>
  <c r="S129" i="137"/>
  <c r="S131" i="137"/>
  <c r="L141" i="118"/>
  <c r="S135" i="137"/>
  <c r="S136" i="137"/>
  <c r="S137" i="137"/>
  <c r="S138" i="137"/>
  <c r="S139" i="137"/>
  <c r="S140" i="137"/>
  <c r="S146" i="137"/>
  <c r="S154" i="137"/>
  <c r="L142" i="118"/>
  <c r="L143" i="118"/>
  <c r="L145" i="118"/>
  <c r="L153" i="118"/>
  <c r="J297" i="71"/>
  <c r="M126" i="118"/>
  <c r="M127" i="118"/>
  <c r="M128" i="118"/>
  <c r="M129" i="118"/>
  <c r="M130" i="118"/>
  <c r="M131" i="118"/>
  <c r="M132" i="118"/>
  <c r="M134" i="118"/>
  <c r="M135" i="118"/>
  <c r="M136" i="118"/>
  <c r="M137" i="118"/>
  <c r="T120" i="137"/>
  <c r="T121" i="137"/>
  <c r="T122" i="137"/>
  <c r="T123" i="137"/>
  <c r="T129" i="137"/>
  <c r="T131" i="137"/>
  <c r="M141" i="118"/>
  <c r="T135" i="137"/>
  <c r="T136" i="137"/>
  <c r="T137" i="137"/>
  <c r="T138" i="137"/>
  <c r="T139" i="137"/>
  <c r="T140" i="137"/>
  <c r="T146" i="137"/>
  <c r="T154" i="137"/>
  <c r="M142" i="118"/>
  <c r="M143" i="118"/>
  <c r="M145" i="118"/>
  <c r="M153" i="118"/>
  <c r="K297" i="71"/>
  <c r="N126" i="118"/>
  <c r="N127" i="118"/>
  <c r="N128" i="118"/>
  <c r="N129" i="118"/>
  <c r="N130" i="118"/>
  <c r="N131" i="118"/>
  <c r="N132" i="118"/>
  <c r="N134" i="118"/>
  <c r="N135" i="118"/>
  <c r="N136" i="118"/>
  <c r="N137" i="118"/>
  <c r="U120" i="137"/>
  <c r="U121" i="137"/>
  <c r="U122" i="137"/>
  <c r="U123" i="137"/>
  <c r="U129" i="137"/>
  <c r="U131" i="137"/>
  <c r="N141" i="118"/>
  <c r="U135" i="137"/>
  <c r="U136" i="137"/>
  <c r="U137" i="137"/>
  <c r="U138" i="137"/>
  <c r="U139" i="137"/>
  <c r="U140" i="137"/>
  <c r="U146" i="137"/>
  <c r="U154" i="137"/>
  <c r="N142" i="118"/>
  <c r="N143" i="118"/>
  <c r="N145" i="118"/>
  <c r="N153" i="118"/>
  <c r="L297" i="71"/>
  <c r="O126" i="118"/>
  <c r="O127" i="118"/>
  <c r="O128" i="118"/>
  <c r="O129" i="118"/>
  <c r="O130" i="118"/>
  <c r="O131" i="118"/>
  <c r="O132" i="118"/>
  <c r="O134" i="118"/>
  <c r="O135" i="118"/>
  <c r="O136" i="118"/>
  <c r="O137" i="118"/>
  <c r="V120" i="137"/>
  <c r="V121" i="137"/>
  <c r="V122" i="137"/>
  <c r="V123" i="137"/>
  <c r="V129" i="137"/>
  <c r="V131" i="137"/>
  <c r="O141" i="118"/>
  <c r="V135" i="137"/>
  <c r="V136" i="137"/>
  <c r="V137" i="137"/>
  <c r="V138" i="137"/>
  <c r="V139" i="137"/>
  <c r="V140" i="137"/>
  <c r="V146" i="137"/>
  <c r="V154" i="137"/>
  <c r="O142" i="118"/>
  <c r="O143" i="118"/>
  <c r="O145" i="118"/>
  <c r="O153" i="118"/>
  <c r="M297" i="71"/>
  <c r="P126" i="118"/>
  <c r="P127" i="118"/>
  <c r="P128" i="118"/>
  <c r="P129" i="118"/>
  <c r="P130" i="118"/>
  <c r="P131" i="118"/>
  <c r="P132" i="118"/>
  <c r="P134" i="118"/>
  <c r="P135" i="118"/>
  <c r="P136" i="118"/>
  <c r="P137" i="118"/>
  <c r="W120" i="137"/>
  <c r="W121" i="137"/>
  <c r="W122" i="137"/>
  <c r="W123" i="137"/>
  <c r="W129" i="137"/>
  <c r="W131" i="137"/>
  <c r="P141" i="118"/>
  <c r="W135" i="137"/>
  <c r="W136" i="137"/>
  <c r="W137" i="137"/>
  <c r="W138" i="137"/>
  <c r="W139" i="137"/>
  <c r="W140" i="137"/>
  <c r="W146" i="137"/>
  <c r="W154" i="137"/>
  <c r="P142" i="118"/>
  <c r="P143" i="118"/>
  <c r="P145" i="118"/>
  <c r="P153" i="118"/>
  <c r="N297" i="71"/>
  <c r="Q126" i="118"/>
  <c r="Q127" i="118"/>
  <c r="Q128" i="118"/>
  <c r="Q129" i="118"/>
  <c r="Q130" i="118"/>
  <c r="Q131" i="118"/>
  <c r="Q132" i="118"/>
  <c r="Q134" i="118"/>
  <c r="Q135" i="118"/>
  <c r="Q136" i="118"/>
  <c r="Q137" i="118"/>
  <c r="X120" i="137"/>
  <c r="X121" i="137"/>
  <c r="X122" i="137"/>
  <c r="X123" i="137"/>
  <c r="X129" i="137"/>
  <c r="X131" i="137"/>
  <c r="Q141" i="118"/>
  <c r="X135" i="137"/>
  <c r="X136" i="137"/>
  <c r="X137" i="137"/>
  <c r="X138" i="137"/>
  <c r="X139" i="137"/>
  <c r="X140" i="137"/>
  <c r="X146" i="137"/>
  <c r="X154" i="137"/>
  <c r="Q142" i="118"/>
  <c r="Q143" i="118"/>
  <c r="Q145" i="118"/>
  <c r="Q153" i="118"/>
  <c r="O297" i="71"/>
  <c r="R126" i="118"/>
  <c r="R127" i="118"/>
  <c r="R128" i="118"/>
  <c r="R129" i="118"/>
  <c r="R130" i="118"/>
  <c r="R131" i="118"/>
  <c r="R132" i="118"/>
  <c r="R134" i="118"/>
  <c r="R135" i="118"/>
  <c r="R136" i="118"/>
  <c r="R137" i="118"/>
  <c r="Y120" i="137"/>
  <c r="Y121" i="137"/>
  <c r="Y122" i="137"/>
  <c r="Y123" i="137"/>
  <c r="Y129" i="137"/>
  <c r="Y131" i="137"/>
  <c r="R141" i="118"/>
  <c r="Y135" i="137"/>
  <c r="Y136" i="137"/>
  <c r="Y137" i="137"/>
  <c r="Y138" i="137"/>
  <c r="Y139" i="137"/>
  <c r="Y140" i="137"/>
  <c r="Y146" i="137"/>
  <c r="Y154" i="137"/>
  <c r="R142" i="118"/>
  <c r="R143" i="118"/>
  <c r="R145" i="118"/>
  <c r="R153" i="118"/>
  <c r="P297" i="71"/>
  <c r="S126" i="118"/>
  <c r="S127" i="118"/>
  <c r="S128" i="118"/>
  <c r="S129" i="118"/>
  <c r="S130" i="118"/>
  <c r="S131" i="118"/>
  <c r="S132" i="118"/>
  <c r="S134" i="118"/>
  <c r="S135" i="118"/>
  <c r="S136" i="118"/>
  <c r="S137" i="118"/>
  <c r="Z120" i="137"/>
  <c r="Z121" i="137"/>
  <c r="Z122" i="137"/>
  <c r="Z123" i="137"/>
  <c r="Z129" i="137"/>
  <c r="Z131" i="137"/>
  <c r="S141" i="118"/>
  <c r="Z135" i="137"/>
  <c r="Z136" i="137"/>
  <c r="Z137" i="137"/>
  <c r="Z138" i="137"/>
  <c r="Z139" i="137"/>
  <c r="Z140" i="137"/>
  <c r="Z146" i="137"/>
  <c r="Z154" i="137"/>
  <c r="S142" i="118"/>
  <c r="S143" i="118"/>
  <c r="S145" i="118"/>
  <c r="S153" i="118"/>
  <c r="Q297" i="71"/>
  <c r="T126" i="118"/>
  <c r="T127" i="118"/>
  <c r="T128" i="118"/>
  <c r="T129" i="118"/>
  <c r="T130" i="118"/>
  <c r="T131" i="118"/>
  <c r="T132" i="118"/>
  <c r="T134" i="118"/>
  <c r="T135" i="118"/>
  <c r="T136" i="118"/>
  <c r="T137" i="118"/>
  <c r="AA120" i="137"/>
  <c r="AA121" i="137"/>
  <c r="AA122" i="137"/>
  <c r="AA123" i="137"/>
  <c r="AA129" i="137"/>
  <c r="AA131" i="137"/>
  <c r="T141" i="118"/>
  <c r="AA135" i="137"/>
  <c r="AA136" i="137"/>
  <c r="AA137" i="137"/>
  <c r="AA138" i="137"/>
  <c r="AA139" i="137"/>
  <c r="AA140" i="137"/>
  <c r="AA146" i="137"/>
  <c r="AA154" i="137"/>
  <c r="T142" i="118"/>
  <c r="T143" i="118"/>
  <c r="T145" i="118"/>
  <c r="T153" i="118"/>
  <c r="R297" i="71"/>
  <c r="U126" i="118"/>
  <c r="U127" i="118"/>
  <c r="U128" i="118"/>
  <c r="U129" i="118"/>
  <c r="U130" i="118"/>
  <c r="U131" i="118"/>
  <c r="U132" i="118"/>
  <c r="U134" i="118"/>
  <c r="U135" i="118"/>
  <c r="U136" i="118"/>
  <c r="U137" i="118"/>
  <c r="AB120" i="137"/>
  <c r="AB121" i="137"/>
  <c r="AB122" i="137"/>
  <c r="AB123" i="137"/>
  <c r="AB129" i="137"/>
  <c r="AB131" i="137"/>
  <c r="U141" i="118"/>
  <c r="AB135" i="137"/>
  <c r="AB136" i="137"/>
  <c r="AB137" i="137"/>
  <c r="AB138" i="137"/>
  <c r="AB139" i="137"/>
  <c r="AB140" i="137"/>
  <c r="AB146" i="137"/>
  <c r="AB154" i="137"/>
  <c r="U142" i="118"/>
  <c r="U143" i="118"/>
  <c r="U145" i="118"/>
  <c r="U153" i="118"/>
  <c r="S297" i="71"/>
  <c r="V126" i="118"/>
  <c r="V127" i="118"/>
  <c r="V128" i="118"/>
  <c r="V129" i="118"/>
  <c r="V130" i="118"/>
  <c r="V131" i="118"/>
  <c r="V132" i="118"/>
  <c r="V134" i="118"/>
  <c r="V135" i="118"/>
  <c r="V136" i="118"/>
  <c r="V137" i="118"/>
  <c r="AC120" i="137"/>
  <c r="AC121" i="137"/>
  <c r="AC122" i="137"/>
  <c r="AC123" i="137"/>
  <c r="AC129" i="137"/>
  <c r="AC131" i="137"/>
  <c r="V141" i="118"/>
  <c r="AC135" i="137"/>
  <c r="AC136" i="137"/>
  <c r="AC137" i="137"/>
  <c r="AC138" i="137"/>
  <c r="AC139" i="137"/>
  <c r="AC140" i="137"/>
  <c r="AC146" i="137"/>
  <c r="AC154" i="137"/>
  <c r="V142" i="118"/>
  <c r="V143" i="118"/>
  <c r="V145" i="118"/>
  <c r="V153" i="118"/>
  <c r="T297" i="71"/>
  <c r="W126" i="118"/>
  <c r="W127" i="118"/>
  <c r="W128" i="118"/>
  <c r="W129" i="118"/>
  <c r="W130" i="118"/>
  <c r="W131" i="118"/>
  <c r="W132" i="118"/>
  <c r="W134" i="118"/>
  <c r="W135" i="118"/>
  <c r="W136" i="118"/>
  <c r="W137" i="118"/>
  <c r="AD120" i="137"/>
  <c r="AD121" i="137"/>
  <c r="AD122" i="137"/>
  <c r="AD123" i="137"/>
  <c r="AD129" i="137"/>
  <c r="AD131" i="137"/>
  <c r="W141" i="118"/>
  <c r="AD135" i="137"/>
  <c r="AD136" i="137"/>
  <c r="AD137" i="137"/>
  <c r="AD138" i="137"/>
  <c r="AD139" i="137"/>
  <c r="AD140" i="137"/>
  <c r="AD146" i="137"/>
  <c r="AD154" i="137"/>
  <c r="W142" i="118"/>
  <c r="W143" i="118"/>
  <c r="W145" i="118"/>
  <c r="W153" i="118"/>
  <c r="U297" i="71"/>
  <c r="X126" i="118"/>
  <c r="X127" i="118"/>
  <c r="X128" i="118"/>
  <c r="X129" i="118"/>
  <c r="X130" i="118"/>
  <c r="X131" i="118"/>
  <c r="X132" i="118"/>
  <c r="X134" i="118"/>
  <c r="X135" i="118"/>
  <c r="X136" i="118"/>
  <c r="X137" i="118"/>
  <c r="AE120" i="137"/>
  <c r="AE121" i="137"/>
  <c r="AE122" i="137"/>
  <c r="AE123" i="137"/>
  <c r="AE129" i="137"/>
  <c r="AE131" i="137"/>
  <c r="X141" i="118"/>
  <c r="AE135" i="137"/>
  <c r="AE136" i="137"/>
  <c r="AE137" i="137"/>
  <c r="AE138" i="137"/>
  <c r="AE139" i="137"/>
  <c r="AE140" i="137"/>
  <c r="AE146" i="137"/>
  <c r="AE154" i="137"/>
  <c r="X142" i="118"/>
  <c r="X143" i="118"/>
  <c r="X145" i="118"/>
  <c r="X153" i="118"/>
  <c r="V297" i="71"/>
  <c r="W297" i="71"/>
  <c r="E165" i="118"/>
  <c r="C300" i="71"/>
  <c r="F165" i="118"/>
  <c r="D300" i="71"/>
  <c r="G165" i="118"/>
  <c r="E300" i="71"/>
  <c r="H165" i="118"/>
  <c r="F300" i="71"/>
  <c r="I165" i="118"/>
  <c r="G300" i="71"/>
  <c r="J165" i="118"/>
  <c r="H300" i="71"/>
  <c r="K165" i="118"/>
  <c r="I300" i="71"/>
  <c r="L165" i="118"/>
  <c r="J300" i="71"/>
  <c r="M165" i="118"/>
  <c r="K300" i="71"/>
  <c r="N165" i="118"/>
  <c r="L300" i="71"/>
  <c r="O165" i="118"/>
  <c r="M300" i="71"/>
  <c r="P165" i="118"/>
  <c r="N300" i="71"/>
  <c r="Q165" i="118"/>
  <c r="O300" i="71"/>
  <c r="R165" i="118"/>
  <c r="P300" i="71"/>
  <c r="S165" i="118"/>
  <c r="Q300" i="71"/>
  <c r="T165" i="118"/>
  <c r="R300" i="71"/>
  <c r="U165" i="118"/>
  <c r="S300" i="71"/>
  <c r="V165" i="118"/>
  <c r="T300" i="71"/>
  <c r="W165" i="118"/>
  <c r="U300" i="71"/>
  <c r="X165" i="118"/>
  <c r="V300" i="71"/>
  <c r="W300" i="71"/>
  <c r="Z302" i="71"/>
  <c r="E166" i="117"/>
  <c r="C282" i="71"/>
  <c r="F166" i="117"/>
  <c r="D282" i="71"/>
  <c r="G166" i="117"/>
  <c r="E282" i="71"/>
  <c r="H166" i="117"/>
  <c r="F282" i="71"/>
  <c r="I166" i="117"/>
  <c r="G282" i="71"/>
  <c r="J166" i="117"/>
  <c r="H282" i="71"/>
  <c r="K166" i="117"/>
  <c r="I282" i="71"/>
  <c r="L166" i="117"/>
  <c r="J282" i="71"/>
  <c r="M166" i="117"/>
  <c r="K282" i="71"/>
  <c r="N166" i="117"/>
  <c r="L282" i="71"/>
  <c r="O166" i="117"/>
  <c r="M282" i="71"/>
  <c r="P166" i="117"/>
  <c r="N282" i="71"/>
  <c r="Q166" i="117"/>
  <c r="O282" i="71"/>
  <c r="R166" i="117"/>
  <c r="P282" i="71"/>
  <c r="S166" i="117"/>
  <c r="Q282" i="71"/>
  <c r="T166" i="117"/>
  <c r="R282" i="71"/>
  <c r="U166" i="117"/>
  <c r="S282" i="71"/>
  <c r="V166" i="117"/>
  <c r="T282" i="71"/>
  <c r="W166" i="117"/>
  <c r="U282" i="71"/>
  <c r="X166" i="117"/>
  <c r="V282" i="71"/>
  <c r="W282" i="71"/>
  <c r="E126" i="117"/>
  <c r="E127" i="117"/>
  <c r="E128" i="117"/>
  <c r="E129" i="117"/>
  <c r="E130" i="117"/>
  <c r="E131" i="117"/>
  <c r="E132" i="117"/>
  <c r="E134" i="117"/>
  <c r="E135" i="117"/>
  <c r="E136" i="117"/>
  <c r="E137" i="117"/>
  <c r="E141" i="117"/>
  <c r="E142" i="117"/>
  <c r="E143" i="117"/>
  <c r="E145" i="117"/>
  <c r="E153" i="117"/>
  <c r="C278" i="71"/>
  <c r="F126" i="117"/>
  <c r="F127" i="117"/>
  <c r="F128" i="117"/>
  <c r="F129" i="117"/>
  <c r="F130" i="117"/>
  <c r="F131" i="117"/>
  <c r="F132" i="117"/>
  <c r="F134" i="117"/>
  <c r="F135" i="117"/>
  <c r="F136" i="117"/>
  <c r="F137" i="117"/>
  <c r="F27" i="117"/>
  <c r="M32" i="136"/>
  <c r="M120" i="136"/>
  <c r="M121" i="136"/>
  <c r="M122" i="136"/>
  <c r="M123" i="136"/>
  <c r="M129" i="136"/>
  <c r="M131" i="136"/>
  <c r="F141" i="117"/>
  <c r="M135" i="136"/>
  <c r="M136" i="136"/>
  <c r="M137" i="136"/>
  <c r="M138" i="136"/>
  <c r="M139" i="136"/>
  <c r="M140" i="136"/>
  <c r="M146" i="136"/>
  <c r="M154" i="136"/>
  <c r="F142" i="117"/>
  <c r="F143" i="117"/>
  <c r="F145" i="117"/>
  <c r="F153" i="117"/>
  <c r="D278" i="71"/>
  <c r="G126" i="117"/>
  <c r="G127" i="117"/>
  <c r="G128" i="117"/>
  <c r="G129" i="117"/>
  <c r="G130" i="117"/>
  <c r="G131" i="117"/>
  <c r="G132" i="117"/>
  <c r="G134" i="117"/>
  <c r="G135" i="117"/>
  <c r="G136" i="117"/>
  <c r="G137" i="117"/>
  <c r="N120" i="136"/>
  <c r="N121" i="136"/>
  <c r="N122" i="136"/>
  <c r="N123" i="136"/>
  <c r="N129" i="136"/>
  <c r="N131" i="136"/>
  <c r="G141" i="117"/>
  <c r="N135" i="136"/>
  <c r="N136" i="136"/>
  <c r="N137" i="136"/>
  <c r="N138" i="136"/>
  <c r="N139" i="136"/>
  <c r="N140" i="136"/>
  <c r="N146" i="136"/>
  <c r="N154" i="136"/>
  <c r="G142" i="117"/>
  <c r="G143" i="117"/>
  <c r="G145" i="117"/>
  <c r="G153" i="117"/>
  <c r="E278" i="71"/>
  <c r="H126" i="117"/>
  <c r="H127" i="117"/>
  <c r="H128" i="117"/>
  <c r="H129" i="117"/>
  <c r="H130" i="117"/>
  <c r="H131" i="117"/>
  <c r="H132" i="117"/>
  <c r="H134" i="117"/>
  <c r="H135" i="117"/>
  <c r="H136" i="117"/>
  <c r="H137" i="117"/>
  <c r="O120" i="136"/>
  <c r="O121" i="136"/>
  <c r="O122" i="136"/>
  <c r="O123" i="136"/>
  <c r="O129" i="136"/>
  <c r="O131" i="136"/>
  <c r="H141" i="117"/>
  <c r="O135" i="136"/>
  <c r="O136" i="136"/>
  <c r="O137" i="136"/>
  <c r="O138" i="136"/>
  <c r="O139" i="136"/>
  <c r="O140" i="136"/>
  <c r="O146" i="136"/>
  <c r="O154" i="136"/>
  <c r="H142" i="117"/>
  <c r="H143" i="117"/>
  <c r="H145" i="117"/>
  <c r="H153" i="117"/>
  <c r="F278" i="71"/>
  <c r="I126" i="117"/>
  <c r="I127" i="117"/>
  <c r="I128" i="117"/>
  <c r="I129" i="117"/>
  <c r="I130" i="117"/>
  <c r="I131" i="117"/>
  <c r="I132" i="117"/>
  <c r="I134" i="117"/>
  <c r="I135" i="117"/>
  <c r="I136" i="117"/>
  <c r="I137" i="117"/>
  <c r="P120" i="136"/>
  <c r="P121" i="136"/>
  <c r="P122" i="136"/>
  <c r="P123" i="136"/>
  <c r="P129" i="136"/>
  <c r="P131" i="136"/>
  <c r="I141" i="117"/>
  <c r="P135" i="136"/>
  <c r="P136" i="136"/>
  <c r="P137" i="136"/>
  <c r="P138" i="136"/>
  <c r="P139" i="136"/>
  <c r="P140" i="136"/>
  <c r="P146" i="136"/>
  <c r="P154" i="136"/>
  <c r="I142" i="117"/>
  <c r="I143" i="117"/>
  <c r="I145" i="117"/>
  <c r="I153" i="117"/>
  <c r="G278" i="71"/>
  <c r="J126" i="117"/>
  <c r="J127" i="117"/>
  <c r="J128" i="117"/>
  <c r="J129" i="117"/>
  <c r="J130" i="117"/>
  <c r="J131" i="117"/>
  <c r="J132" i="117"/>
  <c r="J134" i="117"/>
  <c r="J135" i="117"/>
  <c r="J136" i="117"/>
  <c r="J137" i="117"/>
  <c r="Q120" i="136"/>
  <c r="Q121" i="136"/>
  <c r="Q122" i="136"/>
  <c r="Q123" i="136"/>
  <c r="Q129" i="136"/>
  <c r="Q131" i="136"/>
  <c r="J141" i="117"/>
  <c r="Q135" i="136"/>
  <c r="Q136" i="136"/>
  <c r="Q137" i="136"/>
  <c r="Q138" i="136"/>
  <c r="Q139" i="136"/>
  <c r="Q140" i="136"/>
  <c r="Q146" i="136"/>
  <c r="Q154" i="136"/>
  <c r="J142" i="117"/>
  <c r="J143" i="117"/>
  <c r="J145" i="117"/>
  <c r="J153" i="117"/>
  <c r="H278" i="71"/>
  <c r="K126" i="117"/>
  <c r="K127" i="117"/>
  <c r="K128" i="117"/>
  <c r="K129" i="117"/>
  <c r="K130" i="117"/>
  <c r="K131" i="117"/>
  <c r="K132" i="117"/>
  <c r="K134" i="117"/>
  <c r="K135" i="117"/>
  <c r="K136" i="117"/>
  <c r="K137" i="117"/>
  <c r="R120" i="136"/>
  <c r="R121" i="136"/>
  <c r="R122" i="136"/>
  <c r="R123" i="136"/>
  <c r="R129" i="136"/>
  <c r="R131" i="136"/>
  <c r="K141" i="117"/>
  <c r="R135" i="136"/>
  <c r="R136" i="136"/>
  <c r="R137" i="136"/>
  <c r="R138" i="136"/>
  <c r="R139" i="136"/>
  <c r="R140" i="136"/>
  <c r="R146" i="136"/>
  <c r="R154" i="136"/>
  <c r="K142" i="117"/>
  <c r="K143" i="117"/>
  <c r="K145" i="117"/>
  <c r="K153" i="117"/>
  <c r="I278" i="71"/>
  <c r="L126" i="117"/>
  <c r="L127" i="117"/>
  <c r="L128" i="117"/>
  <c r="L129" i="117"/>
  <c r="L130" i="117"/>
  <c r="L131" i="117"/>
  <c r="L132" i="117"/>
  <c r="L134" i="117"/>
  <c r="L135" i="117"/>
  <c r="L136" i="117"/>
  <c r="L137" i="117"/>
  <c r="S120" i="136"/>
  <c r="S121" i="136"/>
  <c r="S122" i="136"/>
  <c r="S123" i="136"/>
  <c r="S129" i="136"/>
  <c r="S131" i="136"/>
  <c r="L141" i="117"/>
  <c r="S135" i="136"/>
  <c r="S136" i="136"/>
  <c r="S137" i="136"/>
  <c r="S138" i="136"/>
  <c r="S139" i="136"/>
  <c r="S140" i="136"/>
  <c r="S146" i="136"/>
  <c r="S154" i="136"/>
  <c r="L142" i="117"/>
  <c r="L143" i="117"/>
  <c r="L145" i="117"/>
  <c r="L153" i="117"/>
  <c r="J278" i="71"/>
  <c r="M126" i="117"/>
  <c r="M127" i="117"/>
  <c r="M128" i="117"/>
  <c r="M129" i="117"/>
  <c r="M130" i="117"/>
  <c r="M131" i="117"/>
  <c r="M132" i="117"/>
  <c r="M134" i="117"/>
  <c r="M135" i="117"/>
  <c r="M136" i="117"/>
  <c r="M137" i="117"/>
  <c r="T120" i="136"/>
  <c r="T121" i="136"/>
  <c r="T122" i="136"/>
  <c r="T123" i="136"/>
  <c r="T129" i="136"/>
  <c r="T131" i="136"/>
  <c r="M141" i="117"/>
  <c r="T135" i="136"/>
  <c r="T136" i="136"/>
  <c r="T137" i="136"/>
  <c r="T138" i="136"/>
  <c r="T139" i="136"/>
  <c r="T140" i="136"/>
  <c r="T146" i="136"/>
  <c r="T154" i="136"/>
  <c r="M142" i="117"/>
  <c r="M143" i="117"/>
  <c r="M145" i="117"/>
  <c r="M153" i="117"/>
  <c r="K278" i="71"/>
  <c r="N126" i="117"/>
  <c r="N127" i="117"/>
  <c r="N128" i="117"/>
  <c r="N129" i="117"/>
  <c r="N130" i="117"/>
  <c r="N131" i="117"/>
  <c r="N132" i="117"/>
  <c r="N134" i="117"/>
  <c r="N135" i="117"/>
  <c r="N136" i="117"/>
  <c r="N137" i="117"/>
  <c r="U120" i="136"/>
  <c r="U121" i="136"/>
  <c r="U122" i="136"/>
  <c r="U123" i="136"/>
  <c r="U129" i="136"/>
  <c r="U131" i="136"/>
  <c r="N141" i="117"/>
  <c r="U135" i="136"/>
  <c r="U136" i="136"/>
  <c r="U137" i="136"/>
  <c r="U138" i="136"/>
  <c r="U139" i="136"/>
  <c r="U140" i="136"/>
  <c r="U146" i="136"/>
  <c r="U154" i="136"/>
  <c r="N142" i="117"/>
  <c r="N143" i="117"/>
  <c r="N145" i="117"/>
  <c r="N153" i="117"/>
  <c r="L278" i="71"/>
  <c r="O126" i="117"/>
  <c r="O127" i="117"/>
  <c r="O128" i="117"/>
  <c r="O129" i="117"/>
  <c r="O130" i="117"/>
  <c r="O131" i="117"/>
  <c r="O132" i="117"/>
  <c r="O134" i="117"/>
  <c r="O135" i="117"/>
  <c r="O136" i="117"/>
  <c r="O137" i="117"/>
  <c r="V120" i="136"/>
  <c r="V121" i="136"/>
  <c r="V122" i="136"/>
  <c r="V123" i="136"/>
  <c r="V129" i="136"/>
  <c r="V131" i="136"/>
  <c r="O141" i="117"/>
  <c r="V135" i="136"/>
  <c r="V136" i="136"/>
  <c r="V137" i="136"/>
  <c r="V138" i="136"/>
  <c r="V139" i="136"/>
  <c r="V140" i="136"/>
  <c r="V146" i="136"/>
  <c r="V154" i="136"/>
  <c r="O142" i="117"/>
  <c r="O143" i="117"/>
  <c r="O145" i="117"/>
  <c r="O153" i="117"/>
  <c r="M278" i="71"/>
  <c r="P126" i="117"/>
  <c r="P127" i="117"/>
  <c r="P128" i="117"/>
  <c r="P129" i="117"/>
  <c r="P130" i="117"/>
  <c r="P131" i="117"/>
  <c r="P132" i="117"/>
  <c r="P134" i="117"/>
  <c r="P135" i="117"/>
  <c r="P136" i="117"/>
  <c r="P137" i="117"/>
  <c r="W120" i="136"/>
  <c r="W121" i="136"/>
  <c r="W122" i="136"/>
  <c r="W123" i="136"/>
  <c r="W129" i="136"/>
  <c r="W131" i="136"/>
  <c r="P141" i="117"/>
  <c r="W135" i="136"/>
  <c r="W136" i="136"/>
  <c r="W137" i="136"/>
  <c r="W138" i="136"/>
  <c r="W139" i="136"/>
  <c r="W140" i="136"/>
  <c r="W146" i="136"/>
  <c r="W154" i="136"/>
  <c r="P142" i="117"/>
  <c r="P143" i="117"/>
  <c r="P145" i="117"/>
  <c r="P153" i="117"/>
  <c r="N278" i="71"/>
  <c r="Q126" i="117"/>
  <c r="Q127" i="117"/>
  <c r="Q128" i="117"/>
  <c r="Q129" i="117"/>
  <c r="Q130" i="117"/>
  <c r="Q131" i="117"/>
  <c r="Q132" i="117"/>
  <c r="Q134" i="117"/>
  <c r="Q135" i="117"/>
  <c r="Q136" i="117"/>
  <c r="Q137" i="117"/>
  <c r="X120" i="136"/>
  <c r="X121" i="136"/>
  <c r="X122" i="136"/>
  <c r="X123" i="136"/>
  <c r="X129" i="136"/>
  <c r="X131" i="136"/>
  <c r="Q141" i="117"/>
  <c r="X135" i="136"/>
  <c r="X136" i="136"/>
  <c r="X137" i="136"/>
  <c r="X138" i="136"/>
  <c r="X139" i="136"/>
  <c r="X140" i="136"/>
  <c r="X146" i="136"/>
  <c r="X154" i="136"/>
  <c r="Q142" i="117"/>
  <c r="Q143" i="117"/>
  <c r="Q145" i="117"/>
  <c r="Q153" i="117"/>
  <c r="O278" i="71"/>
  <c r="R126" i="117"/>
  <c r="R127" i="117"/>
  <c r="R128" i="117"/>
  <c r="R129" i="117"/>
  <c r="R130" i="117"/>
  <c r="R131" i="117"/>
  <c r="R132" i="117"/>
  <c r="R134" i="117"/>
  <c r="R135" i="117"/>
  <c r="R136" i="117"/>
  <c r="R137" i="117"/>
  <c r="Y120" i="136"/>
  <c r="Y121" i="136"/>
  <c r="Y122" i="136"/>
  <c r="Y123" i="136"/>
  <c r="Y129" i="136"/>
  <c r="Y131" i="136"/>
  <c r="R141" i="117"/>
  <c r="Y135" i="136"/>
  <c r="Y136" i="136"/>
  <c r="Y137" i="136"/>
  <c r="Y138" i="136"/>
  <c r="Y139" i="136"/>
  <c r="Y140" i="136"/>
  <c r="Y146" i="136"/>
  <c r="Y154" i="136"/>
  <c r="R142" i="117"/>
  <c r="R143" i="117"/>
  <c r="R145" i="117"/>
  <c r="R153" i="117"/>
  <c r="P278" i="71"/>
  <c r="S126" i="117"/>
  <c r="S127" i="117"/>
  <c r="S128" i="117"/>
  <c r="S129" i="117"/>
  <c r="S130" i="117"/>
  <c r="S131" i="117"/>
  <c r="S132" i="117"/>
  <c r="S134" i="117"/>
  <c r="S135" i="117"/>
  <c r="S136" i="117"/>
  <c r="S137" i="117"/>
  <c r="Z120" i="136"/>
  <c r="Z121" i="136"/>
  <c r="Z122" i="136"/>
  <c r="Z123" i="136"/>
  <c r="Z129" i="136"/>
  <c r="Z131" i="136"/>
  <c r="S141" i="117"/>
  <c r="Z135" i="136"/>
  <c r="Z136" i="136"/>
  <c r="Z137" i="136"/>
  <c r="Z138" i="136"/>
  <c r="Z139" i="136"/>
  <c r="Z140" i="136"/>
  <c r="Z146" i="136"/>
  <c r="Z154" i="136"/>
  <c r="S142" i="117"/>
  <c r="S143" i="117"/>
  <c r="S145" i="117"/>
  <c r="S153" i="117"/>
  <c r="Q278" i="71"/>
  <c r="T126" i="117"/>
  <c r="T127" i="117"/>
  <c r="T128" i="117"/>
  <c r="T129" i="117"/>
  <c r="T130" i="117"/>
  <c r="T131" i="117"/>
  <c r="T132" i="117"/>
  <c r="T134" i="117"/>
  <c r="T135" i="117"/>
  <c r="T136" i="117"/>
  <c r="T137" i="117"/>
  <c r="AA120" i="136"/>
  <c r="AA121" i="136"/>
  <c r="AA122" i="136"/>
  <c r="AA123" i="136"/>
  <c r="AA129" i="136"/>
  <c r="AA131" i="136"/>
  <c r="T141" i="117"/>
  <c r="AA135" i="136"/>
  <c r="AA136" i="136"/>
  <c r="AA137" i="136"/>
  <c r="AA138" i="136"/>
  <c r="AA139" i="136"/>
  <c r="AA140" i="136"/>
  <c r="AA146" i="136"/>
  <c r="AA154" i="136"/>
  <c r="T142" i="117"/>
  <c r="T143" i="117"/>
  <c r="T145" i="117"/>
  <c r="T153" i="117"/>
  <c r="R278" i="71"/>
  <c r="U126" i="117"/>
  <c r="U127" i="117"/>
  <c r="U128" i="117"/>
  <c r="U129" i="117"/>
  <c r="U130" i="117"/>
  <c r="U131" i="117"/>
  <c r="U132" i="117"/>
  <c r="U134" i="117"/>
  <c r="U135" i="117"/>
  <c r="U136" i="117"/>
  <c r="U137" i="117"/>
  <c r="AB120" i="136"/>
  <c r="AB121" i="136"/>
  <c r="AB122" i="136"/>
  <c r="AB123" i="136"/>
  <c r="AB129" i="136"/>
  <c r="AB131" i="136"/>
  <c r="U141" i="117"/>
  <c r="AB135" i="136"/>
  <c r="AB136" i="136"/>
  <c r="AB137" i="136"/>
  <c r="AB138" i="136"/>
  <c r="AB139" i="136"/>
  <c r="AB140" i="136"/>
  <c r="AB146" i="136"/>
  <c r="AB154" i="136"/>
  <c r="U142" i="117"/>
  <c r="U143" i="117"/>
  <c r="U145" i="117"/>
  <c r="U153" i="117"/>
  <c r="S278" i="71"/>
  <c r="V126" i="117"/>
  <c r="V127" i="117"/>
  <c r="V128" i="117"/>
  <c r="V129" i="117"/>
  <c r="V130" i="117"/>
  <c r="V131" i="117"/>
  <c r="V132" i="117"/>
  <c r="V134" i="117"/>
  <c r="V135" i="117"/>
  <c r="V136" i="117"/>
  <c r="V137" i="117"/>
  <c r="AC120" i="136"/>
  <c r="AC121" i="136"/>
  <c r="AC122" i="136"/>
  <c r="AC123" i="136"/>
  <c r="AC129" i="136"/>
  <c r="AC131" i="136"/>
  <c r="V141" i="117"/>
  <c r="AC135" i="136"/>
  <c r="AC136" i="136"/>
  <c r="AC137" i="136"/>
  <c r="AC138" i="136"/>
  <c r="AC139" i="136"/>
  <c r="AC140" i="136"/>
  <c r="AC146" i="136"/>
  <c r="AC154" i="136"/>
  <c r="V142" i="117"/>
  <c r="V143" i="117"/>
  <c r="V145" i="117"/>
  <c r="V153" i="117"/>
  <c r="T278" i="71"/>
  <c r="W126" i="117"/>
  <c r="W127" i="117"/>
  <c r="W128" i="117"/>
  <c r="W129" i="117"/>
  <c r="W130" i="117"/>
  <c r="W131" i="117"/>
  <c r="W132" i="117"/>
  <c r="W134" i="117"/>
  <c r="W135" i="117"/>
  <c r="W136" i="117"/>
  <c r="W137" i="117"/>
  <c r="AD120" i="136"/>
  <c r="AD121" i="136"/>
  <c r="AD122" i="136"/>
  <c r="AD123" i="136"/>
  <c r="AD129" i="136"/>
  <c r="AD131" i="136"/>
  <c r="W141" i="117"/>
  <c r="AD135" i="136"/>
  <c r="AD136" i="136"/>
  <c r="AD137" i="136"/>
  <c r="AD138" i="136"/>
  <c r="AD139" i="136"/>
  <c r="AD140" i="136"/>
  <c r="AD146" i="136"/>
  <c r="AD154" i="136"/>
  <c r="W142" i="117"/>
  <c r="W143" i="117"/>
  <c r="W145" i="117"/>
  <c r="W153" i="117"/>
  <c r="U278" i="71"/>
  <c r="X126" i="117"/>
  <c r="X127" i="117"/>
  <c r="X128" i="117"/>
  <c r="X129" i="117"/>
  <c r="X130" i="117"/>
  <c r="X131" i="117"/>
  <c r="X132" i="117"/>
  <c r="X134" i="117"/>
  <c r="X135" i="117"/>
  <c r="X136" i="117"/>
  <c r="X137" i="117"/>
  <c r="AE120" i="136"/>
  <c r="AE121" i="136"/>
  <c r="AE122" i="136"/>
  <c r="AE123" i="136"/>
  <c r="AE129" i="136"/>
  <c r="AE131" i="136"/>
  <c r="X141" i="117"/>
  <c r="AE135" i="136"/>
  <c r="AE136" i="136"/>
  <c r="AE137" i="136"/>
  <c r="AE138" i="136"/>
  <c r="AE139" i="136"/>
  <c r="AE140" i="136"/>
  <c r="AE146" i="136"/>
  <c r="AE154" i="136"/>
  <c r="X142" i="117"/>
  <c r="X143" i="117"/>
  <c r="X145" i="117"/>
  <c r="X153" i="117"/>
  <c r="V278" i="71"/>
  <c r="W278" i="71"/>
  <c r="E165" i="117"/>
  <c r="C281" i="71"/>
  <c r="F165" i="117"/>
  <c r="D281" i="71"/>
  <c r="G165" i="117"/>
  <c r="E281" i="71"/>
  <c r="H165" i="117"/>
  <c r="F281" i="71"/>
  <c r="I165" i="117"/>
  <c r="G281" i="71"/>
  <c r="J165" i="117"/>
  <c r="H281" i="71"/>
  <c r="K165" i="117"/>
  <c r="I281" i="71"/>
  <c r="L165" i="117"/>
  <c r="J281" i="71"/>
  <c r="M165" i="117"/>
  <c r="K281" i="71"/>
  <c r="N165" i="117"/>
  <c r="L281" i="71"/>
  <c r="O165" i="117"/>
  <c r="M281" i="71"/>
  <c r="P165" i="117"/>
  <c r="N281" i="71"/>
  <c r="Q165" i="117"/>
  <c r="O281" i="71"/>
  <c r="R165" i="117"/>
  <c r="P281" i="71"/>
  <c r="S165" i="117"/>
  <c r="Q281" i="71"/>
  <c r="T165" i="117"/>
  <c r="R281" i="71"/>
  <c r="U165" i="117"/>
  <c r="S281" i="71"/>
  <c r="V165" i="117"/>
  <c r="T281" i="71"/>
  <c r="W165" i="117"/>
  <c r="U281" i="71"/>
  <c r="X165" i="117"/>
  <c r="V281" i="71"/>
  <c r="W281" i="71"/>
  <c r="Z283" i="71"/>
  <c r="E125" i="101"/>
  <c r="E126" i="101"/>
  <c r="E127" i="101"/>
  <c r="E128" i="101"/>
  <c r="E129" i="101"/>
  <c r="E130" i="101"/>
  <c r="E131" i="101"/>
  <c r="E133" i="101"/>
  <c r="E134" i="101"/>
  <c r="E135" i="101"/>
  <c r="E136" i="101"/>
  <c r="E140" i="101"/>
  <c r="E141" i="101"/>
  <c r="E142" i="101"/>
  <c r="E144" i="101"/>
  <c r="E152" i="101"/>
  <c r="C240" i="71"/>
  <c r="F125" i="101"/>
  <c r="F126" i="101"/>
  <c r="F127" i="101"/>
  <c r="F128" i="101"/>
  <c r="F129" i="101"/>
  <c r="F130" i="101"/>
  <c r="F131" i="101"/>
  <c r="F133" i="101"/>
  <c r="F134" i="101"/>
  <c r="F135" i="101"/>
  <c r="F136" i="101"/>
  <c r="F27" i="101"/>
  <c r="M32" i="134"/>
  <c r="M121" i="134"/>
  <c r="M122" i="134"/>
  <c r="M123" i="134"/>
  <c r="M124" i="134"/>
  <c r="M130" i="134"/>
  <c r="M132" i="134"/>
  <c r="F140" i="101"/>
  <c r="M136" i="134"/>
  <c r="M137" i="134"/>
  <c r="M138" i="134"/>
  <c r="M139" i="134"/>
  <c r="M140" i="134"/>
  <c r="M141" i="134"/>
  <c r="M147" i="134"/>
  <c r="M155" i="134"/>
  <c r="F141" i="101"/>
  <c r="F142" i="101"/>
  <c r="F144" i="101"/>
  <c r="F152" i="101"/>
  <c r="D240" i="71"/>
  <c r="G125" i="101"/>
  <c r="G126" i="101"/>
  <c r="G127" i="101"/>
  <c r="G128" i="101"/>
  <c r="G129" i="101"/>
  <c r="G130" i="101"/>
  <c r="G131" i="101"/>
  <c r="G133" i="101"/>
  <c r="G134" i="101"/>
  <c r="G135" i="101"/>
  <c r="G136" i="101"/>
  <c r="N121" i="134"/>
  <c r="N122" i="134"/>
  <c r="N123" i="134"/>
  <c r="N124" i="134"/>
  <c r="N130" i="134"/>
  <c r="N132" i="134"/>
  <c r="G140" i="101"/>
  <c r="N136" i="134"/>
  <c r="N137" i="134"/>
  <c r="N138" i="134"/>
  <c r="N139" i="134"/>
  <c r="N140" i="134"/>
  <c r="N141" i="134"/>
  <c r="N147" i="134"/>
  <c r="N155" i="134"/>
  <c r="G141" i="101"/>
  <c r="G142" i="101"/>
  <c r="G144" i="101"/>
  <c r="G152" i="101"/>
  <c r="E240" i="71"/>
  <c r="H125" i="101"/>
  <c r="H126" i="101"/>
  <c r="H127" i="101"/>
  <c r="H128" i="101"/>
  <c r="H129" i="101"/>
  <c r="H130" i="101"/>
  <c r="H131" i="101"/>
  <c r="H133" i="101"/>
  <c r="H134" i="101"/>
  <c r="H135" i="101"/>
  <c r="H136" i="101"/>
  <c r="O121" i="134"/>
  <c r="O122" i="134"/>
  <c r="O123" i="134"/>
  <c r="O124" i="134"/>
  <c r="O130" i="134"/>
  <c r="O132" i="134"/>
  <c r="H140" i="101"/>
  <c r="O136" i="134"/>
  <c r="O137" i="134"/>
  <c r="O138" i="134"/>
  <c r="O139" i="134"/>
  <c r="O140" i="134"/>
  <c r="O141" i="134"/>
  <c r="O147" i="134"/>
  <c r="O155" i="134"/>
  <c r="H141" i="101"/>
  <c r="H142" i="101"/>
  <c r="H144" i="101"/>
  <c r="H152" i="101"/>
  <c r="F240" i="71"/>
  <c r="I125" i="101"/>
  <c r="I126" i="101"/>
  <c r="I127" i="101"/>
  <c r="I128" i="101"/>
  <c r="I129" i="101"/>
  <c r="I130" i="101"/>
  <c r="I131" i="101"/>
  <c r="I133" i="101"/>
  <c r="I134" i="101"/>
  <c r="I135" i="101"/>
  <c r="I136" i="101"/>
  <c r="P121" i="134"/>
  <c r="P122" i="134"/>
  <c r="P123" i="134"/>
  <c r="P124" i="134"/>
  <c r="P130" i="134"/>
  <c r="P132" i="134"/>
  <c r="I140" i="101"/>
  <c r="P136" i="134"/>
  <c r="P137" i="134"/>
  <c r="P138" i="134"/>
  <c r="P139" i="134"/>
  <c r="P140" i="134"/>
  <c r="P141" i="134"/>
  <c r="P147" i="134"/>
  <c r="P155" i="134"/>
  <c r="I141" i="101"/>
  <c r="I142" i="101"/>
  <c r="I144" i="101"/>
  <c r="I152" i="101"/>
  <c r="G240" i="71"/>
  <c r="J125" i="101"/>
  <c r="J126" i="101"/>
  <c r="J127" i="101"/>
  <c r="J128" i="101"/>
  <c r="J129" i="101"/>
  <c r="J130" i="101"/>
  <c r="J131" i="101"/>
  <c r="J133" i="101"/>
  <c r="J134" i="101"/>
  <c r="J135" i="101"/>
  <c r="J136" i="101"/>
  <c r="Q121" i="134"/>
  <c r="Q122" i="134"/>
  <c r="Q123" i="134"/>
  <c r="Q124" i="134"/>
  <c r="Q130" i="134"/>
  <c r="Q132" i="134"/>
  <c r="J140" i="101"/>
  <c r="Q136" i="134"/>
  <c r="Q137" i="134"/>
  <c r="Q138" i="134"/>
  <c r="Q139" i="134"/>
  <c r="Q140" i="134"/>
  <c r="Q141" i="134"/>
  <c r="Q147" i="134"/>
  <c r="Q155" i="134"/>
  <c r="J141" i="101"/>
  <c r="J142" i="101"/>
  <c r="J144" i="101"/>
  <c r="J152" i="101"/>
  <c r="H240" i="71"/>
  <c r="K125" i="101"/>
  <c r="K126" i="101"/>
  <c r="K127" i="101"/>
  <c r="K128" i="101"/>
  <c r="K129" i="101"/>
  <c r="K130" i="101"/>
  <c r="K131" i="101"/>
  <c r="K133" i="101"/>
  <c r="K134" i="101"/>
  <c r="K135" i="101"/>
  <c r="K136" i="101"/>
  <c r="R121" i="134"/>
  <c r="R122" i="134"/>
  <c r="R123" i="134"/>
  <c r="R124" i="134"/>
  <c r="R130" i="134"/>
  <c r="R132" i="134"/>
  <c r="K140" i="101"/>
  <c r="R136" i="134"/>
  <c r="R137" i="134"/>
  <c r="R138" i="134"/>
  <c r="R139" i="134"/>
  <c r="R140" i="134"/>
  <c r="R141" i="134"/>
  <c r="R147" i="134"/>
  <c r="R155" i="134"/>
  <c r="K141" i="101"/>
  <c r="K142" i="101"/>
  <c r="K144" i="101"/>
  <c r="K152" i="101"/>
  <c r="I240" i="71"/>
  <c r="L125" i="101"/>
  <c r="L126" i="101"/>
  <c r="L127" i="101"/>
  <c r="L128" i="101"/>
  <c r="L129" i="101"/>
  <c r="L130" i="101"/>
  <c r="L131" i="101"/>
  <c r="L133" i="101"/>
  <c r="L134" i="101"/>
  <c r="L135" i="101"/>
  <c r="L136" i="101"/>
  <c r="S121" i="134"/>
  <c r="S122" i="134"/>
  <c r="S123" i="134"/>
  <c r="S124" i="134"/>
  <c r="S130" i="134"/>
  <c r="S132" i="134"/>
  <c r="L140" i="101"/>
  <c r="S136" i="134"/>
  <c r="S137" i="134"/>
  <c r="S138" i="134"/>
  <c r="S139" i="134"/>
  <c r="S140" i="134"/>
  <c r="S141" i="134"/>
  <c r="S147" i="134"/>
  <c r="S155" i="134"/>
  <c r="L141" i="101"/>
  <c r="L142" i="101"/>
  <c r="L144" i="101"/>
  <c r="L152" i="101"/>
  <c r="J240" i="71"/>
  <c r="M125" i="101"/>
  <c r="M126" i="101"/>
  <c r="M127" i="101"/>
  <c r="M128" i="101"/>
  <c r="M129" i="101"/>
  <c r="M130" i="101"/>
  <c r="M131" i="101"/>
  <c r="M133" i="101"/>
  <c r="M134" i="101"/>
  <c r="M135" i="101"/>
  <c r="M136" i="101"/>
  <c r="T121" i="134"/>
  <c r="T122" i="134"/>
  <c r="T123" i="134"/>
  <c r="T124" i="134"/>
  <c r="T130" i="134"/>
  <c r="T132" i="134"/>
  <c r="M140" i="101"/>
  <c r="T136" i="134"/>
  <c r="T137" i="134"/>
  <c r="T138" i="134"/>
  <c r="T139" i="134"/>
  <c r="T140" i="134"/>
  <c r="T141" i="134"/>
  <c r="T147" i="134"/>
  <c r="T155" i="134"/>
  <c r="M141" i="101"/>
  <c r="M142" i="101"/>
  <c r="M144" i="101"/>
  <c r="M152" i="101"/>
  <c r="K240" i="71"/>
  <c r="N125" i="101"/>
  <c r="N126" i="101"/>
  <c r="N127" i="101"/>
  <c r="N128" i="101"/>
  <c r="N129" i="101"/>
  <c r="N130" i="101"/>
  <c r="N131" i="101"/>
  <c r="N133" i="101"/>
  <c r="N134" i="101"/>
  <c r="N135" i="101"/>
  <c r="N136" i="101"/>
  <c r="U121" i="134"/>
  <c r="U122" i="134"/>
  <c r="U123" i="134"/>
  <c r="U124" i="134"/>
  <c r="U130" i="134"/>
  <c r="U132" i="134"/>
  <c r="N140" i="101"/>
  <c r="U136" i="134"/>
  <c r="U137" i="134"/>
  <c r="U138" i="134"/>
  <c r="U139" i="134"/>
  <c r="U140" i="134"/>
  <c r="U141" i="134"/>
  <c r="U147" i="134"/>
  <c r="U155" i="134"/>
  <c r="N141" i="101"/>
  <c r="N142" i="101"/>
  <c r="N144" i="101"/>
  <c r="N152" i="101"/>
  <c r="L240" i="71"/>
  <c r="O125" i="101"/>
  <c r="O126" i="101"/>
  <c r="O127" i="101"/>
  <c r="O128" i="101"/>
  <c r="O129" i="101"/>
  <c r="O130" i="101"/>
  <c r="O131" i="101"/>
  <c r="O133" i="101"/>
  <c r="O134" i="101"/>
  <c r="O135" i="101"/>
  <c r="O136" i="101"/>
  <c r="V121" i="134"/>
  <c r="V122" i="134"/>
  <c r="V123" i="134"/>
  <c r="V124" i="134"/>
  <c r="V130" i="134"/>
  <c r="V132" i="134"/>
  <c r="O140" i="101"/>
  <c r="V136" i="134"/>
  <c r="V137" i="134"/>
  <c r="V138" i="134"/>
  <c r="V139" i="134"/>
  <c r="V140" i="134"/>
  <c r="V141" i="134"/>
  <c r="V147" i="134"/>
  <c r="V155" i="134"/>
  <c r="O141" i="101"/>
  <c r="O142" i="101"/>
  <c r="O144" i="101"/>
  <c r="O152" i="101"/>
  <c r="M240" i="71"/>
  <c r="P125" i="101"/>
  <c r="P126" i="101"/>
  <c r="P127" i="101"/>
  <c r="P128" i="101"/>
  <c r="P129" i="101"/>
  <c r="P130" i="101"/>
  <c r="P131" i="101"/>
  <c r="P133" i="101"/>
  <c r="P134" i="101"/>
  <c r="P135" i="101"/>
  <c r="P136" i="101"/>
  <c r="W121" i="134"/>
  <c r="W122" i="134"/>
  <c r="W123" i="134"/>
  <c r="W124" i="134"/>
  <c r="W130" i="134"/>
  <c r="W132" i="134"/>
  <c r="P140" i="101"/>
  <c r="W136" i="134"/>
  <c r="W137" i="134"/>
  <c r="W138" i="134"/>
  <c r="W139" i="134"/>
  <c r="W140" i="134"/>
  <c r="W141" i="134"/>
  <c r="W147" i="134"/>
  <c r="W155" i="134"/>
  <c r="P141" i="101"/>
  <c r="P142" i="101"/>
  <c r="P144" i="101"/>
  <c r="P152" i="101"/>
  <c r="N240" i="71"/>
  <c r="Q125" i="101"/>
  <c r="Q126" i="101"/>
  <c r="Q127" i="101"/>
  <c r="Q128" i="101"/>
  <c r="Q129" i="101"/>
  <c r="Q130" i="101"/>
  <c r="Q131" i="101"/>
  <c r="Q133" i="101"/>
  <c r="Q134" i="101"/>
  <c r="Q135" i="101"/>
  <c r="Q136" i="101"/>
  <c r="X121" i="134"/>
  <c r="X122" i="134"/>
  <c r="X123" i="134"/>
  <c r="X124" i="134"/>
  <c r="X130" i="134"/>
  <c r="X132" i="134"/>
  <c r="Q140" i="101"/>
  <c r="X136" i="134"/>
  <c r="X137" i="134"/>
  <c r="X138" i="134"/>
  <c r="X139" i="134"/>
  <c r="X140" i="134"/>
  <c r="X141" i="134"/>
  <c r="X147" i="134"/>
  <c r="X155" i="134"/>
  <c r="Q141" i="101"/>
  <c r="Q142" i="101"/>
  <c r="Q144" i="101"/>
  <c r="Q152" i="101"/>
  <c r="O240" i="71"/>
  <c r="R125" i="101"/>
  <c r="R126" i="101"/>
  <c r="R127" i="101"/>
  <c r="R128" i="101"/>
  <c r="R129" i="101"/>
  <c r="R130" i="101"/>
  <c r="R131" i="101"/>
  <c r="R133" i="101"/>
  <c r="R134" i="101"/>
  <c r="R135" i="101"/>
  <c r="R136" i="101"/>
  <c r="Y121" i="134"/>
  <c r="Y122" i="134"/>
  <c r="Y123" i="134"/>
  <c r="Y124" i="134"/>
  <c r="Y130" i="134"/>
  <c r="Y132" i="134"/>
  <c r="R140" i="101"/>
  <c r="Y136" i="134"/>
  <c r="Y137" i="134"/>
  <c r="Y138" i="134"/>
  <c r="Y139" i="134"/>
  <c r="Y140" i="134"/>
  <c r="Y141" i="134"/>
  <c r="Y147" i="134"/>
  <c r="Y155" i="134"/>
  <c r="R141" i="101"/>
  <c r="R142" i="101"/>
  <c r="R144" i="101"/>
  <c r="R152" i="101"/>
  <c r="P240" i="71"/>
  <c r="S125" i="101"/>
  <c r="S126" i="101"/>
  <c r="S127" i="101"/>
  <c r="S128" i="101"/>
  <c r="S129" i="101"/>
  <c r="S130" i="101"/>
  <c r="S131" i="101"/>
  <c r="S133" i="101"/>
  <c r="S134" i="101"/>
  <c r="S135" i="101"/>
  <c r="S136" i="101"/>
  <c r="Z121" i="134"/>
  <c r="Z122" i="134"/>
  <c r="Z123" i="134"/>
  <c r="Z124" i="134"/>
  <c r="Z130" i="134"/>
  <c r="Z132" i="134"/>
  <c r="S140" i="101"/>
  <c r="Z136" i="134"/>
  <c r="Z137" i="134"/>
  <c r="Z138" i="134"/>
  <c r="Z139" i="134"/>
  <c r="Z140" i="134"/>
  <c r="Z141" i="134"/>
  <c r="Z147" i="134"/>
  <c r="Z155" i="134"/>
  <c r="S141" i="101"/>
  <c r="S142" i="101"/>
  <c r="S144" i="101"/>
  <c r="S152" i="101"/>
  <c r="Q240" i="71"/>
  <c r="T125" i="101"/>
  <c r="T126" i="101"/>
  <c r="T127" i="101"/>
  <c r="T128" i="101"/>
  <c r="T129" i="101"/>
  <c r="T130" i="101"/>
  <c r="T131" i="101"/>
  <c r="T133" i="101"/>
  <c r="T134" i="101"/>
  <c r="T135" i="101"/>
  <c r="T136" i="101"/>
  <c r="AA121" i="134"/>
  <c r="AA122" i="134"/>
  <c r="AA123" i="134"/>
  <c r="AA124" i="134"/>
  <c r="AA130" i="134"/>
  <c r="AA132" i="134"/>
  <c r="T140" i="101"/>
  <c r="AA136" i="134"/>
  <c r="AA137" i="134"/>
  <c r="AA138" i="134"/>
  <c r="AA139" i="134"/>
  <c r="AA140" i="134"/>
  <c r="AA141" i="134"/>
  <c r="AA147" i="134"/>
  <c r="AA155" i="134"/>
  <c r="T141" i="101"/>
  <c r="T142" i="101"/>
  <c r="T144" i="101"/>
  <c r="T152" i="101"/>
  <c r="R240" i="71"/>
  <c r="U125" i="101"/>
  <c r="U126" i="101"/>
  <c r="U127" i="101"/>
  <c r="U128" i="101"/>
  <c r="U129" i="101"/>
  <c r="U130" i="101"/>
  <c r="U131" i="101"/>
  <c r="U133" i="101"/>
  <c r="U134" i="101"/>
  <c r="U135" i="101"/>
  <c r="U136" i="101"/>
  <c r="AB121" i="134"/>
  <c r="AB122" i="134"/>
  <c r="AB123" i="134"/>
  <c r="AB124" i="134"/>
  <c r="AB130" i="134"/>
  <c r="AB132" i="134"/>
  <c r="U140" i="101"/>
  <c r="AB136" i="134"/>
  <c r="AB137" i="134"/>
  <c r="AB138" i="134"/>
  <c r="AB139" i="134"/>
  <c r="AB140" i="134"/>
  <c r="AB141" i="134"/>
  <c r="AB147" i="134"/>
  <c r="AB155" i="134"/>
  <c r="U141" i="101"/>
  <c r="U142" i="101"/>
  <c r="U144" i="101"/>
  <c r="U152" i="101"/>
  <c r="S240" i="71"/>
  <c r="V125" i="101"/>
  <c r="V126" i="101"/>
  <c r="V127" i="101"/>
  <c r="V128" i="101"/>
  <c r="V129" i="101"/>
  <c r="V130" i="101"/>
  <c r="V131" i="101"/>
  <c r="V133" i="101"/>
  <c r="V134" i="101"/>
  <c r="V135" i="101"/>
  <c r="V136" i="101"/>
  <c r="AC121" i="134"/>
  <c r="AC122" i="134"/>
  <c r="AC123" i="134"/>
  <c r="AC124" i="134"/>
  <c r="AC130" i="134"/>
  <c r="AC132" i="134"/>
  <c r="V140" i="101"/>
  <c r="AC136" i="134"/>
  <c r="AC137" i="134"/>
  <c r="AC138" i="134"/>
  <c r="AC139" i="134"/>
  <c r="AC140" i="134"/>
  <c r="AC141" i="134"/>
  <c r="AC147" i="134"/>
  <c r="AC155" i="134"/>
  <c r="V141" i="101"/>
  <c r="V142" i="101"/>
  <c r="V144" i="101"/>
  <c r="V152" i="101"/>
  <c r="T240" i="71"/>
  <c r="W125" i="101"/>
  <c r="W126" i="101"/>
  <c r="W127" i="101"/>
  <c r="W128" i="101"/>
  <c r="W129" i="101"/>
  <c r="W130" i="101"/>
  <c r="W131" i="101"/>
  <c r="W133" i="101"/>
  <c r="W134" i="101"/>
  <c r="W135" i="101"/>
  <c r="W136" i="101"/>
  <c r="AD121" i="134"/>
  <c r="AD122" i="134"/>
  <c r="AD123" i="134"/>
  <c r="AD124" i="134"/>
  <c r="AD130" i="134"/>
  <c r="AD132" i="134"/>
  <c r="W140" i="101"/>
  <c r="AD136" i="134"/>
  <c r="AD137" i="134"/>
  <c r="AD138" i="134"/>
  <c r="AD139" i="134"/>
  <c r="AD140" i="134"/>
  <c r="AD141" i="134"/>
  <c r="AD147" i="134"/>
  <c r="AD155" i="134"/>
  <c r="W141" i="101"/>
  <c r="W142" i="101"/>
  <c r="W144" i="101"/>
  <c r="W152" i="101"/>
  <c r="U240" i="71"/>
  <c r="X125" i="101"/>
  <c r="X126" i="101"/>
  <c r="X127" i="101"/>
  <c r="X128" i="101"/>
  <c r="X129" i="101"/>
  <c r="X130" i="101"/>
  <c r="X131" i="101"/>
  <c r="X133" i="101"/>
  <c r="X134" i="101"/>
  <c r="X135" i="101"/>
  <c r="X136" i="101"/>
  <c r="AE121" i="134"/>
  <c r="AE122" i="134"/>
  <c r="AE123" i="134"/>
  <c r="AE124" i="134"/>
  <c r="AE130" i="134"/>
  <c r="AE132" i="134"/>
  <c r="X140" i="101"/>
  <c r="AE136" i="134"/>
  <c r="AE137" i="134"/>
  <c r="AE138" i="134"/>
  <c r="AE139" i="134"/>
  <c r="AE140" i="134"/>
  <c r="AE141" i="134"/>
  <c r="AE147" i="134"/>
  <c r="AE155" i="134"/>
  <c r="X141" i="101"/>
  <c r="X142" i="101"/>
  <c r="X144" i="101"/>
  <c r="X152" i="101"/>
  <c r="V240" i="71"/>
  <c r="W240" i="71"/>
  <c r="E164" i="101"/>
  <c r="C243" i="71"/>
  <c r="F164" i="101"/>
  <c r="D243" i="71"/>
  <c r="G164" i="101"/>
  <c r="E243" i="71"/>
  <c r="H164" i="101"/>
  <c r="F243" i="71"/>
  <c r="I164" i="101"/>
  <c r="G243" i="71"/>
  <c r="J164" i="101"/>
  <c r="H243" i="71"/>
  <c r="K164" i="101"/>
  <c r="I243" i="71"/>
  <c r="L164" i="101"/>
  <c r="J243" i="71"/>
  <c r="M164" i="101"/>
  <c r="K243" i="71"/>
  <c r="N164" i="101"/>
  <c r="L243" i="71"/>
  <c r="O164" i="101"/>
  <c r="M243" i="71"/>
  <c r="P164" i="101"/>
  <c r="N243" i="71"/>
  <c r="Q164" i="101"/>
  <c r="O243" i="71"/>
  <c r="R164" i="101"/>
  <c r="P243" i="71"/>
  <c r="S164" i="101"/>
  <c r="Q243" i="71"/>
  <c r="T164" i="101"/>
  <c r="R243" i="71"/>
  <c r="U164" i="101"/>
  <c r="S243" i="71"/>
  <c r="V164" i="101"/>
  <c r="T243" i="71"/>
  <c r="W164" i="101"/>
  <c r="U243" i="71"/>
  <c r="X164" i="101"/>
  <c r="V243" i="71"/>
  <c r="W243" i="71"/>
  <c r="E165" i="101"/>
  <c r="C244" i="71"/>
  <c r="F165" i="101"/>
  <c r="D244" i="71"/>
  <c r="G165" i="101"/>
  <c r="E244" i="71"/>
  <c r="H165" i="101"/>
  <c r="F244" i="71"/>
  <c r="I165" i="101"/>
  <c r="G244" i="71"/>
  <c r="J165" i="101"/>
  <c r="H244" i="71"/>
  <c r="K165" i="101"/>
  <c r="I244" i="71"/>
  <c r="L165" i="101"/>
  <c r="J244" i="71"/>
  <c r="M165" i="101"/>
  <c r="K244" i="71"/>
  <c r="N165" i="101"/>
  <c r="L244" i="71"/>
  <c r="O165" i="101"/>
  <c r="M244" i="71"/>
  <c r="P165" i="101"/>
  <c r="N244" i="71"/>
  <c r="Q165" i="101"/>
  <c r="O244" i="71"/>
  <c r="R165" i="101"/>
  <c r="P244" i="71"/>
  <c r="S165" i="101"/>
  <c r="Q244" i="71"/>
  <c r="T165" i="101"/>
  <c r="R244" i="71"/>
  <c r="U165" i="101"/>
  <c r="S244" i="71"/>
  <c r="V165" i="101"/>
  <c r="T244" i="71"/>
  <c r="W165" i="101"/>
  <c r="U244" i="71"/>
  <c r="X165" i="101"/>
  <c r="V244" i="71"/>
  <c r="W244" i="71"/>
  <c r="Z245" i="71"/>
  <c r="E125" i="99"/>
  <c r="E126" i="99"/>
  <c r="E127" i="99"/>
  <c r="E128" i="99"/>
  <c r="E129" i="99"/>
  <c r="E130" i="99"/>
  <c r="E131" i="99"/>
  <c r="E133" i="99"/>
  <c r="E134" i="99"/>
  <c r="E135" i="99"/>
  <c r="E136" i="99"/>
  <c r="E140" i="99"/>
  <c r="E141" i="99"/>
  <c r="E142" i="99"/>
  <c r="E144" i="99"/>
  <c r="E152" i="99"/>
  <c r="C221" i="71"/>
  <c r="F125" i="99"/>
  <c r="F126" i="99"/>
  <c r="F127" i="99"/>
  <c r="F128" i="99"/>
  <c r="F129" i="99"/>
  <c r="F130" i="99"/>
  <c r="F131" i="99"/>
  <c r="F133" i="99"/>
  <c r="F134" i="99"/>
  <c r="F135" i="99"/>
  <c r="F136" i="99"/>
  <c r="F27" i="99"/>
  <c r="M32" i="133"/>
  <c r="M121" i="133"/>
  <c r="M122" i="133"/>
  <c r="M123" i="133"/>
  <c r="M124" i="133"/>
  <c r="M130" i="133"/>
  <c r="M132" i="133"/>
  <c r="F140" i="99"/>
  <c r="M136" i="133"/>
  <c r="M137" i="133"/>
  <c r="M138" i="133"/>
  <c r="M139" i="133"/>
  <c r="M140" i="133"/>
  <c r="M141" i="133"/>
  <c r="M147" i="133"/>
  <c r="M155" i="133"/>
  <c r="F141" i="99"/>
  <c r="F142" i="99"/>
  <c r="F144" i="99"/>
  <c r="F152" i="99"/>
  <c r="D221" i="71"/>
  <c r="G125" i="99"/>
  <c r="G126" i="99"/>
  <c r="G127" i="99"/>
  <c r="G128" i="99"/>
  <c r="G129" i="99"/>
  <c r="G130" i="99"/>
  <c r="G131" i="99"/>
  <c r="G133" i="99"/>
  <c r="G134" i="99"/>
  <c r="G135" i="99"/>
  <c r="G136" i="99"/>
  <c r="N121" i="133"/>
  <c r="N122" i="133"/>
  <c r="N123" i="133"/>
  <c r="N124" i="133"/>
  <c r="N130" i="133"/>
  <c r="N132" i="133"/>
  <c r="G140" i="99"/>
  <c r="N136" i="133"/>
  <c r="N137" i="133"/>
  <c r="N138" i="133"/>
  <c r="N139" i="133"/>
  <c r="N140" i="133"/>
  <c r="N141" i="133"/>
  <c r="N147" i="133"/>
  <c r="N155" i="133"/>
  <c r="G141" i="99"/>
  <c r="G142" i="99"/>
  <c r="G144" i="99"/>
  <c r="G152" i="99"/>
  <c r="E221" i="71"/>
  <c r="H125" i="99"/>
  <c r="H126" i="99"/>
  <c r="H127" i="99"/>
  <c r="H128" i="99"/>
  <c r="H129" i="99"/>
  <c r="H130" i="99"/>
  <c r="H131" i="99"/>
  <c r="H133" i="99"/>
  <c r="H134" i="99"/>
  <c r="H135" i="99"/>
  <c r="H136" i="99"/>
  <c r="O121" i="133"/>
  <c r="O122" i="133"/>
  <c r="O123" i="133"/>
  <c r="O124" i="133"/>
  <c r="O130" i="133"/>
  <c r="O132" i="133"/>
  <c r="H140" i="99"/>
  <c r="O136" i="133"/>
  <c r="O137" i="133"/>
  <c r="O138" i="133"/>
  <c r="O139" i="133"/>
  <c r="O140" i="133"/>
  <c r="O141" i="133"/>
  <c r="O147" i="133"/>
  <c r="O155" i="133"/>
  <c r="H141" i="99"/>
  <c r="H142" i="99"/>
  <c r="H144" i="99"/>
  <c r="H152" i="99"/>
  <c r="F221" i="71"/>
  <c r="I125" i="99"/>
  <c r="I126" i="99"/>
  <c r="I127" i="99"/>
  <c r="I128" i="99"/>
  <c r="I129" i="99"/>
  <c r="I130" i="99"/>
  <c r="I131" i="99"/>
  <c r="I133" i="99"/>
  <c r="I134" i="99"/>
  <c r="I135" i="99"/>
  <c r="I136" i="99"/>
  <c r="P121" i="133"/>
  <c r="P122" i="133"/>
  <c r="P123" i="133"/>
  <c r="P124" i="133"/>
  <c r="P130" i="133"/>
  <c r="P132" i="133"/>
  <c r="I140" i="99"/>
  <c r="P136" i="133"/>
  <c r="P137" i="133"/>
  <c r="P138" i="133"/>
  <c r="P139" i="133"/>
  <c r="P140" i="133"/>
  <c r="P141" i="133"/>
  <c r="P147" i="133"/>
  <c r="P155" i="133"/>
  <c r="I141" i="99"/>
  <c r="I142" i="99"/>
  <c r="I144" i="99"/>
  <c r="I152" i="99"/>
  <c r="G221" i="71"/>
  <c r="J125" i="99"/>
  <c r="J126" i="99"/>
  <c r="J127" i="99"/>
  <c r="J128" i="99"/>
  <c r="J129" i="99"/>
  <c r="J130" i="99"/>
  <c r="J131" i="99"/>
  <c r="J133" i="99"/>
  <c r="J134" i="99"/>
  <c r="J135" i="99"/>
  <c r="J136" i="99"/>
  <c r="Q121" i="133"/>
  <c r="Q122" i="133"/>
  <c r="Q123" i="133"/>
  <c r="Q124" i="133"/>
  <c r="Q130" i="133"/>
  <c r="Q132" i="133"/>
  <c r="J140" i="99"/>
  <c r="Q136" i="133"/>
  <c r="Q137" i="133"/>
  <c r="Q138" i="133"/>
  <c r="Q139" i="133"/>
  <c r="Q140" i="133"/>
  <c r="Q141" i="133"/>
  <c r="Q147" i="133"/>
  <c r="Q155" i="133"/>
  <c r="J141" i="99"/>
  <c r="J142" i="99"/>
  <c r="J144" i="99"/>
  <c r="J152" i="99"/>
  <c r="H221" i="71"/>
  <c r="K125" i="99"/>
  <c r="K126" i="99"/>
  <c r="K127" i="99"/>
  <c r="K128" i="99"/>
  <c r="K129" i="99"/>
  <c r="K130" i="99"/>
  <c r="K131" i="99"/>
  <c r="K133" i="99"/>
  <c r="K134" i="99"/>
  <c r="K135" i="99"/>
  <c r="K136" i="99"/>
  <c r="R121" i="133"/>
  <c r="R122" i="133"/>
  <c r="R123" i="133"/>
  <c r="R124" i="133"/>
  <c r="R130" i="133"/>
  <c r="R132" i="133"/>
  <c r="K140" i="99"/>
  <c r="R136" i="133"/>
  <c r="R137" i="133"/>
  <c r="R138" i="133"/>
  <c r="R139" i="133"/>
  <c r="R140" i="133"/>
  <c r="R141" i="133"/>
  <c r="R147" i="133"/>
  <c r="R155" i="133"/>
  <c r="K141" i="99"/>
  <c r="K142" i="99"/>
  <c r="K144" i="99"/>
  <c r="K152" i="99"/>
  <c r="I221" i="71"/>
  <c r="L125" i="99"/>
  <c r="L126" i="99"/>
  <c r="L127" i="99"/>
  <c r="L128" i="99"/>
  <c r="L129" i="99"/>
  <c r="L130" i="99"/>
  <c r="L131" i="99"/>
  <c r="L133" i="99"/>
  <c r="L134" i="99"/>
  <c r="L135" i="99"/>
  <c r="L136" i="99"/>
  <c r="S121" i="133"/>
  <c r="S122" i="133"/>
  <c r="S123" i="133"/>
  <c r="S124" i="133"/>
  <c r="S130" i="133"/>
  <c r="S132" i="133"/>
  <c r="L140" i="99"/>
  <c r="S136" i="133"/>
  <c r="S137" i="133"/>
  <c r="S138" i="133"/>
  <c r="S139" i="133"/>
  <c r="S140" i="133"/>
  <c r="S141" i="133"/>
  <c r="S147" i="133"/>
  <c r="S155" i="133"/>
  <c r="L141" i="99"/>
  <c r="L142" i="99"/>
  <c r="L144" i="99"/>
  <c r="L152" i="99"/>
  <c r="J221" i="71"/>
  <c r="M125" i="99"/>
  <c r="M126" i="99"/>
  <c r="M127" i="99"/>
  <c r="M128" i="99"/>
  <c r="M129" i="99"/>
  <c r="M130" i="99"/>
  <c r="M131" i="99"/>
  <c r="M133" i="99"/>
  <c r="M134" i="99"/>
  <c r="M135" i="99"/>
  <c r="M136" i="99"/>
  <c r="T121" i="133"/>
  <c r="T122" i="133"/>
  <c r="T123" i="133"/>
  <c r="T124" i="133"/>
  <c r="T130" i="133"/>
  <c r="T132" i="133"/>
  <c r="M140" i="99"/>
  <c r="T136" i="133"/>
  <c r="T137" i="133"/>
  <c r="T138" i="133"/>
  <c r="T139" i="133"/>
  <c r="T140" i="133"/>
  <c r="T141" i="133"/>
  <c r="T147" i="133"/>
  <c r="T155" i="133"/>
  <c r="M141" i="99"/>
  <c r="M142" i="99"/>
  <c r="M144" i="99"/>
  <c r="M152" i="99"/>
  <c r="K221" i="71"/>
  <c r="N125" i="99"/>
  <c r="N126" i="99"/>
  <c r="N127" i="99"/>
  <c r="N128" i="99"/>
  <c r="N129" i="99"/>
  <c r="N130" i="99"/>
  <c r="N131" i="99"/>
  <c r="N133" i="99"/>
  <c r="N134" i="99"/>
  <c r="N135" i="99"/>
  <c r="N136" i="99"/>
  <c r="U121" i="133"/>
  <c r="U122" i="133"/>
  <c r="U123" i="133"/>
  <c r="U124" i="133"/>
  <c r="U130" i="133"/>
  <c r="U132" i="133"/>
  <c r="N140" i="99"/>
  <c r="U136" i="133"/>
  <c r="U137" i="133"/>
  <c r="U138" i="133"/>
  <c r="U139" i="133"/>
  <c r="U140" i="133"/>
  <c r="U141" i="133"/>
  <c r="U147" i="133"/>
  <c r="U155" i="133"/>
  <c r="N141" i="99"/>
  <c r="N142" i="99"/>
  <c r="N144" i="99"/>
  <c r="N152" i="99"/>
  <c r="L221" i="71"/>
  <c r="O125" i="99"/>
  <c r="O126" i="99"/>
  <c r="O127" i="99"/>
  <c r="O128" i="99"/>
  <c r="O129" i="99"/>
  <c r="O130" i="99"/>
  <c r="O131" i="99"/>
  <c r="O133" i="99"/>
  <c r="O134" i="99"/>
  <c r="O135" i="99"/>
  <c r="O136" i="99"/>
  <c r="V121" i="133"/>
  <c r="V122" i="133"/>
  <c r="V123" i="133"/>
  <c r="V124" i="133"/>
  <c r="V130" i="133"/>
  <c r="V132" i="133"/>
  <c r="O140" i="99"/>
  <c r="V136" i="133"/>
  <c r="V137" i="133"/>
  <c r="V138" i="133"/>
  <c r="V139" i="133"/>
  <c r="V140" i="133"/>
  <c r="V141" i="133"/>
  <c r="V147" i="133"/>
  <c r="V155" i="133"/>
  <c r="O141" i="99"/>
  <c r="O142" i="99"/>
  <c r="O144" i="99"/>
  <c r="O152" i="99"/>
  <c r="M221" i="71"/>
  <c r="P125" i="99"/>
  <c r="P126" i="99"/>
  <c r="P127" i="99"/>
  <c r="P128" i="99"/>
  <c r="P129" i="99"/>
  <c r="P130" i="99"/>
  <c r="P131" i="99"/>
  <c r="P133" i="99"/>
  <c r="P134" i="99"/>
  <c r="P135" i="99"/>
  <c r="P136" i="99"/>
  <c r="W121" i="133"/>
  <c r="W122" i="133"/>
  <c r="W123" i="133"/>
  <c r="W124" i="133"/>
  <c r="W130" i="133"/>
  <c r="W132" i="133"/>
  <c r="P140" i="99"/>
  <c r="W136" i="133"/>
  <c r="W137" i="133"/>
  <c r="W138" i="133"/>
  <c r="W139" i="133"/>
  <c r="W140" i="133"/>
  <c r="W141" i="133"/>
  <c r="W147" i="133"/>
  <c r="W155" i="133"/>
  <c r="P141" i="99"/>
  <c r="P142" i="99"/>
  <c r="P144" i="99"/>
  <c r="P152" i="99"/>
  <c r="N221" i="71"/>
  <c r="Q125" i="99"/>
  <c r="Q126" i="99"/>
  <c r="Q127" i="99"/>
  <c r="Q128" i="99"/>
  <c r="Q129" i="99"/>
  <c r="Q130" i="99"/>
  <c r="Q131" i="99"/>
  <c r="Q133" i="99"/>
  <c r="Q134" i="99"/>
  <c r="Q135" i="99"/>
  <c r="Q136" i="99"/>
  <c r="X121" i="133"/>
  <c r="X122" i="133"/>
  <c r="X123" i="133"/>
  <c r="X124" i="133"/>
  <c r="X130" i="133"/>
  <c r="X132" i="133"/>
  <c r="Q140" i="99"/>
  <c r="X136" i="133"/>
  <c r="X137" i="133"/>
  <c r="X138" i="133"/>
  <c r="X139" i="133"/>
  <c r="X140" i="133"/>
  <c r="X141" i="133"/>
  <c r="X147" i="133"/>
  <c r="X155" i="133"/>
  <c r="Q141" i="99"/>
  <c r="Q142" i="99"/>
  <c r="Q144" i="99"/>
  <c r="Q152" i="99"/>
  <c r="O221" i="71"/>
  <c r="R125" i="99"/>
  <c r="R126" i="99"/>
  <c r="R127" i="99"/>
  <c r="R128" i="99"/>
  <c r="R129" i="99"/>
  <c r="R130" i="99"/>
  <c r="R131" i="99"/>
  <c r="R133" i="99"/>
  <c r="R134" i="99"/>
  <c r="R135" i="99"/>
  <c r="R136" i="99"/>
  <c r="Y121" i="133"/>
  <c r="Y122" i="133"/>
  <c r="Y123" i="133"/>
  <c r="Y124" i="133"/>
  <c r="Y130" i="133"/>
  <c r="Y132" i="133"/>
  <c r="R140" i="99"/>
  <c r="Y136" i="133"/>
  <c r="Y137" i="133"/>
  <c r="Y138" i="133"/>
  <c r="Y139" i="133"/>
  <c r="Y140" i="133"/>
  <c r="Y141" i="133"/>
  <c r="Y147" i="133"/>
  <c r="Y155" i="133"/>
  <c r="R141" i="99"/>
  <c r="R142" i="99"/>
  <c r="R144" i="99"/>
  <c r="R152" i="99"/>
  <c r="P221" i="71"/>
  <c r="S125" i="99"/>
  <c r="S126" i="99"/>
  <c r="S127" i="99"/>
  <c r="S128" i="99"/>
  <c r="S129" i="99"/>
  <c r="S130" i="99"/>
  <c r="S131" i="99"/>
  <c r="S133" i="99"/>
  <c r="S134" i="99"/>
  <c r="S135" i="99"/>
  <c r="S136" i="99"/>
  <c r="Z121" i="133"/>
  <c r="Z122" i="133"/>
  <c r="Z123" i="133"/>
  <c r="Z124" i="133"/>
  <c r="Z130" i="133"/>
  <c r="Z132" i="133"/>
  <c r="S140" i="99"/>
  <c r="Z136" i="133"/>
  <c r="Z137" i="133"/>
  <c r="Z138" i="133"/>
  <c r="Z139" i="133"/>
  <c r="Z140" i="133"/>
  <c r="Z141" i="133"/>
  <c r="Z147" i="133"/>
  <c r="Z155" i="133"/>
  <c r="S141" i="99"/>
  <c r="S142" i="99"/>
  <c r="S144" i="99"/>
  <c r="S152" i="99"/>
  <c r="Q221" i="71"/>
  <c r="T125" i="99"/>
  <c r="T126" i="99"/>
  <c r="T127" i="99"/>
  <c r="T128" i="99"/>
  <c r="T129" i="99"/>
  <c r="T130" i="99"/>
  <c r="T131" i="99"/>
  <c r="T133" i="99"/>
  <c r="T134" i="99"/>
  <c r="T135" i="99"/>
  <c r="T136" i="99"/>
  <c r="AA121" i="133"/>
  <c r="AA122" i="133"/>
  <c r="AA123" i="133"/>
  <c r="AA124" i="133"/>
  <c r="AA130" i="133"/>
  <c r="AA132" i="133"/>
  <c r="T140" i="99"/>
  <c r="AA136" i="133"/>
  <c r="AA137" i="133"/>
  <c r="AA138" i="133"/>
  <c r="AA139" i="133"/>
  <c r="AA140" i="133"/>
  <c r="AA141" i="133"/>
  <c r="AA147" i="133"/>
  <c r="AA155" i="133"/>
  <c r="T141" i="99"/>
  <c r="T142" i="99"/>
  <c r="T144" i="99"/>
  <c r="T152" i="99"/>
  <c r="R221" i="71"/>
  <c r="U125" i="99"/>
  <c r="U126" i="99"/>
  <c r="U127" i="99"/>
  <c r="U128" i="99"/>
  <c r="U129" i="99"/>
  <c r="U130" i="99"/>
  <c r="U131" i="99"/>
  <c r="U133" i="99"/>
  <c r="U134" i="99"/>
  <c r="U135" i="99"/>
  <c r="U136" i="99"/>
  <c r="AB121" i="133"/>
  <c r="AB122" i="133"/>
  <c r="AB123" i="133"/>
  <c r="AB124" i="133"/>
  <c r="AB130" i="133"/>
  <c r="AB132" i="133"/>
  <c r="U140" i="99"/>
  <c r="AB136" i="133"/>
  <c r="AB137" i="133"/>
  <c r="AB138" i="133"/>
  <c r="AB139" i="133"/>
  <c r="AB140" i="133"/>
  <c r="AB141" i="133"/>
  <c r="AB147" i="133"/>
  <c r="AB155" i="133"/>
  <c r="U141" i="99"/>
  <c r="U142" i="99"/>
  <c r="U144" i="99"/>
  <c r="U152" i="99"/>
  <c r="S221" i="71"/>
  <c r="V125" i="99"/>
  <c r="V126" i="99"/>
  <c r="V127" i="99"/>
  <c r="V128" i="99"/>
  <c r="V129" i="99"/>
  <c r="V130" i="99"/>
  <c r="V131" i="99"/>
  <c r="V133" i="99"/>
  <c r="V134" i="99"/>
  <c r="V135" i="99"/>
  <c r="V136" i="99"/>
  <c r="AC121" i="133"/>
  <c r="AC122" i="133"/>
  <c r="AC123" i="133"/>
  <c r="AC124" i="133"/>
  <c r="AC130" i="133"/>
  <c r="AC132" i="133"/>
  <c r="V140" i="99"/>
  <c r="AC136" i="133"/>
  <c r="AC137" i="133"/>
  <c r="AC138" i="133"/>
  <c r="AC139" i="133"/>
  <c r="AC140" i="133"/>
  <c r="AC141" i="133"/>
  <c r="AC147" i="133"/>
  <c r="AC155" i="133"/>
  <c r="V141" i="99"/>
  <c r="V142" i="99"/>
  <c r="V144" i="99"/>
  <c r="V152" i="99"/>
  <c r="T221" i="71"/>
  <c r="W125" i="99"/>
  <c r="W126" i="99"/>
  <c r="W127" i="99"/>
  <c r="W128" i="99"/>
  <c r="W129" i="99"/>
  <c r="W130" i="99"/>
  <c r="W131" i="99"/>
  <c r="W133" i="99"/>
  <c r="W134" i="99"/>
  <c r="W135" i="99"/>
  <c r="W136" i="99"/>
  <c r="AD121" i="133"/>
  <c r="AD122" i="133"/>
  <c r="AD123" i="133"/>
  <c r="AD124" i="133"/>
  <c r="AD130" i="133"/>
  <c r="AD132" i="133"/>
  <c r="W140" i="99"/>
  <c r="AD136" i="133"/>
  <c r="AD137" i="133"/>
  <c r="AD138" i="133"/>
  <c r="AD139" i="133"/>
  <c r="AD140" i="133"/>
  <c r="AD141" i="133"/>
  <c r="AD147" i="133"/>
  <c r="AD155" i="133"/>
  <c r="W141" i="99"/>
  <c r="W142" i="99"/>
  <c r="W144" i="99"/>
  <c r="W152" i="99"/>
  <c r="U221" i="71"/>
  <c r="X125" i="99"/>
  <c r="X126" i="99"/>
  <c r="X127" i="99"/>
  <c r="X128" i="99"/>
  <c r="X129" i="99"/>
  <c r="X130" i="99"/>
  <c r="X131" i="99"/>
  <c r="X133" i="99"/>
  <c r="X134" i="99"/>
  <c r="X135" i="99"/>
  <c r="X136" i="99"/>
  <c r="AE121" i="133"/>
  <c r="AE122" i="133"/>
  <c r="AE123" i="133"/>
  <c r="AE124" i="133"/>
  <c r="AE130" i="133"/>
  <c r="AE132" i="133"/>
  <c r="X140" i="99"/>
  <c r="AE136" i="133"/>
  <c r="AE137" i="133"/>
  <c r="AE138" i="133"/>
  <c r="AE139" i="133"/>
  <c r="AE140" i="133"/>
  <c r="AE141" i="133"/>
  <c r="AE147" i="133"/>
  <c r="AE155" i="133"/>
  <c r="X141" i="99"/>
  <c r="X142" i="99"/>
  <c r="X144" i="99"/>
  <c r="X152" i="99"/>
  <c r="V221" i="71"/>
  <c r="W221" i="71"/>
  <c r="E164" i="99"/>
  <c r="C224" i="71"/>
  <c r="F164" i="99"/>
  <c r="D224" i="71"/>
  <c r="G164" i="99"/>
  <c r="E224" i="71"/>
  <c r="H164" i="99"/>
  <c r="F224" i="71"/>
  <c r="I164" i="99"/>
  <c r="G224" i="71"/>
  <c r="J164" i="99"/>
  <c r="H224" i="71"/>
  <c r="K164" i="99"/>
  <c r="I224" i="71"/>
  <c r="L164" i="99"/>
  <c r="J224" i="71"/>
  <c r="M164" i="99"/>
  <c r="K224" i="71"/>
  <c r="N164" i="99"/>
  <c r="L224" i="71"/>
  <c r="O164" i="99"/>
  <c r="M224" i="71"/>
  <c r="P164" i="99"/>
  <c r="N224" i="71"/>
  <c r="Q164" i="99"/>
  <c r="O224" i="71"/>
  <c r="R164" i="99"/>
  <c r="P224" i="71"/>
  <c r="S164" i="99"/>
  <c r="Q224" i="71"/>
  <c r="T164" i="99"/>
  <c r="R224" i="71"/>
  <c r="U164" i="99"/>
  <c r="S224" i="71"/>
  <c r="V164" i="99"/>
  <c r="T224" i="71"/>
  <c r="W164" i="99"/>
  <c r="U224" i="71"/>
  <c r="X164" i="99"/>
  <c r="V224" i="71"/>
  <c r="W224" i="71"/>
  <c r="E165" i="99"/>
  <c r="C225" i="71"/>
  <c r="F165" i="99"/>
  <c r="D225" i="71"/>
  <c r="G165" i="99"/>
  <c r="E225" i="71"/>
  <c r="H165" i="99"/>
  <c r="F225" i="71"/>
  <c r="I165" i="99"/>
  <c r="G225" i="71"/>
  <c r="J165" i="99"/>
  <c r="H225" i="71"/>
  <c r="K165" i="99"/>
  <c r="I225" i="71"/>
  <c r="L165" i="99"/>
  <c r="J225" i="71"/>
  <c r="M165" i="99"/>
  <c r="K225" i="71"/>
  <c r="N165" i="99"/>
  <c r="L225" i="71"/>
  <c r="O165" i="99"/>
  <c r="M225" i="71"/>
  <c r="P165" i="99"/>
  <c r="N225" i="71"/>
  <c r="Q165" i="99"/>
  <c r="O225" i="71"/>
  <c r="R165" i="99"/>
  <c r="P225" i="71"/>
  <c r="S165" i="99"/>
  <c r="Q225" i="71"/>
  <c r="T165" i="99"/>
  <c r="R225" i="71"/>
  <c r="U165" i="99"/>
  <c r="S225" i="71"/>
  <c r="V165" i="99"/>
  <c r="T225" i="71"/>
  <c r="W165" i="99"/>
  <c r="U225" i="71"/>
  <c r="X165" i="99"/>
  <c r="V225" i="71"/>
  <c r="W225" i="71"/>
  <c r="Z226" i="71"/>
  <c r="E125" i="96"/>
  <c r="E126" i="96"/>
  <c r="E127" i="96"/>
  <c r="E128" i="96"/>
  <c r="E129" i="96"/>
  <c r="E130" i="96"/>
  <c r="E131" i="96"/>
  <c r="E133" i="96"/>
  <c r="E134" i="96"/>
  <c r="E135" i="96"/>
  <c r="E136" i="96"/>
  <c r="E140" i="96"/>
  <c r="E141" i="96"/>
  <c r="E142" i="96"/>
  <c r="E144" i="96"/>
  <c r="E152" i="96"/>
  <c r="C202" i="71"/>
  <c r="F125" i="96"/>
  <c r="F126" i="96"/>
  <c r="F127" i="96"/>
  <c r="F128" i="96"/>
  <c r="F129" i="96"/>
  <c r="F130" i="96"/>
  <c r="F131" i="96"/>
  <c r="F133" i="96"/>
  <c r="F134" i="96"/>
  <c r="F135" i="96"/>
  <c r="F136" i="96"/>
  <c r="F27" i="96"/>
  <c r="M32" i="129"/>
  <c r="M121" i="129"/>
  <c r="M122" i="129"/>
  <c r="M123" i="129"/>
  <c r="M124" i="129"/>
  <c r="M130" i="129"/>
  <c r="M132" i="129"/>
  <c r="F140" i="96"/>
  <c r="M136" i="129"/>
  <c r="M137" i="129"/>
  <c r="M138" i="129"/>
  <c r="M139" i="129"/>
  <c r="M140" i="129"/>
  <c r="M141" i="129"/>
  <c r="M147" i="129"/>
  <c r="M155" i="129"/>
  <c r="F141" i="96"/>
  <c r="F142" i="96"/>
  <c r="F144" i="96"/>
  <c r="F152" i="96"/>
  <c r="D202" i="71"/>
  <c r="G125" i="96"/>
  <c r="G126" i="96"/>
  <c r="G127" i="96"/>
  <c r="G128" i="96"/>
  <c r="G129" i="96"/>
  <c r="G130" i="96"/>
  <c r="G131" i="96"/>
  <c r="G133" i="96"/>
  <c r="G134" i="96"/>
  <c r="G135" i="96"/>
  <c r="G136" i="96"/>
  <c r="N121" i="129"/>
  <c r="N122" i="129"/>
  <c r="N123" i="129"/>
  <c r="N124" i="129"/>
  <c r="N130" i="129"/>
  <c r="N132" i="129"/>
  <c r="G140" i="96"/>
  <c r="N136" i="129"/>
  <c r="N137" i="129"/>
  <c r="N138" i="129"/>
  <c r="N139" i="129"/>
  <c r="N140" i="129"/>
  <c r="N141" i="129"/>
  <c r="N147" i="129"/>
  <c r="N155" i="129"/>
  <c r="G141" i="96"/>
  <c r="G142" i="96"/>
  <c r="G144" i="96"/>
  <c r="G152" i="96"/>
  <c r="E202" i="71"/>
  <c r="H125" i="96"/>
  <c r="H126" i="96"/>
  <c r="H127" i="96"/>
  <c r="H128" i="96"/>
  <c r="H129" i="96"/>
  <c r="H130" i="96"/>
  <c r="H131" i="96"/>
  <c r="H133" i="96"/>
  <c r="H134" i="96"/>
  <c r="H135" i="96"/>
  <c r="H136" i="96"/>
  <c r="O121" i="129"/>
  <c r="O122" i="129"/>
  <c r="O123" i="129"/>
  <c r="O124" i="129"/>
  <c r="O130" i="129"/>
  <c r="O132" i="129"/>
  <c r="H140" i="96"/>
  <c r="O136" i="129"/>
  <c r="O137" i="129"/>
  <c r="O138" i="129"/>
  <c r="O139" i="129"/>
  <c r="O140" i="129"/>
  <c r="O141" i="129"/>
  <c r="O147" i="129"/>
  <c r="O155" i="129"/>
  <c r="H141" i="96"/>
  <c r="H142" i="96"/>
  <c r="H144" i="96"/>
  <c r="H152" i="96"/>
  <c r="F202" i="71"/>
  <c r="I125" i="96"/>
  <c r="I126" i="96"/>
  <c r="I127" i="96"/>
  <c r="I128" i="96"/>
  <c r="I129" i="96"/>
  <c r="I130" i="96"/>
  <c r="I131" i="96"/>
  <c r="I133" i="96"/>
  <c r="I134" i="96"/>
  <c r="I135" i="96"/>
  <c r="I136" i="96"/>
  <c r="P121" i="129"/>
  <c r="P122" i="129"/>
  <c r="P123" i="129"/>
  <c r="P124" i="129"/>
  <c r="P130" i="129"/>
  <c r="P132" i="129"/>
  <c r="I140" i="96"/>
  <c r="P136" i="129"/>
  <c r="P137" i="129"/>
  <c r="P138" i="129"/>
  <c r="P139" i="129"/>
  <c r="P140" i="129"/>
  <c r="P141" i="129"/>
  <c r="P147" i="129"/>
  <c r="P155" i="129"/>
  <c r="I141" i="96"/>
  <c r="I142" i="96"/>
  <c r="I144" i="96"/>
  <c r="I152" i="96"/>
  <c r="G202" i="71"/>
  <c r="J125" i="96"/>
  <c r="J126" i="96"/>
  <c r="J127" i="96"/>
  <c r="J128" i="96"/>
  <c r="J129" i="96"/>
  <c r="J130" i="96"/>
  <c r="J131" i="96"/>
  <c r="J133" i="96"/>
  <c r="J134" i="96"/>
  <c r="J135" i="96"/>
  <c r="J136" i="96"/>
  <c r="Q121" i="129"/>
  <c r="Q122" i="129"/>
  <c r="Q123" i="129"/>
  <c r="Q124" i="129"/>
  <c r="Q130" i="129"/>
  <c r="Q132" i="129"/>
  <c r="J140" i="96"/>
  <c r="Q136" i="129"/>
  <c r="Q137" i="129"/>
  <c r="Q138" i="129"/>
  <c r="Q139" i="129"/>
  <c r="Q140" i="129"/>
  <c r="Q141" i="129"/>
  <c r="Q147" i="129"/>
  <c r="Q155" i="129"/>
  <c r="J141" i="96"/>
  <c r="J142" i="96"/>
  <c r="J144" i="96"/>
  <c r="J152" i="96"/>
  <c r="H202" i="71"/>
  <c r="K125" i="96"/>
  <c r="K126" i="96"/>
  <c r="K127" i="96"/>
  <c r="K128" i="96"/>
  <c r="K129" i="96"/>
  <c r="K130" i="96"/>
  <c r="K131" i="96"/>
  <c r="K133" i="96"/>
  <c r="K134" i="96"/>
  <c r="K135" i="96"/>
  <c r="K136" i="96"/>
  <c r="R121" i="129"/>
  <c r="R122" i="129"/>
  <c r="R123" i="129"/>
  <c r="R124" i="129"/>
  <c r="R130" i="129"/>
  <c r="R132" i="129"/>
  <c r="K140" i="96"/>
  <c r="R136" i="129"/>
  <c r="R137" i="129"/>
  <c r="R138" i="129"/>
  <c r="R139" i="129"/>
  <c r="R140" i="129"/>
  <c r="R141" i="129"/>
  <c r="R147" i="129"/>
  <c r="R155" i="129"/>
  <c r="K141" i="96"/>
  <c r="K142" i="96"/>
  <c r="K144" i="96"/>
  <c r="K152" i="96"/>
  <c r="I202" i="71"/>
  <c r="L125" i="96"/>
  <c r="L126" i="96"/>
  <c r="L127" i="96"/>
  <c r="L128" i="96"/>
  <c r="L129" i="96"/>
  <c r="L130" i="96"/>
  <c r="L131" i="96"/>
  <c r="L133" i="96"/>
  <c r="L134" i="96"/>
  <c r="L135" i="96"/>
  <c r="L136" i="96"/>
  <c r="S121" i="129"/>
  <c r="S122" i="129"/>
  <c r="S123" i="129"/>
  <c r="S124" i="129"/>
  <c r="S130" i="129"/>
  <c r="S132" i="129"/>
  <c r="L140" i="96"/>
  <c r="S136" i="129"/>
  <c r="S137" i="129"/>
  <c r="S138" i="129"/>
  <c r="S139" i="129"/>
  <c r="S140" i="129"/>
  <c r="S141" i="129"/>
  <c r="S147" i="129"/>
  <c r="S155" i="129"/>
  <c r="L141" i="96"/>
  <c r="L142" i="96"/>
  <c r="L144" i="96"/>
  <c r="L152" i="96"/>
  <c r="J202" i="71"/>
  <c r="M125" i="96"/>
  <c r="M126" i="96"/>
  <c r="M127" i="96"/>
  <c r="M128" i="96"/>
  <c r="M129" i="96"/>
  <c r="M130" i="96"/>
  <c r="M131" i="96"/>
  <c r="M133" i="96"/>
  <c r="M134" i="96"/>
  <c r="M135" i="96"/>
  <c r="M136" i="96"/>
  <c r="T121" i="129"/>
  <c r="T122" i="129"/>
  <c r="T123" i="129"/>
  <c r="T124" i="129"/>
  <c r="T130" i="129"/>
  <c r="T132" i="129"/>
  <c r="M140" i="96"/>
  <c r="T136" i="129"/>
  <c r="T137" i="129"/>
  <c r="T138" i="129"/>
  <c r="T139" i="129"/>
  <c r="T140" i="129"/>
  <c r="T141" i="129"/>
  <c r="T147" i="129"/>
  <c r="T155" i="129"/>
  <c r="M141" i="96"/>
  <c r="M142" i="96"/>
  <c r="M144" i="96"/>
  <c r="M152" i="96"/>
  <c r="K202" i="71"/>
  <c r="N125" i="96"/>
  <c r="N126" i="96"/>
  <c r="N127" i="96"/>
  <c r="N128" i="96"/>
  <c r="N129" i="96"/>
  <c r="N130" i="96"/>
  <c r="N131" i="96"/>
  <c r="N133" i="96"/>
  <c r="N134" i="96"/>
  <c r="N135" i="96"/>
  <c r="N136" i="96"/>
  <c r="U121" i="129"/>
  <c r="U122" i="129"/>
  <c r="U123" i="129"/>
  <c r="U124" i="129"/>
  <c r="U130" i="129"/>
  <c r="U132" i="129"/>
  <c r="N140" i="96"/>
  <c r="U136" i="129"/>
  <c r="U137" i="129"/>
  <c r="U138" i="129"/>
  <c r="U139" i="129"/>
  <c r="U140" i="129"/>
  <c r="U141" i="129"/>
  <c r="U147" i="129"/>
  <c r="U155" i="129"/>
  <c r="N141" i="96"/>
  <c r="N142" i="96"/>
  <c r="N144" i="96"/>
  <c r="N152" i="96"/>
  <c r="L202" i="71"/>
  <c r="O125" i="96"/>
  <c r="O126" i="96"/>
  <c r="O127" i="96"/>
  <c r="O128" i="96"/>
  <c r="O129" i="96"/>
  <c r="O130" i="96"/>
  <c r="O131" i="96"/>
  <c r="O133" i="96"/>
  <c r="O134" i="96"/>
  <c r="O135" i="96"/>
  <c r="O136" i="96"/>
  <c r="V121" i="129"/>
  <c r="V122" i="129"/>
  <c r="V123" i="129"/>
  <c r="V124" i="129"/>
  <c r="V130" i="129"/>
  <c r="V132" i="129"/>
  <c r="O140" i="96"/>
  <c r="V136" i="129"/>
  <c r="V137" i="129"/>
  <c r="V138" i="129"/>
  <c r="V139" i="129"/>
  <c r="V140" i="129"/>
  <c r="V141" i="129"/>
  <c r="V147" i="129"/>
  <c r="V155" i="129"/>
  <c r="O141" i="96"/>
  <c r="O142" i="96"/>
  <c r="O144" i="96"/>
  <c r="O152" i="96"/>
  <c r="M202" i="71"/>
  <c r="P125" i="96"/>
  <c r="P126" i="96"/>
  <c r="P127" i="96"/>
  <c r="P128" i="96"/>
  <c r="P129" i="96"/>
  <c r="P130" i="96"/>
  <c r="P131" i="96"/>
  <c r="P133" i="96"/>
  <c r="P134" i="96"/>
  <c r="P135" i="96"/>
  <c r="P136" i="96"/>
  <c r="W121" i="129"/>
  <c r="W122" i="129"/>
  <c r="W123" i="129"/>
  <c r="W124" i="129"/>
  <c r="W130" i="129"/>
  <c r="W132" i="129"/>
  <c r="P140" i="96"/>
  <c r="W136" i="129"/>
  <c r="W137" i="129"/>
  <c r="W138" i="129"/>
  <c r="W139" i="129"/>
  <c r="W140" i="129"/>
  <c r="W141" i="129"/>
  <c r="W147" i="129"/>
  <c r="W155" i="129"/>
  <c r="P141" i="96"/>
  <c r="P142" i="96"/>
  <c r="P144" i="96"/>
  <c r="P152" i="96"/>
  <c r="N202" i="71"/>
  <c r="Q125" i="96"/>
  <c r="Q126" i="96"/>
  <c r="Q127" i="96"/>
  <c r="Q128" i="96"/>
  <c r="Q129" i="96"/>
  <c r="Q130" i="96"/>
  <c r="Q131" i="96"/>
  <c r="Q133" i="96"/>
  <c r="Q134" i="96"/>
  <c r="Q135" i="96"/>
  <c r="Q136" i="96"/>
  <c r="X121" i="129"/>
  <c r="X122" i="129"/>
  <c r="X123" i="129"/>
  <c r="X124" i="129"/>
  <c r="X130" i="129"/>
  <c r="X132" i="129"/>
  <c r="Q140" i="96"/>
  <c r="X136" i="129"/>
  <c r="X137" i="129"/>
  <c r="X138" i="129"/>
  <c r="X139" i="129"/>
  <c r="X140" i="129"/>
  <c r="X141" i="129"/>
  <c r="X147" i="129"/>
  <c r="X155" i="129"/>
  <c r="Q141" i="96"/>
  <c r="Q142" i="96"/>
  <c r="Q144" i="96"/>
  <c r="Q152" i="96"/>
  <c r="O202" i="71"/>
  <c r="R125" i="96"/>
  <c r="R126" i="96"/>
  <c r="R127" i="96"/>
  <c r="R128" i="96"/>
  <c r="R129" i="96"/>
  <c r="R130" i="96"/>
  <c r="R131" i="96"/>
  <c r="R133" i="96"/>
  <c r="R134" i="96"/>
  <c r="R135" i="96"/>
  <c r="R136" i="96"/>
  <c r="Y121" i="129"/>
  <c r="Y122" i="129"/>
  <c r="Y123" i="129"/>
  <c r="Y124" i="129"/>
  <c r="Y130" i="129"/>
  <c r="Y132" i="129"/>
  <c r="R140" i="96"/>
  <c r="Y136" i="129"/>
  <c r="Y137" i="129"/>
  <c r="Y138" i="129"/>
  <c r="Y139" i="129"/>
  <c r="Y140" i="129"/>
  <c r="Y141" i="129"/>
  <c r="Y147" i="129"/>
  <c r="Y155" i="129"/>
  <c r="R141" i="96"/>
  <c r="R142" i="96"/>
  <c r="R144" i="96"/>
  <c r="R152" i="96"/>
  <c r="P202" i="71"/>
  <c r="S125" i="96"/>
  <c r="S126" i="96"/>
  <c r="S127" i="96"/>
  <c r="S128" i="96"/>
  <c r="S129" i="96"/>
  <c r="S130" i="96"/>
  <c r="S131" i="96"/>
  <c r="S133" i="96"/>
  <c r="S134" i="96"/>
  <c r="S135" i="96"/>
  <c r="S136" i="96"/>
  <c r="Z121" i="129"/>
  <c r="Z122" i="129"/>
  <c r="Z123" i="129"/>
  <c r="Z124" i="129"/>
  <c r="Z130" i="129"/>
  <c r="Z132" i="129"/>
  <c r="S140" i="96"/>
  <c r="Z136" i="129"/>
  <c r="Z137" i="129"/>
  <c r="Z138" i="129"/>
  <c r="Z139" i="129"/>
  <c r="Z140" i="129"/>
  <c r="Z141" i="129"/>
  <c r="Z147" i="129"/>
  <c r="Z155" i="129"/>
  <c r="S141" i="96"/>
  <c r="S142" i="96"/>
  <c r="S144" i="96"/>
  <c r="S152" i="96"/>
  <c r="Q202" i="71"/>
  <c r="T125" i="96"/>
  <c r="T126" i="96"/>
  <c r="T127" i="96"/>
  <c r="T128" i="96"/>
  <c r="T129" i="96"/>
  <c r="T130" i="96"/>
  <c r="T131" i="96"/>
  <c r="T133" i="96"/>
  <c r="T134" i="96"/>
  <c r="T135" i="96"/>
  <c r="T136" i="96"/>
  <c r="AA121" i="129"/>
  <c r="AA122" i="129"/>
  <c r="AA123" i="129"/>
  <c r="AA124" i="129"/>
  <c r="AA130" i="129"/>
  <c r="AA132" i="129"/>
  <c r="T140" i="96"/>
  <c r="AA136" i="129"/>
  <c r="AA137" i="129"/>
  <c r="AA138" i="129"/>
  <c r="AA139" i="129"/>
  <c r="AA140" i="129"/>
  <c r="AA141" i="129"/>
  <c r="AA147" i="129"/>
  <c r="AA155" i="129"/>
  <c r="T141" i="96"/>
  <c r="T142" i="96"/>
  <c r="T144" i="96"/>
  <c r="T152" i="96"/>
  <c r="R202" i="71"/>
  <c r="U125" i="96"/>
  <c r="U126" i="96"/>
  <c r="U127" i="96"/>
  <c r="U128" i="96"/>
  <c r="U129" i="96"/>
  <c r="U130" i="96"/>
  <c r="U131" i="96"/>
  <c r="U133" i="96"/>
  <c r="U134" i="96"/>
  <c r="U135" i="96"/>
  <c r="U136" i="96"/>
  <c r="AB121" i="129"/>
  <c r="AB122" i="129"/>
  <c r="AB123" i="129"/>
  <c r="AB124" i="129"/>
  <c r="AB130" i="129"/>
  <c r="AB132" i="129"/>
  <c r="U140" i="96"/>
  <c r="AB136" i="129"/>
  <c r="AB137" i="129"/>
  <c r="AB138" i="129"/>
  <c r="AB139" i="129"/>
  <c r="AB140" i="129"/>
  <c r="AB141" i="129"/>
  <c r="AB147" i="129"/>
  <c r="AB155" i="129"/>
  <c r="U141" i="96"/>
  <c r="U142" i="96"/>
  <c r="U144" i="96"/>
  <c r="U152" i="96"/>
  <c r="S202" i="71"/>
  <c r="V125" i="96"/>
  <c r="V126" i="96"/>
  <c r="V127" i="96"/>
  <c r="V128" i="96"/>
  <c r="V129" i="96"/>
  <c r="V130" i="96"/>
  <c r="V131" i="96"/>
  <c r="V133" i="96"/>
  <c r="V134" i="96"/>
  <c r="V135" i="96"/>
  <c r="V136" i="96"/>
  <c r="AC121" i="129"/>
  <c r="AC122" i="129"/>
  <c r="AC123" i="129"/>
  <c r="AC124" i="129"/>
  <c r="AC130" i="129"/>
  <c r="AC132" i="129"/>
  <c r="V140" i="96"/>
  <c r="AC136" i="129"/>
  <c r="AC137" i="129"/>
  <c r="AC138" i="129"/>
  <c r="AC139" i="129"/>
  <c r="AC140" i="129"/>
  <c r="AC141" i="129"/>
  <c r="AC147" i="129"/>
  <c r="AC155" i="129"/>
  <c r="V141" i="96"/>
  <c r="V142" i="96"/>
  <c r="V144" i="96"/>
  <c r="V152" i="96"/>
  <c r="T202" i="71"/>
  <c r="W125" i="96"/>
  <c r="W126" i="96"/>
  <c r="W127" i="96"/>
  <c r="W128" i="96"/>
  <c r="W129" i="96"/>
  <c r="W130" i="96"/>
  <c r="W131" i="96"/>
  <c r="W133" i="96"/>
  <c r="W134" i="96"/>
  <c r="W135" i="96"/>
  <c r="W136" i="96"/>
  <c r="AD121" i="129"/>
  <c r="AD122" i="129"/>
  <c r="AD123" i="129"/>
  <c r="AD124" i="129"/>
  <c r="AD130" i="129"/>
  <c r="AD132" i="129"/>
  <c r="W140" i="96"/>
  <c r="AD136" i="129"/>
  <c r="AD137" i="129"/>
  <c r="AD138" i="129"/>
  <c r="AD139" i="129"/>
  <c r="AD140" i="129"/>
  <c r="AD141" i="129"/>
  <c r="AD147" i="129"/>
  <c r="AD155" i="129"/>
  <c r="W141" i="96"/>
  <c r="W142" i="96"/>
  <c r="W144" i="96"/>
  <c r="W152" i="96"/>
  <c r="U202" i="71"/>
  <c r="X125" i="96"/>
  <c r="X126" i="96"/>
  <c r="X127" i="96"/>
  <c r="X128" i="96"/>
  <c r="X129" i="96"/>
  <c r="X130" i="96"/>
  <c r="X131" i="96"/>
  <c r="X133" i="96"/>
  <c r="X134" i="96"/>
  <c r="X135" i="96"/>
  <c r="X136" i="96"/>
  <c r="AE121" i="129"/>
  <c r="AE122" i="129"/>
  <c r="AE123" i="129"/>
  <c r="AE124" i="129"/>
  <c r="AE130" i="129"/>
  <c r="AE132" i="129"/>
  <c r="X140" i="96"/>
  <c r="AE136" i="129"/>
  <c r="AE137" i="129"/>
  <c r="AE138" i="129"/>
  <c r="AE139" i="129"/>
  <c r="AE140" i="129"/>
  <c r="AE141" i="129"/>
  <c r="AE147" i="129"/>
  <c r="AE155" i="129"/>
  <c r="X141" i="96"/>
  <c r="X142" i="96"/>
  <c r="X144" i="96"/>
  <c r="X152" i="96"/>
  <c r="V202" i="71"/>
  <c r="W202" i="71"/>
  <c r="E164" i="96"/>
  <c r="C205" i="71"/>
  <c r="F164" i="96"/>
  <c r="D205" i="71"/>
  <c r="G164" i="96"/>
  <c r="E205" i="71"/>
  <c r="H164" i="96"/>
  <c r="F205" i="71"/>
  <c r="I164" i="96"/>
  <c r="G205" i="71"/>
  <c r="J164" i="96"/>
  <c r="H205" i="71"/>
  <c r="K164" i="96"/>
  <c r="I205" i="71"/>
  <c r="L164" i="96"/>
  <c r="J205" i="71"/>
  <c r="M164" i="96"/>
  <c r="K205" i="71"/>
  <c r="N164" i="96"/>
  <c r="L205" i="71"/>
  <c r="O164" i="96"/>
  <c r="M205" i="71"/>
  <c r="P164" i="96"/>
  <c r="N205" i="71"/>
  <c r="Q164" i="96"/>
  <c r="O205" i="71"/>
  <c r="R164" i="96"/>
  <c r="P205" i="71"/>
  <c r="S164" i="96"/>
  <c r="Q205" i="71"/>
  <c r="T164" i="96"/>
  <c r="R205" i="71"/>
  <c r="U164" i="96"/>
  <c r="S205" i="71"/>
  <c r="V164" i="96"/>
  <c r="T205" i="71"/>
  <c r="W164" i="96"/>
  <c r="U205" i="71"/>
  <c r="X164" i="96"/>
  <c r="V205" i="71"/>
  <c r="W205" i="71"/>
  <c r="E165" i="96"/>
  <c r="C206" i="71"/>
  <c r="F165" i="96"/>
  <c r="D206" i="71"/>
  <c r="G165" i="96"/>
  <c r="E206" i="71"/>
  <c r="H165" i="96"/>
  <c r="F206" i="71"/>
  <c r="I165" i="96"/>
  <c r="G206" i="71"/>
  <c r="J165" i="96"/>
  <c r="H206" i="71"/>
  <c r="K165" i="96"/>
  <c r="I206" i="71"/>
  <c r="L165" i="96"/>
  <c r="J206" i="71"/>
  <c r="M165" i="96"/>
  <c r="K206" i="71"/>
  <c r="N165" i="96"/>
  <c r="L206" i="71"/>
  <c r="O165" i="96"/>
  <c r="M206" i="71"/>
  <c r="P165" i="96"/>
  <c r="N206" i="71"/>
  <c r="Q165" i="96"/>
  <c r="O206" i="71"/>
  <c r="R165" i="96"/>
  <c r="P206" i="71"/>
  <c r="S165" i="96"/>
  <c r="Q206" i="71"/>
  <c r="T165" i="96"/>
  <c r="R206" i="71"/>
  <c r="U165" i="96"/>
  <c r="S206" i="71"/>
  <c r="V165" i="96"/>
  <c r="T206" i="71"/>
  <c r="W165" i="96"/>
  <c r="U206" i="71"/>
  <c r="X165" i="96"/>
  <c r="V206" i="71"/>
  <c r="W206" i="71"/>
  <c r="Z207" i="71"/>
  <c r="E125" i="111"/>
  <c r="E126" i="111"/>
  <c r="E127" i="111"/>
  <c r="E128" i="111"/>
  <c r="E129" i="111"/>
  <c r="E130" i="111"/>
  <c r="E131" i="111"/>
  <c r="E133" i="111"/>
  <c r="E134" i="111"/>
  <c r="E135" i="111"/>
  <c r="E136" i="111"/>
  <c r="E140" i="111"/>
  <c r="E141" i="111"/>
  <c r="E142" i="111"/>
  <c r="E144" i="111"/>
  <c r="E152" i="111"/>
  <c r="C164" i="71"/>
  <c r="F125" i="111"/>
  <c r="F126" i="111"/>
  <c r="F127" i="111"/>
  <c r="F128" i="111"/>
  <c r="F129" i="111"/>
  <c r="F130" i="111"/>
  <c r="F131" i="111"/>
  <c r="F133" i="111"/>
  <c r="F134" i="111"/>
  <c r="F135" i="111"/>
  <c r="F136" i="111"/>
  <c r="F27" i="111"/>
  <c r="M32" i="131"/>
  <c r="M120" i="131"/>
  <c r="M121" i="131"/>
  <c r="M122" i="131"/>
  <c r="M123" i="131"/>
  <c r="M129" i="131"/>
  <c r="M131" i="131"/>
  <c r="F140" i="111"/>
  <c r="M135" i="131"/>
  <c r="M136" i="131"/>
  <c r="M137" i="131"/>
  <c r="M138" i="131"/>
  <c r="M139" i="131"/>
  <c r="M140" i="131"/>
  <c r="M146" i="131"/>
  <c r="M154" i="131"/>
  <c r="F141" i="111"/>
  <c r="F142" i="111"/>
  <c r="F144" i="111"/>
  <c r="F152" i="111"/>
  <c r="D164" i="71"/>
  <c r="G125" i="111"/>
  <c r="G126" i="111"/>
  <c r="G127" i="111"/>
  <c r="G128" i="111"/>
  <c r="G129" i="111"/>
  <c r="G130" i="111"/>
  <c r="G131" i="111"/>
  <c r="G133" i="111"/>
  <c r="G134" i="111"/>
  <c r="G135" i="111"/>
  <c r="G136" i="111"/>
  <c r="N120" i="131"/>
  <c r="N121" i="131"/>
  <c r="N122" i="131"/>
  <c r="N123" i="131"/>
  <c r="N129" i="131"/>
  <c r="N131" i="131"/>
  <c r="G140" i="111"/>
  <c r="N135" i="131"/>
  <c r="N136" i="131"/>
  <c r="N137" i="131"/>
  <c r="N138" i="131"/>
  <c r="N139" i="131"/>
  <c r="N140" i="131"/>
  <c r="N146" i="131"/>
  <c r="N154" i="131"/>
  <c r="G141" i="111"/>
  <c r="G142" i="111"/>
  <c r="G144" i="111"/>
  <c r="G152" i="111"/>
  <c r="E164" i="71"/>
  <c r="H125" i="111"/>
  <c r="H126" i="111"/>
  <c r="H127" i="111"/>
  <c r="H128" i="111"/>
  <c r="H129" i="111"/>
  <c r="H130" i="111"/>
  <c r="H131" i="111"/>
  <c r="H133" i="111"/>
  <c r="H134" i="111"/>
  <c r="H135" i="111"/>
  <c r="H136" i="111"/>
  <c r="O120" i="131"/>
  <c r="O121" i="131"/>
  <c r="O122" i="131"/>
  <c r="O123" i="131"/>
  <c r="O129" i="131"/>
  <c r="O131" i="131"/>
  <c r="H140" i="111"/>
  <c r="O135" i="131"/>
  <c r="O136" i="131"/>
  <c r="O137" i="131"/>
  <c r="O138" i="131"/>
  <c r="O139" i="131"/>
  <c r="O140" i="131"/>
  <c r="O146" i="131"/>
  <c r="O154" i="131"/>
  <c r="H141" i="111"/>
  <c r="H142" i="111"/>
  <c r="H144" i="111"/>
  <c r="H152" i="111"/>
  <c r="F164" i="71"/>
  <c r="I125" i="111"/>
  <c r="I126" i="111"/>
  <c r="I127" i="111"/>
  <c r="I128" i="111"/>
  <c r="I129" i="111"/>
  <c r="I130" i="111"/>
  <c r="I131" i="111"/>
  <c r="I133" i="111"/>
  <c r="I134" i="111"/>
  <c r="I135" i="111"/>
  <c r="I136" i="111"/>
  <c r="P120" i="131"/>
  <c r="P121" i="131"/>
  <c r="P122" i="131"/>
  <c r="P123" i="131"/>
  <c r="P129" i="131"/>
  <c r="P131" i="131"/>
  <c r="I140" i="111"/>
  <c r="P135" i="131"/>
  <c r="P136" i="131"/>
  <c r="P137" i="131"/>
  <c r="P138" i="131"/>
  <c r="P139" i="131"/>
  <c r="P140" i="131"/>
  <c r="P146" i="131"/>
  <c r="P154" i="131"/>
  <c r="I141" i="111"/>
  <c r="I142" i="111"/>
  <c r="I144" i="111"/>
  <c r="I152" i="111"/>
  <c r="G164" i="71"/>
  <c r="J125" i="111"/>
  <c r="J126" i="111"/>
  <c r="J127" i="111"/>
  <c r="J128" i="111"/>
  <c r="J129" i="111"/>
  <c r="J130" i="111"/>
  <c r="J131" i="111"/>
  <c r="J133" i="111"/>
  <c r="J134" i="111"/>
  <c r="J135" i="111"/>
  <c r="J136" i="111"/>
  <c r="Q120" i="131"/>
  <c r="Q121" i="131"/>
  <c r="Q122" i="131"/>
  <c r="Q123" i="131"/>
  <c r="Q129" i="131"/>
  <c r="Q131" i="131"/>
  <c r="J140" i="111"/>
  <c r="Q135" i="131"/>
  <c r="Q136" i="131"/>
  <c r="Q137" i="131"/>
  <c r="Q138" i="131"/>
  <c r="Q139" i="131"/>
  <c r="Q140" i="131"/>
  <c r="Q146" i="131"/>
  <c r="Q154" i="131"/>
  <c r="J141" i="111"/>
  <c r="J142" i="111"/>
  <c r="J144" i="111"/>
  <c r="J152" i="111"/>
  <c r="H164" i="71"/>
  <c r="K125" i="111"/>
  <c r="K126" i="111"/>
  <c r="K127" i="111"/>
  <c r="K128" i="111"/>
  <c r="K129" i="111"/>
  <c r="K130" i="111"/>
  <c r="K131" i="111"/>
  <c r="K133" i="111"/>
  <c r="K134" i="111"/>
  <c r="K135" i="111"/>
  <c r="K136" i="111"/>
  <c r="R120" i="131"/>
  <c r="R121" i="131"/>
  <c r="R122" i="131"/>
  <c r="R123" i="131"/>
  <c r="R129" i="131"/>
  <c r="R131" i="131"/>
  <c r="K140" i="111"/>
  <c r="R135" i="131"/>
  <c r="R136" i="131"/>
  <c r="R137" i="131"/>
  <c r="R138" i="131"/>
  <c r="R139" i="131"/>
  <c r="R140" i="131"/>
  <c r="R146" i="131"/>
  <c r="R154" i="131"/>
  <c r="K141" i="111"/>
  <c r="K142" i="111"/>
  <c r="K144" i="111"/>
  <c r="K152" i="111"/>
  <c r="I164" i="71"/>
  <c r="L125" i="111"/>
  <c r="L126" i="111"/>
  <c r="L127" i="111"/>
  <c r="L128" i="111"/>
  <c r="L129" i="111"/>
  <c r="L130" i="111"/>
  <c r="L131" i="111"/>
  <c r="L133" i="111"/>
  <c r="L134" i="111"/>
  <c r="L135" i="111"/>
  <c r="L136" i="111"/>
  <c r="S120" i="131"/>
  <c r="S121" i="131"/>
  <c r="S122" i="131"/>
  <c r="S123" i="131"/>
  <c r="S129" i="131"/>
  <c r="S131" i="131"/>
  <c r="L140" i="111"/>
  <c r="S135" i="131"/>
  <c r="S136" i="131"/>
  <c r="S137" i="131"/>
  <c r="S138" i="131"/>
  <c r="S139" i="131"/>
  <c r="S140" i="131"/>
  <c r="S146" i="131"/>
  <c r="S154" i="131"/>
  <c r="L141" i="111"/>
  <c r="L142" i="111"/>
  <c r="L144" i="111"/>
  <c r="L152" i="111"/>
  <c r="J164" i="71"/>
  <c r="M125" i="111"/>
  <c r="M126" i="111"/>
  <c r="M127" i="111"/>
  <c r="M128" i="111"/>
  <c r="M129" i="111"/>
  <c r="M130" i="111"/>
  <c r="M131" i="111"/>
  <c r="M133" i="111"/>
  <c r="M134" i="111"/>
  <c r="M135" i="111"/>
  <c r="M136" i="111"/>
  <c r="T120" i="131"/>
  <c r="T121" i="131"/>
  <c r="T122" i="131"/>
  <c r="T123" i="131"/>
  <c r="T129" i="131"/>
  <c r="T131" i="131"/>
  <c r="M140" i="111"/>
  <c r="T135" i="131"/>
  <c r="T136" i="131"/>
  <c r="T137" i="131"/>
  <c r="T138" i="131"/>
  <c r="T139" i="131"/>
  <c r="T140" i="131"/>
  <c r="T146" i="131"/>
  <c r="T154" i="131"/>
  <c r="M141" i="111"/>
  <c r="M142" i="111"/>
  <c r="M144" i="111"/>
  <c r="M152" i="111"/>
  <c r="K164" i="71"/>
  <c r="N125" i="111"/>
  <c r="N126" i="111"/>
  <c r="N127" i="111"/>
  <c r="N128" i="111"/>
  <c r="N129" i="111"/>
  <c r="N130" i="111"/>
  <c r="N131" i="111"/>
  <c r="N133" i="111"/>
  <c r="N134" i="111"/>
  <c r="N135" i="111"/>
  <c r="N136" i="111"/>
  <c r="U120" i="131"/>
  <c r="U121" i="131"/>
  <c r="U122" i="131"/>
  <c r="U123" i="131"/>
  <c r="U129" i="131"/>
  <c r="U131" i="131"/>
  <c r="N140" i="111"/>
  <c r="U135" i="131"/>
  <c r="U136" i="131"/>
  <c r="U137" i="131"/>
  <c r="U138" i="131"/>
  <c r="U139" i="131"/>
  <c r="U140" i="131"/>
  <c r="U146" i="131"/>
  <c r="U154" i="131"/>
  <c r="N141" i="111"/>
  <c r="N142" i="111"/>
  <c r="N144" i="111"/>
  <c r="N152" i="111"/>
  <c r="L164" i="71"/>
  <c r="O125" i="111"/>
  <c r="O126" i="111"/>
  <c r="O127" i="111"/>
  <c r="O128" i="111"/>
  <c r="O129" i="111"/>
  <c r="O130" i="111"/>
  <c r="O131" i="111"/>
  <c r="O133" i="111"/>
  <c r="O134" i="111"/>
  <c r="O135" i="111"/>
  <c r="O136" i="111"/>
  <c r="V120" i="131"/>
  <c r="V121" i="131"/>
  <c r="V122" i="131"/>
  <c r="V123" i="131"/>
  <c r="V129" i="131"/>
  <c r="V131" i="131"/>
  <c r="O140" i="111"/>
  <c r="V135" i="131"/>
  <c r="V136" i="131"/>
  <c r="V137" i="131"/>
  <c r="V138" i="131"/>
  <c r="V139" i="131"/>
  <c r="V140" i="131"/>
  <c r="V146" i="131"/>
  <c r="V154" i="131"/>
  <c r="O141" i="111"/>
  <c r="O142" i="111"/>
  <c r="O144" i="111"/>
  <c r="O152" i="111"/>
  <c r="M164" i="71"/>
  <c r="P125" i="111"/>
  <c r="P126" i="111"/>
  <c r="P127" i="111"/>
  <c r="P128" i="111"/>
  <c r="P129" i="111"/>
  <c r="P130" i="111"/>
  <c r="P131" i="111"/>
  <c r="P133" i="111"/>
  <c r="P134" i="111"/>
  <c r="P135" i="111"/>
  <c r="P136" i="111"/>
  <c r="W120" i="131"/>
  <c r="W121" i="131"/>
  <c r="W122" i="131"/>
  <c r="W123" i="131"/>
  <c r="W129" i="131"/>
  <c r="W131" i="131"/>
  <c r="P140" i="111"/>
  <c r="W135" i="131"/>
  <c r="W136" i="131"/>
  <c r="W137" i="131"/>
  <c r="W138" i="131"/>
  <c r="W139" i="131"/>
  <c r="W140" i="131"/>
  <c r="W146" i="131"/>
  <c r="W154" i="131"/>
  <c r="P141" i="111"/>
  <c r="P142" i="111"/>
  <c r="P144" i="111"/>
  <c r="P152" i="111"/>
  <c r="N164" i="71"/>
  <c r="Q125" i="111"/>
  <c r="Q126" i="111"/>
  <c r="Q127" i="111"/>
  <c r="Q128" i="111"/>
  <c r="Q129" i="111"/>
  <c r="Q130" i="111"/>
  <c r="Q131" i="111"/>
  <c r="Q133" i="111"/>
  <c r="Q134" i="111"/>
  <c r="Q135" i="111"/>
  <c r="Q136" i="111"/>
  <c r="X120" i="131"/>
  <c r="X121" i="131"/>
  <c r="X122" i="131"/>
  <c r="X123" i="131"/>
  <c r="X129" i="131"/>
  <c r="X131" i="131"/>
  <c r="Q140" i="111"/>
  <c r="X135" i="131"/>
  <c r="X136" i="131"/>
  <c r="X137" i="131"/>
  <c r="X138" i="131"/>
  <c r="X139" i="131"/>
  <c r="X140" i="131"/>
  <c r="X146" i="131"/>
  <c r="X154" i="131"/>
  <c r="Q141" i="111"/>
  <c r="Q142" i="111"/>
  <c r="Q144" i="111"/>
  <c r="Q152" i="111"/>
  <c r="O164" i="71"/>
  <c r="R125" i="111"/>
  <c r="R126" i="111"/>
  <c r="R127" i="111"/>
  <c r="R128" i="111"/>
  <c r="R129" i="111"/>
  <c r="R130" i="111"/>
  <c r="R131" i="111"/>
  <c r="R133" i="111"/>
  <c r="R134" i="111"/>
  <c r="R135" i="111"/>
  <c r="R136" i="111"/>
  <c r="Y120" i="131"/>
  <c r="Y121" i="131"/>
  <c r="Y122" i="131"/>
  <c r="Y123" i="131"/>
  <c r="Y129" i="131"/>
  <c r="Y131" i="131"/>
  <c r="R140" i="111"/>
  <c r="Y135" i="131"/>
  <c r="Y136" i="131"/>
  <c r="Y137" i="131"/>
  <c r="Y138" i="131"/>
  <c r="Y139" i="131"/>
  <c r="Y140" i="131"/>
  <c r="Y146" i="131"/>
  <c r="Y154" i="131"/>
  <c r="R141" i="111"/>
  <c r="R142" i="111"/>
  <c r="R144" i="111"/>
  <c r="R152" i="111"/>
  <c r="P164" i="71"/>
  <c r="S125" i="111"/>
  <c r="S126" i="111"/>
  <c r="S127" i="111"/>
  <c r="S128" i="111"/>
  <c r="S129" i="111"/>
  <c r="S130" i="111"/>
  <c r="S131" i="111"/>
  <c r="S133" i="111"/>
  <c r="S134" i="111"/>
  <c r="S135" i="111"/>
  <c r="S136" i="111"/>
  <c r="Z120" i="131"/>
  <c r="Z121" i="131"/>
  <c r="Z122" i="131"/>
  <c r="Z123" i="131"/>
  <c r="Z129" i="131"/>
  <c r="Z131" i="131"/>
  <c r="S140" i="111"/>
  <c r="Z135" i="131"/>
  <c r="Z136" i="131"/>
  <c r="Z137" i="131"/>
  <c r="Z138" i="131"/>
  <c r="Z139" i="131"/>
  <c r="Z140" i="131"/>
  <c r="Z146" i="131"/>
  <c r="Z154" i="131"/>
  <c r="S141" i="111"/>
  <c r="S142" i="111"/>
  <c r="S144" i="111"/>
  <c r="S152" i="111"/>
  <c r="Q164" i="71"/>
  <c r="T125" i="111"/>
  <c r="T126" i="111"/>
  <c r="T127" i="111"/>
  <c r="T128" i="111"/>
  <c r="T129" i="111"/>
  <c r="T130" i="111"/>
  <c r="T131" i="111"/>
  <c r="T133" i="111"/>
  <c r="T134" i="111"/>
  <c r="T135" i="111"/>
  <c r="T136" i="111"/>
  <c r="AA120" i="131"/>
  <c r="AA121" i="131"/>
  <c r="AA122" i="131"/>
  <c r="AA123" i="131"/>
  <c r="AA129" i="131"/>
  <c r="AA131" i="131"/>
  <c r="T140" i="111"/>
  <c r="AA135" i="131"/>
  <c r="AA136" i="131"/>
  <c r="AA137" i="131"/>
  <c r="AA138" i="131"/>
  <c r="AA139" i="131"/>
  <c r="AA140" i="131"/>
  <c r="AA146" i="131"/>
  <c r="AA154" i="131"/>
  <c r="T141" i="111"/>
  <c r="T142" i="111"/>
  <c r="T144" i="111"/>
  <c r="T152" i="111"/>
  <c r="R164" i="71"/>
  <c r="U125" i="111"/>
  <c r="U126" i="111"/>
  <c r="U127" i="111"/>
  <c r="U128" i="111"/>
  <c r="U129" i="111"/>
  <c r="U130" i="111"/>
  <c r="U131" i="111"/>
  <c r="U133" i="111"/>
  <c r="U134" i="111"/>
  <c r="U135" i="111"/>
  <c r="U136" i="111"/>
  <c r="AB120" i="131"/>
  <c r="AB121" i="131"/>
  <c r="AB122" i="131"/>
  <c r="AB123" i="131"/>
  <c r="AB129" i="131"/>
  <c r="AB131" i="131"/>
  <c r="U140" i="111"/>
  <c r="AB135" i="131"/>
  <c r="AB136" i="131"/>
  <c r="AB137" i="131"/>
  <c r="AB138" i="131"/>
  <c r="AB139" i="131"/>
  <c r="AB140" i="131"/>
  <c r="AB146" i="131"/>
  <c r="AB154" i="131"/>
  <c r="U141" i="111"/>
  <c r="U142" i="111"/>
  <c r="U144" i="111"/>
  <c r="U152" i="111"/>
  <c r="S164" i="71"/>
  <c r="V125" i="111"/>
  <c r="V126" i="111"/>
  <c r="V127" i="111"/>
  <c r="V128" i="111"/>
  <c r="V129" i="111"/>
  <c r="V130" i="111"/>
  <c r="V131" i="111"/>
  <c r="V133" i="111"/>
  <c r="V134" i="111"/>
  <c r="V135" i="111"/>
  <c r="V136" i="111"/>
  <c r="AC120" i="131"/>
  <c r="AC121" i="131"/>
  <c r="AC122" i="131"/>
  <c r="AC123" i="131"/>
  <c r="AC129" i="131"/>
  <c r="AC131" i="131"/>
  <c r="V140" i="111"/>
  <c r="AC135" i="131"/>
  <c r="AC136" i="131"/>
  <c r="AC137" i="131"/>
  <c r="AC138" i="131"/>
  <c r="AC139" i="131"/>
  <c r="AC140" i="131"/>
  <c r="AC146" i="131"/>
  <c r="AC154" i="131"/>
  <c r="V141" i="111"/>
  <c r="V142" i="111"/>
  <c r="V144" i="111"/>
  <c r="V152" i="111"/>
  <c r="T164" i="71"/>
  <c r="W125" i="111"/>
  <c r="W126" i="111"/>
  <c r="W127" i="111"/>
  <c r="W128" i="111"/>
  <c r="W129" i="111"/>
  <c r="W130" i="111"/>
  <c r="W131" i="111"/>
  <c r="W133" i="111"/>
  <c r="W134" i="111"/>
  <c r="W135" i="111"/>
  <c r="W136" i="111"/>
  <c r="AD120" i="131"/>
  <c r="AD121" i="131"/>
  <c r="AD122" i="131"/>
  <c r="AD123" i="131"/>
  <c r="AD129" i="131"/>
  <c r="AD131" i="131"/>
  <c r="W140" i="111"/>
  <c r="AD135" i="131"/>
  <c r="AD136" i="131"/>
  <c r="AD137" i="131"/>
  <c r="AD138" i="131"/>
  <c r="AD139" i="131"/>
  <c r="AD140" i="131"/>
  <c r="AD146" i="131"/>
  <c r="AD154" i="131"/>
  <c r="W141" i="111"/>
  <c r="W142" i="111"/>
  <c r="W144" i="111"/>
  <c r="W152" i="111"/>
  <c r="U164" i="71"/>
  <c r="X125" i="111"/>
  <c r="X126" i="111"/>
  <c r="X127" i="111"/>
  <c r="X128" i="111"/>
  <c r="X129" i="111"/>
  <c r="X130" i="111"/>
  <c r="X131" i="111"/>
  <c r="X133" i="111"/>
  <c r="X134" i="111"/>
  <c r="X135" i="111"/>
  <c r="X136" i="111"/>
  <c r="AE120" i="131"/>
  <c r="AE121" i="131"/>
  <c r="AE122" i="131"/>
  <c r="AE123" i="131"/>
  <c r="AE129" i="131"/>
  <c r="AE131" i="131"/>
  <c r="X140" i="111"/>
  <c r="AE135" i="131"/>
  <c r="AE136" i="131"/>
  <c r="AE137" i="131"/>
  <c r="AE138" i="131"/>
  <c r="AE139" i="131"/>
  <c r="AE140" i="131"/>
  <c r="AE146" i="131"/>
  <c r="AE154" i="131"/>
  <c r="X141" i="111"/>
  <c r="X142" i="111"/>
  <c r="X144" i="111"/>
  <c r="X152" i="111"/>
  <c r="V164" i="71"/>
  <c r="W164" i="71"/>
  <c r="E164" i="111"/>
  <c r="C167" i="71"/>
  <c r="F164" i="111"/>
  <c r="D167" i="71"/>
  <c r="G164" i="111"/>
  <c r="E167" i="71"/>
  <c r="H164" i="111"/>
  <c r="F167" i="71"/>
  <c r="I164" i="111"/>
  <c r="G167" i="71"/>
  <c r="J164" i="111"/>
  <c r="H167" i="71"/>
  <c r="K164" i="111"/>
  <c r="I167" i="71"/>
  <c r="L164" i="111"/>
  <c r="J167" i="71"/>
  <c r="M164" i="111"/>
  <c r="K167" i="71"/>
  <c r="N164" i="111"/>
  <c r="L167" i="71"/>
  <c r="O164" i="111"/>
  <c r="M167" i="71"/>
  <c r="P164" i="111"/>
  <c r="N167" i="71"/>
  <c r="Q164" i="111"/>
  <c r="O167" i="71"/>
  <c r="R164" i="111"/>
  <c r="P167" i="71"/>
  <c r="S164" i="111"/>
  <c r="Q167" i="71"/>
  <c r="T164" i="111"/>
  <c r="R167" i="71"/>
  <c r="U164" i="111"/>
  <c r="S167" i="71"/>
  <c r="V164" i="111"/>
  <c r="T167" i="71"/>
  <c r="W164" i="111"/>
  <c r="U167" i="71"/>
  <c r="X164" i="111"/>
  <c r="V167" i="71"/>
  <c r="W167" i="71"/>
  <c r="E165" i="111"/>
  <c r="C168" i="71"/>
  <c r="F165" i="111"/>
  <c r="D168" i="71"/>
  <c r="G165" i="111"/>
  <c r="E168" i="71"/>
  <c r="H165" i="111"/>
  <c r="F168" i="71"/>
  <c r="I165" i="111"/>
  <c r="G168" i="71"/>
  <c r="J165" i="111"/>
  <c r="H168" i="71"/>
  <c r="K165" i="111"/>
  <c r="I168" i="71"/>
  <c r="L165" i="111"/>
  <c r="J168" i="71"/>
  <c r="M165" i="111"/>
  <c r="K168" i="71"/>
  <c r="N165" i="111"/>
  <c r="L168" i="71"/>
  <c r="O165" i="111"/>
  <c r="M168" i="71"/>
  <c r="P165" i="111"/>
  <c r="N168" i="71"/>
  <c r="Q165" i="111"/>
  <c r="O168" i="71"/>
  <c r="R165" i="111"/>
  <c r="P168" i="71"/>
  <c r="S165" i="111"/>
  <c r="Q168" i="71"/>
  <c r="T165" i="111"/>
  <c r="R168" i="71"/>
  <c r="U165" i="111"/>
  <c r="S168" i="71"/>
  <c r="V165" i="111"/>
  <c r="T168" i="71"/>
  <c r="W165" i="111"/>
  <c r="U168" i="71"/>
  <c r="X165" i="111"/>
  <c r="V168" i="71"/>
  <c r="W168" i="71"/>
  <c r="Z169" i="71"/>
  <c r="E125" i="110"/>
  <c r="E126" i="110"/>
  <c r="E127" i="110"/>
  <c r="E128" i="110"/>
  <c r="E129" i="110"/>
  <c r="E130" i="110"/>
  <c r="E131" i="110"/>
  <c r="E133" i="110"/>
  <c r="E134" i="110"/>
  <c r="E135" i="110"/>
  <c r="E136" i="110"/>
  <c r="E140" i="110"/>
  <c r="E141" i="110"/>
  <c r="E142" i="110"/>
  <c r="E144" i="110"/>
  <c r="E152" i="110"/>
  <c r="C145" i="71"/>
  <c r="F125" i="110"/>
  <c r="F126" i="110"/>
  <c r="F127" i="110"/>
  <c r="F128" i="110"/>
  <c r="F129" i="110"/>
  <c r="F130" i="110"/>
  <c r="F131" i="110"/>
  <c r="F133" i="110"/>
  <c r="F134" i="110"/>
  <c r="F135" i="110"/>
  <c r="F136" i="110"/>
  <c r="F27" i="110"/>
  <c r="M32" i="130"/>
  <c r="M120" i="130"/>
  <c r="M121" i="130"/>
  <c r="M122" i="130"/>
  <c r="M123" i="130"/>
  <c r="M129" i="130"/>
  <c r="M131" i="130"/>
  <c r="F140" i="110"/>
  <c r="M135" i="130"/>
  <c r="M136" i="130"/>
  <c r="M137" i="130"/>
  <c r="M138" i="130"/>
  <c r="M139" i="130"/>
  <c r="M140" i="130"/>
  <c r="M146" i="130"/>
  <c r="M154" i="130"/>
  <c r="F141" i="110"/>
  <c r="F142" i="110"/>
  <c r="F144" i="110"/>
  <c r="F152" i="110"/>
  <c r="D145" i="71"/>
  <c r="G125" i="110"/>
  <c r="G126" i="110"/>
  <c r="G127" i="110"/>
  <c r="G128" i="110"/>
  <c r="G129" i="110"/>
  <c r="G130" i="110"/>
  <c r="G131" i="110"/>
  <c r="G133" i="110"/>
  <c r="G134" i="110"/>
  <c r="G135" i="110"/>
  <c r="G136" i="110"/>
  <c r="N120" i="130"/>
  <c r="N121" i="130"/>
  <c r="N122" i="130"/>
  <c r="N123" i="130"/>
  <c r="N129" i="130"/>
  <c r="N131" i="130"/>
  <c r="G140" i="110"/>
  <c r="N135" i="130"/>
  <c r="N136" i="130"/>
  <c r="N137" i="130"/>
  <c r="N138" i="130"/>
  <c r="N139" i="130"/>
  <c r="N140" i="130"/>
  <c r="N146" i="130"/>
  <c r="N154" i="130"/>
  <c r="G141" i="110"/>
  <c r="G142" i="110"/>
  <c r="G144" i="110"/>
  <c r="G152" i="110"/>
  <c r="E145" i="71"/>
  <c r="H125" i="110"/>
  <c r="H126" i="110"/>
  <c r="H127" i="110"/>
  <c r="H128" i="110"/>
  <c r="H129" i="110"/>
  <c r="H130" i="110"/>
  <c r="H131" i="110"/>
  <c r="H133" i="110"/>
  <c r="H134" i="110"/>
  <c r="H135" i="110"/>
  <c r="H136" i="110"/>
  <c r="O120" i="130"/>
  <c r="O121" i="130"/>
  <c r="O122" i="130"/>
  <c r="O123" i="130"/>
  <c r="O129" i="130"/>
  <c r="O131" i="130"/>
  <c r="H140" i="110"/>
  <c r="O135" i="130"/>
  <c r="O136" i="130"/>
  <c r="O137" i="130"/>
  <c r="O138" i="130"/>
  <c r="O139" i="130"/>
  <c r="O140" i="130"/>
  <c r="O146" i="130"/>
  <c r="O154" i="130"/>
  <c r="H141" i="110"/>
  <c r="H142" i="110"/>
  <c r="H144" i="110"/>
  <c r="H152" i="110"/>
  <c r="F145" i="71"/>
  <c r="I125" i="110"/>
  <c r="I126" i="110"/>
  <c r="I127" i="110"/>
  <c r="I128" i="110"/>
  <c r="I129" i="110"/>
  <c r="I130" i="110"/>
  <c r="I131" i="110"/>
  <c r="I133" i="110"/>
  <c r="I134" i="110"/>
  <c r="I135" i="110"/>
  <c r="I136" i="110"/>
  <c r="P120" i="130"/>
  <c r="P121" i="130"/>
  <c r="P122" i="130"/>
  <c r="P123" i="130"/>
  <c r="P129" i="130"/>
  <c r="P131" i="130"/>
  <c r="I140" i="110"/>
  <c r="P135" i="130"/>
  <c r="P136" i="130"/>
  <c r="P137" i="130"/>
  <c r="P138" i="130"/>
  <c r="P139" i="130"/>
  <c r="P140" i="130"/>
  <c r="P146" i="130"/>
  <c r="P154" i="130"/>
  <c r="I141" i="110"/>
  <c r="I142" i="110"/>
  <c r="I144" i="110"/>
  <c r="I152" i="110"/>
  <c r="G145" i="71"/>
  <c r="J125" i="110"/>
  <c r="J126" i="110"/>
  <c r="J127" i="110"/>
  <c r="J128" i="110"/>
  <c r="J129" i="110"/>
  <c r="J130" i="110"/>
  <c r="J131" i="110"/>
  <c r="J133" i="110"/>
  <c r="J134" i="110"/>
  <c r="J135" i="110"/>
  <c r="J136" i="110"/>
  <c r="Q120" i="130"/>
  <c r="Q121" i="130"/>
  <c r="Q122" i="130"/>
  <c r="Q123" i="130"/>
  <c r="Q129" i="130"/>
  <c r="Q131" i="130"/>
  <c r="J140" i="110"/>
  <c r="Q135" i="130"/>
  <c r="Q136" i="130"/>
  <c r="Q137" i="130"/>
  <c r="Q138" i="130"/>
  <c r="Q139" i="130"/>
  <c r="Q140" i="130"/>
  <c r="Q146" i="130"/>
  <c r="Q154" i="130"/>
  <c r="J141" i="110"/>
  <c r="J142" i="110"/>
  <c r="J144" i="110"/>
  <c r="J152" i="110"/>
  <c r="H145" i="71"/>
  <c r="K125" i="110"/>
  <c r="K126" i="110"/>
  <c r="K127" i="110"/>
  <c r="K128" i="110"/>
  <c r="K129" i="110"/>
  <c r="K130" i="110"/>
  <c r="K131" i="110"/>
  <c r="K133" i="110"/>
  <c r="K134" i="110"/>
  <c r="K135" i="110"/>
  <c r="K136" i="110"/>
  <c r="R120" i="130"/>
  <c r="R121" i="130"/>
  <c r="R122" i="130"/>
  <c r="R123" i="130"/>
  <c r="R129" i="130"/>
  <c r="R131" i="130"/>
  <c r="K140" i="110"/>
  <c r="R135" i="130"/>
  <c r="R136" i="130"/>
  <c r="R137" i="130"/>
  <c r="R138" i="130"/>
  <c r="R139" i="130"/>
  <c r="R140" i="130"/>
  <c r="R146" i="130"/>
  <c r="R154" i="130"/>
  <c r="K141" i="110"/>
  <c r="K142" i="110"/>
  <c r="K144" i="110"/>
  <c r="K152" i="110"/>
  <c r="I145" i="71"/>
  <c r="L125" i="110"/>
  <c r="L126" i="110"/>
  <c r="L127" i="110"/>
  <c r="L128" i="110"/>
  <c r="L129" i="110"/>
  <c r="L130" i="110"/>
  <c r="L131" i="110"/>
  <c r="L133" i="110"/>
  <c r="L134" i="110"/>
  <c r="L135" i="110"/>
  <c r="L136" i="110"/>
  <c r="S120" i="130"/>
  <c r="S121" i="130"/>
  <c r="S122" i="130"/>
  <c r="S123" i="130"/>
  <c r="S129" i="130"/>
  <c r="S131" i="130"/>
  <c r="L140" i="110"/>
  <c r="S135" i="130"/>
  <c r="S136" i="130"/>
  <c r="S137" i="130"/>
  <c r="S138" i="130"/>
  <c r="S139" i="130"/>
  <c r="S140" i="130"/>
  <c r="S146" i="130"/>
  <c r="S154" i="130"/>
  <c r="L141" i="110"/>
  <c r="L142" i="110"/>
  <c r="L144" i="110"/>
  <c r="L152" i="110"/>
  <c r="J145" i="71"/>
  <c r="M125" i="110"/>
  <c r="M126" i="110"/>
  <c r="M127" i="110"/>
  <c r="M128" i="110"/>
  <c r="M129" i="110"/>
  <c r="M130" i="110"/>
  <c r="M131" i="110"/>
  <c r="M133" i="110"/>
  <c r="M134" i="110"/>
  <c r="M135" i="110"/>
  <c r="M136" i="110"/>
  <c r="T120" i="130"/>
  <c r="T121" i="130"/>
  <c r="T122" i="130"/>
  <c r="T123" i="130"/>
  <c r="T129" i="130"/>
  <c r="T131" i="130"/>
  <c r="M140" i="110"/>
  <c r="T135" i="130"/>
  <c r="T136" i="130"/>
  <c r="T137" i="130"/>
  <c r="T138" i="130"/>
  <c r="T139" i="130"/>
  <c r="T140" i="130"/>
  <c r="T146" i="130"/>
  <c r="T154" i="130"/>
  <c r="M141" i="110"/>
  <c r="M142" i="110"/>
  <c r="M144" i="110"/>
  <c r="M152" i="110"/>
  <c r="K145" i="71"/>
  <c r="N125" i="110"/>
  <c r="N126" i="110"/>
  <c r="N127" i="110"/>
  <c r="N128" i="110"/>
  <c r="N129" i="110"/>
  <c r="N130" i="110"/>
  <c r="N131" i="110"/>
  <c r="N133" i="110"/>
  <c r="N134" i="110"/>
  <c r="N135" i="110"/>
  <c r="N136" i="110"/>
  <c r="U120" i="130"/>
  <c r="U121" i="130"/>
  <c r="U122" i="130"/>
  <c r="U123" i="130"/>
  <c r="U129" i="130"/>
  <c r="U131" i="130"/>
  <c r="N140" i="110"/>
  <c r="U135" i="130"/>
  <c r="U136" i="130"/>
  <c r="U137" i="130"/>
  <c r="U138" i="130"/>
  <c r="U139" i="130"/>
  <c r="U140" i="130"/>
  <c r="U146" i="130"/>
  <c r="U154" i="130"/>
  <c r="N141" i="110"/>
  <c r="N142" i="110"/>
  <c r="N144" i="110"/>
  <c r="N152" i="110"/>
  <c r="L145" i="71"/>
  <c r="O125" i="110"/>
  <c r="O126" i="110"/>
  <c r="O127" i="110"/>
  <c r="O128" i="110"/>
  <c r="O129" i="110"/>
  <c r="O130" i="110"/>
  <c r="O131" i="110"/>
  <c r="O133" i="110"/>
  <c r="O134" i="110"/>
  <c r="O135" i="110"/>
  <c r="O136" i="110"/>
  <c r="V120" i="130"/>
  <c r="V121" i="130"/>
  <c r="V122" i="130"/>
  <c r="V123" i="130"/>
  <c r="V129" i="130"/>
  <c r="V131" i="130"/>
  <c r="O140" i="110"/>
  <c r="V135" i="130"/>
  <c r="V136" i="130"/>
  <c r="V137" i="130"/>
  <c r="V138" i="130"/>
  <c r="V139" i="130"/>
  <c r="V140" i="130"/>
  <c r="V146" i="130"/>
  <c r="V154" i="130"/>
  <c r="O141" i="110"/>
  <c r="O142" i="110"/>
  <c r="O144" i="110"/>
  <c r="O152" i="110"/>
  <c r="M145" i="71"/>
  <c r="P125" i="110"/>
  <c r="P126" i="110"/>
  <c r="P127" i="110"/>
  <c r="P128" i="110"/>
  <c r="P129" i="110"/>
  <c r="P130" i="110"/>
  <c r="P131" i="110"/>
  <c r="P133" i="110"/>
  <c r="P134" i="110"/>
  <c r="P135" i="110"/>
  <c r="P136" i="110"/>
  <c r="W120" i="130"/>
  <c r="W121" i="130"/>
  <c r="W122" i="130"/>
  <c r="W123" i="130"/>
  <c r="W129" i="130"/>
  <c r="W131" i="130"/>
  <c r="P140" i="110"/>
  <c r="W135" i="130"/>
  <c r="W136" i="130"/>
  <c r="W137" i="130"/>
  <c r="W138" i="130"/>
  <c r="W139" i="130"/>
  <c r="W140" i="130"/>
  <c r="W146" i="130"/>
  <c r="W154" i="130"/>
  <c r="P141" i="110"/>
  <c r="P142" i="110"/>
  <c r="P144" i="110"/>
  <c r="P152" i="110"/>
  <c r="N145" i="71"/>
  <c r="Q125" i="110"/>
  <c r="Q126" i="110"/>
  <c r="Q127" i="110"/>
  <c r="Q128" i="110"/>
  <c r="Q129" i="110"/>
  <c r="Q130" i="110"/>
  <c r="Q131" i="110"/>
  <c r="Q133" i="110"/>
  <c r="Q134" i="110"/>
  <c r="Q135" i="110"/>
  <c r="Q136" i="110"/>
  <c r="X120" i="130"/>
  <c r="X121" i="130"/>
  <c r="X122" i="130"/>
  <c r="X123" i="130"/>
  <c r="X129" i="130"/>
  <c r="X131" i="130"/>
  <c r="Q140" i="110"/>
  <c r="X135" i="130"/>
  <c r="X136" i="130"/>
  <c r="X137" i="130"/>
  <c r="X138" i="130"/>
  <c r="X139" i="130"/>
  <c r="X140" i="130"/>
  <c r="X146" i="130"/>
  <c r="X154" i="130"/>
  <c r="Q141" i="110"/>
  <c r="Q142" i="110"/>
  <c r="Q144" i="110"/>
  <c r="Q152" i="110"/>
  <c r="O145" i="71"/>
  <c r="R125" i="110"/>
  <c r="R126" i="110"/>
  <c r="R127" i="110"/>
  <c r="R128" i="110"/>
  <c r="R129" i="110"/>
  <c r="R130" i="110"/>
  <c r="R131" i="110"/>
  <c r="R133" i="110"/>
  <c r="R134" i="110"/>
  <c r="R135" i="110"/>
  <c r="R136" i="110"/>
  <c r="Y120" i="130"/>
  <c r="Y121" i="130"/>
  <c r="Y122" i="130"/>
  <c r="Y123" i="130"/>
  <c r="Y129" i="130"/>
  <c r="Y131" i="130"/>
  <c r="R140" i="110"/>
  <c r="Y135" i="130"/>
  <c r="Y136" i="130"/>
  <c r="Y137" i="130"/>
  <c r="Y138" i="130"/>
  <c r="Y139" i="130"/>
  <c r="Y140" i="130"/>
  <c r="Y146" i="130"/>
  <c r="Y154" i="130"/>
  <c r="R141" i="110"/>
  <c r="R142" i="110"/>
  <c r="R144" i="110"/>
  <c r="R152" i="110"/>
  <c r="P145" i="71"/>
  <c r="S125" i="110"/>
  <c r="S126" i="110"/>
  <c r="S127" i="110"/>
  <c r="S128" i="110"/>
  <c r="S129" i="110"/>
  <c r="S130" i="110"/>
  <c r="S131" i="110"/>
  <c r="S133" i="110"/>
  <c r="S134" i="110"/>
  <c r="S135" i="110"/>
  <c r="S136" i="110"/>
  <c r="Z120" i="130"/>
  <c r="Z121" i="130"/>
  <c r="Z122" i="130"/>
  <c r="Z123" i="130"/>
  <c r="Z129" i="130"/>
  <c r="Z131" i="130"/>
  <c r="S140" i="110"/>
  <c r="Z135" i="130"/>
  <c r="Z136" i="130"/>
  <c r="Z137" i="130"/>
  <c r="Z138" i="130"/>
  <c r="Z139" i="130"/>
  <c r="Z140" i="130"/>
  <c r="Z146" i="130"/>
  <c r="Z154" i="130"/>
  <c r="S141" i="110"/>
  <c r="S142" i="110"/>
  <c r="S144" i="110"/>
  <c r="S152" i="110"/>
  <c r="Q145" i="71"/>
  <c r="T125" i="110"/>
  <c r="T126" i="110"/>
  <c r="T127" i="110"/>
  <c r="T128" i="110"/>
  <c r="T129" i="110"/>
  <c r="T130" i="110"/>
  <c r="T131" i="110"/>
  <c r="T133" i="110"/>
  <c r="T134" i="110"/>
  <c r="T135" i="110"/>
  <c r="T136" i="110"/>
  <c r="AA120" i="130"/>
  <c r="AA121" i="130"/>
  <c r="AA122" i="130"/>
  <c r="AA123" i="130"/>
  <c r="AA129" i="130"/>
  <c r="AA131" i="130"/>
  <c r="T140" i="110"/>
  <c r="AA135" i="130"/>
  <c r="AA136" i="130"/>
  <c r="AA137" i="130"/>
  <c r="AA138" i="130"/>
  <c r="AA139" i="130"/>
  <c r="AA140" i="130"/>
  <c r="AA146" i="130"/>
  <c r="AA154" i="130"/>
  <c r="T141" i="110"/>
  <c r="T142" i="110"/>
  <c r="T144" i="110"/>
  <c r="T152" i="110"/>
  <c r="R145" i="71"/>
  <c r="U125" i="110"/>
  <c r="U126" i="110"/>
  <c r="U127" i="110"/>
  <c r="U128" i="110"/>
  <c r="U129" i="110"/>
  <c r="U130" i="110"/>
  <c r="U131" i="110"/>
  <c r="U133" i="110"/>
  <c r="U134" i="110"/>
  <c r="U135" i="110"/>
  <c r="U136" i="110"/>
  <c r="AB120" i="130"/>
  <c r="AB121" i="130"/>
  <c r="AB122" i="130"/>
  <c r="AB123" i="130"/>
  <c r="AB129" i="130"/>
  <c r="AB131" i="130"/>
  <c r="U140" i="110"/>
  <c r="AB135" i="130"/>
  <c r="AB136" i="130"/>
  <c r="AB137" i="130"/>
  <c r="AB138" i="130"/>
  <c r="AB139" i="130"/>
  <c r="AB140" i="130"/>
  <c r="AB146" i="130"/>
  <c r="AB154" i="130"/>
  <c r="U141" i="110"/>
  <c r="U142" i="110"/>
  <c r="U144" i="110"/>
  <c r="U152" i="110"/>
  <c r="S145" i="71"/>
  <c r="V125" i="110"/>
  <c r="V126" i="110"/>
  <c r="V127" i="110"/>
  <c r="V128" i="110"/>
  <c r="V129" i="110"/>
  <c r="V130" i="110"/>
  <c r="V131" i="110"/>
  <c r="V133" i="110"/>
  <c r="V134" i="110"/>
  <c r="V135" i="110"/>
  <c r="V136" i="110"/>
  <c r="AC120" i="130"/>
  <c r="AC121" i="130"/>
  <c r="AC122" i="130"/>
  <c r="AC123" i="130"/>
  <c r="AC129" i="130"/>
  <c r="AC131" i="130"/>
  <c r="V140" i="110"/>
  <c r="AC135" i="130"/>
  <c r="AC136" i="130"/>
  <c r="AC137" i="130"/>
  <c r="AC138" i="130"/>
  <c r="AC139" i="130"/>
  <c r="AC140" i="130"/>
  <c r="AC146" i="130"/>
  <c r="AC154" i="130"/>
  <c r="V141" i="110"/>
  <c r="V142" i="110"/>
  <c r="V144" i="110"/>
  <c r="V152" i="110"/>
  <c r="T145" i="71"/>
  <c r="W125" i="110"/>
  <c r="W126" i="110"/>
  <c r="W127" i="110"/>
  <c r="W128" i="110"/>
  <c r="W129" i="110"/>
  <c r="W130" i="110"/>
  <c r="W131" i="110"/>
  <c r="W133" i="110"/>
  <c r="W134" i="110"/>
  <c r="W135" i="110"/>
  <c r="W136" i="110"/>
  <c r="AD120" i="130"/>
  <c r="AD121" i="130"/>
  <c r="AD122" i="130"/>
  <c r="AD123" i="130"/>
  <c r="AD129" i="130"/>
  <c r="AD131" i="130"/>
  <c r="W140" i="110"/>
  <c r="AD135" i="130"/>
  <c r="AD136" i="130"/>
  <c r="AD137" i="130"/>
  <c r="AD138" i="130"/>
  <c r="AD139" i="130"/>
  <c r="AD140" i="130"/>
  <c r="AD146" i="130"/>
  <c r="AD154" i="130"/>
  <c r="W141" i="110"/>
  <c r="W142" i="110"/>
  <c r="W144" i="110"/>
  <c r="W152" i="110"/>
  <c r="U145" i="71"/>
  <c r="X125" i="110"/>
  <c r="X126" i="110"/>
  <c r="X127" i="110"/>
  <c r="X128" i="110"/>
  <c r="X129" i="110"/>
  <c r="X130" i="110"/>
  <c r="X131" i="110"/>
  <c r="X133" i="110"/>
  <c r="X134" i="110"/>
  <c r="X135" i="110"/>
  <c r="X136" i="110"/>
  <c r="AE120" i="130"/>
  <c r="AE121" i="130"/>
  <c r="AE122" i="130"/>
  <c r="AE123" i="130"/>
  <c r="AE129" i="130"/>
  <c r="AE131" i="130"/>
  <c r="X140" i="110"/>
  <c r="AE135" i="130"/>
  <c r="AE136" i="130"/>
  <c r="AE137" i="130"/>
  <c r="AE138" i="130"/>
  <c r="AE139" i="130"/>
  <c r="AE140" i="130"/>
  <c r="AE146" i="130"/>
  <c r="AE154" i="130"/>
  <c r="X141" i="110"/>
  <c r="X142" i="110"/>
  <c r="X144" i="110"/>
  <c r="X152" i="110"/>
  <c r="V145" i="71"/>
  <c r="W145" i="71"/>
  <c r="E164" i="110"/>
  <c r="C148" i="71"/>
  <c r="F164" i="110"/>
  <c r="D148" i="71"/>
  <c r="G164" i="110"/>
  <c r="E148" i="71"/>
  <c r="H164" i="110"/>
  <c r="F148" i="71"/>
  <c r="I164" i="110"/>
  <c r="G148" i="71"/>
  <c r="J164" i="110"/>
  <c r="H148" i="71"/>
  <c r="K164" i="110"/>
  <c r="I148" i="71"/>
  <c r="L164" i="110"/>
  <c r="J148" i="71"/>
  <c r="M164" i="110"/>
  <c r="K148" i="71"/>
  <c r="N164" i="110"/>
  <c r="L148" i="71"/>
  <c r="O164" i="110"/>
  <c r="M148" i="71"/>
  <c r="P164" i="110"/>
  <c r="N148" i="71"/>
  <c r="Q164" i="110"/>
  <c r="O148" i="71"/>
  <c r="R164" i="110"/>
  <c r="P148" i="71"/>
  <c r="S164" i="110"/>
  <c r="Q148" i="71"/>
  <c r="T164" i="110"/>
  <c r="R148" i="71"/>
  <c r="U164" i="110"/>
  <c r="S148" i="71"/>
  <c r="V164" i="110"/>
  <c r="T148" i="71"/>
  <c r="W164" i="110"/>
  <c r="U148" i="71"/>
  <c r="X164" i="110"/>
  <c r="V148" i="71"/>
  <c r="W148" i="71"/>
  <c r="E165" i="110"/>
  <c r="C149" i="71"/>
  <c r="F165" i="110"/>
  <c r="D149" i="71"/>
  <c r="G165" i="110"/>
  <c r="E149" i="71"/>
  <c r="H165" i="110"/>
  <c r="F149" i="71"/>
  <c r="I165" i="110"/>
  <c r="G149" i="71"/>
  <c r="J165" i="110"/>
  <c r="H149" i="71"/>
  <c r="K165" i="110"/>
  <c r="I149" i="71"/>
  <c r="L165" i="110"/>
  <c r="J149" i="71"/>
  <c r="M165" i="110"/>
  <c r="K149" i="71"/>
  <c r="N165" i="110"/>
  <c r="L149" i="71"/>
  <c r="O165" i="110"/>
  <c r="M149" i="71"/>
  <c r="P165" i="110"/>
  <c r="N149" i="71"/>
  <c r="Q165" i="110"/>
  <c r="O149" i="71"/>
  <c r="R165" i="110"/>
  <c r="P149" i="71"/>
  <c r="S165" i="110"/>
  <c r="Q149" i="71"/>
  <c r="T165" i="110"/>
  <c r="R149" i="71"/>
  <c r="U165" i="110"/>
  <c r="S149" i="71"/>
  <c r="V165" i="110"/>
  <c r="T149" i="71"/>
  <c r="W165" i="110"/>
  <c r="U149" i="71"/>
  <c r="X165" i="110"/>
  <c r="V149" i="71"/>
  <c r="W149" i="71"/>
  <c r="Z150" i="71"/>
  <c r="E125" i="109"/>
  <c r="E126" i="109"/>
  <c r="E127" i="109"/>
  <c r="E128" i="109"/>
  <c r="E129" i="109"/>
  <c r="E130" i="109"/>
  <c r="E131" i="109"/>
  <c r="E133" i="109"/>
  <c r="E134" i="109"/>
  <c r="E135" i="109"/>
  <c r="E136" i="109"/>
  <c r="E140" i="109"/>
  <c r="E141" i="109"/>
  <c r="E142" i="109"/>
  <c r="E144" i="109"/>
  <c r="E152" i="109"/>
  <c r="C126" i="71"/>
  <c r="F125" i="109"/>
  <c r="F126" i="109"/>
  <c r="F127" i="109"/>
  <c r="F128" i="109"/>
  <c r="F129" i="109"/>
  <c r="F130" i="109"/>
  <c r="F131" i="109"/>
  <c r="F133" i="109"/>
  <c r="F134" i="109"/>
  <c r="F135" i="109"/>
  <c r="F136" i="109"/>
  <c r="F27" i="109"/>
  <c r="M32" i="128"/>
  <c r="M120" i="128"/>
  <c r="M121" i="128"/>
  <c r="M122" i="128"/>
  <c r="M123" i="128"/>
  <c r="M129" i="128"/>
  <c r="M131" i="128"/>
  <c r="F140" i="109"/>
  <c r="M135" i="128"/>
  <c r="M136" i="128"/>
  <c r="M137" i="128"/>
  <c r="M138" i="128"/>
  <c r="M139" i="128"/>
  <c r="M140" i="128"/>
  <c r="M146" i="128"/>
  <c r="M154" i="128"/>
  <c r="F141" i="109"/>
  <c r="F142" i="109"/>
  <c r="F144" i="109"/>
  <c r="F152" i="109"/>
  <c r="D126" i="71"/>
  <c r="G125" i="109"/>
  <c r="G126" i="109"/>
  <c r="G127" i="109"/>
  <c r="G128" i="109"/>
  <c r="G129" i="109"/>
  <c r="G130" i="109"/>
  <c r="G131" i="109"/>
  <c r="G133" i="109"/>
  <c r="G134" i="109"/>
  <c r="G135" i="109"/>
  <c r="G136" i="109"/>
  <c r="N120" i="128"/>
  <c r="N121" i="128"/>
  <c r="N122" i="128"/>
  <c r="N123" i="128"/>
  <c r="N129" i="128"/>
  <c r="N131" i="128"/>
  <c r="G140" i="109"/>
  <c r="N135" i="128"/>
  <c r="N136" i="128"/>
  <c r="N137" i="128"/>
  <c r="N138" i="128"/>
  <c r="N139" i="128"/>
  <c r="N140" i="128"/>
  <c r="N146" i="128"/>
  <c r="N154" i="128"/>
  <c r="G141" i="109"/>
  <c r="G142" i="109"/>
  <c r="G144" i="109"/>
  <c r="G152" i="109"/>
  <c r="E126" i="71"/>
  <c r="H125" i="109"/>
  <c r="H126" i="109"/>
  <c r="H127" i="109"/>
  <c r="H128" i="109"/>
  <c r="H129" i="109"/>
  <c r="H130" i="109"/>
  <c r="H131" i="109"/>
  <c r="H133" i="109"/>
  <c r="H134" i="109"/>
  <c r="H135" i="109"/>
  <c r="H136" i="109"/>
  <c r="O120" i="128"/>
  <c r="O121" i="128"/>
  <c r="O122" i="128"/>
  <c r="O123" i="128"/>
  <c r="O129" i="128"/>
  <c r="O131" i="128"/>
  <c r="H140" i="109"/>
  <c r="O135" i="128"/>
  <c r="O136" i="128"/>
  <c r="O137" i="128"/>
  <c r="O138" i="128"/>
  <c r="O139" i="128"/>
  <c r="O140" i="128"/>
  <c r="O146" i="128"/>
  <c r="O154" i="128"/>
  <c r="H141" i="109"/>
  <c r="H142" i="109"/>
  <c r="H144" i="109"/>
  <c r="H152" i="109"/>
  <c r="F126" i="71"/>
  <c r="I125" i="109"/>
  <c r="I126" i="109"/>
  <c r="I127" i="109"/>
  <c r="I128" i="109"/>
  <c r="I129" i="109"/>
  <c r="I130" i="109"/>
  <c r="I131" i="109"/>
  <c r="I133" i="109"/>
  <c r="I134" i="109"/>
  <c r="I135" i="109"/>
  <c r="I136" i="109"/>
  <c r="P120" i="128"/>
  <c r="P121" i="128"/>
  <c r="P122" i="128"/>
  <c r="P123" i="128"/>
  <c r="P129" i="128"/>
  <c r="P131" i="128"/>
  <c r="I140" i="109"/>
  <c r="P135" i="128"/>
  <c r="P136" i="128"/>
  <c r="P137" i="128"/>
  <c r="P138" i="128"/>
  <c r="P139" i="128"/>
  <c r="P140" i="128"/>
  <c r="P146" i="128"/>
  <c r="P154" i="128"/>
  <c r="I141" i="109"/>
  <c r="I142" i="109"/>
  <c r="I144" i="109"/>
  <c r="I152" i="109"/>
  <c r="G126" i="71"/>
  <c r="J125" i="109"/>
  <c r="J126" i="109"/>
  <c r="J127" i="109"/>
  <c r="J128" i="109"/>
  <c r="J129" i="109"/>
  <c r="J130" i="109"/>
  <c r="J131" i="109"/>
  <c r="J133" i="109"/>
  <c r="J134" i="109"/>
  <c r="J135" i="109"/>
  <c r="J136" i="109"/>
  <c r="Q120" i="128"/>
  <c r="Q121" i="128"/>
  <c r="Q122" i="128"/>
  <c r="Q123" i="128"/>
  <c r="Q129" i="128"/>
  <c r="Q131" i="128"/>
  <c r="J140" i="109"/>
  <c r="Q135" i="128"/>
  <c r="Q136" i="128"/>
  <c r="Q137" i="128"/>
  <c r="Q138" i="128"/>
  <c r="Q139" i="128"/>
  <c r="Q140" i="128"/>
  <c r="Q146" i="128"/>
  <c r="Q154" i="128"/>
  <c r="J141" i="109"/>
  <c r="J142" i="109"/>
  <c r="J144" i="109"/>
  <c r="J152" i="109"/>
  <c r="H126" i="71"/>
  <c r="K125" i="109"/>
  <c r="K126" i="109"/>
  <c r="K127" i="109"/>
  <c r="K128" i="109"/>
  <c r="K129" i="109"/>
  <c r="K130" i="109"/>
  <c r="K131" i="109"/>
  <c r="K133" i="109"/>
  <c r="K134" i="109"/>
  <c r="K135" i="109"/>
  <c r="K136" i="109"/>
  <c r="R120" i="128"/>
  <c r="R121" i="128"/>
  <c r="R122" i="128"/>
  <c r="R123" i="128"/>
  <c r="R129" i="128"/>
  <c r="R131" i="128"/>
  <c r="K140" i="109"/>
  <c r="R135" i="128"/>
  <c r="R136" i="128"/>
  <c r="R137" i="128"/>
  <c r="R138" i="128"/>
  <c r="R139" i="128"/>
  <c r="R140" i="128"/>
  <c r="R146" i="128"/>
  <c r="R154" i="128"/>
  <c r="K141" i="109"/>
  <c r="K142" i="109"/>
  <c r="K144" i="109"/>
  <c r="K152" i="109"/>
  <c r="I126" i="71"/>
  <c r="L125" i="109"/>
  <c r="L126" i="109"/>
  <c r="L127" i="109"/>
  <c r="L128" i="109"/>
  <c r="L129" i="109"/>
  <c r="L130" i="109"/>
  <c r="L131" i="109"/>
  <c r="L133" i="109"/>
  <c r="L134" i="109"/>
  <c r="L135" i="109"/>
  <c r="L136" i="109"/>
  <c r="S120" i="128"/>
  <c r="S121" i="128"/>
  <c r="S122" i="128"/>
  <c r="S123" i="128"/>
  <c r="S129" i="128"/>
  <c r="S131" i="128"/>
  <c r="L140" i="109"/>
  <c r="S135" i="128"/>
  <c r="S136" i="128"/>
  <c r="S137" i="128"/>
  <c r="S138" i="128"/>
  <c r="S139" i="128"/>
  <c r="S140" i="128"/>
  <c r="S146" i="128"/>
  <c r="S154" i="128"/>
  <c r="L141" i="109"/>
  <c r="L142" i="109"/>
  <c r="L144" i="109"/>
  <c r="L152" i="109"/>
  <c r="J126" i="71"/>
  <c r="M125" i="109"/>
  <c r="M126" i="109"/>
  <c r="M127" i="109"/>
  <c r="M128" i="109"/>
  <c r="M129" i="109"/>
  <c r="M130" i="109"/>
  <c r="M131" i="109"/>
  <c r="M133" i="109"/>
  <c r="M134" i="109"/>
  <c r="M135" i="109"/>
  <c r="M136" i="109"/>
  <c r="T120" i="128"/>
  <c r="T121" i="128"/>
  <c r="T122" i="128"/>
  <c r="T123" i="128"/>
  <c r="T129" i="128"/>
  <c r="T131" i="128"/>
  <c r="M140" i="109"/>
  <c r="T135" i="128"/>
  <c r="T136" i="128"/>
  <c r="T137" i="128"/>
  <c r="T138" i="128"/>
  <c r="T139" i="128"/>
  <c r="T140" i="128"/>
  <c r="T146" i="128"/>
  <c r="T154" i="128"/>
  <c r="M141" i="109"/>
  <c r="M142" i="109"/>
  <c r="M144" i="109"/>
  <c r="M152" i="109"/>
  <c r="K126" i="71"/>
  <c r="N125" i="109"/>
  <c r="N126" i="109"/>
  <c r="N127" i="109"/>
  <c r="N128" i="109"/>
  <c r="N129" i="109"/>
  <c r="N130" i="109"/>
  <c r="N131" i="109"/>
  <c r="N133" i="109"/>
  <c r="N134" i="109"/>
  <c r="N135" i="109"/>
  <c r="N136" i="109"/>
  <c r="U120" i="128"/>
  <c r="U121" i="128"/>
  <c r="U122" i="128"/>
  <c r="U123" i="128"/>
  <c r="U129" i="128"/>
  <c r="U131" i="128"/>
  <c r="N140" i="109"/>
  <c r="U135" i="128"/>
  <c r="U136" i="128"/>
  <c r="U137" i="128"/>
  <c r="U138" i="128"/>
  <c r="U139" i="128"/>
  <c r="U140" i="128"/>
  <c r="U146" i="128"/>
  <c r="U154" i="128"/>
  <c r="N141" i="109"/>
  <c r="N142" i="109"/>
  <c r="N144" i="109"/>
  <c r="N152" i="109"/>
  <c r="L126" i="71"/>
  <c r="O125" i="109"/>
  <c r="O126" i="109"/>
  <c r="O127" i="109"/>
  <c r="O128" i="109"/>
  <c r="O129" i="109"/>
  <c r="O130" i="109"/>
  <c r="O131" i="109"/>
  <c r="O133" i="109"/>
  <c r="O134" i="109"/>
  <c r="O135" i="109"/>
  <c r="O136" i="109"/>
  <c r="V120" i="128"/>
  <c r="V121" i="128"/>
  <c r="V122" i="128"/>
  <c r="V123" i="128"/>
  <c r="V129" i="128"/>
  <c r="V131" i="128"/>
  <c r="O140" i="109"/>
  <c r="V135" i="128"/>
  <c r="V136" i="128"/>
  <c r="V137" i="128"/>
  <c r="V138" i="128"/>
  <c r="V139" i="128"/>
  <c r="V140" i="128"/>
  <c r="V146" i="128"/>
  <c r="V154" i="128"/>
  <c r="O141" i="109"/>
  <c r="O142" i="109"/>
  <c r="O144" i="109"/>
  <c r="O152" i="109"/>
  <c r="M126" i="71"/>
  <c r="P125" i="109"/>
  <c r="P126" i="109"/>
  <c r="P127" i="109"/>
  <c r="P128" i="109"/>
  <c r="P129" i="109"/>
  <c r="P130" i="109"/>
  <c r="P131" i="109"/>
  <c r="P133" i="109"/>
  <c r="P134" i="109"/>
  <c r="P135" i="109"/>
  <c r="P136" i="109"/>
  <c r="W120" i="128"/>
  <c r="W121" i="128"/>
  <c r="W122" i="128"/>
  <c r="W123" i="128"/>
  <c r="W129" i="128"/>
  <c r="W131" i="128"/>
  <c r="P140" i="109"/>
  <c r="W135" i="128"/>
  <c r="W136" i="128"/>
  <c r="W137" i="128"/>
  <c r="W138" i="128"/>
  <c r="W139" i="128"/>
  <c r="W140" i="128"/>
  <c r="W146" i="128"/>
  <c r="W154" i="128"/>
  <c r="P141" i="109"/>
  <c r="P142" i="109"/>
  <c r="P144" i="109"/>
  <c r="P152" i="109"/>
  <c r="N126" i="71"/>
  <c r="Q125" i="109"/>
  <c r="Q126" i="109"/>
  <c r="Q127" i="109"/>
  <c r="Q128" i="109"/>
  <c r="Q129" i="109"/>
  <c r="Q130" i="109"/>
  <c r="Q131" i="109"/>
  <c r="Q133" i="109"/>
  <c r="Q134" i="109"/>
  <c r="Q135" i="109"/>
  <c r="Q136" i="109"/>
  <c r="X120" i="128"/>
  <c r="X121" i="128"/>
  <c r="X122" i="128"/>
  <c r="X123" i="128"/>
  <c r="X129" i="128"/>
  <c r="X131" i="128"/>
  <c r="Q140" i="109"/>
  <c r="X135" i="128"/>
  <c r="X136" i="128"/>
  <c r="X137" i="128"/>
  <c r="X138" i="128"/>
  <c r="X139" i="128"/>
  <c r="X140" i="128"/>
  <c r="X146" i="128"/>
  <c r="X154" i="128"/>
  <c r="Q141" i="109"/>
  <c r="Q142" i="109"/>
  <c r="Q144" i="109"/>
  <c r="Q152" i="109"/>
  <c r="O126" i="71"/>
  <c r="R125" i="109"/>
  <c r="R126" i="109"/>
  <c r="R127" i="109"/>
  <c r="R128" i="109"/>
  <c r="R129" i="109"/>
  <c r="R130" i="109"/>
  <c r="R131" i="109"/>
  <c r="R133" i="109"/>
  <c r="R134" i="109"/>
  <c r="R135" i="109"/>
  <c r="R136" i="109"/>
  <c r="Y120" i="128"/>
  <c r="Y121" i="128"/>
  <c r="Y122" i="128"/>
  <c r="Y123" i="128"/>
  <c r="Y129" i="128"/>
  <c r="Y131" i="128"/>
  <c r="R140" i="109"/>
  <c r="Y135" i="128"/>
  <c r="Y136" i="128"/>
  <c r="Y137" i="128"/>
  <c r="Y138" i="128"/>
  <c r="Y139" i="128"/>
  <c r="Y140" i="128"/>
  <c r="Y146" i="128"/>
  <c r="Y154" i="128"/>
  <c r="R141" i="109"/>
  <c r="R142" i="109"/>
  <c r="R144" i="109"/>
  <c r="R152" i="109"/>
  <c r="P126" i="71"/>
  <c r="S125" i="109"/>
  <c r="S126" i="109"/>
  <c r="S127" i="109"/>
  <c r="S128" i="109"/>
  <c r="S129" i="109"/>
  <c r="S130" i="109"/>
  <c r="S131" i="109"/>
  <c r="S133" i="109"/>
  <c r="S134" i="109"/>
  <c r="S135" i="109"/>
  <c r="S136" i="109"/>
  <c r="Z120" i="128"/>
  <c r="Z121" i="128"/>
  <c r="Z122" i="128"/>
  <c r="Z123" i="128"/>
  <c r="Z129" i="128"/>
  <c r="Z131" i="128"/>
  <c r="S140" i="109"/>
  <c r="Z135" i="128"/>
  <c r="Z136" i="128"/>
  <c r="Z137" i="128"/>
  <c r="Z138" i="128"/>
  <c r="Z139" i="128"/>
  <c r="Z140" i="128"/>
  <c r="Z146" i="128"/>
  <c r="Z154" i="128"/>
  <c r="S141" i="109"/>
  <c r="S142" i="109"/>
  <c r="S144" i="109"/>
  <c r="S152" i="109"/>
  <c r="Q126" i="71"/>
  <c r="T125" i="109"/>
  <c r="T126" i="109"/>
  <c r="T127" i="109"/>
  <c r="T128" i="109"/>
  <c r="T129" i="109"/>
  <c r="T130" i="109"/>
  <c r="T131" i="109"/>
  <c r="T133" i="109"/>
  <c r="T134" i="109"/>
  <c r="T135" i="109"/>
  <c r="T136" i="109"/>
  <c r="AA120" i="128"/>
  <c r="AA121" i="128"/>
  <c r="AA122" i="128"/>
  <c r="AA123" i="128"/>
  <c r="AA129" i="128"/>
  <c r="AA131" i="128"/>
  <c r="T140" i="109"/>
  <c r="AA135" i="128"/>
  <c r="AA136" i="128"/>
  <c r="AA137" i="128"/>
  <c r="AA138" i="128"/>
  <c r="AA139" i="128"/>
  <c r="AA140" i="128"/>
  <c r="AA146" i="128"/>
  <c r="AA154" i="128"/>
  <c r="T141" i="109"/>
  <c r="T142" i="109"/>
  <c r="T144" i="109"/>
  <c r="T152" i="109"/>
  <c r="R126" i="71"/>
  <c r="U125" i="109"/>
  <c r="U126" i="109"/>
  <c r="U127" i="109"/>
  <c r="U128" i="109"/>
  <c r="U129" i="109"/>
  <c r="U130" i="109"/>
  <c r="U131" i="109"/>
  <c r="U133" i="109"/>
  <c r="U134" i="109"/>
  <c r="U135" i="109"/>
  <c r="U136" i="109"/>
  <c r="AB120" i="128"/>
  <c r="AB121" i="128"/>
  <c r="AB122" i="128"/>
  <c r="AB123" i="128"/>
  <c r="AB129" i="128"/>
  <c r="AB131" i="128"/>
  <c r="U140" i="109"/>
  <c r="AB135" i="128"/>
  <c r="AB136" i="128"/>
  <c r="AB137" i="128"/>
  <c r="AB138" i="128"/>
  <c r="AB139" i="128"/>
  <c r="AB140" i="128"/>
  <c r="AB146" i="128"/>
  <c r="AB154" i="128"/>
  <c r="U141" i="109"/>
  <c r="U142" i="109"/>
  <c r="U144" i="109"/>
  <c r="U152" i="109"/>
  <c r="S126" i="71"/>
  <c r="V125" i="109"/>
  <c r="V126" i="109"/>
  <c r="V127" i="109"/>
  <c r="V128" i="109"/>
  <c r="V129" i="109"/>
  <c r="V130" i="109"/>
  <c r="V131" i="109"/>
  <c r="V133" i="109"/>
  <c r="V134" i="109"/>
  <c r="V135" i="109"/>
  <c r="V136" i="109"/>
  <c r="AC120" i="128"/>
  <c r="AC121" i="128"/>
  <c r="AC122" i="128"/>
  <c r="AC123" i="128"/>
  <c r="AC129" i="128"/>
  <c r="AC131" i="128"/>
  <c r="V140" i="109"/>
  <c r="AC135" i="128"/>
  <c r="AC136" i="128"/>
  <c r="AC137" i="128"/>
  <c r="AC138" i="128"/>
  <c r="AC139" i="128"/>
  <c r="AC140" i="128"/>
  <c r="AC146" i="128"/>
  <c r="AC154" i="128"/>
  <c r="V141" i="109"/>
  <c r="V142" i="109"/>
  <c r="V144" i="109"/>
  <c r="V152" i="109"/>
  <c r="T126" i="71"/>
  <c r="W125" i="109"/>
  <c r="W126" i="109"/>
  <c r="W127" i="109"/>
  <c r="W128" i="109"/>
  <c r="W129" i="109"/>
  <c r="W130" i="109"/>
  <c r="W131" i="109"/>
  <c r="W133" i="109"/>
  <c r="W134" i="109"/>
  <c r="W135" i="109"/>
  <c r="W136" i="109"/>
  <c r="AD120" i="128"/>
  <c r="AD121" i="128"/>
  <c r="AD122" i="128"/>
  <c r="AD123" i="128"/>
  <c r="AD129" i="128"/>
  <c r="AD131" i="128"/>
  <c r="W140" i="109"/>
  <c r="AD135" i="128"/>
  <c r="AD136" i="128"/>
  <c r="AD137" i="128"/>
  <c r="AD138" i="128"/>
  <c r="AD139" i="128"/>
  <c r="AD140" i="128"/>
  <c r="AD146" i="128"/>
  <c r="AD154" i="128"/>
  <c r="W141" i="109"/>
  <c r="W142" i="109"/>
  <c r="W144" i="109"/>
  <c r="W152" i="109"/>
  <c r="U126" i="71"/>
  <c r="X125" i="109"/>
  <c r="X126" i="109"/>
  <c r="X127" i="109"/>
  <c r="X128" i="109"/>
  <c r="X129" i="109"/>
  <c r="X130" i="109"/>
  <c r="X131" i="109"/>
  <c r="X133" i="109"/>
  <c r="X134" i="109"/>
  <c r="X135" i="109"/>
  <c r="X136" i="109"/>
  <c r="AE120" i="128"/>
  <c r="AE121" i="128"/>
  <c r="AE122" i="128"/>
  <c r="AE123" i="128"/>
  <c r="AE129" i="128"/>
  <c r="AE131" i="128"/>
  <c r="X140" i="109"/>
  <c r="AE135" i="128"/>
  <c r="AE136" i="128"/>
  <c r="AE137" i="128"/>
  <c r="AE138" i="128"/>
  <c r="AE139" i="128"/>
  <c r="AE140" i="128"/>
  <c r="AE146" i="128"/>
  <c r="AE154" i="128"/>
  <c r="X141" i="109"/>
  <c r="X142" i="109"/>
  <c r="X144" i="109"/>
  <c r="X152" i="109"/>
  <c r="V126" i="71"/>
  <c r="W126" i="71"/>
  <c r="E164" i="109"/>
  <c r="C129" i="71"/>
  <c r="F164" i="109"/>
  <c r="D129" i="71"/>
  <c r="G164" i="109"/>
  <c r="E129" i="71"/>
  <c r="H164" i="109"/>
  <c r="F129" i="71"/>
  <c r="I164" i="109"/>
  <c r="G129" i="71"/>
  <c r="J164" i="109"/>
  <c r="H129" i="71"/>
  <c r="K164" i="109"/>
  <c r="I129" i="71"/>
  <c r="L164" i="109"/>
  <c r="J129" i="71"/>
  <c r="M164" i="109"/>
  <c r="K129" i="71"/>
  <c r="N164" i="109"/>
  <c r="L129" i="71"/>
  <c r="O164" i="109"/>
  <c r="M129" i="71"/>
  <c r="P164" i="109"/>
  <c r="N129" i="71"/>
  <c r="Q164" i="109"/>
  <c r="O129" i="71"/>
  <c r="R164" i="109"/>
  <c r="P129" i="71"/>
  <c r="S164" i="109"/>
  <c r="Q129" i="71"/>
  <c r="T164" i="109"/>
  <c r="R129" i="71"/>
  <c r="U164" i="109"/>
  <c r="S129" i="71"/>
  <c r="V164" i="109"/>
  <c r="T129" i="71"/>
  <c r="W164" i="109"/>
  <c r="U129" i="71"/>
  <c r="X164" i="109"/>
  <c r="V129" i="71"/>
  <c r="W129" i="71"/>
  <c r="E165" i="109"/>
  <c r="C130" i="71"/>
  <c r="F165" i="109"/>
  <c r="D130" i="71"/>
  <c r="G165" i="109"/>
  <c r="E130" i="71"/>
  <c r="H165" i="109"/>
  <c r="F130" i="71"/>
  <c r="I165" i="109"/>
  <c r="G130" i="71"/>
  <c r="J165" i="109"/>
  <c r="H130" i="71"/>
  <c r="K165" i="109"/>
  <c r="I130" i="71"/>
  <c r="L165" i="109"/>
  <c r="J130" i="71"/>
  <c r="M165" i="109"/>
  <c r="K130" i="71"/>
  <c r="N165" i="109"/>
  <c r="L130" i="71"/>
  <c r="O165" i="109"/>
  <c r="M130" i="71"/>
  <c r="P165" i="109"/>
  <c r="N130" i="71"/>
  <c r="Q165" i="109"/>
  <c r="O130" i="71"/>
  <c r="R165" i="109"/>
  <c r="P130" i="71"/>
  <c r="S165" i="109"/>
  <c r="Q130" i="71"/>
  <c r="T165" i="109"/>
  <c r="R130" i="71"/>
  <c r="U165" i="109"/>
  <c r="S130" i="71"/>
  <c r="V165" i="109"/>
  <c r="T130" i="71"/>
  <c r="W165" i="109"/>
  <c r="U130" i="71"/>
  <c r="X165" i="109"/>
  <c r="V130" i="71"/>
  <c r="W130" i="71"/>
  <c r="Z131" i="71"/>
  <c r="J126" i="108"/>
  <c r="J125" i="108"/>
  <c r="J127" i="108"/>
  <c r="J128" i="108"/>
  <c r="J129" i="108"/>
  <c r="J130" i="108"/>
  <c r="J131" i="108"/>
  <c r="J133" i="108"/>
  <c r="J134" i="108"/>
  <c r="J135" i="108"/>
  <c r="J136" i="108"/>
  <c r="F27" i="108"/>
  <c r="M32" i="123"/>
  <c r="M121" i="123"/>
  <c r="Q121" i="123"/>
  <c r="M122" i="123"/>
  <c r="Q122" i="123"/>
  <c r="M123" i="123"/>
  <c r="Q123" i="123"/>
  <c r="Q124" i="123"/>
  <c r="Q130" i="123"/>
  <c r="Q132" i="123"/>
  <c r="J140" i="108"/>
  <c r="M136" i="123"/>
  <c r="Q136" i="123"/>
  <c r="M137" i="123"/>
  <c r="Q137" i="123"/>
  <c r="M138" i="123"/>
  <c r="Q138" i="123"/>
  <c r="M139" i="123"/>
  <c r="Q139" i="123"/>
  <c r="M140" i="123"/>
  <c r="Q140" i="123"/>
  <c r="Q141" i="123"/>
  <c r="Q147" i="123"/>
  <c r="Q155" i="123"/>
  <c r="J141" i="108"/>
  <c r="J142" i="108"/>
  <c r="J144" i="108"/>
  <c r="J152" i="108"/>
  <c r="H31" i="71"/>
  <c r="K126" i="108"/>
  <c r="K125" i="108"/>
  <c r="K127" i="108"/>
  <c r="K128" i="108"/>
  <c r="K129" i="108"/>
  <c r="K130" i="108"/>
  <c r="K131" i="108"/>
  <c r="K133" i="108"/>
  <c r="K134" i="108"/>
  <c r="K135" i="108"/>
  <c r="K136" i="108"/>
  <c r="R121" i="123"/>
  <c r="R122" i="123"/>
  <c r="R123" i="123"/>
  <c r="R124" i="123"/>
  <c r="R130" i="123"/>
  <c r="R132" i="123"/>
  <c r="K140" i="108"/>
  <c r="R136" i="123"/>
  <c r="R137" i="123"/>
  <c r="R138" i="123"/>
  <c r="R139" i="123"/>
  <c r="R140" i="123"/>
  <c r="R141" i="123"/>
  <c r="R147" i="123"/>
  <c r="R155" i="123"/>
  <c r="K141" i="108"/>
  <c r="K142" i="108"/>
  <c r="K144" i="108"/>
  <c r="K152" i="108"/>
  <c r="I31" i="71"/>
  <c r="L126" i="108"/>
  <c r="L125" i="108"/>
  <c r="L127" i="108"/>
  <c r="L128" i="108"/>
  <c r="L129" i="108"/>
  <c r="L130" i="108"/>
  <c r="L131" i="108"/>
  <c r="L133" i="108"/>
  <c r="L134" i="108"/>
  <c r="L135" i="108"/>
  <c r="L136" i="108"/>
  <c r="S121" i="123"/>
  <c r="S122" i="123"/>
  <c r="S123" i="123"/>
  <c r="S124" i="123"/>
  <c r="S130" i="123"/>
  <c r="S132" i="123"/>
  <c r="L140" i="108"/>
  <c r="S136" i="123"/>
  <c r="S137" i="123"/>
  <c r="S138" i="123"/>
  <c r="S139" i="123"/>
  <c r="S140" i="123"/>
  <c r="S141" i="123"/>
  <c r="S147" i="123"/>
  <c r="S155" i="123"/>
  <c r="L141" i="108"/>
  <c r="L142" i="108"/>
  <c r="L144" i="108"/>
  <c r="L152" i="108"/>
  <c r="J31" i="71"/>
  <c r="M126" i="108"/>
  <c r="M125" i="108"/>
  <c r="M127" i="108"/>
  <c r="M128" i="108"/>
  <c r="M129" i="108"/>
  <c r="M130" i="108"/>
  <c r="M131" i="108"/>
  <c r="M133" i="108"/>
  <c r="M134" i="108"/>
  <c r="M135" i="108"/>
  <c r="M136" i="108"/>
  <c r="T121" i="123"/>
  <c r="T122" i="123"/>
  <c r="T123" i="123"/>
  <c r="T124" i="123"/>
  <c r="T130" i="123"/>
  <c r="T132" i="123"/>
  <c r="M140" i="108"/>
  <c r="T136" i="123"/>
  <c r="T137" i="123"/>
  <c r="T138" i="123"/>
  <c r="T139" i="123"/>
  <c r="T140" i="123"/>
  <c r="T141" i="123"/>
  <c r="T147" i="123"/>
  <c r="T155" i="123"/>
  <c r="M141" i="108"/>
  <c r="M142" i="108"/>
  <c r="M144" i="108"/>
  <c r="M152" i="108"/>
  <c r="K31" i="71"/>
  <c r="N126" i="108"/>
  <c r="N125" i="108"/>
  <c r="N127" i="108"/>
  <c r="N128" i="108"/>
  <c r="N129" i="108"/>
  <c r="N130" i="108"/>
  <c r="N131" i="108"/>
  <c r="N133" i="108"/>
  <c r="N134" i="108"/>
  <c r="N135" i="108"/>
  <c r="N136" i="108"/>
  <c r="U121" i="123"/>
  <c r="U122" i="123"/>
  <c r="U123" i="123"/>
  <c r="U124" i="123"/>
  <c r="U130" i="123"/>
  <c r="U132" i="123"/>
  <c r="N140" i="108"/>
  <c r="U136" i="123"/>
  <c r="U137" i="123"/>
  <c r="U138" i="123"/>
  <c r="U139" i="123"/>
  <c r="U140" i="123"/>
  <c r="U141" i="123"/>
  <c r="U147" i="123"/>
  <c r="U155" i="123"/>
  <c r="N141" i="108"/>
  <c r="N142" i="108"/>
  <c r="N144" i="108"/>
  <c r="N152" i="108"/>
  <c r="L31" i="71"/>
  <c r="O126" i="108"/>
  <c r="O125" i="108"/>
  <c r="O127" i="108"/>
  <c r="O128" i="108"/>
  <c r="O129" i="108"/>
  <c r="O130" i="108"/>
  <c r="O131" i="108"/>
  <c r="O133" i="108"/>
  <c r="O134" i="108"/>
  <c r="O135" i="108"/>
  <c r="O136" i="108"/>
  <c r="V121" i="123"/>
  <c r="V122" i="123"/>
  <c r="V123" i="123"/>
  <c r="V124" i="123"/>
  <c r="V130" i="123"/>
  <c r="V132" i="123"/>
  <c r="O140" i="108"/>
  <c r="V136" i="123"/>
  <c r="V137" i="123"/>
  <c r="V138" i="123"/>
  <c r="V139" i="123"/>
  <c r="V140" i="123"/>
  <c r="V141" i="123"/>
  <c r="V147" i="123"/>
  <c r="V155" i="123"/>
  <c r="O141" i="108"/>
  <c r="O142" i="108"/>
  <c r="O144" i="108"/>
  <c r="O152" i="108"/>
  <c r="M31" i="71"/>
  <c r="P126" i="108"/>
  <c r="P125" i="108"/>
  <c r="P127" i="108"/>
  <c r="P128" i="108"/>
  <c r="P129" i="108"/>
  <c r="P130" i="108"/>
  <c r="P131" i="108"/>
  <c r="P133" i="108"/>
  <c r="P134" i="108"/>
  <c r="P135" i="108"/>
  <c r="P136" i="108"/>
  <c r="W121" i="123"/>
  <c r="W122" i="123"/>
  <c r="W123" i="123"/>
  <c r="W124" i="123"/>
  <c r="W130" i="123"/>
  <c r="W132" i="123"/>
  <c r="P140" i="108"/>
  <c r="W136" i="123"/>
  <c r="W137" i="123"/>
  <c r="W138" i="123"/>
  <c r="W139" i="123"/>
  <c r="W140" i="123"/>
  <c r="W141" i="123"/>
  <c r="W147" i="123"/>
  <c r="W155" i="123"/>
  <c r="P141" i="108"/>
  <c r="P142" i="108"/>
  <c r="P144" i="108"/>
  <c r="P152" i="108"/>
  <c r="N31" i="71"/>
  <c r="Q126" i="108"/>
  <c r="Q125" i="108"/>
  <c r="Q127" i="108"/>
  <c r="Q128" i="108"/>
  <c r="Q129" i="108"/>
  <c r="Q130" i="108"/>
  <c r="Q131" i="108"/>
  <c r="Q133" i="108"/>
  <c r="Q134" i="108"/>
  <c r="Q135" i="108"/>
  <c r="Q136" i="108"/>
  <c r="X121" i="123"/>
  <c r="X122" i="123"/>
  <c r="X123" i="123"/>
  <c r="X124" i="123"/>
  <c r="X130" i="123"/>
  <c r="X132" i="123"/>
  <c r="Q140" i="108"/>
  <c r="X136" i="123"/>
  <c r="X137" i="123"/>
  <c r="X138" i="123"/>
  <c r="X139" i="123"/>
  <c r="X140" i="123"/>
  <c r="X141" i="123"/>
  <c r="X147" i="123"/>
  <c r="X155" i="123"/>
  <c r="Q141" i="108"/>
  <c r="Q142" i="108"/>
  <c r="Q144" i="108"/>
  <c r="Q152" i="108"/>
  <c r="O31" i="71"/>
  <c r="R126" i="108"/>
  <c r="R125" i="108"/>
  <c r="R127" i="108"/>
  <c r="R128" i="108"/>
  <c r="R129" i="108"/>
  <c r="R130" i="108"/>
  <c r="R131" i="108"/>
  <c r="R133" i="108"/>
  <c r="R134" i="108"/>
  <c r="R135" i="108"/>
  <c r="R136" i="108"/>
  <c r="Y121" i="123"/>
  <c r="Y122" i="123"/>
  <c r="Y123" i="123"/>
  <c r="Y124" i="123"/>
  <c r="Y130" i="123"/>
  <c r="Y132" i="123"/>
  <c r="R140" i="108"/>
  <c r="Y136" i="123"/>
  <c r="Y137" i="123"/>
  <c r="Y138" i="123"/>
  <c r="Y139" i="123"/>
  <c r="Y140" i="123"/>
  <c r="Y141" i="123"/>
  <c r="Y147" i="123"/>
  <c r="Y155" i="123"/>
  <c r="R141" i="108"/>
  <c r="R142" i="108"/>
  <c r="R144" i="108"/>
  <c r="R152" i="108"/>
  <c r="P31" i="71"/>
  <c r="S126" i="108"/>
  <c r="S125" i="108"/>
  <c r="S127" i="108"/>
  <c r="S128" i="108"/>
  <c r="S129" i="108"/>
  <c r="S130" i="108"/>
  <c r="S131" i="108"/>
  <c r="S133" i="108"/>
  <c r="S134" i="108"/>
  <c r="S135" i="108"/>
  <c r="S136" i="108"/>
  <c r="Z121" i="123"/>
  <c r="Z122" i="123"/>
  <c r="Z123" i="123"/>
  <c r="Z124" i="123"/>
  <c r="Z130" i="123"/>
  <c r="Z132" i="123"/>
  <c r="S140" i="108"/>
  <c r="Z136" i="123"/>
  <c r="Z137" i="123"/>
  <c r="Z138" i="123"/>
  <c r="Z139" i="123"/>
  <c r="Z140" i="123"/>
  <c r="Z141" i="123"/>
  <c r="Z147" i="123"/>
  <c r="Z155" i="123"/>
  <c r="S141" i="108"/>
  <c r="S142" i="108"/>
  <c r="S144" i="108"/>
  <c r="S152" i="108"/>
  <c r="Q31" i="71"/>
  <c r="T126" i="108"/>
  <c r="T125" i="108"/>
  <c r="T127" i="108"/>
  <c r="T128" i="108"/>
  <c r="T129" i="108"/>
  <c r="T130" i="108"/>
  <c r="T131" i="108"/>
  <c r="T133" i="108"/>
  <c r="T134" i="108"/>
  <c r="T135" i="108"/>
  <c r="T136" i="108"/>
  <c r="AA121" i="123"/>
  <c r="AA122" i="123"/>
  <c r="AA123" i="123"/>
  <c r="AA124" i="123"/>
  <c r="AA130" i="123"/>
  <c r="AA132" i="123"/>
  <c r="T140" i="108"/>
  <c r="AA136" i="123"/>
  <c r="AA137" i="123"/>
  <c r="AA138" i="123"/>
  <c r="AA139" i="123"/>
  <c r="AA140" i="123"/>
  <c r="AA141" i="123"/>
  <c r="AA147" i="123"/>
  <c r="AA155" i="123"/>
  <c r="T141" i="108"/>
  <c r="T142" i="108"/>
  <c r="T144" i="108"/>
  <c r="T152" i="108"/>
  <c r="R31" i="71"/>
  <c r="U126" i="108"/>
  <c r="U125" i="108"/>
  <c r="U127" i="108"/>
  <c r="U128" i="108"/>
  <c r="U129" i="108"/>
  <c r="U130" i="108"/>
  <c r="U131" i="108"/>
  <c r="U133" i="108"/>
  <c r="U134" i="108"/>
  <c r="U135" i="108"/>
  <c r="U136" i="108"/>
  <c r="AB121" i="123"/>
  <c r="AB122" i="123"/>
  <c r="AB123" i="123"/>
  <c r="AB124" i="123"/>
  <c r="AB130" i="123"/>
  <c r="AB132" i="123"/>
  <c r="U140" i="108"/>
  <c r="AB136" i="123"/>
  <c r="AB137" i="123"/>
  <c r="AB138" i="123"/>
  <c r="AB139" i="123"/>
  <c r="AB140" i="123"/>
  <c r="AB141" i="123"/>
  <c r="AB147" i="123"/>
  <c r="AB155" i="123"/>
  <c r="U141" i="108"/>
  <c r="U142" i="108"/>
  <c r="U144" i="108"/>
  <c r="U152" i="108"/>
  <c r="S31" i="71"/>
  <c r="V126" i="108"/>
  <c r="V125" i="108"/>
  <c r="V127" i="108"/>
  <c r="V128" i="108"/>
  <c r="V129" i="108"/>
  <c r="V130" i="108"/>
  <c r="V131" i="108"/>
  <c r="V133" i="108"/>
  <c r="V134" i="108"/>
  <c r="V135" i="108"/>
  <c r="V136" i="108"/>
  <c r="AC121" i="123"/>
  <c r="AC122" i="123"/>
  <c r="AC123" i="123"/>
  <c r="AC124" i="123"/>
  <c r="AC130" i="123"/>
  <c r="AC132" i="123"/>
  <c r="V140" i="108"/>
  <c r="AC136" i="123"/>
  <c r="AC137" i="123"/>
  <c r="AC138" i="123"/>
  <c r="AC139" i="123"/>
  <c r="AC140" i="123"/>
  <c r="AC141" i="123"/>
  <c r="AC147" i="123"/>
  <c r="AC155" i="123"/>
  <c r="V141" i="108"/>
  <c r="V142" i="108"/>
  <c r="V144" i="108"/>
  <c r="V152" i="108"/>
  <c r="T31" i="71"/>
  <c r="W126" i="108"/>
  <c r="W125" i="108"/>
  <c r="W127" i="108"/>
  <c r="W128" i="108"/>
  <c r="W129" i="108"/>
  <c r="W130" i="108"/>
  <c r="W131" i="108"/>
  <c r="W133" i="108"/>
  <c r="W134" i="108"/>
  <c r="W135" i="108"/>
  <c r="W136" i="108"/>
  <c r="AD121" i="123"/>
  <c r="AD122" i="123"/>
  <c r="AD123" i="123"/>
  <c r="AD124" i="123"/>
  <c r="AD130" i="123"/>
  <c r="AD132" i="123"/>
  <c r="W140" i="108"/>
  <c r="AD136" i="123"/>
  <c r="AD137" i="123"/>
  <c r="AD138" i="123"/>
  <c r="AD139" i="123"/>
  <c r="AD140" i="123"/>
  <c r="AD141" i="123"/>
  <c r="AD147" i="123"/>
  <c r="AD155" i="123"/>
  <c r="W141" i="108"/>
  <c r="W142" i="108"/>
  <c r="W144" i="108"/>
  <c r="W152" i="108"/>
  <c r="U31" i="71"/>
  <c r="X126" i="108"/>
  <c r="X125" i="108"/>
  <c r="X127" i="108"/>
  <c r="X128" i="108"/>
  <c r="X129" i="108"/>
  <c r="X130" i="108"/>
  <c r="X131" i="108"/>
  <c r="X133" i="108"/>
  <c r="X134" i="108"/>
  <c r="X135" i="108"/>
  <c r="X136" i="108"/>
  <c r="AE121" i="123"/>
  <c r="AE122" i="123"/>
  <c r="AE123" i="123"/>
  <c r="AE124" i="123"/>
  <c r="AE130" i="123"/>
  <c r="AE132" i="123"/>
  <c r="X140" i="108"/>
  <c r="AE136" i="123"/>
  <c r="AE137" i="123"/>
  <c r="AE138" i="123"/>
  <c r="AE139" i="123"/>
  <c r="AE140" i="123"/>
  <c r="AE141" i="123"/>
  <c r="AE147" i="123"/>
  <c r="AE155" i="123"/>
  <c r="X141" i="108"/>
  <c r="X142" i="108"/>
  <c r="X144" i="108"/>
  <c r="X152" i="108"/>
  <c r="V31" i="71"/>
  <c r="E125" i="108"/>
  <c r="E126" i="108"/>
  <c r="E127" i="108"/>
  <c r="E128" i="108"/>
  <c r="E129" i="108"/>
  <c r="E130" i="108"/>
  <c r="E131" i="108"/>
  <c r="E133" i="108"/>
  <c r="E134" i="108"/>
  <c r="E135" i="108"/>
  <c r="E136" i="108"/>
  <c r="E140" i="108"/>
  <c r="E141" i="108"/>
  <c r="E142" i="108"/>
  <c r="E144" i="108"/>
  <c r="E152" i="108"/>
  <c r="C31" i="71"/>
  <c r="F125" i="108"/>
  <c r="F126" i="108"/>
  <c r="F127" i="108"/>
  <c r="F128" i="108"/>
  <c r="F129" i="108"/>
  <c r="F130" i="108"/>
  <c r="F131" i="108"/>
  <c r="F133" i="108"/>
  <c r="F134" i="108"/>
  <c r="F135" i="108"/>
  <c r="F136" i="108"/>
  <c r="M124" i="123"/>
  <c r="M130" i="123"/>
  <c r="M132" i="123"/>
  <c r="F140" i="108"/>
  <c r="M141" i="123"/>
  <c r="M147" i="123"/>
  <c r="M155" i="123"/>
  <c r="F141" i="108"/>
  <c r="F142" i="108"/>
  <c r="F144" i="108"/>
  <c r="F152" i="108"/>
  <c r="D31" i="71"/>
  <c r="G125" i="108"/>
  <c r="G126" i="108"/>
  <c r="G127" i="108"/>
  <c r="G128" i="108"/>
  <c r="G129" i="108"/>
  <c r="G130" i="108"/>
  <c r="G131" i="108"/>
  <c r="G133" i="108"/>
  <c r="G134" i="108"/>
  <c r="G135" i="108"/>
  <c r="G136" i="108"/>
  <c r="N121" i="123"/>
  <c r="N122" i="123"/>
  <c r="N123" i="123"/>
  <c r="N124" i="123"/>
  <c r="N130" i="123"/>
  <c r="N132" i="123"/>
  <c r="G140" i="108"/>
  <c r="N136" i="123"/>
  <c r="N137" i="123"/>
  <c r="N138" i="123"/>
  <c r="N139" i="123"/>
  <c r="N140" i="123"/>
  <c r="N141" i="123"/>
  <c r="N147" i="123"/>
  <c r="N155" i="123"/>
  <c r="G141" i="108"/>
  <c r="G142" i="108"/>
  <c r="G144" i="108"/>
  <c r="G152" i="108"/>
  <c r="E31" i="71"/>
  <c r="H125" i="108"/>
  <c r="H126" i="108"/>
  <c r="H127" i="108"/>
  <c r="H128" i="108"/>
  <c r="H129" i="108"/>
  <c r="H130" i="108"/>
  <c r="H131" i="108"/>
  <c r="H133" i="108"/>
  <c r="H134" i="108"/>
  <c r="H135" i="108"/>
  <c r="H136" i="108"/>
  <c r="O121" i="123"/>
  <c r="O122" i="123"/>
  <c r="O123" i="123"/>
  <c r="O124" i="123"/>
  <c r="O130" i="123"/>
  <c r="O132" i="123"/>
  <c r="H140" i="108"/>
  <c r="O136" i="123"/>
  <c r="O137" i="123"/>
  <c r="O138" i="123"/>
  <c r="O139" i="123"/>
  <c r="O140" i="123"/>
  <c r="O141" i="123"/>
  <c r="O147" i="123"/>
  <c r="O155" i="123"/>
  <c r="H141" i="108"/>
  <c r="H142" i="108"/>
  <c r="H144" i="108"/>
  <c r="H152" i="108"/>
  <c r="F31" i="71"/>
  <c r="I125" i="108"/>
  <c r="I126" i="108"/>
  <c r="I127" i="108"/>
  <c r="I128" i="108"/>
  <c r="I129" i="108"/>
  <c r="I130" i="108"/>
  <c r="I131" i="108"/>
  <c r="I133" i="108"/>
  <c r="I134" i="108"/>
  <c r="I135" i="108"/>
  <c r="I136" i="108"/>
  <c r="P121" i="123"/>
  <c r="P122" i="123"/>
  <c r="P123" i="123"/>
  <c r="P124" i="123"/>
  <c r="P130" i="123"/>
  <c r="P132" i="123"/>
  <c r="I140" i="108"/>
  <c r="P136" i="123"/>
  <c r="P137" i="123"/>
  <c r="P138" i="123"/>
  <c r="P139" i="123"/>
  <c r="P140" i="123"/>
  <c r="P141" i="123"/>
  <c r="P147" i="123"/>
  <c r="P155" i="123"/>
  <c r="I141" i="108"/>
  <c r="I142" i="108"/>
  <c r="I144" i="108"/>
  <c r="I152" i="108"/>
  <c r="G31" i="71"/>
  <c r="W31" i="71"/>
  <c r="E164" i="108"/>
  <c r="C34" i="71"/>
  <c r="F164" i="108"/>
  <c r="D34" i="71"/>
  <c r="G164" i="108"/>
  <c r="E34" i="71"/>
  <c r="H164" i="108"/>
  <c r="F34" i="71"/>
  <c r="I164" i="108"/>
  <c r="G34" i="71"/>
  <c r="J164" i="108"/>
  <c r="H34" i="71"/>
  <c r="K164" i="108"/>
  <c r="I34" i="71"/>
  <c r="L164" i="108"/>
  <c r="J34" i="71"/>
  <c r="M164" i="108"/>
  <c r="K34" i="71"/>
  <c r="N164" i="108"/>
  <c r="L34" i="71"/>
  <c r="O164" i="108"/>
  <c r="M34" i="71"/>
  <c r="P164" i="108"/>
  <c r="N34" i="71"/>
  <c r="Q164" i="108"/>
  <c r="O34" i="71"/>
  <c r="R164" i="108"/>
  <c r="P34" i="71"/>
  <c r="S164" i="108"/>
  <c r="Q34" i="71"/>
  <c r="T164" i="108"/>
  <c r="R34" i="71"/>
  <c r="U164" i="108"/>
  <c r="S34" i="71"/>
  <c r="V164" i="108"/>
  <c r="T34" i="71"/>
  <c r="W164" i="108"/>
  <c r="U34" i="71"/>
  <c r="X164" i="108"/>
  <c r="V34" i="71"/>
  <c r="W34" i="71"/>
  <c r="E165" i="108"/>
  <c r="E167" i="108"/>
  <c r="C35" i="71"/>
  <c r="F165" i="108"/>
  <c r="F167" i="108"/>
  <c r="D35" i="71"/>
  <c r="G165" i="108"/>
  <c r="G167" i="108"/>
  <c r="E35" i="71"/>
  <c r="H165" i="108"/>
  <c r="H167" i="108"/>
  <c r="F35" i="71"/>
  <c r="I165" i="108"/>
  <c r="I167" i="108"/>
  <c r="G35" i="71"/>
  <c r="J165" i="108"/>
  <c r="J167" i="108"/>
  <c r="H35" i="71"/>
  <c r="K165" i="108"/>
  <c r="K167" i="108"/>
  <c r="I35" i="71"/>
  <c r="L165" i="108"/>
  <c r="L167" i="108"/>
  <c r="J35" i="71"/>
  <c r="M165" i="108"/>
  <c r="M167" i="108"/>
  <c r="K35" i="71"/>
  <c r="N165" i="108"/>
  <c r="N167" i="108"/>
  <c r="L35" i="71"/>
  <c r="O165" i="108"/>
  <c r="O167" i="108"/>
  <c r="M35" i="71"/>
  <c r="P165" i="108"/>
  <c r="P167" i="108"/>
  <c r="N35" i="71"/>
  <c r="Q165" i="108"/>
  <c r="Q167" i="108"/>
  <c r="O35" i="71"/>
  <c r="R165" i="108"/>
  <c r="R167" i="108"/>
  <c r="P35" i="71"/>
  <c r="S165" i="108"/>
  <c r="S167" i="108"/>
  <c r="Q35" i="71"/>
  <c r="T165" i="108"/>
  <c r="T167" i="108"/>
  <c r="R35" i="71"/>
  <c r="U165" i="108"/>
  <c r="U167" i="108"/>
  <c r="S35" i="71"/>
  <c r="V165" i="108"/>
  <c r="V167" i="108"/>
  <c r="T35" i="71"/>
  <c r="W165" i="108"/>
  <c r="W167" i="108"/>
  <c r="U35" i="71"/>
  <c r="X165" i="108"/>
  <c r="X167" i="108"/>
  <c r="V35" i="71"/>
  <c r="W35" i="71"/>
  <c r="Z36" i="71"/>
  <c r="J58" i="110"/>
  <c r="J91" i="110"/>
  <c r="R5" i="146"/>
  <c r="J57" i="110"/>
  <c r="J90" i="110"/>
  <c r="R6" i="146"/>
  <c r="J87" i="110"/>
  <c r="R7" i="146"/>
  <c r="J56" i="110"/>
  <c r="J94" i="110"/>
  <c r="R8" i="146"/>
  <c r="J42" i="110"/>
  <c r="J43" i="110"/>
  <c r="J44" i="110"/>
  <c r="J98" i="110"/>
  <c r="R12" i="146"/>
  <c r="J12" i="110"/>
  <c r="J76" i="110"/>
  <c r="R13" i="146"/>
  <c r="J78" i="110"/>
  <c r="R14" i="146"/>
  <c r="J103" i="110"/>
  <c r="R16" i="146"/>
  <c r="J101" i="110"/>
  <c r="J104" i="110"/>
  <c r="R18" i="146"/>
  <c r="R19" i="146"/>
  <c r="R81" i="146"/>
  <c r="R82" i="146"/>
  <c r="R91" i="146"/>
  <c r="E5" i="146"/>
  <c r="F5" i="146"/>
  <c r="E6" i="146"/>
  <c r="F6" i="146"/>
  <c r="E7" i="146"/>
  <c r="F7" i="146"/>
  <c r="E8" i="146"/>
  <c r="F8" i="146"/>
  <c r="E9" i="146"/>
  <c r="F9" i="146"/>
  <c r="E10" i="146"/>
  <c r="F10" i="146"/>
  <c r="E11" i="146"/>
  <c r="F11" i="146"/>
  <c r="E12" i="146"/>
  <c r="F12" i="146"/>
  <c r="E13" i="146"/>
  <c r="F13" i="146"/>
  <c r="E14" i="146"/>
  <c r="F14" i="146"/>
  <c r="E15" i="146"/>
  <c r="F15" i="146"/>
  <c r="E16" i="146"/>
  <c r="F16" i="146"/>
  <c r="E17" i="146"/>
  <c r="F17" i="146"/>
  <c r="E18" i="146"/>
  <c r="F18" i="146"/>
  <c r="F19" i="146"/>
  <c r="S19" i="146"/>
  <c r="S82" i="146"/>
  <c r="S91" i="146"/>
  <c r="J58" i="109"/>
  <c r="J91" i="109"/>
  <c r="T5" i="146"/>
  <c r="J57" i="109"/>
  <c r="J90" i="109"/>
  <c r="T6" i="146"/>
  <c r="J87" i="109"/>
  <c r="T7" i="146"/>
  <c r="J56" i="109"/>
  <c r="J94" i="109"/>
  <c r="T8" i="146"/>
  <c r="J42" i="109"/>
  <c r="J43" i="109"/>
  <c r="J44" i="109"/>
  <c r="J98" i="109"/>
  <c r="T12" i="146"/>
  <c r="J12" i="109"/>
  <c r="J76" i="109"/>
  <c r="T13" i="146"/>
  <c r="J78" i="109"/>
  <c r="T14" i="146"/>
  <c r="J103" i="109"/>
  <c r="T16" i="146"/>
  <c r="J101" i="109"/>
  <c r="T18" i="146"/>
  <c r="T19" i="146"/>
  <c r="T81" i="146"/>
  <c r="T82" i="146"/>
  <c r="T91" i="146"/>
  <c r="U19" i="146"/>
  <c r="U82" i="146"/>
  <c r="U91" i="146"/>
  <c r="J58" i="101"/>
  <c r="J91" i="101"/>
  <c r="W5" i="146"/>
  <c r="J57" i="101"/>
  <c r="J90" i="101"/>
  <c r="W6" i="146"/>
  <c r="J87" i="101"/>
  <c r="W7" i="146"/>
  <c r="J56" i="101"/>
  <c r="J94" i="101"/>
  <c r="W8" i="146"/>
  <c r="J42" i="101"/>
  <c r="J43" i="101"/>
  <c r="J44" i="101"/>
  <c r="J98" i="101"/>
  <c r="W12" i="146"/>
  <c r="J12" i="101"/>
  <c r="J76" i="101"/>
  <c r="W13" i="146"/>
  <c r="J78" i="101"/>
  <c r="W14" i="146"/>
  <c r="J103" i="101"/>
  <c r="W16" i="146"/>
  <c r="J101" i="101"/>
  <c r="J104" i="101"/>
  <c r="W18" i="146"/>
  <c r="W19" i="146"/>
  <c r="Q94" i="134"/>
  <c r="Q101" i="134"/>
  <c r="W81" i="146"/>
  <c r="W82" i="146"/>
  <c r="W91" i="146"/>
  <c r="X19" i="146"/>
  <c r="X82" i="146"/>
  <c r="X91" i="146"/>
  <c r="J58" i="99"/>
  <c r="J91" i="99"/>
  <c r="Y5" i="146"/>
  <c r="J57" i="99"/>
  <c r="J90" i="99"/>
  <c r="Y6" i="146"/>
  <c r="J87" i="99"/>
  <c r="Y7" i="146"/>
  <c r="J56" i="99"/>
  <c r="J94" i="99"/>
  <c r="Y8" i="146"/>
  <c r="J42" i="99"/>
  <c r="J43" i="99"/>
  <c r="J44" i="99"/>
  <c r="J98" i="99"/>
  <c r="Y12" i="146"/>
  <c r="J12" i="99"/>
  <c r="J76" i="99"/>
  <c r="Y13" i="146"/>
  <c r="J78" i="99"/>
  <c r="Y14" i="146"/>
  <c r="J103" i="99"/>
  <c r="Y16" i="146"/>
  <c r="J101" i="99"/>
  <c r="J104" i="99"/>
  <c r="Y18" i="146"/>
  <c r="Y19" i="146"/>
  <c r="Y81" i="146"/>
  <c r="Y82" i="146"/>
  <c r="Y91" i="146"/>
  <c r="Z19" i="146"/>
  <c r="Z82" i="146"/>
  <c r="Z91" i="146"/>
  <c r="J58" i="96"/>
  <c r="J91" i="96"/>
  <c r="AA5" i="146"/>
  <c r="J57" i="96"/>
  <c r="J90" i="96"/>
  <c r="AA6" i="146"/>
  <c r="J87" i="96"/>
  <c r="AA7" i="146"/>
  <c r="J56" i="96"/>
  <c r="J94" i="96"/>
  <c r="AA8" i="146"/>
  <c r="J42" i="96"/>
  <c r="J43" i="96"/>
  <c r="J44" i="96"/>
  <c r="J98" i="96"/>
  <c r="AA12" i="146"/>
  <c r="J12" i="96"/>
  <c r="J76" i="96"/>
  <c r="AA13" i="146"/>
  <c r="J78" i="96"/>
  <c r="AA14" i="146"/>
  <c r="J103" i="96"/>
  <c r="AA16" i="146"/>
  <c r="J101" i="96"/>
  <c r="AA18" i="146"/>
  <c r="AA19" i="146"/>
  <c r="AA81" i="146"/>
  <c r="AA82" i="146"/>
  <c r="AA91" i="146"/>
  <c r="AB19" i="146"/>
  <c r="AB82" i="146"/>
  <c r="AB91" i="146"/>
  <c r="J58" i="111"/>
  <c r="J91" i="111"/>
  <c r="P5" i="146"/>
  <c r="J57" i="111"/>
  <c r="J90" i="111"/>
  <c r="P6" i="146"/>
  <c r="J87" i="111"/>
  <c r="P7" i="146"/>
  <c r="J56" i="111"/>
  <c r="J94" i="111"/>
  <c r="P8" i="146"/>
  <c r="J42" i="111"/>
  <c r="J43" i="111"/>
  <c r="J44" i="111"/>
  <c r="J98" i="111"/>
  <c r="P12" i="146"/>
  <c r="J12" i="111"/>
  <c r="J76" i="111"/>
  <c r="P13" i="146"/>
  <c r="J78" i="111"/>
  <c r="P14" i="146"/>
  <c r="J103" i="111"/>
  <c r="P16" i="146"/>
  <c r="J101" i="111"/>
  <c r="J104" i="111"/>
  <c r="P18" i="146"/>
  <c r="P19" i="146"/>
  <c r="Q19" i="146"/>
  <c r="P81" i="146"/>
  <c r="P82" i="146"/>
  <c r="Q82" i="146"/>
  <c r="Q91" i="146"/>
  <c r="Q94" i="123"/>
  <c r="Q101" i="123"/>
  <c r="L81" i="146"/>
  <c r="L82" i="146"/>
  <c r="J58" i="108"/>
  <c r="J91" i="108"/>
  <c r="L5" i="146"/>
  <c r="J57" i="108"/>
  <c r="J90" i="108"/>
  <c r="L6" i="146"/>
  <c r="J87" i="108"/>
  <c r="L7" i="146"/>
  <c r="J56" i="108"/>
  <c r="J94" i="108"/>
  <c r="L8" i="146"/>
  <c r="J42" i="108"/>
  <c r="J43" i="108"/>
  <c r="J44" i="108"/>
  <c r="J98" i="108"/>
  <c r="L12" i="146"/>
  <c r="J78" i="108"/>
  <c r="L14" i="146"/>
  <c r="J103" i="108"/>
  <c r="L16" i="146"/>
  <c r="J104" i="108"/>
  <c r="L18" i="146"/>
  <c r="L19" i="146"/>
  <c r="L91" i="146"/>
  <c r="F91" i="146"/>
  <c r="M91" i="146"/>
  <c r="J58" i="97"/>
  <c r="J91" i="97"/>
  <c r="I5" i="146"/>
  <c r="J57" i="97"/>
  <c r="J90" i="97"/>
  <c r="I6" i="146"/>
  <c r="J87" i="97"/>
  <c r="I7" i="146"/>
  <c r="J56" i="97"/>
  <c r="J94" i="97"/>
  <c r="I8" i="146"/>
  <c r="J42" i="97"/>
  <c r="J43" i="97"/>
  <c r="J44" i="97"/>
  <c r="J98" i="97"/>
  <c r="I12" i="146"/>
  <c r="J78" i="97"/>
  <c r="I14" i="146"/>
  <c r="J103" i="97"/>
  <c r="I16" i="146"/>
  <c r="J104" i="97"/>
  <c r="I18" i="146"/>
  <c r="I19" i="146"/>
  <c r="I91" i="146"/>
  <c r="J91" i="146"/>
  <c r="Q88" i="146"/>
  <c r="S88" i="146"/>
  <c r="P91" i="146"/>
  <c r="Q97" i="138"/>
  <c r="AD78" i="146"/>
  <c r="Q98" i="138"/>
  <c r="Q100" i="138"/>
  <c r="AD81" i="146"/>
  <c r="AD82" i="146"/>
  <c r="J58" i="119"/>
  <c r="J92" i="119"/>
  <c r="AD5" i="146"/>
  <c r="J57" i="119"/>
  <c r="J91" i="119"/>
  <c r="AD6" i="146"/>
  <c r="J88" i="119"/>
  <c r="AD7" i="146"/>
  <c r="J56" i="119"/>
  <c r="J95" i="119"/>
  <c r="AD8" i="146"/>
  <c r="J99" i="119"/>
  <c r="AD12" i="146"/>
  <c r="J12" i="119"/>
  <c r="J76" i="119"/>
  <c r="AD13" i="146"/>
  <c r="J78" i="119"/>
  <c r="AD14" i="146"/>
  <c r="J104" i="119"/>
  <c r="AD16" i="146"/>
  <c r="J81" i="119"/>
  <c r="J18" i="119"/>
  <c r="J82" i="119"/>
  <c r="J19" i="119"/>
  <c r="J83" i="119"/>
  <c r="J20" i="119"/>
  <c r="J84" i="119"/>
  <c r="AD17" i="146"/>
  <c r="J102" i="119"/>
  <c r="J105" i="119"/>
  <c r="AD18" i="146"/>
  <c r="AD19" i="146"/>
  <c r="AD91" i="146"/>
  <c r="AE19" i="146"/>
  <c r="AE82" i="146"/>
  <c r="AE91" i="146"/>
  <c r="AF78" i="146"/>
  <c r="AF81" i="146"/>
  <c r="AF82" i="146"/>
  <c r="J58" i="118"/>
  <c r="J92" i="118"/>
  <c r="AF5" i="146"/>
  <c r="J57" i="118"/>
  <c r="J91" i="118"/>
  <c r="AF6" i="146"/>
  <c r="J88" i="118"/>
  <c r="AF7" i="146"/>
  <c r="J56" i="118"/>
  <c r="J95" i="118"/>
  <c r="AF8" i="146"/>
  <c r="J99" i="118"/>
  <c r="AF12" i="146"/>
  <c r="J12" i="118"/>
  <c r="J76" i="118"/>
  <c r="AF13" i="146"/>
  <c r="J78" i="118"/>
  <c r="AF14" i="146"/>
  <c r="J104" i="118"/>
  <c r="AF16" i="146"/>
  <c r="J81" i="118"/>
  <c r="J18" i="118"/>
  <c r="J82" i="118"/>
  <c r="J19" i="118"/>
  <c r="J83" i="118"/>
  <c r="J20" i="118"/>
  <c r="J84" i="118"/>
  <c r="AF17" i="146"/>
  <c r="J102" i="118"/>
  <c r="J105" i="118"/>
  <c r="AF18" i="146"/>
  <c r="AF19" i="146"/>
  <c r="AF91" i="146"/>
  <c r="AG19" i="146"/>
  <c r="AG82" i="146"/>
  <c r="AG91" i="146"/>
  <c r="AH78" i="146"/>
  <c r="AH81" i="146"/>
  <c r="AH82" i="146"/>
  <c r="J58" i="117"/>
  <c r="J92" i="117"/>
  <c r="AH5" i="146"/>
  <c r="J57" i="117"/>
  <c r="J91" i="117"/>
  <c r="AH6" i="146"/>
  <c r="J88" i="117"/>
  <c r="AH7" i="146"/>
  <c r="J56" i="117"/>
  <c r="J95" i="117"/>
  <c r="AH8" i="146"/>
  <c r="J99" i="117"/>
  <c r="AH12" i="146"/>
  <c r="J12" i="117"/>
  <c r="J76" i="117"/>
  <c r="AH13" i="146"/>
  <c r="J78" i="117"/>
  <c r="AH14" i="146"/>
  <c r="J104" i="117"/>
  <c r="AH16" i="146"/>
  <c r="J81" i="117"/>
  <c r="J18" i="117"/>
  <c r="J82" i="117"/>
  <c r="J19" i="117"/>
  <c r="J83" i="117"/>
  <c r="J20" i="117"/>
  <c r="J84" i="117"/>
  <c r="AH17" i="146"/>
  <c r="J102" i="117"/>
  <c r="AH18" i="146"/>
  <c r="AH19" i="146"/>
  <c r="AH91" i="146"/>
  <c r="AI19" i="146"/>
  <c r="AI82" i="146"/>
  <c r="AI91" i="146"/>
  <c r="J58" i="104"/>
  <c r="J92" i="104"/>
  <c r="AK5" i="146"/>
  <c r="J57" i="104"/>
  <c r="J91" i="104"/>
  <c r="AK6" i="146"/>
  <c r="J88" i="104"/>
  <c r="AK7" i="146"/>
  <c r="J56" i="104"/>
  <c r="J95" i="104"/>
  <c r="AK8" i="146"/>
  <c r="J99" i="104"/>
  <c r="AK12" i="146"/>
  <c r="J12" i="104"/>
  <c r="J76" i="104"/>
  <c r="AK13" i="146"/>
  <c r="J78" i="104"/>
  <c r="AK14" i="146"/>
  <c r="J104" i="104"/>
  <c r="AK16" i="146"/>
  <c r="J81" i="104"/>
  <c r="J18" i="104"/>
  <c r="J82" i="104"/>
  <c r="J19" i="104"/>
  <c r="J83" i="104"/>
  <c r="J20" i="104"/>
  <c r="J84" i="104"/>
  <c r="AK17" i="146"/>
  <c r="J102" i="104"/>
  <c r="J105" i="104"/>
  <c r="AK18" i="146"/>
  <c r="AK19" i="146"/>
  <c r="Q94" i="142"/>
  <c r="Q101" i="142"/>
  <c r="AK81" i="146"/>
  <c r="AK82" i="146"/>
  <c r="AK91" i="146"/>
  <c r="AL19" i="146"/>
  <c r="AL82" i="146"/>
  <c r="AL91" i="146"/>
  <c r="J58" i="103"/>
  <c r="J92" i="103"/>
  <c r="AM5" i="146"/>
  <c r="J57" i="103"/>
  <c r="J91" i="103"/>
  <c r="AM6" i="146"/>
  <c r="J88" i="103"/>
  <c r="AM7" i="146"/>
  <c r="J56" i="103"/>
  <c r="J95" i="103"/>
  <c r="AM8" i="146"/>
  <c r="J12" i="103"/>
  <c r="J76" i="103"/>
  <c r="AM13" i="146"/>
  <c r="J78" i="103"/>
  <c r="AM14" i="146"/>
  <c r="J104" i="103"/>
  <c r="AM16" i="146"/>
  <c r="J81" i="103"/>
  <c r="J18" i="103"/>
  <c r="J82" i="103"/>
  <c r="J19" i="103"/>
  <c r="J83" i="103"/>
  <c r="J20" i="103"/>
  <c r="J84" i="103"/>
  <c r="AM17" i="146"/>
  <c r="J102" i="103"/>
  <c r="J105" i="103"/>
  <c r="AM18" i="146"/>
  <c r="K99" i="104"/>
  <c r="AM12" i="146"/>
  <c r="AM19" i="146"/>
  <c r="AM81" i="146"/>
  <c r="AM82" i="146"/>
  <c r="AM91" i="146"/>
  <c r="AN19" i="146"/>
  <c r="AN82" i="146"/>
  <c r="AN91" i="146"/>
  <c r="J58" i="93"/>
  <c r="J92" i="93"/>
  <c r="AO5" i="146"/>
  <c r="J57" i="93"/>
  <c r="J91" i="93"/>
  <c r="AO6" i="146"/>
  <c r="J88" i="93"/>
  <c r="AO7" i="146"/>
  <c r="J56" i="93"/>
  <c r="J95" i="93"/>
  <c r="AO8" i="146"/>
  <c r="J99" i="93"/>
  <c r="AO12" i="146"/>
  <c r="J12" i="93"/>
  <c r="J76" i="93"/>
  <c r="AO13" i="146"/>
  <c r="J78" i="93"/>
  <c r="AO14" i="146"/>
  <c r="J104" i="93"/>
  <c r="AO16" i="146"/>
  <c r="J81" i="93"/>
  <c r="J18" i="93"/>
  <c r="J82" i="93"/>
  <c r="J19" i="93"/>
  <c r="J83" i="93"/>
  <c r="J20" i="93"/>
  <c r="J84" i="93"/>
  <c r="AO17" i="146"/>
  <c r="J102" i="93"/>
  <c r="AO18" i="146"/>
  <c r="AO19" i="146"/>
  <c r="AO81" i="146"/>
  <c r="AO82" i="146"/>
  <c r="AO91" i="146"/>
  <c r="AP19" i="146"/>
  <c r="AP82" i="146"/>
  <c r="AP91" i="146"/>
  <c r="F85" i="105"/>
  <c r="G85" i="105"/>
  <c r="H85" i="105"/>
  <c r="I85" i="105"/>
  <c r="J85" i="105"/>
  <c r="K85" i="105"/>
  <c r="L85" i="105"/>
  <c r="M85" i="105"/>
  <c r="N85" i="105"/>
  <c r="O85" i="105"/>
  <c r="P85" i="105"/>
  <c r="Q85" i="105"/>
  <c r="R85" i="105"/>
  <c r="S85" i="105"/>
  <c r="T85" i="105"/>
  <c r="U85" i="105"/>
  <c r="V85" i="105"/>
  <c r="W85" i="105"/>
  <c r="X85" i="105"/>
  <c r="F85" i="104"/>
  <c r="G85" i="104"/>
  <c r="H85" i="104"/>
  <c r="I85" i="104"/>
  <c r="J85" i="104"/>
  <c r="K85" i="104"/>
  <c r="L85" i="104"/>
  <c r="M85" i="104"/>
  <c r="N85" i="104"/>
  <c r="O85" i="104"/>
  <c r="P85" i="104"/>
  <c r="Q85" i="104"/>
  <c r="R85" i="104"/>
  <c r="S85" i="104"/>
  <c r="T85" i="104"/>
  <c r="U85" i="104"/>
  <c r="V85" i="104"/>
  <c r="W85" i="104"/>
  <c r="X85" i="104"/>
  <c r="F85" i="103"/>
  <c r="G85" i="103"/>
  <c r="H85" i="103"/>
  <c r="I85" i="103"/>
  <c r="J85" i="103"/>
  <c r="K85" i="103"/>
  <c r="L85" i="103"/>
  <c r="M85" i="103"/>
  <c r="N85" i="103"/>
  <c r="O85" i="103"/>
  <c r="P85" i="103"/>
  <c r="Q85" i="103"/>
  <c r="R85" i="103"/>
  <c r="S85" i="103"/>
  <c r="T85" i="103"/>
  <c r="U85" i="103"/>
  <c r="V85" i="103"/>
  <c r="W85" i="103"/>
  <c r="X85" i="103"/>
  <c r="F85" i="93"/>
  <c r="G85" i="93"/>
  <c r="H85" i="93"/>
  <c r="I85" i="93"/>
  <c r="J85" i="93"/>
  <c r="K85" i="93"/>
  <c r="L85" i="93"/>
  <c r="M85" i="93"/>
  <c r="N85" i="93"/>
  <c r="O85" i="93"/>
  <c r="P85" i="93"/>
  <c r="Q85" i="93"/>
  <c r="R85" i="93"/>
  <c r="S85" i="93"/>
  <c r="T85" i="93"/>
  <c r="U85" i="93"/>
  <c r="V85" i="93"/>
  <c r="W85" i="93"/>
  <c r="X85" i="93"/>
  <c r="F85" i="120"/>
  <c r="G85" i="120"/>
  <c r="H85" i="120"/>
  <c r="I85" i="120"/>
  <c r="J85" i="120"/>
  <c r="K85" i="120"/>
  <c r="L85" i="120"/>
  <c r="M85" i="120"/>
  <c r="N85" i="120"/>
  <c r="O85" i="120"/>
  <c r="P85" i="120"/>
  <c r="Q85" i="120"/>
  <c r="R85" i="120"/>
  <c r="S85" i="120"/>
  <c r="T85" i="120"/>
  <c r="U85" i="120"/>
  <c r="V85" i="120"/>
  <c r="W85" i="120"/>
  <c r="X85" i="120"/>
  <c r="F85" i="119"/>
  <c r="G85" i="119"/>
  <c r="H85" i="119"/>
  <c r="I85" i="119"/>
  <c r="J85" i="119"/>
  <c r="K85" i="119"/>
  <c r="L85" i="119"/>
  <c r="M85" i="119"/>
  <c r="N85" i="119"/>
  <c r="O85" i="119"/>
  <c r="P85" i="119"/>
  <c r="Q85" i="119"/>
  <c r="R85" i="119"/>
  <c r="S85" i="119"/>
  <c r="T85" i="119"/>
  <c r="U85" i="119"/>
  <c r="V85" i="119"/>
  <c r="W85" i="119"/>
  <c r="X85" i="119"/>
  <c r="F85" i="118"/>
  <c r="G85" i="118"/>
  <c r="H85" i="118"/>
  <c r="I85" i="118"/>
  <c r="J85" i="118"/>
  <c r="K85" i="118"/>
  <c r="L85" i="118"/>
  <c r="M85" i="118"/>
  <c r="N85" i="118"/>
  <c r="O85" i="118"/>
  <c r="P85" i="118"/>
  <c r="Q85" i="118"/>
  <c r="R85" i="118"/>
  <c r="S85" i="118"/>
  <c r="T85" i="118"/>
  <c r="U85" i="118"/>
  <c r="V85" i="118"/>
  <c r="W85" i="118"/>
  <c r="X85" i="118"/>
  <c r="G85" i="117"/>
  <c r="H85" i="117"/>
  <c r="I85" i="117"/>
  <c r="J85" i="117"/>
  <c r="K85" i="117"/>
  <c r="L85" i="117"/>
  <c r="M85" i="117"/>
  <c r="N85" i="117"/>
  <c r="O85" i="117"/>
  <c r="P85" i="117"/>
  <c r="Q85" i="117"/>
  <c r="R85" i="117"/>
  <c r="S85" i="117"/>
  <c r="T85" i="117"/>
  <c r="U85" i="117"/>
  <c r="V85" i="117"/>
  <c r="W85" i="117"/>
  <c r="X85" i="117"/>
  <c r="F85" i="117"/>
  <c r="H25" i="14"/>
  <c r="I25" i="14"/>
  <c r="J25" i="14"/>
  <c r="K25" i="14"/>
  <c r="L25" i="14"/>
  <c r="M25" i="14"/>
  <c r="N25" i="14"/>
  <c r="O25" i="14"/>
  <c r="P25" i="14"/>
  <c r="Q25" i="14"/>
  <c r="R25" i="14"/>
  <c r="S25" i="14"/>
  <c r="T25" i="14"/>
  <c r="U25" i="14"/>
  <c r="V25" i="14"/>
  <c r="W25" i="14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U26" i="14"/>
  <c r="V26" i="14"/>
  <c r="W26" i="14"/>
  <c r="H27" i="14"/>
  <c r="I27" i="14"/>
  <c r="J27" i="14"/>
  <c r="K27" i="14"/>
  <c r="L27" i="14"/>
  <c r="M27" i="14"/>
  <c r="N27" i="14"/>
  <c r="O27" i="14"/>
  <c r="P27" i="14"/>
  <c r="Q27" i="14"/>
  <c r="R27" i="14"/>
  <c r="S27" i="14"/>
  <c r="T27" i="14"/>
  <c r="U27" i="14"/>
  <c r="V27" i="14"/>
  <c r="W27" i="14"/>
  <c r="H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U28" i="14"/>
  <c r="V28" i="14"/>
  <c r="W28" i="14"/>
  <c r="G28" i="14"/>
  <c r="G27" i="14"/>
  <c r="G26" i="14"/>
  <c r="G25" i="14"/>
  <c r="F26" i="14"/>
  <c r="F27" i="14"/>
  <c r="F28" i="14"/>
  <c r="F25" i="14"/>
  <c r="E26" i="14"/>
  <c r="E27" i="14"/>
  <c r="E28" i="14"/>
  <c r="E25" i="14"/>
  <c r="F81" i="117"/>
  <c r="F18" i="117"/>
  <c r="F82" i="117"/>
  <c r="F19" i="117"/>
  <c r="F83" i="117"/>
  <c r="F20" i="117"/>
  <c r="F84" i="117"/>
  <c r="G81" i="117"/>
  <c r="G18" i="117"/>
  <c r="G82" i="117"/>
  <c r="G19" i="117"/>
  <c r="G83" i="117"/>
  <c r="G20" i="117"/>
  <c r="G84" i="117"/>
  <c r="E81" i="117"/>
  <c r="E18" i="117"/>
  <c r="E82" i="117"/>
  <c r="E19" i="117"/>
  <c r="E83" i="117"/>
  <c r="E20" i="117"/>
  <c r="E84" i="117"/>
  <c r="D82" i="146"/>
  <c r="E82" i="146"/>
  <c r="F82" i="146"/>
  <c r="Q175" i="142"/>
  <c r="AK58" i="146"/>
  <c r="T20" i="148"/>
  <c r="I25" i="146"/>
  <c r="AK25" i="146"/>
  <c r="I27" i="146"/>
  <c r="I26" i="146"/>
  <c r="AK26" i="146"/>
  <c r="AK27" i="146"/>
  <c r="AK29" i="146"/>
  <c r="AK32" i="146"/>
  <c r="AK35" i="146"/>
  <c r="AK36" i="146"/>
  <c r="AK37" i="146"/>
  <c r="AK40" i="146"/>
  <c r="AK43" i="146"/>
  <c r="AK45" i="146"/>
  <c r="AK46" i="146"/>
  <c r="AK48" i="146"/>
  <c r="AK55" i="146"/>
  <c r="T19" i="148"/>
  <c r="T14" i="148"/>
  <c r="T7" i="148"/>
  <c r="Q174" i="138"/>
  <c r="AD58" i="146"/>
  <c r="R20" i="148"/>
  <c r="AD25" i="146"/>
  <c r="AD26" i="146"/>
  <c r="AD27" i="146"/>
  <c r="AD29" i="146"/>
  <c r="AD34" i="146"/>
  <c r="AD35" i="146"/>
  <c r="AD37" i="146"/>
  <c r="AD40" i="146"/>
  <c r="AD43" i="146"/>
  <c r="AD45" i="146"/>
  <c r="AD46" i="146"/>
  <c r="AD48" i="146"/>
  <c r="AD55" i="146"/>
  <c r="R19" i="148"/>
  <c r="R14" i="148"/>
  <c r="R7" i="148"/>
  <c r="W58" i="146"/>
  <c r="P20" i="148"/>
  <c r="W25" i="146"/>
  <c r="W26" i="146"/>
  <c r="W27" i="146"/>
  <c r="W28" i="146"/>
  <c r="W29" i="146"/>
  <c r="W35" i="146"/>
  <c r="W36" i="146"/>
  <c r="W37" i="146"/>
  <c r="W40" i="146"/>
  <c r="W43" i="146"/>
  <c r="W45" i="146"/>
  <c r="W46" i="146"/>
  <c r="W48" i="146"/>
  <c r="W55" i="146"/>
  <c r="W57" i="146"/>
  <c r="P19" i="148"/>
  <c r="P14" i="148"/>
  <c r="P7" i="148"/>
  <c r="P58" i="146"/>
  <c r="N20" i="148"/>
  <c r="P25" i="146"/>
  <c r="P26" i="146"/>
  <c r="P27" i="146"/>
  <c r="P28" i="146"/>
  <c r="P29" i="146"/>
  <c r="P31" i="146"/>
  <c r="P35" i="146"/>
  <c r="P36" i="146"/>
  <c r="P37" i="146"/>
  <c r="P40" i="146"/>
  <c r="P43" i="146"/>
  <c r="P44" i="146"/>
  <c r="P45" i="146"/>
  <c r="P46" i="146"/>
  <c r="P48" i="146"/>
  <c r="P55" i="146"/>
  <c r="P57" i="146"/>
  <c r="N19" i="148"/>
  <c r="N14" i="148"/>
  <c r="N7" i="148"/>
  <c r="N6" i="148"/>
  <c r="N5" i="148"/>
  <c r="L58" i="146"/>
  <c r="J20" i="148"/>
  <c r="L25" i="146"/>
  <c r="L26" i="146"/>
  <c r="L27" i="146"/>
  <c r="L28" i="146"/>
  <c r="L29" i="146"/>
  <c r="L31" i="146"/>
  <c r="L32" i="146"/>
  <c r="L35" i="146"/>
  <c r="L36" i="146"/>
  <c r="L37" i="146"/>
  <c r="L40" i="146"/>
  <c r="L43" i="146"/>
  <c r="L44" i="146"/>
  <c r="L45" i="146"/>
  <c r="L46" i="146"/>
  <c r="L48" i="146"/>
  <c r="L55" i="146"/>
  <c r="L57" i="146"/>
  <c r="J19" i="148"/>
  <c r="J14" i="148"/>
  <c r="J7" i="148"/>
  <c r="J6" i="148"/>
  <c r="J5" i="148"/>
  <c r="I58" i="146"/>
  <c r="F20" i="148"/>
  <c r="I28" i="146"/>
  <c r="I29" i="146"/>
  <c r="I31" i="146"/>
  <c r="I33" i="146"/>
  <c r="I35" i="146"/>
  <c r="I36" i="146"/>
  <c r="I37" i="146"/>
  <c r="I40" i="146"/>
  <c r="I43" i="146"/>
  <c r="I45" i="146"/>
  <c r="I46" i="146"/>
  <c r="I48" i="146"/>
  <c r="I55" i="146"/>
  <c r="I57" i="146"/>
  <c r="F19" i="148"/>
  <c r="C58" i="146"/>
  <c r="F58" i="146"/>
  <c r="C20" i="148"/>
  <c r="F25" i="146"/>
  <c r="F26" i="146"/>
  <c r="F27" i="146"/>
  <c r="F28" i="146"/>
  <c r="F29" i="146"/>
  <c r="F30" i="146"/>
  <c r="F31" i="146"/>
  <c r="F32" i="146"/>
  <c r="F33" i="146"/>
  <c r="F34" i="146"/>
  <c r="F35" i="146"/>
  <c r="F36" i="146"/>
  <c r="F37" i="146"/>
  <c r="F38" i="146"/>
  <c r="F39" i="146"/>
  <c r="C40" i="146"/>
  <c r="F40" i="146"/>
  <c r="F48" i="146"/>
  <c r="F57" i="146"/>
  <c r="C19" i="148"/>
  <c r="F7" i="148"/>
  <c r="F6" i="148"/>
  <c r="F5" i="148"/>
  <c r="F16" i="148"/>
  <c r="C16" i="148"/>
  <c r="AM40" i="146"/>
  <c r="AO40" i="146"/>
  <c r="AM26" i="146"/>
  <c r="AM27" i="146"/>
  <c r="AM29" i="146"/>
  <c r="AM32" i="146"/>
  <c r="AM35" i="146"/>
  <c r="AM36" i="146"/>
  <c r="AM37" i="146"/>
  <c r="AM43" i="146"/>
  <c r="AM44" i="146"/>
  <c r="AM45" i="146"/>
  <c r="AM46" i="146"/>
  <c r="AO26" i="146"/>
  <c r="AO27" i="146"/>
  <c r="AO29" i="146"/>
  <c r="AO32" i="146"/>
  <c r="AO35" i="146"/>
  <c r="AO36" i="146"/>
  <c r="AO37" i="146"/>
  <c r="AO43" i="146"/>
  <c r="AO44" i="146"/>
  <c r="AO45" i="146"/>
  <c r="AO46" i="146"/>
  <c r="AF26" i="146"/>
  <c r="AF27" i="146"/>
  <c r="AF28" i="146"/>
  <c r="AF29" i="146"/>
  <c r="AF30" i="146"/>
  <c r="AF31" i="146"/>
  <c r="AF32" i="146"/>
  <c r="AF33" i="146"/>
  <c r="AF34" i="146"/>
  <c r="AF35" i="146"/>
  <c r="AF36" i="146"/>
  <c r="AF37" i="146"/>
  <c r="AF38" i="146"/>
  <c r="AF39" i="146"/>
  <c r="AF40" i="146"/>
  <c r="AF41" i="146"/>
  <c r="AF42" i="146"/>
  <c r="AF43" i="146"/>
  <c r="AF44" i="146"/>
  <c r="AF45" i="146"/>
  <c r="AF46" i="146"/>
  <c r="AH26" i="146"/>
  <c r="AH27" i="146"/>
  <c r="AH28" i="146"/>
  <c r="AH29" i="146"/>
  <c r="AH30" i="146"/>
  <c r="AH31" i="146"/>
  <c r="AH32" i="146"/>
  <c r="AH33" i="146"/>
  <c r="AH34" i="146"/>
  <c r="AH35" i="146"/>
  <c r="AH36" i="146"/>
  <c r="AH37" i="146"/>
  <c r="AH38" i="146"/>
  <c r="AH39" i="146"/>
  <c r="AH40" i="146"/>
  <c r="AH41" i="146"/>
  <c r="AH42" i="146"/>
  <c r="AH43" i="146"/>
  <c r="AH44" i="146"/>
  <c r="AH45" i="146"/>
  <c r="AH46" i="146"/>
  <c r="W49" i="146"/>
  <c r="P49" i="146"/>
  <c r="L49" i="146"/>
  <c r="I49" i="146"/>
  <c r="B78" i="145"/>
  <c r="D78" i="145"/>
  <c r="B67" i="145"/>
  <c r="D67" i="145"/>
  <c r="D56" i="145"/>
  <c r="B55" i="145"/>
  <c r="D45" i="145"/>
  <c r="B44" i="145"/>
  <c r="B33" i="145"/>
  <c r="D23" i="145"/>
  <c r="B22" i="145"/>
  <c r="D12" i="145"/>
  <c r="B11" i="145"/>
  <c r="B53" i="145"/>
  <c r="B42" i="145"/>
  <c r="B31" i="145"/>
  <c r="B20" i="145"/>
  <c r="B9" i="145"/>
  <c r="B73" i="145"/>
  <c r="B62" i="145"/>
  <c r="B51" i="145"/>
  <c r="B40" i="145"/>
  <c r="B29" i="145"/>
  <c r="B18" i="145"/>
  <c r="B7" i="145"/>
  <c r="C48" i="146"/>
  <c r="C57" i="146"/>
  <c r="C51" i="146"/>
  <c r="AP46" i="146"/>
  <c r="AN46" i="146"/>
  <c r="AP45" i="146"/>
  <c r="AN45" i="146"/>
  <c r="AL45" i="146"/>
  <c r="AL46" i="146"/>
  <c r="AG46" i="146"/>
  <c r="AI46" i="146"/>
  <c r="AG45" i="146"/>
  <c r="AI45" i="146"/>
  <c r="AE45" i="146"/>
  <c r="AE46" i="146"/>
  <c r="Y46" i="146"/>
  <c r="AA46" i="146"/>
  <c r="AB46" i="146"/>
  <c r="Z46" i="146"/>
  <c r="Y45" i="146"/>
  <c r="Z45" i="146"/>
  <c r="AA45" i="146"/>
  <c r="AB45" i="146"/>
  <c r="X45" i="146"/>
  <c r="X46" i="146"/>
  <c r="R46" i="146"/>
  <c r="S46" i="146"/>
  <c r="T46" i="146"/>
  <c r="U46" i="146"/>
  <c r="R45" i="146"/>
  <c r="S45" i="146"/>
  <c r="T45" i="146"/>
  <c r="U45" i="146"/>
  <c r="Q45" i="146"/>
  <c r="Q46" i="146"/>
  <c r="M45" i="146"/>
  <c r="M46" i="146"/>
  <c r="J45" i="146"/>
  <c r="J46" i="146"/>
  <c r="H46" i="146"/>
  <c r="H45" i="146"/>
  <c r="XFD9" i="145"/>
  <c r="XFD20" i="145"/>
  <c r="XFD31" i="145"/>
  <c r="XFD42" i="145"/>
  <c r="XFD53" i="145"/>
  <c r="D64" i="145"/>
  <c r="XFD64" i="145"/>
  <c r="D75" i="145"/>
  <c r="XFD75" i="145"/>
  <c r="B6" i="145"/>
  <c r="B72" i="145"/>
  <c r="B61" i="145"/>
  <c r="B50" i="145"/>
  <c r="B39" i="145"/>
  <c r="B28" i="145"/>
  <c r="B17" i="145"/>
  <c r="B41" i="145"/>
  <c r="B74" i="145"/>
  <c r="B63" i="145"/>
  <c r="B52" i="145"/>
  <c r="B30" i="145"/>
  <c r="B19" i="145"/>
  <c r="B8" i="145"/>
  <c r="AD59" i="146"/>
  <c r="Q174" i="137"/>
  <c r="AF58" i="146"/>
  <c r="AF47" i="146"/>
  <c r="AF25" i="146"/>
  <c r="AF48" i="146"/>
  <c r="AF55" i="146"/>
  <c r="AF59" i="146"/>
  <c r="Q174" i="136"/>
  <c r="AH58" i="146"/>
  <c r="AH47" i="146"/>
  <c r="AH25" i="146"/>
  <c r="AH48" i="146"/>
  <c r="AH55" i="146"/>
  <c r="AH59" i="146"/>
  <c r="AK59" i="146"/>
  <c r="Q175" i="141"/>
  <c r="AM58" i="146"/>
  <c r="AM25" i="146"/>
  <c r="AM47" i="146"/>
  <c r="AM48" i="146"/>
  <c r="AM55" i="146"/>
  <c r="AM59" i="146"/>
  <c r="Q175" i="140"/>
  <c r="AO58" i="146"/>
  <c r="AO47" i="146"/>
  <c r="AO25" i="146"/>
  <c r="AO48" i="146"/>
  <c r="AO55" i="146"/>
  <c r="AO59" i="146"/>
  <c r="Q172" i="129"/>
  <c r="Q172" i="134"/>
  <c r="Q175" i="134"/>
  <c r="W59" i="146"/>
  <c r="Q172" i="133"/>
  <c r="Q175" i="133"/>
  <c r="Y58" i="146"/>
  <c r="Y40" i="146"/>
  <c r="Y28" i="146"/>
  <c r="Y29" i="146"/>
  <c r="Y30" i="146"/>
  <c r="Y31" i="146"/>
  <c r="Y32" i="146"/>
  <c r="Y33" i="146"/>
  <c r="Y34" i="146"/>
  <c r="Y35" i="146"/>
  <c r="Y36" i="146"/>
  <c r="Y37" i="146"/>
  <c r="Y38" i="146"/>
  <c r="Y39" i="146"/>
  <c r="Y41" i="146"/>
  <c r="Y42" i="146"/>
  <c r="Y43" i="146"/>
  <c r="Y44" i="146"/>
  <c r="Y25" i="146"/>
  <c r="Y26" i="146"/>
  <c r="Y27" i="146"/>
  <c r="Y48" i="146"/>
  <c r="Y55" i="146"/>
  <c r="Y57" i="146"/>
  <c r="Y59" i="146"/>
  <c r="Q175" i="129"/>
  <c r="AA58" i="146"/>
  <c r="AA40" i="146"/>
  <c r="AA28" i="146"/>
  <c r="AA29" i="146"/>
  <c r="AA30" i="146"/>
  <c r="AA31" i="146"/>
  <c r="AA32" i="146"/>
  <c r="AA33" i="146"/>
  <c r="AA34" i="146"/>
  <c r="AA35" i="146"/>
  <c r="AA36" i="146"/>
  <c r="AA37" i="146"/>
  <c r="AA38" i="146"/>
  <c r="AA39" i="146"/>
  <c r="AA41" i="146"/>
  <c r="AA42" i="146"/>
  <c r="AA43" i="146"/>
  <c r="AA44" i="146"/>
  <c r="AA25" i="146"/>
  <c r="AA26" i="146"/>
  <c r="AA27" i="146"/>
  <c r="AA48" i="146"/>
  <c r="AA55" i="146"/>
  <c r="AA57" i="146"/>
  <c r="AA59" i="146"/>
  <c r="Q171" i="128"/>
  <c r="Q171" i="130"/>
  <c r="Q174" i="130"/>
  <c r="R58" i="146"/>
  <c r="R40" i="146"/>
  <c r="R25" i="146"/>
  <c r="R26" i="146"/>
  <c r="R27" i="146"/>
  <c r="R28" i="146"/>
  <c r="R29" i="146"/>
  <c r="R30" i="146"/>
  <c r="R31" i="146"/>
  <c r="R32" i="146"/>
  <c r="R33" i="146"/>
  <c r="R34" i="146"/>
  <c r="R35" i="146"/>
  <c r="R36" i="146"/>
  <c r="R37" i="146"/>
  <c r="R38" i="146"/>
  <c r="R39" i="146"/>
  <c r="R41" i="146"/>
  <c r="R42" i="146"/>
  <c r="R43" i="146"/>
  <c r="R44" i="146"/>
  <c r="R47" i="146"/>
  <c r="R48" i="146"/>
  <c r="R55" i="146"/>
  <c r="R57" i="146"/>
  <c r="R59" i="146"/>
  <c r="Q174" i="128"/>
  <c r="T58" i="146"/>
  <c r="T40" i="146"/>
  <c r="T25" i="146"/>
  <c r="T26" i="146"/>
  <c r="T27" i="146"/>
  <c r="T28" i="146"/>
  <c r="T29" i="146"/>
  <c r="T30" i="146"/>
  <c r="T31" i="146"/>
  <c r="T32" i="146"/>
  <c r="T33" i="146"/>
  <c r="T34" i="146"/>
  <c r="T35" i="146"/>
  <c r="T36" i="146"/>
  <c r="T37" i="146"/>
  <c r="T38" i="146"/>
  <c r="T39" i="146"/>
  <c r="T41" i="146"/>
  <c r="T42" i="146"/>
  <c r="T43" i="146"/>
  <c r="T44" i="146"/>
  <c r="T47" i="146"/>
  <c r="T48" i="146"/>
  <c r="T55" i="146"/>
  <c r="T57" i="146"/>
  <c r="T59" i="146"/>
  <c r="Q171" i="131"/>
  <c r="Q174" i="131"/>
  <c r="P59" i="146"/>
  <c r="Q172" i="123"/>
  <c r="Q175" i="123"/>
  <c r="L59" i="146"/>
  <c r="Q171" i="122"/>
  <c r="Q174" i="122"/>
  <c r="I59" i="146"/>
  <c r="C52" i="146"/>
  <c r="C55" i="146"/>
  <c r="F59" i="146"/>
  <c r="AK66" i="146"/>
  <c r="AK67" i="146"/>
  <c r="AK69" i="146"/>
  <c r="AK70" i="146"/>
  <c r="AK71" i="146"/>
  <c r="AK73" i="146"/>
  <c r="AK74" i="146"/>
  <c r="AK75" i="146"/>
  <c r="AK78" i="146"/>
  <c r="AK80" i="146"/>
  <c r="AK88" i="146"/>
  <c r="AD66" i="146"/>
  <c r="AD67" i="146"/>
  <c r="AD69" i="146"/>
  <c r="AD71" i="146"/>
  <c r="AD73" i="146"/>
  <c r="AD74" i="146"/>
  <c r="AD75" i="146"/>
  <c r="AD80" i="146"/>
  <c r="AD88" i="146"/>
  <c r="W66" i="146"/>
  <c r="W67" i="146"/>
  <c r="W69" i="146"/>
  <c r="W70" i="146"/>
  <c r="W71" i="146"/>
  <c r="W73" i="146"/>
  <c r="W74" i="146"/>
  <c r="W75" i="146"/>
  <c r="W78" i="146"/>
  <c r="W80" i="146"/>
  <c r="W88" i="146"/>
  <c r="P66" i="146"/>
  <c r="P67" i="146"/>
  <c r="P69" i="146"/>
  <c r="P71" i="146"/>
  <c r="P73" i="146"/>
  <c r="P74" i="146"/>
  <c r="P75" i="146"/>
  <c r="P78" i="146"/>
  <c r="P80" i="146"/>
  <c r="P88" i="146"/>
  <c r="L66" i="146"/>
  <c r="L67" i="146"/>
  <c r="L69" i="146"/>
  <c r="L70" i="146"/>
  <c r="L71" i="146"/>
  <c r="L73" i="146"/>
  <c r="I74" i="146"/>
  <c r="L74" i="146"/>
  <c r="L75" i="146"/>
  <c r="L78" i="146"/>
  <c r="L80" i="146"/>
  <c r="L88" i="146"/>
  <c r="I66" i="146"/>
  <c r="I67" i="146"/>
  <c r="I69" i="146"/>
  <c r="I71" i="146"/>
  <c r="I73" i="146"/>
  <c r="I75" i="146"/>
  <c r="I78" i="146"/>
  <c r="I80" i="146"/>
  <c r="I81" i="146"/>
  <c r="I82" i="146"/>
  <c r="I88" i="146"/>
  <c r="D64" i="146"/>
  <c r="E64" i="146"/>
  <c r="F64" i="146"/>
  <c r="D65" i="146"/>
  <c r="E65" i="146"/>
  <c r="F65" i="146"/>
  <c r="D66" i="146"/>
  <c r="E66" i="146"/>
  <c r="F66" i="146"/>
  <c r="D67" i="146"/>
  <c r="E67" i="146"/>
  <c r="F67" i="146"/>
  <c r="D68" i="146"/>
  <c r="E68" i="146"/>
  <c r="F68" i="146"/>
  <c r="F69" i="146"/>
  <c r="D70" i="146"/>
  <c r="E70" i="146"/>
  <c r="F70" i="146"/>
  <c r="E71" i="146"/>
  <c r="F71" i="146"/>
  <c r="D72" i="146"/>
  <c r="E72" i="146"/>
  <c r="F72" i="146"/>
  <c r="F73" i="146"/>
  <c r="D74" i="146"/>
  <c r="E74" i="146"/>
  <c r="F74" i="146"/>
  <c r="D75" i="146"/>
  <c r="E75" i="146"/>
  <c r="F75" i="146"/>
  <c r="D76" i="146"/>
  <c r="E76" i="146"/>
  <c r="F76" i="146"/>
  <c r="D77" i="146"/>
  <c r="E77" i="146"/>
  <c r="F77" i="146"/>
  <c r="D78" i="146"/>
  <c r="E78" i="146"/>
  <c r="F78" i="146"/>
  <c r="E79" i="146"/>
  <c r="F79" i="146"/>
  <c r="F80" i="146"/>
  <c r="F81" i="146"/>
  <c r="J16" i="148"/>
  <c r="N16" i="148"/>
  <c r="P16" i="148"/>
  <c r="T16" i="148"/>
  <c r="R16" i="148"/>
  <c r="E15" i="148"/>
  <c r="E52" i="14"/>
  <c r="F52" i="14"/>
  <c r="G52" i="14"/>
  <c r="O11" i="140"/>
  <c r="Q170" i="140"/>
  <c r="H52" i="14"/>
  <c r="P11" i="142"/>
  <c r="Q105" i="142"/>
  <c r="Q106" i="142"/>
  <c r="Q109" i="142"/>
  <c r="E51" i="14"/>
  <c r="F51" i="14"/>
  <c r="G51" i="14"/>
  <c r="H51" i="14"/>
  <c r="H38" i="98"/>
  <c r="H39" i="98"/>
  <c r="Q98" i="142"/>
  <c r="O11" i="142"/>
  <c r="Q76" i="142"/>
  <c r="Q77" i="142"/>
  <c r="Q78" i="142"/>
  <c r="Q79" i="142"/>
  <c r="Q80" i="142"/>
  <c r="Q90" i="142"/>
  <c r="Q82" i="142"/>
  <c r="Q83" i="142"/>
  <c r="Q84" i="142"/>
  <c r="Q91" i="142"/>
  <c r="Q92" i="142"/>
  <c r="Q93" i="142"/>
  <c r="Q99" i="142"/>
  <c r="Q150" i="142"/>
  <c r="Q151" i="142"/>
  <c r="Q153" i="142"/>
  <c r="Q170" i="141"/>
  <c r="Q170" i="142"/>
  <c r="O11" i="136"/>
  <c r="Q169" i="136"/>
  <c r="P11" i="138"/>
  <c r="Q104" i="138"/>
  <c r="Q105" i="138"/>
  <c r="Q108" i="138"/>
  <c r="H27" i="98"/>
  <c r="H28" i="98"/>
  <c r="O11" i="138"/>
  <c r="Q76" i="138"/>
  <c r="Q77" i="138"/>
  <c r="Q78" i="138"/>
  <c r="Q79" i="138"/>
  <c r="Q87" i="138"/>
  <c r="Q89" i="138"/>
  <c r="Q81" i="138"/>
  <c r="Q82" i="138"/>
  <c r="Q83" i="138"/>
  <c r="Q90" i="138"/>
  <c r="Q91" i="138"/>
  <c r="Q92" i="138"/>
  <c r="Q93" i="138"/>
  <c r="Q149" i="138"/>
  <c r="Q150" i="138"/>
  <c r="Q152" i="138"/>
  <c r="Q169" i="137"/>
  <c r="Q169" i="138"/>
  <c r="O11" i="129"/>
  <c r="Q170" i="129"/>
  <c r="P11" i="131"/>
  <c r="Q104" i="131"/>
  <c r="Q105" i="131"/>
  <c r="Q108" i="131"/>
  <c r="Q98" i="134"/>
  <c r="O11" i="134"/>
  <c r="Q76" i="134"/>
  <c r="Q77" i="134"/>
  <c r="Q78" i="134"/>
  <c r="Q79" i="134"/>
  <c r="Q80" i="134"/>
  <c r="P11" i="134"/>
  <c r="Q90" i="134"/>
  <c r="Q82" i="134"/>
  <c r="Q83" i="134"/>
  <c r="Q84" i="134"/>
  <c r="Q91" i="134"/>
  <c r="Q92" i="134"/>
  <c r="Q93" i="134"/>
  <c r="Q99" i="134"/>
  <c r="Q150" i="134"/>
  <c r="Q151" i="134"/>
  <c r="Q153" i="134"/>
  <c r="Q170" i="133"/>
  <c r="Q170" i="134"/>
  <c r="O11" i="128"/>
  <c r="Q169" i="128"/>
  <c r="P11" i="130"/>
  <c r="Q104" i="130"/>
  <c r="Q105" i="130"/>
  <c r="Q108" i="130"/>
  <c r="Q97" i="130"/>
  <c r="O11" i="130"/>
  <c r="Q76" i="130"/>
  <c r="Q77" i="130"/>
  <c r="Q78" i="130"/>
  <c r="Q79" i="130"/>
  <c r="Q87" i="130"/>
  <c r="Q89" i="130"/>
  <c r="Q81" i="130"/>
  <c r="Q82" i="130"/>
  <c r="Q83" i="130"/>
  <c r="Q90" i="130"/>
  <c r="Q91" i="130"/>
  <c r="Q92" i="130"/>
  <c r="Q93" i="130"/>
  <c r="Q98" i="130"/>
  <c r="Q100" i="130"/>
  <c r="Q149" i="130"/>
  <c r="Q150" i="130"/>
  <c r="Q152" i="130"/>
  <c r="Q169" i="130"/>
  <c r="Q169" i="131"/>
  <c r="Q97" i="131"/>
  <c r="O11" i="131"/>
  <c r="Q76" i="131"/>
  <c r="Q77" i="131"/>
  <c r="Q78" i="131"/>
  <c r="Q79" i="131"/>
  <c r="Q87" i="131"/>
  <c r="Q89" i="131"/>
  <c r="Q81" i="131"/>
  <c r="Q82" i="131"/>
  <c r="Q83" i="131"/>
  <c r="Q90" i="131"/>
  <c r="Q91" i="131"/>
  <c r="Q92" i="131"/>
  <c r="Q93" i="131"/>
  <c r="Q98" i="131"/>
  <c r="Q100" i="131"/>
  <c r="Q149" i="131"/>
  <c r="Q150" i="131"/>
  <c r="Q152" i="131"/>
  <c r="O11" i="123"/>
  <c r="Q170" i="123"/>
  <c r="P11" i="123"/>
  <c r="Q105" i="123"/>
  <c r="Q106" i="123"/>
  <c r="Q109" i="123"/>
  <c r="Q98" i="123"/>
  <c r="Q76" i="123"/>
  <c r="Q77" i="123"/>
  <c r="Q78" i="123"/>
  <c r="Q79" i="123"/>
  <c r="Q80" i="123"/>
  <c r="Q90" i="123"/>
  <c r="Q82" i="123"/>
  <c r="Q83" i="123"/>
  <c r="Q84" i="123"/>
  <c r="Q91" i="123"/>
  <c r="Q92" i="123"/>
  <c r="Q93" i="123"/>
  <c r="Q99" i="123"/>
  <c r="Q150" i="123"/>
  <c r="Q151" i="123"/>
  <c r="Q153" i="123"/>
  <c r="O11" i="122"/>
  <c r="Q169" i="122"/>
  <c r="P11" i="122"/>
  <c r="Q108" i="122"/>
  <c r="Q97" i="122"/>
  <c r="Q76" i="122"/>
  <c r="Q77" i="122"/>
  <c r="Q78" i="122"/>
  <c r="Q79" i="122"/>
  <c r="Q87" i="122"/>
  <c r="Q89" i="122"/>
  <c r="Q81" i="122"/>
  <c r="Q82" i="122"/>
  <c r="Q83" i="122"/>
  <c r="Q90" i="122"/>
  <c r="Q91" i="122"/>
  <c r="Q92" i="122"/>
  <c r="Q93" i="122"/>
  <c r="Q98" i="122"/>
  <c r="Q100" i="122"/>
  <c r="Q120" i="122"/>
  <c r="Q121" i="122"/>
  <c r="Q122" i="122"/>
  <c r="Q123" i="122"/>
  <c r="Q129" i="122"/>
  <c r="Q131" i="122"/>
  <c r="Q135" i="122"/>
  <c r="Q136" i="122"/>
  <c r="Q137" i="122"/>
  <c r="Q138" i="122"/>
  <c r="Q139" i="122"/>
  <c r="Q140" i="122"/>
  <c r="Q146" i="122"/>
  <c r="Q149" i="122"/>
  <c r="Q150" i="122"/>
  <c r="Q152" i="122"/>
  <c r="Q154" i="122"/>
  <c r="I19" i="14"/>
  <c r="I22" i="14"/>
  <c r="I31" i="14"/>
  <c r="I34" i="14"/>
  <c r="B152" i="94"/>
  <c r="B167" i="94"/>
  <c r="B169" i="94"/>
  <c r="H127" i="94"/>
  <c r="H128" i="94"/>
  <c r="I35" i="14"/>
  <c r="I38" i="14"/>
  <c r="I44" i="14"/>
  <c r="I45" i="14"/>
  <c r="B132" i="95"/>
  <c r="H93" i="95"/>
  <c r="H94" i="95"/>
  <c r="H90" i="95"/>
  <c r="J105" i="93"/>
  <c r="J106" i="93"/>
  <c r="Q76" i="140"/>
  <c r="Q77" i="140"/>
  <c r="Q78" i="140"/>
  <c r="Q79" i="140"/>
  <c r="Q80" i="140"/>
  <c r="P11" i="140"/>
  <c r="Q90" i="140"/>
  <c r="Q82" i="140"/>
  <c r="Q83" i="140"/>
  <c r="Q84" i="140"/>
  <c r="Q91" i="140"/>
  <c r="Q92" i="140"/>
  <c r="Q93" i="140"/>
  <c r="Q105" i="140"/>
  <c r="Q106" i="140"/>
  <c r="Q109" i="140"/>
  <c r="Q150" i="140"/>
  <c r="Q151" i="140"/>
  <c r="Q153" i="140"/>
  <c r="J157" i="93"/>
  <c r="J161" i="93"/>
  <c r="J169" i="93"/>
  <c r="J175" i="93"/>
  <c r="J99" i="103"/>
  <c r="J106" i="103"/>
  <c r="O11" i="141"/>
  <c r="Q76" i="141"/>
  <c r="Q77" i="141"/>
  <c r="Q78" i="141"/>
  <c r="Q79" i="141"/>
  <c r="Q80" i="141"/>
  <c r="P11" i="141"/>
  <c r="Q90" i="141"/>
  <c r="Q82" i="141"/>
  <c r="Q83" i="141"/>
  <c r="Q84" i="141"/>
  <c r="Q91" i="141"/>
  <c r="Q92" i="141"/>
  <c r="Q93" i="141"/>
  <c r="Q105" i="141"/>
  <c r="Q106" i="141"/>
  <c r="Q109" i="141"/>
  <c r="Q150" i="141"/>
  <c r="Q151" i="141"/>
  <c r="Q153" i="141"/>
  <c r="J157" i="103"/>
  <c r="J161" i="103"/>
  <c r="J169" i="103"/>
  <c r="J175" i="103"/>
  <c r="J106" i="104"/>
  <c r="J157" i="104"/>
  <c r="J161" i="104"/>
  <c r="J169" i="104"/>
  <c r="J175" i="104"/>
  <c r="H109" i="94"/>
  <c r="H110" i="94"/>
  <c r="J105" i="117"/>
  <c r="J106" i="117"/>
  <c r="Q76" i="136"/>
  <c r="Q77" i="136"/>
  <c r="Q78" i="136"/>
  <c r="Q79" i="136"/>
  <c r="P11" i="136"/>
  <c r="Q87" i="136"/>
  <c r="Q89" i="136"/>
  <c r="Q81" i="136"/>
  <c r="Q82" i="136"/>
  <c r="Q83" i="136"/>
  <c r="Q90" i="136"/>
  <c r="Q91" i="136"/>
  <c r="Q92" i="136"/>
  <c r="Q104" i="136"/>
  <c r="Q105" i="136"/>
  <c r="Q108" i="136"/>
  <c r="Q149" i="136"/>
  <c r="Q150" i="136"/>
  <c r="Q152" i="136"/>
  <c r="J157" i="117"/>
  <c r="J161" i="117"/>
  <c r="J169" i="117"/>
  <c r="J175" i="117"/>
  <c r="J106" i="118"/>
  <c r="O11" i="137"/>
  <c r="Q76" i="137"/>
  <c r="Q77" i="137"/>
  <c r="Q78" i="137"/>
  <c r="Q79" i="137"/>
  <c r="P11" i="137"/>
  <c r="Q87" i="137"/>
  <c r="Q89" i="137"/>
  <c r="Q81" i="137"/>
  <c r="Q82" i="137"/>
  <c r="Q83" i="137"/>
  <c r="Q90" i="137"/>
  <c r="Q91" i="137"/>
  <c r="Q92" i="137"/>
  <c r="Q104" i="137"/>
  <c r="Q105" i="137"/>
  <c r="Q108" i="137"/>
  <c r="Q149" i="137"/>
  <c r="Q150" i="137"/>
  <c r="Q152" i="137"/>
  <c r="J157" i="118"/>
  <c r="J161" i="118"/>
  <c r="J169" i="118"/>
  <c r="J175" i="118"/>
  <c r="J106" i="119"/>
  <c r="J157" i="119"/>
  <c r="J161" i="119"/>
  <c r="J169" i="119"/>
  <c r="J175" i="119"/>
  <c r="H91" i="94"/>
  <c r="H92" i="94"/>
  <c r="H67" i="95"/>
  <c r="H68" i="95"/>
  <c r="J104" i="96"/>
  <c r="J105" i="96"/>
  <c r="Q76" i="129"/>
  <c r="Q77" i="129"/>
  <c r="Q78" i="129"/>
  <c r="Q79" i="129"/>
  <c r="Q80" i="129"/>
  <c r="P11" i="129"/>
  <c r="Q90" i="129"/>
  <c r="Q82" i="129"/>
  <c r="Q83" i="129"/>
  <c r="Q84" i="129"/>
  <c r="Q91" i="129"/>
  <c r="Q92" i="129"/>
  <c r="Q93" i="129"/>
  <c r="Q105" i="129"/>
  <c r="Q106" i="129"/>
  <c r="Q109" i="129"/>
  <c r="Q150" i="129"/>
  <c r="Q151" i="129"/>
  <c r="Q153" i="129"/>
  <c r="J156" i="96"/>
  <c r="J160" i="96"/>
  <c r="J168" i="96"/>
  <c r="J174" i="96"/>
  <c r="J105" i="99"/>
  <c r="O11" i="133"/>
  <c r="Q76" i="133"/>
  <c r="Q77" i="133"/>
  <c r="Q78" i="133"/>
  <c r="Q79" i="133"/>
  <c r="Q80" i="133"/>
  <c r="P11" i="133"/>
  <c r="Q90" i="133"/>
  <c r="Q82" i="133"/>
  <c r="Q83" i="133"/>
  <c r="Q84" i="133"/>
  <c r="Q91" i="133"/>
  <c r="Q92" i="133"/>
  <c r="Q93" i="133"/>
  <c r="Q105" i="133"/>
  <c r="Q106" i="133"/>
  <c r="Q109" i="133"/>
  <c r="Q150" i="133"/>
  <c r="Q151" i="133"/>
  <c r="Q153" i="133"/>
  <c r="J156" i="99"/>
  <c r="J160" i="99"/>
  <c r="J168" i="99"/>
  <c r="J174" i="99"/>
  <c r="J105" i="101"/>
  <c r="Q105" i="134"/>
  <c r="Q106" i="134"/>
  <c r="Q109" i="134"/>
  <c r="J156" i="101"/>
  <c r="J160" i="101"/>
  <c r="J168" i="101"/>
  <c r="J174" i="101"/>
  <c r="H73" i="94"/>
  <c r="H74" i="94"/>
  <c r="H54" i="95"/>
  <c r="H55" i="95"/>
  <c r="J104" i="109"/>
  <c r="J105" i="109"/>
  <c r="Q76" i="128"/>
  <c r="Q77" i="128"/>
  <c r="Q78" i="128"/>
  <c r="Q79" i="128"/>
  <c r="P11" i="128"/>
  <c r="Q87" i="128"/>
  <c r="Q89" i="128"/>
  <c r="Q81" i="128"/>
  <c r="Q82" i="128"/>
  <c r="Q83" i="128"/>
  <c r="Q90" i="128"/>
  <c r="Q91" i="128"/>
  <c r="Q92" i="128"/>
  <c r="Q104" i="128"/>
  <c r="Q105" i="128"/>
  <c r="Q108" i="128"/>
  <c r="Q149" i="128"/>
  <c r="Q150" i="128"/>
  <c r="Q152" i="128"/>
  <c r="J156" i="109"/>
  <c r="J160" i="109"/>
  <c r="J168" i="109"/>
  <c r="J174" i="109"/>
  <c r="J105" i="110"/>
  <c r="J156" i="110"/>
  <c r="J160" i="110"/>
  <c r="J168" i="110"/>
  <c r="J174" i="110"/>
  <c r="J105" i="111"/>
  <c r="J156" i="111"/>
  <c r="J160" i="111"/>
  <c r="J168" i="111"/>
  <c r="J174" i="111"/>
  <c r="H37" i="94"/>
  <c r="H38" i="94"/>
  <c r="H28" i="95"/>
  <c r="H29" i="95"/>
  <c r="J105" i="108"/>
  <c r="J156" i="108"/>
  <c r="J160" i="108"/>
  <c r="J168" i="108"/>
  <c r="J174" i="108"/>
  <c r="H19" i="94"/>
  <c r="H20" i="94"/>
  <c r="H15" i="95"/>
  <c r="H16" i="95"/>
  <c r="J105" i="97"/>
  <c r="J125" i="97"/>
  <c r="J126" i="97"/>
  <c r="J128" i="97"/>
  <c r="J129" i="97"/>
  <c r="J130" i="97"/>
  <c r="J131" i="97"/>
  <c r="J133" i="97"/>
  <c r="J135" i="97"/>
  <c r="J127" i="97"/>
  <c r="J134" i="97"/>
  <c r="J136" i="97"/>
  <c r="J140" i="97"/>
  <c r="J141" i="97"/>
  <c r="J142" i="97"/>
  <c r="J144" i="97"/>
  <c r="J152" i="97"/>
  <c r="J156" i="97"/>
  <c r="J160" i="97"/>
  <c r="J164" i="97"/>
  <c r="J165" i="97"/>
  <c r="J167" i="97"/>
  <c r="J168" i="97"/>
  <c r="J174" i="97"/>
  <c r="D53" i="145"/>
  <c r="D42" i="145"/>
  <c r="E14" i="148"/>
  <c r="E13" i="148"/>
  <c r="E12" i="148"/>
  <c r="E11" i="148"/>
  <c r="E10" i="148"/>
  <c r="E9" i="148"/>
  <c r="E8" i="148"/>
  <c r="E6" i="148"/>
  <c r="E5" i="148"/>
  <c r="K25" i="146"/>
  <c r="J58" i="146"/>
  <c r="J82" i="146"/>
  <c r="J88" i="146"/>
  <c r="M58" i="146"/>
  <c r="M82" i="146"/>
  <c r="M88" i="146"/>
  <c r="Q58" i="146"/>
  <c r="R66" i="146"/>
  <c r="R67" i="146"/>
  <c r="R69" i="146"/>
  <c r="R71" i="146"/>
  <c r="R73" i="146"/>
  <c r="R74" i="146"/>
  <c r="R75" i="146"/>
  <c r="R78" i="146"/>
  <c r="R80" i="146"/>
  <c r="R64" i="146"/>
  <c r="R65" i="146"/>
  <c r="R88" i="146"/>
  <c r="S58" i="146"/>
  <c r="T66" i="146"/>
  <c r="T67" i="146"/>
  <c r="T69" i="146"/>
  <c r="T71" i="146"/>
  <c r="T73" i="146"/>
  <c r="T74" i="146"/>
  <c r="T75" i="146"/>
  <c r="T78" i="146"/>
  <c r="T80" i="146"/>
  <c r="T64" i="146"/>
  <c r="T65" i="146"/>
  <c r="T68" i="146"/>
  <c r="T70" i="146"/>
  <c r="T72" i="146"/>
  <c r="T76" i="146"/>
  <c r="T77" i="146"/>
  <c r="T79" i="146"/>
  <c r="T88" i="146"/>
  <c r="U58" i="146"/>
  <c r="U88" i="146"/>
  <c r="X58" i="146"/>
  <c r="X88" i="146"/>
  <c r="Y66" i="146"/>
  <c r="Y67" i="146"/>
  <c r="Y69" i="146"/>
  <c r="Y70" i="146"/>
  <c r="Y71" i="146"/>
  <c r="Y73" i="146"/>
  <c r="Y74" i="146"/>
  <c r="Y75" i="146"/>
  <c r="Y78" i="146"/>
  <c r="Y80" i="146"/>
  <c r="Y64" i="146"/>
  <c r="Y65" i="146"/>
  <c r="Y68" i="146"/>
  <c r="Y72" i="146"/>
  <c r="Y76" i="146"/>
  <c r="Y77" i="146"/>
  <c r="Y79" i="146"/>
  <c r="Y88" i="146"/>
  <c r="Z58" i="146"/>
  <c r="Z88" i="146"/>
  <c r="AA66" i="146"/>
  <c r="AA67" i="146"/>
  <c r="AA69" i="146"/>
  <c r="AA70" i="146"/>
  <c r="AA71" i="146"/>
  <c r="AA73" i="146"/>
  <c r="AA74" i="146"/>
  <c r="AA75" i="146"/>
  <c r="AA78" i="146"/>
  <c r="AA80" i="146"/>
  <c r="AA64" i="146"/>
  <c r="AA65" i="146"/>
  <c r="AA68" i="146"/>
  <c r="AA72" i="146"/>
  <c r="AA76" i="146"/>
  <c r="AA77" i="146"/>
  <c r="AA79" i="146"/>
  <c r="AA88" i="146"/>
  <c r="AB58" i="146"/>
  <c r="AB88" i="146"/>
  <c r="AE58" i="146"/>
  <c r="AE88" i="146"/>
  <c r="AF66" i="146"/>
  <c r="AF67" i="146"/>
  <c r="AF69" i="146"/>
  <c r="AF71" i="146"/>
  <c r="AF73" i="146"/>
  <c r="AF74" i="146"/>
  <c r="AF75" i="146"/>
  <c r="AF80" i="146"/>
  <c r="AF68" i="146"/>
  <c r="AF70" i="146"/>
  <c r="AF72" i="146"/>
  <c r="AF76" i="146"/>
  <c r="AF77" i="146"/>
  <c r="AF79" i="146"/>
  <c r="AF88" i="146"/>
  <c r="AG58" i="146"/>
  <c r="AG88" i="146"/>
  <c r="AH66" i="146"/>
  <c r="AH67" i="146"/>
  <c r="AH69" i="146"/>
  <c r="AH71" i="146"/>
  <c r="AH73" i="146"/>
  <c r="AH74" i="146"/>
  <c r="AH75" i="146"/>
  <c r="AH80" i="146"/>
  <c r="AH68" i="146"/>
  <c r="AH70" i="146"/>
  <c r="AH72" i="146"/>
  <c r="AH76" i="146"/>
  <c r="AH77" i="146"/>
  <c r="AH79" i="146"/>
  <c r="AH88" i="146"/>
  <c r="AI58" i="146"/>
  <c r="AI88" i="146"/>
  <c r="AL58" i="146"/>
  <c r="AL88" i="146"/>
  <c r="AM66" i="146"/>
  <c r="AM67" i="146"/>
  <c r="AM69" i="146"/>
  <c r="AM70" i="146"/>
  <c r="AM71" i="146"/>
  <c r="AM73" i="146"/>
  <c r="AM74" i="146"/>
  <c r="AM75" i="146"/>
  <c r="AM78" i="146"/>
  <c r="AM80" i="146"/>
  <c r="AM68" i="146"/>
  <c r="AM72" i="146"/>
  <c r="AM76" i="146"/>
  <c r="AM77" i="146"/>
  <c r="AM79" i="146"/>
  <c r="AM88" i="146"/>
  <c r="AN58" i="146"/>
  <c r="AN88" i="146"/>
  <c r="AO66" i="146"/>
  <c r="AO67" i="146"/>
  <c r="AO69" i="146"/>
  <c r="AO70" i="146"/>
  <c r="AO71" i="146"/>
  <c r="AO73" i="146"/>
  <c r="AO74" i="146"/>
  <c r="AO75" i="146"/>
  <c r="AO78" i="146"/>
  <c r="AO80" i="146"/>
  <c r="AO68" i="146"/>
  <c r="AO72" i="146"/>
  <c r="AO76" i="146"/>
  <c r="AO77" i="146"/>
  <c r="AO79" i="146"/>
  <c r="AO88" i="146"/>
  <c r="AP58" i="146"/>
  <c r="AP88" i="146"/>
  <c r="F88" i="146"/>
  <c r="AP25" i="146"/>
  <c r="AP26" i="146"/>
  <c r="AP27" i="146"/>
  <c r="AP28" i="146"/>
  <c r="AP29" i="146"/>
  <c r="AP30" i="146"/>
  <c r="AP31" i="146"/>
  <c r="AP32" i="146"/>
  <c r="AP33" i="146"/>
  <c r="AP34" i="146"/>
  <c r="AP35" i="146"/>
  <c r="AP36" i="146"/>
  <c r="AP37" i="146"/>
  <c r="AP38" i="146"/>
  <c r="AP39" i="146"/>
  <c r="AP40" i="146"/>
  <c r="AP41" i="146"/>
  <c r="AP42" i="146"/>
  <c r="AP43" i="146"/>
  <c r="AP44" i="146"/>
  <c r="AP47" i="146"/>
  <c r="AP48" i="146"/>
  <c r="AK51" i="146"/>
  <c r="AM51" i="146"/>
  <c r="AO51" i="146"/>
  <c r="F51" i="146"/>
  <c r="AP51" i="146"/>
  <c r="AK52" i="146"/>
  <c r="AM52" i="146"/>
  <c r="AO52" i="146"/>
  <c r="F52" i="146"/>
  <c r="AP52" i="146"/>
  <c r="AK53" i="146"/>
  <c r="AM53" i="146"/>
  <c r="AO53" i="146"/>
  <c r="F53" i="146"/>
  <c r="AP53" i="146"/>
  <c r="AK54" i="146"/>
  <c r="AM54" i="146"/>
  <c r="AO54" i="146"/>
  <c r="F54" i="146"/>
  <c r="AP54" i="146"/>
  <c r="D55" i="146"/>
  <c r="E55" i="146"/>
  <c r="F55" i="146"/>
  <c r="AP55" i="146"/>
  <c r="D48" i="146"/>
  <c r="D57" i="146"/>
  <c r="E48" i="146"/>
  <c r="E57" i="146"/>
  <c r="AP57" i="146"/>
  <c r="AP64" i="146"/>
  <c r="AP65" i="146"/>
  <c r="AP66" i="146"/>
  <c r="AP67" i="146"/>
  <c r="AP68" i="146"/>
  <c r="AP69" i="146"/>
  <c r="AP70" i="146"/>
  <c r="AP71" i="146"/>
  <c r="AP72" i="146"/>
  <c r="AP73" i="146"/>
  <c r="AP74" i="146"/>
  <c r="AP75" i="146"/>
  <c r="AP76" i="146"/>
  <c r="AP77" i="146"/>
  <c r="AP78" i="146"/>
  <c r="AP79" i="146"/>
  <c r="AP80" i="146"/>
  <c r="AP81" i="146"/>
  <c r="AO84" i="146"/>
  <c r="F84" i="146"/>
  <c r="AP84" i="146"/>
  <c r="AN25" i="146"/>
  <c r="AN26" i="146"/>
  <c r="AN27" i="146"/>
  <c r="AN28" i="146"/>
  <c r="AN29" i="146"/>
  <c r="AN30" i="146"/>
  <c r="AN31" i="146"/>
  <c r="AN32" i="146"/>
  <c r="AN33" i="146"/>
  <c r="AN34" i="146"/>
  <c r="AN35" i="146"/>
  <c r="AN36" i="146"/>
  <c r="AN37" i="146"/>
  <c r="AN38" i="146"/>
  <c r="AN39" i="146"/>
  <c r="AN40" i="146"/>
  <c r="AN41" i="146"/>
  <c r="AN42" i="146"/>
  <c r="AN43" i="146"/>
  <c r="AN44" i="146"/>
  <c r="AN47" i="146"/>
  <c r="AN48" i="146"/>
  <c r="AN51" i="146"/>
  <c r="AN52" i="146"/>
  <c r="AN53" i="146"/>
  <c r="AN54" i="146"/>
  <c r="AN55" i="146"/>
  <c r="AN57" i="146"/>
  <c r="AN64" i="146"/>
  <c r="AN65" i="146"/>
  <c r="AN66" i="146"/>
  <c r="AN67" i="146"/>
  <c r="AN68" i="146"/>
  <c r="AN69" i="146"/>
  <c r="AN70" i="146"/>
  <c r="AN71" i="146"/>
  <c r="AN72" i="146"/>
  <c r="AN73" i="146"/>
  <c r="AN74" i="146"/>
  <c r="AN75" i="146"/>
  <c r="AN76" i="146"/>
  <c r="AN77" i="146"/>
  <c r="AN78" i="146"/>
  <c r="AN79" i="146"/>
  <c r="AN80" i="146"/>
  <c r="AN81" i="146"/>
  <c r="I93" i="95"/>
  <c r="I94" i="95"/>
  <c r="I90" i="95"/>
  <c r="AM84" i="146"/>
  <c r="AN84" i="146"/>
  <c r="AL25" i="146"/>
  <c r="AL26" i="146"/>
  <c r="AL27" i="146"/>
  <c r="AL28" i="146"/>
  <c r="AL29" i="146"/>
  <c r="AL30" i="146"/>
  <c r="AL31" i="146"/>
  <c r="AL32" i="146"/>
  <c r="AL33" i="146"/>
  <c r="AL34" i="146"/>
  <c r="AL35" i="146"/>
  <c r="AL36" i="146"/>
  <c r="AL37" i="146"/>
  <c r="AL38" i="146"/>
  <c r="AL39" i="146"/>
  <c r="AL40" i="146"/>
  <c r="AL41" i="146"/>
  <c r="AL42" i="146"/>
  <c r="AL43" i="146"/>
  <c r="AL44" i="146"/>
  <c r="AL47" i="146"/>
  <c r="AL48" i="146"/>
  <c r="AL51" i="146"/>
  <c r="AL52" i="146"/>
  <c r="AL53" i="146"/>
  <c r="AL54" i="146"/>
  <c r="AL55" i="146"/>
  <c r="AL57" i="146"/>
  <c r="AL64" i="146"/>
  <c r="AL65" i="146"/>
  <c r="AL66" i="146"/>
  <c r="AL67" i="146"/>
  <c r="AL68" i="146"/>
  <c r="AL69" i="146"/>
  <c r="AL70" i="146"/>
  <c r="AL71" i="146"/>
  <c r="AL72" i="146"/>
  <c r="AL73" i="146"/>
  <c r="AL74" i="146"/>
  <c r="AL75" i="146"/>
  <c r="AL76" i="146"/>
  <c r="AL77" i="146"/>
  <c r="AL78" i="146"/>
  <c r="AL79" i="146"/>
  <c r="AL80" i="146"/>
  <c r="AK84" i="146"/>
  <c r="AL84" i="146"/>
  <c r="AI25" i="146"/>
  <c r="AI26" i="146"/>
  <c r="AI27" i="146"/>
  <c r="AI28" i="146"/>
  <c r="AI29" i="146"/>
  <c r="AI30" i="146"/>
  <c r="AI31" i="146"/>
  <c r="AI32" i="146"/>
  <c r="AI33" i="146"/>
  <c r="AI34" i="146"/>
  <c r="AI35" i="146"/>
  <c r="AI36" i="146"/>
  <c r="AI37" i="146"/>
  <c r="AI38" i="146"/>
  <c r="AI39" i="146"/>
  <c r="AI40" i="146"/>
  <c r="AI41" i="146"/>
  <c r="AI42" i="146"/>
  <c r="AI43" i="146"/>
  <c r="AI44" i="146"/>
  <c r="AI47" i="146"/>
  <c r="AI48" i="146"/>
  <c r="AD51" i="146"/>
  <c r="AF51" i="146"/>
  <c r="AH51" i="146"/>
  <c r="AI51" i="146"/>
  <c r="AD52" i="146"/>
  <c r="AF52" i="146"/>
  <c r="AH52" i="146"/>
  <c r="AI52" i="146"/>
  <c r="AD53" i="146"/>
  <c r="AF53" i="146"/>
  <c r="AH53" i="146"/>
  <c r="AI53" i="146"/>
  <c r="AD54" i="146"/>
  <c r="AF54" i="146"/>
  <c r="AH54" i="146"/>
  <c r="AI54" i="146"/>
  <c r="AI55" i="146"/>
  <c r="AI57" i="146"/>
  <c r="AI64" i="146"/>
  <c r="AI65" i="146"/>
  <c r="AI66" i="146"/>
  <c r="AI67" i="146"/>
  <c r="AI68" i="146"/>
  <c r="AI69" i="146"/>
  <c r="AI70" i="146"/>
  <c r="AI71" i="146"/>
  <c r="AI72" i="146"/>
  <c r="AI73" i="146"/>
  <c r="AI74" i="146"/>
  <c r="AI75" i="146"/>
  <c r="AI76" i="146"/>
  <c r="AI77" i="146"/>
  <c r="AI78" i="146"/>
  <c r="AI79" i="146"/>
  <c r="AI80" i="146"/>
  <c r="AI81" i="146"/>
  <c r="AH84" i="146"/>
  <c r="AI84" i="146"/>
  <c r="AG25" i="146"/>
  <c r="AG26" i="146"/>
  <c r="AG27" i="146"/>
  <c r="AG28" i="146"/>
  <c r="AG29" i="146"/>
  <c r="AG30" i="146"/>
  <c r="AG31" i="146"/>
  <c r="AG32" i="146"/>
  <c r="AG33" i="146"/>
  <c r="AG34" i="146"/>
  <c r="AG35" i="146"/>
  <c r="AG36" i="146"/>
  <c r="AG37" i="146"/>
  <c r="AG38" i="146"/>
  <c r="AG39" i="146"/>
  <c r="AG40" i="146"/>
  <c r="AG41" i="146"/>
  <c r="AG42" i="146"/>
  <c r="AG43" i="146"/>
  <c r="AG44" i="146"/>
  <c r="AG47" i="146"/>
  <c r="AG48" i="146"/>
  <c r="AG51" i="146"/>
  <c r="AG52" i="146"/>
  <c r="AG53" i="146"/>
  <c r="AG54" i="146"/>
  <c r="AG55" i="146"/>
  <c r="AG57" i="146"/>
  <c r="AG64" i="146"/>
  <c r="AG65" i="146"/>
  <c r="AG66" i="146"/>
  <c r="AG67" i="146"/>
  <c r="AG68" i="146"/>
  <c r="AG69" i="146"/>
  <c r="AG70" i="146"/>
  <c r="AG71" i="146"/>
  <c r="AG72" i="146"/>
  <c r="AG73" i="146"/>
  <c r="AG74" i="146"/>
  <c r="AG75" i="146"/>
  <c r="AG76" i="146"/>
  <c r="AG77" i="146"/>
  <c r="AG78" i="146"/>
  <c r="AG79" i="146"/>
  <c r="AG80" i="146"/>
  <c r="AG81" i="146"/>
  <c r="AF84" i="146"/>
  <c r="AG84" i="146"/>
  <c r="AE25" i="146"/>
  <c r="AE26" i="146"/>
  <c r="AE27" i="146"/>
  <c r="AE28" i="146"/>
  <c r="AE29" i="146"/>
  <c r="AE30" i="146"/>
  <c r="AE31" i="146"/>
  <c r="AE32" i="146"/>
  <c r="AE33" i="146"/>
  <c r="AE34" i="146"/>
  <c r="AE35" i="146"/>
  <c r="AE36" i="146"/>
  <c r="AE37" i="146"/>
  <c r="AE38" i="146"/>
  <c r="AE39" i="146"/>
  <c r="AE40" i="146"/>
  <c r="AE41" i="146"/>
  <c r="AE42" i="146"/>
  <c r="AE43" i="146"/>
  <c r="AE44" i="146"/>
  <c r="AE47" i="146"/>
  <c r="AE48" i="146"/>
  <c r="AE51" i="146"/>
  <c r="AE52" i="146"/>
  <c r="AE53" i="146"/>
  <c r="AE54" i="146"/>
  <c r="AE55" i="146"/>
  <c r="AE57" i="146"/>
  <c r="AE64" i="146"/>
  <c r="AE65" i="146"/>
  <c r="AE66" i="146"/>
  <c r="AE67" i="146"/>
  <c r="AE68" i="146"/>
  <c r="AE69" i="146"/>
  <c r="AE70" i="146"/>
  <c r="AE71" i="146"/>
  <c r="AE72" i="146"/>
  <c r="AE73" i="146"/>
  <c r="AE74" i="146"/>
  <c r="AE75" i="146"/>
  <c r="AE76" i="146"/>
  <c r="AE77" i="146"/>
  <c r="AE78" i="146"/>
  <c r="AE79" i="146"/>
  <c r="AE80" i="146"/>
  <c r="AE81" i="146"/>
  <c r="AD84" i="146"/>
  <c r="AE84" i="146"/>
  <c r="AB25" i="146"/>
  <c r="AB26" i="146"/>
  <c r="AB27" i="146"/>
  <c r="AB28" i="146"/>
  <c r="AB29" i="146"/>
  <c r="AB30" i="146"/>
  <c r="AB31" i="146"/>
  <c r="AB32" i="146"/>
  <c r="AB33" i="146"/>
  <c r="AB34" i="146"/>
  <c r="AB35" i="146"/>
  <c r="AB36" i="146"/>
  <c r="AB37" i="146"/>
  <c r="AB38" i="146"/>
  <c r="AB39" i="146"/>
  <c r="AB40" i="146"/>
  <c r="AB41" i="146"/>
  <c r="AB42" i="146"/>
  <c r="AB43" i="146"/>
  <c r="AB44" i="146"/>
  <c r="AB47" i="146"/>
  <c r="AB48" i="146"/>
  <c r="W51" i="146"/>
  <c r="Y51" i="146"/>
  <c r="AA51" i="146"/>
  <c r="AB51" i="146"/>
  <c r="W52" i="146"/>
  <c r="Y52" i="146"/>
  <c r="AA52" i="146"/>
  <c r="AB52" i="146"/>
  <c r="W53" i="146"/>
  <c r="Y53" i="146"/>
  <c r="AA53" i="146"/>
  <c r="AB53" i="146"/>
  <c r="W54" i="146"/>
  <c r="Y54" i="146"/>
  <c r="AA54" i="146"/>
  <c r="AB54" i="146"/>
  <c r="AB55" i="146"/>
  <c r="AB57" i="146"/>
  <c r="AB64" i="146"/>
  <c r="AB65" i="146"/>
  <c r="AB66" i="146"/>
  <c r="AB67" i="146"/>
  <c r="AB68" i="146"/>
  <c r="AB69" i="146"/>
  <c r="AB70" i="146"/>
  <c r="AB71" i="146"/>
  <c r="AB72" i="146"/>
  <c r="AB73" i="146"/>
  <c r="AB74" i="146"/>
  <c r="AB75" i="146"/>
  <c r="AB76" i="146"/>
  <c r="AB77" i="146"/>
  <c r="AB78" i="146"/>
  <c r="AB79" i="146"/>
  <c r="AB80" i="146"/>
  <c r="AB81" i="146"/>
  <c r="AA84" i="146"/>
  <c r="AB84" i="146"/>
  <c r="Z25" i="146"/>
  <c r="Z26" i="146"/>
  <c r="Z27" i="146"/>
  <c r="Z28" i="146"/>
  <c r="Z29" i="146"/>
  <c r="Z30" i="146"/>
  <c r="Z31" i="146"/>
  <c r="Z32" i="146"/>
  <c r="Z33" i="146"/>
  <c r="Z34" i="146"/>
  <c r="Z35" i="146"/>
  <c r="Z36" i="146"/>
  <c r="Z37" i="146"/>
  <c r="Z38" i="146"/>
  <c r="Z39" i="146"/>
  <c r="Z40" i="146"/>
  <c r="Z41" i="146"/>
  <c r="Z42" i="146"/>
  <c r="Z43" i="146"/>
  <c r="Z44" i="146"/>
  <c r="Z47" i="146"/>
  <c r="Z48" i="146"/>
  <c r="Z51" i="146"/>
  <c r="Z52" i="146"/>
  <c r="Z53" i="146"/>
  <c r="Z54" i="146"/>
  <c r="Z55" i="146"/>
  <c r="Z57" i="146"/>
  <c r="Z64" i="146"/>
  <c r="Z65" i="146"/>
  <c r="Z66" i="146"/>
  <c r="Z67" i="146"/>
  <c r="Z68" i="146"/>
  <c r="Z69" i="146"/>
  <c r="Z70" i="146"/>
  <c r="Z71" i="146"/>
  <c r="Z72" i="146"/>
  <c r="Z73" i="146"/>
  <c r="Z74" i="146"/>
  <c r="Z75" i="146"/>
  <c r="Z76" i="146"/>
  <c r="Z77" i="146"/>
  <c r="Z78" i="146"/>
  <c r="Z79" i="146"/>
  <c r="Z80" i="146"/>
  <c r="Z81" i="146"/>
  <c r="Y84" i="146"/>
  <c r="Z84" i="146"/>
  <c r="W84" i="146"/>
  <c r="X84" i="146"/>
  <c r="X25" i="146"/>
  <c r="X26" i="146"/>
  <c r="X27" i="146"/>
  <c r="X28" i="146"/>
  <c r="X29" i="146"/>
  <c r="X30" i="146"/>
  <c r="X31" i="146"/>
  <c r="X32" i="146"/>
  <c r="X33" i="146"/>
  <c r="X34" i="146"/>
  <c r="X35" i="146"/>
  <c r="X36" i="146"/>
  <c r="X37" i="146"/>
  <c r="X38" i="146"/>
  <c r="X39" i="146"/>
  <c r="X40" i="146"/>
  <c r="X41" i="146"/>
  <c r="X42" i="146"/>
  <c r="X43" i="146"/>
  <c r="X44" i="146"/>
  <c r="X47" i="146"/>
  <c r="X48" i="146"/>
  <c r="X51" i="146"/>
  <c r="X52" i="146"/>
  <c r="X53" i="146"/>
  <c r="X54" i="146"/>
  <c r="X55" i="146"/>
  <c r="X57" i="146"/>
  <c r="X64" i="146"/>
  <c r="X65" i="146"/>
  <c r="X66" i="146"/>
  <c r="X67" i="146"/>
  <c r="X68" i="146"/>
  <c r="X69" i="146"/>
  <c r="X70" i="146"/>
  <c r="X71" i="146"/>
  <c r="X72" i="146"/>
  <c r="X73" i="146"/>
  <c r="X74" i="146"/>
  <c r="X75" i="146"/>
  <c r="X76" i="146"/>
  <c r="X77" i="146"/>
  <c r="X78" i="146"/>
  <c r="X79" i="146"/>
  <c r="X80" i="146"/>
  <c r="X81" i="146"/>
  <c r="U25" i="146"/>
  <c r="U26" i="146"/>
  <c r="U27" i="146"/>
  <c r="U28" i="146"/>
  <c r="U29" i="146"/>
  <c r="U30" i="146"/>
  <c r="U31" i="146"/>
  <c r="U32" i="146"/>
  <c r="U33" i="146"/>
  <c r="U34" i="146"/>
  <c r="U35" i="146"/>
  <c r="U36" i="146"/>
  <c r="U37" i="146"/>
  <c r="U38" i="146"/>
  <c r="U39" i="146"/>
  <c r="U40" i="146"/>
  <c r="U41" i="146"/>
  <c r="U42" i="146"/>
  <c r="U43" i="146"/>
  <c r="U44" i="146"/>
  <c r="U47" i="146"/>
  <c r="U48" i="146"/>
  <c r="R51" i="146"/>
  <c r="T51" i="146"/>
  <c r="U51" i="146"/>
  <c r="R52" i="146"/>
  <c r="T52" i="146"/>
  <c r="U52" i="146"/>
  <c r="R53" i="146"/>
  <c r="T53" i="146"/>
  <c r="U53" i="146"/>
  <c r="R54" i="146"/>
  <c r="T54" i="146"/>
  <c r="U54" i="146"/>
  <c r="U55" i="146"/>
  <c r="U57" i="146"/>
  <c r="U64" i="146"/>
  <c r="U65" i="146"/>
  <c r="U66" i="146"/>
  <c r="U67" i="146"/>
  <c r="U68" i="146"/>
  <c r="U69" i="146"/>
  <c r="U70" i="146"/>
  <c r="U71" i="146"/>
  <c r="U72" i="146"/>
  <c r="U73" i="146"/>
  <c r="U74" i="146"/>
  <c r="U75" i="146"/>
  <c r="U76" i="146"/>
  <c r="U77" i="146"/>
  <c r="U78" i="146"/>
  <c r="U79" i="146"/>
  <c r="U80" i="146"/>
  <c r="U81" i="146"/>
  <c r="T84" i="146"/>
  <c r="U84" i="146"/>
  <c r="S25" i="146"/>
  <c r="S26" i="146"/>
  <c r="S27" i="146"/>
  <c r="S28" i="146"/>
  <c r="S29" i="146"/>
  <c r="S30" i="146"/>
  <c r="S31" i="146"/>
  <c r="S32" i="146"/>
  <c r="S33" i="146"/>
  <c r="S34" i="146"/>
  <c r="S35" i="146"/>
  <c r="S36" i="146"/>
  <c r="S37" i="146"/>
  <c r="S38" i="146"/>
  <c r="S39" i="146"/>
  <c r="S40" i="146"/>
  <c r="S41" i="146"/>
  <c r="S42" i="146"/>
  <c r="S43" i="146"/>
  <c r="S44" i="146"/>
  <c r="S47" i="146"/>
  <c r="S48" i="146"/>
  <c r="S51" i="146"/>
  <c r="S52" i="146"/>
  <c r="S53" i="146"/>
  <c r="S54" i="146"/>
  <c r="S55" i="146"/>
  <c r="S57" i="146"/>
  <c r="S64" i="146"/>
  <c r="S65" i="146"/>
  <c r="S66" i="146"/>
  <c r="S67" i="146"/>
  <c r="S68" i="146"/>
  <c r="S69" i="146"/>
  <c r="S70" i="146"/>
  <c r="S71" i="146"/>
  <c r="S72" i="146"/>
  <c r="S73" i="146"/>
  <c r="S74" i="146"/>
  <c r="S75" i="146"/>
  <c r="S76" i="146"/>
  <c r="S77" i="146"/>
  <c r="S78" i="146"/>
  <c r="S79" i="146"/>
  <c r="S80" i="146"/>
  <c r="S81" i="146"/>
  <c r="R84" i="146"/>
  <c r="S84" i="146"/>
  <c r="Q25" i="146"/>
  <c r="Q26" i="146"/>
  <c r="Q27" i="146"/>
  <c r="Q28" i="146"/>
  <c r="Q29" i="146"/>
  <c r="Q30" i="146"/>
  <c r="Q31" i="146"/>
  <c r="Q32" i="146"/>
  <c r="Q33" i="146"/>
  <c r="Q34" i="146"/>
  <c r="Q35" i="146"/>
  <c r="Q36" i="146"/>
  <c r="Q37" i="146"/>
  <c r="Q38" i="146"/>
  <c r="Q39" i="146"/>
  <c r="Q40" i="146"/>
  <c r="Q41" i="146"/>
  <c r="Q42" i="146"/>
  <c r="Q43" i="146"/>
  <c r="Q44" i="146"/>
  <c r="Q47" i="146"/>
  <c r="Q48" i="146"/>
  <c r="Q51" i="146"/>
  <c r="Q52" i="146"/>
  <c r="Q53" i="146"/>
  <c r="Q54" i="146"/>
  <c r="Q55" i="146"/>
  <c r="Q57" i="146"/>
  <c r="Q64" i="146"/>
  <c r="Q65" i="146"/>
  <c r="Q66" i="146"/>
  <c r="Q67" i="146"/>
  <c r="Q68" i="146"/>
  <c r="Q69" i="146"/>
  <c r="Q70" i="146"/>
  <c r="Q71" i="146"/>
  <c r="Q72" i="146"/>
  <c r="Q73" i="146"/>
  <c r="Q74" i="146"/>
  <c r="Q75" i="146"/>
  <c r="Q76" i="146"/>
  <c r="Q77" i="146"/>
  <c r="Q78" i="146"/>
  <c r="Q79" i="146"/>
  <c r="Q80" i="146"/>
  <c r="Q81" i="146"/>
  <c r="P84" i="146"/>
  <c r="Q84" i="146"/>
  <c r="M25" i="146"/>
  <c r="M26" i="146"/>
  <c r="M27" i="146"/>
  <c r="M28" i="146"/>
  <c r="M29" i="146"/>
  <c r="M30" i="146"/>
  <c r="M31" i="146"/>
  <c r="M32" i="146"/>
  <c r="M33" i="146"/>
  <c r="M34" i="146"/>
  <c r="M35" i="146"/>
  <c r="M36" i="146"/>
  <c r="M37" i="146"/>
  <c r="M38" i="146"/>
  <c r="M39" i="146"/>
  <c r="M40" i="146"/>
  <c r="M41" i="146"/>
  <c r="M42" i="146"/>
  <c r="M43" i="146"/>
  <c r="M44" i="146"/>
  <c r="M47" i="146"/>
  <c r="M48" i="146"/>
  <c r="M51" i="146"/>
  <c r="M52" i="146"/>
  <c r="M53" i="146"/>
  <c r="M54" i="146"/>
  <c r="M55" i="146"/>
  <c r="M57" i="146"/>
  <c r="M64" i="146"/>
  <c r="M65" i="146"/>
  <c r="M66" i="146"/>
  <c r="M67" i="146"/>
  <c r="M68" i="146"/>
  <c r="M69" i="146"/>
  <c r="M70" i="146"/>
  <c r="M71" i="146"/>
  <c r="M72" i="146"/>
  <c r="M73" i="146"/>
  <c r="M74" i="146"/>
  <c r="M75" i="146"/>
  <c r="M76" i="146"/>
  <c r="M77" i="146"/>
  <c r="M78" i="146"/>
  <c r="M79" i="146"/>
  <c r="M80" i="146"/>
  <c r="M81" i="146"/>
  <c r="L84" i="146"/>
  <c r="M84" i="146"/>
  <c r="I84" i="146"/>
  <c r="J84" i="146"/>
  <c r="J25" i="146"/>
  <c r="J26" i="146"/>
  <c r="J27" i="146"/>
  <c r="J28" i="146"/>
  <c r="J29" i="146"/>
  <c r="J30" i="146"/>
  <c r="J31" i="146"/>
  <c r="J32" i="146"/>
  <c r="J33" i="146"/>
  <c r="J34" i="146"/>
  <c r="J35" i="146"/>
  <c r="J36" i="146"/>
  <c r="J37" i="146"/>
  <c r="J38" i="146"/>
  <c r="J39" i="146"/>
  <c r="J40" i="146"/>
  <c r="J41" i="146"/>
  <c r="J42" i="146"/>
  <c r="J43" i="146"/>
  <c r="J44" i="146"/>
  <c r="J47" i="146"/>
  <c r="J48" i="146"/>
  <c r="J51" i="146"/>
  <c r="J52" i="146"/>
  <c r="J53" i="146"/>
  <c r="J54" i="146"/>
  <c r="J55" i="146"/>
  <c r="J57" i="146"/>
  <c r="J64" i="146"/>
  <c r="J65" i="146"/>
  <c r="J66" i="146"/>
  <c r="J67" i="146"/>
  <c r="J68" i="146"/>
  <c r="J69" i="146"/>
  <c r="J70" i="146"/>
  <c r="J71" i="146"/>
  <c r="J72" i="146"/>
  <c r="J73" i="146"/>
  <c r="J74" i="146"/>
  <c r="J75" i="146"/>
  <c r="J76" i="146"/>
  <c r="J77" i="146"/>
  <c r="J78" i="146"/>
  <c r="J79" i="146"/>
  <c r="J80" i="146"/>
  <c r="J81" i="146"/>
  <c r="AP6" i="146"/>
  <c r="AP7" i="146"/>
  <c r="AP8" i="146"/>
  <c r="AP9" i="146"/>
  <c r="AP10" i="146"/>
  <c r="AP11" i="146"/>
  <c r="AP12" i="146"/>
  <c r="AP13" i="146"/>
  <c r="AP14" i="146"/>
  <c r="AP15" i="146"/>
  <c r="AP16" i="146"/>
  <c r="AP17" i="146"/>
  <c r="AP18" i="146"/>
  <c r="AP5" i="146"/>
  <c r="AN6" i="146"/>
  <c r="AN7" i="146"/>
  <c r="AN8" i="146"/>
  <c r="AN9" i="146"/>
  <c r="AN10" i="146"/>
  <c r="AN11" i="146"/>
  <c r="AN12" i="146"/>
  <c r="AN13" i="146"/>
  <c r="AN14" i="146"/>
  <c r="AN15" i="146"/>
  <c r="AN16" i="146"/>
  <c r="AN17" i="146"/>
  <c r="AN18" i="146"/>
  <c r="AN5" i="146"/>
  <c r="AL6" i="146"/>
  <c r="AL7" i="146"/>
  <c r="AL8" i="146"/>
  <c r="AL9" i="146"/>
  <c r="AL10" i="146"/>
  <c r="AL11" i="146"/>
  <c r="AL12" i="146"/>
  <c r="AL13" i="146"/>
  <c r="AL14" i="146"/>
  <c r="AL15" i="146"/>
  <c r="AL16" i="146"/>
  <c r="AL17" i="146"/>
  <c r="AL18" i="146"/>
  <c r="AL5" i="146"/>
  <c r="AI6" i="146"/>
  <c r="AI7" i="146"/>
  <c r="AI8" i="146"/>
  <c r="AI9" i="146"/>
  <c r="AI10" i="146"/>
  <c r="AI11" i="146"/>
  <c r="AI12" i="146"/>
  <c r="AI13" i="146"/>
  <c r="AI14" i="146"/>
  <c r="AI15" i="146"/>
  <c r="AI16" i="146"/>
  <c r="AI17" i="146"/>
  <c r="AI18" i="146"/>
  <c r="AI5" i="146"/>
  <c r="AG6" i="146"/>
  <c r="AG7" i="146"/>
  <c r="AG8" i="146"/>
  <c r="AG9" i="146"/>
  <c r="AG10" i="146"/>
  <c r="AG11" i="146"/>
  <c r="AG12" i="146"/>
  <c r="AG13" i="146"/>
  <c r="AG14" i="146"/>
  <c r="AG15" i="146"/>
  <c r="AG16" i="146"/>
  <c r="AG17" i="146"/>
  <c r="AG18" i="146"/>
  <c r="AG5" i="146"/>
  <c r="AE6" i="146"/>
  <c r="AE7" i="146"/>
  <c r="AE8" i="146"/>
  <c r="AE9" i="146"/>
  <c r="AE10" i="146"/>
  <c r="AE11" i="146"/>
  <c r="AE12" i="146"/>
  <c r="AE13" i="146"/>
  <c r="AE14" i="146"/>
  <c r="AE15" i="146"/>
  <c r="AE16" i="146"/>
  <c r="AE17" i="146"/>
  <c r="AE18" i="146"/>
  <c r="AE5" i="146"/>
  <c r="AB6" i="146"/>
  <c r="AB7" i="146"/>
  <c r="AB8" i="146"/>
  <c r="AB9" i="146"/>
  <c r="AB10" i="146"/>
  <c r="AB11" i="146"/>
  <c r="AB12" i="146"/>
  <c r="AB13" i="146"/>
  <c r="AB14" i="146"/>
  <c r="AB15" i="146"/>
  <c r="AB16" i="146"/>
  <c r="AB17" i="146"/>
  <c r="AB18" i="146"/>
  <c r="AB5" i="146"/>
  <c r="Z6" i="146"/>
  <c r="Z7" i="146"/>
  <c r="Z8" i="146"/>
  <c r="Z9" i="146"/>
  <c r="Z10" i="146"/>
  <c r="Z11" i="146"/>
  <c r="Z12" i="146"/>
  <c r="Z13" i="146"/>
  <c r="Z14" i="146"/>
  <c r="Z15" i="146"/>
  <c r="Z16" i="146"/>
  <c r="Z17" i="146"/>
  <c r="Z18" i="146"/>
  <c r="Z5" i="146"/>
  <c r="X6" i="146"/>
  <c r="X7" i="146"/>
  <c r="X8" i="146"/>
  <c r="X9" i="146"/>
  <c r="X10" i="146"/>
  <c r="X11" i="146"/>
  <c r="X12" i="146"/>
  <c r="X13" i="146"/>
  <c r="X14" i="146"/>
  <c r="X15" i="146"/>
  <c r="X16" i="146"/>
  <c r="X17" i="146"/>
  <c r="X18" i="146"/>
  <c r="X5" i="146"/>
  <c r="U6" i="146"/>
  <c r="U7" i="146"/>
  <c r="U8" i="146"/>
  <c r="U9" i="146"/>
  <c r="U10" i="146"/>
  <c r="U11" i="146"/>
  <c r="U12" i="146"/>
  <c r="U13" i="146"/>
  <c r="U14" i="146"/>
  <c r="U15" i="146"/>
  <c r="U16" i="146"/>
  <c r="U17" i="146"/>
  <c r="U18" i="146"/>
  <c r="U5" i="146"/>
  <c r="S6" i="146"/>
  <c r="S7" i="146"/>
  <c r="S8" i="146"/>
  <c r="S9" i="146"/>
  <c r="S10" i="146"/>
  <c r="S11" i="146"/>
  <c r="S12" i="146"/>
  <c r="S13" i="146"/>
  <c r="S14" i="146"/>
  <c r="S15" i="146"/>
  <c r="S16" i="146"/>
  <c r="S17" i="146"/>
  <c r="S18" i="146"/>
  <c r="S5" i="146"/>
  <c r="Q6" i="146"/>
  <c r="Q7" i="146"/>
  <c r="Q8" i="146"/>
  <c r="Q9" i="146"/>
  <c r="Q10" i="146"/>
  <c r="Q11" i="146"/>
  <c r="Q12" i="146"/>
  <c r="Q13" i="146"/>
  <c r="Q14" i="146"/>
  <c r="Q15" i="146"/>
  <c r="Q16" i="146"/>
  <c r="Q17" i="146"/>
  <c r="Q18" i="146"/>
  <c r="Q5" i="146"/>
  <c r="M6" i="146"/>
  <c r="M7" i="146"/>
  <c r="M8" i="146"/>
  <c r="M9" i="146"/>
  <c r="M10" i="146"/>
  <c r="M11" i="146"/>
  <c r="M12" i="146"/>
  <c r="M13" i="146"/>
  <c r="M14" i="146"/>
  <c r="M15" i="146"/>
  <c r="M16" i="146"/>
  <c r="M17" i="146"/>
  <c r="M18" i="146"/>
  <c r="M19" i="146"/>
  <c r="M5" i="146"/>
  <c r="J6" i="146"/>
  <c r="J7" i="146"/>
  <c r="J8" i="146"/>
  <c r="J9" i="146"/>
  <c r="J10" i="146"/>
  <c r="J11" i="146"/>
  <c r="J12" i="146"/>
  <c r="J13" i="146"/>
  <c r="J14" i="146"/>
  <c r="J15" i="146"/>
  <c r="J16" i="146"/>
  <c r="J17" i="146"/>
  <c r="J18" i="146"/>
  <c r="J19" i="146"/>
  <c r="J5" i="146"/>
  <c r="O14" i="147"/>
  <c r="N14" i="147"/>
  <c r="M14" i="147"/>
  <c r="L14" i="147"/>
  <c r="K14" i="147"/>
  <c r="J14" i="147"/>
  <c r="I14" i="147"/>
  <c r="H14" i="147"/>
  <c r="G14" i="147"/>
  <c r="F14" i="147"/>
  <c r="E14" i="147"/>
  <c r="D14" i="147"/>
  <c r="E19" i="14"/>
  <c r="F12" i="93"/>
  <c r="F76" i="93"/>
  <c r="E22" i="14"/>
  <c r="F78" i="93"/>
  <c r="F81" i="93"/>
  <c r="F18" i="93"/>
  <c r="F82" i="93"/>
  <c r="F19" i="93"/>
  <c r="F83" i="93"/>
  <c r="F20" i="93"/>
  <c r="F84" i="93"/>
  <c r="E31" i="14"/>
  <c r="F88" i="93"/>
  <c r="E34" i="14"/>
  <c r="D127" i="94"/>
  <c r="D128" i="94"/>
  <c r="F57" i="93"/>
  <c r="F91" i="93"/>
  <c r="E44" i="14"/>
  <c r="F102" i="93"/>
  <c r="E45" i="14"/>
  <c r="F104" i="93"/>
  <c r="E35" i="14"/>
  <c r="F58" i="93"/>
  <c r="F92" i="93"/>
  <c r="D93" i="95"/>
  <c r="D94" i="95"/>
  <c r="D90" i="95"/>
  <c r="F99" i="93"/>
  <c r="F56" i="93"/>
  <c r="F95" i="93"/>
  <c r="F105" i="93"/>
  <c r="F106" i="93"/>
  <c r="F157" i="93"/>
  <c r="F161" i="93"/>
  <c r="F169" i="93"/>
  <c r="F175" i="93"/>
  <c r="D362" i="71"/>
  <c r="F19" i="14"/>
  <c r="G12" i="93"/>
  <c r="G76" i="93"/>
  <c r="F22" i="14"/>
  <c r="G78" i="93"/>
  <c r="G81" i="93"/>
  <c r="G18" i="93"/>
  <c r="G82" i="93"/>
  <c r="G19" i="93"/>
  <c r="G83" i="93"/>
  <c r="G20" i="93"/>
  <c r="G84" i="93"/>
  <c r="F31" i="14"/>
  <c r="G88" i="93"/>
  <c r="F34" i="14"/>
  <c r="E127" i="94"/>
  <c r="E128" i="94"/>
  <c r="G57" i="93"/>
  <c r="G91" i="93"/>
  <c r="F35" i="14"/>
  <c r="G58" i="93"/>
  <c r="G92" i="93"/>
  <c r="F44" i="14"/>
  <c r="G102" i="93"/>
  <c r="F45" i="14"/>
  <c r="G104" i="93"/>
  <c r="E93" i="95"/>
  <c r="E94" i="95"/>
  <c r="E90" i="95"/>
  <c r="G99" i="93"/>
  <c r="G56" i="93"/>
  <c r="G95" i="93"/>
  <c r="G105" i="93"/>
  <c r="G106" i="93"/>
  <c r="M11" i="140"/>
  <c r="N88" i="140"/>
  <c r="N89" i="140"/>
  <c r="N90" i="140"/>
  <c r="N91" i="140"/>
  <c r="N92" i="140"/>
  <c r="N93" i="140"/>
  <c r="N105" i="140"/>
  <c r="N106" i="140"/>
  <c r="N109" i="140"/>
  <c r="N97" i="140"/>
  <c r="E38" i="98"/>
  <c r="E39" i="98"/>
  <c r="G157" i="93"/>
  <c r="G161" i="93"/>
  <c r="G169" i="93"/>
  <c r="G175" i="93"/>
  <c r="E362" i="71"/>
  <c r="G19" i="14"/>
  <c r="H12" i="93"/>
  <c r="H76" i="93"/>
  <c r="G22" i="14"/>
  <c r="H78" i="93"/>
  <c r="H81" i="93"/>
  <c r="H18" i="93"/>
  <c r="H82" i="93"/>
  <c r="H19" i="93"/>
  <c r="H83" i="93"/>
  <c r="H20" i="93"/>
  <c r="H84" i="93"/>
  <c r="G31" i="14"/>
  <c r="H88" i="93"/>
  <c r="G34" i="14"/>
  <c r="F127" i="94"/>
  <c r="F128" i="94"/>
  <c r="H57" i="93"/>
  <c r="H91" i="93"/>
  <c r="G35" i="14"/>
  <c r="H58" i="93"/>
  <c r="H92" i="93"/>
  <c r="G38" i="14"/>
  <c r="H56" i="93"/>
  <c r="H95" i="93"/>
  <c r="G44" i="14"/>
  <c r="H102" i="93"/>
  <c r="G45" i="14"/>
  <c r="H104" i="93"/>
  <c r="F93" i="95"/>
  <c r="F94" i="95"/>
  <c r="F90" i="95"/>
  <c r="H99" i="93"/>
  <c r="H105" i="93"/>
  <c r="H106" i="93"/>
  <c r="O76" i="140"/>
  <c r="O77" i="140"/>
  <c r="O78" i="140"/>
  <c r="O79" i="140"/>
  <c r="O80" i="140"/>
  <c r="N11" i="140"/>
  <c r="O88" i="140"/>
  <c r="O89" i="140"/>
  <c r="O90" i="140"/>
  <c r="O82" i="140"/>
  <c r="O83" i="140"/>
  <c r="O84" i="140"/>
  <c r="O91" i="140"/>
  <c r="O92" i="140"/>
  <c r="O93" i="140"/>
  <c r="O105" i="140"/>
  <c r="O106" i="140"/>
  <c r="O109" i="140"/>
  <c r="O97" i="140"/>
  <c r="F38" i="98"/>
  <c r="F39" i="98"/>
  <c r="O150" i="140"/>
  <c r="O151" i="140"/>
  <c r="O153" i="140"/>
  <c r="H157" i="93"/>
  <c r="H161" i="93"/>
  <c r="O170" i="140"/>
  <c r="H169" i="93"/>
  <c r="H175" i="93"/>
  <c r="F362" i="71"/>
  <c r="H19" i="14"/>
  <c r="I12" i="93"/>
  <c r="I76" i="93"/>
  <c r="H22" i="14"/>
  <c r="I78" i="93"/>
  <c r="I81" i="93"/>
  <c r="I18" i="93"/>
  <c r="I82" i="93"/>
  <c r="I19" i="93"/>
  <c r="I83" i="93"/>
  <c r="I20" i="93"/>
  <c r="I84" i="93"/>
  <c r="H31" i="14"/>
  <c r="I88" i="93"/>
  <c r="H34" i="14"/>
  <c r="G127" i="94"/>
  <c r="G128" i="94"/>
  <c r="I57" i="93"/>
  <c r="I91" i="93"/>
  <c r="H35" i="14"/>
  <c r="I58" i="93"/>
  <c r="I92" i="93"/>
  <c r="H38" i="14"/>
  <c r="I56" i="93"/>
  <c r="I95" i="93"/>
  <c r="H44" i="14"/>
  <c r="I102" i="93"/>
  <c r="H45" i="14"/>
  <c r="I104" i="93"/>
  <c r="G93" i="95"/>
  <c r="G94" i="95"/>
  <c r="G90" i="95"/>
  <c r="I99" i="93"/>
  <c r="I105" i="93"/>
  <c r="I106" i="93"/>
  <c r="P76" i="140"/>
  <c r="P77" i="140"/>
  <c r="P78" i="140"/>
  <c r="P79" i="140"/>
  <c r="P80" i="140"/>
  <c r="P88" i="140"/>
  <c r="P89" i="140"/>
  <c r="P90" i="140"/>
  <c r="P82" i="140"/>
  <c r="P83" i="140"/>
  <c r="P84" i="140"/>
  <c r="P91" i="140"/>
  <c r="P92" i="140"/>
  <c r="P93" i="140"/>
  <c r="P105" i="140"/>
  <c r="P106" i="140"/>
  <c r="P109" i="140"/>
  <c r="P97" i="140"/>
  <c r="G38" i="98"/>
  <c r="G39" i="98"/>
  <c r="P150" i="140"/>
  <c r="P151" i="140"/>
  <c r="P153" i="140"/>
  <c r="I157" i="93"/>
  <c r="I161" i="93"/>
  <c r="P170" i="140"/>
  <c r="I169" i="93"/>
  <c r="I175" i="93"/>
  <c r="G362" i="71"/>
  <c r="H362" i="71"/>
  <c r="I51" i="14"/>
  <c r="J19" i="14"/>
  <c r="K12" i="93"/>
  <c r="K76" i="93"/>
  <c r="J22" i="14"/>
  <c r="K78" i="93"/>
  <c r="K81" i="93"/>
  <c r="K18" i="93"/>
  <c r="K82" i="93"/>
  <c r="K19" i="93"/>
  <c r="K83" i="93"/>
  <c r="K20" i="93"/>
  <c r="K84" i="93"/>
  <c r="J31" i="14"/>
  <c r="K88" i="93"/>
  <c r="J34" i="14"/>
  <c r="I127" i="94"/>
  <c r="I128" i="94"/>
  <c r="K57" i="93"/>
  <c r="K91" i="93"/>
  <c r="J35" i="14"/>
  <c r="K58" i="93"/>
  <c r="K92" i="93"/>
  <c r="J38" i="14"/>
  <c r="K56" i="93"/>
  <c r="K95" i="93"/>
  <c r="J44" i="14"/>
  <c r="K102" i="93"/>
  <c r="J45" i="14"/>
  <c r="K104" i="93"/>
  <c r="K99" i="93"/>
  <c r="K105" i="93"/>
  <c r="K106" i="93"/>
  <c r="R76" i="140"/>
  <c r="R77" i="140"/>
  <c r="R78" i="140"/>
  <c r="R79" i="140"/>
  <c r="R80" i="140"/>
  <c r="I52" i="14"/>
  <c r="Q11" i="140"/>
  <c r="R89" i="140"/>
  <c r="R90" i="140"/>
  <c r="R82" i="140"/>
  <c r="R83" i="140"/>
  <c r="R84" i="140"/>
  <c r="R91" i="140"/>
  <c r="R92" i="140"/>
  <c r="R93" i="140"/>
  <c r="R105" i="140"/>
  <c r="R106" i="140"/>
  <c r="R109" i="140"/>
  <c r="I38" i="98"/>
  <c r="I39" i="98"/>
  <c r="R150" i="140"/>
  <c r="R151" i="140"/>
  <c r="R153" i="140"/>
  <c r="K157" i="93"/>
  <c r="K161" i="93"/>
  <c r="R170" i="140"/>
  <c r="K169" i="93"/>
  <c r="K175" i="93"/>
  <c r="I362" i="71"/>
  <c r="J51" i="14"/>
  <c r="K19" i="14"/>
  <c r="L12" i="93"/>
  <c r="L76" i="93"/>
  <c r="K22" i="14"/>
  <c r="L78" i="93"/>
  <c r="L81" i="93"/>
  <c r="L18" i="93"/>
  <c r="L82" i="93"/>
  <c r="L19" i="93"/>
  <c r="L83" i="93"/>
  <c r="L20" i="93"/>
  <c r="L84" i="93"/>
  <c r="K31" i="14"/>
  <c r="L88" i="93"/>
  <c r="K34" i="14"/>
  <c r="J127" i="94"/>
  <c r="J128" i="94"/>
  <c r="L57" i="93"/>
  <c r="L91" i="93"/>
  <c r="K35" i="14"/>
  <c r="L58" i="93"/>
  <c r="L92" i="93"/>
  <c r="K38" i="14"/>
  <c r="L56" i="93"/>
  <c r="L95" i="93"/>
  <c r="K44" i="14"/>
  <c r="L102" i="93"/>
  <c r="K45" i="14"/>
  <c r="L104" i="93"/>
  <c r="J93" i="95"/>
  <c r="J94" i="95"/>
  <c r="J90" i="95"/>
  <c r="L99" i="93"/>
  <c r="L105" i="93"/>
  <c r="L106" i="93"/>
  <c r="S76" i="140"/>
  <c r="S77" i="140"/>
  <c r="S78" i="140"/>
  <c r="S79" i="140"/>
  <c r="S80" i="140"/>
  <c r="J52" i="14"/>
  <c r="R11" i="140"/>
  <c r="S89" i="140"/>
  <c r="S90" i="140"/>
  <c r="S82" i="140"/>
  <c r="S83" i="140"/>
  <c r="S84" i="140"/>
  <c r="S91" i="140"/>
  <c r="S92" i="140"/>
  <c r="S93" i="140"/>
  <c r="S105" i="140"/>
  <c r="S106" i="140"/>
  <c r="S109" i="140"/>
  <c r="S97" i="140"/>
  <c r="J38" i="98"/>
  <c r="J39" i="98"/>
  <c r="S150" i="140"/>
  <c r="S151" i="140"/>
  <c r="S153" i="140"/>
  <c r="L157" i="93"/>
  <c r="L161" i="93"/>
  <c r="S170" i="140"/>
  <c r="L169" i="93"/>
  <c r="L175" i="93"/>
  <c r="J362" i="71"/>
  <c r="K51" i="14"/>
  <c r="L19" i="14"/>
  <c r="M12" i="93"/>
  <c r="M76" i="93"/>
  <c r="L22" i="14"/>
  <c r="M78" i="93"/>
  <c r="M81" i="93"/>
  <c r="M18" i="93"/>
  <c r="M82" i="93"/>
  <c r="M19" i="93"/>
  <c r="M83" i="93"/>
  <c r="M20" i="93"/>
  <c r="M84" i="93"/>
  <c r="L31" i="14"/>
  <c r="M88" i="93"/>
  <c r="L34" i="14"/>
  <c r="K127" i="94"/>
  <c r="K128" i="94"/>
  <c r="M57" i="93"/>
  <c r="M91" i="93"/>
  <c r="L35" i="14"/>
  <c r="M58" i="93"/>
  <c r="M92" i="93"/>
  <c r="L38" i="14"/>
  <c r="M56" i="93"/>
  <c r="M95" i="93"/>
  <c r="L44" i="14"/>
  <c r="M102" i="93"/>
  <c r="L45" i="14"/>
  <c r="M104" i="93"/>
  <c r="K93" i="95"/>
  <c r="K94" i="95"/>
  <c r="K90" i="95"/>
  <c r="M99" i="93"/>
  <c r="M105" i="93"/>
  <c r="M106" i="93"/>
  <c r="T76" i="140"/>
  <c r="T77" i="140"/>
  <c r="T78" i="140"/>
  <c r="T79" i="140"/>
  <c r="T80" i="140"/>
  <c r="K52" i="14"/>
  <c r="S11" i="140"/>
  <c r="T89" i="140"/>
  <c r="T90" i="140"/>
  <c r="T82" i="140"/>
  <c r="T83" i="140"/>
  <c r="T84" i="140"/>
  <c r="T91" i="140"/>
  <c r="T92" i="140"/>
  <c r="T93" i="140"/>
  <c r="T105" i="140"/>
  <c r="T106" i="140"/>
  <c r="T109" i="140"/>
  <c r="T97" i="140"/>
  <c r="K38" i="98"/>
  <c r="K39" i="98"/>
  <c r="T150" i="140"/>
  <c r="T151" i="140"/>
  <c r="T153" i="140"/>
  <c r="M157" i="93"/>
  <c r="M161" i="93"/>
  <c r="T170" i="140"/>
  <c r="M169" i="93"/>
  <c r="M175" i="93"/>
  <c r="K362" i="71"/>
  <c r="L51" i="14"/>
  <c r="M19" i="14"/>
  <c r="N12" i="93"/>
  <c r="N76" i="93"/>
  <c r="M22" i="14"/>
  <c r="N78" i="93"/>
  <c r="N81" i="93"/>
  <c r="N18" i="93"/>
  <c r="N82" i="93"/>
  <c r="N19" i="93"/>
  <c r="N83" i="93"/>
  <c r="N20" i="93"/>
  <c r="N84" i="93"/>
  <c r="M31" i="14"/>
  <c r="N88" i="93"/>
  <c r="M34" i="14"/>
  <c r="L127" i="94"/>
  <c r="L128" i="94"/>
  <c r="N57" i="93"/>
  <c r="N91" i="93"/>
  <c r="M35" i="14"/>
  <c r="N58" i="93"/>
  <c r="N92" i="93"/>
  <c r="M38" i="14"/>
  <c r="N56" i="93"/>
  <c r="N95" i="93"/>
  <c r="M44" i="14"/>
  <c r="N102" i="93"/>
  <c r="M45" i="14"/>
  <c r="N104" i="93"/>
  <c r="L93" i="95"/>
  <c r="L94" i="95"/>
  <c r="L90" i="95"/>
  <c r="N99" i="93"/>
  <c r="N105" i="93"/>
  <c r="N106" i="93"/>
  <c r="U76" i="140"/>
  <c r="U77" i="140"/>
  <c r="U78" i="140"/>
  <c r="U79" i="140"/>
  <c r="U80" i="140"/>
  <c r="L52" i="14"/>
  <c r="T11" i="140"/>
  <c r="U89" i="140"/>
  <c r="U90" i="140"/>
  <c r="U82" i="140"/>
  <c r="U83" i="140"/>
  <c r="U84" i="140"/>
  <c r="U91" i="140"/>
  <c r="U92" i="140"/>
  <c r="U93" i="140"/>
  <c r="U105" i="140"/>
  <c r="U106" i="140"/>
  <c r="U109" i="140"/>
  <c r="U97" i="140"/>
  <c r="L38" i="98"/>
  <c r="L39" i="98"/>
  <c r="U150" i="140"/>
  <c r="U151" i="140"/>
  <c r="U153" i="140"/>
  <c r="N157" i="93"/>
  <c r="N161" i="93"/>
  <c r="U170" i="140"/>
  <c r="N169" i="93"/>
  <c r="N175" i="93"/>
  <c r="L362" i="71"/>
  <c r="M51" i="14"/>
  <c r="N19" i="14"/>
  <c r="O12" i="93"/>
  <c r="O76" i="93"/>
  <c r="N22" i="14"/>
  <c r="O78" i="93"/>
  <c r="O81" i="93"/>
  <c r="O18" i="93"/>
  <c r="O82" i="93"/>
  <c r="O19" i="93"/>
  <c r="O83" i="93"/>
  <c r="O20" i="93"/>
  <c r="O84" i="93"/>
  <c r="N31" i="14"/>
  <c r="O88" i="93"/>
  <c r="N34" i="14"/>
  <c r="M127" i="94"/>
  <c r="M128" i="94"/>
  <c r="O57" i="93"/>
  <c r="O91" i="93"/>
  <c r="N35" i="14"/>
  <c r="O58" i="93"/>
  <c r="O92" i="93"/>
  <c r="N38" i="14"/>
  <c r="O56" i="93"/>
  <c r="O95" i="93"/>
  <c r="N44" i="14"/>
  <c r="O102" i="93"/>
  <c r="N45" i="14"/>
  <c r="O104" i="93"/>
  <c r="M93" i="95"/>
  <c r="M94" i="95"/>
  <c r="M90" i="95"/>
  <c r="O99" i="93"/>
  <c r="O105" i="93"/>
  <c r="O106" i="93"/>
  <c r="V76" i="140"/>
  <c r="V77" i="140"/>
  <c r="V78" i="140"/>
  <c r="V79" i="140"/>
  <c r="V80" i="140"/>
  <c r="M52" i="14"/>
  <c r="U11" i="140"/>
  <c r="V90" i="140"/>
  <c r="V82" i="140"/>
  <c r="V83" i="140"/>
  <c r="V84" i="140"/>
  <c r="V91" i="140"/>
  <c r="V92" i="140"/>
  <c r="V93" i="140"/>
  <c r="V105" i="140"/>
  <c r="V106" i="140"/>
  <c r="V109" i="140"/>
  <c r="V97" i="140"/>
  <c r="M38" i="98"/>
  <c r="M39" i="98"/>
  <c r="V150" i="140"/>
  <c r="V151" i="140"/>
  <c r="V153" i="140"/>
  <c r="O157" i="93"/>
  <c r="O161" i="93"/>
  <c r="V170" i="140"/>
  <c r="O169" i="93"/>
  <c r="O175" i="93"/>
  <c r="M362" i="71"/>
  <c r="N51" i="14"/>
  <c r="O19" i="14"/>
  <c r="P12" i="93"/>
  <c r="P76" i="93"/>
  <c r="O22" i="14"/>
  <c r="P78" i="93"/>
  <c r="P81" i="93"/>
  <c r="P18" i="93"/>
  <c r="P82" i="93"/>
  <c r="P19" i="93"/>
  <c r="P83" i="93"/>
  <c r="P20" i="93"/>
  <c r="P84" i="93"/>
  <c r="O31" i="14"/>
  <c r="P88" i="93"/>
  <c r="O34" i="14"/>
  <c r="N127" i="94"/>
  <c r="N128" i="94"/>
  <c r="P57" i="93"/>
  <c r="P91" i="93"/>
  <c r="O35" i="14"/>
  <c r="P58" i="93"/>
  <c r="P92" i="93"/>
  <c r="O38" i="14"/>
  <c r="P56" i="93"/>
  <c r="P95" i="93"/>
  <c r="O44" i="14"/>
  <c r="P102" i="93"/>
  <c r="O45" i="14"/>
  <c r="P104" i="93"/>
  <c r="N93" i="95"/>
  <c r="N94" i="95"/>
  <c r="N90" i="95"/>
  <c r="P99" i="93"/>
  <c r="P105" i="93"/>
  <c r="P106" i="93"/>
  <c r="W76" i="140"/>
  <c r="W77" i="140"/>
  <c r="W78" i="140"/>
  <c r="W79" i="140"/>
  <c r="W80" i="140"/>
  <c r="N52" i="14"/>
  <c r="V11" i="140"/>
  <c r="W89" i="140"/>
  <c r="W90" i="140"/>
  <c r="W82" i="140"/>
  <c r="W83" i="140"/>
  <c r="W84" i="140"/>
  <c r="W91" i="140"/>
  <c r="W92" i="140"/>
  <c r="W93" i="140"/>
  <c r="W105" i="140"/>
  <c r="W106" i="140"/>
  <c r="W109" i="140"/>
  <c r="W97" i="140"/>
  <c r="N38" i="98"/>
  <c r="N39" i="98"/>
  <c r="W150" i="140"/>
  <c r="W151" i="140"/>
  <c r="W153" i="140"/>
  <c r="P157" i="93"/>
  <c r="P161" i="93"/>
  <c r="W170" i="140"/>
  <c r="P169" i="93"/>
  <c r="P175" i="93"/>
  <c r="N362" i="71"/>
  <c r="O51" i="14"/>
  <c r="P19" i="14"/>
  <c r="Q12" i="93"/>
  <c r="Q76" i="93"/>
  <c r="P22" i="14"/>
  <c r="Q78" i="93"/>
  <c r="Q81" i="93"/>
  <c r="Q18" i="93"/>
  <c r="Q82" i="93"/>
  <c r="Q19" i="93"/>
  <c r="Q83" i="93"/>
  <c r="Q20" i="93"/>
  <c r="Q84" i="93"/>
  <c r="P31" i="14"/>
  <c r="Q88" i="93"/>
  <c r="P34" i="14"/>
  <c r="O127" i="94"/>
  <c r="O128" i="94"/>
  <c r="Q57" i="93"/>
  <c r="Q91" i="93"/>
  <c r="P35" i="14"/>
  <c r="Q58" i="93"/>
  <c r="Q92" i="93"/>
  <c r="P38" i="14"/>
  <c r="Q56" i="93"/>
  <c r="Q95" i="93"/>
  <c r="P44" i="14"/>
  <c r="Q102" i="93"/>
  <c r="P45" i="14"/>
  <c r="Q104" i="93"/>
  <c r="O93" i="95"/>
  <c r="O94" i="95"/>
  <c r="O90" i="95"/>
  <c r="Q99" i="93"/>
  <c r="Q105" i="93"/>
  <c r="Q106" i="93"/>
  <c r="X76" i="140"/>
  <c r="X77" i="140"/>
  <c r="X78" i="140"/>
  <c r="X79" i="140"/>
  <c r="X80" i="140"/>
  <c r="O52" i="14"/>
  <c r="W11" i="140"/>
  <c r="X89" i="140"/>
  <c r="X90" i="140"/>
  <c r="X82" i="140"/>
  <c r="X83" i="140"/>
  <c r="X84" i="140"/>
  <c r="X91" i="140"/>
  <c r="X92" i="140"/>
  <c r="X93" i="140"/>
  <c r="X105" i="140"/>
  <c r="X106" i="140"/>
  <c r="X109" i="140"/>
  <c r="X97" i="140"/>
  <c r="O38" i="98"/>
  <c r="O39" i="98"/>
  <c r="X150" i="140"/>
  <c r="X151" i="140"/>
  <c r="X153" i="140"/>
  <c r="Q157" i="93"/>
  <c r="Q161" i="93"/>
  <c r="X170" i="140"/>
  <c r="Q169" i="93"/>
  <c r="Q175" i="93"/>
  <c r="O362" i="71"/>
  <c r="P51" i="14"/>
  <c r="Q19" i="14"/>
  <c r="R12" i="93"/>
  <c r="R76" i="93"/>
  <c r="Q22" i="14"/>
  <c r="R78" i="93"/>
  <c r="R81" i="93"/>
  <c r="R18" i="93"/>
  <c r="R82" i="93"/>
  <c r="R19" i="93"/>
  <c r="R83" i="93"/>
  <c r="R20" i="93"/>
  <c r="R84" i="93"/>
  <c r="Q31" i="14"/>
  <c r="R88" i="93"/>
  <c r="Q34" i="14"/>
  <c r="P127" i="94"/>
  <c r="P128" i="94"/>
  <c r="R57" i="93"/>
  <c r="R91" i="93"/>
  <c r="Q35" i="14"/>
  <c r="R58" i="93"/>
  <c r="R92" i="93"/>
  <c r="Q38" i="14"/>
  <c r="R56" i="93"/>
  <c r="R95" i="93"/>
  <c r="Q44" i="14"/>
  <c r="R102" i="93"/>
  <c r="Q45" i="14"/>
  <c r="R104" i="93"/>
  <c r="P93" i="95"/>
  <c r="P94" i="95"/>
  <c r="P90" i="95"/>
  <c r="R99" i="93"/>
  <c r="R105" i="93"/>
  <c r="R106" i="93"/>
  <c r="Y76" i="140"/>
  <c r="Y77" i="140"/>
  <c r="Y78" i="140"/>
  <c r="Y79" i="140"/>
  <c r="Y80" i="140"/>
  <c r="P52" i="14"/>
  <c r="X11" i="140"/>
  <c r="Y89" i="140"/>
  <c r="Y90" i="140"/>
  <c r="Y82" i="140"/>
  <c r="Y83" i="140"/>
  <c r="Y84" i="140"/>
  <c r="Y91" i="140"/>
  <c r="Y92" i="140"/>
  <c r="Y93" i="140"/>
  <c r="Y105" i="140"/>
  <c r="Y106" i="140"/>
  <c r="Y109" i="140"/>
  <c r="Y97" i="140"/>
  <c r="P38" i="98"/>
  <c r="P39" i="98"/>
  <c r="Y150" i="140"/>
  <c r="Y151" i="140"/>
  <c r="Y153" i="140"/>
  <c r="R157" i="93"/>
  <c r="R161" i="93"/>
  <c r="Y170" i="140"/>
  <c r="R169" i="93"/>
  <c r="R175" i="93"/>
  <c r="P362" i="71"/>
  <c r="Q51" i="14"/>
  <c r="R19" i="14"/>
  <c r="S12" i="93"/>
  <c r="S76" i="93"/>
  <c r="R22" i="14"/>
  <c r="S78" i="93"/>
  <c r="S81" i="93"/>
  <c r="S18" i="93"/>
  <c r="S82" i="93"/>
  <c r="S19" i="93"/>
  <c r="S83" i="93"/>
  <c r="S20" i="93"/>
  <c r="S84" i="93"/>
  <c r="R31" i="14"/>
  <c r="S88" i="93"/>
  <c r="R34" i="14"/>
  <c r="Q127" i="94"/>
  <c r="Q128" i="94"/>
  <c r="S57" i="93"/>
  <c r="S91" i="93"/>
  <c r="R35" i="14"/>
  <c r="S58" i="93"/>
  <c r="S92" i="93"/>
  <c r="R38" i="14"/>
  <c r="S56" i="93"/>
  <c r="S95" i="93"/>
  <c r="R44" i="14"/>
  <c r="S102" i="93"/>
  <c r="R45" i="14"/>
  <c r="S104" i="93"/>
  <c r="Q93" i="95"/>
  <c r="Q94" i="95"/>
  <c r="Q90" i="95"/>
  <c r="S99" i="93"/>
  <c r="S105" i="93"/>
  <c r="S106" i="93"/>
  <c r="Z76" i="140"/>
  <c r="Z77" i="140"/>
  <c r="Z78" i="140"/>
  <c r="Z79" i="140"/>
  <c r="Z80" i="140"/>
  <c r="Q52" i="14"/>
  <c r="Y11" i="140"/>
  <c r="Z89" i="140"/>
  <c r="Z90" i="140"/>
  <c r="Z82" i="140"/>
  <c r="Z83" i="140"/>
  <c r="Z84" i="140"/>
  <c r="Z91" i="140"/>
  <c r="Z92" i="140"/>
  <c r="Z93" i="140"/>
  <c r="Z105" i="140"/>
  <c r="Z106" i="140"/>
  <c r="Z109" i="140"/>
  <c r="Z97" i="140"/>
  <c r="Q38" i="98"/>
  <c r="Q39" i="98"/>
  <c r="Z150" i="140"/>
  <c r="Z151" i="140"/>
  <c r="Z153" i="140"/>
  <c r="S157" i="93"/>
  <c r="S161" i="93"/>
  <c r="Z170" i="140"/>
  <c r="S169" i="93"/>
  <c r="S175" i="93"/>
  <c r="Q362" i="71"/>
  <c r="R51" i="14"/>
  <c r="S19" i="14"/>
  <c r="T12" i="93"/>
  <c r="T76" i="93"/>
  <c r="S22" i="14"/>
  <c r="T78" i="93"/>
  <c r="T81" i="93"/>
  <c r="T18" i="93"/>
  <c r="T82" i="93"/>
  <c r="T19" i="93"/>
  <c r="T83" i="93"/>
  <c r="T20" i="93"/>
  <c r="T84" i="93"/>
  <c r="S31" i="14"/>
  <c r="T88" i="93"/>
  <c r="S34" i="14"/>
  <c r="R127" i="94"/>
  <c r="R128" i="94"/>
  <c r="T57" i="93"/>
  <c r="T91" i="93"/>
  <c r="S35" i="14"/>
  <c r="T58" i="93"/>
  <c r="T92" i="93"/>
  <c r="S38" i="14"/>
  <c r="T56" i="93"/>
  <c r="T95" i="93"/>
  <c r="S44" i="14"/>
  <c r="T102" i="93"/>
  <c r="S45" i="14"/>
  <c r="T104" i="93"/>
  <c r="R93" i="95"/>
  <c r="R94" i="95"/>
  <c r="R90" i="95"/>
  <c r="T99" i="93"/>
  <c r="T105" i="93"/>
  <c r="T106" i="93"/>
  <c r="AA76" i="140"/>
  <c r="AA77" i="140"/>
  <c r="AA78" i="140"/>
  <c r="AA79" i="140"/>
  <c r="AA80" i="140"/>
  <c r="R52" i="14"/>
  <c r="Z11" i="140"/>
  <c r="AA90" i="140"/>
  <c r="AA82" i="140"/>
  <c r="AA83" i="140"/>
  <c r="AA84" i="140"/>
  <c r="AA91" i="140"/>
  <c r="AA92" i="140"/>
  <c r="AA93" i="140"/>
  <c r="AA105" i="140"/>
  <c r="AA106" i="140"/>
  <c r="AA109" i="140"/>
  <c r="AA97" i="140"/>
  <c r="R38" i="98"/>
  <c r="R39" i="98"/>
  <c r="AA150" i="140"/>
  <c r="AA151" i="140"/>
  <c r="AA153" i="140"/>
  <c r="T157" i="93"/>
  <c r="T161" i="93"/>
  <c r="AA170" i="140"/>
  <c r="T169" i="93"/>
  <c r="T175" i="93"/>
  <c r="R362" i="71"/>
  <c r="S51" i="14"/>
  <c r="T19" i="14"/>
  <c r="U12" i="93"/>
  <c r="U76" i="93"/>
  <c r="T22" i="14"/>
  <c r="U78" i="93"/>
  <c r="U81" i="93"/>
  <c r="U18" i="93"/>
  <c r="U82" i="93"/>
  <c r="U19" i="93"/>
  <c r="U83" i="93"/>
  <c r="U20" i="93"/>
  <c r="U84" i="93"/>
  <c r="T31" i="14"/>
  <c r="U88" i="93"/>
  <c r="T34" i="14"/>
  <c r="S127" i="94"/>
  <c r="S128" i="94"/>
  <c r="U57" i="93"/>
  <c r="U91" i="93"/>
  <c r="T35" i="14"/>
  <c r="U58" i="93"/>
  <c r="U92" i="93"/>
  <c r="T38" i="14"/>
  <c r="U56" i="93"/>
  <c r="U95" i="93"/>
  <c r="T44" i="14"/>
  <c r="U102" i="93"/>
  <c r="T45" i="14"/>
  <c r="U104" i="93"/>
  <c r="S93" i="95"/>
  <c r="S94" i="95"/>
  <c r="S90" i="95"/>
  <c r="U99" i="93"/>
  <c r="U105" i="93"/>
  <c r="U106" i="93"/>
  <c r="AB76" i="140"/>
  <c r="AB77" i="140"/>
  <c r="AB78" i="140"/>
  <c r="AB79" i="140"/>
  <c r="AB80" i="140"/>
  <c r="S52" i="14"/>
  <c r="AA11" i="140"/>
  <c r="AB89" i="140"/>
  <c r="AB90" i="140"/>
  <c r="AB82" i="140"/>
  <c r="AB83" i="140"/>
  <c r="AB84" i="140"/>
  <c r="AB91" i="140"/>
  <c r="AB92" i="140"/>
  <c r="AB93" i="140"/>
  <c r="AB105" i="140"/>
  <c r="AB106" i="140"/>
  <c r="AB109" i="140"/>
  <c r="AB97" i="140"/>
  <c r="S38" i="98"/>
  <c r="S39" i="98"/>
  <c r="AB150" i="140"/>
  <c r="AB151" i="140"/>
  <c r="AB153" i="140"/>
  <c r="U157" i="93"/>
  <c r="U161" i="93"/>
  <c r="AB170" i="140"/>
  <c r="U169" i="93"/>
  <c r="U175" i="93"/>
  <c r="S362" i="71"/>
  <c r="T51" i="14"/>
  <c r="U19" i="14"/>
  <c r="V12" i="93"/>
  <c r="V76" i="93"/>
  <c r="U22" i="14"/>
  <c r="V78" i="93"/>
  <c r="V81" i="93"/>
  <c r="V18" i="93"/>
  <c r="V82" i="93"/>
  <c r="V19" i="93"/>
  <c r="V83" i="93"/>
  <c r="V20" i="93"/>
  <c r="V84" i="93"/>
  <c r="U31" i="14"/>
  <c r="V88" i="93"/>
  <c r="U34" i="14"/>
  <c r="T127" i="94"/>
  <c r="T128" i="94"/>
  <c r="V57" i="93"/>
  <c r="V91" i="93"/>
  <c r="U35" i="14"/>
  <c r="V58" i="93"/>
  <c r="V92" i="93"/>
  <c r="U38" i="14"/>
  <c r="V56" i="93"/>
  <c r="V95" i="93"/>
  <c r="U44" i="14"/>
  <c r="V102" i="93"/>
  <c r="U45" i="14"/>
  <c r="V104" i="93"/>
  <c r="T93" i="95"/>
  <c r="T94" i="95"/>
  <c r="T90" i="95"/>
  <c r="V99" i="93"/>
  <c r="V105" i="93"/>
  <c r="V106" i="93"/>
  <c r="AC76" i="140"/>
  <c r="AC77" i="140"/>
  <c r="AC78" i="140"/>
  <c r="AC79" i="140"/>
  <c r="AC80" i="140"/>
  <c r="T52" i="14"/>
  <c r="AB11" i="140"/>
  <c r="AC89" i="140"/>
  <c r="AC90" i="140"/>
  <c r="AC82" i="140"/>
  <c r="AC83" i="140"/>
  <c r="AC84" i="140"/>
  <c r="AC91" i="140"/>
  <c r="AC92" i="140"/>
  <c r="AC93" i="140"/>
  <c r="AC105" i="140"/>
  <c r="AC106" i="140"/>
  <c r="AC109" i="140"/>
  <c r="AC97" i="140"/>
  <c r="T38" i="98"/>
  <c r="T39" i="98"/>
  <c r="AC150" i="140"/>
  <c r="AC151" i="140"/>
  <c r="AC153" i="140"/>
  <c r="V157" i="93"/>
  <c r="V161" i="93"/>
  <c r="AC170" i="140"/>
  <c r="V169" i="93"/>
  <c r="V175" i="93"/>
  <c r="T362" i="71"/>
  <c r="U51" i="14"/>
  <c r="V19" i="14"/>
  <c r="W12" i="93"/>
  <c r="W76" i="93"/>
  <c r="V22" i="14"/>
  <c r="W78" i="93"/>
  <c r="W81" i="93"/>
  <c r="W18" i="93"/>
  <c r="W82" i="93"/>
  <c r="W19" i="93"/>
  <c r="W83" i="93"/>
  <c r="W20" i="93"/>
  <c r="W84" i="93"/>
  <c r="V31" i="14"/>
  <c r="W88" i="93"/>
  <c r="V34" i="14"/>
  <c r="U127" i="94"/>
  <c r="U128" i="94"/>
  <c r="W57" i="93"/>
  <c r="W91" i="93"/>
  <c r="V35" i="14"/>
  <c r="W58" i="93"/>
  <c r="W92" i="93"/>
  <c r="V38" i="14"/>
  <c r="W56" i="93"/>
  <c r="W95" i="93"/>
  <c r="V44" i="14"/>
  <c r="W102" i="93"/>
  <c r="V45" i="14"/>
  <c r="W104" i="93"/>
  <c r="U93" i="95"/>
  <c r="U94" i="95"/>
  <c r="U90" i="95"/>
  <c r="W99" i="93"/>
  <c r="W105" i="93"/>
  <c r="W106" i="93"/>
  <c r="AD76" i="140"/>
  <c r="AD77" i="140"/>
  <c r="AD78" i="140"/>
  <c r="AD79" i="140"/>
  <c r="AD80" i="140"/>
  <c r="U52" i="14"/>
  <c r="AC11" i="140"/>
  <c r="AD89" i="140"/>
  <c r="AD90" i="140"/>
  <c r="AD82" i="140"/>
  <c r="AD83" i="140"/>
  <c r="AD84" i="140"/>
  <c r="AD91" i="140"/>
  <c r="AD92" i="140"/>
  <c r="AD93" i="140"/>
  <c r="AD105" i="140"/>
  <c r="AD106" i="140"/>
  <c r="AD109" i="140"/>
  <c r="AD97" i="140"/>
  <c r="U38" i="98"/>
  <c r="U39" i="98"/>
  <c r="AD150" i="140"/>
  <c r="AD151" i="140"/>
  <c r="AD153" i="140"/>
  <c r="W157" i="93"/>
  <c r="W161" i="93"/>
  <c r="AD170" i="140"/>
  <c r="W169" i="93"/>
  <c r="W175" i="93"/>
  <c r="U362" i="71"/>
  <c r="V51" i="14"/>
  <c r="W19" i="14"/>
  <c r="X12" i="93"/>
  <c r="X76" i="93"/>
  <c r="W22" i="14"/>
  <c r="X78" i="93"/>
  <c r="X81" i="93"/>
  <c r="X18" i="93"/>
  <c r="X82" i="93"/>
  <c r="X19" i="93"/>
  <c r="X83" i="93"/>
  <c r="X20" i="93"/>
  <c r="X84" i="93"/>
  <c r="W31" i="14"/>
  <c r="X88" i="93"/>
  <c r="W34" i="14"/>
  <c r="V127" i="94"/>
  <c r="V128" i="94"/>
  <c r="X57" i="93"/>
  <c r="X91" i="93"/>
  <c r="W35" i="14"/>
  <c r="X58" i="93"/>
  <c r="X92" i="93"/>
  <c r="W38" i="14"/>
  <c r="X56" i="93"/>
  <c r="X95" i="93"/>
  <c r="W44" i="14"/>
  <c r="X102" i="93"/>
  <c r="W45" i="14"/>
  <c r="X104" i="93"/>
  <c r="V93" i="95"/>
  <c r="V94" i="95"/>
  <c r="V90" i="95"/>
  <c r="X99" i="93"/>
  <c r="X105" i="93"/>
  <c r="X106" i="93"/>
  <c r="AE76" i="140"/>
  <c r="AE77" i="140"/>
  <c r="AE78" i="140"/>
  <c r="AE79" i="140"/>
  <c r="AE80" i="140"/>
  <c r="V52" i="14"/>
  <c r="AD11" i="140"/>
  <c r="AE89" i="140"/>
  <c r="AE90" i="140"/>
  <c r="AE82" i="140"/>
  <c r="AE83" i="140"/>
  <c r="AE84" i="140"/>
  <c r="AE91" i="140"/>
  <c r="AE92" i="140"/>
  <c r="AE93" i="140"/>
  <c r="AE105" i="140"/>
  <c r="AE106" i="140"/>
  <c r="AE109" i="140"/>
  <c r="AE97" i="140"/>
  <c r="V38" i="98"/>
  <c r="V39" i="98"/>
  <c r="AE150" i="140"/>
  <c r="AE151" i="140"/>
  <c r="AE153" i="140"/>
  <c r="X157" i="93"/>
  <c r="X161" i="93"/>
  <c r="AE170" i="140"/>
  <c r="X169" i="93"/>
  <c r="X175" i="93"/>
  <c r="V362" i="71"/>
  <c r="E169" i="93"/>
  <c r="C93" i="95"/>
  <c r="C94" i="95"/>
  <c r="C90" i="95"/>
  <c r="E99" i="93"/>
  <c r="E76" i="93"/>
  <c r="E81" i="93"/>
  <c r="E18" i="93"/>
  <c r="E82" i="93"/>
  <c r="E19" i="93"/>
  <c r="E83" i="93"/>
  <c r="E20" i="93"/>
  <c r="E84" i="93"/>
  <c r="E102" i="93"/>
  <c r="E106" i="93"/>
  <c r="E157" i="93"/>
  <c r="E161" i="93"/>
  <c r="E175" i="93"/>
  <c r="C362" i="71"/>
  <c r="W362" i="71"/>
  <c r="O18" i="147"/>
  <c r="O19" i="147"/>
  <c r="X358" i="71"/>
  <c r="O17" i="147"/>
  <c r="D355" i="71"/>
  <c r="E355" i="71"/>
  <c r="F355" i="71"/>
  <c r="G355" i="71"/>
  <c r="H355" i="71"/>
  <c r="I355" i="71"/>
  <c r="J355" i="71"/>
  <c r="K355" i="71"/>
  <c r="L355" i="71"/>
  <c r="M355" i="71"/>
  <c r="N355" i="71"/>
  <c r="O355" i="71"/>
  <c r="P355" i="71"/>
  <c r="Q355" i="71"/>
  <c r="R355" i="71"/>
  <c r="S355" i="71"/>
  <c r="T355" i="71"/>
  <c r="U355" i="71"/>
  <c r="V355" i="71"/>
  <c r="C355" i="71"/>
  <c r="W355" i="71"/>
  <c r="O16" i="147"/>
  <c r="O15" i="147"/>
  <c r="D353" i="71"/>
  <c r="E353" i="71"/>
  <c r="F353" i="71"/>
  <c r="G353" i="71"/>
  <c r="H353" i="71"/>
  <c r="I353" i="71"/>
  <c r="J353" i="71"/>
  <c r="K353" i="71"/>
  <c r="L353" i="71"/>
  <c r="M353" i="71"/>
  <c r="N353" i="71"/>
  <c r="O353" i="71"/>
  <c r="P353" i="71"/>
  <c r="Q353" i="71"/>
  <c r="R353" i="71"/>
  <c r="S353" i="71"/>
  <c r="T353" i="71"/>
  <c r="U353" i="71"/>
  <c r="V353" i="71"/>
  <c r="C353" i="71"/>
  <c r="W353" i="71"/>
  <c r="O13" i="147"/>
  <c r="F12" i="103"/>
  <c r="F76" i="103"/>
  <c r="F78" i="103"/>
  <c r="F81" i="103"/>
  <c r="F18" i="103"/>
  <c r="F82" i="103"/>
  <c r="F19" i="103"/>
  <c r="F83" i="103"/>
  <c r="F20" i="103"/>
  <c r="F84" i="103"/>
  <c r="F88" i="103"/>
  <c r="F57" i="103"/>
  <c r="F91" i="103"/>
  <c r="F102" i="103"/>
  <c r="F104" i="103"/>
  <c r="F58" i="103"/>
  <c r="F92" i="103"/>
  <c r="F99" i="103"/>
  <c r="F56" i="103"/>
  <c r="F95" i="103"/>
  <c r="F105" i="103"/>
  <c r="F106" i="103"/>
  <c r="F157" i="103"/>
  <c r="F161" i="103"/>
  <c r="F169" i="103"/>
  <c r="F175" i="103"/>
  <c r="D381" i="71"/>
  <c r="G12" i="103"/>
  <c r="G76" i="103"/>
  <c r="G78" i="103"/>
  <c r="G81" i="103"/>
  <c r="G18" i="103"/>
  <c r="G82" i="103"/>
  <c r="G19" i="103"/>
  <c r="G83" i="103"/>
  <c r="G20" i="103"/>
  <c r="G84" i="103"/>
  <c r="G88" i="103"/>
  <c r="G57" i="103"/>
  <c r="G91" i="103"/>
  <c r="G58" i="103"/>
  <c r="G92" i="103"/>
  <c r="G102" i="103"/>
  <c r="G104" i="103"/>
  <c r="G99" i="103"/>
  <c r="G56" i="103"/>
  <c r="G95" i="103"/>
  <c r="G105" i="103"/>
  <c r="G106" i="103"/>
  <c r="M11" i="141"/>
  <c r="N88" i="141"/>
  <c r="N89" i="141"/>
  <c r="N90" i="141"/>
  <c r="N91" i="141"/>
  <c r="N92" i="141"/>
  <c r="N93" i="141"/>
  <c r="N105" i="141"/>
  <c r="N106" i="141"/>
  <c r="N109" i="141"/>
  <c r="N97" i="141"/>
  <c r="G157" i="103"/>
  <c r="G161" i="103"/>
  <c r="G169" i="103"/>
  <c r="G175" i="103"/>
  <c r="E381" i="71"/>
  <c r="H12" i="103"/>
  <c r="H76" i="103"/>
  <c r="H78" i="103"/>
  <c r="H81" i="103"/>
  <c r="H18" i="103"/>
  <c r="H82" i="103"/>
  <c r="H19" i="103"/>
  <c r="H83" i="103"/>
  <c r="H20" i="103"/>
  <c r="H84" i="103"/>
  <c r="H88" i="103"/>
  <c r="H57" i="103"/>
  <c r="H91" i="103"/>
  <c r="H58" i="103"/>
  <c r="H92" i="103"/>
  <c r="H56" i="103"/>
  <c r="H95" i="103"/>
  <c r="H102" i="103"/>
  <c r="H104" i="103"/>
  <c r="H99" i="103"/>
  <c r="H105" i="103"/>
  <c r="H106" i="103"/>
  <c r="O76" i="141"/>
  <c r="O77" i="141"/>
  <c r="O78" i="141"/>
  <c r="O79" i="141"/>
  <c r="O80" i="141"/>
  <c r="N11" i="141"/>
  <c r="O88" i="141"/>
  <c r="O89" i="141"/>
  <c r="O90" i="141"/>
  <c r="O82" i="141"/>
  <c r="O83" i="141"/>
  <c r="O84" i="141"/>
  <c r="O91" i="141"/>
  <c r="O92" i="141"/>
  <c r="O93" i="141"/>
  <c r="O105" i="141"/>
  <c r="O106" i="141"/>
  <c r="O109" i="141"/>
  <c r="O97" i="141"/>
  <c r="O150" i="141"/>
  <c r="O151" i="141"/>
  <c r="O153" i="141"/>
  <c r="H157" i="103"/>
  <c r="H161" i="103"/>
  <c r="O170" i="141"/>
  <c r="H169" i="103"/>
  <c r="H175" i="103"/>
  <c r="F381" i="71"/>
  <c r="I12" i="103"/>
  <c r="I76" i="103"/>
  <c r="I78" i="103"/>
  <c r="I81" i="103"/>
  <c r="I18" i="103"/>
  <c r="I82" i="103"/>
  <c r="I19" i="103"/>
  <c r="I83" i="103"/>
  <c r="I20" i="103"/>
  <c r="I84" i="103"/>
  <c r="I88" i="103"/>
  <c r="I57" i="103"/>
  <c r="I91" i="103"/>
  <c r="I58" i="103"/>
  <c r="I92" i="103"/>
  <c r="I56" i="103"/>
  <c r="I95" i="103"/>
  <c r="I102" i="103"/>
  <c r="I104" i="103"/>
  <c r="I99" i="103"/>
  <c r="I105" i="103"/>
  <c r="I106" i="103"/>
  <c r="P76" i="141"/>
  <c r="P77" i="141"/>
  <c r="P78" i="141"/>
  <c r="P79" i="141"/>
  <c r="P80" i="141"/>
  <c r="P88" i="141"/>
  <c r="P89" i="141"/>
  <c r="P90" i="141"/>
  <c r="P82" i="141"/>
  <c r="P83" i="141"/>
  <c r="P84" i="141"/>
  <c r="P91" i="141"/>
  <c r="P92" i="141"/>
  <c r="P93" i="141"/>
  <c r="P105" i="141"/>
  <c r="P106" i="141"/>
  <c r="P109" i="141"/>
  <c r="P97" i="141"/>
  <c r="P150" i="141"/>
  <c r="P151" i="141"/>
  <c r="P153" i="141"/>
  <c r="I157" i="103"/>
  <c r="I161" i="103"/>
  <c r="P170" i="141"/>
  <c r="I169" i="103"/>
  <c r="I175" i="103"/>
  <c r="G381" i="71"/>
  <c r="H381" i="71"/>
  <c r="K12" i="103"/>
  <c r="K76" i="103"/>
  <c r="K78" i="103"/>
  <c r="K81" i="103"/>
  <c r="K18" i="103"/>
  <c r="K82" i="103"/>
  <c r="K19" i="103"/>
  <c r="K83" i="103"/>
  <c r="K20" i="103"/>
  <c r="K84" i="103"/>
  <c r="K88" i="103"/>
  <c r="K57" i="103"/>
  <c r="K91" i="103"/>
  <c r="K58" i="103"/>
  <c r="K92" i="103"/>
  <c r="K56" i="103"/>
  <c r="K95" i="103"/>
  <c r="K102" i="103"/>
  <c r="K104" i="103"/>
  <c r="K99" i="103"/>
  <c r="K105" i="103"/>
  <c r="K106" i="103"/>
  <c r="R76" i="141"/>
  <c r="R77" i="141"/>
  <c r="R78" i="141"/>
  <c r="R79" i="141"/>
  <c r="R80" i="141"/>
  <c r="Q11" i="141"/>
  <c r="R89" i="141"/>
  <c r="R90" i="141"/>
  <c r="R82" i="141"/>
  <c r="R83" i="141"/>
  <c r="R84" i="141"/>
  <c r="R91" i="141"/>
  <c r="R92" i="141"/>
  <c r="R93" i="141"/>
  <c r="R105" i="141"/>
  <c r="R106" i="141"/>
  <c r="R109" i="141"/>
  <c r="R150" i="141"/>
  <c r="R151" i="141"/>
  <c r="R153" i="141"/>
  <c r="K157" i="103"/>
  <c r="K161" i="103"/>
  <c r="R170" i="141"/>
  <c r="K169" i="103"/>
  <c r="K175" i="103"/>
  <c r="I381" i="71"/>
  <c r="L12" i="103"/>
  <c r="L76" i="103"/>
  <c r="L78" i="103"/>
  <c r="L81" i="103"/>
  <c r="L18" i="103"/>
  <c r="L82" i="103"/>
  <c r="L19" i="103"/>
  <c r="L83" i="103"/>
  <c r="L20" i="103"/>
  <c r="L84" i="103"/>
  <c r="L88" i="103"/>
  <c r="L57" i="103"/>
  <c r="L91" i="103"/>
  <c r="L58" i="103"/>
  <c r="L92" i="103"/>
  <c r="L56" i="103"/>
  <c r="L95" i="103"/>
  <c r="L102" i="103"/>
  <c r="L104" i="103"/>
  <c r="L99" i="103"/>
  <c r="L105" i="103"/>
  <c r="L106" i="103"/>
  <c r="S76" i="141"/>
  <c r="S77" i="141"/>
  <c r="S78" i="141"/>
  <c r="S79" i="141"/>
  <c r="S80" i="141"/>
  <c r="R11" i="141"/>
  <c r="S89" i="141"/>
  <c r="S90" i="141"/>
  <c r="S82" i="141"/>
  <c r="S83" i="141"/>
  <c r="S84" i="141"/>
  <c r="S91" i="141"/>
  <c r="S92" i="141"/>
  <c r="S93" i="141"/>
  <c r="S105" i="141"/>
  <c r="S106" i="141"/>
  <c r="S109" i="141"/>
  <c r="S97" i="141"/>
  <c r="S150" i="141"/>
  <c r="S151" i="141"/>
  <c r="S153" i="141"/>
  <c r="L157" i="103"/>
  <c r="L161" i="103"/>
  <c r="S170" i="141"/>
  <c r="L169" i="103"/>
  <c r="L175" i="103"/>
  <c r="J381" i="71"/>
  <c r="M12" i="103"/>
  <c r="M76" i="103"/>
  <c r="M78" i="103"/>
  <c r="M81" i="103"/>
  <c r="M18" i="103"/>
  <c r="M82" i="103"/>
  <c r="M19" i="103"/>
  <c r="M83" i="103"/>
  <c r="M20" i="103"/>
  <c r="M84" i="103"/>
  <c r="M88" i="103"/>
  <c r="M57" i="103"/>
  <c r="M91" i="103"/>
  <c r="M58" i="103"/>
  <c r="M92" i="103"/>
  <c r="M56" i="103"/>
  <c r="M95" i="103"/>
  <c r="M102" i="103"/>
  <c r="M104" i="103"/>
  <c r="M99" i="103"/>
  <c r="M105" i="103"/>
  <c r="M106" i="103"/>
  <c r="T76" i="141"/>
  <c r="T77" i="141"/>
  <c r="T78" i="141"/>
  <c r="T79" i="141"/>
  <c r="T80" i="141"/>
  <c r="S11" i="141"/>
  <c r="T89" i="141"/>
  <c r="T90" i="141"/>
  <c r="T82" i="141"/>
  <c r="T83" i="141"/>
  <c r="T84" i="141"/>
  <c r="T91" i="141"/>
  <c r="T92" i="141"/>
  <c r="T93" i="141"/>
  <c r="T105" i="141"/>
  <c r="T106" i="141"/>
  <c r="T109" i="141"/>
  <c r="T97" i="141"/>
  <c r="T150" i="141"/>
  <c r="T151" i="141"/>
  <c r="T153" i="141"/>
  <c r="M157" i="103"/>
  <c r="M161" i="103"/>
  <c r="T170" i="141"/>
  <c r="M169" i="103"/>
  <c r="M175" i="103"/>
  <c r="K381" i="71"/>
  <c r="N12" i="103"/>
  <c r="N76" i="103"/>
  <c r="N78" i="103"/>
  <c r="N81" i="103"/>
  <c r="N18" i="103"/>
  <c r="N82" i="103"/>
  <c r="N19" i="103"/>
  <c r="N83" i="103"/>
  <c r="N20" i="103"/>
  <c r="N84" i="103"/>
  <c r="N88" i="103"/>
  <c r="N57" i="103"/>
  <c r="N91" i="103"/>
  <c r="N58" i="103"/>
  <c r="N92" i="103"/>
  <c r="N56" i="103"/>
  <c r="N95" i="103"/>
  <c r="N102" i="103"/>
  <c r="N104" i="103"/>
  <c r="N99" i="103"/>
  <c r="N105" i="103"/>
  <c r="N106" i="103"/>
  <c r="U76" i="141"/>
  <c r="U77" i="141"/>
  <c r="U78" i="141"/>
  <c r="U79" i="141"/>
  <c r="U80" i="141"/>
  <c r="T11" i="141"/>
  <c r="U89" i="141"/>
  <c r="U90" i="141"/>
  <c r="U82" i="141"/>
  <c r="U83" i="141"/>
  <c r="U84" i="141"/>
  <c r="U91" i="141"/>
  <c r="U92" i="141"/>
  <c r="U93" i="141"/>
  <c r="U105" i="141"/>
  <c r="U106" i="141"/>
  <c r="U109" i="141"/>
  <c r="U97" i="141"/>
  <c r="U150" i="141"/>
  <c r="U151" i="141"/>
  <c r="U153" i="141"/>
  <c r="N157" i="103"/>
  <c r="N161" i="103"/>
  <c r="U170" i="141"/>
  <c r="N169" i="103"/>
  <c r="N175" i="103"/>
  <c r="L381" i="71"/>
  <c r="O12" i="103"/>
  <c r="O76" i="103"/>
  <c r="O78" i="103"/>
  <c r="O81" i="103"/>
  <c r="O18" i="103"/>
  <c r="O82" i="103"/>
  <c r="O19" i="103"/>
  <c r="O83" i="103"/>
  <c r="O20" i="103"/>
  <c r="O84" i="103"/>
  <c r="O88" i="103"/>
  <c r="O57" i="103"/>
  <c r="O91" i="103"/>
  <c r="O58" i="103"/>
  <c r="O92" i="103"/>
  <c r="O56" i="103"/>
  <c r="O95" i="103"/>
  <c r="O102" i="103"/>
  <c r="O104" i="103"/>
  <c r="O99" i="103"/>
  <c r="O105" i="103"/>
  <c r="O106" i="103"/>
  <c r="V76" i="141"/>
  <c r="V77" i="141"/>
  <c r="V78" i="141"/>
  <c r="V79" i="141"/>
  <c r="V80" i="141"/>
  <c r="U11" i="141"/>
  <c r="V90" i="141"/>
  <c r="V82" i="141"/>
  <c r="V83" i="141"/>
  <c r="V84" i="141"/>
  <c r="V91" i="141"/>
  <c r="V92" i="141"/>
  <c r="V93" i="141"/>
  <c r="V105" i="141"/>
  <c r="V106" i="141"/>
  <c r="V109" i="141"/>
  <c r="V97" i="141"/>
  <c r="V150" i="141"/>
  <c r="V151" i="141"/>
  <c r="V153" i="141"/>
  <c r="O157" i="103"/>
  <c r="O161" i="103"/>
  <c r="V170" i="141"/>
  <c r="O169" i="103"/>
  <c r="O175" i="103"/>
  <c r="M381" i="71"/>
  <c r="P12" i="103"/>
  <c r="P76" i="103"/>
  <c r="P78" i="103"/>
  <c r="P81" i="103"/>
  <c r="P18" i="103"/>
  <c r="P82" i="103"/>
  <c r="P19" i="103"/>
  <c r="P83" i="103"/>
  <c r="P20" i="103"/>
  <c r="P84" i="103"/>
  <c r="P88" i="103"/>
  <c r="P57" i="103"/>
  <c r="P91" i="103"/>
  <c r="P58" i="103"/>
  <c r="P92" i="103"/>
  <c r="P56" i="103"/>
  <c r="P95" i="103"/>
  <c r="P102" i="103"/>
  <c r="P104" i="103"/>
  <c r="P99" i="103"/>
  <c r="P105" i="103"/>
  <c r="P106" i="103"/>
  <c r="W76" i="141"/>
  <c r="W77" i="141"/>
  <c r="W78" i="141"/>
  <c r="W79" i="141"/>
  <c r="W80" i="141"/>
  <c r="V11" i="141"/>
  <c r="W89" i="141"/>
  <c r="W90" i="141"/>
  <c r="W82" i="141"/>
  <c r="W83" i="141"/>
  <c r="W84" i="141"/>
  <c r="W91" i="141"/>
  <c r="W92" i="141"/>
  <c r="W93" i="141"/>
  <c r="W105" i="141"/>
  <c r="W106" i="141"/>
  <c r="W109" i="141"/>
  <c r="W97" i="141"/>
  <c r="W150" i="141"/>
  <c r="W151" i="141"/>
  <c r="W153" i="141"/>
  <c r="P157" i="103"/>
  <c r="P161" i="103"/>
  <c r="W170" i="141"/>
  <c r="P169" i="103"/>
  <c r="P175" i="103"/>
  <c r="N381" i="71"/>
  <c r="Q12" i="103"/>
  <c r="Q76" i="103"/>
  <c r="Q78" i="103"/>
  <c r="Q81" i="103"/>
  <c r="Q18" i="103"/>
  <c r="Q82" i="103"/>
  <c r="Q19" i="103"/>
  <c r="Q83" i="103"/>
  <c r="Q20" i="103"/>
  <c r="Q84" i="103"/>
  <c r="Q88" i="103"/>
  <c r="Q57" i="103"/>
  <c r="Q91" i="103"/>
  <c r="Q58" i="103"/>
  <c r="Q92" i="103"/>
  <c r="Q56" i="103"/>
  <c r="Q95" i="103"/>
  <c r="Q102" i="103"/>
  <c r="Q104" i="103"/>
  <c r="Q99" i="103"/>
  <c r="Q105" i="103"/>
  <c r="Q106" i="103"/>
  <c r="X76" i="141"/>
  <c r="X77" i="141"/>
  <c r="X78" i="141"/>
  <c r="X79" i="141"/>
  <c r="X80" i="141"/>
  <c r="W11" i="141"/>
  <c r="X89" i="141"/>
  <c r="X90" i="141"/>
  <c r="X82" i="141"/>
  <c r="X83" i="141"/>
  <c r="X84" i="141"/>
  <c r="X91" i="141"/>
  <c r="X92" i="141"/>
  <c r="X93" i="141"/>
  <c r="X105" i="141"/>
  <c r="X106" i="141"/>
  <c r="X109" i="141"/>
  <c r="X97" i="141"/>
  <c r="X150" i="141"/>
  <c r="X151" i="141"/>
  <c r="X153" i="141"/>
  <c r="Q157" i="103"/>
  <c r="Q161" i="103"/>
  <c r="X170" i="141"/>
  <c r="Q169" i="103"/>
  <c r="Q175" i="103"/>
  <c r="O381" i="71"/>
  <c r="R12" i="103"/>
  <c r="R76" i="103"/>
  <c r="R78" i="103"/>
  <c r="R81" i="103"/>
  <c r="R18" i="103"/>
  <c r="R82" i="103"/>
  <c r="R19" i="103"/>
  <c r="R83" i="103"/>
  <c r="R20" i="103"/>
  <c r="R84" i="103"/>
  <c r="R88" i="103"/>
  <c r="R57" i="103"/>
  <c r="R91" i="103"/>
  <c r="R58" i="103"/>
  <c r="R92" i="103"/>
  <c r="R56" i="103"/>
  <c r="R95" i="103"/>
  <c r="R102" i="103"/>
  <c r="R104" i="103"/>
  <c r="R99" i="103"/>
  <c r="R105" i="103"/>
  <c r="R106" i="103"/>
  <c r="Y76" i="141"/>
  <c r="Y77" i="141"/>
  <c r="Y78" i="141"/>
  <c r="Y79" i="141"/>
  <c r="Y80" i="141"/>
  <c r="X11" i="141"/>
  <c r="Y89" i="141"/>
  <c r="Y90" i="141"/>
  <c r="Y82" i="141"/>
  <c r="Y83" i="141"/>
  <c r="Y84" i="141"/>
  <c r="Y91" i="141"/>
  <c r="Y92" i="141"/>
  <c r="Y93" i="141"/>
  <c r="Y105" i="141"/>
  <c r="Y106" i="141"/>
  <c r="Y109" i="141"/>
  <c r="Y97" i="141"/>
  <c r="Y150" i="141"/>
  <c r="Y151" i="141"/>
  <c r="Y153" i="141"/>
  <c r="R157" i="103"/>
  <c r="R161" i="103"/>
  <c r="Y170" i="141"/>
  <c r="R169" i="103"/>
  <c r="R175" i="103"/>
  <c r="P381" i="71"/>
  <c r="S12" i="103"/>
  <c r="S76" i="103"/>
  <c r="S78" i="103"/>
  <c r="S81" i="103"/>
  <c r="S18" i="103"/>
  <c r="S82" i="103"/>
  <c r="S19" i="103"/>
  <c r="S83" i="103"/>
  <c r="S20" i="103"/>
  <c r="S84" i="103"/>
  <c r="S88" i="103"/>
  <c r="S57" i="103"/>
  <c r="S91" i="103"/>
  <c r="S58" i="103"/>
  <c r="S92" i="103"/>
  <c r="S56" i="103"/>
  <c r="S95" i="103"/>
  <c r="S102" i="103"/>
  <c r="S104" i="103"/>
  <c r="S99" i="103"/>
  <c r="S105" i="103"/>
  <c r="S106" i="103"/>
  <c r="Z76" i="141"/>
  <c r="Z77" i="141"/>
  <c r="Z78" i="141"/>
  <c r="Z79" i="141"/>
  <c r="Z80" i="141"/>
  <c r="Y11" i="141"/>
  <c r="Z89" i="141"/>
  <c r="Z90" i="141"/>
  <c r="Z82" i="141"/>
  <c r="Z83" i="141"/>
  <c r="Z84" i="141"/>
  <c r="Z91" i="141"/>
  <c r="Z92" i="141"/>
  <c r="Z93" i="141"/>
  <c r="Z105" i="141"/>
  <c r="Z106" i="141"/>
  <c r="Z109" i="141"/>
  <c r="Z97" i="141"/>
  <c r="Z150" i="141"/>
  <c r="Z151" i="141"/>
  <c r="Z153" i="141"/>
  <c r="S157" i="103"/>
  <c r="S161" i="103"/>
  <c r="Z170" i="141"/>
  <c r="S169" i="103"/>
  <c r="S175" i="103"/>
  <c r="Q381" i="71"/>
  <c r="T12" i="103"/>
  <c r="T76" i="103"/>
  <c r="T78" i="103"/>
  <c r="T81" i="103"/>
  <c r="T18" i="103"/>
  <c r="T82" i="103"/>
  <c r="T19" i="103"/>
  <c r="T83" i="103"/>
  <c r="T20" i="103"/>
  <c r="T84" i="103"/>
  <c r="T88" i="103"/>
  <c r="T57" i="103"/>
  <c r="T91" i="103"/>
  <c r="T58" i="103"/>
  <c r="T92" i="103"/>
  <c r="T56" i="103"/>
  <c r="T95" i="103"/>
  <c r="T102" i="103"/>
  <c r="T104" i="103"/>
  <c r="T99" i="103"/>
  <c r="T105" i="103"/>
  <c r="T106" i="103"/>
  <c r="AA76" i="141"/>
  <c r="AA77" i="141"/>
  <c r="AA78" i="141"/>
  <c r="AA79" i="141"/>
  <c r="AA80" i="141"/>
  <c r="Z11" i="141"/>
  <c r="AA90" i="141"/>
  <c r="AA82" i="141"/>
  <c r="AA83" i="141"/>
  <c r="AA84" i="141"/>
  <c r="AA91" i="141"/>
  <c r="AA92" i="141"/>
  <c r="AA93" i="141"/>
  <c r="AA105" i="141"/>
  <c r="AA106" i="141"/>
  <c r="AA109" i="141"/>
  <c r="AA97" i="141"/>
  <c r="AA150" i="141"/>
  <c r="AA151" i="141"/>
  <c r="AA153" i="141"/>
  <c r="T157" i="103"/>
  <c r="T161" i="103"/>
  <c r="AA170" i="141"/>
  <c r="T169" i="103"/>
  <c r="T175" i="103"/>
  <c r="R381" i="71"/>
  <c r="U12" i="103"/>
  <c r="U76" i="103"/>
  <c r="U78" i="103"/>
  <c r="U81" i="103"/>
  <c r="U18" i="103"/>
  <c r="U82" i="103"/>
  <c r="U19" i="103"/>
  <c r="U83" i="103"/>
  <c r="U20" i="103"/>
  <c r="U84" i="103"/>
  <c r="U88" i="103"/>
  <c r="U57" i="103"/>
  <c r="U91" i="103"/>
  <c r="U58" i="103"/>
  <c r="U92" i="103"/>
  <c r="U56" i="103"/>
  <c r="U95" i="103"/>
  <c r="U102" i="103"/>
  <c r="U104" i="103"/>
  <c r="U99" i="103"/>
  <c r="U105" i="103"/>
  <c r="U106" i="103"/>
  <c r="AB76" i="141"/>
  <c r="AB77" i="141"/>
  <c r="AB78" i="141"/>
  <c r="AB79" i="141"/>
  <c r="AB80" i="141"/>
  <c r="AA11" i="141"/>
  <c r="AB89" i="141"/>
  <c r="AB90" i="141"/>
  <c r="AB82" i="141"/>
  <c r="AB83" i="141"/>
  <c r="AB84" i="141"/>
  <c r="AB91" i="141"/>
  <c r="AB92" i="141"/>
  <c r="AB93" i="141"/>
  <c r="AB105" i="141"/>
  <c r="AB106" i="141"/>
  <c r="AB109" i="141"/>
  <c r="AB97" i="141"/>
  <c r="AB150" i="141"/>
  <c r="AB151" i="141"/>
  <c r="AB153" i="141"/>
  <c r="U157" i="103"/>
  <c r="U161" i="103"/>
  <c r="AB170" i="141"/>
  <c r="U169" i="103"/>
  <c r="U175" i="103"/>
  <c r="S381" i="71"/>
  <c r="V12" i="103"/>
  <c r="V76" i="103"/>
  <c r="V78" i="103"/>
  <c r="V81" i="103"/>
  <c r="V18" i="103"/>
  <c r="V82" i="103"/>
  <c r="V19" i="103"/>
  <c r="V83" i="103"/>
  <c r="V20" i="103"/>
  <c r="V84" i="103"/>
  <c r="V88" i="103"/>
  <c r="V57" i="103"/>
  <c r="V91" i="103"/>
  <c r="V58" i="103"/>
  <c r="V92" i="103"/>
  <c r="V56" i="103"/>
  <c r="V95" i="103"/>
  <c r="V102" i="103"/>
  <c r="V104" i="103"/>
  <c r="V99" i="103"/>
  <c r="V105" i="103"/>
  <c r="V106" i="103"/>
  <c r="AC76" i="141"/>
  <c r="AC77" i="141"/>
  <c r="AC78" i="141"/>
  <c r="AC79" i="141"/>
  <c r="AC80" i="141"/>
  <c r="AB11" i="141"/>
  <c r="AC89" i="141"/>
  <c r="AC90" i="141"/>
  <c r="AC82" i="141"/>
  <c r="AC83" i="141"/>
  <c r="AC84" i="141"/>
  <c r="AC91" i="141"/>
  <c r="AC92" i="141"/>
  <c r="AC93" i="141"/>
  <c r="AC105" i="141"/>
  <c r="AC106" i="141"/>
  <c r="AC109" i="141"/>
  <c r="AC97" i="141"/>
  <c r="AC150" i="141"/>
  <c r="AC151" i="141"/>
  <c r="AC153" i="141"/>
  <c r="V157" i="103"/>
  <c r="V161" i="103"/>
  <c r="AC170" i="141"/>
  <c r="V169" i="103"/>
  <c r="V175" i="103"/>
  <c r="T381" i="71"/>
  <c r="W12" i="103"/>
  <c r="W76" i="103"/>
  <c r="W78" i="103"/>
  <c r="W81" i="103"/>
  <c r="W18" i="103"/>
  <c r="W82" i="103"/>
  <c r="W19" i="103"/>
  <c r="W83" i="103"/>
  <c r="W20" i="103"/>
  <c r="W84" i="103"/>
  <c r="W88" i="103"/>
  <c r="W57" i="103"/>
  <c r="W91" i="103"/>
  <c r="W58" i="103"/>
  <c r="W92" i="103"/>
  <c r="W56" i="103"/>
  <c r="W95" i="103"/>
  <c r="W102" i="103"/>
  <c r="W104" i="103"/>
  <c r="W99" i="103"/>
  <c r="W105" i="103"/>
  <c r="W106" i="103"/>
  <c r="AD76" i="141"/>
  <c r="AD77" i="141"/>
  <c r="AD78" i="141"/>
  <c r="AD79" i="141"/>
  <c r="AD80" i="141"/>
  <c r="AC11" i="141"/>
  <c r="AD89" i="141"/>
  <c r="AD90" i="141"/>
  <c r="AD82" i="141"/>
  <c r="AD83" i="141"/>
  <c r="AD84" i="141"/>
  <c r="AD91" i="141"/>
  <c r="AD92" i="141"/>
  <c r="AD93" i="141"/>
  <c r="AD105" i="141"/>
  <c r="AD106" i="141"/>
  <c r="AD109" i="141"/>
  <c r="AD97" i="141"/>
  <c r="AD150" i="141"/>
  <c r="AD151" i="141"/>
  <c r="AD153" i="141"/>
  <c r="W157" i="103"/>
  <c r="W161" i="103"/>
  <c r="AD170" i="141"/>
  <c r="W169" i="103"/>
  <c r="W175" i="103"/>
  <c r="U381" i="71"/>
  <c r="X12" i="103"/>
  <c r="X76" i="103"/>
  <c r="X78" i="103"/>
  <c r="X81" i="103"/>
  <c r="X18" i="103"/>
  <c r="X82" i="103"/>
  <c r="X19" i="103"/>
  <c r="X83" i="103"/>
  <c r="X20" i="103"/>
  <c r="X84" i="103"/>
  <c r="X88" i="103"/>
  <c r="X57" i="103"/>
  <c r="X91" i="103"/>
  <c r="X58" i="103"/>
  <c r="X92" i="103"/>
  <c r="X56" i="103"/>
  <c r="X95" i="103"/>
  <c r="X102" i="103"/>
  <c r="X104" i="103"/>
  <c r="X99" i="103"/>
  <c r="X105" i="103"/>
  <c r="X106" i="103"/>
  <c r="AE76" i="141"/>
  <c r="AE77" i="141"/>
  <c r="AE78" i="141"/>
  <c r="AE79" i="141"/>
  <c r="AE80" i="141"/>
  <c r="AD11" i="141"/>
  <c r="AE89" i="141"/>
  <c r="AE90" i="141"/>
  <c r="AE82" i="141"/>
  <c r="AE83" i="141"/>
  <c r="AE84" i="141"/>
  <c r="AE91" i="141"/>
  <c r="AE92" i="141"/>
  <c r="AE93" i="141"/>
  <c r="AE105" i="141"/>
  <c r="AE106" i="141"/>
  <c r="AE109" i="141"/>
  <c r="AE97" i="141"/>
  <c r="AE150" i="141"/>
  <c r="AE151" i="141"/>
  <c r="AE153" i="141"/>
  <c r="X157" i="103"/>
  <c r="X161" i="103"/>
  <c r="AE170" i="141"/>
  <c r="X169" i="103"/>
  <c r="X175" i="103"/>
  <c r="V381" i="71"/>
  <c r="E169" i="103"/>
  <c r="E99" i="103"/>
  <c r="E76" i="103"/>
  <c r="E81" i="103"/>
  <c r="E18" i="103"/>
  <c r="E82" i="103"/>
  <c r="E19" i="103"/>
  <c r="E83" i="103"/>
  <c r="E20" i="103"/>
  <c r="E84" i="103"/>
  <c r="E102" i="103"/>
  <c r="E106" i="103"/>
  <c r="E157" i="103"/>
  <c r="E161" i="103"/>
  <c r="E175" i="103"/>
  <c r="C381" i="71"/>
  <c r="W381" i="71"/>
  <c r="N18" i="147"/>
  <c r="N19" i="147"/>
  <c r="X377" i="71"/>
  <c r="N17" i="147"/>
  <c r="D374" i="71"/>
  <c r="E374" i="71"/>
  <c r="F374" i="71"/>
  <c r="G374" i="71"/>
  <c r="H374" i="71"/>
  <c r="I374" i="71"/>
  <c r="J374" i="71"/>
  <c r="K374" i="71"/>
  <c r="L374" i="71"/>
  <c r="M374" i="71"/>
  <c r="N374" i="71"/>
  <c r="O374" i="71"/>
  <c r="P374" i="71"/>
  <c r="Q374" i="71"/>
  <c r="R374" i="71"/>
  <c r="S374" i="71"/>
  <c r="T374" i="71"/>
  <c r="U374" i="71"/>
  <c r="V374" i="71"/>
  <c r="C374" i="71"/>
  <c r="W374" i="71"/>
  <c r="N16" i="147"/>
  <c r="N15" i="147"/>
  <c r="D372" i="71"/>
  <c r="E372" i="71"/>
  <c r="F372" i="71"/>
  <c r="G372" i="71"/>
  <c r="H372" i="71"/>
  <c r="I372" i="71"/>
  <c r="J372" i="71"/>
  <c r="K372" i="71"/>
  <c r="L372" i="71"/>
  <c r="M372" i="71"/>
  <c r="N372" i="71"/>
  <c r="O372" i="71"/>
  <c r="P372" i="71"/>
  <c r="Q372" i="71"/>
  <c r="R372" i="71"/>
  <c r="S372" i="71"/>
  <c r="T372" i="71"/>
  <c r="U372" i="71"/>
  <c r="V372" i="71"/>
  <c r="C372" i="71"/>
  <c r="W372" i="71"/>
  <c r="N13" i="147"/>
  <c r="F12" i="104"/>
  <c r="F76" i="104"/>
  <c r="F78" i="104"/>
  <c r="F81" i="104"/>
  <c r="F18" i="104"/>
  <c r="F82" i="104"/>
  <c r="F19" i="104"/>
  <c r="F83" i="104"/>
  <c r="F20" i="104"/>
  <c r="F84" i="104"/>
  <c r="F88" i="104"/>
  <c r="F57" i="104"/>
  <c r="F91" i="104"/>
  <c r="F102" i="104"/>
  <c r="F104" i="104"/>
  <c r="F58" i="104"/>
  <c r="F92" i="104"/>
  <c r="F99" i="104"/>
  <c r="F56" i="104"/>
  <c r="F95" i="104"/>
  <c r="F105" i="104"/>
  <c r="F106" i="104"/>
  <c r="F157" i="104"/>
  <c r="F161" i="104"/>
  <c r="F169" i="104"/>
  <c r="F175" i="104"/>
  <c r="D400" i="71"/>
  <c r="G12" i="104"/>
  <c r="G76" i="104"/>
  <c r="G78" i="104"/>
  <c r="G81" i="104"/>
  <c r="G18" i="104"/>
  <c r="G82" i="104"/>
  <c r="G19" i="104"/>
  <c r="G83" i="104"/>
  <c r="G20" i="104"/>
  <c r="G84" i="104"/>
  <c r="G88" i="104"/>
  <c r="G57" i="104"/>
  <c r="G91" i="104"/>
  <c r="G58" i="104"/>
  <c r="G92" i="104"/>
  <c r="G102" i="104"/>
  <c r="G104" i="104"/>
  <c r="G99" i="104"/>
  <c r="G56" i="104"/>
  <c r="G95" i="104"/>
  <c r="G105" i="104"/>
  <c r="G106" i="104"/>
  <c r="M11" i="142"/>
  <c r="N88" i="142"/>
  <c r="N89" i="142"/>
  <c r="N90" i="142"/>
  <c r="N91" i="142"/>
  <c r="N92" i="142"/>
  <c r="N93" i="142"/>
  <c r="N105" i="142"/>
  <c r="N106" i="142"/>
  <c r="N109" i="142"/>
  <c r="N97" i="142"/>
  <c r="G157" i="104"/>
  <c r="G161" i="104"/>
  <c r="G169" i="104"/>
  <c r="G175" i="104"/>
  <c r="E400" i="71"/>
  <c r="H12" i="104"/>
  <c r="H76" i="104"/>
  <c r="H78" i="104"/>
  <c r="H81" i="104"/>
  <c r="H18" i="104"/>
  <c r="H82" i="104"/>
  <c r="H19" i="104"/>
  <c r="H83" i="104"/>
  <c r="H20" i="104"/>
  <c r="H84" i="104"/>
  <c r="H88" i="104"/>
  <c r="H57" i="104"/>
  <c r="H91" i="104"/>
  <c r="H58" i="104"/>
  <c r="H92" i="104"/>
  <c r="H56" i="104"/>
  <c r="H95" i="104"/>
  <c r="H102" i="104"/>
  <c r="H104" i="104"/>
  <c r="H99" i="104"/>
  <c r="H105" i="104"/>
  <c r="H106" i="104"/>
  <c r="O76" i="142"/>
  <c r="O77" i="142"/>
  <c r="O78" i="142"/>
  <c r="O79" i="142"/>
  <c r="O80" i="142"/>
  <c r="N11" i="142"/>
  <c r="O88" i="142"/>
  <c r="O89" i="142"/>
  <c r="O90" i="142"/>
  <c r="O82" i="142"/>
  <c r="O83" i="142"/>
  <c r="O84" i="142"/>
  <c r="O91" i="142"/>
  <c r="O92" i="142"/>
  <c r="O93" i="142"/>
  <c r="O105" i="142"/>
  <c r="O106" i="142"/>
  <c r="O109" i="142"/>
  <c r="O97" i="142"/>
  <c r="O150" i="142"/>
  <c r="O151" i="142"/>
  <c r="O153" i="142"/>
  <c r="H157" i="104"/>
  <c r="H161" i="104"/>
  <c r="O170" i="142"/>
  <c r="H169" i="104"/>
  <c r="H175" i="104"/>
  <c r="F400" i="71"/>
  <c r="I12" i="104"/>
  <c r="I76" i="104"/>
  <c r="I78" i="104"/>
  <c r="I81" i="104"/>
  <c r="I18" i="104"/>
  <c r="I82" i="104"/>
  <c r="I19" i="104"/>
  <c r="I83" i="104"/>
  <c r="I20" i="104"/>
  <c r="I84" i="104"/>
  <c r="I88" i="104"/>
  <c r="I57" i="104"/>
  <c r="I91" i="104"/>
  <c r="I58" i="104"/>
  <c r="I92" i="104"/>
  <c r="I56" i="104"/>
  <c r="I95" i="104"/>
  <c r="I102" i="104"/>
  <c r="I104" i="104"/>
  <c r="I99" i="104"/>
  <c r="I105" i="104"/>
  <c r="I106" i="104"/>
  <c r="P76" i="142"/>
  <c r="P77" i="142"/>
  <c r="P78" i="142"/>
  <c r="P79" i="142"/>
  <c r="P80" i="142"/>
  <c r="P88" i="142"/>
  <c r="P89" i="142"/>
  <c r="P90" i="142"/>
  <c r="P82" i="142"/>
  <c r="P83" i="142"/>
  <c r="P84" i="142"/>
  <c r="P91" i="142"/>
  <c r="P92" i="142"/>
  <c r="P93" i="142"/>
  <c r="P105" i="142"/>
  <c r="P106" i="142"/>
  <c r="P109" i="142"/>
  <c r="P97" i="142"/>
  <c r="P150" i="142"/>
  <c r="P151" i="142"/>
  <c r="P153" i="142"/>
  <c r="I157" i="104"/>
  <c r="I161" i="104"/>
  <c r="P170" i="142"/>
  <c r="I169" i="104"/>
  <c r="I175" i="104"/>
  <c r="G400" i="71"/>
  <c r="H400" i="71"/>
  <c r="K12" i="104"/>
  <c r="K76" i="104"/>
  <c r="K78" i="104"/>
  <c r="K81" i="104"/>
  <c r="K18" i="104"/>
  <c r="K82" i="104"/>
  <c r="K19" i="104"/>
  <c r="K83" i="104"/>
  <c r="K20" i="104"/>
  <c r="K84" i="104"/>
  <c r="K88" i="104"/>
  <c r="K57" i="104"/>
  <c r="K91" i="104"/>
  <c r="K58" i="104"/>
  <c r="K92" i="104"/>
  <c r="K56" i="104"/>
  <c r="K95" i="104"/>
  <c r="K102" i="104"/>
  <c r="K104" i="104"/>
  <c r="K105" i="104"/>
  <c r="K106" i="104"/>
  <c r="R76" i="142"/>
  <c r="R77" i="142"/>
  <c r="R78" i="142"/>
  <c r="R79" i="142"/>
  <c r="R80" i="142"/>
  <c r="Q11" i="142"/>
  <c r="R89" i="142"/>
  <c r="R90" i="142"/>
  <c r="R82" i="142"/>
  <c r="R83" i="142"/>
  <c r="R84" i="142"/>
  <c r="R91" i="142"/>
  <c r="R92" i="142"/>
  <c r="R93" i="142"/>
  <c r="R105" i="142"/>
  <c r="R106" i="142"/>
  <c r="R109" i="142"/>
  <c r="R150" i="142"/>
  <c r="R151" i="142"/>
  <c r="R153" i="142"/>
  <c r="K157" i="104"/>
  <c r="K161" i="104"/>
  <c r="R170" i="142"/>
  <c r="K169" i="104"/>
  <c r="K175" i="104"/>
  <c r="I400" i="71"/>
  <c r="L12" i="104"/>
  <c r="L76" i="104"/>
  <c r="L78" i="104"/>
  <c r="L81" i="104"/>
  <c r="L18" i="104"/>
  <c r="L82" i="104"/>
  <c r="L19" i="104"/>
  <c r="L83" i="104"/>
  <c r="L20" i="104"/>
  <c r="L84" i="104"/>
  <c r="L88" i="104"/>
  <c r="L57" i="104"/>
  <c r="L91" i="104"/>
  <c r="L58" i="104"/>
  <c r="L92" i="104"/>
  <c r="L56" i="104"/>
  <c r="L95" i="104"/>
  <c r="L102" i="104"/>
  <c r="L104" i="104"/>
  <c r="L99" i="104"/>
  <c r="L105" i="104"/>
  <c r="L106" i="104"/>
  <c r="S76" i="142"/>
  <c r="S77" i="142"/>
  <c r="S78" i="142"/>
  <c r="S79" i="142"/>
  <c r="S80" i="142"/>
  <c r="R11" i="142"/>
  <c r="S89" i="142"/>
  <c r="S90" i="142"/>
  <c r="S82" i="142"/>
  <c r="S83" i="142"/>
  <c r="S84" i="142"/>
  <c r="S91" i="142"/>
  <c r="S92" i="142"/>
  <c r="S93" i="142"/>
  <c r="S105" i="142"/>
  <c r="S106" i="142"/>
  <c r="S109" i="142"/>
  <c r="S97" i="142"/>
  <c r="S150" i="142"/>
  <c r="S151" i="142"/>
  <c r="S153" i="142"/>
  <c r="L157" i="104"/>
  <c r="L161" i="104"/>
  <c r="S170" i="142"/>
  <c r="L169" i="104"/>
  <c r="L175" i="104"/>
  <c r="J400" i="71"/>
  <c r="M12" i="104"/>
  <c r="M76" i="104"/>
  <c r="M78" i="104"/>
  <c r="M81" i="104"/>
  <c r="M18" i="104"/>
  <c r="M82" i="104"/>
  <c r="M19" i="104"/>
  <c r="M83" i="104"/>
  <c r="M20" i="104"/>
  <c r="M84" i="104"/>
  <c r="M88" i="104"/>
  <c r="M57" i="104"/>
  <c r="M91" i="104"/>
  <c r="M58" i="104"/>
  <c r="M92" i="104"/>
  <c r="M56" i="104"/>
  <c r="M95" i="104"/>
  <c r="M102" i="104"/>
  <c r="M104" i="104"/>
  <c r="M99" i="104"/>
  <c r="M105" i="104"/>
  <c r="M106" i="104"/>
  <c r="T76" i="142"/>
  <c r="T77" i="142"/>
  <c r="T78" i="142"/>
  <c r="T79" i="142"/>
  <c r="T80" i="142"/>
  <c r="S11" i="142"/>
  <c r="T89" i="142"/>
  <c r="T90" i="142"/>
  <c r="T82" i="142"/>
  <c r="T83" i="142"/>
  <c r="T84" i="142"/>
  <c r="T91" i="142"/>
  <c r="T92" i="142"/>
  <c r="T93" i="142"/>
  <c r="T105" i="142"/>
  <c r="T106" i="142"/>
  <c r="T109" i="142"/>
  <c r="T97" i="142"/>
  <c r="T150" i="142"/>
  <c r="T151" i="142"/>
  <c r="T153" i="142"/>
  <c r="M157" i="104"/>
  <c r="M161" i="104"/>
  <c r="T170" i="142"/>
  <c r="M169" i="104"/>
  <c r="M175" i="104"/>
  <c r="K400" i="71"/>
  <c r="N12" i="104"/>
  <c r="N76" i="104"/>
  <c r="N78" i="104"/>
  <c r="N81" i="104"/>
  <c r="N18" i="104"/>
  <c r="N82" i="104"/>
  <c r="N19" i="104"/>
  <c r="N83" i="104"/>
  <c r="N20" i="104"/>
  <c r="N84" i="104"/>
  <c r="N88" i="104"/>
  <c r="N57" i="104"/>
  <c r="N91" i="104"/>
  <c r="N58" i="104"/>
  <c r="N92" i="104"/>
  <c r="N56" i="104"/>
  <c r="N95" i="104"/>
  <c r="N102" i="104"/>
  <c r="N104" i="104"/>
  <c r="N99" i="104"/>
  <c r="N105" i="104"/>
  <c r="N106" i="104"/>
  <c r="U76" i="142"/>
  <c r="U77" i="142"/>
  <c r="U78" i="142"/>
  <c r="U79" i="142"/>
  <c r="U80" i="142"/>
  <c r="T11" i="142"/>
  <c r="U89" i="142"/>
  <c r="U90" i="142"/>
  <c r="U82" i="142"/>
  <c r="U83" i="142"/>
  <c r="U84" i="142"/>
  <c r="U91" i="142"/>
  <c r="U92" i="142"/>
  <c r="U93" i="142"/>
  <c r="U105" i="142"/>
  <c r="U106" i="142"/>
  <c r="U109" i="142"/>
  <c r="U97" i="142"/>
  <c r="U150" i="142"/>
  <c r="U151" i="142"/>
  <c r="U153" i="142"/>
  <c r="N157" i="104"/>
  <c r="N161" i="104"/>
  <c r="U170" i="142"/>
  <c r="N169" i="104"/>
  <c r="N175" i="104"/>
  <c r="L400" i="71"/>
  <c r="O12" i="104"/>
  <c r="O76" i="104"/>
  <c r="O78" i="104"/>
  <c r="O81" i="104"/>
  <c r="O18" i="104"/>
  <c r="O82" i="104"/>
  <c r="O19" i="104"/>
  <c r="O83" i="104"/>
  <c r="O20" i="104"/>
  <c r="O84" i="104"/>
  <c r="O88" i="104"/>
  <c r="O57" i="104"/>
  <c r="O91" i="104"/>
  <c r="O58" i="104"/>
  <c r="O92" i="104"/>
  <c r="O56" i="104"/>
  <c r="O95" i="104"/>
  <c r="O102" i="104"/>
  <c r="O104" i="104"/>
  <c r="O99" i="104"/>
  <c r="O105" i="104"/>
  <c r="O106" i="104"/>
  <c r="V76" i="142"/>
  <c r="V77" i="142"/>
  <c r="V78" i="142"/>
  <c r="V79" i="142"/>
  <c r="V80" i="142"/>
  <c r="U11" i="142"/>
  <c r="V90" i="142"/>
  <c r="V82" i="142"/>
  <c r="V83" i="142"/>
  <c r="V84" i="142"/>
  <c r="V91" i="142"/>
  <c r="V92" i="142"/>
  <c r="V93" i="142"/>
  <c r="V105" i="142"/>
  <c r="V106" i="142"/>
  <c r="V109" i="142"/>
  <c r="V97" i="142"/>
  <c r="V150" i="142"/>
  <c r="V151" i="142"/>
  <c r="V153" i="142"/>
  <c r="O157" i="104"/>
  <c r="O161" i="104"/>
  <c r="V170" i="142"/>
  <c r="O169" i="104"/>
  <c r="O175" i="104"/>
  <c r="M400" i="71"/>
  <c r="P12" i="104"/>
  <c r="P76" i="104"/>
  <c r="P78" i="104"/>
  <c r="P81" i="104"/>
  <c r="P18" i="104"/>
  <c r="P82" i="104"/>
  <c r="P19" i="104"/>
  <c r="P83" i="104"/>
  <c r="P20" i="104"/>
  <c r="P84" i="104"/>
  <c r="P88" i="104"/>
  <c r="P57" i="104"/>
  <c r="P91" i="104"/>
  <c r="P58" i="104"/>
  <c r="P92" i="104"/>
  <c r="P56" i="104"/>
  <c r="P95" i="104"/>
  <c r="P102" i="104"/>
  <c r="P104" i="104"/>
  <c r="P99" i="104"/>
  <c r="P105" i="104"/>
  <c r="P106" i="104"/>
  <c r="W76" i="142"/>
  <c r="W77" i="142"/>
  <c r="W78" i="142"/>
  <c r="W79" i="142"/>
  <c r="W80" i="142"/>
  <c r="V11" i="142"/>
  <c r="W89" i="142"/>
  <c r="W90" i="142"/>
  <c r="W82" i="142"/>
  <c r="W83" i="142"/>
  <c r="W84" i="142"/>
  <c r="W91" i="142"/>
  <c r="W92" i="142"/>
  <c r="W93" i="142"/>
  <c r="W105" i="142"/>
  <c r="W106" i="142"/>
  <c r="W109" i="142"/>
  <c r="W97" i="142"/>
  <c r="W150" i="142"/>
  <c r="W151" i="142"/>
  <c r="W153" i="142"/>
  <c r="P157" i="104"/>
  <c r="P161" i="104"/>
  <c r="W170" i="142"/>
  <c r="P169" i="104"/>
  <c r="P175" i="104"/>
  <c r="N400" i="71"/>
  <c r="Q12" i="104"/>
  <c r="Q76" i="104"/>
  <c r="Q78" i="104"/>
  <c r="Q81" i="104"/>
  <c r="Q18" i="104"/>
  <c r="Q82" i="104"/>
  <c r="Q19" i="104"/>
  <c r="Q83" i="104"/>
  <c r="Q20" i="104"/>
  <c r="Q84" i="104"/>
  <c r="Q88" i="104"/>
  <c r="Q57" i="104"/>
  <c r="Q91" i="104"/>
  <c r="Q58" i="104"/>
  <c r="Q92" i="104"/>
  <c r="Q56" i="104"/>
  <c r="Q95" i="104"/>
  <c r="Q102" i="104"/>
  <c r="Q104" i="104"/>
  <c r="Q99" i="104"/>
  <c r="Q105" i="104"/>
  <c r="Q106" i="104"/>
  <c r="X76" i="142"/>
  <c r="X77" i="142"/>
  <c r="X78" i="142"/>
  <c r="X79" i="142"/>
  <c r="X80" i="142"/>
  <c r="W11" i="142"/>
  <c r="X89" i="142"/>
  <c r="X90" i="142"/>
  <c r="X82" i="142"/>
  <c r="X83" i="142"/>
  <c r="X84" i="142"/>
  <c r="X91" i="142"/>
  <c r="X92" i="142"/>
  <c r="X93" i="142"/>
  <c r="X105" i="142"/>
  <c r="X106" i="142"/>
  <c r="X109" i="142"/>
  <c r="X97" i="142"/>
  <c r="X150" i="142"/>
  <c r="X151" i="142"/>
  <c r="X153" i="142"/>
  <c r="Q157" i="104"/>
  <c r="Q161" i="104"/>
  <c r="X170" i="142"/>
  <c r="Q169" i="104"/>
  <c r="Q175" i="104"/>
  <c r="O400" i="71"/>
  <c r="R12" i="104"/>
  <c r="R76" i="104"/>
  <c r="R78" i="104"/>
  <c r="R81" i="104"/>
  <c r="R18" i="104"/>
  <c r="R82" i="104"/>
  <c r="R19" i="104"/>
  <c r="R83" i="104"/>
  <c r="R20" i="104"/>
  <c r="R84" i="104"/>
  <c r="R88" i="104"/>
  <c r="R57" i="104"/>
  <c r="R91" i="104"/>
  <c r="R58" i="104"/>
  <c r="R92" i="104"/>
  <c r="R56" i="104"/>
  <c r="R95" i="104"/>
  <c r="R102" i="104"/>
  <c r="R104" i="104"/>
  <c r="R99" i="104"/>
  <c r="R105" i="104"/>
  <c r="R106" i="104"/>
  <c r="Y76" i="142"/>
  <c r="Y77" i="142"/>
  <c r="Y78" i="142"/>
  <c r="Y79" i="142"/>
  <c r="Y80" i="142"/>
  <c r="X11" i="142"/>
  <c r="Y89" i="142"/>
  <c r="Y90" i="142"/>
  <c r="Y82" i="142"/>
  <c r="Y83" i="142"/>
  <c r="Y84" i="142"/>
  <c r="Y91" i="142"/>
  <c r="Y92" i="142"/>
  <c r="Y93" i="142"/>
  <c r="Y105" i="142"/>
  <c r="Y106" i="142"/>
  <c r="Y109" i="142"/>
  <c r="Y97" i="142"/>
  <c r="Y150" i="142"/>
  <c r="Y151" i="142"/>
  <c r="Y153" i="142"/>
  <c r="R157" i="104"/>
  <c r="R161" i="104"/>
  <c r="Y170" i="142"/>
  <c r="R169" i="104"/>
  <c r="R175" i="104"/>
  <c r="P400" i="71"/>
  <c r="S12" i="104"/>
  <c r="S76" i="104"/>
  <c r="S78" i="104"/>
  <c r="S81" i="104"/>
  <c r="S18" i="104"/>
  <c r="S82" i="104"/>
  <c r="S19" i="104"/>
  <c r="S83" i="104"/>
  <c r="S20" i="104"/>
  <c r="S84" i="104"/>
  <c r="S88" i="104"/>
  <c r="S57" i="104"/>
  <c r="S91" i="104"/>
  <c r="S58" i="104"/>
  <c r="S92" i="104"/>
  <c r="S56" i="104"/>
  <c r="S95" i="104"/>
  <c r="S102" i="104"/>
  <c r="S104" i="104"/>
  <c r="S99" i="104"/>
  <c r="S105" i="104"/>
  <c r="S106" i="104"/>
  <c r="Z76" i="142"/>
  <c r="Z77" i="142"/>
  <c r="Z78" i="142"/>
  <c r="Z79" i="142"/>
  <c r="Z80" i="142"/>
  <c r="Y11" i="142"/>
  <c r="Z89" i="142"/>
  <c r="Z90" i="142"/>
  <c r="Z82" i="142"/>
  <c r="Z83" i="142"/>
  <c r="Z84" i="142"/>
  <c r="Z91" i="142"/>
  <c r="Z92" i="142"/>
  <c r="Z93" i="142"/>
  <c r="Z105" i="142"/>
  <c r="Z106" i="142"/>
  <c r="Z109" i="142"/>
  <c r="Z97" i="142"/>
  <c r="Z150" i="142"/>
  <c r="Z151" i="142"/>
  <c r="Z153" i="142"/>
  <c r="S157" i="104"/>
  <c r="S161" i="104"/>
  <c r="Z170" i="142"/>
  <c r="S169" i="104"/>
  <c r="S175" i="104"/>
  <c r="Q400" i="71"/>
  <c r="T12" i="104"/>
  <c r="T76" i="104"/>
  <c r="T78" i="104"/>
  <c r="T81" i="104"/>
  <c r="T18" i="104"/>
  <c r="T82" i="104"/>
  <c r="T19" i="104"/>
  <c r="T83" i="104"/>
  <c r="T20" i="104"/>
  <c r="T84" i="104"/>
  <c r="T88" i="104"/>
  <c r="T57" i="104"/>
  <c r="T91" i="104"/>
  <c r="T58" i="104"/>
  <c r="T92" i="104"/>
  <c r="T56" i="104"/>
  <c r="T95" i="104"/>
  <c r="T102" i="104"/>
  <c r="T104" i="104"/>
  <c r="T99" i="104"/>
  <c r="T105" i="104"/>
  <c r="T106" i="104"/>
  <c r="AA76" i="142"/>
  <c r="AA77" i="142"/>
  <c r="AA78" i="142"/>
  <c r="AA79" i="142"/>
  <c r="AA80" i="142"/>
  <c r="Z11" i="142"/>
  <c r="AA90" i="142"/>
  <c r="AA82" i="142"/>
  <c r="AA83" i="142"/>
  <c r="AA84" i="142"/>
  <c r="AA91" i="142"/>
  <c r="AA92" i="142"/>
  <c r="AA93" i="142"/>
  <c r="AA105" i="142"/>
  <c r="AA106" i="142"/>
  <c r="AA109" i="142"/>
  <c r="AA97" i="142"/>
  <c r="AA150" i="142"/>
  <c r="AA151" i="142"/>
  <c r="AA153" i="142"/>
  <c r="T157" i="104"/>
  <c r="T161" i="104"/>
  <c r="AA170" i="142"/>
  <c r="T169" i="104"/>
  <c r="T175" i="104"/>
  <c r="R400" i="71"/>
  <c r="U12" i="104"/>
  <c r="U76" i="104"/>
  <c r="U78" i="104"/>
  <c r="U81" i="104"/>
  <c r="U18" i="104"/>
  <c r="U82" i="104"/>
  <c r="U19" i="104"/>
  <c r="U83" i="104"/>
  <c r="U20" i="104"/>
  <c r="U84" i="104"/>
  <c r="U88" i="104"/>
  <c r="U57" i="104"/>
  <c r="U91" i="104"/>
  <c r="U58" i="104"/>
  <c r="U92" i="104"/>
  <c r="U56" i="104"/>
  <c r="U95" i="104"/>
  <c r="U102" i="104"/>
  <c r="U104" i="104"/>
  <c r="U99" i="104"/>
  <c r="U105" i="104"/>
  <c r="U106" i="104"/>
  <c r="AB76" i="142"/>
  <c r="AB77" i="142"/>
  <c r="AB78" i="142"/>
  <c r="AB79" i="142"/>
  <c r="AB80" i="142"/>
  <c r="AA11" i="142"/>
  <c r="AB89" i="142"/>
  <c r="AB90" i="142"/>
  <c r="AB82" i="142"/>
  <c r="AB83" i="142"/>
  <c r="AB84" i="142"/>
  <c r="AB91" i="142"/>
  <c r="AB92" i="142"/>
  <c r="AB93" i="142"/>
  <c r="AB105" i="142"/>
  <c r="AB106" i="142"/>
  <c r="AB109" i="142"/>
  <c r="AB97" i="142"/>
  <c r="AB150" i="142"/>
  <c r="AB151" i="142"/>
  <c r="AB153" i="142"/>
  <c r="U157" i="104"/>
  <c r="U161" i="104"/>
  <c r="AB170" i="142"/>
  <c r="U169" i="104"/>
  <c r="U175" i="104"/>
  <c r="S400" i="71"/>
  <c r="V12" i="104"/>
  <c r="V76" i="104"/>
  <c r="V78" i="104"/>
  <c r="V81" i="104"/>
  <c r="V18" i="104"/>
  <c r="V82" i="104"/>
  <c r="V19" i="104"/>
  <c r="V83" i="104"/>
  <c r="V20" i="104"/>
  <c r="V84" i="104"/>
  <c r="V88" i="104"/>
  <c r="V57" i="104"/>
  <c r="V91" i="104"/>
  <c r="V58" i="104"/>
  <c r="V92" i="104"/>
  <c r="V56" i="104"/>
  <c r="V95" i="104"/>
  <c r="V102" i="104"/>
  <c r="V104" i="104"/>
  <c r="V99" i="104"/>
  <c r="V105" i="104"/>
  <c r="V106" i="104"/>
  <c r="AC76" i="142"/>
  <c r="AC77" i="142"/>
  <c r="AC78" i="142"/>
  <c r="AC79" i="142"/>
  <c r="AC80" i="142"/>
  <c r="AB11" i="142"/>
  <c r="AC89" i="142"/>
  <c r="AC90" i="142"/>
  <c r="AC82" i="142"/>
  <c r="AC83" i="142"/>
  <c r="AC84" i="142"/>
  <c r="AC91" i="142"/>
  <c r="AC92" i="142"/>
  <c r="AC93" i="142"/>
  <c r="AC105" i="142"/>
  <c r="AC106" i="142"/>
  <c r="AC109" i="142"/>
  <c r="AC97" i="142"/>
  <c r="AC150" i="142"/>
  <c r="AC151" i="142"/>
  <c r="AC153" i="142"/>
  <c r="V157" i="104"/>
  <c r="V161" i="104"/>
  <c r="AC170" i="142"/>
  <c r="V169" i="104"/>
  <c r="V175" i="104"/>
  <c r="T400" i="71"/>
  <c r="W12" i="104"/>
  <c r="W76" i="104"/>
  <c r="W78" i="104"/>
  <c r="W81" i="104"/>
  <c r="W18" i="104"/>
  <c r="W82" i="104"/>
  <c r="W19" i="104"/>
  <c r="W83" i="104"/>
  <c r="W20" i="104"/>
  <c r="W84" i="104"/>
  <c r="W88" i="104"/>
  <c r="W57" i="104"/>
  <c r="W91" i="104"/>
  <c r="W58" i="104"/>
  <c r="W92" i="104"/>
  <c r="W56" i="104"/>
  <c r="W95" i="104"/>
  <c r="W102" i="104"/>
  <c r="W104" i="104"/>
  <c r="W99" i="104"/>
  <c r="W105" i="104"/>
  <c r="W106" i="104"/>
  <c r="AD76" i="142"/>
  <c r="AD77" i="142"/>
  <c r="AD78" i="142"/>
  <c r="AD79" i="142"/>
  <c r="AD80" i="142"/>
  <c r="AC11" i="142"/>
  <c r="AD89" i="142"/>
  <c r="AD90" i="142"/>
  <c r="AD82" i="142"/>
  <c r="AD83" i="142"/>
  <c r="AD84" i="142"/>
  <c r="AD91" i="142"/>
  <c r="AD92" i="142"/>
  <c r="AD93" i="142"/>
  <c r="AD105" i="142"/>
  <c r="AD106" i="142"/>
  <c r="AD109" i="142"/>
  <c r="AD97" i="142"/>
  <c r="AD150" i="142"/>
  <c r="AD151" i="142"/>
  <c r="AD153" i="142"/>
  <c r="W157" i="104"/>
  <c r="W161" i="104"/>
  <c r="AD170" i="142"/>
  <c r="W169" i="104"/>
  <c r="W175" i="104"/>
  <c r="U400" i="71"/>
  <c r="X12" i="104"/>
  <c r="X76" i="104"/>
  <c r="X78" i="104"/>
  <c r="X81" i="104"/>
  <c r="X18" i="104"/>
  <c r="X82" i="104"/>
  <c r="X19" i="104"/>
  <c r="X83" i="104"/>
  <c r="X20" i="104"/>
  <c r="X84" i="104"/>
  <c r="X88" i="104"/>
  <c r="X57" i="104"/>
  <c r="X91" i="104"/>
  <c r="X58" i="104"/>
  <c r="X92" i="104"/>
  <c r="X56" i="104"/>
  <c r="X95" i="104"/>
  <c r="X102" i="104"/>
  <c r="X104" i="104"/>
  <c r="X99" i="104"/>
  <c r="X105" i="104"/>
  <c r="X106" i="104"/>
  <c r="AE76" i="142"/>
  <c r="AE77" i="142"/>
  <c r="AE78" i="142"/>
  <c r="AE79" i="142"/>
  <c r="AE80" i="142"/>
  <c r="AD11" i="142"/>
  <c r="AE89" i="142"/>
  <c r="AE90" i="142"/>
  <c r="AE82" i="142"/>
  <c r="AE83" i="142"/>
  <c r="AE84" i="142"/>
  <c r="AE91" i="142"/>
  <c r="AE92" i="142"/>
  <c r="AE93" i="142"/>
  <c r="AE105" i="142"/>
  <c r="AE106" i="142"/>
  <c r="AE109" i="142"/>
  <c r="AE97" i="142"/>
  <c r="AE150" i="142"/>
  <c r="AE151" i="142"/>
  <c r="AE153" i="142"/>
  <c r="X157" i="104"/>
  <c r="X161" i="104"/>
  <c r="AE170" i="142"/>
  <c r="X169" i="104"/>
  <c r="X175" i="104"/>
  <c r="V400" i="71"/>
  <c r="E169" i="104"/>
  <c r="E99" i="104"/>
  <c r="E76" i="104"/>
  <c r="E81" i="104"/>
  <c r="E18" i="104"/>
  <c r="E82" i="104"/>
  <c r="E19" i="104"/>
  <c r="E83" i="104"/>
  <c r="E20" i="104"/>
  <c r="E84" i="104"/>
  <c r="E102" i="104"/>
  <c r="E106" i="104"/>
  <c r="E157" i="104"/>
  <c r="E161" i="104"/>
  <c r="E175" i="104"/>
  <c r="C400" i="71"/>
  <c r="W400" i="71"/>
  <c r="M18" i="147"/>
  <c r="M19" i="147"/>
  <c r="X396" i="71"/>
  <c r="M17" i="147"/>
  <c r="D393" i="71"/>
  <c r="E393" i="71"/>
  <c r="F393" i="71"/>
  <c r="G393" i="71"/>
  <c r="H393" i="71"/>
  <c r="I393" i="71"/>
  <c r="J393" i="71"/>
  <c r="K393" i="71"/>
  <c r="L393" i="71"/>
  <c r="M393" i="71"/>
  <c r="N393" i="71"/>
  <c r="O393" i="71"/>
  <c r="P393" i="71"/>
  <c r="Q393" i="71"/>
  <c r="R393" i="71"/>
  <c r="S393" i="71"/>
  <c r="T393" i="71"/>
  <c r="U393" i="71"/>
  <c r="V393" i="71"/>
  <c r="C393" i="71"/>
  <c r="W393" i="71"/>
  <c r="M16" i="147"/>
  <c r="M15" i="147"/>
  <c r="D391" i="71"/>
  <c r="E391" i="71"/>
  <c r="F391" i="71"/>
  <c r="G391" i="71"/>
  <c r="H391" i="71"/>
  <c r="I391" i="71"/>
  <c r="J391" i="71"/>
  <c r="K391" i="71"/>
  <c r="L391" i="71"/>
  <c r="M391" i="71"/>
  <c r="N391" i="71"/>
  <c r="O391" i="71"/>
  <c r="P391" i="71"/>
  <c r="Q391" i="71"/>
  <c r="R391" i="71"/>
  <c r="S391" i="71"/>
  <c r="T391" i="71"/>
  <c r="U391" i="71"/>
  <c r="V391" i="71"/>
  <c r="C391" i="71"/>
  <c r="W391" i="71"/>
  <c r="M13" i="147"/>
  <c r="F12" i="117"/>
  <c r="F76" i="117"/>
  <c r="F78" i="117"/>
  <c r="F88" i="117"/>
  <c r="D109" i="94"/>
  <c r="D110" i="94"/>
  <c r="F57" i="117"/>
  <c r="F91" i="117"/>
  <c r="F102" i="117"/>
  <c r="F104" i="117"/>
  <c r="F58" i="117"/>
  <c r="F92" i="117"/>
  <c r="F99" i="117"/>
  <c r="F56" i="117"/>
  <c r="F95" i="117"/>
  <c r="F105" i="117"/>
  <c r="F106" i="117"/>
  <c r="F157" i="117"/>
  <c r="F161" i="117"/>
  <c r="F169" i="117"/>
  <c r="F175" i="117"/>
  <c r="D286" i="71"/>
  <c r="G12" i="117"/>
  <c r="G76" i="117"/>
  <c r="G78" i="117"/>
  <c r="G88" i="117"/>
  <c r="E109" i="94"/>
  <c r="E110" i="94"/>
  <c r="G57" i="117"/>
  <c r="G91" i="117"/>
  <c r="G58" i="117"/>
  <c r="G92" i="117"/>
  <c r="G102" i="117"/>
  <c r="G104" i="117"/>
  <c r="G99" i="117"/>
  <c r="G56" i="117"/>
  <c r="G95" i="117"/>
  <c r="G105" i="117"/>
  <c r="G106" i="117"/>
  <c r="M11" i="136"/>
  <c r="N87" i="136"/>
  <c r="N88" i="136"/>
  <c r="N89" i="136"/>
  <c r="N90" i="136"/>
  <c r="N91" i="136"/>
  <c r="N92" i="136"/>
  <c r="N104" i="136"/>
  <c r="N105" i="136"/>
  <c r="N108" i="136"/>
  <c r="N96" i="136"/>
  <c r="G157" i="117"/>
  <c r="G161" i="117"/>
  <c r="G169" i="117"/>
  <c r="G175" i="117"/>
  <c r="E286" i="71"/>
  <c r="H12" i="117"/>
  <c r="H76" i="117"/>
  <c r="H78" i="117"/>
  <c r="H81" i="117"/>
  <c r="H18" i="117"/>
  <c r="H82" i="117"/>
  <c r="H19" i="117"/>
  <c r="H83" i="117"/>
  <c r="H20" i="117"/>
  <c r="H84" i="117"/>
  <c r="H88" i="117"/>
  <c r="F109" i="94"/>
  <c r="F110" i="94"/>
  <c r="H57" i="117"/>
  <c r="H91" i="117"/>
  <c r="H58" i="117"/>
  <c r="H92" i="117"/>
  <c r="H56" i="117"/>
  <c r="H95" i="117"/>
  <c r="H102" i="117"/>
  <c r="H104" i="117"/>
  <c r="H99" i="117"/>
  <c r="H105" i="117"/>
  <c r="H106" i="117"/>
  <c r="O76" i="136"/>
  <c r="O77" i="136"/>
  <c r="O78" i="136"/>
  <c r="O79" i="136"/>
  <c r="N11" i="136"/>
  <c r="O87" i="136"/>
  <c r="O88" i="136"/>
  <c r="O89" i="136"/>
  <c r="O81" i="136"/>
  <c r="O82" i="136"/>
  <c r="O83" i="136"/>
  <c r="O90" i="136"/>
  <c r="O91" i="136"/>
  <c r="O92" i="136"/>
  <c r="O104" i="136"/>
  <c r="O105" i="136"/>
  <c r="O108" i="136"/>
  <c r="O96" i="136"/>
  <c r="O149" i="136"/>
  <c r="O150" i="136"/>
  <c r="O152" i="136"/>
  <c r="H157" i="117"/>
  <c r="H161" i="117"/>
  <c r="O169" i="136"/>
  <c r="H169" i="117"/>
  <c r="H175" i="117"/>
  <c r="F286" i="71"/>
  <c r="I12" i="117"/>
  <c r="I76" i="117"/>
  <c r="I78" i="117"/>
  <c r="I81" i="117"/>
  <c r="I18" i="117"/>
  <c r="I82" i="117"/>
  <c r="I19" i="117"/>
  <c r="I83" i="117"/>
  <c r="I20" i="117"/>
  <c r="I84" i="117"/>
  <c r="I88" i="117"/>
  <c r="G109" i="94"/>
  <c r="G110" i="94"/>
  <c r="I57" i="117"/>
  <c r="I91" i="117"/>
  <c r="I58" i="117"/>
  <c r="I92" i="117"/>
  <c r="I56" i="117"/>
  <c r="I95" i="117"/>
  <c r="I102" i="117"/>
  <c r="I104" i="117"/>
  <c r="I99" i="117"/>
  <c r="I105" i="117"/>
  <c r="I106" i="117"/>
  <c r="P76" i="136"/>
  <c r="P77" i="136"/>
  <c r="P78" i="136"/>
  <c r="P79" i="136"/>
  <c r="P87" i="136"/>
  <c r="P88" i="136"/>
  <c r="P89" i="136"/>
  <c r="P81" i="136"/>
  <c r="P82" i="136"/>
  <c r="P83" i="136"/>
  <c r="P90" i="136"/>
  <c r="P91" i="136"/>
  <c r="P92" i="136"/>
  <c r="P104" i="136"/>
  <c r="P105" i="136"/>
  <c r="P108" i="136"/>
  <c r="P96" i="136"/>
  <c r="P149" i="136"/>
  <c r="P150" i="136"/>
  <c r="P152" i="136"/>
  <c r="I157" i="117"/>
  <c r="I161" i="117"/>
  <c r="P169" i="136"/>
  <c r="I169" i="117"/>
  <c r="I175" i="117"/>
  <c r="G286" i="71"/>
  <c r="H286" i="71"/>
  <c r="K12" i="117"/>
  <c r="K76" i="117"/>
  <c r="K78" i="117"/>
  <c r="K81" i="117"/>
  <c r="K18" i="117"/>
  <c r="K82" i="117"/>
  <c r="K19" i="117"/>
  <c r="K83" i="117"/>
  <c r="K20" i="117"/>
  <c r="K84" i="117"/>
  <c r="K88" i="117"/>
  <c r="I109" i="94"/>
  <c r="I110" i="94"/>
  <c r="K57" i="117"/>
  <c r="K91" i="117"/>
  <c r="K58" i="117"/>
  <c r="K92" i="117"/>
  <c r="K56" i="117"/>
  <c r="K95" i="117"/>
  <c r="K102" i="117"/>
  <c r="K104" i="117"/>
  <c r="K99" i="117"/>
  <c r="K105" i="117"/>
  <c r="K106" i="117"/>
  <c r="R76" i="136"/>
  <c r="R77" i="136"/>
  <c r="R78" i="136"/>
  <c r="R79" i="136"/>
  <c r="Q11" i="136"/>
  <c r="R87" i="136"/>
  <c r="R88" i="136"/>
  <c r="R89" i="136"/>
  <c r="R81" i="136"/>
  <c r="R82" i="136"/>
  <c r="R83" i="136"/>
  <c r="R90" i="136"/>
  <c r="R91" i="136"/>
  <c r="R92" i="136"/>
  <c r="R104" i="136"/>
  <c r="R105" i="136"/>
  <c r="R108" i="136"/>
  <c r="R149" i="136"/>
  <c r="R150" i="136"/>
  <c r="R152" i="136"/>
  <c r="K157" i="117"/>
  <c r="K161" i="117"/>
  <c r="R169" i="136"/>
  <c r="K169" i="117"/>
  <c r="K175" i="117"/>
  <c r="I286" i="71"/>
  <c r="L12" i="117"/>
  <c r="L76" i="117"/>
  <c r="L78" i="117"/>
  <c r="L81" i="117"/>
  <c r="L18" i="117"/>
  <c r="L82" i="117"/>
  <c r="L19" i="117"/>
  <c r="L83" i="117"/>
  <c r="L20" i="117"/>
  <c r="L84" i="117"/>
  <c r="L88" i="117"/>
  <c r="J109" i="94"/>
  <c r="J110" i="94"/>
  <c r="L57" i="117"/>
  <c r="L91" i="117"/>
  <c r="L58" i="117"/>
  <c r="L92" i="117"/>
  <c r="L56" i="117"/>
  <c r="L95" i="117"/>
  <c r="L102" i="117"/>
  <c r="L104" i="117"/>
  <c r="L99" i="117"/>
  <c r="L105" i="117"/>
  <c r="L106" i="117"/>
  <c r="S76" i="136"/>
  <c r="S77" i="136"/>
  <c r="S78" i="136"/>
  <c r="S79" i="136"/>
  <c r="R11" i="136"/>
  <c r="S87" i="136"/>
  <c r="S88" i="136"/>
  <c r="S89" i="136"/>
  <c r="S81" i="136"/>
  <c r="S82" i="136"/>
  <c r="S83" i="136"/>
  <c r="S90" i="136"/>
  <c r="S91" i="136"/>
  <c r="S92" i="136"/>
  <c r="S104" i="136"/>
  <c r="S105" i="136"/>
  <c r="S108" i="136"/>
  <c r="S96" i="136"/>
  <c r="S149" i="136"/>
  <c r="S150" i="136"/>
  <c r="S152" i="136"/>
  <c r="L157" i="117"/>
  <c r="L161" i="117"/>
  <c r="S169" i="136"/>
  <c r="L169" i="117"/>
  <c r="L175" i="117"/>
  <c r="J286" i="71"/>
  <c r="M12" i="117"/>
  <c r="M76" i="117"/>
  <c r="M78" i="117"/>
  <c r="M81" i="117"/>
  <c r="M18" i="117"/>
  <c r="M82" i="117"/>
  <c r="M19" i="117"/>
  <c r="M83" i="117"/>
  <c r="M20" i="117"/>
  <c r="M84" i="117"/>
  <c r="M88" i="117"/>
  <c r="K109" i="94"/>
  <c r="K110" i="94"/>
  <c r="M57" i="117"/>
  <c r="M91" i="117"/>
  <c r="M58" i="117"/>
  <c r="M92" i="117"/>
  <c r="M56" i="117"/>
  <c r="M95" i="117"/>
  <c r="M102" i="117"/>
  <c r="M104" i="117"/>
  <c r="M99" i="117"/>
  <c r="M105" i="117"/>
  <c r="M106" i="117"/>
  <c r="T76" i="136"/>
  <c r="T77" i="136"/>
  <c r="T78" i="136"/>
  <c r="T79" i="136"/>
  <c r="S11" i="136"/>
  <c r="T87" i="136"/>
  <c r="T88" i="136"/>
  <c r="T89" i="136"/>
  <c r="T81" i="136"/>
  <c r="T82" i="136"/>
  <c r="T83" i="136"/>
  <c r="T90" i="136"/>
  <c r="T91" i="136"/>
  <c r="T92" i="136"/>
  <c r="T104" i="136"/>
  <c r="T105" i="136"/>
  <c r="T108" i="136"/>
  <c r="T96" i="136"/>
  <c r="T149" i="136"/>
  <c r="T150" i="136"/>
  <c r="T152" i="136"/>
  <c r="M157" i="117"/>
  <c r="M161" i="117"/>
  <c r="T169" i="136"/>
  <c r="M169" i="117"/>
  <c r="M175" i="117"/>
  <c r="K286" i="71"/>
  <c r="N12" i="117"/>
  <c r="N76" i="117"/>
  <c r="N78" i="117"/>
  <c r="N81" i="117"/>
  <c r="N18" i="117"/>
  <c r="N82" i="117"/>
  <c r="N19" i="117"/>
  <c r="N83" i="117"/>
  <c r="N20" i="117"/>
  <c r="N84" i="117"/>
  <c r="N88" i="117"/>
  <c r="L109" i="94"/>
  <c r="L110" i="94"/>
  <c r="N57" i="117"/>
  <c r="N91" i="117"/>
  <c r="N58" i="117"/>
  <c r="N92" i="117"/>
  <c r="N56" i="117"/>
  <c r="N95" i="117"/>
  <c r="N102" i="117"/>
  <c r="N104" i="117"/>
  <c r="N99" i="117"/>
  <c r="N105" i="117"/>
  <c r="N106" i="117"/>
  <c r="U76" i="136"/>
  <c r="U77" i="136"/>
  <c r="U78" i="136"/>
  <c r="U79" i="136"/>
  <c r="T11" i="136"/>
  <c r="U87" i="136"/>
  <c r="U88" i="136"/>
  <c r="U89" i="136"/>
  <c r="U81" i="136"/>
  <c r="U82" i="136"/>
  <c r="U83" i="136"/>
  <c r="U90" i="136"/>
  <c r="U91" i="136"/>
  <c r="U92" i="136"/>
  <c r="U104" i="136"/>
  <c r="U105" i="136"/>
  <c r="U108" i="136"/>
  <c r="U96" i="136"/>
  <c r="U149" i="136"/>
  <c r="U150" i="136"/>
  <c r="U152" i="136"/>
  <c r="N157" i="117"/>
  <c r="N161" i="117"/>
  <c r="U169" i="136"/>
  <c r="N169" i="117"/>
  <c r="N175" i="117"/>
  <c r="L286" i="71"/>
  <c r="O12" i="117"/>
  <c r="O76" i="117"/>
  <c r="O78" i="117"/>
  <c r="O81" i="117"/>
  <c r="O18" i="117"/>
  <c r="O82" i="117"/>
  <c r="O19" i="117"/>
  <c r="O83" i="117"/>
  <c r="O20" i="117"/>
  <c r="O84" i="117"/>
  <c r="O88" i="117"/>
  <c r="M109" i="94"/>
  <c r="M110" i="94"/>
  <c r="O57" i="117"/>
  <c r="O91" i="117"/>
  <c r="O58" i="117"/>
  <c r="O92" i="117"/>
  <c r="O56" i="117"/>
  <c r="O95" i="117"/>
  <c r="O102" i="117"/>
  <c r="O104" i="117"/>
  <c r="O99" i="117"/>
  <c r="O105" i="117"/>
  <c r="O106" i="117"/>
  <c r="V76" i="136"/>
  <c r="V77" i="136"/>
  <c r="V78" i="136"/>
  <c r="V79" i="136"/>
  <c r="U11" i="136"/>
  <c r="V87" i="136"/>
  <c r="V89" i="136"/>
  <c r="V81" i="136"/>
  <c r="V82" i="136"/>
  <c r="V83" i="136"/>
  <c r="V90" i="136"/>
  <c r="V91" i="136"/>
  <c r="V92" i="136"/>
  <c r="V104" i="136"/>
  <c r="V105" i="136"/>
  <c r="V108" i="136"/>
  <c r="V96" i="136"/>
  <c r="V149" i="136"/>
  <c r="V150" i="136"/>
  <c r="V152" i="136"/>
  <c r="O157" i="117"/>
  <c r="O161" i="117"/>
  <c r="V169" i="136"/>
  <c r="O169" i="117"/>
  <c r="O175" i="117"/>
  <c r="M286" i="71"/>
  <c r="P12" i="117"/>
  <c r="P76" i="117"/>
  <c r="P78" i="117"/>
  <c r="P81" i="117"/>
  <c r="P18" i="117"/>
  <c r="P82" i="117"/>
  <c r="P19" i="117"/>
  <c r="P83" i="117"/>
  <c r="P20" i="117"/>
  <c r="P84" i="117"/>
  <c r="P88" i="117"/>
  <c r="N109" i="94"/>
  <c r="N110" i="94"/>
  <c r="P57" i="117"/>
  <c r="P91" i="117"/>
  <c r="P58" i="117"/>
  <c r="P92" i="117"/>
  <c r="P56" i="117"/>
  <c r="P95" i="117"/>
  <c r="P102" i="117"/>
  <c r="P104" i="117"/>
  <c r="P99" i="117"/>
  <c r="P105" i="117"/>
  <c r="P106" i="117"/>
  <c r="W76" i="136"/>
  <c r="W77" i="136"/>
  <c r="W78" i="136"/>
  <c r="W79" i="136"/>
  <c r="V11" i="136"/>
  <c r="W87" i="136"/>
  <c r="W88" i="136"/>
  <c r="W89" i="136"/>
  <c r="W81" i="136"/>
  <c r="W82" i="136"/>
  <c r="W83" i="136"/>
  <c r="W90" i="136"/>
  <c r="W91" i="136"/>
  <c r="W92" i="136"/>
  <c r="W104" i="136"/>
  <c r="W105" i="136"/>
  <c r="W108" i="136"/>
  <c r="W96" i="136"/>
  <c r="W149" i="136"/>
  <c r="W150" i="136"/>
  <c r="W152" i="136"/>
  <c r="P157" i="117"/>
  <c r="P161" i="117"/>
  <c r="W169" i="136"/>
  <c r="P169" i="117"/>
  <c r="P175" i="117"/>
  <c r="N286" i="71"/>
  <c r="Q12" i="117"/>
  <c r="Q76" i="117"/>
  <c r="Q78" i="117"/>
  <c r="Q81" i="117"/>
  <c r="Q18" i="117"/>
  <c r="Q82" i="117"/>
  <c r="Q19" i="117"/>
  <c r="Q83" i="117"/>
  <c r="Q20" i="117"/>
  <c r="Q84" i="117"/>
  <c r="Q88" i="117"/>
  <c r="O109" i="94"/>
  <c r="O110" i="94"/>
  <c r="Q57" i="117"/>
  <c r="Q91" i="117"/>
  <c r="Q58" i="117"/>
  <c r="Q92" i="117"/>
  <c r="Q56" i="117"/>
  <c r="Q95" i="117"/>
  <c r="Q102" i="117"/>
  <c r="Q104" i="117"/>
  <c r="Q99" i="117"/>
  <c r="Q105" i="117"/>
  <c r="Q106" i="117"/>
  <c r="X76" i="136"/>
  <c r="X77" i="136"/>
  <c r="X78" i="136"/>
  <c r="X79" i="136"/>
  <c r="W11" i="136"/>
  <c r="X87" i="136"/>
  <c r="X88" i="136"/>
  <c r="X89" i="136"/>
  <c r="X81" i="136"/>
  <c r="X82" i="136"/>
  <c r="X83" i="136"/>
  <c r="X90" i="136"/>
  <c r="X91" i="136"/>
  <c r="X92" i="136"/>
  <c r="X104" i="136"/>
  <c r="X105" i="136"/>
  <c r="X108" i="136"/>
  <c r="X96" i="136"/>
  <c r="X149" i="136"/>
  <c r="X150" i="136"/>
  <c r="X152" i="136"/>
  <c r="Q157" i="117"/>
  <c r="Q161" i="117"/>
  <c r="X169" i="136"/>
  <c r="Q169" i="117"/>
  <c r="Q175" i="117"/>
  <c r="O286" i="71"/>
  <c r="R12" i="117"/>
  <c r="R76" i="117"/>
  <c r="R78" i="117"/>
  <c r="R81" i="117"/>
  <c r="R18" i="117"/>
  <c r="R82" i="117"/>
  <c r="R19" i="117"/>
  <c r="R83" i="117"/>
  <c r="R20" i="117"/>
  <c r="R84" i="117"/>
  <c r="R88" i="117"/>
  <c r="P109" i="94"/>
  <c r="P110" i="94"/>
  <c r="R57" i="117"/>
  <c r="R91" i="117"/>
  <c r="R58" i="117"/>
  <c r="R92" i="117"/>
  <c r="R56" i="117"/>
  <c r="R95" i="117"/>
  <c r="R102" i="117"/>
  <c r="R104" i="117"/>
  <c r="R99" i="117"/>
  <c r="R105" i="117"/>
  <c r="R106" i="117"/>
  <c r="Y76" i="136"/>
  <c r="Y77" i="136"/>
  <c r="Y78" i="136"/>
  <c r="Y79" i="136"/>
  <c r="X11" i="136"/>
  <c r="Y87" i="136"/>
  <c r="Y88" i="136"/>
  <c r="Y89" i="136"/>
  <c r="Y81" i="136"/>
  <c r="Y82" i="136"/>
  <c r="Y83" i="136"/>
  <c r="Y90" i="136"/>
  <c r="Y91" i="136"/>
  <c r="Y92" i="136"/>
  <c r="Y104" i="136"/>
  <c r="Y105" i="136"/>
  <c r="Y108" i="136"/>
  <c r="Y96" i="136"/>
  <c r="Y149" i="136"/>
  <c r="Y150" i="136"/>
  <c r="Y152" i="136"/>
  <c r="R157" i="117"/>
  <c r="R161" i="117"/>
  <c r="Y169" i="136"/>
  <c r="R169" i="117"/>
  <c r="R175" i="117"/>
  <c r="P286" i="71"/>
  <c r="S12" i="117"/>
  <c r="S76" i="117"/>
  <c r="S78" i="117"/>
  <c r="S81" i="117"/>
  <c r="S18" i="117"/>
  <c r="S82" i="117"/>
  <c r="S19" i="117"/>
  <c r="S83" i="117"/>
  <c r="S20" i="117"/>
  <c r="S84" i="117"/>
  <c r="S88" i="117"/>
  <c r="Q109" i="94"/>
  <c r="Q110" i="94"/>
  <c r="S57" i="117"/>
  <c r="S91" i="117"/>
  <c r="S58" i="117"/>
  <c r="S92" i="117"/>
  <c r="S56" i="117"/>
  <c r="S95" i="117"/>
  <c r="S102" i="117"/>
  <c r="S104" i="117"/>
  <c r="S99" i="117"/>
  <c r="S105" i="117"/>
  <c r="S106" i="117"/>
  <c r="Z76" i="136"/>
  <c r="Z77" i="136"/>
  <c r="Z78" i="136"/>
  <c r="Z79" i="136"/>
  <c r="Y11" i="136"/>
  <c r="Z87" i="136"/>
  <c r="Z88" i="136"/>
  <c r="Z89" i="136"/>
  <c r="Z81" i="136"/>
  <c r="Z82" i="136"/>
  <c r="Z83" i="136"/>
  <c r="Z90" i="136"/>
  <c r="Z91" i="136"/>
  <c r="Z92" i="136"/>
  <c r="Z104" i="136"/>
  <c r="Z105" i="136"/>
  <c r="Z108" i="136"/>
  <c r="Z96" i="136"/>
  <c r="Z149" i="136"/>
  <c r="Z150" i="136"/>
  <c r="Z152" i="136"/>
  <c r="S157" i="117"/>
  <c r="S161" i="117"/>
  <c r="Z169" i="136"/>
  <c r="S169" i="117"/>
  <c r="S175" i="117"/>
  <c r="Q286" i="71"/>
  <c r="T12" i="117"/>
  <c r="T76" i="117"/>
  <c r="T78" i="117"/>
  <c r="T81" i="117"/>
  <c r="T18" i="117"/>
  <c r="T82" i="117"/>
  <c r="T19" i="117"/>
  <c r="T83" i="117"/>
  <c r="T20" i="117"/>
  <c r="T84" i="117"/>
  <c r="T88" i="117"/>
  <c r="R109" i="94"/>
  <c r="R110" i="94"/>
  <c r="T57" i="117"/>
  <c r="T91" i="117"/>
  <c r="T58" i="117"/>
  <c r="T92" i="117"/>
  <c r="T56" i="117"/>
  <c r="T95" i="117"/>
  <c r="T102" i="117"/>
  <c r="T104" i="117"/>
  <c r="T99" i="117"/>
  <c r="T105" i="117"/>
  <c r="T106" i="117"/>
  <c r="AA76" i="136"/>
  <c r="AA77" i="136"/>
  <c r="AA78" i="136"/>
  <c r="AA79" i="136"/>
  <c r="Z11" i="136"/>
  <c r="AA87" i="136"/>
  <c r="AA89" i="136"/>
  <c r="AA81" i="136"/>
  <c r="AA82" i="136"/>
  <c r="AA83" i="136"/>
  <c r="AA90" i="136"/>
  <c r="AA91" i="136"/>
  <c r="AA92" i="136"/>
  <c r="AA104" i="136"/>
  <c r="AA105" i="136"/>
  <c r="AA108" i="136"/>
  <c r="AA96" i="136"/>
  <c r="AA149" i="136"/>
  <c r="AA150" i="136"/>
  <c r="AA152" i="136"/>
  <c r="T157" i="117"/>
  <c r="T161" i="117"/>
  <c r="AA169" i="136"/>
  <c r="T169" i="117"/>
  <c r="T175" i="117"/>
  <c r="R286" i="71"/>
  <c r="U12" i="117"/>
  <c r="U76" i="117"/>
  <c r="U78" i="117"/>
  <c r="U81" i="117"/>
  <c r="U18" i="117"/>
  <c r="U82" i="117"/>
  <c r="U19" i="117"/>
  <c r="U83" i="117"/>
  <c r="U20" i="117"/>
  <c r="U84" i="117"/>
  <c r="U88" i="117"/>
  <c r="S109" i="94"/>
  <c r="S110" i="94"/>
  <c r="U57" i="117"/>
  <c r="U91" i="117"/>
  <c r="U58" i="117"/>
  <c r="U92" i="117"/>
  <c r="U56" i="117"/>
  <c r="U95" i="117"/>
  <c r="U102" i="117"/>
  <c r="U104" i="117"/>
  <c r="U99" i="117"/>
  <c r="U105" i="117"/>
  <c r="U106" i="117"/>
  <c r="AB76" i="136"/>
  <c r="AB77" i="136"/>
  <c r="AB78" i="136"/>
  <c r="AB79" i="136"/>
  <c r="AA11" i="136"/>
  <c r="AB87" i="136"/>
  <c r="AB88" i="136"/>
  <c r="AB89" i="136"/>
  <c r="AB81" i="136"/>
  <c r="AB82" i="136"/>
  <c r="AB83" i="136"/>
  <c r="AB90" i="136"/>
  <c r="AB91" i="136"/>
  <c r="AB92" i="136"/>
  <c r="AB104" i="136"/>
  <c r="AB105" i="136"/>
  <c r="AB108" i="136"/>
  <c r="AB96" i="136"/>
  <c r="AB149" i="136"/>
  <c r="AB150" i="136"/>
  <c r="AB152" i="136"/>
  <c r="U157" i="117"/>
  <c r="U161" i="117"/>
  <c r="AB169" i="136"/>
  <c r="U169" i="117"/>
  <c r="U175" i="117"/>
  <c r="S286" i="71"/>
  <c r="V12" i="117"/>
  <c r="V76" i="117"/>
  <c r="V78" i="117"/>
  <c r="V81" i="117"/>
  <c r="V18" i="117"/>
  <c r="V82" i="117"/>
  <c r="V19" i="117"/>
  <c r="V83" i="117"/>
  <c r="V20" i="117"/>
  <c r="V84" i="117"/>
  <c r="V88" i="117"/>
  <c r="T109" i="94"/>
  <c r="T110" i="94"/>
  <c r="V57" i="117"/>
  <c r="V91" i="117"/>
  <c r="V58" i="117"/>
  <c r="V92" i="117"/>
  <c r="V56" i="117"/>
  <c r="V95" i="117"/>
  <c r="V102" i="117"/>
  <c r="V104" i="117"/>
  <c r="V99" i="117"/>
  <c r="V105" i="117"/>
  <c r="V106" i="117"/>
  <c r="AC76" i="136"/>
  <c r="AC77" i="136"/>
  <c r="AC78" i="136"/>
  <c r="AC79" i="136"/>
  <c r="AB11" i="136"/>
  <c r="AC87" i="136"/>
  <c r="AC88" i="136"/>
  <c r="AC89" i="136"/>
  <c r="AC81" i="136"/>
  <c r="AC82" i="136"/>
  <c r="AC83" i="136"/>
  <c r="AC90" i="136"/>
  <c r="AC91" i="136"/>
  <c r="AC92" i="136"/>
  <c r="AC104" i="136"/>
  <c r="AC105" i="136"/>
  <c r="AC108" i="136"/>
  <c r="AC96" i="136"/>
  <c r="AC149" i="136"/>
  <c r="AC150" i="136"/>
  <c r="AC152" i="136"/>
  <c r="V157" i="117"/>
  <c r="V161" i="117"/>
  <c r="AC169" i="136"/>
  <c r="V169" i="117"/>
  <c r="V175" i="117"/>
  <c r="T286" i="71"/>
  <c r="W12" i="117"/>
  <c r="W76" i="117"/>
  <c r="W78" i="117"/>
  <c r="W81" i="117"/>
  <c r="W18" i="117"/>
  <c r="W82" i="117"/>
  <c r="W19" i="117"/>
  <c r="W83" i="117"/>
  <c r="W20" i="117"/>
  <c r="W84" i="117"/>
  <c r="W88" i="117"/>
  <c r="U109" i="94"/>
  <c r="U110" i="94"/>
  <c r="W57" i="117"/>
  <c r="W91" i="117"/>
  <c r="W58" i="117"/>
  <c r="W92" i="117"/>
  <c r="W56" i="117"/>
  <c r="W95" i="117"/>
  <c r="W102" i="117"/>
  <c r="W104" i="117"/>
  <c r="W99" i="117"/>
  <c r="W105" i="117"/>
  <c r="W106" i="117"/>
  <c r="AD76" i="136"/>
  <c r="AD77" i="136"/>
  <c r="AD78" i="136"/>
  <c r="AD79" i="136"/>
  <c r="AC11" i="136"/>
  <c r="AD87" i="136"/>
  <c r="AD88" i="136"/>
  <c r="AD89" i="136"/>
  <c r="AD81" i="136"/>
  <c r="AD82" i="136"/>
  <c r="AD83" i="136"/>
  <c r="AD90" i="136"/>
  <c r="AD91" i="136"/>
  <c r="AD92" i="136"/>
  <c r="AD104" i="136"/>
  <c r="AD105" i="136"/>
  <c r="AD108" i="136"/>
  <c r="AD96" i="136"/>
  <c r="AD149" i="136"/>
  <c r="AD150" i="136"/>
  <c r="AD152" i="136"/>
  <c r="W157" i="117"/>
  <c r="W161" i="117"/>
  <c r="AD169" i="136"/>
  <c r="W169" i="117"/>
  <c r="W175" i="117"/>
  <c r="U286" i="71"/>
  <c r="X12" i="117"/>
  <c r="X76" i="117"/>
  <c r="X78" i="117"/>
  <c r="X81" i="117"/>
  <c r="X18" i="117"/>
  <c r="X82" i="117"/>
  <c r="X19" i="117"/>
  <c r="X83" i="117"/>
  <c r="X20" i="117"/>
  <c r="X84" i="117"/>
  <c r="X88" i="117"/>
  <c r="V109" i="94"/>
  <c r="V110" i="94"/>
  <c r="X57" i="117"/>
  <c r="X91" i="117"/>
  <c r="X58" i="117"/>
  <c r="X92" i="117"/>
  <c r="X56" i="117"/>
  <c r="X95" i="117"/>
  <c r="X102" i="117"/>
  <c r="X104" i="117"/>
  <c r="X99" i="117"/>
  <c r="X105" i="117"/>
  <c r="X106" i="117"/>
  <c r="AE76" i="136"/>
  <c r="AE77" i="136"/>
  <c r="AE78" i="136"/>
  <c r="AE79" i="136"/>
  <c r="AD11" i="136"/>
  <c r="AE87" i="136"/>
  <c r="AE88" i="136"/>
  <c r="AE89" i="136"/>
  <c r="AE81" i="136"/>
  <c r="AE82" i="136"/>
  <c r="AE83" i="136"/>
  <c r="AE90" i="136"/>
  <c r="AE91" i="136"/>
  <c r="AE92" i="136"/>
  <c r="AE104" i="136"/>
  <c r="AE105" i="136"/>
  <c r="AE108" i="136"/>
  <c r="AE96" i="136"/>
  <c r="AE149" i="136"/>
  <c r="AE150" i="136"/>
  <c r="AE152" i="136"/>
  <c r="X157" i="117"/>
  <c r="X161" i="117"/>
  <c r="AE169" i="136"/>
  <c r="X169" i="117"/>
  <c r="X175" i="117"/>
  <c r="V286" i="71"/>
  <c r="E169" i="117"/>
  <c r="E99" i="117"/>
  <c r="E76" i="117"/>
  <c r="E102" i="117"/>
  <c r="E106" i="117"/>
  <c r="E157" i="117"/>
  <c r="E161" i="117"/>
  <c r="E175" i="117"/>
  <c r="C286" i="71"/>
  <c r="W286" i="71"/>
  <c r="L18" i="147"/>
  <c r="L19" i="147"/>
  <c r="X282" i="71"/>
  <c r="L17" i="147"/>
  <c r="D279" i="71"/>
  <c r="E279" i="71"/>
  <c r="F279" i="71"/>
  <c r="G279" i="71"/>
  <c r="H279" i="71"/>
  <c r="I279" i="71"/>
  <c r="J279" i="71"/>
  <c r="K279" i="71"/>
  <c r="L279" i="71"/>
  <c r="M279" i="71"/>
  <c r="N279" i="71"/>
  <c r="O279" i="71"/>
  <c r="P279" i="71"/>
  <c r="Q279" i="71"/>
  <c r="R279" i="71"/>
  <c r="S279" i="71"/>
  <c r="T279" i="71"/>
  <c r="U279" i="71"/>
  <c r="V279" i="71"/>
  <c r="C279" i="71"/>
  <c r="W279" i="71"/>
  <c r="L16" i="147"/>
  <c r="L15" i="147"/>
  <c r="D277" i="71"/>
  <c r="E277" i="71"/>
  <c r="F277" i="71"/>
  <c r="G277" i="71"/>
  <c r="H277" i="71"/>
  <c r="I277" i="71"/>
  <c r="J277" i="71"/>
  <c r="K277" i="71"/>
  <c r="L277" i="71"/>
  <c r="M277" i="71"/>
  <c r="N277" i="71"/>
  <c r="O277" i="71"/>
  <c r="P277" i="71"/>
  <c r="Q277" i="71"/>
  <c r="R277" i="71"/>
  <c r="S277" i="71"/>
  <c r="T277" i="71"/>
  <c r="U277" i="71"/>
  <c r="V277" i="71"/>
  <c r="C277" i="71"/>
  <c r="W277" i="71"/>
  <c r="L13" i="147"/>
  <c r="F12" i="118"/>
  <c r="F76" i="118"/>
  <c r="F78" i="118"/>
  <c r="F81" i="118"/>
  <c r="F18" i="118"/>
  <c r="F82" i="118"/>
  <c r="F19" i="118"/>
  <c r="F83" i="118"/>
  <c r="F20" i="118"/>
  <c r="F84" i="118"/>
  <c r="F88" i="118"/>
  <c r="F57" i="118"/>
  <c r="F91" i="118"/>
  <c r="F102" i="118"/>
  <c r="F104" i="118"/>
  <c r="F58" i="118"/>
  <c r="F92" i="118"/>
  <c r="F99" i="118"/>
  <c r="F56" i="118"/>
  <c r="F95" i="118"/>
  <c r="F105" i="118"/>
  <c r="F106" i="118"/>
  <c r="F157" i="118"/>
  <c r="F161" i="118"/>
  <c r="F169" i="118"/>
  <c r="F175" i="118"/>
  <c r="D305" i="71"/>
  <c r="G12" i="118"/>
  <c r="G76" i="118"/>
  <c r="G78" i="118"/>
  <c r="G81" i="118"/>
  <c r="G18" i="118"/>
  <c r="G82" i="118"/>
  <c r="G19" i="118"/>
  <c r="G83" i="118"/>
  <c r="G20" i="118"/>
  <c r="G84" i="118"/>
  <c r="G88" i="118"/>
  <c r="G57" i="118"/>
  <c r="G91" i="118"/>
  <c r="G58" i="118"/>
  <c r="G92" i="118"/>
  <c r="G102" i="118"/>
  <c r="G104" i="118"/>
  <c r="G99" i="118"/>
  <c r="G56" i="118"/>
  <c r="G95" i="118"/>
  <c r="G105" i="118"/>
  <c r="G106" i="118"/>
  <c r="M11" i="137"/>
  <c r="N87" i="137"/>
  <c r="N88" i="137"/>
  <c r="N89" i="137"/>
  <c r="N90" i="137"/>
  <c r="N91" i="137"/>
  <c r="N92" i="137"/>
  <c r="N104" i="137"/>
  <c r="N105" i="137"/>
  <c r="N108" i="137"/>
  <c r="N96" i="137"/>
  <c r="G157" i="118"/>
  <c r="G161" i="118"/>
  <c r="G169" i="118"/>
  <c r="G175" i="118"/>
  <c r="E305" i="71"/>
  <c r="H12" i="118"/>
  <c r="H76" i="118"/>
  <c r="H78" i="118"/>
  <c r="H81" i="118"/>
  <c r="H18" i="118"/>
  <c r="H82" i="118"/>
  <c r="H19" i="118"/>
  <c r="H83" i="118"/>
  <c r="H20" i="118"/>
  <c r="H84" i="118"/>
  <c r="H88" i="118"/>
  <c r="H57" i="118"/>
  <c r="H91" i="118"/>
  <c r="H58" i="118"/>
  <c r="H92" i="118"/>
  <c r="H56" i="118"/>
  <c r="H95" i="118"/>
  <c r="H102" i="118"/>
  <c r="H104" i="118"/>
  <c r="H99" i="118"/>
  <c r="H105" i="118"/>
  <c r="H106" i="118"/>
  <c r="O76" i="137"/>
  <c r="O77" i="137"/>
  <c r="O78" i="137"/>
  <c r="O79" i="137"/>
  <c r="N11" i="137"/>
  <c r="O87" i="137"/>
  <c r="O88" i="137"/>
  <c r="O89" i="137"/>
  <c r="O81" i="137"/>
  <c r="O82" i="137"/>
  <c r="O83" i="137"/>
  <c r="O90" i="137"/>
  <c r="O91" i="137"/>
  <c r="O92" i="137"/>
  <c r="O104" i="137"/>
  <c r="O105" i="137"/>
  <c r="O108" i="137"/>
  <c r="O96" i="137"/>
  <c r="O149" i="137"/>
  <c r="O150" i="137"/>
  <c r="O152" i="137"/>
  <c r="H157" i="118"/>
  <c r="H161" i="118"/>
  <c r="O169" i="137"/>
  <c r="H169" i="118"/>
  <c r="H175" i="118"/>
  <c r="F305" i="71"/>
  <c r="I12" i="118"/>
  <c r="I76" i="118"/>
  <c r="I78" i="118"/>
  <c r="I81" i="118"/>
  <c r="I18" i="118"/>
  <c r="I82" i="118"/>
  <c r="I19" i="118"/>
  <c r="I83" i="118"/>
  <c r="I20" i="118"/>
  <c r="I84" i="118"/>
  <c r="I88" i="118"/>
  <c r="I57" i="118"/>
  <c r="I91" i="118"/>
  <c r="I58" i="118"/>
  <c r="I92" i="118"/>
  <c r="I56" i="118"/>
  <c r="I95" i="118"/>
  <c r="I102" i="118"/>
  <c r="I104" i="118"/>
  <c r="I99" i="118"/>
  <c r="I105" i="118"/>
  <c r="I106" i="118"/>
  <c r="P76" i="137"/>
  <c r="P77" i="137"/>
  <c r="P78" i="137"/>
  <c r="P79" i="137"/>
  <c r="P87" i="137"/>
  <c r="P88" i="137"/>
  <c r="P89" i="137"/>
  <c r="P81" i="137"/>
  <c r="P82" i="137"/>
  <c r="P83" i="137"/>
  <c r="P90" i="137"/>
  <c r="P91" i="137"/>
  <c r="P92" i="137"/>
  <c r="P104" i="137"/>
  <c r="P105" i="137"/>
  <c r="P108" i="137"/>
  <c r="P96" i="137"/>
  <c r="P149" i="137"/>
  <c r="P150" i="137"/>
  <c r="P152" i="137"/>
  <c r="I157" i="118"/>
  <c r="I161" i="118"/>
  <c r="P169" i="137"/>
  <c r="I169" i="118"/>
  <c r="I175" i="118"/>
  <c r="G305" i="71"/>
  <c r="H305" i="71"/>
  <c r="K12" i="118"/>
  <c r="K76" i="118"/>
  <c r="K78" i="118"/>
  <c r="K81" i="118"/>
  <c r="K18" i="118"/>
  <c r="K82" i="118"/>
  <c r="K19" i="118"/>
  <c r="K83" i="118"/>
  <c r="K20" i="118"/>
  <c r="K84" i="118"/>
  <c r="K88" i="118"/>
  <c r="K57" i="118"/>
  <c r="K91" i="118"/>
  <c r="K58" i="118"/>
  <c r="K92" i="118"/>
  <c r="K56" i="118"/>
  <c r="K95" i="118"/>
  <c r="K102" i="118"/>
  <c r="K104" i="118"/>
  <c r="K99" i="118"/>
  <c r="K105" i="118"/>
  <c r="K106" i="118"/>
  <c r="R76" i="137"/>
  <c r="R77" i="137"/>
  <c r="R78" i="137"/>
  <c r="R79" i="137"/>
  <c r="Q11" i="137"/>
  <c r="R87" i="137"/>
  <c r="R88" i="137"/>
  <c r="R89" i="137"/>
  <c r="R81" i="137"/>
  <c r="R82" i="137"/>
  <c r="R83" i="137"/>
  <c r="R90" i="137"/>
  <c r="R91" i="137"/>
  <c r="R92" i="137"/>
  <c r="R104" i="137"/>
  <c r="R105" i="137"/>
  <c r="R108" i="137"/>
  <c r="R149" i="137"/>
  <c r="R150" i="137"/>
  <c r="R152" i="137"/>
  <c r="K157" i="118"/>
  <c r="K161" i="118"/>
  <c r="R169" i="137"/>
  <c r="K169" i="118"/>
  <c r="K175" i="118"/>
  <c r="I305" i="71"/>
  <c r="L12" i="118"/>
  <c r="L76" i="118"/>
  <c r="L78" i="118"/>
  <c r="L81" i="118"/>
  <c r="L18" i="118"/>
  <c r="L82" i="118"/>
  <c r="L19" i="118"/>
  <c r="L83" i="118"/>
  <c r="L20" i="118"/>
  <c r="L84" i="118"/>
  <c r="L88" i="118"/>
  <c r="L57" i="118"/>
  <c r="L91" i="118"/>
  <c r="L58" i="118"/>
  <c r="L92" i="118"/>
  <c r="L56" i="118"/>
  <c r="L95" i="118"/>
  <c r="L102" i="118"/>
  <c r="L104" i="118"/>
  <c r="L99" i="118"/>
  <c r="L105" i="118"/>
  <c r="L106" i="118"/>
  <c r="S76" i="137"/>
  <c r="S77" i="137"/>
  <c r="S78" i="137"/>
  <c r="S79" i="137"/>
  <c r="R11" i="137"/>
  <c r="S87" i="137"/>
  <c r="S88" i="137"/>
  <c r="S89" i="137"/>
  <c r="S81" i="137"/>
  <c r="S82" i="137"/>
  <c r="S83" i="137"/>
  <c r="S90" i="137"/>
  <c r="S91" i="137"/>
  <c r="S92" i="137"/>
  <c r="S104" i="137"/>
  <c r="S105" i="137"/>
  <c r="S108" i="137"/>
  <c r="S96" i="137"/>
  <c r="S149" i="137"/>
  <c r="S150" i="137"/>
  <c r="S152" i="137"/>
  <c r="L157" i="118"/>
  <c r="L161" i="118"/>
  <c r="S169" i="137"/>
  <c r="L169" i="118"/>
  <c r="L175" i="118"/>
  <c r="J305" i="71"/>
  <c r="M12" i="118"/>
  <c r="M76" i="118"/>
  <c r="M78" i="118"/>
  <c r="M81" i="118"/>
  <c r="M18" i="118"/>
  <c r="M82" i="118"/>
  <c r="M19" i="118"/>
  <c r="M83" i="118"/>
  <c r="M20" i="118"/>
  <c r="M84" i="118"/>
  <c r="M88" i="118"/>
  <c r="M57" i="118"/>
  <c r="M91" i="118"/>
  <c r="M58" i="118"/>
  <c r="M92" i="118"/>
  <c r="M56" i="118"/>
  <c r="M95" i="118"/>
  <c r="M102" i="118"/>
  <c r="M104" i="118"/>
  <c r="M99" i="118"/>
  <c r="M105" i="118"/>
  <c r="M106" i="118"/>
  <c r="T76" i="137"/>
  <c r="T77" i="137"/>
  <c r="T78" i="137"/>
  <c r="T79" i="137"/>
  <c r="S11" i="137"/>
  <c r="T87" i="137"/>
  <c r="T88" i="137"/>
  <c r="T89" i="137"/>
  <c r="T81" i="137"/>
  <c r="T82" i="137"/>
  <c r="T83" i="137"/>
  <c r="T90" i="137"/>
  <c r="T91" i="137"/>
  <c r="T92" i="137"/>
  <c r="T104" i="137"/>
  <c r="T105" i="137"/>
  <c r="T108" i="137"/>
  <c r="T96" i="137"/>
  <c r="T149" i="137"/>
  <c r="T150" i="137"/>
  <c r="T152" i="137"/>
  <c r="M157" i="118"/>
  <c r="M161" i="118"/>
  <c r="T169" i="137"/>
  <c r="M169" i="118"/>
  <c r="M175" i="118"/>
  <c r="K305" i="71"/>
  <c r="N12" i="118"/>
  <c r="N76" i="118"/>
  <c r="N78" i="118"/>
  <c r="N81" i="118"/>
  <c r="N18" i="118"/>
  <c r="N82" i="118"/>
  <c r="N19" i="118"/>
  <c r="N83" i="118"/>
  <c r="N20" i="118"/>
  <c r="N84" i="118"/>
  <c r="N88" i="118"/>
  <c r="N57" i="118"/>
  <c r="N91" i="118"/>
  <c r="N58" i="118"/>
  <c r="N92" i="118"/>
  <c r="N56" i="118"/>
  <c r="N95" i="118"/>
  <c r="N102" i="118"/>
  <c r="N104" i="118"/>
  <c r="N99" i="118"/>
  <c r="N105" i="118"/>
  <c r="N106" i="118"/>
  <c r="U76" i="137"/>
  <c r="U77" i="137"/>
  <c r="U78" i="137"/>
  <c r="U79" i="137"/>
  <c r="T11" i="137"/>
  <c r="U87" i="137"/>
  <c r="U88" i="137"/>
  <c r="U89" i="137"/>
  <c r="U81" i="137"/>
  <c r="U82" i="137"/>
  <c r="U83" i="137"/>
  <c r="U90" i="137"/>
  <c r="U91" i="137"/>
  <c r="U92" i="137"/>
  <c r="U104" i="137"/>
  <c r="U105" i="137"/>
  <c r="U108" i="137"/>
  <c r="U96" i="137"/>
  <c r="U149" i="137"/>
  <c r="U150" i="137"/>
  <c r="U152" i="137"/>
  <c r="N157" i="118"/>
  <c r="N161" i="118"/>
  <c r="U169" i="137"/>
  <c r="N169" i="118"/>
  <c r="N175" i="118"/>
  <c r="L305" i="71"/>
  <c r="O12" i="118"/>
  <c r="O76" i="118"/>
  <c r="O78" i="118"/>
  <c r="O81" i="118"/>
  <c r="O18" i="118"/>
  <c r="O82" i="118"/>
  <c r="O19" i="118"/>
  <c r="O83" i="118"/>
  <c r="O20" i="118"/>
  <c r="O84" i="118"/>
  <c r="O88" i="118"/>
  <c r="O57" i="118"/>
  <c r="O91" i="118"/>
  <c r="O58" i="118"/>
  <c r="O92" i="118"/>
  <c r="O56" i="118"/>
  <c r="O95" i="118"/>
  <c r="O102" i="118"/>
  <c r="O104" i="118"/>
  <c r="O99" i="118"/>
  <c r="O105" i="118"/>
  <c r="O106" i="118"/>
  <c r="V76" i="137"/>
  <c r="V77" i="137"/>
  <c r="V78" i="137"/>
  <c r="V79" i="137"/>
  <c r="U11" i="137"/>
  <c r="V87" i="137"/>
  <c r="V89" i="137"/>
  <c r="V81" i="137"/>
  <c r="V82" i="137"/>
  <c r="V83" i="137"/>
  <c r="V90" i="137"/>
  <c r="V91" i="137"/>
  <c r="V92" i="137"/>
  <c r="V104" i="137"/>
  <c r="V105" i="137"/>
  <c r="V108" i="137"/>
  <c r="V96" i="137"/>
  <c r="V149" i="137"/>
  <c r="V150" i="137"/>
  <c r="V152" i="137"/>
  <c r="O157" i="118"/>
  <c r="O161" i="118"/>
  <c r="V169" i="137"/>
  <c r="O169" i="118"/>
  <c r="O175" i="118"/>
  <c r="M305" i="71"/>
  <c r="P12" i="118"/>
  <c r="P76" i="118"/>
  <c r="P78" i="118"/>
  <c r="P81" i="118"/>
  <c r="P18" i="118"/>
  <c r="P82" i="118"/>
  <c r="P19" i="118"/>
  <c r="P83" i="118"/>
  <c r="P20" i="118"/>
  <c r="P84" i="118"/>
  <c r="P88" i="118"/>
  <c r="P57" i="118"/>
  <c r="P91" i="118"/>
  <c r="P58" i="118"/>
  <c r="P92" i="118"/>
  <c r="P56" i="118"/>
  <c r="P95" i="118"/>
  <c r="P102" i="118"/>
  <c r="P104" i="118"/>
  <c r="P99" i="118"/>
  <c r="P105" i="118"/>
  <c r="P106" i="118"/>
  <c r="W76" i="137"/>
  <c r="W77" i="137"/>
  <c r="W78" i="137"/>
  <c r="W79" i="137"/>
  <c r="V11" i="137"/>
  <c r="W87" i="137"/>
  <c r="W88" i="137"/>
  <c r="W89" i="137"/>
  <c r="W81" i="137"/>
  <c r="W82" i="137"/>
  <c r="W83" i="137"/>
  <c r="W90" i="137"/>
  <c r="W91" i="137"/>
  <c r="W92" i="137"/>
  <c r="W104" i="137"/>
  <c r="W105" i="137"/>
  <c r="W108" i="137"/>
  <c r="W96" i="137"/>
  <c r="W149" i="137"/>
  <c r="W150" i="137"/>
  <c r="W152" i="137"/>
  <c r="P157" i="118"/>
  <c r="P161" i="118"/>
  <c r="W169" i="137"/>
  <c r="P169" i="118"/>
  <c r="P175" i="118"/>
  <c r="N305" i="71"/>
  <c r="Q12" i="118"/>
  <c r="Q76" i="118"/>
  <c r="Q78" i="118"/>
  <c r="Q81" i="118"/>
  <c r="Q18" i="118"/>
  <c r="Q82" i="118"/>
  <c r="Q19" i="118"/>
  <c r="Q83" i="118"/>
  <c r="Q20" i="118"/>
  <c r="Q84" i="118"/>
  <c r="Q88" i="118"/>
  <c r="Q57" i="118"/>
  <c r="Q91" i="118"/>
  <c r="Q58" i="118"/>
  <c r="Q92" i="118"/>
  <c r="Q56" i="118"/>
  <c r="Q95" i="118"/>
  <c r="Q102" i="118"/>
  <c r="Q104" i="118"/>
  <c r="Q99" i="118"/>
  <c r="Q105" i="118"/>
  <c r="Q106" i="118"/>
  <c r="X76" i="137"/>
  <c r="X77" i="137"/>
  <c r="X78" i="137"/>
  <c r="X79" i="137"/>
  <c r="W11" i="137"/>
  <c r="X87" i="137"/>
  <c r="X88" i="137"/>
  <c r="X89" i="137"/>
  <c r="X81" i="137"/>
  <c r="X82" i="137"/>
  <c r="X83" i="137"/>
  <c r="X90" i="137"/>
  <c r="X91" i="137"/>
  <c r="X92" i="137"/>
  <c r="X104" i="137"/>
  <c r="X105" i="137"/>
  <c r="X108" i="137"/>
  <c r="X96" i="137"/>
  <c r="X149" i="137"/>
  <c r="X150" i="137"/>
  <c r="X152" i="137"/>
  <c r="Q157" i="118"/>
  <c r="Q161" i="118"/>
  <c r="X169" i="137"/>
  <c r="Q169" i="118"/>
  <c r="Q175" i="118"/>
  <c r="O305" i="71"/>
  <c r="R12" i="118"/>
  <c r="R76" i="118"/>
  <c r="R78" i="118"/>
  <c r="R81" i="118"/>
  <c r="R18" i="118"/>
  <c r="R82" i="118"/>
  <c r="R19" i="118"/>
  <c r="R83" i="118"/>
  <c r="R20" i="118"/>
  <c r="R84" i="118"/>
  <c r="R88" i="118"/>
  <c r="R57" i="118"/>
  <c r="R91" i="118"/>
  <c r="R58" i="118"/>
  <c r="R92" i="118"/>
  <c r="R56" i="118"/>
  <c r="R95" i="118"/>
  <c r="R102" i="118"/>
  <c r="R104" i="118"/>
  <c r="R99" i="118"/>
  <c r="R105" i="118"/>
  <c r="R106" i="118"/>
  <c r="Y76" i="137"/>
  <c r="Y77" i="137"/>
  <c r="Y78" i="137"/>
  <c r="Y79" i="137"/>
  <c r="X11" i="137"/>
  <c r="Y87" i="137"/>
  <c r="Y88" i="137"/>
  <c r="Y89" i="137"/>
  <c r="Y81" i="137"/>
  <c r="Y82" i="137"/>
  <c r="Y83" i="137"/>
  <c r="Y90" i="137"/>
  <c r="Y91" i="137"/>
  <c r="Y92" i="137"/>
  <c r="Y104" i="137"/>
  <c r="Y105" i="137"/>
  <c r="Y108" i="137"/>
  <c r="Y96" i="137"/>
  <c r="Y149" i="137"/>
  <c r="Y150" i="137"/>
  <c r="Y152" i="137"/>
  <c r="R157" i="118"/>
  <c r="R161" i="118"/>
  <c r="Y169" i="137"/>
  <c r="R169" i="118"/>
  <c r="R175" i="118"/>
  <c r="P305" i="71"/>
  <c r="S12" i="118"/>
  <c r="S76" i="118"/>
  <c r="S78" i="118"/>
  <c r="S81" i="118"/>
  <c r="S18" i="118"/>
  <c r="S82" i="118"/>
  <c r="S19" i="118"/>
  <c r="S83" i="118"/>
  <c r="S20" i="118"/>
  <c r="S84" i="118"/>
  <c r="S88" i="118"/>
  <c r="S57" i="118"/>
  <c r="S91" i="118"/>
  <c r="S58" i="118"/>
  <c r="S92" i="118"/>
  <c r="S56" i="118"/>
  <c r="S95" i="118"/>
  <c r="S102" i="118"/>
  <c r="S104" i="118"/>
  <c r="S99" i="118"/>
  <c r="S105" i="118"/>
  <c r="S106" i="118"/>
  <c r="Z76" i="137"/>
  <c r="Z77" i="137"/>
  <c r="Z78" i="137"/>
  <c r="Z79" i="137"/>
  <c r="Y11" i="137"/>
  <c r="Z87" i="137"/>
  <c r="Z88" i="137"/>
  <c r="Z89" i="137"/>
  <c r="Z81" i="137"/>
  <c r="Z82" i="137"/>
  <c r="Z83" i="137"/>
  <c r="Z90" i="137"/>
  <c r="Z91" i="137"/>
  <c r="Z92" i="137"/>
  <c r="Z104" i="137"/>
  <c r="Z105" i="137"/>
  <c r="Z108" i="137"/>
  <c r="Z96" i="137"/>
  <c r="Z149" i="137"/>
  <c r="Z150" i="137"/>
  <c r="Z152" i="137"/>
  <c r="S157" i="118"/>
  <c r="S161" i="118"/>
  <c r="Z169" i="137"/>
  <c r="S169" i="118"/>
  <c r="S175" i="118"/>
  <c r="Q305" i="71"/>
  <c r="T12" i="118"/>
  <c r="T76" i="118"/>
  <c r="T78" i="118"/>
  <c r="T81" i="118"/>
  <c r="T18" i="118"/>
  <c r="T82" i="118"/>
  <c r="T19" i="118"/>
  <c r="T83" i="118"/>
  <c r="T20" i="118"/>
  <c r="T84" i="118"/>
  <c r="T88" i="118"/>
  <c r="T57" i="118"/>
  <c r="T91" i="118"/>
  <c r="T58" i="118"/>
  <c r="T92" i="118"/>
  <c r="T56" i="118"/>
  <c r="T95" i="118"/>
  <c r="T102" i="118"/>
  <c r="T104" i="118"/>
  <c r="T99" i="118"/>
  <c r="T105" i="118"/>
  <c r="T106" i="118"/>
  <c r="AA76" i="137"/>
  <c r="AA77" i="137"/>
  <c r="AA78" i="137"/>
  <c r="AA79" i="137"/>
  <c r="Z11" i="137"/>
  <c r="AA87" i="137"/>
  <c r="AA89" i="137"/>
  <c r="AA81" i="137"/>
  <c r="AA82" i="137"/>
  <c r="AA83" i="137"/>
  <c r="AA90" i="137"/>
  <c r="AA91" i="137"/>
  <c r="AA92" i="137"/>
  <c r="AA104" i="137"/>
  <c r="AA105" i="137"/>
  <c r="AA108" i="137"/>
  <c r="AA96" i="137"/>
  <c r="AA149" i="137"/>
  <c r="AA150" i="137"/>
  <c r="AA152" i="137"/>
  <c r="T157" i="118"/>
  <c r="T161" i="118"/>
  <c r="AA169" i="137"/>
  <c r="T169" i="118"/>
  <c r="T175" i="118"/>
  <c r="R305" i="71"/>
  <c r="U12" i="118"/>
  <c r="U76" i="118"/>
  <c r="U78" i="118"/>
  <c r="U81" i="118"/>
  <c r="U18" i="118"/>
  <c r="U82" i="118"/>
  <c r="U19" i="118"/>
  <c r="U83" i="118"/>
  <c r="U20" i="118"/>
  <c r="U84" i="118"/>
  <c r="U88" i="118"/>
  <c r="U57" i="118"/>
  <c r="U91" i="118"/>
  <c r="U58" i="118"/>
  <c r="U92" i="118"/>
  <c r="U56" i="118"/>
  <c r="U95" i="118"/>
  <c r="U102" i="118"/>
  <c r="U104" i="118"/>
  <c r="U99" i="118"/>
  <c r="U105" i="118"/>
  <c r="U106" i="118"/>
  <c r="AB76" i="137"/>
  <c r="AB77" i="137"/>
  <c r="AB78" i="137"/>
  <c r="AB79" i="137"/>
  <c r="AA11" i="137"/>
  <c r="AB87" i="137"/>
  <c r="AB88" i="137"/>
  <c r="AB89" i="137"/>
  <c r="AB81" i="137"/>
  <c r="AB82" i="137"/>
  <c r="AB83" i="137"/>
  <c r="AB90" i="137"/>
  <c r="AB91" i="137"/>
  <c r="AB92" i="137"/>
  <c r="AB104" i="137"/>
  <c r="AB105" i="137"/>
  <c r="AB108" i="137"/>
  <c r="AB96" i="137"/>
  <c r="AB149" i="137"/>
  <c r="AB150" i="137"/>
  <c r="AB152" i="137"/>
  <c r="U157" i="118"/>
  <c r="U161" i="118"/>
  <c r="AB169" i="137"/>
  <c r="U169" i="118"/>
  <c r="U175" i="118"/>
  <c r="S305" i="71"/>
  <c r="V12" i="118"/>
  <c r="V76" i="118"/>
  <c r="V78" i="118"/>
  <c r="V81" i="118"/>
  <c r="V18" i="118"/>
  <c r="V82" i="118"/>
  <c r="V19" i="118"/>
  <c r="V83" i="118"/>
  <c r="V20" i="118"/>
  <c r="V84" i="118"/>
  <c r="V88" i="118"/>
  <c r="V57" i="118"/>
  <c r="V91" i="118"/>
  <c r="V58" i="118"/>
  <c r="V92" i="118"/>
  <c r="V56" i="118"/>
  <c r="V95" i="118"/>
  <c r="V102" i="118"/>
  <c r="V104" i="118"/>
  <c r="V99" i="118"/>
  <c r="V105" i="118"/>
  <c r="V106" i="118"/>
  <c r="AC76" i="137"/>
  <c r="AC77" i="137"/>
  <c r="AC78" i="137"/>
  <c r="AC79" i="137"/>
  <c r="AB11" i="137"/>
  <c r="AC87" i="137"/>
  <c r="AC88" i="137"/>
  <c r="AC89" i="137"/>
  <c r="AC81" i="137"/>
  <c r="AC82" i="137"/>
  <c r="AC83" i="137"/>
  <c r="AC90" i="137"/>
  <c r="AC91" i="137"/>
  <c r="AC92" i="137"/>
  <c r="AC104" i="137"/>
  <c r="AC105" i="137"/>
  <c r="AC108" i="137"/>
  <c r="AC96" i="137"/>
  <c r="AC149" i="137"/>
  <c r="AC150" i="137"/>
  <c r="AC152" i="137"/>
  <c r="V157" i="118"/>
  <c r="V161" i="118"/>
  <c r="AC169" i="137"/>
  <c r="V169" i="118"/>
  <c r="V175" i="118"/>
  <c r="T305" i="71"/>
  <c r="W12" i="118"/>
  <c r="W76" i="118"/>
  <c r="W78" i="118"/>
  <c r="W81" i="118"/>
  <c r="W18" i="118"/>
  <c r="W82" i="118"/>
  <c r="W19" i="118"/>
  <c r="W83" i="118"/>
  <c r="W20" i="118"/>
  <c r="W84" i="118"/>
  <c r="W88" i="118"/>
  <c r="W57" i="118"/>
  <c r="W91" i="118"/>
  <c r="W58" i="118"/>
  <c r="W92" i="118"/>
  <c r="W56" i="118"/>
  <c r="W95" i="118"/>
  <c r="W102" i="118"/>
  <c r="W104" i="118"/>
  <c r="W99" i="118"/>
  <c r="W105" i="118"/>
  <c r="W106" i="118"/>
  <c r="AD76" i="137"/>
  <c r="AD77" i="137"/>
  <c r="AD78" i="137"/>
  <c r="AD79" i="137"/>
  <c r="AC11" i="137"/>
  <c r="AD87" i="137"/>
  <c r="AD88" i="137"/>
  <c r="AD89" i="137"/>
  <c r="AD81" i="137"/>
  <c r="AD82" i="137"/>
  <c r="AD83" i="137"/>
  <c r="AD90" i="137"/>
  <c r="AD91" i="137"/>
  <c r="AD92" i="137"/>
  <c r="AD104" i="137"/>
  <c r="AD105" i="137"/>
  <c r="AD108" i="137"/>
  <c r="AD96" i="137"/>
  <c r="AD149" i="137"/>
  <c r="AD150" i="137"/>
  <c r="AD152" i="137"/>
  <c r="W157" i="118"/>
  <c r="W161" i="118"/>
  <c r="AD169" i="137"/>
  <c r="W169" i="118"/>
  <c r="W175" i="118"/>
  <c r="U305" i="71"/>
  <c r="X12" i="118"/>
  <c r="X76" i="118"/>
  <c r="X78" i="118"/>
  <c r="X81" i="118"/>
  <c r="X18" i="118"/>
  <c r="X82" i="118"/>
  <c r="X19" i="118"/>
  <c r="X83" i="118"/>
  <c r="X20" i="118"/>
  <c r="X84" i="118"/>
  <c r="X88" i="118"/>
  <c r="X57" i="118"/>
  <c r="X91" i="118"/>
  <c r="X58" i="118"/>
  <c r="X92" i="118"/>
  <c r="X56" i="118"/>
  <c r="X95" i="118"/>
  <c r="X102" i="118"/>
  <c r="X104" i="118"/>
  <c r="X99" i="118"/>
  <c r="X105" i="118"/>
  <c r="X106" i="118"/>
  <c r="AE76" i="137"/>
  <c r="AE77" i="137"/>
  <c r="AE78" i="137"/>
  <c r="AE79" i="137"/>
  <c r="AD11" i="137"/>
  <c r="AE87" i="137"/>
  <c r="AE88" i="137"/>
  <c r="AE89" i="137"/>
  <c r="AE81" i="137"/>
  <c r="AE82" i="137"/>
  <c r="AE83" i="137"/>
  <c r="AE90" i="137"/>
  <c r="AE91" i="137"/>
  <c r="AE92" i="137"/>
  <c r="AE104" i="137"/>
  <c r="AE105" i="137"/>
  <c r="AE108" i="137"/>
  <c r="AE96" i="137"/>
  <c r="AE149" i="137"/>
  <c r="AE150" i="137"/>
  <c r="AE152" i="137"/>
  <c r="X157" i="118"/>
  <c r="X161" i="118"/>
  <c r="AE169" i="137"/>
  <c r="X169" i="118"/>
  <c r="X175" i="118"/>
  <c r="V305" i="71"/>
  <c r="E169" i="118"/>
  <c r="E99" i="118"/>
  <c r="E76" i="118"/>
  <c r="E81" i="118"/>
  <c r="E18" i="118"/>
  <c r="E82" i="118"/>
  <c r="E19" i="118"/>
  <c r="E83" i="118"/>
  <c r="E20" i="118"/>
  <c r="E84" i="118"/>
  <c r="E102" i="118"/>
  <c r="E106" i="118"/>
  <c r="E157" i="118"/>
  <c r="E161" i="118"/>
  <c r="E175" i="118"/>
  <c r="C305" i="71"/>
  <c r="W305" i="71"/>
  <c r="K18" i="147"/>
  <c r="K19" i="147"/>
  <c r="X301" i="71"/>
  <c r="K17" i="147"/>
  <c r="D298" i="71"/>
  <c r="E298" i="71"/>
  <c r="F298" i="71"/>
  <c r="G298" i="71"/>
  <c r="H298" i="71"/>
  <c r="I298" i="71"/>
  <c r="J298" i="71"/>
  <c r="K298" i="71"/>
  <c r="L298" i="71"/>
  <c r="M298" i="71"/>
  <c r="N298" i="71"/>
  <c r="O298" i="71"/>
  <c r="P298" i="71"/>
  <c r="Q298" i="71"/>
  <c r="R298" i="71"/>
  <c r="S298" i="71"/>
  <c r="T298" i="71"/>
  <c r="U298" i="71"/>
  <c r="V298" i="71"/>
  <c r="C298" i="71"/>
  <c r="W298" i="71"/>
  <c r="K16" i="147"/>
  <c r="K15" i="147"/>
  <c r="D296" i="71"/>
  <c r="E296" i="71"/>
  <c r="F296" i="71"/>
  <c r="G296" i="71"/>
  <c r="H296" i="71"/>
  <c r="I296" i="71"/>
  <c r="J296" i="71"/>
  <c r="K296" i="71"/>
  <c r="L296" i="71"/>
  <c r="M296" i="71"/>
  <c r="N296" i="71"/>
  <c r="O296" i="71"/>
  <c r="P296" i="71"/>
  <c r="Q296" i="71"/>
  <c r="R296" i="71"/>
  <c r="S296" i="71"/>
  <c r="T296" i="71"/>
  <c r="U296" i="71"/>
  <c r="V296" i="71"/>
  <c r="C296" i="71"/>
  <c r="W296" i="71"/>
  <c r="K13" i="147"/>
  <c r="F12" i="119"/>
  <c r="F76" i="119"/>
  <c r="F78" i="119"/>
  <c r="F81" i="119"/>
  <c r="F18" i="119"/>
  <c r="F82" i="119"/>
  <c r="F19" i="119"/>
  <c r="F83" i="119"/>
  <c r="F20" i="119"/>
  <c r="F84" i="119"/>
  <c r="F88" i="119"/>
  <c r="F57" i="119"/>
  <c r="F91" i="119"/>
  <c r="F102" i="119"/>
  <c r="F104" i="119"/>
  <c r="F58" i="119"/>
  <c r="F92" i="119"/>
  <c r="F99" i="119"/>
  <c r="F56" i="119"/>
  <c r="F95" i="119"/>
  <c r="F105" i="119"/>
  <c r="F106" i="119"/>
  <c r="F157" i="119"/>
  <c r="F161" i="119"/>
  <c r="F169" i="119"/>
  <c r="F175" i="119"/>
  <c r="D324" i="71"/>
  <c r="G12" i="119"/>
  <c r="G76" i="119"/>
  <c r="G78" i="119"/>
  <c r="G81" i="119"/>
  <c r="G18" i="119"/>
  <c r="G82" i="119"/>
  <c r="G19" i="119"/>
  <c r="G83" i="119"/>
  <c r="G20" i="119"/>
  <c r="G84" i="119"/>
  <c r="G88" i="119"/>
  <c r="G57" i="119"/>
  <c r="G91" i="119"/>
  <c r="G58" i="119"/>
  <c r="G92" i="119"/>
  <c r="G102" i="119"/>
  <c r="G104" i="119"/>
  <c r="G99" i="119"/>
  <c r="G56" i="119"/>
  <c r="G95" i="119"/>
  <c r="G105" i="119"/>
  <c r="G106" i="119"/>
  <c r="M11" i="138"/>
  <c r="N87" i="138"/>
  <c r="N88" i="138"/>
  <c r="N89" i="138"/>
  <c r="N90" i="138"/>
  <c r="N91" i="138"/>
  <c r="N92" i="138"/>
  <c r="N104" i="138"/>
  <c r="N105" i="138"/>
  <c r="N108" i="138"/>
  <c r="N96" i="138"/>
  <c r="G157" i="119"/>
  <c r="G161" i="119"/>
  <c r="G169" i="119"/>
  <c r="G175" i="119"/>
  <c r="E324" i="71"/>
  <c r="H12" i="119"/>
  <c r="H76" i="119"/>
  <c r="H78" i="119"/>
  <c r="H81" i="119"/>
  <c r="H18" i="119"/>
  <c r="H82" i="119"/>
  <c r="H19" i="119"/>
  <c r="H83" i="119"/>
  <c r="H20" i="119"/>
  <c r="H84" i="119"/>
  <c r="H88" i="119"/>
  <c r="H57" i="119"/>
  <c r="H91" i="119"/>
  <c r="H58" i="119"/>
  <c r="H92" i="119"/>
  <c r="H56" i="119"/>
  <c r="H95" i="119"/>
  <c r="H102" i="119"/>
  <c r="H104" i="119"/>
  <c r="H99" i="119"/>
  <c r="H105" i="119"/>
  <c r="H106" i="119"/>
  <c r="O76" i="138"/>
  <c r="O77" i="138"/>
  <c r="O78" i="138"/>
  <c r="O79" i="138"/>
  <c r="N11" i="138"/>
  <c r="O87" i="138"/>
  <c r="O88" i="138"/>
  <c r="O89" i="138"/>
  <c r="O81" i="138"/>
  <c r="O82" i="138"/>
  <c r="O83" i="138"/>
  <c r="O90" i="138"/>
  <c r="O91" i="138"/>
  <c r="O92" i="138"/>
  <c r="O104" i="138"/>
  <c r="O105" i="138"/>
  <c r="O108" i="138"/>
  <c r="O96" i="138"/>
  <c r="O149" i="138"/>
  <c r="O150" i="138"/>
  <c r="O152" i="138"/>
  <c r="H157" i="119"/>
  <c r="H161" i="119"/>
  <c r="O169" i="138"/>
  <c r="H169" i="119"/>
  <c r="H175" i="119"/>
  <c r="F324" i="71"/>
  <c r="I12" i="119"/>
  <c r="I76" i="119"/>
  <c r="I78" i="119"/>
  <c r="I81" i="119"/>
  <c r="I18" i="119"/>
  <c r="I82" i="119"/>
  <c r="I19" i="119"/>
  <c r="I83" i="119"/>
  <c r="I20" i="119"/>
  <c r="I84" i="119"/>
  <c r="I88" i="119"/>
  <c r="I57" i="119"/>
  <c r="I91" i="119"/>
  <c r="I58" i="119"/>
  <c r="I92" i="119"/>
  <c r="I56" i="119"/>
  <c r="I95" i="119"/>
  <c r="I102" i="119"/>
  <c r="I104" i="119"/>
  <c r="I99" i="119"/>
  <c r="I105" i="119"/>
  <c r="I106" i="119"/>
  <c r="P76" i="138"/>
  <c r="P77" i="138"/>
  <c r="P78" i="138"/>
  <c r="P79" i="138"/>
  <c r="P87" i="138"/>
  <c r="P88" i="138"/>
  <c r="P89" i="138"/>
  <c r="P81" i="138"/>
  <c r="P82" i="138"/>
  <c r="P83" i="138"/>
  <c r="P90" i="138"/>
  <c r="P91" i="138"/>
  <c r="P92" i="138"/>
  <c r="P104" i="138"/>
  <c r="P105" i="138"/>
  <c r="P108" i="138"/>
  <c r="P96" i="138"/>
  <c r="P149" i="138"/>
  <c r="P150" i="138"/>
  <c r="P152" i="138"/>
  <c r="I157" i="119"/>
  <c r="I161" i="119"/>
  <c r="P169" i="138"/>
  <c r="I169" i="119"/>
  <c r="I175" i="119"/>
  <c r="G324" i="71"/>
  <c r="H324" i="71"/>
  <c r="K12" i="119"/>
  <c r="K76" i="119"/>
  <c r="K78" i="119"/>
  <c r="K81" i="119"/>
  <c r="K18" i="119"/>
  <c r="K82" i="119"/>
  <c r="K19" i="119"/>
  <c r="K83" i="119"/>
  <c r="K20" i="119"/>
  <c r="K84" i="119"/>
  <c r="K88" i="119"/>
  <c r="K57" i="119"/>
  <c r="K91" i="119"/>
  <c r="K58" i="119"/>
  <c r="K92" i="119"/>
  <c r="K56" i="119"/>
  <c r="K95" i="119"/>
  <c r="K102" i="119"/>
  <c r="K104" i="119"/>
  <c r="K99" i="119"/>
  <c r="K105" i="119"/>
  <c r="K106" i="119"/>
  <c r="R76" i="138"/>
  <c r="R77" i="138"/>
  <c r="R78" i="138"/>
  <c r="R79" i="138"/>
  <c r="Q11" i="138"/>
  <c r="R87" i="138"/>
  <c r="R88" i="138"/>
  <c r="R89" i="138"/>
  <c r="R81" i="138"/>
  <c r="R82" i="138"/>
  <c r="R83" i="138"/>
  <c r="R90" i="138"/>
  <c r="R91" i="138"/>
  <c r="R92" i="138"/>
  <c r="R104" i="138"/>
  <c r="R105" i="138"/>
  <c r="R108" i="138"/>
  <c r="R149" i="138"/>
  <c r="R150" i="138"/>
  <c r="R152" i="138"/>
  <c r="K157" i="119"/>
  <c r="K161" i="119"/>
  <c r="R169" i="138"/>
  <c r="K169" i="119"/>
  <c r="K175" i="119"/>
  <c r="I324" i="71"/>
  <c r="L12" i="119"/>
  <c r="L76" i="119"/>
  <c r="L78" i="119"/>
  <c r="L81" i="119"/>
  <c r="L18" i="119"/>
  <c r="L82" i="119"/>
  <c r="L19" i="119"/>
  <c r="L83" i="119"/>
  <c r="L20" i="119"/>
  <c r="L84" i="119"/>
  <c r="L88" i="119"/>
  <c r="L57" i="119"/>
  <c r="L91" i="119"/>
  <c r="L58" i="119"/>
  <c r="L92" i="119"/>
  <c r="L56" i="119"/>
  <c r="L95" i="119"/>
  <c r="L102" i="119"/>
  <c r="L104" i="119"/>
  <c r="L99" i="119"/>
  <c r="L105" i="119"/>
  <c r="L106" i="119"/>
  <c r="S76" i="138"/>
  <c r="S77" i="138"/>
  <c r="S78" i="138"/>
  <c r="S79" i="138"/>
  <c r="R11" i="138"/>
  <c r="S87" i="138"/>
  <c r="S88" i="138"/>
  <c r="S89" i="138"/>
  <c r="S81" i="138"/>
  <c r="S82" i="138"/>
  <c r="S83" i="138"/>
  <c r="S90" i="138"/>
  <c r="S91" i="138"/>
  <c r="S92" i="138"/>
  <c r="S104" i="138"/>
  <c r="S105" i="138"/>
  <c r="S108" i="138"/>
  <c r="S96" i="138"/>
  <c r="S149" i="138"/>
  <c r="S150" i="138"/>
  <c r="S152" i="138"/>
  <c r="L157" i="119"/>
  <c r="L161" i="119"/>
  <c r="S169" i="138"/>
  <c r="L169" i="119"/>
  <c r="L175" i="119"/>
  <c r="J324" i="71"/>
  <c r="M12" i="119"/>
  <c r="M76" i="119"/>
  <c r="M78" i="119"/>
  <c r="M81" i="119"/>
  <c r="M18" i="119"/>
  <c r="M82" i="119"/>
  <c r="M19" i="119"/>
  <c r="M83" i="119"/>
  <c r="M20" i="119"/>
  <c r="M84" i="119"/>
  <c r="M88" i="119"/>
  <c r="M57" i="119"/>
  <c r="M91" i="119"/>
  <c r="M58" i="119"/>
  <c r="M92" i="119"/>
  <c r="M56" i="119"/>
  <c r="M95" i="119"/>
  <c r="M102" i="119"/>
  <c r="M104" i="119"/>
  <c r="M99" i="119"/>
  <c r="M105" i="119"/>
  <c r="M106" i="119"/>
  <c r="T76" i="138"/>
  <c r="T77" i="138"/>
  <c r="T78" i="138"/>
  <c r="T79" i="138"/>
  <c r="S11" i="138"/>
  <c r="T87" i="138"/>
  <c r="T88" i="138"/>
  <c r="T89" i="138"/>
  <c r="T81" i="138"/>
  <c r="T82" i="138"/>
  <c r="T83" i="138"/>
  <c r="T90" i="138"/>
  <c r="T91" i="138"/>
  <c r="T92" i="138"/>
  <c r="T104" i="138"/>
  <c r="T105" i="138"/>
  <c r="T108" i="138"/>
  <c r="T96" i="138"/>
  <c r="T149" i="138"/>
  <c r="T150" i="138"/>
  <c r="T152" i="138"/>
  <c r="M157" i="119"/>
  <c r="M161" i="119"/>
  <c r="T169" i="138"/>
  <c r="M169" i="119"/>
  <c r="M175" i="119"/>
  <c r="K324" i="71"/>
  <c r="N12" i="119"/>
  <c r="N76" i="119"/>
  <c r="N78" i="119"/>
  <c r="N81" i="119"/>
  <c r="N18" i="119"/>
  <c r="N82" i="119"/>
  <c r="N19" i="119"/>
  <c r="N83" i="119"/>
  <c r="N20" i="119"/>
  <c r="N84" i="119"/>
  <c r="N88" i="119"/>
  <c r="N57" i="119"/>
  <c r="N91" i="119"/>
  <c r="N58" i="119"/>
  <c r="N92" i="119"/>
  <c r="N56" i="119"/>
  <c r="N95" i="119"/>
  <c r="N102" i="119"/>
  <c r="N104" i="119"/>
  <c r="N99" i="119"/>
  <c r="N105" i="119"/>
  <c r="N106" i="119"/>
  <c r="U76" i="138"/>
  <c r="U77" i="138"/>
  <c r="U78" i="138"/>
  <c r="U79" i="138"/>
  <c r="T11" i="138"/>
  <c r="U87" i="138"/>
  <c r="U88" i="138"/>
  <c r="U89" i="138"/>
  <c r="U81" i="138"/>
  <c r="U82" i="138"/>
  <c r="U83" i="138"/>
  <c r="U90" i="138"/>
  <c r="U91" i="138"/>
  <c r="U92" i="138"/>
  <c r="U104" i="138"/>
  <c r="U105" i="138"/>
  <c r="U108" i="138"/>
  <c r="U96" i="138"/>
  <c r="U149" i="138"/>
  <c r="U150" i="138"/>
  <c r="U152" i="138"/>
  <c r="N157" i="119"/>
  <c r="N161" i="119"/>
  <c r="U169" i="138"/>
  <c r="N169" i="119"/>
  <c r="N175" i="119"/>
  <c r="L324" i="71"/>
  <c r="O12" i="119"/>
  <c r="O76" i="119"/>
  <c r="O78" i="119"/>
  <c r="O81" i="119"/>
  <c r="O18" i="119"/>
  <c r="O82" i="119"/>
  <c r="O19" i="119"/>
  <c r="O83" i="119"/>
  <c r="O20" i="119"/>
  <c r="O84" i="119"/>
  <c r="O88" i="119"/>
  <c r="O57" i="119"/>
  <c r="O91" i="119"/>
  <c r="O58" i="119"/>
  <c r="O92" i="119"/>
  <c r="O56" i="119"/>
  <c r="O95" i="119"/>
  <c r="O102" i="119"/>
  <c r="O104" i="119"/>
  <c r="O99" i="119"/>
  <c r="O105" i="119"/>
  <c r="O106" i="119"/>
  <c r="V76" i="138"/>
  <c r="V77" i="138"/>
  <c r="V78" i="138"/>
  <c r="V79" i="138"/>
  <c r="U11" i="138"/>
  <c r="V87" i="138"/>
  <c r="V89" i="138"/>
  <c r="V81" i="138"/>
  <c r="V82" i="138"/>
  <c r="V83" i="138"/>
  <c r="V90" i="138"/>
  <c r="V91" i="138"/>
  <c r="V92" i="138"/>
  <c r="V104" i="138"/>
  <c r="V105" i="138"/>
  <c r="V108" i="138"/>
  <c r="V96" i="138"/>
  <c r="V149" i="138"/>
  <c r="V150" i="138"/>
  <c r="V152" i="138"/>
  <c r="O157" i="119"/>
  <c r="O161" i="119"/>
  <c r="V169" i="138"/>
  <c r="O169" i="119"/>
  <c r="O175" i="119"/>
  <c r="M324" i="71"/>
  <c r="P12" i="119"/>
  <c r="P76" i="119"/>
  <c r="P78" i="119"/>
  <c r="P81" i="119"/>
  <c r="P18" i="119"/>
  <c r="P82" i="119"/>
  <c r="P19" i="119"/>
  <c r="P83" i="119"/>
  <c r="P20" i="119"/>
  <c r="P84" i="119"/>
  <c r="P88" i="119"/>
  <c r="P57" i="119"/>
  <c r="P91" i="119"/>
  <c r="P58" i="119"/>
  <c r="P92" i="119"/>
  <c r="P56" i="119"/>
  <c r="P95" i="119"/>
  <c r="P102" i="119"/>
  <c r="P104" i="119"/>
  <c r="P99" i="119"/>
  <c r="P105" i="119"/>
  <c r="P106" i="119"/>
  <c r="W76" i="138"/>
  <c r="W77" i="138"/>
  <c r="W78" i="138"/>
  <c r="W79" i="138"/>
  <c r="V11" i="138"/>
  <c r="W87" i="138"/>
  <c r="W88" i="138"/>
  <c r="W89" i="138"/>
  <c r="W81" i="138"/>
  <c r="W82" i="138"/>
  <c r="W83" i="138"/>
  <c r="W90" i="138"/>
  <c r="W91" i="138"/>
  <c r="W92" i="138"/>
  <c r="W104" i="138"/>
  <c r="W105" i="138"/>
  <c r="W108" i="138"/>
  <c r="W96" i="138"/>
  <c r="W149" i="138"/>
  <c r="W150" i="138"/>
  <c r="W152" i="138"/>
  <c r="P157" i="119"/>
  <c r="P161" i="119"/>
  <c r="W169" i="138"/>
  <c r="P169" i="119"/>
  <c r="P175" i="119"/>
  <c r="N324" i="71"/>
  <c r="Q12" i="119"/>
  <c r="Q76" i="119"/>
  <c r="Q78" i="119"/>
  <c r="Q81" i="119"/>
  <c r="Q18" i="119"/>
  <c r="Q82" i="119"/>
  <c r="Q19" i="119"/>
  <c r="Q83" i="119"/>
  <c r="Q20" i="119"/>
  <c r="Q84" i="119"/>
  <c r="Q88" i="119"/>
  <c r="Q57" i="119"/>
  <c r="Q91" i="119"/>
  <c r="Q58" i="119"/>
  <c r="Q92" i="119"/>
  <c r="Q56" i="119"/>
  <c r="Q95" i="119"/>
  <c r="Q102" i="119"/>
  <c r="Q104" i="119"/>
  <c r="Q99" i="119"/>
  <c r="Q105" i="119"/>
  <c r="Q106" i="119"/>
  <c r="X76" i="138"/>
  <c r="X77" i="138"/>
  <c r="X78" i="138"/>
  <c r="X79" i="138"/>
  <c r="W11" i="138"/>
  <c r="X87" i="138"/>
  <c r="X88" i="138"/>
  <c r="X89" i="138"/>
  <c r="X81" i="138"/>
  <c r="X82" i="138"/>
  <c r="X83" i="138"/>
  <c r="X90" i="138"/>
  <c r="X91" i="138"/>
  <c r="X92" i="138"/>
  <c r="X104" i="138"/>
  <c r="X105" i="138"/>
  <c r="X108" i="138"/>
  <c r="X96" i="138"/>
  <c r="X149" i="138"/>
  <c r="X150" i="138"/>
  <c r="X152" i="138"/>
  <c r="Q157" i="119"/>
  <c r="Q161" i="119"/>
  <c r="X169" i="138"/>
  <c r="Q169" i="119"/>
  <c r="Q175" i="119"/>
  <c r="O324" i="71"/>
  <c r="R12" i="119"/>
  <c r="R76" i="119"/>
  <c r="R78" i="119"/>
  <c r="R81" i="119"/>
  <c r="R18" i="119"/>
  <c r="R82" i="119"/>
  <c r="R19" i="119"/>
  <c r="R83" i="119"/>
  <c r="R20" i="119"/>
  <c r="R84" i="119"/>
  <c r="R88" i="119"/>
  <c r="R57" i="119"/>
  <c r="R91" i="119"/>
  <c r="R58" i="119"/>
  <c r="R92" i="119"/>
  <c r="R56" i="119"/>
  <c r="R95" i="119"/>
  <c r="R102" i="119"/>
  <c r="R104" i="119"/>
  <c r="R99" i="119"/>
  <c r="R105" i="119"/>
  <c r="R106" i="119"/>
  <c r="Y76" i="138"/>
  <c r="Y77" i="138"/>
  <c r="Y78" i="138"/>
  <c r="Y79" i="138"/>
  <c r="X11" i="138"/>
  <c r="Y87" i="138"/>
  <c r="Y88" i="138"/>
  <c r="Y89" i="138"/>
  <c r="Y81" i="138"/>
  <c r="Y82" i="138"/>
  <c r="Y83" i="138"/>
  <c r="Y90" i="138"/>
  <c r="Y91" i="138"/>
  <c r="Y92" i="138"/>
  <c r="Y104" i="138"/>
  <c r="Y105" i="138"/>
  <c r="Y108" i="138"/>
  <c r="Y96" i="138"/>
  <c r="Y149" i="138"/>
  <c r="Y150" i="138"/>
  <c r="Y152" i="138"/>
  <c r="R157" i="119"/>
  <c r="R161" i="119"/>
  <c r="Y169" i="138"/>
  <c r="R169" i="119"/>
  <c r="R175" i="119"/>
  <c r="P324" i="71"/>
  <c r="S12" i="119"/>
  <c r="S76" i="119"/>
  <c r="S78" i="119"/>
  <c r="S81" i="119"/>
  <c r="S18" i="119"/>
  <c r="S82" i="119"/>
  <c r="S19" i="119"/>
  <c r="S83" i="119"/>
  <c r="S20" i="119"/>
  <c r="S84" i="119"/>
  <c r="S88" i="119"/>
  <c r="S57" i="119"/>
  <c r="S91" i="119"/>
  <c r="S58" i="119"/>
  <c r="S92" i="119"/>
  <c r="S56" i="119"/>
  <c r="S95" i="119"/>
  <c r="S102" i="119"/>
  <c r="S104" i="119"/>
  <c r="S99" i="119"/>
  <c r="S105" i="119"/>
  <c r="S106" i="119"/>
  <c r="Z76" i="138"/>
  <c r="Z77" i="138"/>
  <c r="Z78" i="138"/>
  <c r="Z79" i="138"/>
  <c r="Y11" i="138"/>
  <c r="Z87" i="138"/>
  <c r="Z88" i="138"/>
  <c r="Z89" i="138"/>
  <c r="Z81" i="138"/>
  <c r="Z82" i="138"/>
  <c r="Z83" i="138"/>
  <c r="Z90" i="138"/>
  <c r="Z91" i="138"/>
  <c r="Z92" i="138"/>
  <c r="Z104" i="138"/>
  <c r="Z105" i="138"/>
  <c r="Z108" i="138"/>
  <c r="Z96" i="138"/>
  <c r="Z149" i="138"/>
  <c r="Z150" i="138"/>
  <c r="Z152" i="138"/>
  <c r="S157" i="119"/>
  <c r="S161" i="119"/>
  <c r="Z169" i="138"/>
  <c r="S169" i="119"/>
  <c r="S175" i="119"/>
  <c r="Q324" i="71"/>
  <c r="T12" i="119"/>
  <c r="T76" i="119"/>
  <c r="T78" i="119"/>
  <c r="T81" i="119"/>
  <c r="T18" i="119"/>
  <c r="T82" i="119"/>
  <c r="T19" i="119"/>
  <c r="T83" i="119"/>
  <c r="T20" i="119"/>
  <c r="T84" i="119"/>
  <c r="T88" i="119"/>
  <c r="T57" i="119"/>
  <c r="T91" i="119"/>
  <c r="T58" i="119"/>
  <c r="T92" i="119"/>
  <c r="T56" i="119"/>
  <c r="T95" i="119"/>
  <c r="T102" i="119"/>
  <c r="T104" i="119"/>
  <c r="T99" i="119"/>
  <c r="T105" i="119"/>
  <c r="T106" i="119"/>
  <c r="AA76" i="138"/>
  <c r="AA77" i="138"/>
  <c r="AA78" i="138"/>
  <c r="AA79" i="138"/>
  <c r="Z11" i="138"/>
  <c r="AA87" i="138"/>
  <c r="AA89" i="138"/>
  <c r="AA81" i="138"/>
  <c r="AA82" i="138"/>
  <c r="AA83" i="138"/>
  <c r="AA90" i="138"/>
  <c r="AA91" i="138"/>
  <c r="AA92" i="138"/>
  <c r="AA104" i="138"/>
  <c r="AA105" i="138"/>
  <c r="AA108" i="138"/>
  <c r="AA96" i="138"/>
  <c r="AA149" i="138"/>
  <c r="AA150" i="138"/>
  <c r="AA152" i="138"/>
  <c r="T157" i="119"/>
  <c r="T161" i="119"/>
  <c r="AA169" i="138"/>
  <c r="T169" i="119"/>
  <c r="T175" i="119"/>
  <c r="R324" i="71"/>
  <c r="U12" i="119"/>
  <c r="U76" i="119"/>
  <c r="U78" i="119"/>
  <c r="U81" i="119"/>
  <c r="U18" i="119"/>
  <c r="U82" i="119"/>
  <c r="U19" i="119"/>
  <c r="U83" i="119"/>
  <c r="U20" i="119"/>
  <c r="U84" i="119"/>
  <c r="U88" i="119"/>
  <c r="U57" i="119"/>
  <c r="U91" i="119"/>
  <c r="U58" i="119"/>
  <c r="U92" i="119"/>
  <c r="U56" i="119"/>
  <c r="U95" i="119"/>
  <c r="U102" i="119"/>
  <c r="U104" i="119"/>
  <c r="U99" i="119"/>
  <c r="U105" i="119"/>
  <c r="U106" i="119"/>
  <c r="AB76" i="138"/>
  <c r="AB77" i="138"/>
  <c r="AB78" i="138"/>
  <c r="AB79" i="138"/>
  <c r="AA11" i="138"/>
  <c r="AB87" i="138"/>
  <c r="AB88" i="138"/>
  <c r="AB89" i="138"/>
  <c r="AB81" i="138"/>
  <c r="AB82" i="138"/>
  <c r="AB83" i="138"/>
  <c r="AB90" i="138"/>
  <c r="AB91" i="138"/>
  <c r="AB92" i="138"/>
  <c r="AB104" i="138"/>
  <c r="AB105" i="138"/>
  <c r="AB108" i="138"/>
  <c r="AB96" i="138"/>
  <c r="AB149" i="138"/>
  <c r="AB150" i="138"/>
  <c r="AB152" i="138"/>
  <c r="U157" i="119"/>
  <c r="U161" i="119"/>
  <c r="AB169" i="138"/>
  <c r="U169" i="119"/>
  <c r="U175" i="119"/>
  <c r="S324" i="71"/>
  <c r="V12" i="119"/>
  <c r="V76" i="119"/>
  <c r="V78" i="119"/>
  <c r="V81" i="119"/>
  <c r="V18" i="119"/>
  <c r="V82" i="119"/>
  <c r="V19" i="119"/>
  <c r="V83" i="119"/>
  <c r="V20" i="119"/>
  <c r="V84" i="119"/>
  <c r="V88" i="119"/>
  <c r="V57" i="119"/>
  <c r="V91" i="119"/>
  <c r="V58" i="119"/>
  <c r="V92" i="119"/>
  <c r="V56" i="119"/>
  <c r="V95" i="119"/>
  <c r="V102" i="119"/>
  <c r="V104" i="119"/>
  <c r="V99" i="119"/>
  <c r="V105" i="119"/>
  <c r="V106" i="119"/>
  <c r="AC76" i="138"/>
  <c r="AC77" i="138"/>
  <c r="AC78" i="138"/>
  <c r="AC79" i="138"/>
  <c r="AB11" i="138"/>
  <c r="AC87" i="138"/>
  <c r="AC88" i="138"/>
  <c r="AC89" i="138"/>
  <c r="AC81" i="138"/>
  <c r="AC82" i="138"/>
  <c r="AC83" i="138"/>
  <c r="AC90" i="138"/>
  <c r="AC91" i="138"/>
  <c r="AC92" i="138"/>
  <c r="AC104" i="138"/>
  <c r="AC105" i="138"/>
  <c r="AC108" i="138"/>
  <c r="AC96" i="138"/>
  <c r="AC149" i="138"/>
  <c r="AC150" i="138"/>
  <c r="AC152" i="138"/>
  <c r="V157" i="119"/>
  <c r="V161" i="119"/>
  <c r="AC169" i="138"/>
  <c r="V169" i="119"/>
  <c r="V175" i="119"/>
  <c r="T324" i="71"/>
  <c r="W12" i="119"/>
  <c r="W76" i="119"/>
  <c r="W78" i="119"/>
  <c r="W81" i="119"/>
  <c r="W18" i="119"/>
  <c r="W82" i="119"/>
  <c r="W19" i="119"/>
  <c r="W83" i="119"/>
  <c r="W20" i="119"/>
  <c r="W84" i="119"/>
  <c r="W88" i="119"/>
  <c r="W57" i="119"/>
  <c r="W91" i="119"/>
  <c r="W58" i="119"/>
  <c r="W92" i="119"/>
  <c r="W56" i="119"/>
  <c r="W95" i="119"/>
  <c r="W102" i="119"/>
  <c r="W104" i="119"/>
  <c r="W99" i="119"/>
  <c r="W105" i="119"/>
  <c r="W106" i="119"/>
  <c r="AD76" i="138"/>
  <c r="AD77" i="138"/>
  <c r="AD78" i="138"/>
  <c r="AD79" i="138"/>
  <c r="AC11" i="138"/>
  <c r="AD87" i="138"/>
  <c r="AD88" i="138"/>
  <c r="AD89" i="138"/>
  <c r="AD81" i="138"/>
  <c r="AD82" i="138"/>
  <c r="AD83" i="138"/>
  <c r="AD90" i="138"/>
  <c r="AD91" i="138"/>
  <c r="AD92" i="138"/>
  <c r="AD104" i="138"/>
  <c r="AD105" i="138"/>
  <c r="AD108" i="138"/>
  <c r="AD96" i="138"/>
  <c r="AD149" i="138"/>
  <c r="AD150" i="138"/>
  <c r="AD152" i="138"/>
  <c r="W157" i="119"/>
  <c r="W161" i="119"/>
  <c r="AD169" i="138"/>
  <c r="W169" i="119"/>
  <c r="W175" i="119"/>
  <c r="U324" i="71"/>
  <c r="X12" i="119"/>
  <c r="X76" i="119"/>
  <c r="X78" i="119"/>
  <c r="X81" i="119"/>
  <c r="X18" i="119"/>
  <c r="X82" i="119"/>
  <c r="X19" i="119"/>
  <c r="X83" i="119"/>
  <c r="X20" i="119"/>
  <c r="X84" i="119"/>
  <c r="X88" i="119"/>
  <c r="X57" i="119"/>
  <c r="X91" i="119"/>
  <c r="X58" i="119"/>
  <c r="X92" i="119"/>
  <c r="X56" i="119"/>
  <c r="X95" i="119"/>
  <c r="X102" i="119"/>
  <c r="X104" i="119"/>
  <c r="X99" i="119"/>
  <c r="X105" i="119"/>
  <c r="X106" i="119"/>
  <c r="AE76" i="138"/>
  <c r="AE77" i="138"/>
  <c r="AE78" i="138"/>
  <c r="AE79" i="138"/>
  <c r="AD11" i="138"/>
  <c r="AE87" i="138"/>
  <c r="AE88" i="138"/>
  <c r="AE89" i="138"/>
  <c r="AE81" i="138"/>
  <c r="AE82" i="138"/>
  <c r="AE83" i="138"/>
  <c r="AE90" i="138"/>
  <c r="AE91" i="138"/>
  <c r="AE92" i="138"/>
  <c r="AE104" i="138"/>
  <c r="AE105" i="138"/>
  <c r="AE108" i="138"/>
  <c r="AE96" i="138"/>
  <c r="AE149" i="138"/>
  <c r="AE150" i="138"/>
  <c r="AE152" i="138"/>
  <c r="X157" i="119"/>
  <c r="X161" i="119"/>
  <c r="AE169" i="138"/>
  <c r="X169" i="119"/>
  <c r="X175" i="119"/>
  <c r="V324" i="71"/>
  <c r="E169" i="119"/>
  <c r="E99" i="119"/>
  <c r="E76" i="119"/>
  <c r="E81" i="119"/>
  <c r="E18" i="119"/>
  <c r="E82" i="119"/>
  <c r="E19" i="119"/>
  <c r="E83" i="119"/>
  <c r="E20" i="119"/>
  <c r="E84" i="119"/>
  <c r="E102" i="119"/>
  <c r="E106" i="119"/>
  <c r="E157" i="119"/>
  <c r="E161" i="119"/>
  <c r="E175" i="119"/>
  <c r="C324" i="71"/>
  <c r="W324" i="71"/>
  <c r="J18" i="147"/>
  <c r="J19" i="147"/>
  <c r="X320" i="71"/>
  <c r="J17" i="147"/>
  <c r="D317" i="71"/>
  <c r="E317" i="71"/>
  <c r="F317" i="71"/>
  <c r="G317" i="71"/>
  <c r="H317" i="71"/>
  <c r="I317" i="71"/>
  <c r="J317" i="71"/>
  <c r="K317" i="71"/>
  <c r="L317" i="71"/>
  <c r="M317" i="71"/>
  <c r="N317" i="71"/>
  <c r="O317" i="71"/>
  <c r="P317" i="71"/>
  <c r="Q317" i="71"/>
  <c r="R317" i="71"/>
  <c r="S317" i="71"/>
  <c r="T317" i="71"/>
  <c r="U317" i="71"/>
  <c r="V317" i="71"/>
  <c r="C317" i="71"/>
  <c r="W317" i="71"/>
  <c r="J16" i="147"/>
  <c r="J15" i="147"/>
  <c r="D315" i="71"/>
  <c r="E315" i="71"/>
  <c r="F315" i="71"/>
  <c r="G315" i="71"/>
  <c r="H315" i="71"/>
  <c r="I315" i="71"/>
  <c r="J315" i="71"/>
  <c r="K315" i="71"/>
  <c r="L315" i="71"/>
  <c r="M315" i="71"/>
  <c r="N315" i="71"/>
  <c r="O315" i="71"/>
  <c r="P315" i="71"/>
  <c r="Q315" i="71"/>
  <c r="R315" i="71"/>
  <c r="S315" i="71"/>
  <c r="T315" i="71"/>
  <c r="U315" i="71"/>
  <c r="V315" i="71"/>
  <c r="C315" i="71"/>
  <c r="W315" i="71"/>
  <c r="J13" i="147"/>
  <c r="D11" i="14"/>
  <c r="E72" i="96"/>
  <c r="C67" i="95"/>
  <c r="C68" i="95"/>
  <c r="E42" i="96"/>
  <c r="E43" i="96"/>
  <c r="E44" i="96"/>
  <c r="E98" i="96"/>
  <c r="E76" i="96"/>
  <c r="E101" i="96"/>
  <c r="E105" i="96"/>
  <c r="E156" i="96"/>
  <c r="E160" i="96"/>
  <c r="L172" i="129"/>
  <c r="E168" i="96"/>
  <c r="E174" i="96"/>
  <c r="C210" i="71"/>
  <c r="F12" i="96"/>
  <c r="F76" i="96"/>
  <c r="F78" i="96"/>
  <c r="F87" i="96"/>
  <c r="D91" i="94"/>
  <c r="D92" i="94"/>
  <c r="F57" i="96"/>
  <c r="F90" i="96"/>
  <c r="F101" i="96"/>
  <c r="F103" i="96"/>
  <c r="F58" i="96"/>
  <c r="F91" i="96"/>
  <c r="D67" i="95"/>
  <c r="D68" i="95"/>
  <c r="F42" i="96"/>
  <c r="F43" i="96"/>
  <c r="F44" i="96"/>
  <c r="F98" i="96"/>
  <c r="F56" i="96"/>
  <c r="F94" i="96"/>
  <c r="F104" i="96"/>
  <c r="F105" i="96"/>
  <c r="F156" i="96"/>
  <c r="F160" i="96"/>
  <c r="M172" i="129"/>
  <c r="F168" i="96"/>
  <c r="F174" i="96"/>
  <c r="D210" i="71"/>
  <c r="G12" i="96"/>
  <c r="G76" i="96"/>
  <c r="G78" i="96"/>
  <c r="G87" i="96"/>
  <c r="E91" i="94"/>
  <c r="E92" i="94"/>
  <c r="G57" i="96"/>
  <c r="G90" i="96"/>
  <c r="G58" i="96"/>
  <c r="G91" i="96"/>
  <c r="G101" i="96"/>
  <c r="G103" i="96"/>
  <c r="E67" i="95"/>
  <c r="E68" i="95"/>
  <c r="G42" i="96"/>
  <c r="G43" i="96"/>
  <c r="G44" i="96"/>
  <c r="G98" i="96"/>
  <c r="G56" i="96"/>
  <c r="G94" i="96"/>
  <c r="G104" i="96"/>
  <c r="G105" i="96"/>
  <c r="M11" i="129"/>
  <c r="N88" i="129"/>
  <c r="N89" i="129"/>
  <c r="N90" i="129"/>
  <c r="N91" i="129"/>
  <c r="N92" i="129"/>
  <c r="N93" i="129"/>
  <c r="N105" i="129"/>
  <c r="N106" i="129"/>
  <c r="N109" i="129"/>
  <c r="N97" i="129"/>
  <c r="E27" i="98"/>
  <c r="E28" i="98"/>
  <c r="G156" i="96"/>
  <c r="G160" i="96"/>
  <c r="N172" i="129"/>
  <c r="G168" i="96"/>
  <c r="G174" i="96"/>
  <c r="E210" i="71"/>
  <c r="H12" i="96"/>
  <c r="H76" i="96"/>
  <c r="H78" i="96"/>
  <c r="H87" i="96"/>
  <c r="F91" i="94"/>
  <c r="F92" i="94"/>
  <c r="H57" i="96"/>
  <c r="H90" i="96"/>
  <c r="H58" i="96"/>
  <c r="H91" i="96"/>
  <c r="H56" i="96"/>
  <c r="H94" i="96"/>
  <c r="H101" i="96"/>
  <c r="H103" i="96"/>
  <c r="F67" i="95"/>
  <c r="F68" i="95"/>
  <c r="H42" i="96"/>
  <c r="H43" i="96"/>
  <c r="H44" i="96"/>
  <c r="H98" i="96"/>
  <c r="H104" i="96"/>
  <c r="H105" i="96"/>
  <c r="O76" i="129"/>
  <c r="O77" i="129"/>
  <c r="O78" i="129"/>
  <c r="O79" i="129"/>
  <c r="O80" i="129"/>
  <c r="N11" i="129"/>
  <c r="O88" i="129"/>
  <c r="O89" i="129"/>
  <c r="O90" i="129"/>
  <c r="O82" i="129"/>
  <c r="O83" i="129"/>
  <c r="O84" i="129"/>
  <c r="O91" i="129"/>
  <c r="O92" i="129"/>
  <c r="O93" i="129"/>
  <c r="O105" i="129"/>
  <c r="O106" i="129"/>
  <c r="O109" i="129"/>
  <c r="O97" i="129"/>
  <c r="F27" i="98"/>
  <c r="F28" i="98"/>
  <c r="O150" i="129"/>
  <c r="O151" i="129"/>
  <c r="O153" i="129"/>
  <c r="H156" i="96"/>
  <c r="H160" i="96"/>
  <c r="O170" i="129"/>
  <c r="O172" i="129"/>
  <c r="H168" i="96"/>
  <c r="H174" i="96"/>
  <c r="F210" i="71"/>
  <c r="I12" i="96"/>
  <c r="I76" i="96"/>
  <c r="I78" i="96"/>
  <c r="I87" i="96"/>
  <c r="G91" i="94"/>
  <c r="G92" i="94"/>
  <c r="I57" i="96"/>
  <c r="I90" i="96"/>
  <c r="I58" i="96"/>
  <c r="I91" i="96"/>
  <c r="I56" i="96"/>
  <c r="I94" i="96"/>
  <c r="I101" i="96"/>
  <c r="I103" i="96"/>
  <c r="G67" i="95"/>
  <c r="G68" i="95"/>
  <c r="I42" i="96"/>
  <c r="I43" i="96"/>
  <c r="I44" i="96"/>
  <c r="I98" i="96"/>
  <c r="I104" i="96"/>
  <c r="I105" i="96"/>
  <c r="P76" i="129"/>
  <c r="P77" i="129"/>
  <c r="P78" i="129"/>
  <c r="P79" i="129"/>
  <c r="P80" i="129"/>
  <c r="P88" i="129"/>
  <c r="P89" i="129"/>
  <c r="P90" i="129"/>
  <c r="P82" i="129"/>
  <c r="P83" i="129"/>
  <c r="P84" i="129"/>
  <c r="P91" i="129"/>
  <c r="P92" i="129"/>
  <c r="P93" i="129"/>
  <c r="P105" i="129"/>
  <c r="P106" i="129"/>
  <c r="P109" i="129"/>
  <c r="P97" i="129"/>
  <c r="G27" i="98"/>
  <c r="G28" i="98"/>
  <c r="P150" i="129"/>
  <c r="P151" i="129"/>
  <c r="P153" i="129"/>
  <c r="I156" i="96"/>
  <c r="I160" i="96"/>
  <c r="P170" i="129"/>
  <c r="P172" i="129"/>
  <c r="I168" i="96"/>
  <c r="I174" i="96"/>
  <c r="G210" i="71"/>
  <c r="H210" i="71"/>
  <c r="K12" i="96"/>
  <c r="K76" i="96"/>
  <c r="K78" i="96"/>
  <c r="K87" i="96"/>
  <c r="I91" i="94"/>
  <c r="I92" i="94"/>
  <c r="K57" i="96"/>
  <c r="K90" i="96"/>
  <c r="K58" i="96"/>
  <c r="K91" i="96"/>
  <c r="K56" i="96"/>
  <c r="K94" i="96"/>
  <c r="K101" i="96"/>
  <c r="K103" i="96"/>
  <c r="I67" i="95"/>
  <c r="I68" i="95"/>
  <c r="K42" i="96"/>
  <c r="K43" i="96"/>
  <c r="K44" i="96"/>
  <c r="K98" i="96"/>
  <c r="K104" i="96"/>
  <c r="K105" i="96"/>
  <c r="R76" i="129"/>
  <c r="R77" i="129"/>
  <c r="R78" i="129"/>
  <c r="R79" i="129"/>
  <c r="R80" i="129"/>
  <c r="Q11" i="129"/>
  <c r="R89" i="129"/>
  <c r="R90" i="129"/>
  <c r="R82" i="129"/>
  <c r="R83" i="129"/>
  <c r="R84" i="129"/>
  <c r="R91" i="129"/>
  <c r="R92" i="129"/>
  <c r="R93" i="129"/>
  <c r="R105" i="129"/>
  <c r="R106" i="129"/>
  <c r="R109" i="129"/>
  <c r="I27" i="98"/>
  <c r="I28" i="98"/>
  <c r="R150" i="129"/>
  <c r="R151" i="129"/>
  <c r="R153" i="129"/>
  <c r="K156" i="96"/>
  <c r="K160" i="96"/>
  <c r="R170" i="129"/>
  <c r="R172" i="129"/>
  <c r="K168" i="96"/>
  <c r="K174" i="96"/>
  <c r="I210" i="71"/>
  <c r="L12" i="96"/>
  <c r="L76" i="96"/>
  <c r="L78" i="96"/>
  <c r="L87" i="96"/>
  <c r="J91" i="94"/>
  <c r="J92" i="94"/>
  <c r="L57" i="96"/>
  <c r="L90" i="96"/>
  <c r="L58" i="96"/>
  <c r="L91" i="96"/>
  <c r="L56" i="96"/>
  <c r="L94" i="96"/>
  <c r="L101" i="96"/>
  <c r="L103" i="96"/>
  <c r="J67" i="95"/>
  <c r="J68" i="95"/>
  <c r="L42" i="96"/>
  <c r="L43" i="96"/>
  <c r="L44" i="96"/>
  <c r="L98" i="96"/>
  <c r="L104" i="96"/>
  <c r="L105" i="96"/>
  <c r="S76" i="129"/>
  <c r="S77" i="129"/>
  <c r="S78" i="129"/>
  <c r="S79" i="129"/>
  <c r="S80" i="129"/>
  <c r="R11" i="129"/>
  <c r="S89" i="129"/>
  <c r="S90" i="129"/>
  <c r="S82" i="129"/>
  <c r="S83" i="129"/>
  <c r="S84" i="129"/>
  <c r="S91" i="129"/>
  <c r="S92" i="129"/>
  <c r="S93" i="129"/>
  <c r="S105" i="129"/>
  <c r="S106" i="129"/>
  <c r="S109" i="129"/>
  <c r="S97" i="129"/>
  <c r="J27" i="98"/>
  <c r="J28" i="98"/>
  <c r="S150" i="129"/>
  <c r="S151" i="129"/>
  <c r="S153" i="129"/>
  <c r="L156" i="96"/>
  <c r="L160" i="96"/>
  <c r="S170" i="129"/>
  <c r="S172" i="129"/>
  <c r="L168" i="96"/>
  <c r="L174" i="96"/>
  <c r="J210" i="71"/>
  <c r="M12" i="96"/>
  <c r="M76" i="96"/>
  <c r="M78" i="96"/>
  <c r="M87" i="96"/>
  <c r="K91" i="94"/>
  <c r="K92" i="94"/>
  <c r="M57" i="96"/>
  <c r="M90" i="96"/>
  <c r="M58" i="96"/>
  <c r="M91" i="96"/>
  <c r="M56" i="96"/>
  <c r="M94" i="96"/>
  <c r="M101" i="96"/>
  <c r="M103" i="96"/>
  <c r="K67" i="95"/>
  <c r="K68" i="95"/>
  <c r="M42" i="96"/>
  <c r="M43" i="96"/>
  <c r="M44" i="96"/>
  <c r="M98" i="96"/>
  <c r="M104" i="96"/>
  <c r="M105" i="96"/>
  <c r="T76" i="129"/>
  <c r="T77" i="129"/>
  <c r="T78" i="129"/>
  <c r="T79" i="129"/>
  <c r="T80" i="129"/>
  <c r="S11" i="129"/>
  <c r="T89" i="129"/>
  <c r="T90" i="129"/>
  <c r="T82" i="129"/>
  <c r="T83" i="129"/>
  <c r="T84" i="129"/>
  <c r="T91" i="129"/>
  <c r="T92" i="129"/>
  <c r="T93" i="129"/>
  <c r="T105" i="129"/>
  <c r="T106" i="129"/>
  <c r="T109" i="129"/>
  <c r="T97" i="129"/>
  <c r="K27" i="98"/>
  <c r="K28" i="98"/>
  <c r="T150" i="129"/>
  <c r="T151" i="129"/>
  <c r="T153" i="129"/>
  <c r="M156" i="96"/>
  <c r="M160" i="96"/>
  <c r="T170" i="129"/>
  <c r="T172" i="129"/>
  <c r="M168" i="96"/>
  <c r="M174" i="96"/>
  <c r="K210" i="71"/>
  <c r="N12" i="96"/>
  <c r="N76" i="96"/>
  <c r="N78" i="96"/>
  <c r="N87" i="96"/>
  <c r="L91" i="94"/>
  <c r="L92" i="94"/>
  <c r="N57" i="96"/>
  <c r="N90" i="96"/>
  <c r="N58" i="96"/>
  <c r="N91" i="96"/>
  <c r="N56" i="96"/>
  <c r="N94" i="96"/>
  <c r="N101" i="96"/>
  <c r="N103" i="96"/>
  <c r="L67" i="95"/>
  <c r="L68" i="95"/>
  <c r="N42" i="96"/>
  <c r="N43" i="96"/>
  <c r="N44" i="96"/>
  <c r="N98" i="96"/>
  <c r="N104" i="96"/>
  <c r="N105" i="96"/>
  <c r="U76" i="129"/>
  <c r="U77" i="129"/>
  <c r="U78" i="129"/>
  <c r="U79" i="129"/>
  <c r="U80" i="129"/>
  <c r="T11" i="129"/>
  <c r="U89" i="129"/>
  <c r="U90" i="129"/>
  <c r="U82" i="129"/>
  <c r="U83" i="129"/>
  <c r="U84" i="129"/>
  <c r="U91" i="129"/>
  <c r="U92" i="129"/>
  <c r="U93" i="129"/>
  <c r="U105" i="129"/>
  <c r="U106" i="129"/>
  <c r="U109" i="129"/>
  <c r="U97" i="129"/>
  <c r="L27" i="98"/>
  <c r="L28" i="98"/>
  <c r="U150" i="129"/>
  <c r="U151" i="129"/>
  <c r="U153" i="129"/>
  <c r="N156" i="96"/>
  <c r="N160" i="96"/>
  <c r="U170" i="129"/>
  <c r="U172" i="129"/>
  <c r="N168" i="96"/>
  <c r="N174" i="96"/>
  <c r="L210" i="71"/>
  <c r="O12" i="96"/>
  <c r="O76" i="96"/>
  <c r="O78" i="96"/>
  <c r="O87" i="96"/>
  <c r="M91" i="94"/>
  <c r="M92" i="94"/>
  <c r="O57" i="96"/>
  <c r="O90" i="96"/>
  <c r="O58" i="96"/>
  <c r="O91" i="96"/>
  <c r="O56" i="96"/>
  <c r="O94" i="96"/>
  <c r="O101" i="96"/>
  <c r="O103" i="96"/>
  <c r="M67" i="95"/>
  <c r="M68" i="95"/>
  <c r="O42" i="96"/>
  <c r="O43" i="96"/>
  <c r="O44" i="96"/>
  <c r="O98" i="96"/>
  <c r="O104" i="96"/>
  <c r="O105" i="96"/>
  <c r="V76" i="129"/>
  <c r="V77" i="129"/>
  <c r="V78" i="129"/>
  <c r="V79" i="129"/>
  <c r="V80" i="129"/>
  <c r="U11" i="129"/>
  <c r="V90" i="129"/>
  <c r="V82" i="129"/>
  <c r="V83" i="129"/>
  <c r="V84" i="129"/>
  <c r="V91" i="129"/>
  <c r="V92" i="129"/>
  <c r="V93" i="129"/>
  <c r="V105" i="129"/>
  <c r="V106" i="129"/>
  <c r="V109" i="129"/>
  <c r="V97" i="129"/>
  <c r="M27" i="98"/>
  <c r="M28" i="98"/>
  <c r="V150" i="129"/>
  <c r="V151" i="129"/>
  <c r="V153" i="129"/>
  <c r="O156" i="96"/>
  <c r="O160" i="96"/>
  <c r="V170" i="129"/>
  <c r="V172" i="129"/>
  <c r="O168" i="96"/>
  <c r="O174" i="96"/>
  <c r="M210" i="71"/>
  <c r="P12" i="96"/>
  <c r="P76" i="96"/>
  <c r="P78" i="96"/>
  <c r="P87" i="96"/>
  <c r="N91" i="94"/>
  <c r="N92" i="94"/>
  <c r="P57" i="96"/>
  <c r="P90" i="96"/>
  <c r="P58" i="96"/>
  <c r="P91" i="96"/>
  <c r="P56" i="96"/>
  <c r="P94" i="96"/>
  <c r="P101" i="96"/>
  <c r="P103" i="96"/>
  <c r="N67" i="95"/>
  <c r="N68" i="95"/>
  <c r="P42" i="96"/>
  <c r="P43" i="96"/>
  <c r="P44" i="96"/>
  <c r="P98" i="96"/>
  <c r="P104" i="96"/>
  <c r="P105" i="96"/>
  <c r="W76" i="129"/>
  <c r="W77" i="129"/>
  <c r="W78" i="129"/>
  <c r="W79" i="129"/>
  <c r="W80" i="129"/>
  <c r="V11" i="129"/>
  <c r="W89" i="129"/>
  <c r="W90" i="129"/>
  <c r="W82" i="129"/>
  <c r="W83" i="129"/>
  <c r="W84" i="129"/>
  <c r="W91" i="129"/>
  <c r="W92" i="129"/>
  <c r="W93" i="129"/>
  <c r="W105" i="129"/>
  <c r="W106" i="129"/>
  <c r="W109" i="129"/>
  <c r="W97" i="129"/>
  <c r="N27" i="98"/>
  <c r="N28" i="98"/>
  <c r="W150" i="129"/>
  <c r="W151" i="129"/>
  <c r="W153" i="129"/>
  <c r="P156" i="96"/>
  <c r="P160" i="96"/>
  <c r="W170" i="129"/>
  <c r="W172" i="129"/>
  <c r="P168" i="96"/>
  <c r="P174" i="96"/>
  <c r="N210" i="71"/>
  <c r="Q12" i="96"/>
  <c r="Q76" i="96"/>
  <c r="Q78" i="96"/>
  <c r="Q87" i="96"/>
  <c r="O91" i="94"/>
  <c r="O92" i="94"/>
  <c r="Q57" i="96"/>
  <c r="Q90" i="96"/>
  <c r="Q58" i="96"/>
  <c r="Q91" i="96"/>
  <c r="Q56" i="96"/>
  <c r="Q94" i="96"/>
  <c r="Q101" i="96"/>
  <c r="Q103" i="96"/>
  <c r="O67" i="95"/>
  <c r="O68" i="95"/>
  <c r="Q42" i="96"/>
  <c r="Q43" i="96"/>
  <c r="Q44" i="96"/>
  <c r="Q98" i="96"/>
  <c r="Q104" i="96"/>
  <c r="Q105" i="96"/>
  <c r="X76" i="129"/>
  <c r="X77" i="129"/>
  <c r="X78" i="129"/>
  <c r="X79" i="129"/>
  <c r="X80" i="129"/>
  <c r="W11" i="129"/>
  <c r="X89" i="129"/>
  <c r="X90" i="129"/>
  <c r="X82" i="129"/>
  <c r="X83" i="129"/>
  <c r="X84" i="129"/>
  <c r="X91" i="129"/>
  <c r="X92" i="129"/>
  <c r="X93" i="129"/>
  <c r="X105" i="129"/>
  <c r="X106" i="129"/>
  <c r="X109" i="129"/>
  <c r="X97" i="129"/>
  <c r="O27" i="98"/>
  <c r="O28" i="98"/>
  <c r="X150" i="129"/>
  <c r="X151" i="129"/>
  <c r="X153" i="129"/>
  <c r="Q156" i="96"/>
  <c r="Q160" i="96"/>
  <c r="X170" i="129"/>
  <c r="X172" i="129"/>
  <c r="Q168" i="96"/>
  <c r="Q174" i="96"/>
  <c r="O210" i="71"/>
  <c r="R12" i="96"/>
  <c r="R76" i="96"/>
  <c r="R78" i="96"/>
  <c r="R87" i="96"/>
  <c r="P91" i="94"/>
  <c r="P92" i="94"/>
  <c r="R57" i="96"/>
  <c r="R90" i="96"/>
  <c r="R58" i="96"/>
  <c r="R91" i="96"/>
  <c r="R56" i="96"/>
  <c r="R94" i="96"/>
  <c r="R101" i="96"/>
  <c r="R103" i="96"/>
  <c r="P67" i="95"/>
  <c r="P68" i="95"/>
  <c r="R42" i="96"/>
  <c r="R43" i="96"/>
  <c r="R44" i="96"/>
  <c r="R98" i="96"/>
  <c r="R104" i="96"/>
  <c r="R105" i="96"/>
  <c r="Y76" i="129"/>
  <c r="Y77" i="129"/>
  <c r="Y78" i="129"/>
  <c r="Y79" i="129"/>
  <c r="Y80" i="129"/>
  <c r="X11" i="129"/>
  <c r="Y89" i="129"/>
  <c r="Y90" i="129"/>
  <c r="Y82" i="129"/>
  <c r="Y83" i="129"/>
  <c r="Y84" i="129"/>
  <c r="Y91" i="129"/>
  <c r="Y92" i="129"/>
  <c r="Y93" i="129"/>
  <c r="Y105" i="129"/>
  <c r="Y106" i="129"/>
  <c r="Y109" i="129"/>
  <c r="Y97" i="129"/>
  <c r="P27" i="98"/>
  <c r="P28" i="98"/>
  <c r="Y150" i="129"/>
  <c r="Y151" i="129"/>
  <c r="Y153" i="129"/>
  <c r="R156" i="96"/>
  <c r="R160" i="96"/>
  <c r="Y170" i="129"/>
  <c r="Y172" i="129"/>
  <c r="R168" i="96"/>
  <c r="R174" i="96"/>
  <c r="P210" i="71"/>
  <c r="S12" i="96"/>
  <c r="S76" i="96"/>
  <c r="S78" i="96"/>
  <c r="S87" i="96"/>
  <c r="Q91" i="94"/>
  <c r="Q92" i="94"/>
  <c r="S57" i="96"/>
  <c r="S90" i="96"/>
  <c r="S58" i="96"/>
  <c r="S91" i="96"/>
  <c r="S56" i="96"/>
  <c r="S94" i="96"/>
  <c r="S101" i="96"/>
  <c r="S103" i="96"/>
  <c r="Q67" i="95"/>
  <c r="Q68" i="95"/>
  <c r="S42" i="96"/>
  <c r="S43" i="96"/>
  <c r="S44" i="96"/>
  <c r="S98" i="96"/>
  <c r="S104" i="96"/>
  <c r="S105" i="96"/>
  <c r="Z76" i="129"/>
  <c r="Z77" i="129"/>
  <c r="Z78" i="129"/>
  <c r="Z79" i="129"/>
  <c r="Z80" i="129"/>
  <c r="Y11" i="129"/>
  <c r="Z89" i="129"/>
  <c r="Z90" i="129"/>
  <c r="Z82" i="129"/>
  <c r="Z83" i="129"/>
  <c r="Z84" i="129"/>
  <c r="Z91" i="129"/>
  <c r="Z92" i="129"/>
  <c r="Z93" i="129"/>
  <c r="Z105" i="129"/>
  <c r="Z106" i="129"/>
  <c r="Z109" i="129"/>
  <c r="Z97" i="129"/>
  <c r="Q27" i="98"/>
  <c r="Q28" i="98"/>
  <c r="Z150" i="129"/>
  <c r="Z151" i="129"/>
  <c r="Z153" i="129"/>
  <c r="S156" i="96"/>
  <c r="S160" i="96"/>
  <c r="Z170" i="129"/>
  <c r="Z172" i="129"/>
  <c r="S168" i="96"/>
  <c r="S174" i="96"/>
  <c r="Q210" i="71"/>
  <c r="T12" i="96"/>
  <c r="T76" i="96"/>
  <c r="T78" i="96"/>
  <c r="T87" i="96"/>
  <c r="R91" i="94"/>
  <c r="R92" i="94"/>
  <c r="T57" i="96"/>
  <c r="T90" i="96"/>
  <c r="T58" i="96"/>
  <c r="T91" i="96"/>
  <c r="T56" i="96"/>
  <c r="T94" i="96"/>
  <c r="T101" i="96"/>
  <c r="T103" i="96"/>
  <c r="R67" i="95"/>
  <c r="R68" i="95"/>
  <c r="T42" i="96"/>
  <c r="T43" i="96"/>
  <c r="T44" i="96"/>
  <c r="T98" i="96"/>
  <c r="T104" i="96"/>
  <c r="T105" i="96"/>
  <c r="AA76" i="129"/>
  <c r="AA77" i="129"/>
  <c r="AA78" i="129"/>
  <c r="AA79" i="129"/>
  <c r="AA80" i="129"/>
  <c r="Z11" i="129"/>
  <c r="AA90" i="129"/>
  <c r="AA82" i="129"/>
  <c r="AA83" i="129"/>
  <c r="AA84" i="129"/>
  <c r="AA91" i="129"/>
  <c r="AA92" i="129"/>
  <c r="AA93" i="129"/>
  <c r="AA105" i="129"/>
  <c r="AA106" i="129"/>
  <c r="AA109" i="129"/>
  <c r="AA97" i="129"/>
  <c r="R27" i="98"/>
  <c r="R28" i="98"/>
  <c r="AA150" i="129"/>
  <c r="AA151" i="129"/>
  <c r="AA153" i="129"/>
  <c r="T156" i="96"/>
  <c r="T160" i="96"/>
  <c r="AA170" i="129"/>
  <c r="AA172" i="129"/>
  <c r="T168" i="96"/>
  <c r="T174" i="96"/>
  <c r="R210" i="71"/>
  <c r="U12" i="96"/>
  <c r="U76" i="96"/>
  <c r="U78" i="96"/>
  <c r="U87" i="96"/>
  <c r="S91" i="94"/>
  <c r="S92" i="94"/>
  <c r="U57" i="96"/>
  <c r="U90" i="96"/>
  <c r="U58" i="96"/>
  <c r="U91" i="96"/>
  <c r="U56" i="96"/>
  <c r="U94" i="96"/>
  <c r="U101" i="96"/>
  <c r="U103" i="96"/>
  <c r="S67" i="95"/>
  <c r="S68" i="95"/>
  <c r="U42" i="96"/>
  <c r="U43" i="96"/>
  <c r="U44" i="96"/>
  <c r="U98" i="96"/>
  <c r="U104" i="96"/>
  <c r="U105" i="96"/>
  <c r="AB76" i="129"/>
  <c r="AB77" i="129"/>
  <c r="AB78" i="129"/>
  <c r="AB79" i="129"/>
  <c r="AB80" i="129"/>
  <c r="AA11" i="129"/>
  <c r="AB89" i="129"/>
  <c r="AB90" i="129"/>
  <c r="AB82" i="129"/>
  <c r="AB83" i="129"/>
  <c r="AB84" i="129"/>
  <c r="AB91" i="129"/>
  <c r="AB92" i="129"/>
  <c r="AB93" i="129"/>
  <c r="AB105" i="129"/>
  <c r="AB106" i="129"/>
  <c r="AB109" i="129"/>
  <c r="AB97" i="129"/>
  <c r="S27" i="98"/>
  <c r="S28" i="98"/>
  <c r="AB150" i="129"/>
  <c r="AB151" i="129"/>
  <c r="AB153" i="129"/>
  <c r="U156" i="96"/>
  <c r="U160" i="96"/>
  <c r="AB170" i="129"/>
  <c r="AB172" i="129"/>
  <c r="U168" i="96"/>
  <c r="U174" i="96"/>
  <c r="S210" i="71"/>
  <c r="V12" i="96"/>
  <c r="V76" i="96"/>
  <c r="V78" i="96"/>
  <c r="V87" i="96"/>
  <c r="T91" i="94"/>
  <c r="T92" i="94"/>
  <c r="V57" i="96"/>
  <c r="V90" i="96"/>
  <c r="V58" i="96"/>
  <c r="V91" i="96"/>
  <c r="V56" i="96"/>
  <c r="V94" i="96"/>
  <c r="V101" i="96"/>
  <c r="V103" i="96"/>
  <c r="T67" i="95"/>
  <c r="T68" i="95"/>
  <c r="V42" i="96"/>
  <c r="V43" i="96"/>
  <c r="V44" i="96"/>
  <c r="V98" i="96"/>
  <c r="V104" i="96"/>
  <c r="V105" i="96"/>
  <c r="AC76" i="129"/>
  <c r="AC77" i="129"/>
  <c r="AC78" i="129"/>
  <c r="AC79" i="129"/>
  <c r="AC80" i="129"/>
  <c r="AB11" i="129"/>
  <c r="AC89" i="129"/>
  <c r="AC90" i="129"/>
  <c r="AC82" i="129"/>
  <c r="AC83" i="129"/>
  <c r="AC84" i="129"/>
  <c r="AC91" i="129"/>
  <c r="AC92" i="129"/>
  <c r="AC93" i="129"/>
  <c r="AC105" i="129"/>
  <c r="AC106" i="129"/>
  <c r="AC109" i="129"/>
  <c r="AC97" i="129"/>
  <c r="T27" i="98"/>
  <c r="T28" i="98"/>
  <c r="AC150" i="129"/>
  <c r="AC151" i="129"/>
  <c r="AC153" i="129"/>
  <c r="V156" i="96"/>
  <c r="V160" i="96"/>
  <c r="AC170" i="129"/>
  <c r="AC172" i="129"/>
  <c r="V168" i="96"/>
  <c r="V174" i="96"/>
  <c r="T210" i="71"/>
  <c r="W12" i="96"/>
  <c r="W76" i="96"/>
  <c r="W78" i="96"/>
  <c r="W87" i="96"/>
  <c r="U91" i="94"/>
  <c r="U92" i="94"/>
  <c r="W57" i="96"/>
  <c r="W90" i="96"/>
  <c r="W58" i="96"/>
  <c r="W91" i="96"/>
  <c r="W56" i="96"/>
  <c r="W94" i="96"/>
  <c r="W101" i="96"/>
  <c r="W103" i="96"/>
  <c r="U67" i="95"/>
  <c r="U68" i="95"/>
  <c r="W42" i="96"/>
  <c r="W43" i="96"/>
  <c r="W44" i="96"/>
  <c r="W98" i="96"/>
  <c r="W104" i="96"/>
  <c r="W105" i="96"/>
  <c r="AD76" i="129"/>
  <c r="AD77" i="129"/>
  <c r="AD78" i="129"/>
  <c r="AD79" i="129"/>
  <c r="AD80" i="129"/>
  <c r="AC11" i="129"/>
  <c r="AD89" i="129"/>
  <c r="AD90" i="129"/>
  <c r="AD82" i="129"/>
  <c r="AD83" i="129"/>
  <c r="AD84" i="129"/>
  <c r="AD91" i="129"/>
  <c r="AD92" i="129"/>
  <c r="AD93" i="129"/>
  <c r="AD105" i="129"/>
  <c r="AD106" i="129"/>
  <c r="AD109" i="129"/>
  <c r="AD97" i="129"/>
  <c r="U27" i="98"/>
  <c r="U28" i="98"/>
  <c r="AD150" i="129"/>
  <c r="AD151" i="129"/>
  <c r="AD153" i="129"/>
  <c r="W156" i="96"/>
  <c r="W160" i="96"/>
  <c r="AD170" i="129"/>
  <c r="AD172" i="129"/>
  <c r="W168" i="96"/>
  <c r="W174" i="96"/>
  <c r="U210" i="71"/>
  <c r="X12" i="96"/>
  <c r="X76" i="96"/>
  <c r="X78" i="96"/>
  <c r="X87" i="96"/>
  <c r="V91" i="94"/>
  <c r="V92" i="94"/>
  <c r="X57" i="96"/>
  <c r="X90" i="96"/>
  <c r="X58" i="96"/>
  <c r="X91" i="96"/>
  <c r="X56" i="96"/>
  <c r="X94" i="96"/>
  <c r="X101" i="96"/>
  <c r="X103" i="96"/>
  <c r="V67" i="95"/>
  <c r="V68" i="95"/>
  <c r="X42" i="96"/>
  <c r="X43" i="96"/>
  <c r="X44" i="96"/>
  <c r="X98" i="96"/>
  <c r="X104" i="96"/>
  <c r="X105" i="96"/>
  <c r="AE76" i="129"/>
  <c r="AE77" i="129"/>
  <c r="AE78" i="129"/>
  <c r="AE79" i="129"/>
  <c r="AE80" i="129"/>
  <c r="AD11" i="129"/>
  <c r="AE89" i="129"/>
  <c r="AE90" i="129"/>
  <c r="AE82" i="129"/>
  <c r="AE83" i="129"/>
  <c r="AE84" i="129"/>
  <c r="AE91" i="129"/>
  <c r="AE92" i="129"/>
  <c r="AE93" i="129"/>
  <c r="AE105" i="129"/>
  <c r="AE106" i="129"/>
  <c r="AE109" i="129"/>
  <c r="AE97" i="129"/>
  <c r="V27" i="98"/>
  <c r="V28" i="98"/>
  <c r="AE150" i="129"/>
  <c r="AE151" i="129"/>
  <c r="AE153" i="129"/>
  <c r="X156" i="96"/>
  <c r="X160" i="96"/>
  <c r="AE170" i="129"/>
  <c r="AE172" i="129"/>
  <c r="X168" i="96"/>
  <c r="X174" i="96"/>
  <c r="V210" i="71"/>
  <c r="W210" i="71"/>
  <c r="I18" i="147"/>
  <c r="I19" i="147"/>
  <c r="X206" i="71"/>
  <c r="I17" i="147"/>
  <c r="C203" i="71"/>
  <c r="D203" i="71"/>
  <c r="E203" i="71"/>
  <c r="F203" i="71"/>
  <c r="G203" i="71"/>
  <c r="H203" i="71"/>
  <c r="I203" i="71"/>
  <c r="J203" i="71"/>
  <c r="K203" i="71"/>
  <c r="L203" i="71"/>
  <c r="M203" i="71"/>
  <c r="N203" i="71"/>
  <c r="O203" i="71"/>
  <c r="P203" i="71"/>
  <c r="Q203" i="71"/>
  <c r="R203" i="71"/>
  <c r="S203" i="71"/>
  <c r="T203" i="71"/>
  <c r="U203" i="71"/>
  <c r="V203" i="71"/>
  <c r="W203" i="71"/>
  <c r="I16" i="147"/>
  <c r="I15" i="147"/>
  <c r="C201" i="71"/>
  <c r="D201" i="71"/>
  <c r="E201" i="71"/>
  <c r="F201" i="71"/>
  <c r="G201" i="71"/>
  <c r="H201" i="71"/>
  <c r="I201" i="71"/>
  <c r="J201" i="71"/>
  <c r="K201" i="71"/>
  <c r="L201" i="71"/>
  <c r="M201" i="71"/>
  <c r="N201" i="71"/>
  <c r="O201" i="71"/>
  <c r="P201" i="71"/>
  <c r="Q201" i="71"/>
  <c r="R201" i="71"/>
  <c r="S201" i="71"/>
  <c r="T201" i="71"/>
  <c r="U201" i="71"/>
  <c r="V201" i="71"/>
  <c r="W201" i="71"/>
  <c r="I13" i="147"/>
  <c r="E72" i="99"/>
  <c r="E42" i="99"/>
  <c r="E43" i="99"/>
  <c r="E44" i="99"/>
  <c r="E98" i="99"/>
  <c r="E76" i="99"/>
  <c r="E101" i="99"/>
  <c r="E105" i="99"/>
  <c r="E156" i="99"/>
  <c r="E160" i="99"/>
  <c r="L172" i="133"/>
  <c r="E168" i="99"/>
  <c r="E174" i="99"/>
  <c r="C229" i="71"/>
  <c r="F12" i="99"/>
  <c r="F76" i="99"/>
  <c r="F78" i="99"/>
  <c r="F87" i="99"/>
  <c r="F57" i="99"/>
  <c r="F90" i="99"/>
  <c r="F101" i="99"/>
  <c r="F103" i="99"/>
  <c r="F58" i="99"/>
  <c r="F91" i="99"/>
  <c r="F42" i="99"/>
  <c r="F43" i="99"/>
  <c r="F44" i="99"/>
  <c r="F98" i="99"/>
  <c r="F56" i="99"/>
  <c r="F94" i="99"/>
  <c r="F104" i="99"/>
  <c r="F105" i="99"/>
  <c r="F156" i="99"/>
  <c r="F160" i="99"/>
  <c r="M172" i="133"/>
  <c r="F168" i="99"/>
  <c r="F174" i="99"/>
  <c r="D229" i="71"/>
  <c r="G12" i="99"/>
  <c r="G76" i="99"/>
  <c r="G78" i="99"/>
  <c r="G87" i="99"/>
  <c r="G57" i="99"/>
  <c r="G90" i="99"/>
  <c r="G58" i="99"/>
  <c r="G91" i="99"/>
  <c r="G101" i="99"/>
  <c r="G103" i="99"/>
  <c r="G42" i="99"/>
  <c r="G43" i="99"/>
  <c r="G44" i="99"/>
  <c r="G98" i="99"/>
  <c r="G56" i="99"/>
  <c r="G94" i="99"/>
  <c r="G104" i="99"/>
  <c r="G105" i="99"/>
  <c r="M11" i="133"/>
  <c r="N88" i="133"/>
  <c r="N89" i="133"/>
  <c r="N90" i="133"/>
  <c r="N91" i="133"/>
  <c r="N92" i="133"/>
  <c r="N93" i="133"/>
  <c r="N105" i="133"/>
  <c r="N106" i="133"/>
  <c r="N109" i="133"/>
  <c r="N97" i="133"/>
  <c r="G156" i="99"/>
  <c r="G160" i="99"/>
  <c r="N172" i="133"/>
  <c r="G168" i="99"/>
  <c r="G174" i="99"/>
  <c r="E229" i="71"/>
  <c r="H12" i="99"/>
  <c r="H76" i="99"/>
  <c r="H78" i="99"/>
  <c r="H87" i="99"/>
  <c r="H57" i="99"/>
  <c r="H90" i="99"/>
  <c r="H58" i="99"/>
  <c r="H91" i="99"/>
  <c r="H56" i="99"/>
  <c r="H94" i="99"/>
  <c r="H101" i="99"/>
  <c r="H103" i="99"/>
  <c r="H42" i="99"/>
  <c r="H43" i="99"/>
  <c r="H44" i="99"/>
  <c r="H98" i="99"/>
  <c r="H104" i="99"/>
  <c r="H105" i="99"/>
  <c r="O76" i="133"/>
  <c r="O77" i="133"/>
  <c r="O78" i="133"/>
  <c r="O79" i="133"/>
  <c r="O80" i="133"/>
  <c r="N11" i="133"/>
  <c r="O88" i="133"/>
  <c r="O89" i="133"/>
  <c r="O90" i="133"/>
  <c r="O82" i="133"/>
  <c r="O83" i="133"/>
  <c r="O84" i="133"/>
  <c r="O91" i="133"/>
  <c r="O92" i="133"/>
  <c r="O93" i="133"/>
  <c r="O105" i="133"/>
  <c r="O106" i="133"/>
  <c r="O109" i="133"/>
  <c r="O97" i="133"/>
  <c r="O150" i="133"/>
  <c r="O151" i="133"/>
  <c r="O153" i="133"/>
  <c r="H156" i="99"/>
  <c r="H160" i="99"/>
  <c r="O170" i="133"/>
  <c r="O172" i="133"/>
  <c r="H168" i="99"/>
  <c r="H174" i="99"/>
  <c r="F229" i="71"/>
  <c r="I12" i="99"/>
  <c r="I76" i="99"/>
  <c r="I78" i="99"/>
  <c r="I87" i="99"/>
  <c r="I57" i="99"/>
  <c r="I90" i="99"/>
  <c r="I58" i="99"/>
  <c r="I91" i="99"/>
  <c r="I56" i="99"/>
  <c r="I94" i="99"/>
  <c r="I101" i="99"/>
  <c r="I103" i="99"/>
  <c r="I42" i="99"/>
  <c r="I43" i="99"/>
  <c r="I44" i="99"/>
  <c r="I98" i="99"/>
  <c r="I104" i="99"/>
  <c r="I105" i="99"/>
  <c r="P76" i="133"/>
  <c r="P77" i="133"/>
  <c r="P78" i="133"/>
  <c r="P79" i="133"/>
  <c r="P80" i="133"/>
  <c r="P88" i="133"/>
  <c r="P89" i="133"/>
  <c r="P90" i="133"/>
  <c r="P82" i="133"/>
  <c r="P83" i="133"/>
  <c r="P84" i="133"/>
  <c r="P91" i="133"/>
  <c r="P92" i="133"/>
  <c r="P93" i="133"/>
  <c r="P105" i="133"/>
  <c r="P106" i="133"/>
  <c r="P109" i="133"/>
  <c r="P97" i="133"/>
  <c r="P150" i="133"/>
  <c r="P151" i="133"/>
  <c r="P153" i="133"/>
  <c r="I156" i="99"/>
  <c r="I160" i="99"/>
  <c r="P170" i="133"/>
  <c r="P172" i="133"/>
  <c r="I168" i="99"/>
  <c r="I174" i="99"/>
  <c r="G229" i="71"/>
  <c r="H229" i="71"/>
  <c r="K12" i="99"/>
  <c r="K76" i="99"/>
  <c r="K78" i="99"/>
  <c r="K87" i="99"/>
  <c r="K57" i="99"/>
  <c r="K90" i="99"/>
  <c r="K58" i="99"/>
  <c r="K91" i="99"/>
  <c r="K56" i="99"/>
  <c r="K94" i="99"/>
  <c r="K101" i="99"/>
  <c r="K103" i="99"/>
  <c r="K42" i="99"/>
  <c r="K43" i="99"/>
  <c r="K44" i="99"/>
  <c r="K98" i="99"/>
  <c r="K104" i="99"/>
  <c r="K105" i="99"/>
  <c r="R76" i="133"/>
  <c r="R77" i="133"/>
  <c r="R78" i="133"/>
  <c r="R79" i="133"/>
  <c r="R80" i="133"/>
  <c r="Q11" i="133"/>
  <c r="R89" i="133"/>
  <c r="R90" i="133"/>
  <c r="R82" i="133"/>
  <c r="R83" i="133"/>
  <c r="R84" i="133"/>
  <c r="R91" i="133"/>
  <c r="R92" i="133"/>
  <c r="R93" i="133"/>
  <c r="R105" i="133"/>
  <c r="R106" i="133"/>
  <c r="R109" i="133"/>
  <c r="R150" i="133"/>
  <c r="R151" i="133"/>
  <c r="R153" i="133"/>
  <c r="K156" i="99"/>
  <c r="K160" i="99"/>
  <c r="R170" i="133"/>
  <c r="R172" i="133"/>
  <c r="K168" i="99"/>
  <c r="K174" i="99"/>
  <c r="I229" i="71"/>
  <c r="L12" i="99"/>
  <c r="L76" i="99"/>
  <c r="L78" i="99"/>
  <c r="L87" i="99"/>
  <c r="L57" i="99"/>
  <c r="L90" i="99"/>
  <c r="L58" i="99"/>
  <c r="L91" i="99"/>
  <c r="L56" i="99"/>
  <c r="L94" i="99"/>
  <c r="L101" i="99"/>
  <c r="L103" i="99"/>
  <c r="L42" i="99"/>
  <c r="L43" i="99"/>
  <c r="L44" i="99"/>
  <c r="L98" i="99"/>
  <c r="L104" i="99"/>
  <c r="L105" i="99"/>
  <c r="S76" i="133"/>
  <c r="S77" i="133"/>
  <c r="S78" i="133"/>
  <c r="S79" i="133"/>
  <c r="S80" i="133"/>
  <c r="R11" i="133"/>
  <c r="S89" i="133"/>
  <c r="S90" i="133"/>
  <c r="S82" i="133"/>
  <c r="S83" i="133"/>
  <c r="S84" i="133"/>
  <c r="S91" i="133"/>
  <c r="S92" i="133"/>
  <c r="S93" i="133"/>
  <c r="S105" i="133"/>
  <c r="S106" i="133"/>
  <c r="S109" i="133"/>
  <c r="S97" i="133"/>
  <c r="S150" i="133"/>
  <c r="S151" i="133"/>
  <c r="S153" i="133"/>
  <c r="L156" i="99"/>
  <c r="L160" i="99"/>
  <c r="S170" i="133"/>
  <c r="S172" i="133"/>
  <c r="L168" i="99"/>
  <c r="L174" i="99"/>
  <c r="J229" i="71"/>
  <c r="M12" i="99"/>
  <c r="M76" i="99"/>
  <c r="M78" i="99"/>
  <c r="M87" i="99"/>
  <c r="M57" i="99"/>
  <c r="M90" i="99"/>
  <c r="M58" i="99"/>
  <c r="M91" i="99"/>
  <c r="M56" i="99"/>
  <c r="M94" i="99"/>
  <c r="M101" i="99"/>
  <c r="M103" i="99"/>
  <c r="M42" i="99"/>
  <c r="M43" i="99"/>
  <c r="M44" i="99"/>
  <c r="M98" i="99"/>
  <c r="M104" i="99"/>
  <c r="M105" i="99"/>
  <c r="T76" i="133"/>
  <c r="T77" i="133"/>
  <c r="T78" i="133"/>
  <c r="T79" i="133"/>
  <c r="T80" i="133"/>
  <c r="S11" i="133"/>
  <c r="T89" i="133"/>
  <c r="T90" i="133"/>
  <c r="T82" i="133"/>
  <c r="T83" i="133"/>
  <c r="T84" i="133"/>
  <c r="T91" i="133"/>
  <c r="T92" i="133"/>
  <c r="T93" i="133"/>
  <c r="T105" i="133"/>
  <c r="T106" i="133"/>
  <c r="T109" i="133"/>
  <c r="T97" i="133"/>
  <c r="T150" i="133"/>
  <c r="T151" i="133"/>
  <c r="T153" i="133"/>
  <c r="M156" i="99"/>
  <c r="M160" i="99"/>
  <c r="T170" i="133"/>
  <c r="T172" i="133"/>
  <c r="M168" i="99"/>
  <c r="M174" i="99"/>
  <c r="K229" i="71"/>
  <c r="N12" i="99"/>
  <c r="N76" i="99"/>
  <c r="N78" i="99"/>
  <c r="N87" i="99"/>
  <c r="N57" i="99"/>
  <c r="N90" i="99"/>
  <c r="N58" i="99"/>
  <c r="N91" i="99"/>
  <c r="N56" i="99"/>
  <c r="N94" i="99"/>
  <c r="N101" i="99"/>
  <c r="N103" i="99"/>
  <c r="N42" i="99"/>
  <c r="N43" i="99"/>
  <c r="N44" i="99"/>
  <c r="N98" i="99"/>
  <c r="N104" i="99"/>
  <c r="N105" i="99"/>
  <c r="U76" i="133"/>
  <c r="U77" i="133"/>
  <c r="U78" i="133"/>
  <c r="U79" i="133"/>
  <c r="U80" i="133"/>
  <c r="T11" i="133"/>
  <c r="U89" i="133"/>
  <c r="U90" i="133"/>
  <c r="U82" i="133"/>
  <c r="U83" i="133"/>
  <c r="U84" i="133"/>
  <c r="U91" i="133"/>
  <c r="U92" i="133"/>
  <c r="U93" i="133"/>
  <c r="U105" i="133"/>
  <c r="U106" i="133"/>
  <c r="U109" i="133"/>
  <c r="U97" i="133"/>
  <c r="U150" i="133"/>
  <c r="U151" i="133"/>
  <c r="U153" i="133"/>
  <c r="N156" i="99"/>
  <c r="N160" i="99"/>
  <c r="U170" i="133"/>
  <c r="U172" i="133"/>
  <c r="N168" i="99"/>
  <c r="N174" i="99"/>
  <c r="L229" i="71"/>
  <c r="O12" i="99"/>
  <c r="O76" i="99"/>
  <c r="O78" i="99"/>
  <c r="O87" i="99"/>
  <c r="O57" i="99"/>
  <c r="O90" i="99"/>
  <c r="O58" i="99"/>
  <c r="O91" i="99"/>
  <c r="O56" i="99"/>
  <c r="O94" i="99"/>
  <c r="O101" i="99"/>
  <c r="O103" i="99"/>
  <c r="O42" i="99"/>
  <c r="O43" i="99"/>
  <c r="O44" i="99"/>
  <c r="O98" i="99"/>
  <c r="O104" i="99"/>
  <c r="O105" i="99"/>
  <c r="V76" i="133"/>
  <c r="V77" i="133"/>
  <c r="V78" i="133"/>
  <c r="V79" i="133"/>
  <c r="V80" i="133"/>
  <c r="U11" i="133"/>
  <c r="V90" i="133"/>
  <c r="V82" i="133"/>
  <c r="V83" i="133"/>
  <c r="V84" i="133"/>
  <c r="V91" i="133"/>
  <c r="V92" i="133"/>
  <c r="V93" i="133"/>
  <c r="V105" i="133"/>
  <c r="V106" i="133"/>
  <c r="V109" i="133"/>
  <c r="V97" i="133"/>
  <c r="V150" i="133"/>
  <c r="V151" i="133"/>
  <c r="V153" i="133"/>
  <c r="O156" i="99"/>
  <c r="O160" i="99"/>
  <c r="V170" i="133"/>
  <c r="V172" i="133"/>
  <c r="O168" i="99"/>
  <c r="O174" i="99"/>
  <c r="M229" i="71"/>
  <c r="P12" i="99"/>
  <c r="P76" i="99"/>
  <c r="P78" i="99"/>
  <c r="P87" i="99"/>
  <c r="P57" i="99"/>
  <c r="P90" i="99"/>
  <c r="P58" i="99"/>
  <c r="P91" i="99"/>
  <c r="P56" i="99"/>
  <c r="P94" i="99"/>
  <c r="P101" i="99"/>
  <c r="P103" i="99"/>
  <c r="P42" i="99"/>
  <c r="P43" i="99"/>
  <c r="P44" i="99"/>
  <c r="P98" i="99"/>
  <c r="P104" i="99"/>
  <c r="P105" i="99"/>
  <c r="W76" i="133"/>
  <c r="W77" i="133"/>
  <c r="W78" i="133"/>
  <c r="W79" i="133"/>
  <c r="W80" i="133"/>
  <c r="V11" i="133"/>
  <c r="W89" i="133"/>
  <c r="W90" i="133"/>
  <c r="W82" i="133"/>
  <c r="W83" i="133"/>
  <c r="W84" i="133"/>
  <c r="W91" i="133"/>
  <c r="W92" i="133"/>
  <c r="W93" i="133"/>
  <c r="W105" i="133"/>
  <c r="W106" i="133"/>
  <c r="W109" i="133"/>
  <c r="W97" i="133"/>
  <c r="W150" i="133"/>
  <c r="W151" i="133"/>
  <c r="W153" i="133"/>
  <c r="P156" i="99"/>
  <c r="P160" i="99"/>
  <c r="W170" i="133"/>
  <c r="W172" i="133"/>
  <c r="P168" i="99"/>
  <c r="P174" i="99"/>
  <c r="N229" i="71"/>
  <c r="Q12" i="99"/>
  <c r="Q76" i="99"/>
  <c r="Q78" i="99"/>
  <c r="Q87" i="99"/>
  <c r="Q57" i="99"/>
  <c r="Q90" i="99"/>
  <c r="Q58" i="99"/>
  <c r="Q91" i="99"/>
  <c r="Q56" i="99"/>
  <c r="Q94" i="99"/>
  <c r="Q101" i="99"/>
  <c r="Q103" i="99"/>
  <c r="Q42" i="99"/>
  <c r="Q43" i="99"/>
  <c r="Q44" i="99"/>
  <c r="Q98" i="99"/>
  <c r="Q104" i="99"/>
  <c r="Q105" i="99"/>
  <c r="X76" i="133"/>
  <c r="X77" i="133"/>
  <c r="X78" i="133"/>
  <c r="X79" i="133"/>
  <c r="X80" i="133"/>
  <c r="W11" i="133"/>
  <c r="X89" i="133"/>
  <c r="X90" i="133"/>
  <c r="X82" i="133"/>
  <c r="X83" i="133"/>
  <c r="X84" i="133"/>
  <c r="X91" i="133"/>
  <c r="X92" i="133"/>
  <c r="X93" i="133"/>
  <c r="X105" i="133"/>
  <c r="X106" i="133"/>
  <c r="X109" i="133"/>
  <c r="X97" i="133"/>
  <c r="X150" i="133"/>
  <c r="X151" i="133"/>
  <c r="X153" i="133"/>
  <c r="Q156" i="99"/>
  <c r="Q160" i="99"/>
  <c r="X170" i="133"/>
  <c r="X172" i="133"/>
  <c r="Q168" i="99"/>
  <c r="Q174" i="99"/>
  <c r="O229" i="71"/>
  <c r="R12" i="99"/>
  <c r="R76" i="99"/>
  <c r="R78" i="99"/>
  <c r="R87" i="99"/>
  <c r="R57" i="99"/>
  <c r="R90" i="99"/>
  <c r="R58" i="99"/>
  <c r="R91" i="99"/>
  <c r="R56" i="99"/>
  <c r="R94" i="99"/>
  <c r="R101" i="99"/>
  <c r="R103" i="99"/>
  <c r="R42" i="99"/>
  <c r="R43" i="99"/>
  <c r="R44" i="99"/>
  <c r="R98" i="99"/>
  <c r="R104" i="99"/>
  <c r="R105" i="99"/>
  <c r="Y76" i="133"/>
  <c r="Y77" i="133"/>
  <c r="Y78" i="133"/>
  <c r="Y79" i="133"/>
  <c r="Y80" i="133"/>
  <c r="X11" i="133"/>
  <c r="Y89" i="133"/>
  <c r="Y90" i="133"/>
  <c r="Y82" i="133"/>
  <c r="Y83" i="133"/>
  <c r="Y84" i="133"/>
  <c r="Y91" i="133"/>
  <c r="Y92" i="133"/>
  <c r="Y93" i="133"/>
  <c r="Y105" i="133"/>
  <c r="Y106" i="133"/>
  <c r="Y109" i="133"/>
  <c r="Y97" i="133"/>
  <c r="Y150" i="133"/>
  <c r="Y151" i="133"/>
  <c r="Y153" i="133"/>
  <c r="R156" i="99"/>
  <c r="R160" i="99"/>
  <c r="Y170" i="133"/>
  <c r="Y172" i="133"/>
  <c r="R168" i="99"/>
  <c r="R174" i="99"/>
  <c r="P229" i="71"/>
  <c r="S12" i="99"/>
  <c r="S76" i="99"/>
  <c r="S78" i="99"/>
  <c r="S87" i="99"/>
  <c r="S57" i="99"/>
  <c r="S90" i="99"/>
  <c r="S58" i="99"/>
  <c r="S91" i="99"/>
  <c r="S56" i="99"/>
  <c r="S94" i="99"/>
  <c r="S101" i="99"/>
  <c r="S103" i="99"/>
  <c r="S42" i="99"/>
  <c r="S43" i="99"/>
  <c r="S44" i="99"/>
  <c r="S98" i="99"/>
  <c r="S104" i="99"/>
  <c r="S105" i="99"/>
  <c r="Z76" i="133"/>
  <c r="Z77" i="133"/>
  <c r="Z78" i="133"/>
  <c r="Z79" i="133"/>
  <c r="Z80" i="133"/>
  <c r="Y11" i="133"/>
  <c r="Z89" i="133"/>
  <c r="Z90" i="133"/>
  <c r="Z82" i="133"/>
  <c r="Z83" i="133"/>
  <c r="Z84" i="133"/>
  <c r="Z91" i="133"/>
  <c r="Z92" i="133"/>
  <c r="Z93" i="133"/>
  <c r="Z105" i="133"/>
  <c r="Z106" i="133"/>
  <c r="Z109" i="133"/>
  <c r="Z97" i="133"/>
  <c r="Z150" i="133"/>
  <c r="Z151" i="133"/>
  <c r="Z153" i="133"/>
  <c r="S156" i="99"/>
  <c r="S160" i="99"/>
  <c r="Z170" i="133"/>
  <c r="Z172" i="133"/>
  <c r="S168" i="99"/>
  <c r="S174" i="99"/>
  <c r="Q229" i="71"/>
  <c r="T12" i="99"/>
  <c r="T76" i="99"/>
  <c r="T78" i="99"/>
  <c r="T87" i="99"/>
  <c r="T57" i="99"/>
  <c r="T90" i="99"/>
  <c r="T58" i="99"/>
  <c r="T91" i="99"/>
  <c r="T56" i="99"/>
  <c r="T94" i="99"/>
  <c r="T101" i="99"/>
  <c r="T103" i="99"/>
  <c r="T42" i="99"/>
  <c r="T43" i="99"/>
  <c r="T44" i="99"/>
  <c r="T98" i="99"/>
  <c r="T104" i="99"/>
  <c r="T105" i="99"/>
  <c r="AA76" i="133"/>
  <c r="AA77" i="133"/>
  <c r="AA78" i="133"/>
  <c r="AA79" i="133"/>
  <c r="AA80" i="133"/>
  <c r="Z11" i="133"/>
  <c r="AA90" i="133"/>
  <c r="AA82" i="133"/>
  <c r="AA83" i="133"/>
  <c r="AA84" i="133"/>
  <c r="AA91" i="133"/>
  <c r="AA92" i="133"/>
  <c r="AA93" i="133"/>
  <c r="AA105" i="133"/>
  <c r="AA106" i="133"/>
  <c r="AA109" i="133"/>
  <c r="AA97" i="133"/>
  <c r="AA150" i="133"/>
  <c r="AA151" i="133"/>
  <c r="AA153" i="133"/>
  <c r="T156" i="99"/>
  <c r="T160" i="99"/>
  <c r="AA170" i="133"/>
  <c r="AA172" i="133"/>
  <c r="T168" i="99"/>
  <c r="T174" i="99"/>
  <c r="R229" i="71"/>
  <c r="U12" i="99"/>
  <c r="U76" i="99"/>
  <c r="U78" i="99"/>
  <c r="U87" i="99"/>
  <c r="U57" i="99"/>
  <c r="U90" i="99"/>
  <c r="U58" i="99"/>
  <c r="U91" i="99"/>
  <c r="U56" i="99"/>
  <c r="U94" i="99"/>
  <c r="U101" i="99"/>
  <c r="U103" i="99"/>
  <c r="U42" i="99"/>
  <c r="U43" i="99"/>
  <c r="U44" i="99"/>
  <c r="U98" i="99"/>
  <c r="U104" i="99"/>
  <c r="U105" i="99"/>
  <c r="AB76" i="133"/>
  <c r="AB77" i="133"/>
  <c r="AB78" i="133"/>
  <c r="AB79" i="133"/>
  <c r="AB80" i="133"/>
  <c r="AA11" i="133"/>
  <c r="AB89" i="133"/>
  <c r="AB90" i="133"/>
  <c r="AB82" i="133"/>
  <c r="AB83" i="133"/>
  <c r="AB84" i="133"/>
  <c r="AB91" i="133"/>
  <c r="AB92" i="133"/>
  <c r="AB93" i="133"/>
  <c r="AB105" i="133"/>
  <c r="AB106" i="133"/>
  <c r="AB109" i="133"/>
  <c r="AB97" i="133"/>
  <c r="AB150" i="133"/>
  <c r="AB151" i="133"/>
  <c r="AB153" i="133"/>
  <c r="U156" i="99"/>
  <c r="U160" i="99"/>
  <c r="AB170" i="133"/>
  <c r="AB172" i="133"/>
  <c r="U168" i="99"/>
  <c r="U174" i="99"/>
  <c r="S229" i="71"/>
  <c r="V12" i="99"/>
  <c r="V76" i="99"/>
  <c r="V78" i="99"/>
  <c r="V87" i="99"/>
  <c r="V57" i="99"/>
  <c r="V90" i="99"/>
  <c r="V58" i="99"/>
  <c r="V91" i="99"/>
  <c r="V56" i="99"/>
  <c r="V94" i="99"/>
  <c r="V101" i="99"/>
  <c r="V103" i="99"/>
  <c r="V42" i="99"/>
  <c r="V43" i="99"/>
  <c r="V44" i="99"/>
  <c r="V98" i="99"/>
  <c r="V104" i="99"/>
  <c r="V105" i="99"/>
  <c r="AC76" i="133"/>
  <c r="AC77" i="133"/>
  <c r="AC78" i="133"/>
  <c r="AC79" i="133"/>
  <c r="AC80" i="133"/>
  <c r="AB11" i="133"/>
  <c r="AC89" i="133"/>
  <c r="AC90" i="133"/>
  <c r="AC82" i="133"/>
  <c r="AC83" i="133"/>
  <c r="AC84" i="133"/>
  <c r="AC91" i="133"/>
  <c r="AC92" i="133"/>
  <c r="AC93" i="133"/>
  <c r="AC105" i="133"/>
  <c r="AC106" i="133"/>
  <c r="AC109" i="133"/>
  <c r="AC97" i="133"/>
  <c r="AC150" i="133"/>
  <c r="AC151" i="133"/>
  <c r="AC153" i="133"/>
  <c r="V156" i="99"/>
  <c r="V160" i="99"/>
  <c r="AC170" i="133"/>
  <c r="AC172" i="133"/>
  <c r="V168" i="99"/>
  <c r="V174" i="99"/>
  <c r="T229" i="71"/>
  <c r="W12" i="99"/>
  <c r="W76" i="99"/>
  <c r="W78" i="99"/>
  <c r="W87" i="99"/>
  <c r="W57" i="99"/>
  <c r="W90" i="99"/>
  <c r="W58" i="99"/>
  <c r="W91" i="99"/>
  <c r="W56" i="99"/>
  <c r="W94" i="99"/>
  <c r="W101" i="99"/>
  <c r="W103" i="99"/>
  <c r="W42" i="99"/>
  <c r="W43" i="99"/>
  <c r="W44" i="99"/>
  <c r="W98" i="99"/>
  <c r="W104" i="99"/>
  <c r="W105" i="99"/>
  <c r="AD76" i="133"/>
  <c r="AD77" i="133"/>
  <c r="AD78" i="133"/>
  <c r="AD79" i="133"/>
  <c r="AD80" i="133"/>
  <c r="AC11" i="133"/>
  <c r="AD89" i="133"/>
  <c r="AD90" i="133"/>
  <c r="AD82" i="133"/>
  <c r="AD83" i="133"/>
  <c r="AD84" i="133"/>
  <c r="AD91" i="133"/>
  <c r="AD92" i="133"/>
  <c r="AD93" i="133"/>
  <c r="AD105" i="133"/>
  <c r="AD106" i="133"/>
  <c r="AD109" i="133"/>
  <c r="AD97" i="133"/>
  <c r="AD150" i="133"/>
  <c r="AD151" i="133"/>
  <c r="AD153" i="133"/>
  <c r="W156" i="99"/>
  <c r="W160" i="99"/>
  <c r="AD170" i="133"/>
  <c r="AD172" i="133"/>
  <c r="W168" i="99"/>
  <c r="W174" i="99"/>
  <c r="U229" i="71"/>
  <c r="X12" i="99"/>
  <c r="X76" i="99"/>
  <c r="X78" i="99"/>
  <c r="X87" i="99"/>
  <c r="X57" i="99"/>
  <c r="X90" i="99"/>
  <c r="X58" i="99"/>
  <c r="X91" i="99"/>
  <c r="X56" i="99"/>
  <c r="X94" i="99"/>
  <c r="X101" i="99"/>
  <c r="X103" i="99"/>
  <c r="X42" i="99"/>
  <c r="X43" i="99"/>
  <c r="X44" i="99"/>
  <c r="X98" i="99"/>
  <c r="X104" i="99"/>
  <c r="X105" i="99"/>
  <c r="AE76" i="133"/>
  <c r="AE77" i="133"/>
  <c r="AE78" i="133"/>
  <c r="AE79" i="133"/>
  <c r="AE80" i="133"/>
  <c r="AD11" i="133"/>
  <c r="AE89" i="133"/>
  <c r="AE90" i="133"/>
  <c r="AE82" i="133"/>
  <c r="AE83" i="133"/>
  <c r="AE84" i="133"/>
  <c r="AE91" i="133"/>
  <c r="AE92" i="133"/>
  <c r="AE93" i="133"/>
  <c r="AE105" i="133"/>
  <c r="AE106" i="133"/>
  <c r="AE109" i="133"/>
  <c r="AE97" i="133"/>
  <c r="AE150" i="133"/>
  <c r="AE151" i="133"/>
  <c r="AE153" i="133"/>
  <c r="X156" i="99"/>
  <c r="X160" i="99"/>
  <c r="AE170" i="133"/>
  <c r="AE172" i="133"/>
  <c r="X168" i="99"/>
  <c r="X174" i="99"/>
  <c r="V229" i="71"/>
  <c r="W229" i="71"/>
  <c r="H18" i="147"/>
  <c r="H19" i="147"/>
  <c r="X225" i="71"/>
  <c r="H17" i="147"/>
  <c r="C222" i="71"/>
  <c r="D222" i="71"/>
  <c r="E222" i="71"/>
  <c r="F222" i="71"/>
  <c r="G222" i="71"/>
  <c r="H222" i="71"/>
  <c r="I222" i="71"/>
  <c r="J222" i="71"/>
  <c r="K222" i="71"/>
  <c r="L222" i="71"/>
  <c r="M222" i="71"/>
  <c r="N222" i="71"/>
  <c r="O222" i="71"/>
  <c r="P222" i="71"/>
  <c r="Q222" i="71"/>
  <c r="R222" i="71"/>
  <c r="S222" i="71"/>
  <c r="T222" i="71"/>
  <c r="U222" i="71"/>
  <c r="V222" i="71"/>
  <c r="W222" i="71"/>
  <c r="H16" i="147"/>
  <c r="H15" i="147"/>
  <c r="C220" i="71"/>
  <c r="D220" i="71"/>
  <c r="E220" i="71"/>
  <c r="F220" i="71"/>
  <c r="G220" i="71"/>
  <c r="H220" i="71"/>
  <c r="I220" i="71"/>
  <c r="J220" i="71"/>
  <c r="K220" i="71"/>
  <c r="L220" i="71"/>
  <c r="M220" i="71"/>
  <c r="N220" i="71"/>
  <c r="O220" i="71"/>
  <c r="P220" i="71"/>
  <c r="Q220" i="71"/>
  <c r="R220" i="71"/>
  <c r="S220" i="71"/>
  <c r="T220" i="71"/>
  <c r="U220" i="71"/>
  <c r="V220" i="71"/>
  <c r="W220" i="71"/>
  <c r="H13" i="147"/>
  <c r="E72" i="101"/>
  <c r="E42" i="101"/>
  <c r="E43" i="101"/>
  <c r="E44" i="101"/>
  <c r="E98" i="101"/>
  <c r="E76" i="101"/>
  <c r="E101" i="101"/>
  <c r="E105" i="101"/>
  <c r="E156" i="101"/>
  <c r="E160" i="101"/>
  <c r="L172" i="134"/>
  <c r="E168" i="101"/>
  <c r="E174" i="101"/>
  <c r="C248" i="71"/>
  <c r="F12" i="101"/>
  <c r="F76" i="101"/>
  <c r="F78" i="101"/>
  <c r="F87" i="101"/>
  <c r="F57" i="101"/>
  <c r="F90" i="101"/>
  <c r="F101" i="101"/>
  <c r="F103" i="101"/>
  <c r="F58" i="101"/>
  <c r="F91" i="101"/>
  <c r="F42" i="101"/>
  <c r="F43" i="101"/>
  <c r="F44" i="101"/>
  <c r="F98" i="101"/>
  <c r="F56" i="101"/>
  <c r="F94" i="101"/>
  <c r="F104" i="101"/>
  <c r="F105" i="101"/>
  <c r="F156" i="101"/>
  <c r="F160" i="101"/>
  <c r="M172" i="134"/>
  <c r="F168" i="101"/>
  <c r="F174" i="101"/>
  <c r="D248" i="71"/>
  <c r="G12" i="101"/>
  <c r="G76" i="101"/>
  <c r="G78" i="101"/>
  <c r="G87" i="101"/>
  <c r="G57" i="101"/>
  <c r="G90" i="101"/>
  <c r="G58" i="101"/>
  <c r="G91" i="101"/>
  <c r="G101" i="101"/>
  <c r="G103" i="101"/>
  <c r="G42" i="101"/>
  <c r="G43" i="101"/>
  <c r="G44" i="101"/>
  <c r="G98" i="101"/>
  <c r="G56" i="101"/>
  <c r="G94" i="101"/>
  <c r="G104" i="101"/>
  <c r="G105" i="101"/>
  <c r="M11" i="134"/>
  <c r="N88" i="134"/>
  <c r="N89" i="134"/>
  <c r="N90" i="134"/>
  <c r="N91" i="134"/>
  <c r="N92" i="134"/>
  <c r="N93" i="134"/>
  <c r="N105" i="134"/>
  <c r="N106" i="134"/>
  <c r="N109" i="134"/>
  <c r="N97" i="134"/>
  <c r="G156" i="101"/>
  <c r="G160" i="101"/>
  <c r="N172" i="134"/>
  <c r="G168" i="101"/>
  <c r="G174" i="101"/>
  <c r="E248" i="71"/>
  <c r="H12" i="101"/>
  <c r="H76" i="101"/>
  <c r="H78" i="101"/>
  <c r="H87" i="101"/>
  <c r="H57" i="101"/>
  <c r="H90" i="101"/>
  <c r="H58" i="101"/>
  <c r="H91" i="101"/>
  <c r="H56" i="101"/>
  <c r="H94" i="101"/>
  <c r="H101" i="101"/>
  <c r="H103" i="101"/>
  <c r="H42" i="101"/>
  <c r="H43" i="101"/>
  <c r="H44" i="101"/>
  <c r="H98" i="101"/>
  <c r="H104" i="101"/>
  <c r="H105" i="101"/>
  <c r="O76" i="134"/>
  <c r="O77" i="134"/>
  <c r="O78" i="134"/>
  <c r="O79" i="134"/>
  <c r="O80" i="134"/>
  <c r="N11" i="134"/>
  <c r="O88" i="134"/>
  <c r="O89" i="134"/>
  <c r="O90" i="134"/>
  <c r="O82" i="134"/>
  <c r="O83" i="134"/>
  <c r="O84" i="134"/>
  <c r="O91" i="134"/>
  <c r="O92" i="134"/>
  <c r="O93" i="134"/>
  <c r="O105" i="134"/>
  <c r="O106" i="134"/>
  <c r="O109" i="134"/>
  <c r="O97" i="134"/>
  <c r="O150" i="134"/>
  <c r="O151" i="134"/>
  <c r="O153" i="134"/>
  <c r="H156" i="101"/>
  <c r="H160" i="101"/>
  <c r="O170" i="134"/>
  <c r="O172" i="134"/>
  <c r="H168" i="101"/>
  <c r="H174" i="101"/>
  <c r="F248" i="71"/>
  <c r="I12" i="101"/>
  <c r="I76" i="101"/>
  <c r="I78" i="101"/>
  <c r="I87" i="101"/>
  <c r="I57" i="101"/>
  <c r="I90" i="101"/>
  <c r="I58" i="101"/>
  <c r="I91" i="101"/>
  <c r="I56" i="101"/>
  <c r="I94" i="101"/>
  <c r="I101" i="101"/>
  <c r="I103" i="101"/>
  <c r="I42" i="101"/>
  <c r="I43" i="101"/>
  <c r="I44" i="101"/>
  <c r="I98" i="101"/>
  <c r="I104" i="101"/>
  <c r="I105" i="101"/>
  <c r="P76" i="134"/>
  <c r="P77" i="134"/>
  <c r="P78" i="134"/>
  <c r="P79" i="134"/>
  <c r="P80" i="134"/>
  <c r="P88" i="134"/>
  <c r="P89" i="134"/>
  <c r="P90" i="134"/>
  <c r="P82" i="134"/>
  <c r="P83" i="134"/>
  <c r="P84" i="134"/>
  <c r="P91" i="134"/>
  <c r="P92" i="134"/>
  <c r="P93" i="134"/>
  <c r="P105" i="134"/>
  <c r="P106" i="134"/>
  <c r="P109" i="134"/>
  <c r="P97" i="134"/>
  <c r="P150" i="134"/>
  <c r="P151" i="134"/>
  <c r="P153" i="134"/>
  <c r="I156" i="101"/>
  <c r="I160" i="101"/>
  <c r="P170" i="134"/>
  <c r="P172" i="134"/>
  <c r="I168" i="101"/>
  <c r="I174" i="101"/>
  <c r="G248" i="71"/>
  <c r="H248" i="71"/>
  <c r="K12" i="101"/>
  <c r="K76" i="101"/>
  <c r="K78" i="101"/>
  <c r="K87" i="101"/>
  <c r="K57" i="101"/>
  <c r="K90" i="101"/>
  <c r="K58" i="101"/>
  <c r="K91" i="101"/>
  <c r="K56" i="101"/>
  <c r="K94" i="101"/>
  <c r="K101" i="101"/>
  <c r="K103" i="101"/>
  <c r="K42" i="101"/>
  <c r="K43" i="101"/>
  <c r="K44" i="101"/>
  <c r="K98" i="101"/>
  <c r="K104" i="101"/>
  <c r="K105" i="101"/>
  <c r="R76" i="134"/>
  <c r="R77" i="134"/>
  <c r="R78" i="134"/>
  <c r="R79" i="134"/>
  <c r="R80" i="134"/>
  <c r="Q11" i="134"/>
  <c r="R89" i="134"/>
  <c r="R90" i="134"/>
  <c r="R82" i="134"/>
  <c r="R83" i="134"/>
  <c r="R84" i="134"/>
  <c r="R91" i="134"/>
  <c r="R92" i="134"/>
  <c r="R93" i="134"/>
  <c r="R105" i="134"/>
  <c r="R106" i="134"/>
  <c r="R109" i="134"/>
  <c r="R150" i="134"/>
  <c r="R151" i="134"/>
  <c r="R153" i="134"/>
  <c r="K156" i="101"/>
  <c r="K160" i="101"/>
  <c r="R170" i="134"/>
  <c r="R172" i="134"/>
  <c r="K168" i="101"/>
  <c r="K174" i="101"/>
  <c r="I248" i="71"/>
  <c r="L12" i="101"/>
  <c r="L76" i="101"/>
  <c r="L78" i="101"/>
  <c r="L87" i="101"/>
  <c r="L57" i="101"/>
  <c r="L90" i="101"/>
  <c r="L58" i="101"/>
  <c r="L91" i="101"/>
  <c r="L56" i="101"/>
  <c r="L94" i="101"/>
  <c r="L101" i="101"/>
  <c r="L103" i="101"/>
  <c r="L42" i="101"/>
  <c r="L43" i="101"/>
  <c r="L44" i="101"/>
  <c r="L98" i="101"/>
  <c r="L104" i="101"/>
  <c r="L105" i="101"/>
  <c r="S76" i="134"/>
  <c r="S77" i="134"/>
  <c r="S78" i="134"/>
  <c r="S79" i="134"/>
  <c r="S80" i="134"/>
  <c r="R11" i="134"/>
  <c r="S89" i="134"/>
  <c r="S90" i="134"/>
  <c r="S82" i="134"/>
  <c r="S83" i="134"/>
  <c r="S84" i="134"/>
  <c r="S91" i="134"/>
  <c r="S92" i="134"/>
  <c r="S93" i="134"/>
  <c r="S105" i="134"/>
  <c r="S106" i="134"/>
  <c r="S109" i="134"/>
  <c r="S97" i="134"/>
  <c r="S150" i="134"/>
  <c r="S151" i="134"/>
  <c r="S153" i="134"/>
  <c r="L156" i="101"/>
  <c r="L160" i="101"/>
  <c r="S170" i="134"/>
  <c r="S172" i="134"/>
  <c r="L168" i="101"/>
  <c r="L174" i="101"/>
  <c r="J248" i="71"/>
  <c r="M12" i="101"/>
  <c r="M76" i="101"/>
  <c r="M78" i="101"/>
  <c r="M87" i="101"/>
  <c r="M57" i="101"/>
  <c r="M90" i="101"/>
  <c r="M58" i="101"/>
  <c r="M91" i="101"/>
  <c r="M56" i="101"/>
  <c r="M94" i="101"/>
  <c r="M101" i="101"/>
  <c r="M103" i="101"/>
  <c r="M42" i="101"/>
  <c r="M43" i="101"/>
  <c r="M44" i="101"/>
  <c r="M98" i="101"/>
  <c r="M104" i="101"/>
  <c r="M105" i="101"/>
  <c r="T76" i="134"/>
  <c r="T77" i="134"/>
  <c r="T78" i="134"/>
  <c r="T79" i="134"/>
  <c r="T80" i="134"/>
  <c r="S11" i="134"/>
  <c r="T89" i="134"/>
  <c r="T90" i="134"/>
  <c r="T82" i="134"/>
  <c r="T83" i="134"/>
  <c r="T84" i="134"/>
  <c r="T91" i="134"/>
  <c r="T92" i="134"/>
  <c r="T93" i="134"/>
  <c r="T105" i="134"/>
  <c r="T106" i="134"/>
  <c r="T109" i="134"/>
  <c r="T97" i="134"/>
  <c r="T150" i="134"/>
  <c r="T151" i="134"/>
  <c r="T153" i="134"/>
  <c r="M156" i="101"/>
  <c r="M160" i="101"/>
  <c r="T170" i="134"/>
  <c r="T172" i="134"/>
  <c r="M168" i="101"/>
  <c r="M174" i="101"/>
  <c r="K248" i="71"/>
  <c r="N12" i="101"/>
  <c r="N76" i="101"/>
  <c r="N78" i="101"/>
  <c r="N87" i="101"/>
  <c r="N57" i="101"/>
  <c r="N90" i="101"/>
  <c r="N58" i="101"/>
  <c r="N91" i="101"/>
  <c r="N56" i="101"/>
  <c r="N94" i="101"/>
  <c r="N101" i="101"/>
  <c r="N103" i="101"/>
  <c r="N42" i="101"/>
  <c r="N43" i="101"/>
  <c r="N44" i="101"/>
  <c r="N98" i="101"/>
  <c r="N104" i="101"/>
  <c r="N105" i="101"/>
  <c r="U76" i="134"/>
  <c r="U77" i="134"/>
  <c r="U78" i="134"/>
  <c r="U79" i="134"/>
  <c r="U80" i="134"/>
  <c r="T11" i="134"/>
  <c r="U89" i="134"/>
  <c r="U90" i="134"/>
  <c r="U82" i="134"/>
  <c r="U83" i="134"/>
  <c r="U84" i="134"/>
  <c r="U91" i="134"/>
  <c r="U92" i="134"/>
  <c r="U93" i="134"/>
  <c r="U105" i="134"/>
  <c r="U106" i="134"/>
  <c r="U109" i="134"/>
  <c r="U97" i="134"/>
  <c r="U150" i="134"/>
  <c r="U151" i="134"/>
  <c r="U153" i="134"/>
  <c r="N156" i="101"/>
  <c r="N160" i="101"/>
  <c r="U170" i="134"/>
  <c r="U172" i="134"/>
  <c r="N168" i="101"/>
  <c r="N174" i="101"/>
  <c r="L248" i="71"/>
  <c r="O12" i="101"/>
  <c r="O76" i="101"/>
  <c r="O78" i="101"/>
  <c r="O87" i="101"/>
  <c r="O57" i="101"/>
  <c r="O90" i="101"/>
  <c r="O58" i="101"/>
  <c r="O91" i="101"/>
  <c r="O56" i="101"/>
  <c r="O94" i="101"/>
  <c r="O101" i="101"/>
  <c r="O103" i="101"/>
  <c r="O42" i="101"/>
  <c r="O43" i="101"/>
  <c r="O44" i="101"/>
  <c r="O98" i="101"/>
  <c r="O104" i="101"/>
  <c r="O105" i="101"/>
  <c r="V76" i="134"/>
  <c r="V77" i="134"/>
  <c r="V78" i="134"/>
  <c r="V79" i="134"/>
  <c r="V80" i="134"/>
  <c r="U11" i="134"/>
  <c r="V90" i="134"/>
  <c r="V82" i="134"/>
  <c r="V83" i="134"/>
  <c r="V84" i="134"/>
  <c r="V91" i="134"/>
  <c r="V92" i="134"/>
  <c r="V93" i="134"/>
  <c r="V105" i="134"/>
  <c r="V106" i="134"/>
  <c r="V109" i="134"/>
  <c r="V97" i="134"/>
  <c r="V150" i="134"/>
  <c r="V151" i="134"/>
  <c r="V153" i="134"/>
  <c r="O156" i="101"/>
  <c r="O160" i="101"/>
  <c r="V170" i="134"/>
  <c r="V172" i="134"/>
  <c r="O168" i="101"/>
  <c r="O174" i="101"/>
  <c r="M248" i="71"/>
  <c r="P12" i="101"/>
  <c r="P76" i="101"/>
  <c r="P78" i="101"/>
  <c r="P87" i="101"/>
  <c r="P57" i="101"/>
  <c r="P90" i="101"/>
  <c r="P58" i="101"/>
  <c r="P91" i="101"/>
  <c r="P56" i="101"/>
  <c r="P94" i="101"/>
  <c r="P101" i="101"/>
  <c r="P103" i="101"/>
  <c r="P42" i="101"/>
  <c r="P43" i="101"/>
  <c r="P44" i="101"/>
  <c r="P98" i="101"/>
  <c r="P104" i="101"/>
  <c r="P105" i="101"/>
  <c r="W76" i="134"/>
  <c r="W77" i="134"/>
  <c r="W78" i="134"/>
  <c r="W79" i="134"/>
  <c r="W80" i="134"/>
  <c r="V11" i="134"/>
  <c r="W89" i="134"/>
  <c r="W90" i="134"/>
  <c r="W82" i="134"/>
  <c r="W83" i="134"/>
  <c r="W84" i="134"/>
  <c r="W91" i="134"/>
  <c r="W92" i="134"/>
  <c r="W93" i="134"/>
  <c r="W105" i="134"/>
  <c r="W106" i="134"/>
  <c r="W109" i="134"/>
  <c r="W97" i="134"/>
  <c r="W150" i="134"/>
  <c r="W151" i="134"/>
  <c r="W153" i="134"/>
  <c r="P156" i="101"/>
  <c r="P160" i="101"/>
  <c r="W170" i="134"/>
  <c r="W172" i="134"/>
  <c r="P168" i="101"/>
  <c r="P174" i="101"/>
  <c r="N248" i="71"/>
  <c r="Q12" i="101"/>
  <c r="Q76" i="101"/>
  <c r="Q78" i="101"/>
  <c r="Q87" i="101"/>
  <c r="Q57" i="101"/>
  <c r="Q90" i="101"/>
  <c r="Q58" i="101"/>
  <c r="Q91" i="101"/>
  <c r="Q56" i="101"/>
  <c r="Q94" i="101"/>
  <c r="Q101" i="101"/>
  <c r="Q103" i="101"/>
  <c r="Q42" i="101"/>
  <c r="Q43" i="101"/>
  <c r="Q44" i="101"/>
  <c r="Q98" i="101"/>
  <c r="Q104" i="101"/>
  <c r="Q105" i="101"/>
  <c r="X76" i="134"/>
  <c r="X77" i="134"/>
  <c r="X78" i="134"/>
  <c r="X79" i="134"/>
  <c r="X80" i="134"/>
  <c r="W11" i="134"/>
  <c r="X89" i="134"/>
  <c r="X90" i="134"/>
  <c r="X82" i="134"/>
  <c r="X83" i="134"/>
  <c r="X84" i="134"/>
  <c r="X91" i="134"/>
  <c r="X92" i="134"/>
  <c r="X93" i="134"/>
  <c r="X105" i="134"/>
  <c r="X106" i="134"/>
  <c r="X109" i="134"/>
  <c r="X97" i="134"/>
  <c r="X150" i="134"/>
  <c r="X151" i="134"/>
  <c r="X153" i="134"/>
  <c r="Q156" i="101"/>
  <c r="Q160" i="101"/>
  <c r="X170" i="134"/>
  <c r="X172" i="134"/>
  <c r="Q168" i="101"/>
  <c r="Q174" i="101"/>
  <c r="O248" i="71"/>
  <c r="R12" i="101"/>
  <c r="R76" i="101"/>
  <c r="R78" i="101"/>
  <c r="R87" i="101"/>
  <c r="R57" i="101"/>
  <c r="R90" i="101"/>
  <c r="R58" i="101"/>
  <c r="R91" i="101"/>
  <c r="R56" i="101"/>
  <c r="R94" i="101"/>
  <c r="R101" i="101"/>
  <c r="R103" i="101"/>
  <c r="R42" i="101"/>
  <c r="R43" i="101"/>
  <c r="R44" i="101"/>
  <c r="R98" i="101"/>
  <c r="R104" i="101"/>
  <c r="R105" i="101"/>
  <c r="Y76" i="134"/>
  <c r="Y77" i="134"/>
  <c r="Y78" i="134"/>
  <c r="Y79" i="134"/>
  <c r="Y80" i="134"/>
  <c r="X11" i="134"/>
  <c r="Y89" i="134"/>
  <c r="Y90" i="134"/>
  <c r="Y82" i="134"/>
  <c r="Y83" i="134"/>
  <c r="Y84" i="134"/>
  <c r="Y91" i="134"/>
  <c r="Y92" i="134"/>
  <c r="Y93" i="134"/>
  <c r="Y105" i="134"/>
  <c r="Y106" i="134"/>
  <c r="Y109" i="134"/>
  <c r="Y97" i="134"/>
  <c r="Y150" i="134"/>
  <c r="Y151" i="134"/>
  <c r="Y153" i="134"/>
  <c r="R156" i="101"/>
  <c r="R160" i="101"/>
  <c r="Y170" i="134"/>
  <c r="Y172" i="134"/>
  <c r="R168" i="101"/>
  <c r="R174" i="101"/>
  <c r="P248" i="71"/>
  <c r="S12" i="101"/>
  <c r="S76" i="101"/>
  <c r="S78" i="101"/>
  <c r="S87" i="101"/>
  <c r="S57" i="101"/>
  <c r="S90" i="101"/>
  <c r="S58" i="101"/>
  <c r="S91" i="101"/>
  <c r="S56" i="101"/>
  <c r="S94" i="101"/>
  <c r="S101" i="101"/>
  <c r="S103" i="101"/>
  <c r="S42" i="101"/>
  <c r="S43" i="101"/>
  <c r="S44" i="101"/>
  <c r="S98" i="101"/>
  <c r="S104" i="101"/>
  <c r="S105" i="101"/>
  <c r="Z76" i="134"/>
  <c r="Z77" i="134"/>
  <c r="Z78" i="134"/>
  <c r="Z79" i="134"/>
  <c r="Z80" i="134"/>
  <c r="Y11" i="134"/>
  <c r="Z89" i="134"/>
  <c r="Z90" i="134"/>
  <c r="Z82" i="134"/>
  <c r="Z83" i="134"/>
  <c r="Z84" i="134"/>
  <c r="Z91" i="134"/>
  <c r="Z92" i="134"/>
  <c r="Z93" i="134"/>
  <c r="Z105" i="134"/>
  <c r="Z106" i="134"/>
  <c r="Z109" i="134"/>
  <c r="Z97" i="134"/>
  <c r="Z150" i="134"/>
  <c r="Z151" i="134"/>
  <c r="Z153" i="134"/>
  <c r="S156" i="101"/>
  <c r="S160" i="101"/>
  <c r="Z170" i="134"/>
  <c r="Z172" i="134"/>
  <c r="S168" i="101"/>
  <c r="S174" i="101"/>
  <c r="Q248" i="71"/>
  <c r="T12" i="101"/>
  <c r="T76" i="101"/>
  <c r="T78" i="101"/>
  <c r="T87" i="101"/>
  <c r="T57" i="101"/>
  <c r="T90" i="101"/>
  <c r="T58" i="101"/>
  <c r="T91" i="101"/>
  <c r="T56" i="101"/>
  <c r="T94" i="101"/>
  <c r="T101" i="101"/>
  <c r="T103" i="101"/>
  <c r="T42" i="101"/>
  <c r="T43" i="101"/>
  <c r="T44" i="101"/>
  <c r="T98" i="101"/>
  <c r="T104" i="101"/>
  <c r="T105" i="101"/>
  <c r="AA76" i="134"/>
  <c r="AA77" i="134"/>
  <c r="AA78" i="134"/>
  <c r="AA79" i="134"/>
  <c r="AA80" i="134"/>
  <c r="Z11" i="134"/>
  <c r="AA90" i="134"/>
  <c r="AA82" i="134"/>
  <c r="AA83" i="134"/>
  <c r="AA84" i="134"/>
  <c r="AA91" i="134"/>
  <c r="AA92" i="134"/>
  <c r="AA93" i="134"/>
  <c r="AA105" i="134"/>
  <c r="AA106" i="134"/>
  <c r="AA109" i="134"/>
  <c r="AA97" i="134"/>
  <c r="AA150" i="134"/>
  <c r="AA151" i="134"/>
  <c r="AA153" i="134"/>
  <c r="T156" i="101"/>
  <c r="T160" i="101"/>
  <c r="AA170" i="134"/>
  <c r="AA172" i="134"/>
  <c r="T168" i="101"/>
  <c r="T174" i="101"/>
  <c r="R248" i="71"/>
  <c r="U12" i="101"/>
  <c r="U76" i="101"/>
  <c r="U78" i="101"/>
  <c r="U87" i="101"/>
  <c r="U57" i="101"/>
  <c r="U90" i="101"/>
  <c r="U58" i="101"/>
  <c r="U91" i="101"/>
  <c r="U56" i="101"/>
  <c r="U94" i="101"/>
  <c r="U101" i="101"/>
  <c r="U103" i="101"/>
  <c r="U42" i="101"/>
  <c r="U43" i="101"/>
  <c r="U44" i="101"/>
  <c r="U98" i="101"/>
  <c r="U104" i="101"/>
  <c r="U105" i="101"/>
  <c r="AB76" i="134"/>
  <c r="AB77" i="134"/>
  <c r="AB78" i="134"/>
  <c r="AB79" i="134"/>
  <c r="AB80" i="134"/>
  <c r="AA11" i="134"/>
  <c r="AB89" i="134"/>
  <c r="AB90" i="134"/>
  <c r="AB82" i="134"/>
  <c r="AB83" i="134"/>
  <c r="AB84" i="134"/>
  <c r="AB91" i="134"/>
  <c r="AB92" i="134"/>
  <c r="AB93" i="134"/>
  <c r="AB105" i="134"/>
  <c r="AB106" i="134"/>
  <c r="AB109" i="134"/>
  <c r="AB97" i="134"/>
  <c r="AB150" i="134"/>
  <c r="AB151" i="134"/>
  <c r="AB153" i="134"/>
  <c r="U156" i="101"/>
  <c r="U160" i="101"/>
  <c r="AB170" i="134"/>
  <c r="AB172" i="134"/>
  <c r="U168" i="101"/>
  <c r="U174" i="101"/>
  <c r="S248" i="71"/>
  <c r="V12" i="101"/>
  <c r="V76" i="101"/>
  <c r="V78" i="101"/>
  <c r="V87" i="101"/>
  <c r="V57" i="101"/>
  <c r="V90" i="101"/>
  <c r="V58" i="101"/>
  <c r="V91" i="101"/>
  <c r="V56" i="101"/>
  <c r="V94" i="101"/>
  <c r="V101" i="101"/>
  <c r="V103" i="101"/>
  <c r="V42" i="101"/>
  <c r="V43" i="101"/>
  <c r="V44" i="101"/>
  <c r="V98" i="101"/>
  <c r="V104" i="101"/>
  <c r="V105" i="101"/>
  <c r="AC76" i="134"/>
  <c r="AC77" i="134"/>
  <c r="AC78" i="134"/>
  <c r="AC79" i="134"/>
  <c r="AC80" i="134"/>
  <c r="AB11" i="134"/>
  <c r="AC89" i="134"/>
  <c r="AC90" i="134"/>
  <c r="AC82" i="134"/>
  <c r="AC83" i="134"/>
  <c r="AC84" i="134"/>
  <c r="AC91" i="134"/>
  <c r="AC92" i="134"/>
  <c r="AC93" i="134"/>
  <c r="AC105" i="134"/>
  <c r="AC106" i="134"/>
  <c r="AC109" i="134"/>
  <c r="AC97" i="134"/>
  <c r="AC150" i="134"/>
  <c r="AC151" i="134"/>
  <c r="AC153" i="134"/>
  <c r="V156" i="101"/>
  <c r="V160" i="101"/>
  <c r="AC170" i="134"/>
  <c r="AC172" i="134"/>
  <c r="V168" i="101"/>
  <c r="V174" i="101"/>
  <c r="T248" i="71"/>
  <c r="W12" i="101"/>
  <c r="W76" i="101"/>
  <c r="W78" i="101"/>
  <c r="W87" i="101"/>
  <c r="W57" i="101"/>
  <c r="W90" i="101"/>
  <c r="W58" i="101"/>
  <c r="W91" i="101"/>
  <c r="W56" i="101"/>
  <c r="W94" i="101"/>
  <c r="W101" i="101"/>
  <c r="W103" i="101"/>
  <c r="W42" i="101"/>
  <c r="W43" i="101"/>
  <c r="W44" i="101"/>
  <c r="W98" i="101"/>
  <c r="W104" i="101"/>
  <c r="W105" i="101"/>
  <c r="AD76" i="134"/>
  <c r="AD77" i="134"/>
  <c r="AD78" i="134"/>
  <c r="AD79" i="134"/>
  <c r="AD80" i="134"/>
  <c r="AC11" i="134"/>
  <c r="AD89" i="134"/>
  <c r="AD90" i="134"/>
  <c r="AD82" i="134"/>
  <c r="AD83" i="134"/>
  <c r="AD84" i="134"/>
  <c r="AD91" i="134"/>
  <c r="AD92" i="134"/>
  <c r="AD93" i="134"/>
  <c r="AD105" i="134"/>
  <c r="AD106" i="134"/>
  <c r="AD109" i="134"/>
  <c r="AD97" i="134"/>
  <c r="AD150" i="134"/>
  <c r="AD151" i="134"/>
  <c r="AD153" i="134"/>
  <c r="W156" i="101"/>
  <c r="W160" i="101"/>
  <c r="AD170" i="134"/>
  <c r="AD172" i="134"/>
  <c r="W168" i="101"/>
  <c r="W174" i="101"/>
  <c r="U248" i="71"/>
  <c r="X12" i="101"/>
  <c r="X76" i="101"/>
  <c r="X78" i="101"/>
  <c r="X87" i="101"/>
  <c r="X57" i="101"/>
  <c r="X90" i="101"/>
  <c r="X58" i="101"/>
  <c r="X91" i="101"/>
  <c r="X56" i="101"/>
  <c r="X94" i="101"/>
  <c r="X101" i="101"/>
  <c r="X103" i="101"/>
  <c r="X42" i="101"/>
  <c r="X43" i="101"/>
  <c r="X44" i="101"/>
  <c r="X98" i="101"/>
  <c r="X104" i="101"/>
  <c r="X105" i="101"/>
  <c r="AE76" i="134"/>
  <c r="AE77" i="134"/>
  <c r="AE78" i="134"/>
  <c r="AE79" i="134"/>
  <c r="AE80" i="134"/>
  <c r="AD11" i="134"/>
  <c r="AE89" i="134"/>
  <c r="AE90" i="134"/>
  <c r="AE82" i="134"/>
  <c r="AE83" i="134"/>
  <c r="AE84" i="134"/>
  <c r="AE91" i="134"/>
  <c r="AE92" i="134"/>
  <c r="AE93" i="134"/>
  <c r="AE105" i="134"/>
  <c r="AE106" i="134"/>
  <c r="AE109" i="134"/>
  <c r="AE97" i="134"/>
  <c r="AE150" i="134"/>
  <c r="AE151" i="134"/>
  <c r="AE153" i="134"/>
  <c r="X156" i="101"/>
  <c r="X160" i="101"/>
  <c r="AE170" i="134"/>
  <c r="AE172" i="134"/>
  <c r="X168" i="101"/>
  <c r="X174" i="101"/>
  <c r="V248" i="71"/>
  <c r="W248" i="71"/>
  <c r="G18" i="147"/>
  <c r="G19" i="147"/>
  <c r="X244" i="71"/>
  <c r="G17" i="147"/>
  <c r="C241" i="71"/>
  <c r="D241" i="71"/>
  <c r="E241" i="71"/>
  <c r="F241" i="71"/>
  <c r="G241" i="71"/>
  <c r="H241" i="71"/>
  <c r="I241" i="71"/>
  <c r="J241" i="71"/>
  <c r="K241" i="71"/>
  <c r="L241" i="71"/>
  <c r="M241" i="71"/>
  <c r="N241" i="71"/>
  <c r="O241" i="71"/>
  <c r="P241" i="71"/>
  <c r="Q241" i="71"/>
  <c r="R241" i="71"/>
  <c r="S241" i="71"/>
  <c r="T241" i="71"/>
  <c r="U241" i="71"/>
  <c r="V241" i="71"/>
  <c r="W241" i="71"/>
  <c r="G16" i="147"/>
  <c r="G15" i="147"/>
  <c r="C239" i="71"/>
  <c r="D239" i="71"/>
  <c r="E239" i="71"/>
  <c r="F239" i="71"/>
  <c r="G239" i="71"/>
  <c r="H239" i="71"/>
  <c r="I239" i="71"/>
  <c r="J239" i="71"/>
  <c r="K239" i="71"/>
  <c r="L239" i="71"/>
  <c r="M239" i="71"/>
  <c r="N239" i="71"/>
  <c r="O239" i="71"/>
  <c r="P239" i="71"/>
  <c r="Q239" i="71"/>
  <c r="R239" i="71"/>
  <c r="S239" i="71"/>
  <c r="T239" i="71"/>
  <c r="U239" i="71"/>
  <c r="V239" i="71"/>
  <c r="W239" i="71"/>
  <c r="G13" i="147"/>
  <c r="E72" i="109"/>
  <c r="C54" i="95"/>
  <c r="C55" i="95"/>
  <c r="E42" i="109"/>
  <c r="E43" i="109"/>
  <c r="E44" i="109"/>
  <c r="E98" i="109"/>
  <c r="E76" i="109"/>
  <c r="E101" i="109"/>
  <c r="E105" i="109"/>
  <c r="E156" i="109"/>
  <c r="E160" i="109"/>
  <c r="L171" i="128"/>
  <c r="E168" i="109"/>
  <c r="E174" i="109"/>
  <c r="C134" i="71"/>
  <c r="F12" i="109"/>
  <c r="F76" i="109"/>
  <c r="F78" i="109"/>
  <c r="F87" i="109"/>
  <c r="D73" i="94"/>
  <c r="D74" i="94"/>
  <c r="F57" i="109"/>
  <c r="F90" i="109"/>
  <c r="F101" i="109"/>
  <c r="F103" i="109"/>
  <c r="F58" i="109"/>
  <c r="F91" i="109"/>
  <c r="D54" i="95"/>
  <c r="D55" i="95"/>
  <c r="F42" i="109"/>
  <c r="F43" i="109"/>
  <c r="F44" i="109"/>
  <c r="F98" i="109"/>
  <c r="F56" i="109"/>
  <c r="F94" i="109"/>
  <c r="F104" i="109"/>
  <c r="F105" i="109"/>
  <c r="F156" i="109"/>
  <c r="F160" i="109"/>
  <c r="M171" i="128"/>
  <c r="F168" i="109"/>
  <c r="F174" i="109"/>
  <c r="D134" i="71"/>
  <c r="G12" i="109"/>
  <c r="G76" i="109"/>
  <c r="G78" i="109"/>
  <c r="G87" i="109"/>
  <c r="E73" i="94"/>
  <c r="E74" i="94"/>
  <c r="G57" i="109"/>
  <c r="G90" i="109"/>
  <c r="G58" i="109"/>
  <c r="G91" i="109"/>
  <c r="G101" i="109"/>
  <c r="G103" i="109"/>
  <c r="E54" i="95"/>
  <c r="E55" i="95"/>
  <c r="G42" i="109"/>
  <c r="G43" i="109"/>
  <c r="G44" i="109"/>
  <c r="G98" i="109"/>
  <c r="G56" i="109"/>
  <c r="G94" i="109"/>
  <c r="G104" i="109"/>
  <c r="G105" i="109"/>
  <c r="M11" i="128"/>
  <c r="N87" i="128"/>
  <c r="N88" i="128"/>
  <c r="N89" i="128"/>
  <c r="N90" i="128"/>
  <c r="N91" i="128"/>
  <c r="N92" i="128"/>
  <c r="N104" i="128"/>
  <c r="N105" i="128"/>
  <c r="N108" i="128"/>
  <c r="N96" i="128"/>
  <c r="G156" i="109"/>
  <c r="G160" i="109"/>
  <c r="N171" i="128"/>
  <c r="G168" i="109"/>
  <c r="G174" i="109"/>
  <c r="E134" i="71"/>
  <c r="H12" i="109"/>
  <c r="H76" i="109"/>
  <c r="H78" i="109"/>
  <c r="H87" i="109"/>
  <c r="F73" i="94"/>
  <c r="F74" i="94"/>
  <c r="H57" i="109"/>
  <c r="H90" i="109"/>
  <c r="H58" i="109"/>
  <c r="H91" i="109"/>
  <c r="H56" i="109"/>
  <c r="H94" i="109"/>
  <c r="H101" i="109"/>
  <c r="H103" i="109"/>
  <c r="F54" i="95"/>
  <c r="F55" i="95"/>
  <c r="H42" i="109"/>
  <c r="H43" i="109"/>
  <c r="H44" i="109"/>
  <c r="H98" i="109"/>
  <c r="H104" i="109"/>
  <c r="H105" i="109"/>
  <c r="O76" i="128"/>
  <c r="O77" i="128"/>
  <c r="O78" i="128"/>
  <c r="O79" i="128"/>
  <c r="N11" i="128"/>
  <c r="O87" i="128"/>
  <c r="O88" i="128"/>
  <c r="O89" i="128"/>
  <c r="O81" i="128"/>
  <c r="O82" i="128"/>
  <c r="O83" i="128"/>
  <c r="O90" i="128"/>
  <c r="O91" i="128"/>
  <c r="O92" i="128"/>
  <c r="O104" i="128"/>
  <c r="O105" i="128"/>
  <c r="O108" i="128"/>
  <c r="O96" i="128"/>
  <c r="O149" i="128"/>
  <c r="O150" i="128"/>
  <c r="O152" i="128"/>
  <c r="H156" i="109"/>
  <c r="H160" i="109"/>
  <c r="O169" i="128"/>
  <c r="O171" i="128"/>
  <c r="H168" i="109"/>
  <c r="H174" i="109"/>
  <c r="F134" i="71"/>
  <c r="I12" i="109"/>
  <c r="I76" i="109"/>
  <c r="I78" i="109"/>
  <c r="I87" i="109"/>
  <c r="G73" i="94"/>
  <c r="G74" i="94"/>
  <c r="I57" i="109"/>
  <c r="I90" i="109"/>
  <c r="I58" i="109"/>
  <c r="I91" i="109"/>
  <c r="I56" i="109"/>
  <c r="I94" i="109"/>
  <c r="I101" i="109"/>
  <c r="I103" i="109"/>
  <c r="G54" i="95"/>
  <c r="G55" i="95"/>
  <c r="I42" i="109"/>
  <c r="I43" i="109"/>
  <c r="I44" i="109"/>
  <c r="I98" i="109"/>
  <c r="I104" i="109"/>
  <c r="I105" i="109"/>
  <c r="P76" i="128"/>
  <c r="P77" i="128"/>
  <c r="P78" i="128"/>
  <c r="P79" i="128"/>
  <c r="P87" i="128"/>
  <c r="P88" i="128"/>
  <c r="P89" i="128"/>
  <c r="P81" i="128"/>
  <c r="P82" i="128"/>
  <c r="P83" i="128"/>
  <c r="P90" i="128"/>
  <c r="P91" i="128"/>
  <c r="P92" i="128"/>
  <c r="P104" i="128"/>
  <c r="P105" i="128"/>
  <c r="P108" i="128"/>
  <c r="P96" i="128"/>
  <c r="P149" i="128"/>
  <c r="P150" i="128"/>
  <c r="P152" i="128"/>
  <c r="I156" i="109"/>
  <c r="I160" i="109"/>
  <c r="P169" i="128"/>
  <c r="P171" i="128"/>
  <c r="I168" i="109"/>
  <c r="I174" i="109"/>
  <c r="G134" i="71"/>
  <c r="H134" i="71"/>
  <c r="K12" i="109"/>
  <c r="K76" i="109"/>
  <c r="K78" i="109"/>
  <c r="K87" i="109"/>
  <c r="I73" i="94"/>
  <c r="I74" i="94"/>
  <c r="K57" i="109"/>
  <c r="K90" i="109"/>
  <c r="K58" i="109"/>
  <c r="K91" i="109"/>
  <c r="K56" i="109"/>
  <c r="K94" i="109"/>
  <c r="K101" i="109"/>
  <c r="K103" i="109"/>
  <c r="I54" i="95"/>
  <c r="I55" i="95"/>
  <c r="K42" i="109"/>
  <c r="K43" i="109"/>
  <c r="K44" i="109"/>
  <c r="K98" i="109"/>
  <c r="K104" i="109"/>
  <c r="K105" i="109"/>
  <c r="R76" i="128"/>
  <c r="R77" i="128"/>
  <c r="R78" i="128"/>
  <c r="R79" i="128"/>
  <c r="Q11" i="128"/>
  <c r="R87" i="128"/>
  <c r="R88" i="128"/>
  <c r="R89" i="128"/>
  <c r="R81" i="128"/>
  <c r="R82" i="128"/>
  <c r="R83" i="128"/>
  <c r="R90" i="128"/>
  <c r="R91" i="128"/>
  <c r="R92" i="128"/>
  <c r="R104" i="128"/>
  <c r="R105" i="128"/>
  <c r="R108" i="128"/>
  <c r="R149" i="128"/>
  <c r="R150" i="128"/>
  <c r="R152" i="128"/>
  <c r="K156" i="109"/>
  <c r="K160" i="109"/>
  <c r="R169" i="128"/>
  <c r="R171" i="128"/>
  <c r="K168" i="109"/>
  <c r="K174" i="109"/>
  <c r="I134" i="71"/>
  <c r="L12" i="109"/>
  <c r="L76" i="109"/>
  <c r="L78" i="109"/>
  <c r="L87" i="109"/>
  <c r="J73" i="94"/>
  <c r="J74" i="94"/>
  <c r="L57" i="109"/>
  <c r="L90" i="109"/>
  <c r="L58" i="109"/>
  <c r="L91" i="109"/>
  <c r="L56" i="109"/>
  <c r="L94" i="109"/>
  <c r="L101" i="109"/>
  <c r="L103" i="109"/>
  <c r="J54" i="95"/>
  <c r="J55" i="95"/>
  <c r="L42" i="109"/>
  <c r="L43" i="109"/>
  <c r="L44" i="109"/>
  <c r="L98" i="109"/>
  <c r="L104" i="109"/>
  <c r="L105" i="109"/>
  <c r="S76" i="128"/>
  <c r="S77" i="128"/>
  <c r="S78" i="128"/>
  <c r="S79" i="128"/>
  <c r="R11" i="128"/>
  <c r="S87" i="128"/>
  <c r="S88" i="128"/>
  <c r="S89" i="128"/>
  <c r="S81" i="128"/>
  <c r="S82" i="128"/>
  <c r="S83" i="128"/>
  <c r="S90" i="128"/>
  <c r="S91" i="128"/>
  <c r="S92" i="128"/>
  <c r="S104" i="128"/>
  <c r="S105" i="128"/>
  <c r="S108" i="128"/>
  <c r="S96" i="128"/>
  <c r="S149" i="128"/>
  <c r="S150" i="128"/>
  <c r="S152" i="128"/>
  <c r="L156" i="109"/>
  <c r="L160" i="109"/>
  <c r="S169" i="128"/>
  <c r="S171" i="128"/>
  <c r="L168" i="109"/>
  <c r="L174" i="109"/>
  <c r="J134" i="71"/>
  <c r="M12" i="109"/>
  <c r="M76" i="109"/>
  <c r="M78" i="109"/>
  <c r="M87" i="109"/>
  <c r="K73" i="94"/>
  <c r="K74" i="94"/>
  <c r="M57" i="109"/>
  <c r="M90" i="109"/>
  <c r="M58" i="109"/>
  <c r="M91" i="109"/>
  <c r="M56" i="109"/>
  <c r="M94" i="109"/>
  <c r="M101" i="109"/>
  <c r="M103" i="109"/>
  <c r="K54" i="95"/>
  <c r="K55" i="95"/>
  <c r="M42" i="109"/>
  <c r="M43" i="109"/>
  <c r="M44" i="109"/>
  <c r="M98" i="109"/>
  <c r="M104" i="109"/>
  <c r="M105" i="109"/>
  <c r="T76" i="128"/>
  <c r="T77" i="128"/>
  <c r="T78" i="128"/>
  <c r="T79" i="128"/>
  <c r="S11" i="128"/>
  <c r="T87" i="128"/>
  <c r="T88" i="128"/>
  <c r="T89" i="128"/>
  <c r="T81" i="128"/>
  <c r="T82" i="128"/>
  <c r="T83" i="128"/>
  <c r="T90" i="128"/>
  <c r="T91" i="128"/>
  <c r="T92" i="128"/>
  <c r="T104" i="128"/>
  <c r="T105" i="128"/>
  <c r="T108" i="128"/>
  <c r="T96" i="128"/>
  <c r="T149" i="128"/>
  <c r="T150" i="128"/>
  <c r="T152" i="128"/>
  <c r="M156" i="109"/>
  <c r="M160" i="109"/>
  <c r="T169" i="128"/>
  <c r="T171" i="128"/>
  <c r="M168" i="109"/>
  <c r="M174" i="109"/>
  <c r="K134" i="71"/>
  <c r="N12" i="109"/>
  <c r="N76" i="109"/>
  <c r="N78" i="109"/>
  <c r="N87" i="109"/>
  <c r="L73" i="94"/>
  <c r="L74" i="94"/>
  <c r="N57" i="109"/>
  <c r="N90" i="109"/>
  <c r="N58" i="109"/>
  <c r="N91" i="109"/>
  <c r="N56" i="109"/>
  <c r="N94" i="109"/>
  <c r="N101" i="109"/>
  <c r="N103" i="109"/>
  <c r="L54" i="95"/>
  <c r="L55" i="95"/>
  <c r="N42" i="109"/>
  <c r="N43" i="109"/>
  <c r="N44" i="109"/>
  <c r="N98" i="109"/>
  <c r="N104" i="109"/>
  <c r="N105" i="109"/>
  <c r="U76" i="128"/>
  <c r="U77" i="128"/>
  <c r="U78" i="128"/>
  <c r="U79" i="128"/>
  <c r="T11" i="128"/>
  <c r="U87" i="128"/>
  <c r="U88" i="128"/>
  <c r="U89" i="128"/>
  <c r="U81" i="128"/>
  <c r="U82" i="128"/>
  <c r="U83" i="128"/>
  <c r="U90" i="128"/>
  <c r="U91" i="128"/>
  <c r="U92" i="128"/>
  <c r="U104" i="128"/>
  <c r="U105" i="128"/>
  <c r="U108" i="128"/>
  <c r="U96" i="128"/>
  <c r="U149" i="128"/>
  <c r="U150" i="128"/>
  <c r="U152" i="128"/>
  <c r="N156" i="109"/>
  <c r="N160" i="109"/>
  <c r="U169" i="128"/>
  <c r="U171" i="128"/>
  <c r="N168" i="109"/>
  <c r="N174" i="109"/>
  <c r="L134" i="71"/>
  <c r="O12" i="109"/>
  <c r="O76" i="109"/>
  <c r="O78" i="109"/>
  <c r="O87" i="109"/>
  <c r="M73" i="94"/>
  <c r="M74" i="94"/>
  <c r="O57" i="109"/>
  <c r="O90" i="109"/>
  <c r="O58" i="109"/>
  <c r="O91" i="109"/>
  <c r="O56" i="109"/>
  <c r="O94" i="109"/>
  <c r="O101" i="109"/>
  <c r="O103" i="109"/>
  <c r="M54" i="95"/>
  <c r="M55" i="95"/>
  <c r="O42" i="109"/>
  <c r="O43" i="109"/>
  <c r="O44" i="109"/>
  <c r="O98" i="109"/>
  <c r="O104" i="109"/>
  <c r="O105" i="109"/>
  <c r="V76" i="128"/>
  <c r="V77" i="128"/>
  <c r="V78" i="128"/>
  <c r="V79" i="128"/>
  <c r="U11" i="128"/>
  <c r="V87" i="128"/>
  <c r="V89" i="128"/>
  <c r="V81" i="128"/>
  <c r="V82" i="128"/>
  <c r="V83" i="128"/>
  <c r="V90" i="128"/>
  <c r="V91" i="128"/>
  <c r="V92" i="128"/>
  <c r="V104" i="128"/>
  <c r="V105" i="128"/>
  <c r="V108" i="128"/>
  <c r="V96" i="128"/>
  <c r="V149" i="128"/>
  <c r="V150" i="128"/>
  <c r="V152" i="128"/>
  <c r="O156" i="109"/>
  <c r="O160" i="109"/>
  <c r="V169" i="128"/>
  <c r="V171" i="128"/>
  <c r="O168" i="109"/>
  <c r="O174" i="109"/>
  <c r="M134" i="71"/>
  <c r="P12" i="109"/>
  <c r="P76" i="109"/>
  <c r="P78" i="109"/>
  <c r="P87" i="109"/>
  <c r="N73" i="94"/>
  <c r="N74" i="94"/>
  <c r="P57" i="109"/>
  <c r="P90" i="109"/>
  <c r="P58" i="109"/>
  <c r="P91" i="109"/>
  <c r="P56" i="109"/>
  <c r="P94" i="109"/>
  <c r="P101" i="109"/>
  <c r="P103" i="109"/>
  <c r="N54" i="95"/>
  <c r="N55" i="95"/>
  <c r="P42" i="109"/>
  <c r="P43" i="109"/>
  <c r="P44" i="109"/>
  <c r="P98" i="109"/>
  <c r="P104" i="109"/>
  <c r="P105" i="109"/>
  <c r="W76" i="128"/>
  <c r="W77" i="128"/>
  <c r="W78" i="128"/>
  <c r="W79" i="128"/>
  <c r="V11" i="128"/>
  <c r="W87" i="128"/>
  <c r="W88" i="128"/>
  <c r="W89" i="128"/>
  <c r="W81" i="128"/>
  <c r="W82" i="128"/>
  <c r="W83" i="128"/>
  <c r="W90" i="128"/>
  <c r="W91" i="128"/>
  <c r="W92" i="128"/>
  <c r="W104" i="128"/>
  <c r="W105" i="128"/>
  <c r="W108" i="128"/>
  <c r="W96" i="128"/>
  <c r="W149" i="128"/>
  <c r="W150" i="128"/>
  <c r="W152" i="128"/>
  <c r="P156" i="109"/>
  <c r="P160" i="109"/>
  <c r="W169" i="128"/>
  <c r="W171" i="128"/>
  <c r="P168" i="109"/>
  <c r="P174" i="109"/>
  <c r="N134" i="71"/>
  <c r="Q12" i="109"/>
  <c r="Q76" i="109"/>
  <c r="Q78" i="109"/>
  <c r="Q87" i="109"/>
  <c r="O73" i="94"/>
  <c r="O74" i="94"/>
  <c r="Q57" i="109"/>
  <c r="Q90" i="109"/>
  <c r="Q58" i="109"/>
  <c r="Q91" i="109"/>
  <c r="Q56" i="109"/>
  <c r="Q94" i="109"/>
  <c r="Q101" i="109"/>
  <c r="Q103" i="109"/>
  <c r="O54" i="95"/>
  <c r="O55" i="95"/>
  <c r="Q42" i="109"/>
  <c r="Q43" i="109"/>
  <c r="Q44" i="109"/>
  <c r="Q98" i="109"/>
  <c r="Q104" i="109"/>
  <c r="Q105" i="109"/>
  <c r="X76" i="128"/>
  <c r="X77" i="128"/>
  <c r="X78" i="128"/>
  <c r="X79" i="128"/>
  <c r="W11" i="128"/>
  <c r="X87" i="128"/>
  <c r="X88" i="128"/>
  <c r="X89" i="128"/>
  <c r="X81" i="128"/>
  <c r="X82" i="128"/>
  <c r="X83" i="128"/>
  <c r="X90" i="128"/>
  <c r="X91" i="128"/>
  <c r="X92" i="128"/>
  <c r="X104" i="128"/>
  <c r="X105" i="128"/>
  <c r="X108" i="128"/>
  <c r="X96" i="128"/>
  <c r="X149" i="128"/>
  <c r="X150" i="128"/>
  <c r="X152" i="128"/>
  <c r="Q156" i="109"/>
  <c r="Q160" i="109"/>
  <c r="X169" i="128"/>
  <c r="X171" i="128"/>
  <c r="Q168" i="109"/>
  <c r="Q174" i="109"/>
  <c r="O134" i="71"/>
  <c r="R12" i="109"/>
  <c r="R76" i="109"/>
  <c r="R78" i="109"/>
  <c r="R87" i="109"/>
  <c r="P73" i="94"/>
  <c r="P74" i="94"/>
  <c r="R57" i="109"/>
  <c r="R90" i="109"/>
  <c r="R58" i="109"/>
  <c r="R91" i="109"/>
  <c r="R56" i="109"/>
  <c r="R94" i="109"/>
  <c r="R101" i="109"/>
  <c r="R103" i="109"/>
  <c r="P54" i="95"/>
  <c r="P55" i="95"/>
  <c r="R42" i="109"/>
  <c r="R43" i="109"/>
  <c r="R44" i="109"/>
  <c r="R98" i="109"/>
  <c r="R104" i="109"/>
  <c r="R105" i="109"/>
  <c r="Y76" i="128"/>
  <c r="Y77" i="128"/>
  <c r="Y78" i="128"/>
  <c r="Y79" i="128"/>
  <c r="X11" i="128"/>
  <c r="Y87" i="128"/>
  <c r="Y88" i="128"/>
  <c r="Y89" i="128"/>
  <c r="Y81" i="128"/>
  <c r="Y82" i="128"/>
  <c r="Y83" i="128"/>
  <c r="Y90" i="128"/>
  <c r="Y91" i="128"/>
  <c r="Y92" i="128"/>
  <c r="Y104" i="128"/>
  <c r="Y105" i="128"/>
  <c r="Y108" i="128"/>
  <c r="Y96" i="128"/>
  <c r="Y149" i="128"/>
  <c r="Y150" i="128"/>
  <c r="Y152" i="128"/>
  <c r="R156" i="109"/>
  <c r="R160" i="109"/>
  <c r="Y169" i="128"/>
  <c r="Y171" i="128"/>
  <c r="R168" i="109"/>
  <c r="R174" i="109"/>
  <c r="P134" i="71"/>
  <c r="S12" i="109"/>
  <c r="S76" i="109"/>
  <c r="S78" i="109"/>
  <c r="S87" i="109"/>
  <c r="Q73" i="94"/>
  <c r="Q74" i="94"/>
  <c r="S57" i="109"/>
  <c r="S90" i="109"/>
  <c r="S58" i="109"/>
  <c r="S91" i="109"/>
  <c r="S56" i="109"/>
  <c r="S94" i="109"/>
  <c r="S101" i="109"/>
  <c r="S103" i="109"/>
  <c r="Q54" i="95"/>
  <c r="Q55" i="95"/>
  <c r="S42" i="109"/>
  <c r="S43" i="109"/>
  <c r="S44" i="109"/>
  <c r="S98" i="109"/>
  <c r="S104" i="109"/>
  <c r="S105" i="109"/>
  <c r="Z76" i="128"/>
  <c r="Z77" i="128"/>
  <c r="Z78" i="128"/>
  <c r="Z79" i="128"/>
  <c r="Y11" i="128"/>
  <c r="Z87" i="128"/>
  <c r="Z88" i="128"/>
  <c r="Z89" i="128"/>
  <c r="Z81" i="128"/>
  <c r="Z82" i="128"/>
  <c r="Z83" i="128"/>
  <c r="Z90" i="128"/>
  <c r="Z91" i="128"/>
  <c r="Z92" i="128"/>
  <c r="Z104" i="128"/>
  <c r="Z105" i="128"/>
  <c r="Z108" i="128"/>
  <c r="Z96" i="128"/>
  <c r="Z149" i="128"/>
  <c r="Z150" i="128"/>
  <c r="Z152" i="128"/>
  <c r="S156" i="109"/>
  <c r="S160" i="109"/>
  <c r="Z169" i="128"/>
  <c r="Z171" i="128"/>
  <c r="S168" i="109"/>
  <c r="S174" i="109"/>
  <c r="Q134" i="71"/>
  <c r="T12" i="109"/>
  <c r="T76" i="109"/>
  <c r="T78" i="109"/>
  <c r="T87" i="109"/>
  <c r="R73" i="94"/>
  <c r="R74" i="94"/>
  <c r="T57" i="109"/>
  <c r="T90" i="109"/>
  <c r="T58" i="109"/>
  <c r="T91" i="109"/>
  <c r="T56" i="109"/>
  <c r="T94" i="109"/>
  <c r="T101" i="109"/>
  <c r="T103" i="109"/>
  <c r="R54" i="95"/>
  <c r="R55" i="95"/>
  <c r="T42" i="109"/>
  <c r="T43" i="109"/>
  <c r="T44" i="109"/>
  <c r="T98" i="109"/>
  <c r="T104" i="109"/>
  <c r="T105" i="109"/>
  <c r="AA76" i="128"/>
  <c r="AA77" i="128"/>
  <c r="AA78" i="128"/>
  <c r="AA79" i="128"/>
  <c r="Z11" i="128"/>
  <c r="AA87" i="128"/>
  <c r="AA89" i="128"/>
  <c r="AA81" i="128"/>
  <c r="AA82" i="128"/>
  <c r="AA83" i="128"/>
  <c r="AA90" i="128"/>
  <c r="AA91" i="128"/>
  <c r="AA92" i="128"/>
  <c r="AA104" i="128"/>
  <c r="AA105" i="128"/>
  <c r="AA108" i="128"/>
  <c r="AA96" i="128"/>
  <c r="AA149" i="128"/>
  <c r="AA150" i="128"/>
  <c r="AA152" i="128"/>
  <c r="T156" i="109"/>
  <c r="T160" i="109"/>
  <c r="AA169" i="128"/>
  <c r="AA171" i="128"/>
  <c r="T168" i="109"/>
  <c r="T174" i="109"/>
  <c r="R134" i="71"/>
  <c r="U12" i="109"/>
  <c r="U76" i="109"/>
  <c r="U78" i="109"/>
  <c r="U87" i="109"/>
  <c r="S73" i="94"/>
  <c r="S74" i="94"/>
  <c r="U57" i="109"/>
  <c r="U90" i="109"/>
  <c r="U58" i="109"/>
  <c r="U91" i="109"/>
  <c r="U56" i="109"/>
  <c r="U94" i="109"/>
  <c r="U101" i="109"/>
  <c r="U103" i="109"/>
  <c r="S54" i="95"/>
  <c r="S55" i="95"/>
  <c r="U42" i="109"/>
  <c r="U43" i="109"/>
  <c r="U44" i="109"/>
  <c r="U98" i="109"/>
  <c r="U104" i="109"/>
  <c r="U105" i="109"/>
  <c r="AB76" i="128"/>
  <c r="AB77" i="128"/>
  <c r="AB78" i="128"/>
  <c r="AB79" i="128"/>
  <c r="AA11" i="128"/>
  <c r="AB87" i="128"/>
  <c r="AB88" i="128"/>
  <c r="AB89" i="128"/>
  <c r="AB81" i="128"/>
  <c r="AB82" i="128"/>
  <c r="AB83" i="128"/>
  <c r="AB90" i="128"/>
  <c r="AB91" i="128"/>
  <c r="AB92" i="128"/>
  <c r="AB104" i="128"/>
  <c r="AB105" i="128"/>
  <c r="AB108" i="128"/>
  <c r="AB96" i="128"/>
  <c r="AB149" i="128"/>
  <c r="AB150" i="128"/>
  <c r="AB152" i="128"/>
  <c r="U156" i="109"/>
  <c r="U160" i="109"/>
  <c r="AB169" i="128"/>
  <c r="AB171" i="128"/>
  <c r="U168" i="109"/>
  <c r="U174" i="109"/>
  <c r="S134" i="71"/>
  <c r="V12" i="109"/>
  <c r="V76" i="109"/>
  <c r="V78" i="109"/>
  <c r="V87" i="109"/>
  <c r="T73" i="94"/>
  <c r="T74" i="94"/>
  <c r="V57" i="109"/>
  <c r="V90" i="109"/>
  <c r="V58" i="109"/>
  <c r="V91" i="109"/>
  <c r="V56" i="109"/>
  <c r="V94" i="109"/>
  <c r="V101" i="109"/>
  <c r="V103" i="109"/>
  <c r="T54" i="95"/>
  <c r="T55" i="95"/>
  <c r="V42" i="109"/>
  <c r="V43" i="109"/>
  <c r="V44" i="109"/>
  <c r="V98" i="109"/>
  <c r="V104" i="109"/>
  <c r="V105" i="109"/>
  <c r="AC76" i="128"/>
  <c r="AC77" i="128"/>
  <c r="AC78" i="128"/>
  <c r="AC79" i="128"/>
  <c r="AB11" i="128"/>
  <c r="AC87" i="128"/>
  <c r="AC88" i="128"/>
  <c r="AC89" i="128"/>
  <c r="AC81" i="128"/>
  <c r="AC82" i="128"/>
  <c r="AC83" i="128"/>
  <c r="AC90" i="128"/>
  <c r="AC91" i="128"/>
  <c r="AC92" i="128"/>
  <c r="AC104" i="128"/>
  <c r="AC105" i="128"/>
  <c r="AC108" i="128"/>
  <c r="AC96" i="128"/>
  <c r="AC149" i="128"/>
  <c r="AC150" i="128"/>
  <c r="AC152" i="128"/>
  <c r="V156" i="109"/>
  <c r="V160" i="109"/>
  <c r="AC169" i="128"/>
  <c r="AC171" i="128"/>
  <c r="V168" i="109"/>
  <c r="V174" i="109"/>
  <c r="T134" i="71"/>
  <c r="W12" i="109"/>
  <c r="W76" i="109"/>
  <c r="W78" i="109"/>
  <c r="W87" i="109"/>
  <c r="U73" i="94"/>
  <c r="U74" i="94"/>
  <c r="W57" i="109"/>
  <c r="W90" i="109"/>
  <c r="W58" i="109"/>
  <c r="W91" i="109"/>
  <c r="W56" i="109"/>
  <c r="W94" i="109"/>
  <c r="W101" i="109"/>
  <c r="W103" i="109"/>
  <c r="U54" i="95"/>
  <c r="U55" i="95"/>
  <c r="W42" i="109"/>
  <c r="W43" i="109"/>
  <c r="W44" i="109"/>
  <c r="W98" i="109"/>
  <c r="W104" i="109"/>
  <c r="W105" i="109"/>
  <c r="AD76" i="128"/>
  <c r="AD77" i="128"/>
  <c r="AD78" i="128"/>
  <c r="AD79" i="128"/>
  <c r="AC11" i="128"/>
  <c r="AD87" i="128"/>
  <c r="AD88" i="128"/>
  <c r="AD89" i="128"/>
  <c r="AD81" i="128"/>
  <c r="AD82" i="128"/>
  <c r="AD83" i="128"/>
  <c r="AD90" i="128"/>
  <c r="AD91" i="128"/>
  <c r="AD92" i="128"/>
  <c r="AD104" i="128"/>
  <c r="AD105" i="128"/>
  <c r="AD108" i="128"/>
  <c r="AD96" i="128"/>
  <c r="AD149" i="128"/>
  <c r="AD150" i="128"/>
  <c r="AD152" i="128"/>
  <c r="W156" i="109"/>
  <c r="W160" i="109"/>
  <c r="AD169" i="128"/>
  <c r="AD171" i="128"/>
  <c r="W168" i="109"/>
  <c r="W174" i="109"/>
  <c r="U134" i="71"/>
  <c r="X12" i="109"/>
  <c r="X76" i="109"/>
  <c r="X78" i="109"/>
  <c r="X87" i="109"/>
  <c r="V73" i="94"/>
  <c r="V74" i="94"/>
  <c r="X57" i="109"/>
  <c r="X90" i="109"/>
  <c r="X58" i="109"/>
  <c r="X91" i="109"/>
  <c r="X56" i="109"/>
  <c r="X94" i="109"/>
  <c r="X101" i="109"/>
  <c r="X103" i="109"/>
  <c r="V54" i="95"/>
  <c r="V55" i="95"/>
  <c r="X42" i="109"/>
  <c r="X43" i="109"/>
  <c r="X44" i="109"/>
  <c r="X98" i="109"/>
  <c r="X104" i="109"/>
  <c r="X105" i="109"/>
  <c r="AE76" i="128"/>
  <c r="AE77" i="128"/>
  <c r="AE78" i="128"/>
  <c r="AE79" i="128"/>
  <c r="AD11" i="128"/>
  <c r="AE87" i="128"/>
  <c r="AE88" i="128"/>
  <c r="AE89" i="128"/>
  <c r="AE81" i="128"/>
  <c r="AE82" i="128"/>
  <c r="AE83" i="128"/>
  <c r="AE90" i="128"/>
  <c r="AE91" i="128"/>
  <c r="AE92" i="128"/>
  <c r="AE104" i="128"/>
  <c r="AE105" i="128"/>
  <c r="AE108" i="128"/>
  <c r="AE96" i="128"/>
  <c r="AE149" i="128"/>
  <c r="AE150" i="128"/>
  <c r="AE152" i="128"/>
  <c r="X156" i="109"/>
  <c r="X160" i="109"/>
  <c r="AE169" i="128"/>
  <c r="AE171" i="128"/>
  <c r="X168" i="109"/>
  <c r="X174" i="109"/>
  <c r="V134" i="71"/>
  <c r="W134" i="71"/>
  <c r="F18" i="147"/>
  <c r="F19" i="147"/>
  <c r="X130" i="71"/>
  <c r="F17" i="147"/>
  <c r="C127" i="71"/>
  <c r="D127" i="71"/>
  <c r="E127" i="71"/>
  <c r="F127" i="71"/>
  <c r="G127" i="71"/>
  <c r="H127" i="71"/>
  <c r="I127" i="71"/>
  <c r="J127" i="71"/>
  <c r="K127" i="71"/>
  <c r="L127" i="71"/>
  <c r="M127" i="71"/>
  <c r="N127" i="71"/>
  <c r="O127" i="71"/>
  <c r="P127" i="71"/>
  <c r="Q127" i="71"/>
  <c r="R127" i="71"/>
  <c r="S127" i="71"/>
  <c r="T127" i="71"/>
  <c r="U127" i="71"/>
  <c r="V127" i="71"/>
  <c r="W127" i="71"/>
  <c r="F16" i="147"/>
  <c r="F15" i="147"/>
  <c r="C125" i="71"/>
  <c r="D125" i="71"/>
  <c r="E125" i="71"/>
  <c r="F125" i="71"/>
  <c r="G125" i="71"/>
  <c r="H125" i="71"/>
  <c r="I125" i="71"/>
  <c r="J125" i="71"/>
  <c r="K125" i="71"/>
  <c r="L125" i="71"/>
  <c r="M125" i="71"/>
  <c r="N125" i="71"/>
  <c r="O125" i="71"/>
  <c r="P125" i="71"/>
  <c r="Q125" i="71"/>
  <c r="R125" i="71"/>
  <c r="S125" i="71"/>
  <c r="T125" i="71"/>
  <c r="U125" i="71"/>
  <c r="V125" i="71"/>
  <c r="W125" i="71"/>
  <c r="F13" i="147"/>
  <c r="E72" i="110"/>
  <c r="E42" i="110"/>
  <c r="E43" i="110"/>
  <c r="E44" i="110"/>
  <c r="E98" i="110"/>
  <c r="E76" i="110"/>
  <c r="E101" i="110"/>
  <c r="E105" i="110"/>
  <c r="E156" i="110"/>
  <c r="E160" i="110"/>
  <c r="L171" i="130"/>
  <c r="E168" i="110"/>
  <c r="E174" i="110"/>
  <c r="C153" i="71"/>
  <c r="F12" i="110"/>
  <c r="F76" i="110"/>
  <c r="F78" i="110"/>
  <c r="F87" i="110"/>
  <c r="F57" i="110"/>
  <c r="F90" i="110"/>
  <c r="F101" i="110"/>
  <c r="F103" i="110"/>
  <c r="F58" i="110"/>
  <c r="F91" i="110"/>
  <c r="F42" i="110"/>
  <c r="F43" i="110"/>
  <c r="F44" i="110"/>
  <c r="F98" i="110"/>
  <c r="F56" i="110"/>
  <c r="F94" i="110"/>
  <c r="F104" i="110"/>
  <c r="F105" i="110"/>
  <c r="F156" i="110"/>
  <c r="F160" i="110"/>
  <c r="M171" i="130"/>
  <c r="F168" i="110"/>
  <c r="F174" i="110"/>
  <c r="D153" i="71"/>
  <c r="G12" i="110"/>
  <c r="G76" i="110"/>
  <c r="G78" i="110"/>
  <c r="G87" i="110"/>
  <c r="G57" i="110"/>
  <c r="G90" i="110"/>
  <c r="G58" i="110"/>
  <c r="G91" i="110"/>
  <c r="G101" i="110"/>
  <c r="G103" i="110"/>
  <c r="G42" i="110"/>
  <c r="G43" i="110"/>
  <c r="G44" i="110"/>
  <c r="G98" i="110"/>
  <c r="G56" i="110"/>
  <c r="G94" i="110"/>
  <c r="G104" i="110"/>
  <c r="G105" i="110"/>
  <c r="M11" i="130"/>
  <c r="N87" i="130"/>
  <c r="N88" i="130"/>
  <c r="N89" i="130"/>
  <c r="N90" i="130"/>
  <c r="N91" i="130"/>
  <c r="N92" i="130"/>
  <c r="N104" i="130"/>
  <c r="N105" i="130"/>
  <c r="N108" i="130"/>
  <c r="N96" i="130"/>
  <c r="G156" i="110"/>
  <c r="G160" i="110"/>
  <c r="N171" i="130"/>
  <c r="G168" i="110"/>
  <c r="G174" i="110"/>
  <c r="E153" i="71"/>
  <c r="H12" i="110"/>
  <c r="H76" i="110"/>
  <c r="H78" i="110"/>
  <c r="H87" i="110"/>
  <c r="H57" i="110"/>
  <c r="H90" i="110"/>
  <c r="H58" i="110"/>
  <c r="H91" i="110"/>
  <c r="H56" i="110"/>
  <c r="H94" i="110"/>
  <c r="H101" i="110"/>
  <c r="H103" i="110"/>
  <c r="H42" i="110"/>
  <c r="H43" i="110"/>
  <c r="H44" i="110"/>
  <c r="H98" i="110"/>
  <c r="H104" i="110"/>
  <c r="H105" i="110"/>
  <c r="O76" i="130"/>
  <c r="O77" i="130"/>
  <c r="O78" i="130"/>
  <c r="O79" i="130"/>
  <c r="N11" i="130"/>
  <c r="O87" i="130"/>
  <c r="O88" i="130"/>
  <c r="O89" i="130"/>
  <c r="O81" i="130"/>
  <c r="O82" i="130"/>
  <c r="O83" i="130"/>
  <c r="O90" i="130"/>
  <c r="O91" i="130"/>
  <c r="O92" i="130"/>
  <c r="O104" i="130"/>
  <c r="O105" i="130"/>
  <c r="O108" i="130"/>
  <c r="O96" i="130"/>
  <c r="O149" i="130"/>
  <c r="O150" i="130"/>
  <c r="O152" i="130"/>
  <c r="H156" i="110"/>
  <c r="H160" i="110"/>
  <c r="O169" i="130"/>
  <c r="O171" i="130"/>
  <c r="H168" i="110"/>
  <c r="H174" i="110"/>
  <c r="F153" i="71"/>
  <c r="I12" i="110"/>
  <c r="I76" i="110"/>
  <c r="I78" i="110"/>
  <c r="I87" i="110"/>
  <c r="I57" i="110"/>
  <c r="I90" i="110"/>
  <c r="I58" i="110"/>
  <c r="I91" i="110"/>
  <c r="I56" i="110"/>
  <c r="I94" i="110"/>
  <c r="I101" i="110"/>
  <c r="I103" i="110"/>
  <c r="I42" i="110"/>
  <c r="I43" i="110"/>
  <c r="I44" i="110"/>
  <c r="I98" i="110"/>
  <c r="I104" i="110"/>
  <c r="I105" i="110"/>
  <c r="P76" i="130"/>
  <c r="P77" i="130"/>
  <c r="P78" i="130"/>
  <c r="P79" i="130"/>
  <c r="P87" i="130"/>
  <c r="P88" i="130"/>
  <c r="P89" i="130"/>
  <c r="P81" i="130"/>
  <c r="P82" i="130"/>
  <c r="P83" i="130"/>
  <c r="P90" i="130"/>
  <c r="P91" i="130"/>
  <c r="P92" i="130"/>
  <c r="P104" i="130"/>
  <c r="P105" i="130"/>
  <c r="P108" i="130"/>
  <c r="P96" i="130"/>
  <c r="P149" i="130"/>
  <c r="P150" i="130"/>
  <c r="P152" i="130"/>
  <c r="I156" i="110"/>
  <c r="I160" i="110"/>
  <c r="P169" i="130"/>
  <c r="P171" i="130"/>
  <c r="I168" i="110"/>
  <c r="I174" i="110"/>
  <c r="G153" i="71"/>
  <c r="H153" i="71"/>
  <c r="K12" i="110"/>
  <c r="K76" i="110"/>
  <c r="K78" i="110"/>
  <c r="K87" i="110"/>
  <c r="K57" i="110"/>
  <c r="K90" i="110"/>
  <c r="K58" i="110"/>
  <c r="K91" i="110"/>
  <c r="K56" i="110"/>
  <c r="K94" i="110"/>
  <c r="K101" i="110"/>
  <c r="K103" i="110"/>
  <c r="K42" i="110"/>
  <c r="K43" i="110"/>
  <c r="K44" i="110"/>
  <c r="K98" i="110"/>
  <c r="K104" i="110"/>
  <c r="K105" i="110"/>
  <c r="R76" i="130"/>
  <c r="R77" i="130"/>
  <c r="R78" i="130"/>
  <c r="R79" i="130"/>
  <c r="Q11" i="130"/>
  <c r="R87" i="130"/>
  <c r="R88" i="130"/>
  <c r="R89" i="130"/>
  <c r="R81" i="130"/>
  <c r="R82" i="130"/>
  <c r="R83" i="130"/>
  <c r="R90" i="130"/>
  <c r="R91" i="130"/>
  <c r="R92" i="130"/>
  <c r="R104" i="130"/>
  <c r="R105" i="130"/>
  <c r="R108" i="130"/>
  <c r="R149" i="130"/>
  <c r="R150" i="130"/>
  <c r="R152" i="130"/>
  <c r="K156" i="110"/>
  <c r="K160" i="110"/>
  <c r="R169" i="130"/>
  <c r="R171" i="130"/>
  <c r="K168" i="110"/>
  <c r="K174" i="110"/>
  <c r="I153" i="71"/>
  <c r="L12" i="110"/>
  <c r="L76" i="110"/>
  <c r="L78" i="110"/>
  <c r="L87" i="110"/>
  <c r="L57" i="110"/>
  <c r="L90" i="110"/>
  <c r="L58" i="110"/>
  <c r="L91" i="110"/>
  <c r="L56" i="110"/>
  <c r="L94" i="110"/>
  <c r="L101" i="110"/>
  <c r="L103" i="110"/>
  <c r="L42" i="110"/>
  <c r="L43" i="110"/>
  <c r="L44" i="110"/>
  <c r="L98" i="110"/>
  <c r="L104" i="110"/>
  <c r="L105" i="110"/>
  <c r="S76" i="130"/>
  <c r="S77" i="130"/>
  <c r="S78" i="130"/>
  <c r="S79" i="130"/>
  <c r="R11" i="130"/>
  <c r="S87" i="130"/>
  <c r="S88" i="130"/>
  <c r="S89" i="130"/>
  <c r="S81" i="130"/>
  <c r="S82" i="130"/>
  <c r="S83" i="130"/>
  <c r="S90" i="130"/>
  <c r="S91" i="130"/>
  <c r="S92" i="130"/>
  <c r="S104" i="130"/>
  <c r="S105" i="130"/>
  <c r="S108" i="130"/>
  <c r="S96" i="130"/>
  <c r="S149" i="130"/>
  <c r="S150" i="130"/>
  <c r="S152" i="130"/>
  <c r="L156" i="110"/>
  <c r="L160" i="110"/>
  <c r="S169" i="130"/>
  <c r="S171" i="130"/>
  <c r="L168" i="110"/>
  <c r="L174" i="110"/>
  <c r="J153" i="71"/>
  <c r="M12" i="110"/>
  <c r="M76" i="110"/>
  <c r="M78" i="110"/>
  <c r="M87" i="110"/>
  <c r="M57" i="110"/>
  <c r="M90" i="110"/>
  <c r="M58" i="110"/>
  <c r="M91" i="110"/>
  <c r="M56" i="110"/>
  <c r="M94" i="110"/>
  <c r="M101" i="110"/>
  <c r="M103" i="110"/>
  <c r="M42" i="110"/>
  <c r="M43" i="110"/>
  <c r="M44" i="110"/>
  <c r="M98" i="110"/>
  <c r="M104" i="110"/>
  <c r="M105" i="110"/>
  <c r="T76" i="130"/>
  <c r="T77" i="130"/>
  <c r="T78" i="130"/>
  <c r="T79" i="130"/>
  <c r="S11" i="130"/>
  <c r="T87" i="130"/>
  <c r="T88" i="130"/>
  <c r="T89" i="130"/>
  <c r="T81" i="130"/>
  <c r="T82" i="130"/>
  <c r="T83" i="130"/>
  <c r="T90" i="130"/>
  <c r="T91" i="130"/>
  <c r="T92" i="130"/>
  <c r="T104" i="130"/>
  <c r="T105" i="130"/>
  <c r="T108" i="130"/>
  <c r="T96" i="130"/>
  <c r="T149" i="130"/>
  <c r="T150" i="130"/>
  <c r="T152" i="130"/>
  <c r="M156" i="110"/>
  <c r="M160" i="110"/>
  <c r="T169" i="130"/>
  <c r="T171" i="130"/>
  <c r="M168" i="110"/>
  <c r="M174" i="110"/>
  <c r="K153" i="71"/>
  <c r="N12" i="110"/>
  <c r="N76" i="110"/>
  <c r="N78" i="110"/>
  <c r="N87" i="110"/>
  <c r="N57" i="110"/>
  <c r="N90" i="110"/>
  <c r="N58" i="110"/>
  <c r="N91" i="110"/>
  <c r="N56" i="110"/>
  <c r="N94" i="110"/>
  <c r="N101" i="110"/>
  <c r="N103" i="110"/>
  <c r="N42" i="110"/>
  <c r="N43" i="110"/>
  <c r="N44" i="110"/>
  <c r="N98" i="110"/>
  <c r="N104" i="110"/>
  <c r="N105" i="110"/>
  <c r="U76" i="130"/>
  <c r="U77" i="130"/>
  <c r="U78" i="130"/>
  <c r="U79" i="130"/>
  <c r="T11" i="130"/>
  <c r="U87" i="130"/>
  <c r="U88" i="130"/>
  <c r="U89" i="130"/>
  <c r="U81" i="130"/>
  <c r="U82" i="130"/>
  <c r="U83" i="130"/>
  <c r="U90" i="130"/>
  <c r="U91" i="130"/>
  <c r="U92" i="130"/>
  <c r="U104" i="130"/>
  <c r="U105" i="130"/>
  <c r="U108" i="130"/>
  <c r="U96" i="130"/>
  <c r="U149" i="130"/>
  <c r="U150" i="130"/>
  <c r="U152" i="130"/>
  <c r="N156" i="110"/>
  <c r="N160" i="110"/>
  <c r="U169" i="130"/>
  <c r="U171" i="130"/>
  <c r="N168" i="110"/>
  <c r="N174" i="110"/>
  <c r="L153" i="71"/>
  <c r="O12" i="110"/>
  <c r="O76" i="110"/>
  <c r="O78" i="110"/>
  <c r="O87" i="110"/>
  <c r="O57" i="110"/>
  <c r="O90" i="110"/>
  <c r="O58" i="110"/>
  <c r="O91" i="110"/>
  <c r="O56" i="110"/>
  <c r="O94" i="110"/>
  <c r="O101" i="110"/>
  <c r="O103" i="110"/>
  <c r="O42" i="110"/>
  <c r="O43" i="110"/>
  <c r="O44" i="110"/>
  <c r="O98" i="110"/>
  <c r="O104" i="110"/>
  <c r="O105" i="110"/>
  <c r="V76" i="130"/>
  <c r="V77" i="130"/>
  <c r="V78" i="130"/>
  <c r="V79" i="130"/>
  <c r="U11" i="130"/>
  <c r="V87" i="130"/>
  <c r="V89" i="130"/>
  <c r="V81" i="130"/>
  <c r="V82" i="130"/>
  <c r="V83" i="130"/>
  <c r="V90" i="130"/>
  <c r="V91" i="130"/>
  <c r="V92" i="130"/>
  <c r="V104" i="130"/>
  <c r="V105" i="130"/>
  <c r="V108" i="130"/>
  <c r="V96" i="130"/>
  <c r="V149" i="130"/>
  <c r="V150" i="130"/>
  <c r="V152" i="130"/>
  <c r="O156" i="110"/>
  <c r="O160" i="110"/>
  <c r="V169" i="130"/>
  <c r="V171" i="130"/>
  <c r="O168" i="110"/>
  <c r="O174" i="110"/>
  <c r="M153" i="71"/>
  <c r="P12" i="110"/>
  <c r="P76" i="110"/>
  <c r="P78" i="110"/>
  <c r="P87" i="110"/>
  <c r="P57" i="110"/>
  <c r="P90" i="110"/>
  <c r="P58" i="110"/>
  <c r="P91" i="110"/>
  <c r="P56" i="110"/>
  <c r="P94" i="110"/>
  <c r="P101" i="110"/>
  <c r="P103" i="110"/>
  <c r="P42" i="110"/>
  <c r="P43" i="110"/>
  <c r="P44" i="110"/>
  <c r="P98" i="110"/>
  <c r="P104" i="110"/>
  <c r="P105" i="110"/>
  <c r="W76" i="130"/>
  <c r="W77" i="130"/>
  <c r="W78" i="130"/>
  <c r="W79" i="130"/>
  <c r="V11" i="130"/>
  <c r="W87" i="130"/>
  <c r="W88" i="130"/>
  <c r="W89" i="130"/>
  <c r="W81" i="130"/>
  <c r="W82" i="130"/>
  <c r="W83" i="130"/>
  <c r="W90" i="130"/>
  <c r="W91" i="130"/>
  <c r="W92" i="130"/>
  <c r="W104" i="130"/>
  <c r="W105" i="130"/>
  <c r="W108" i="130"/>
  <c r="W96" i="130"/>
  <c r="W149" i="130"/>
  <c r="W150" i="130"/>
  <c r="W152" i="130"/>
  <c r="P156" i="110"/>
  <c r="P160" i="110"/>
  <c r="W169" i="130"/>
  <c r="W171" i="130"/>
  <c r="P168" i="110"/>
  <c r="P174" i="110"/>
  <c r="N153" i="71"/>
  <c r="Q12" i="110"/>
  <c r="Q76" i="110"/>
  <c r="Q78" i="110"/>
  <c r="Q87" i="110"/>
  <c r="Q57" i="110"/>
  <c r="Q90" i="110"/>
  <c r="Q58" i="110"/>
  <c r="Q91" i="110"/>
  <c r="Q56" i="110"/>
  <c r="Q94" i="110"/>
  <c r="Q101" i="110"/>
  <c r="Q103" i="110"/>
  <c r="Q42" i="110"/>
  <c r="Q43" i="110"/>
  <c r="Q44" i="110"/>
  <c r="Q98" i="110"/>
  <c r="Q104" i="110"/>
  <c r="Q105" i="110"/>
  <c r="X76" i="130"/>
  <c r="X77" i="130"/>
  <c r="X78" i="130"/>
  <c r="X79" i="130"/>
  <c r="W11" i="130"/>
  <c r="X87" i="130"/>
  <c r="X88" i="130"/>
  <c r="X89" i="130"/>
  <c r="X81" i="130"/>
  <c r="X82" i="130"/>
  <c r="X83" i="130"/>
  <c r="X90" i="130"/>
  <c r="X91" i="130"/>
  <c r="X92" i="130"/>
  <c r="X104" i="130"/>
  <c r="X105" i="130"/>
  <c r="X108" i="130"/>
  <c r="X96" i="130"/>
  <c r="X149" i="130"/>
  <c r="X150" i="130"/>
  <c r="X152" i="130"/>
  <c r="Q156" i="110"/>
  <c r="Q160" i="110"/>
  <c r="X169" i="130"/>
  <c r="X171" i="130"/>
  <c r="Q168" i="110"/>
  <c r="Q174" i="110"/>
  <c r="O153" i="71"/>
  <c r="R12" i="110"/>
  <c r="R76" i="110"/>
  <c r="R78" i="110"/>
  <c r="R87" i="110"/>
  <c r="R57" i="110"/>
  <c r="R90" i="110"/>
  <c r="R58" i="110"/>
  <c r="R91" i="110"/>
  <c r="R56" i="110"/>
  <c r="R94" i="110"/>
  <c r="R101" i="110"/>
  <c r="R103" i="110"/>
  <c r="R42" i="110"/>
  <c r="R43" i="110"/>
  <c r="R44" i="110"/>
  <c r="R98" i="110"/>
  <c r="R104" i="110"/>
  <c r="R105" i="110"/>
  <c r="Y76" i="130"/>
  <c r="Y77" i="130"/>
  <c r="Y78" i="130"/>
  <c r="Y79" i="130"/>
  <c r="X11" i="130"/>
  <c r="Y87" i="130"/>
  <c r="Y88" i="130"/>
  <c r="Y89" i="130"/>
  <c r="Y81" i="130"/>
  <c r="Y82" i="130"/>
  <c r="Y83" i="130"/>
  <c r="Y90" i="130"/>
  <c r="Y91" i="130"/>
  <c r="Y92" i="130"/>
  <c r="Y104" i="130"/>
  <c r="Y105" i="130"/>
  <c r="Y108" i="130"/>
  <c r="Y96" i="130"/>
  <c r="Y149" i="130"/>
  <c r="Y150" i="130"/>
  <c r="Y152" i="130"/>
  <c r="R156" i="110"/>
  <c r="R160" i="110"/>
  <c r="Y169" i="130"/>
  <c r="Y171" i="130"/>
  <c r="R168" i="110"/>
  <c r="R174" i="110"/>
  <c r="P153" i="71"/>
  <c r="S12" i="110"/>
  <c r="S76" i="110"/>
  <c r="S78" i="110"/>
  <c r="S87" i="110"/>
  <c r="S57" i="110"/>
  <c r="S90" i="110"/>
  <c r="S58" i="110"/>
  <c r="S91" i="110"/>
  <c r="S56" i="110"/>
  <c r="S94" i="110"/>
  <c r="S101" i="110"/>
  <c r="S103" i="110"/>
  <c r="S42" i="110"/>
  <c r="S43" i="110"/>
  <c r="S44" i="110"/>
  <c r="S98" i="110"/>
  <c r="S104" i="110"/>
  <c r="S105" i="110"/>
  <c r="Z76" i="130"/>
  <c r="Z77" i="130"/>
  <c r="Z78" i="130"/>
  <c r="Z79" i="130"/>
  <c r="Y11" i="130"/>
  <c r="Z87" i="130"/>
  <c r="Z88" i="130"/>
  <c r="Z89" i="130"/>
  <c r="Z81" i="130"/>
  <c r="Z82" i="130"/>
  <c r="Z83" i="130"/>
  <c r="Z90" i="130"/>
  <c r="Z91" i="130"/>
  <c r="Z92" i="130"/>
  <c r="Z104" i="130"/>
  <c r="Z105" i="130"/>
  <c r="Z108" i="130"/>
  <c r="Z96" i="130"/>
  <c r="Z149" i="130"/>
  <c r="Z150" i="130"/>
  <c r="Z152" i="130"/>
  <c r="S156" i="110"/>
  <c r="S160" i="110"/>
  <c r="Z169" i="130"/>
  <c r="Z171" i="130"/>
  <c r="S168" i="110"/>
  <c r="S174" i="110"/>
  <c r="Q153" i="71"/>
  <c r="T12" i="110"/>
  <c r="T76" i="110"/>
  <c r="T78" i="110"/>
  <c r="T87" i="110"/>
  <c r="T57" i="110"/>
  <c r="T90" i="110"/>
  <c r="T58" i="110"/>
  <c r="T91" i="110"/>
  <c r="T56" i="110"/>
  <c r="T94" i="110"/>
  <c r="T101" i="110"/>
  <c r="T103" i="110"/>
  <c r="T42" i="110"/>
  <c r="T43" i="110"/>
  <c r="T44" i="110"/>
  <c r="T98" i="110"/>
  <c r="T104" i="110"/>
  <c r="T105" i="110"/>
  <c r="AA76" i="130"/>
  <c r="AA77" i="130"/>
  <c r="AA78" i="130"/>
  <c r="AA79" i="130"/>
  <c r="Z11" i="130"/>
  <c r="AA87" i="130"/>
  <c r="AA89" i="130"/>
  <c r="AA81" i="130"/>
  <c r="AA82" i="130"/>
  <c r="AA83" i="130"/>
  <c r="AA90" i="130"/>
  <c r="AA91" i="130"/>
  <c r="AA92" i="130"/>
  <c r="AA104" i="130"/>
  <c r="AA105" i="130"/>
  <c r="AA108" i="130"/>
  <c r="AA96" i="130"/>
  <c r="AA149" i="130"/>
  <c r="AA150" i="130"/>
  <c r="AA152" i="130"/>
  <c r="T156" i="110"/>
  <c r="T160" i="110"/>
  <c r="AA169" i="130"/>
  <c r="AA171" i="130"/>
  <c r="T168" i="110"/>
  <c r="T174" i="110"/>
  <c r="R153" i="71"/>
  <c r="U12" i="110"/>
  <c r="U76" i="110"/>
  <c r="U78" i="110"/>
  <c r="U87" i="110"/>
  <c r="U57" i="110"/>
  <c r="U90" i="110"/>
  <c r="U58" i="110"/>
  <c r="U91" i="110"/>
  <c r="U56" i="110"/>
  <c r="U94" i="110"/>
  <c r="U101" i="110"/>
  <c r="U103" i="110"/>
  <c r="U42" i="110"/>
  <c r="U43" i="110"/>
  <c r="U44" i="110"/>
  <c r="U98" i="110"/>
  <c r="U104" i="110"/>
  <c r="U105" i="110"/>
  <c r="AB76" i="130"/>
  <c r="AB77" i="130"/>
  <c r="AB78" i="130"/>
  <c r="AB79" i="130"/>
  <c r="AA11" i="130"/>
  <c r="AB87" i="130"/>
  <c r="AB88" i="130"/>
  <c r="AB89" i="130"/>
  <c r="AB81" i="130"/>
  <c r="AB82" i="130"/>
  <c r="AB83" i="130"/>
  <c r="AB90" i="130"/>
  <c r="AB91" i="130"/>
  <c r="AB92" i="130"/>
  <c r="AB104" i="130"/>
  <c r="AB105" i="130"/>
  <c r="AB108" i="130"/>
  <c r="AB96" i="130"/>
  <c r="AB149" i="130"/>
  <c r="AB150" i="130"/>
  <c r="AB152" i="130"/>
  <c r="U156" i="110"/>
  <c r="U160" i="110"/>
  <c r="AB169" i="130"/>
  <c r="AB171" i="130"/>
  <c r="U168" i="110"/>
  <c r="U174" i="110"/>
  <c r="S153" i="71"/>
  <c r="V12" i="110"/>
  <c r="V76" i="110"/>
  <c r="V78" i="110"/>
  <c r="V87" i="110"/>
  <c r="V57" i="110"/>
  <c r="V90" i="110"/>
  <c r="V58" i="110"/>
  <c r="V91" i="110"/>
  <c r="V56" i="110"/>
  <c r="V94" i="110"/>
  <c r="V101" i="110"/>
  <c r="V103" i="110"/>
  <c r="V42" i="110"/>
  <c r="V43" i="110"/>
  <c r="V44" i="110"/>
  <c r="V98" i="110"/>
  <c r="V104" i="110"/>
  <c r="V105" i="110"/>
  <c r="AC76" i="130"/>
  <c r="AC77" i="130"/>
  <c r="AC78" i="130"/>
  <c r="AC79" i="130"/>
  <c r="AB11" i="130"/>
  <c r="AC87" i="130"/>
  <c r="AC88" i="130"/>
  <c r="AC89" i="130"/>
  <c r="AC81" i="130"/>
  <c r="AC82" i="130"/>
  <c r="AC83" i="130"/>
  <c r="AC90" i="130"/>
  <c r="AC91" i="130"/>
  <c r="AC92" i="130"/>
  <c r="AC104" i="130"/>
  <c r="AC105" i="130"/>
  <c r="AC108" i="130"/>
  <c r="AC96" i="130"/>
  <c r="AC149" i="130"/>
  <c r="AC150" i="130"/>
  <c r="AC152" i="130"/>
  <c r="V156" i="110"/>
  <c r="V160" i="110"/>
  <c r="AC169" i="130"/>
  <c r="AC171" i="130"/>
  <c r="V168" i="110"/>
  <c r="V174" i="110"/>
  <c r="T153" i="71"/>
  <c r="W12" i="110"/>
  <c r="W76" i="110"/>
  <c r="W78" i="110"/>
  <c r="W87" i="110"/>
  <c r="W57" i="110"/>
  <c r="W90" i="110"/>
  <c r="W58" i="110"/>
  <c r="W91" i="110"/>
  <c r="W56" i="110"/>
  <c r="W94" i="110"/>
  <c r="W101" i="110"/>
  <c r="W103" i="110"/>
  <c r="W42" i="110"/>
  <c r="W43" i="110"/>
  <c r="W44" i="110"/>
  <c r="W98" i="110"/>
  <c r="W104" i="110"/>
  <c r="W105" i="110"/>
  <c r="AD76" i="130"/>
  <c r="AD77" i="130"/>
  <c r="AD78" i="130"/>
  <c r="AD79" i="130"/>
  <c r="AC11" i="130"/>
  <c r="AD87" i="130"/>
  <c r="AD88" i="130"/>
  <c r="AD89" i="130"/>
  <c r="AD81" i="130"/>
  <c r="AD82" i="130"/>
  <c r="AD83" i="130"/>
  <c r="AD90" i="130"/>
  <c r="AD91" i="130"/>
  <c r="AD92" i="130"/>
  <c r="AD104" i="130"/>
  <c r="AD105" i="130"/>
  <c r="AD108" i="130"/>
  <c r="AD96" i="130"/>
  <c r="AD149" i="130"/>
  <c r="AD150" i="130"/>
  <c r="AD152" i="130"/>
  <c r="W156" i="110"/>
  <c r="W160" i="110"/>
  <c r="AD169" i="130"/>
  <c r="AD171" i="130"/>
  <c r="W168" i="110"/>
  <c r="W174" i="110"/>
  <c r="U153" i="71"/>
  <c r="X12" i="110"/>
  <c r="X76" i="110"/>
  <c r="X78" i="110"/>
  <c r="X87" i="110"/>
  <c r="X57" i="110"/>
  <c r="X90" i="110"/>
  <c r="X58" i="110"/>
  <c r="X91" i="110"/>
  <c r="X56" i="110"/>
  <c r="X94" i="110"/>
  <c r="X101" i="110"/>
  <c r="X103" i="110"/>
  <c r="X42" i="110"/>
  <c r="X43" i="110"/>
  <c r="X44" i="110"/>
  <c r="X98" i="110"/>
  <c r="X104" i="110"/>
  <c r="X105" i="110"/>
  <c r="AE76" i="130"/>
  <c r="AE77" i="130"/>
  <c r="AE78" i="130"/>
  <c r="AE79" i="130"/>
  <c r="AD11" i="130"/>
  <c r="AE87" i="130"/>
  <c r="AE88" i="130"/>
  <c r="AE89" i="130"/>
  <c r="AE81" i="130"/>
  <c r="AE82" i="130"/>
  <c r="AE83" i="130"/>
  <c r="AE90" i="130"/>
  <c r="AE91" i="130"/>
  <c r="AE92" i="130"/>
  <c r="AE104" i="130"/>
  <c r="AE105" i="130"/>
  <c r="AE108" i="130"/>
  <c r="AE96" i="130"/>
  <c r="AE149" i="130"/>
  <c r="AE150" i="130"/>
  <c r="AE152" i="130"/>
  <c r="X156" i="110"/>
  <c r="X160" i="110"/>
  <c r="AE169" i="130"/>
  <c r="AE171" i="130"/>
  <c r="X168" i="110"/>
  <c r="X174" i="110"/>
  <c r="V153" i="71"/>
  <c r="W153" i="71"/>
  <c r="E18" i="147"/>
  <c r="E19" i="147"/>
  <c r="X149" i="71"/>
  <c r="E17" i="147"/>
  <c r="C146" i="71"/>
  <c r="D146" i="71"/>
  <c r="E146" i="71"/>
  <c r="F146" i="71"/>
  <c r="G146" i="71"/>
  <c r="H146" i="71"/>
  <c r="I146" i="71"/>
  <c r="J146" i="71"/>
  <c r="K146" i="71"/>
  <c r="L146" i="71"/>
  <c r="M146" i="71"/>
  <c r="N146" i="71"/>
  <c r="O146" i="71"/>
  <c r="P146" i="71"/>
  <c r="Q146" i="71"/>
  <c r="R146" i="71"/>
  <c r="S146" i="71"/>
  <c r="T146" i="71"/>
  <c r="U146" i="71"/>
  <c r="V146" i="71"/>
  <c r="W146" i="71"/>
  <c r="E16" i="147"/>
  <c r="E15" i="147"/>
  <c r="C144" i="71"/>
  <c r="D144" i="71"/>
  <c r="E144" i="71"/>
  <c r="F144" i="71"/>
  <c r="G144" i="71"/>
  <c r="H144" i="71"/>
  <c r="I144" i="71"/>
  <c r="J144" i="71"/>
  <c r="K144" i="71"/>
  <c r="L144" i="71"/>
  <c r="M144" i="71"/>
  <c r="N144" i="71"/>
  <c r="O144" i="71"/>
  <c r="P144" i="71"/>
  <c r="Q144" i="71"/>
  <c r="R144" i="71"/>
  <c r="S144" i="71"/>
  <c r="T144" i="71"/>
  <c r="U144" i="71"/>
  <c r="V144" i="71"/>
  <c r="W144" i="71"/>
  <c r="E13" i="147"/>
  <c r="E72" i="111"/>
  <c r="E42" i="111"/>
  <c r="E43" i="111"/>
  <c r="E44" i="111"/>
  <c r="E98" i="111"/>
  <c r="E76" i="111"/>
  <c r="E101" i="111"/>
  <c r="E105" i="111"/>
  <c r="E156" i="111"/>
  <c r="E160" i="111"/>
  <c r="L171" i="131"/>
  <c r="E168" i="111"/>
  <c r="E174" i="111"/>
  <c r="C172" i="71"/>
  <c r="F12" i="111"/>
  <c r="F76" i="111"/>
  <c r="F78" i="111"/>
  <c r="F87" i="111"/>
  <c r="F57" i="111"/>
  <c r="F90" i="111"/>
  <c r="F101" i="111"/>
  <c r="F103" i="111"/>
  <c r="F58" i="111"/>
  <c r="F91" i="111"/>
  <c r="F42" i="111"/>
  <c r="F43" i="111"/>
  <c r="F44" i="111"/>
  <c r="F98" i="111"/>
  <c r="F56" i="111"/>
  <c r="F94" i="111"/>
  <c r="F104" i="111"/>
  <c r="F105" i="111"/>
  <c r="F156" i="111"/>
  <c r="F160" i="111"/>
  <c r="M171" i="131"/>
  <c r="F168" i="111"/>
  <c r="F174" i="111"/>
  <c r="D172" i="71"/>
  <c r="G12" i="111"/>
  <c r="G76" i="111"/>
  <c r="G78" i="111"/>
  <c r="G87" i="111"/>
  <c r="G57" i="111"/>
  <c r="G90" i="111"/>
  <c r="G58" i="111"/>
  <c r="G91" i="111"/>
  <c r="G101" i="111"/>
  <c r="G103" i="111"/>
  <c r="G42" i="111"/>
  <c r="G43" i="111"/>
  <c r="G44" i="111"/>
  <c r="G98" i="111"/>
  <c r="G56" i="111"/>
  <c r="G94" i="111"/>
  <c r="G104" i="111"/>
  <c r="G105" i="111"/>
  <c r="M11" i="131"/>
  <c r="N87" i="131"/>
  <c r="N88" i="131"/>
  <c r="N89" i="131"/>
  <c r="N90" i="131"/>
  <c r="N91" i="131"/>
  <c r="N92" i="131"/>
  <c r="N104" i="131"/>
  <c r="N105" i="131"/>
  <c r="N108" i="131"/>
  <c r="N96" i="131"/>
  <c r="G156" i="111"/>
  <c r="G160" i="111"/>
  <c r="N171" i="131"/>
  <c r="G168" i="111"/>
  <c r="G174" i="111"/>
  <c r="E172" i="71"/>
  <c r="H12" i="111"/>
  <c r="H76" i="111"/>
  <c r="H78" i="111"/>
  <c r="H87" i="111"/>
  <c r="H57" i="111"/>
  <c r="H90" i="111"/>
  <c r="H58" i="111"/>
  <c r="H91" i="111"/>
  <c r="H56" i="111"/>
  <c r="H94" i="111"/>
  <c r="H101" i="111"/>
  <c r="H103" i="111"/>
  <c r="H42" i="111"/>
  <c r="H43" i="111"/>
  <c r="H44" i="111"/>
  <c r="H98" i="111"/>
  <c r="H104" i="111"/>
  <c r="H105" i="111"/>
  <c r="O76" i="131"/>
  <c r="O77" i="131"/>
  <c r="O78" i="131"/>
  <c r="O79" i="131"/>
  <c r="N11" i="131"/>
  <c r="O87" i="131"/>
  <c r="O88" i="131"/>
  <c r="O89" i="131"/>
  <c r="O81" i="131"/>
  <c r="O82" i="131"/>
  <c r="O83" i="131"/>
  <c r="O90" i="131"/>
  <c r="O91" i="131"/>
  <c r="O92" i="131"/>
  <c r="O104" i="131"/>
  <c r="O105" i="131"/>
  <c r="O108" i="131"/>
  <c r="O96" i="131"/>
  <c r="O149" i="131"/>
  <c r="O150" i="131"/>
  <c r="O152" i="131"/>
  <c r="H156" i="111"/>
  <c r="H160" i="111"/>
  <c r="O169" i="131"/>
  <c r="O171" i="131"/>
  <c r="H168" i="111"/>
  <c r="H174" i="111"/>
  <c r="F172" i="71"/>
  <c r="I12" i="111"/>
  <c r="I76" i="111"/>
  <c r="I78" i="111"/>
  <c r="I87" i="111"/>
  <c r="I57" i="111"/>
  <c r="I90" i="111"/>
  <c r="I58" i="111"/>
  <c r="I91" i="111"/>
  <c r="I56" i="111"/>
  <c r="I94" i="111"/>
  <c r="I101" i="111"/>
  <c r="I103" i="111"/>
  <c r="I42" i="111"/>
  <c r="I43" i="111"/>
  <c r="I44" i="111"/>
  <c r="I98" i="111"/>
  <c r="I104" i="111"/>
  <c r="I105" i="111"/>
  <c r="P76" i="131"/>
  <c r="P77" i="131"/>
  <c r="P78" i="131"/>
  <c r="P79" i="131"/>
  <c r="P87" i="131"/>
  <c r="P88" i="131"/>
  <c r="P89" i="131"/>
  <c r="P81" i="131"/>
  <c r="P82" i="131"/>
  <c r="P83" i="131"/>
  <c r="P90" i="131"/>
  <c r="P91" i="131"/>
  <c r="P92" i="131"/>
  <c r="P104" i="131"/>
  <c r="P105" i="131"/>
  <c r="P108" i="131"/>
  <c r="P96" i="131"/>
  <c r="P149" i="131"/>
  <c r="P150" i="131"/>
  <c r="P152" i="131"/>
  <c r="I156" i="111"/>
  <c r="I160" i="111"/>
  <c r="P169" i="131"/>
  <c r="P171" i="131"/>
  <c r="I168" i="111"/>
  <c r="I174" i="111"/>
  <c r="G172" i="71"/>
  <c r="H172" i="71"/>
  <c r="K12" i="111"/>
  <c r="K76" i="111"/>
  <c r="K78" i="111"/>
  <c r="K87" i="111"/>
  <c r="K57" i="111"/>
  <c r="K90" i="111"/>
  <c r="K58" i="111"/>
  <c r="K91" i="111"/>
  <c r="K56" i="111"/>
  <c r="K94" i="111"/>
  <c r="K101" i="111"/>
  <c r="K103" i="111"/>
  <c r="K42" i="111"/>
  <c r="K43" i="111"/>
  <c r="K44" i="111"/>
  <c r="K98" i="111"/>
  <c r="K104" i="111"/>
  <c r="K105" i="111"/>
  <c r="R76" i="131"/>
  <c r="R77" i="131"/>
  <c r="R78" i="131"/>
  <c r="R79" i="131"/>
  <c r="Q11" i="131"/>
  <c r="R87" i="131"/>
  <c r="R88" i="131"/>
  <c r="R89" i="131"/>
  <c r="R81" i="131"/>
  <c r="R82" i="131"/>
  <c r="R83" i="131"/>
  <c r="R90" i="131"/>
  <c r="R91" i="131"/>
  <c r="R92" i="131"/>
  <c r="R104" i="131"/>
  <c r="R105" i="131"/>
  <c r="R108" i="131"/>
  <c r="R149" i="131"/>
  <c r="R150" i="131"/>
  <c r="R152" i="131"/>
  <c r="K156" i="111"/>
  <c r="K160" i="111"/>
  <c r="R169" i="131"/>
  <c r="R171" i="131"/>
  <c r="K168" i="111"/>
  <c r="K174" i="111"/>
  <c r="I172" i="71"/>
  <c r="L12" i="111"/>
  <c r="L76" i="111"/>
  <c r="L78" i="111"/>
  <c r="L87" i="111"/>
  <c r="L57" i="111"/>
  <c r="L90" i="111"/>
  <c r="L58" i="111"/>
  <c r="L91" i="111"/>
  <c r="L56" i="111"/>
  <c r="L94" i="111"/>
  <c r="L101" i="111"/>
  <c r="L103" i="111"/>
  <c r="L42" i="111"/>
  <c r="L43" i="111"/>
  <c r="L44" i="111"/>
  <c r="L98" i="111"/>
  <c r="L104" i="111"/>
  <c r="L105" i="111"/>
  <c r="S76" i="131"/>
  <c r="S77" i="131"/>
  <c r="S78" i="131"/>
  <c r="S79" i="131"/>
  <c r="R11" i="131"/>
  <c r="S87" i="131"/>
  <c r="S88" i="131"/>
  <c r="S89" i="131"/>
  <c r="S81" i="131"/>
  <c r="S82" i="131"/>
  <c r="S83" i="131"/>
  <c r="S90" i="131"/>
  <c r="S91" i="131"/>
  <c r="S92" i="131"/>
  <c r="S104" i="131"/>
  <c r="S105" i="131"/>
  <c r="S108" i="131"/>
  <c r="S96" i="131"/>
  <c r="S149" i="131"/>
  <c r="S150" i="131"/>
  <c r="S152" i="131"/>
  <c r="L156" i="111"/>
  <c r="L160" i="111"/>
  <c r="S169" i="131"/>
  <c r="S171" i="131"/>
  <c r="L168" i="111"/>
  <c r="L174" i="111"/>
  <c r="J172" i="71"/>
  <c r="M12" i="111"/>
  <c r="M76" i="111"/>
  <c r="M78" i="111"/>
  <c r="M87" i="111"/>
  <c r="M57" i="111"/>
  <c r="M90" i="111"/>
  <c r="M58" i="111"/>
  <c r="M91" i="111"/>
  <c r="M56" i="111"/>
  <c r="M94" i="111"/>
  <c r="M101" i="111"/>
  <c r="M103" i="111"/>
  <c r="M42" i="111"/>
  <c r="M43" i="111"/>
  <c r="M44" i="111"/>
  <c r="M98" i="111"/>
  <c r="M104" i="111"/>
  <c r="M105" i="111"/>
  <c r="T76" i="131"/>
  <c r="T77" i="131"/>
  <c r="T78" i="131"/>
  <c r="T79" i="131"/>
  <c r="S11" i="131"/>
  <c r="T87" i="131"/>
  <c r="T88" i="131"/>
  <c r="T89" i="131"/>
  <c r="T81" i="131"/>
  <c r="T82" i="131"/>
  <c r="T83" i="131"/>
  <c r="T90" i="131"/>
  <c r="T91" i="131"/>
  <c r="T92" i="131"/>
  <c r="T104" i="131"/>
  <c r="T105" i="131"/>
  <c r="T108" i="131"/>
  <c r="T96" i="131"/>
  <c r="T149" i="131"/>
  <c r="T150" i="131"/>
  <c r="T152" i="131"/>
  <c r="M156" i="111"/>
  <c r="M160" i="111"/>
  <c r="T169" i="131"/>
  <c r="T171" i="131"/>
  <c r="M168" i="111"/>
  <c r="M174" i="111"/>
  <c r="K172" i="71"/>
  <c r="N12" i="111"/>
  <c r="N76" i="111"/>
  <c r="N78" i="111"/>
  <c r="N87" i="111"/>
  <c r="N57" i="111"/>
  <c r="N90" i="111"/>
  <c r="N58" i="111"/>
  <c r="N91" i="111"/>
  <c r="N56" i="111"/>
  <c r="N94" i="111"/>
  <c r="N101" i="111"/>
  <c r="N103" i="111"/>
  <c r="N42" i="111"/>
  <c r="N43" i="111"/>
  <c r="N44" i="111"/>
  <c r="N98" i="111"/>
  <c r="N104" i="111"/>
  <c r="N105" i="111"/>
  <c r="U76" i="131"/>
  <c r="U77" i="131"/>
  <c r="U78" i="131"/>
  <c r="U79" i="131"/>
  <c r="T11" i="131"/>
  <c r="U87" i="131"/>
  <c r="U88" i="131"/>
  <c r="U89" i="131"/>
  <c r="U81" i="131"/>
  <c r="U82" i="131"/>
  <c r="U83" i="131"/>
  <c r="U90" i="131"/>
  <c r="U91" i="131"/>
  <c r="U92" i="131"/>
  <c r="U104" i="131"/>
  <c r="U105" i="131"/>
  <c r="U108" i="131"/>
  <c r="U96" i="131"/>
  <c r="U149" i="131"/>
  <c r="U150" i="131"/>
  <c r="U152" i="131"/>
  <c r="N156" i="111"/>
  <c r="N160" i="111"/>
  <c r="U169" i="131"/>
  <c r="U171" i="131"/>
  <c r="N168" i="111"/>
  <c r="N174" i="111"/>
  <c r="L172" i="71"/>
  <c r="O12" i="111"/>
  <c r="O76" i="111"/>
  <c r="O78" i="111"/>
  <c r="O87" i="111"/>
  <c r="O57" i="111"/>
  <c r="O90" i="111"/>
  <c r="O58" i="111"/>
  <c r="O91" i="111"/>
  <c r="O56" i="111"/>
  <c r="O94" i="111"/>
  <c r="O101" i="111"/>
  <c r="O103" i="111"/>
  <c r="O42" i="111"/>
  <c r="O43" i="111"/>
  <c r="O44" i="111"/>
  <c r="O98" i="111"/>
  <c r="O104" i="111"/>
  <c r="O105" i="111"/>
  <c r="V76" i="131"/>
  <c r="V77" i="131"/>
  <c r="V78" i="131"/>
  <c r="V79" i="131"/>
  <c r="U11" i="131"/>
  <c r="V87" i="131"/>
  <c r="V89" i="131"/>
  <c r="V81" i="131"/>
  <c r="V82" i="131"/>
  <c r="V83" i="131"/>
  <c r="V90" i="131"/>
  <c r="V91" i="131"/>
  <c r="V92" i="131"/>
  <c r="V104" i="131"/>
  <c r="V105" i="131"/>
  <c r="V108" i="131"/>
  <c r="V96" i="131"/>
  <c r="V149" i="131"/>
  <c r="V150" i="131"/>
  <c r="V152" i="131"/>
  <c r="O156" i="111"/>
  <c r="O160" i="111"/>
  <c r="V169" i="131"/>
  <c r="V171" i="131"/>
  <c r="O168" i="111"/>
  <c r="O174" i="111"/>
  <c r="M172" i="71"/>
  <c r="P12" i="111"/>
  <c r="P76" i="111"/>
  <c r="P78" i="111"/>
  <c r="P87" i="111"/>
  <c r="P57" i="111"/>
  <c r="P90" i="111"/>
  <c r="P58" i="111"/>
  <c r="P91" i="111"/>
  <c r="P56" i="111"/>
  <c r="P94" i="111"/>
  <c r="P101" i="111"/>
  <c r="P103" i="111"/>
  <c r="P42" i="111"/>
  <c r="P43" i="111"/>
  <c r="P44" i="111"/>
  <c r="P98" i="111"/>
  <c r="P104" i="111"/>
  <c r="P105" i="111"/>
  <c r="W76" i="131"/>
  <c r="W77" i="131"/>
  <c r="W78" i="131"/>
  <c r="W79" i="131"/>
  <c r="V11" i="131"/>
  <c r="W87" i="131"/>
  <c r="W88" i="131"/>
  <c r="W89" i="131"/>
  <c r="W81" i="131"/>
  <c r="W82" i="131"/>
  <c r="W83" i="131"/>
  <c r="W90" i="131"/>
  <c r="W91" i="131"/>
  <c r="W92" i="131"/>
  <c r="W104" i="131"/>
  <c r="W105" i="131"/>
  <c r="W108" i="131"/>
  <c r="W96" i="131"/>
  <c r="W149" i="131"/>
  <c r="W150" i="131"/>
  <c r="W152" i="131"/>
  <c r="P156" i="111"/>
  <c r="P160" i="111"/>
  <c r="W169" i="131"/>
  <c r="W171" i="131"/>
  <c r="P168" i="111"/>
  <c r="P174" i="111"/>
  <c r="N172" i="71"/>
  <c r="Q12" i="111"/>
  <c r="Q76" i="111"/>
  <c r="Q78" i="111"/>
  <c r="Q87" i="111"/>
  <c r="Q57" i="111"/>
  <c r="Q90" i="111"/>
  <c r="Q58" i="111"/>
  <c r="Q91" i="111"/>
  <c r="Q56" i="111"/>
  <c r="Q94" i="111"/>
  <c r="Q101" i="111"/>
  <c r="Q103" i="111"/>
  <c r="Q42" i="111"/>
  <c r="Q43" i="111"/>
  <c r="Q44" i="111"/>
  <c r="Q98" i="111"/>
  <c r="Q104" i="111"/>
  <c r="Q105" i="111"/>
  <c r="X76" i="131"/>
  <c r="X77" i="131"/>
  <c r="X78" i="131"/>
  <c r="X79" i="131"/>
  <c r="W11" i="131"/>
  <c r="X87" i="131"/>
  <c r="X88" i="131"/>
  <c r="X89" i="131"/>
  <c r="X81" i="131"/>
  <c r="X82" i="131"/>
  <c r="X83" i="131"/>
  <c r="X90" i="131"/>
  <c r="X91" i="131"/>
  <c r="X92" i="131"/>
  <c r="X104" i="131"/>
  <c r="X105" i="131"/>
  <c r="X108" i="131"/>
  <c r="X96" i="131"/>
  <c r="X149" i="131"/>
  <c r="X150" i="131"/>
  <c r="X152" i="131"/>
  <c r="Q156" i="111"/>
  <c r="Q160" i="111"/>
  <c r="X169" i="131"/>
  <c r="X171" i="131"/>
  <c r="Q168" i="111"/>
  <c r="Q174" i="111"/>
  <c r="O172" i="71"/>
  <c r="R12" i="111"/>
  <c r="R76" i="111"/>
  <c r="R78" i="111"/>
  <c r="R87" i="111"/>
  <c r="R57" i="111"/>
  <c r="R90" i="111"/>
  <c r="R58" i="111"/>
  <c r="R91" i="111"/>
  <c r="R56" i="111"/>
  <c r="R94" i="111"/>
  <c r="R101" i="111"/>
  <c r="R103" i="111"/>
  <c r="R42" i="111"/>
  <c r="R43" i="111"/>
  <c r="R44" i="111"/>
  <c r="R98" i="111"/>
  <c r="R104" i="111"/>
  <c r="R105" i="111"/>
  <c r="Y76" i="131"/>
  <c r="Y77" i="131"/>
  <c r="Y78" i="131"/>
  <c r="Y79" i="131"/>
  <c r="X11" i="131"/>
  <c r="Y87" i="131"/>
  <c r="Y88" i="131"/>
  <c r="Y89" i="131"/>
  <c r="Y81" i="131"/>
  <c r="Y82" i="131"/>
  <c r="Y83" i="131"/>
  <c r="Y90" i="131"/>
  <c r="Y91" i="131"/>
  <c r="Y92" i="131"/>
  <c r="Y104" i="131"/>
  <c r="Y105" i="131"/>
  <c r="Y108" i="131"/>
  <c r="Y96" i="131"/>
  <c r="Y149" i="131"/>
  <c r="Y150" i="131"/>
  <c r="Y152" i="131"/>
  <c r="R156" i="111"/>
  <c r="R160" i="111"/>
  <c r="Y169" i="131"/>
  <c r="Y171" i="131"/>
  <c r="R168" i="111"/>
  <c r="R174" i="111"/>
  <c r="P172" i="71"/>
  <c r="S12" i="111"/>
  <c r="S76" i="111"/>
  <c r="S78" i="111"/>
  <c r="S87" i="111"/>
  <c r="S57" i="111"/>
  <c r="S90" i="111"/>
  <c r="S58" i="111"/>
  <c r="S91" i="111"/>
  <c r="S56" i="111"/>
  <c r="S94" i="111"/>
  <c r="S101" i="111"/>
  <c r="S103" i="111"/>
  <c r="S42" i="111"/>
  <c r="S43" i="111"/>
  <c r="S44" i="111"/>
  <c r="S98" i="111"/>
  <c r="S104" i="111"/>
  <c r="S105" i="111"/>
  <c r="Z76" i="131"/>
  <c r="Z77" i="131"/>
  <c r="Z78" i="131"/>
  <c r="Z79" i="131"/>
  <c r="Y11" i="131"/>
  <c r="Z87" i="131"/>
  <c r="Z88" i="131"/>
  <c r="Z89" i="131"/>
  <c r="Z81" i="131"/>
  <c r="Z82" i="131"/>
  <c r="Z83" i="131"/>
  <c r="Z90" i="131"/>
  <c r="Z91" i="131"/>
  <c r="Z92" i="131"/>
  <c r="Z104" i="131"/>
  <c r="Z105" i="131"/>
  <c r="Z108" i="131"/>
  <c r="Z96" i="131"/>
  <c r="Z149" i="131"/>
  <c r="Z150" i="131"/>
  <c r="Z152" i="131"/>
  <c r="S156" i="111"/>
  <c r="S160" i="111"/>
  <c r="Z169" i="131"/>
  <c r="Z171" i="131"/>
  <c r="S168" i="111"/>
  <c r="S174" i="111"/>
  <c r="Q172" i="71"/>
  <c r="T12" i="111"/>
  <c r="T76" i="111"/>
  <c r="T78" i="111"/>
  <c r="T87" i="111"/>
  <c r="T57" i="111"/>
  <c r="T90" i="111"/>
  <c r="T58" i="111"/>
  <c r="T91" i="111"/>
  <c r="T56" i="111"/>
  <c r="T94" i="111"/>
  <c r="T101" i="111"/>
  <c r="T103" i="111"/>
  <c r="T42" i="111"/>
  <c r="T43" i="111"/>
  <c r="T44" i="111"/>
  <c r="T98" i="111"/>
  <c r="T104" i="111"/>
  <c r="T105" i="111"/>
  <c r="AA76" i="131"/>
  <c r="AA77" i="131"/>
  <c r="AA78" i="131"/>
  <c r="AA79" i="131"/>
  <c r="Z11" i="131"/>
  <c r="AA87" i="131"/>
  <c r="AA89" i="131"/>
  <c r="AA81" i="131"/>
  <c r="AA82" i="131"/>
  <c r="AA83" i="131"/>
  <c r="AA90" i="131"/>
  <c r="AA91" i="131"/>
  <c r="AA92" i="131"/>
  <c r="AA104" i="131"/>
  <c r="AA105" i="131"/>
  <c r="AA108" i="131"/>
  <c r="AA96" i="131"/>
  <c r="AA149" i="131"/>
  <c r="AA150" i="131"/>
  <c r="AA152" i="131"/>
  <c r="T156" i="111"/>
  <c r="T160" i="111"/>
  <c r="AA169" i="131"/>
  <c r="AA171" i="131"/>
  <c r="T168" i="111"/>
  <c r="T174" i="111"/>
  <c r="R172" i="71"/>
  <c r="U12" i="111"/>
  <c r="U76" i="111"/>
  <c r="U78" i="111"/>
  <c r="U87" i="111"/>
  <c r="U57" i="111"/>
  <c r="U90" i="111"/>
  <c r="U58" i="111"/>
  <c r="U91" i="111"/>
  <c r="U56" i="111"/>
  <c r="U94" i="111"/>
  <c r="U101" i="111"/>
  <c r="U103" i="111"/>
  <c r="U42" i="111"/>
  <c r="U43" i="111"/>
  <c r="U44" i="111"/>
  <c r="U98" i="111"/>
  <c r="U104" i="111"/>
  <c r="U105" i="111"/>
  <c r="AB76" i="131"/>
  <c r="AB77" i="131"/>
  <c r="AB78" i="131"/>
  <c r="AB79" i="131"/>
  <c r="AA11" i="131"/>
  <c r="AB87" i="131"/>
  <c r="AB88" i="131"/>
  <c r="AB89" i="131"/>
  <c r="AB81" i="131"/>
  <c r="AB82" i="131"/>
  <c r="AB83" i="131"/>
  <c r="AB90" i="131"/>
  <c r="AB91" i="131"/>
  <c r="AB92" i="131"/>
  <c r="AB104" i="131"/>
  <c r="AB105" i="131"/>
  <c r="AB108" i="131"/>
  <c r="AB96" i="131"/>
  <c r="AB149" i="131"/>
  <c r="AB150" i="131"/>
  <c r="AB152" i="131"/>
  <c r="U156" i="111"/>
  <c r="U160" i="111"/>
  <c r="AB169" i="131"/>
  <c r="AB171" i="131"/>
  <c r="U168" i="111"/>
  <c r="U174" i="111"/>
  <c r="S172" i="71"/>
  <c r="V12" i="111"/>
  <c r="V76" i="111"/>
  <c r="V78" i="111"/>
  <c r="V87" i="111"/>
  <c r="V57" i="111"/>
  <c r="V90" i="111"/>
  <c r="V58" i="111"/>
  <c r="V91" i="111"/>
  <c r="V56" i="111"/>
  <c r="V94" i="111"/>
  <c r="V101" i="111"/>
  <c r="V103" i="111"/>
  <c r="V42" i="111"/>
  <c r="V43" i="111"/>
  <c r="V44" i="111"/>
  <c r="V98" i="111"/>
  <c r="V104" i="111"/>
  <c r="V105" i="111"/>
  <c r="AC76" i="131"/>
  <c r="AC77" i="131"/>
  <c r="AC78" i="131"/>
  <c r="AC79" i="131"/>
  <c r="AB11" i="131"/>
  <c r="AC87" i="131"/>
  <c r="AC88" i="131"/>
  <c r="AC89" i="131"/>
  <c r="AC81" i="131"/>
  <c r="AC82" i="131"/>
  <c r="AC83" i="131"/>
  <c r="AC90" i="131"/>
  <c r="AC91" i="131"/>
  <c r="AC92" i="131"/>
  <c r="AC104" i="131"/>
  <c r="AC105" i="131"/>
  <c r="AC108" i="131"/>
  <c r="AC96" i="131"/>
  <c r="AC149" i="131"/>
  <c r="AC150" i="131"/>
  <c r="AC152" i="131"/>
  <c r="V156" i="111"/>
  <c r="V160" i="111"/>
  <c r="AC169" i="131"/>
  <c r="AC171" i="131"/>
  <c r="V168" i="111"/>
  <c r="V174" i="111"/>
  <c r="T172" i="71"/>
  <c r="W12" i="111"/>
  <c r="W76" i="111"/>
  <c r="W78" i="111"/>
  <c r="W87" i="111"/>
  <c r="W57" i="111"/>
  <c r="W90" i="111"/>
  <c r="W58" i="111"/>
  <c r="W91" i="111"/>
  <c r="W56" i="111"/>
  <c r="W94" i="111"/>
  <c r="W101" i="111"/>
  <c r="W103" i="111"/>
  <c r="W42" i="111"/>
  <c r="W43" i="111"/>
  <c r="W44" i="111"/>
  <c r="W98" i="111"/>
  <c r="W104" i="111"/>
  <c r="W105" i="111"/>
  <c r="AD76" i="131"/>
  <c r="AD77" i="131"/>
  <c r="AD78" i="131"/>
  <c r="AD79" i="131"/>
  <c r="AC11" i="131"/>
  <c r="AD87" i="131"/>
  <c r="AD88" i="131"/>
  <c r="AD89" i="131"/>
  <c r="AD81" i="131"/>
  <c r="AD82" i="131"/>
  <c r="AD83" i="131"/>
  <c r="AD90" i="131"/>
  <c r="AD91" i="131"/>
  <c r="AD92" i="131"/>
  <c r="AD104" i="131"/>
  <c r="AD105" i="131"/>
  <c r="AD108" i="131"/>
  <c r="AD96" i="131"/>
  <c r="AD149" i="131"/>
  <c r="AD150" i="131"/>
  <c r="AD152" i="131"/>
  <c r="W156" i="111"/>
  <c r="W160" i="111"/>
  <c r="AD169" i="131"/>
  <c r="AD171" i="131"/>
  <c r="W168" i="111"/>
  <c r="W174" i="111"/>
  <c r="U172" i="71"/>
  <c r="X12" i="111"/>
  <c r="X76" i="111"/>
  <c r="X78" i="111"/>
  <c r="X87" i="111"/>
  <c r="X57" i="111"/>
  <c r="X90" i="111"/>
  <c r="X58" i="111"/>
  <c r="X91" i="111"/>
  <c r="X56" i="111"/>
  <c r="X94" i="111"/>
  <c r="X101" i="111"/>
  <c r="X103" i="111"/>
  <c r="X42" i="111"/>
  <c r="X43" i="111"/>
  <c r="X44" i="111"/>
  <c r="X98" i="111"/>
  <c r="X104" i="111"/>
  <c r="X105" i="111"/>
  <c r="AE76" i="131"/>
  <c r="AE77" i="131"/>
  <c r="AE78" i="131"/>
  <c r="AE79" i="131"/>
  <c r="AD11" i="131"/>
  <c r="AE87" i="131"/>
  <c r="AE88" i="131"/>
  <c r="AE89" i="131"/>
  <c r="AE81" i="131"/>
  <c r="AE82" i="131"/>
  <c r="AE83" i="131"/>
  <c r="AE90" i="131"/>
  <c r="AE91" i="131"/>
  <c r="AE92" i="131"/>
  <c r="AE104" i="131"/>
  <c r="AE105" i="131"/>
  <c r="AE108" i="131"/>
  <c r="AE96" i="131"/>
  <c r="AE149" i="131"/>
  <c r="AE150" i="131"/>
  <c r="AE152" i="131"/>
  <c r="X156" i="111"/>
  <c r="X160" i="111"/>
  <c r="AE169" i="131"/>
  <c r="AE171" i="131"/>
  <c r="X168" i="111"/>
  <c r="X174" i="111"/>
  <c r="V172" i="71"/>
  <c r="W172" i="71"/>
  <c r="D18" i="147"/>
  <c r="D19" i="147"/>
  <c r="X168" i="71"/>
  <c r="D17" i="147"/>
  <c r="C165" i="71"/>
  <c r="D165" i="71"/>
  <c r="E165" i="71"/>
  <c r="F165" i="71"/>
  <c r="G165" i="71"/>
  <c r="H165" i="71"/>
  <c r="I165" i="71"/>
  <c r="J165" i="71"/>
  <c r="K165" i="71"/>
  <c r="L165" i="71"/>
  <c r="M165" i="71"/>
  <c r="N165" i="71"/>
  <c r="O165" i="71"/>
  <c r="P165" i="71"/>
  <c r="Q165" i="71"/>
  <c r="R165" i="71"/>
  <c r="S165" i="71"/>
  <c r="T165" i="71"/>
  <c r="U165" i="71"/>
  <c r="V165" i="71"/>
  <c r="W165" i="71"/>
  <c r="D16" i="147"/>
  <c r="D15" i="147"/>
  <c r="C163" i="71"/>
  <c r="D163" i="71"/>
  <c r="E163" i="71"/>
  <c r="F163" i="71"/>
  <c r="G163" i="71"/>
  <c r="H163" i="71"/>
  <c r="I163" i="71"/>
  <c r="J163" i="71"/>
  <c r="K163" i="71"/>
  <c r="L163" i="71"/>
  <c r="M163" i="71"/>
  <c r="N163" i="71"/>
  <c r="O163" i="71"/>
  <c r="P163" i="71"/>
  <c r="Q163" i="71"/>
  <c r="R163" i="71"/>
  <c r="S163" i="71"/>
  <c r="T163" i="71"/>
  <c r="U163" i="71"/>
  <c r="V163" i="71"/>
  <c r="W163" i="71"/>
  <c r="D13" i="147"/>
  <c r="E72" i="108"/>
  <c r="C28" i="95"/>
  <c r="C29" i="95"/>
  <c r="E42" i="108"/>
  <c r="E43" i="108"/>
  <c r="E44" i="108"/>
  <c r="E98" i="108"/>
  <c r="E105" i="108"/>
  <c r="E156" i="108"/>
  <c r="E160" i="108"/>
  <c r="L172" i="123"/>
  <c r="E168" i="108"/>
  <c r="E174" i="108"/>
  <c r="C39" i="71"/>
  <c r="F78" i="108"/>
  <c r="F87" i="108"/>
  <c r="D37" i="94"/>
  <c r="D38" i="94"/>
  <c r="F57" i="108"/>
  <c r="F90" i="108"/>
  <c r="F103" i="108"/>
  <c r="F58" i="108"/>
  <c r="F91" i="108"/>
  <c r="D28" i="95"/>
  <c r="D29" i="95"/>
  <c r="F42" i="108"/>
  <c r="F43" i="108"/>
  <c r="F44" i="108"/>
  <c r="F98" i="108"/>
  <c r="F56" i="108"/>
  <c r="F94" i="108"/>
  <c r="F104" i="108"/>
  <c r="F105" i="108"/>
  <c r="F156" i="108"/>
  <c r="F160" i="108"/>
  <c r="M172" i="123"/>
  <c r="F168" i="108"/>
  <c r="F174" i="108"/>
  <c r="D39" i="71"/>
  <c r="G78" i="108"/>
  <c r="G87" i="108"/>
  <c r="E37" i="94"/>
  <c r="E38" i="94"/>
  <c r="G57" i="108"/>
  <c r="G90" i="108"/>
  <c r="G58" i="108"/>
  <c r="G91" i="108"/>
  <c r="G103" i="108"/>
  <c r="E28" i="95"/>
  <c r="E29" i="95"/>
  <c r="G42" i="108"/>
  <c r="G43" i="108"/>
  <c r="G44" i="108"/>
  <c r="G98" i="108"/>
  <c r="G56" i="108"/>
  <c r="G94" i="108"/>
  <c r="G104" i="108"/>
  <c r="G105" i="108"/>
  <c r="M11" i="123"/>
  <c r="N88" i="123"/>
  <c r="N89" i="123"/>
  <c r="N90" i="123"/>
  <c r="N91" i="123"/>
  <c r="N92" i="123"/>
  <c r="N93" i="123"/>
  <c r="N105" i="123"/>
  <c r="N106" i="123"/>
  <c r="N109" i="123"/>
  <c r="N97" i="123"/>
  <c r="N98" i="123"/>
  <c r="G156" i="108"/>
  <c r="G160" i="108"/>
  <c r="N172" i="123"/>
  <c r="G168" i="108"/>
  <c r="G174" i="108"/>
  <c r="E39" i="71"/>
  <c r="H78" i="108"/>
  <c r="H87" i="108"/>
  <c r="F37" i="94"/>
  <c r="F38" i="94"/>
  <c r="H57" i="108"/>
  <c r="H90" i="108"/>
  <c r="H58" i="108"/>
  <c r="H91" i="108"/>
  <c r="H56" i="108"/>
  <c r="H94" i="108"/>
  <c r="H103" i="108"/>
  <c r="F28" i="95"/>
  <c r="F29" i="95"/>
  <c r="H42" i="108"/>
  <c r="H43" i="108"/>
  <c r="H44" i="108"/>
  <c r="H98" i="108"/>
  <c r="H104" i="108"/>
  <c r="H105" i="108"/>
  <c r="O76" i="123"/>
  <c r="O77" i="123"/>
  <c r="O78" i="123"/>
  <c r="O79" i="123"/>
  <c r="O80" i="123"/>
  <c r="N11" i="123"/>
  <c r="O88" i="123"/>
  <c r="O89" i="123"/>
  <c r="O90" i="123"/>
  <c r="O82" i="123"/>
  <c r="O83" i="123"/>
  <c r="O84" i="123"/>
  <c r="O91" i="123"/>
  <c r="O92" i="123"/>
  <c r="O93" i="123"/>
  <c r="O105" i="123"/>
  <c r="O106" i="123"/>
  <c r="O109" i="123"/>
  <c r="O97" i="123"/>
  <c r="O98" i="123"/>
  <c r="O150" i="123"/>
  <c r="O151" i="123"/>
  <c r="O153" i="123"/>
  <c r="H156" i="108"/>
  <c r="H160" i="108"/>
  <c r="O170" i="123"/>
  <c r="O172" i="123"/>
  <c r="H168" i="108"/>
  <c r="H174" i="108"/>
  <c r="F39" i="71"/>
  <c r="I78" i="108"/>
  <c r="I87" i="108"/>
  <c r="G37" i="94"/>
  <c r="G38" i="94"/>
  <c r="I57" i="108"/>
  <c r="I90" i="108"/>
  <c r="I58" i="108"/>
  <c r="I91" i="108"/>
  <c r="I56" i="108"/>
  <c r="I94" i="108"/>
  <c r="I103" i="108"/>
  <c r="G28" i="95"/>
  <c r="G29" i="95"/>
  <c r="I42" i="108"/>
  <c r="I43" i="108"/>
  <c r="I44" i="108"/>
  <c r="I98" i="108"/>
  <c r="I104" i="108"/>
  <c r="I105" i="108"/>
  <c r="P76" i="123"/>
  <c r="P77" i="123"/>
  <c r="P78" i="123"/>
  <c r="P79" i="123"/>
  <c r="P80" i="123"/>
  <c r="P88" i="123"/>
  <c r="P89" i="123"/>
  <c r="P90" i="123"/>
  <c r="P82" i="123"/>
  <c r="P83" i="123"/>
  <c r="P84" i="123"/>
  <c r="P91" i="123"/>
  <c r="P92" i="123"/>
  <c r="P93" i="123"/>
  <c r="P105" i="123"/>
  <c r="P106" i="123"/>
  <c r="P109" i="123"/>
  <c r="P97" i="123"/>
  <c r="P98" i="123"/>
  <c r="P150" i="123"/>
  <c r="P151" i="123"/>
  <c r="P153" i="123"/>
  <c r="I156" i="108"/>
  <c r="I160" i="108"/>
  <c r="P170" i="123"/>
  <c r="P172" i="123"/>
  <c r="I168" i="108"/>
  <c r="I174" i="108"/>
  <c r="G39" i="71"/>
  <c r="H39" i="71"/>
  <c r="K78" i="108"/>
  <c r="K87" i="108"/>
  <c r="I37" i="94"/>
  <c r="I38" i="94"/>
  <c r="K57" i="108"/>
  <c r="K90" i="108"/>
  <c r="K58" i="108"/>
  <c r="K91" i="108"/>
  <c r="K56" i="108"/>
  <c r="K94" i="108"/>
  <c r="K103" i="108"/>
  <c r="I28" i="95"/>
  <c r="I29" i="95"/>
  <c r="K42" i="108"/>
  <c r="K43" i="108"/>
  <c r="K44" i="108"/>
  <c r="K98" i="108"/>
  <c r="K104" i="108"/>
  <c r="K105" i="108"/>
  <c r="R76" i="123"/>
  <c r="R77" i="123"/>
  <c r="R78" i="123"/>
  <c r="R79" i="123"/>
  <c r="R80" i="123"/>
  <c r="Q11" i="123"/>
  <c r="R89" i="123"/>
  <c r="R90" i="123"/>
  <c r="R82" i="123"/>
  <c r="R83" i="123"/>
  <c r="R84" i="123"/>
  <c r="R91" i="123"/>
  <c r="R92" i="123"/>
  <c r="R93" i="123"/>
  <c r="R105" i="123"/>
  <c r="R106" i="123"/>
  <c r="R109" i="123"/>
  <c r="R98" i="123"/>
  <c r="R150" i="123"/>
  <c r="R151" i="123"/>
  <c r="R153" i="123"/>
  <c r="K156" i="108"/>
  <c r="K160" i="108"/>
  <c r="R170" i="123"/>
  <c r="R172" i="123"/>
  <c r="K168" i="108"/>
  <c r="K174" i="108"/>
  <c r="I39" i="71"/>
  <c r="L78" i="108"/>
  <c r="L87" i="108"/>
  <c r="J37" i="94"/>
  <c r="J38" i="94"/>
  <c r="L57" i="108"/>
  <c r="L90" i="108"/>
  <c r="L58" i="108"/>
  <c r="L91" i="108"/>
  <c r="L56" i="108"/>
  <c r="L94" i="108"/>
  <c r="L103" i="108"/>
  <c r="J28" i="95"/>
  <c r="J29" i="95"/>
  <c r="L42" i="108"/>
  <c r="L43" i="108"/>
  <c r="L44" i="108"/>
  <c r="L98" i="108"/>
  <c r="L104" i="108"/>
  <c r="L105" i="108"/>
  <c r="S76" i="123"/>
  <c r="S77" i="123"/>
  <c r="S78" i="123"/>
  <c r="S79" i="123"/>
  <c r="S80" i="123"/>
  <c r="R11" i="123"/>
  <c r="S89" i="123"/>
  <c r="S90" i="123"/>
  <c r="S82" i="123"/>
  <c r="S83" i="123"/>
  <c r="S84" i="123"/>
  <c r="S91" i="123"/>
  <c r="S92" i="123"/>
  <c r="S93" i="123"/>
  <c r="S105" i="123"/>
  <c r="S106" i="123"/>
  <c r="S109" i="123"/>
  <c r="S97" i="123"/>
  <c r="S98" i="123"/>
  <c r="S150" i="123"/>
  <c r="S151" i="123"/>
  <c r="S153" i="123"/>
  <c r="L156" i="108"/>
  <c r="L160" i="108"/>
  <c r="S170" i="123"/>
  <c r="S172" i="123"/>
  <c r="L168" i="108"/>
  <c r="L174" i="108"/>
  <c r="J39" i="71"/>
  <c r="M78" i="108"/>
  <c r="M87" i="108"/>
  <c r="K37" i="94"/>
  <c r="K38" i="94"/>
  <c r="M57" i="108"/>
  <c r="M90" i="108"/>
  <c r="M58" i="108"/>
  <c r="M91" i="108"/>
  <c r="M56" i="108"/>
  <c r="M94" i="108"/>
  <c r="M103" i="108"/>
  <c r="K28" i="95"/>
  <c r="K29" i="95"/>
  <c r="M42" i="108"/>
  <c r="M43" i="108"/>
  <c r="M44" i="108"/>
  <c r="M98" i="108"/>
  <c r="M104" i="108"/>
  <c r="M105" i="108"/>
  <c r="T76" i="123"/>
  <c r="T77" i="123"/>
  <c r="T78" i="123"/>
  <c r="T79" i="123"/>
  <c r="T80" i="123"/>
  <c r="S11" i="123"/>
  <c r="T89" i="123"/>
  <c r="T90" i="123"/>
  <c r="T82" i="123"/>
  <c r="T83" i="123"/>
  <c r="T84" i="123"/>
  <c r="T91" i="123"/>
  <c r="T92" i="123"/>
  <c r="T93" i="123"/>
  <c r="T105" i="123"/>
  <c r="T106" i="123"/>
  <c r="T109" i="123"/>
  <c r="T97" i="123"/>
  <c r="T98" i="123"/>
  <c r="T150" i="123"/>
  <c r="T151" i="123"/>
  <c r="T153" i="123"/>
  <c r="M156" i="108"/>
  <c r="M160" i="108"/>
  <c r="T170" i="123"/>
  <c r="T172" i="123"/>
  <c r="M168" i="108"/>
  <c r="M174" i="108"/>
  <c r="K39" i="71"/>
  <c r="N78" i="108"/>
  <c r="N87" i="108"/>
  <c r="L37" i="94"/>
  <c r="L38" i="94"/>
  <c r="N57" i="108"/>
  <c r="N90" i="108"/>
  <c r="N58" i="108"/>
  <c r="N91" i="108"/>
  <c r="N56" i="108"/>
  <c r="N94" i="108"/>
  <c r="N103" i="108"/>
  <c r="L28" i="95"/>
  <c r="L29" i="95"/>
  <c r="N42" i="108"/>
  <c r="N43" i="108"/>
  <c r="N44" i="108"/>
  <c r="N98" i="108"/>
  <c r="N104" i="108"/>
  <c r="N105" i="108"/>
  <c r="U76" i="123"/>
  <c r="U77" i="123"/>
  <c r="U78" i="123"/>
  <c r="U79" i="123"/>
  <c r="U80" i="123"/>
  <c r="T11" i="123"/>
  <c r="U89" i="123"/>
  <c r="U90" i="123"/>
  <c r="U82" i="123"/>
  <c r="U83" i="123"/>
  <c r="U84" i="123"/>
  <c r="U91" i="123"/>
  <c r="U92" i="123"/>
  <c r="U93" i="123"/>
  <c r="U105" i="123"/>
  <c r="U106" i="123"/>
  <c r="U109" i="123"/>
  <c r="U97" i="123"/>
  <c r="U98" i="123"/>
  <c r="U150" i="123"/>
  <c r="U151" i="123"/>
  <c r="U153" i="123"/>
  <c r="N156" i="108"/>
  <c r="N160" i="108"/>
  <c r="U170" i="123"/>
  <c r="U172" i="123"/>
  <c r="N168" i="108"/>
  <c r="N174" i="108"/>
  <c r="L39" i="71"/>
  <c r="O78" i="108"/>
  <c r="O87" i="108"/>
  <c r="M37" i="94"/>
  <c r="M38" i="94"/>
  <c r="O57" i="108"/>
  <c r="O90" i="108"/>
  <c r="O58" i="108"/>
  <c r="O91" i="108"/>
  <c r="O56" i="108"/>
  <c r="O94" i="108"/>
  <c r="O103" i="108"/>
  <c r="M28" i="95"/>
  <c r="M29" i="95"/>
  <c r="O42" i="108"/>
  <c r="O43" i="108"/>
  <c r="O44" i="108"/>
  <c r="O98" i="108"/>
  <c r="O104" i="108"/>
  <c r="O105" i="108"/>
  <c r="V76" i="123"/>
  <c r="V77" i="123"/>
  <c r="V78" i="123"/>
  <c r="V79" i="123"/>
  <c r="V80" i="123"/>
  <c r="U11" i="123"/>
  <c r="V90" i="123"/>
  <c r="V82" i="123"/>
  <c r="V83" i="123"/>
  <c r="V84" i="123"/>
  <c r="V91" i="123"/>
  <c r="V92" i="123"/>
  <c r="V93" i="123"/>
  <c r="V105" i="123"/>
  <c r="V106" i="123"/>
  <c r="V109" i="123"/>
  <c r="V97" i="123"/>
  <c r="V98" i="123"/>
  <c r="V150" i="123"/>
  <c r="V151" i="123"/>
  <c r="V153" i="123"/>
  <c r="O156" i="108"/>
  <c r="O160" i="108"/>
  <c r="V170" i="123"/>
  <c r="V172" i="123"/>
  <c r="O168" i="108"/>
  <c r="O174" i="108"/>
  <c r="M39" i="71"/>
  <c r="P78" i="108"/>
  <c r="P87" i="108"/>
  <c r="N37" i="94"/>
  <c r="N38" i="94"/>
  <c r="P57" i="108"/>
  <c r="P90" i="108"/>
  <c r="P58" i="108"/>
  <c r="P91" i="108"/>
  <c r="P56" i="108"/>
  <c r="P94" i="108"/>
  <c r="P103" i="108"/>
  <c r="N28" i="95"/>
  <c r="N29" i="95"/>
  <c r="P42" i="108"/>
  <c r="P43" i="108"/>
  <c r="P44" i="108"/>
  <c r="P98" i="108"/>
  <c r="P104" i="108"/>
  <c r="P105" i="108"/>
  <c r="W76" i="123"/>
  <c r="W77" i="123"/>
  <c r="W78" i="123"/>
  <c r="W79" i="123"/>
  <c r="W80" i="123"/>
  <c r="V11" i="123"/>
  <c r="W89" i="123"/>
  <c r="W90" i="123"/>
  <c r="W82" i="123"/>
  <c r="W83" i="123"/>
  <c r="W84" i="123"/>
  <c r="W91" i="123"/>
  <c r="W92" i="123"/>
  <c r="W93" i="123"/>
  <c r="W105" i="123"/>
  <c r="W106" i="123"/>
  <c r="W109" i="123"/>
  <c r="W97" i="123"/>
  <c r="W98" i="123"/>
  <c r="W150" i="123"/>
  <c r="W151" i="123"/>
  <c r="W153" i="123"/>
  <c r="P156" i="108"/>
  <c r="P160" i="108"/>
  <c r="W170" i="123"/>
  <c r="W172" i="123"/>
  <c r="P168" i="108"/>
  <c r="P174" i="108"/>
  <c r="N39" i="71"/>
  <c r="Q78" i="108"/>
  <c r="Q87" i="108"/>
  <c r="O37" i="94"/>
  <c r="O38" i="94"/>
  <c r="Q57" i="108"/>
  <c r="Q90" i="108"/>
  <c r="Q58" i="108"/>
  <c r="Q91" i="108"/>
  <c r="Q56" i="108"/>
  <c r="Q94" i="108"/>
  <c r="Q103" i="108"/>
  <c r="O28" i="95"/>
  <c r="O29" i="95"/>
  <c r="Q42" i="108"/>
  <c r="Q43" i="108"/>
  <c r="Q44" i="108"/>
  <c r="Q98" i="108"/>
  <c r="Q104" i="108"/>
  <c r="Q105" i="108"/>
  <c r="X76" i="123"/>
  <c r="X77" i="123"/>
  <c r="X78" i="123"/>
  <c r="X79" i="123"/>
  <c r="X80" i="123"/>
  <c r="W11" i="123"/>
  <c r="X89" i="123"/>
  <c r="X90" i="123"/>
  <c r="X82" i="123"/>
  <c r="X83" i="123"/>
  <c r="X84" i="123"/>
  <c r="X91" i="123"/>
  <c r="X92" i="123"/>
  <c r="X93" i="123"/>
  <c r="X105" i="123"/>
  <c r="X106" i="123"/>
  <c r="X109" i="123"/>
  <c r="X97" i="123"/>
  <c r="X98" i="123"/>
  <c r="X150" i="123"/>
  <c r="X151" i="123"/>
  <c r="X153" i="123"/>
  <c r="Q156" i="108"/>
  <c r="Q160" i="108"/>
  <c r="X170" i="123"/>
  <c r="X172" i="123"/>
  <c r="Q168" i="108"/>
  <c r="Q174" i="108"/>
  <c r="O39" i="71"/>
  <c r="R78" i="108"/>
  <c r="R87" i="108"/>
  <c r="P37" i="94"/>
  <c r="P38" i="94"/>
  <c r="R57" i="108"/>
  <c r="R90" i="108"/>
  <c r="R58" i="108"/>
  <c r="R91" i="108"/>
  <c r="R56" i="108"/>
  <c r="R94" i="108"/>
  <c r="R103" i="108"/>
  <c r="P28" i="95"/>
  <c r="P29" i="95"/>
  <c r="R42" i="108"/>
  <c r="R43" i="108"/>
  <c r="R44" i="108"/>
  <c r="R98" i="108"/>
  <c r="R104" i="108"/>
  <c r="R105" i="108"/>
  <c r="Y76" i="123"/>
  <c r="Y77" i="123"/>
  <c r="Y78" i="123"/>
  <c r="Y79" i="123"/>
  <c r="Y80" i="123"/>
  <c r="X11" i="123"/>
  <c r="Y89" i="123"/>
  <c r="Y90" i="123"/>
  <c r="Y82" i="123"/>
  <c r="Y83" i="123"/>
  <c r="Y84" i="123"/>
  <c r="Y91" i="123"/>
  <c r="Y92" i="123"/>
  <c r="Y93" i="123"/>
  <c r="Y105" i="123"/>
  <c r="Y106" i="123"/>
  <c r="Y109" i="123"/>
  <c r="Y97" i="123"/>
  <c r="Y98" i="123"/>
  <c r="Y150" i="123"/>
  <c r="Y151" i="123"/>
  <c r="Y153" i="123"/>
  <c r="R156" i="108"/>
  <c r="R160" i="108"/>
  <c r="Y170" i="123"/>
  <c r="Y172" i="123"/>
  <c r="R168" i="108"/>
  <c r="R174" i="108"/>
  <c r="P39" i="71"/>
  <c r="S78" i="108"/>
  <c r="S87" i="108"/>
  <c r="Q37" i="94"/>
  <c r="Q38" i="94"/>
  <c r="S57" i="108"/>
  <c r="S90" i="108"/>
  <c r="S58" i="108"/>
  <c r="S91" i="108"/>
  <c r="S56" i="108"/>
  <c r="S94" i="108"/>
  <c r="S103" i="108"/>
  <c r="Q28" i="95"/>
  <c r="Q29" i="95"/>
  <c r="S42" i="108"/>
  <c r="S43" i="108"/>
  <c r="S44" i="108"/>
  <c r="S98" i="108"/>
  <c r="S104" i="108"/>
  <c r="S105" i="108"/>
  <c r="Z76" i="123"/>
  <c r="Z77" i="123"/>
  <c r="Z78" i="123"/>
  <c r="Z79" i="123"/>
  <c r="Z80" i="123"/>
  <c r="Y11" i="123"/>
  <c r="Z89" i="123"/>
  <c r="Z90" i="123"/>
  <c r="Z82" i="123"/>
  <c r="Z83" i="123"/>
  <c r="Z84" i="123"/>
  <c r="Z91" i="123"/>
  <c r="Z92" i="123"/>
  <c r="Z93" i="123"/>
  <c r="Z105" i="123"/>
  <c r="Z106" i="123"/>
  <c r="Z109" i="123"/>
  <c r="Z97" i="123"/>
  <c r="Z98" i="123"/>
  <c r="Z150" i="123"/>
  <c r="Z151" i="123"/>
  <c r="Z153" i="123"/>
  <c r="S156" i="108"/>
  <c r="S160" i="108"/>
  <c r="Z170" i="123"/>
  <c r="Z172" i="123"/>
  <c r="S168" i="108"/>
  <c r="S174" i="108"/>
  <c r="Q39" i="71"/>
  <c r="T78" i="108"/>
  <c r="T87" i="108"/>
  <c r="R37" i="94"/>
  <c r="R38" i="94"/>
  <c r="T57" i="108"/>
  <c r="T90" i="108"/>
  <c r="T58" i="108"/>
  <c r="T91" i="108"/>
  <c r="T56" i="108"/>
  <c r="T94" i="108"/>
  <c r="T103" i="108"/>
  <c r="R28" i="95"/>
  <c r="R29" i="95"/>
  <c r="T42" i="108"/>
  <c r="T43" i="108"/>
  <c r="T44" i="108"/>
  <c r="T98" i="108"/>
  <c r="T104" i="108"/>
  <c r="T105" i="108"/>
  <c r="AA76" i="123"/>
  <c r="AA77" i="123"/>
  <c r="AA78" i="123"/>
  <c r="AA79" i="123"/>
  <c r="AA80" i="123"/>
  <c r="Z11" i="123"/>
  <c r="AA90" i="123"/>
  <c r="AA82" i="123"/>
  <c r="AA83" i="123"/>
  <c r="AA84" i="123"/>
  <c r="AA91" i="123"/>
  <c r="AA92" i="123"/>
  <c r="AA93" i="123"/>
  <c r="AA105" i="123"/>
  <c r="AA106" i="123"/>
  <c r="AA109" i="123"/>
  <c r="AA97" i="123"/>
  <c r="AA98" i="123"/>
  <c r="AA150" i="123"/>
  <c r="AA151" i="123"/>
  <c r="AA153" i="123"/>
  <c r="T156" i="108"/>
  <c r="T160" i="108"/>
  <c r="AA170" i="123"/>
  <c r="AA172" i="123"/>
  <c r="T168" i="108"/>
  <c r="T174" i="108"/>
  <c r="R39" i="71"/>
  <c r="U78" i="108"/>
  <c r="U87" i="108"/>
  <c r="S37" i="94"/>
  <c r="S38" i="94"/>
  <c r="U57" i="108"/>
  <c r="U90" i="108"/>
  <c r="U58" i="108"/>
  <c r="U91" i="108"/>
  <c r="U56" i="108"/>
  <c r="U94" i="108"/>
  <c r="U103" i="108"/>
  <c r="S28" i="95"/>
  <c r="S29" i="95"/>
  <c r="U42" i="108"/>
  <c r="U43" i="108"/>
  <c r="U44" i="108"/>
  <c r="U98" i="108"/>
  <c r="U104" i="108"/>
  <c r="U105" i="108"/>
  <c r="AB76" i="123"/>
  <c r="AB77" i="123"/>
  <c r="AB78" i="123"/>
  <c r="AB79" i="123"/>
  <c r="AB80" i="123"/>
  <c r="AA11" i="123"/>
  <c r="AB89" i="123"/>
  <c r="AB90" i="123"/>
  <c r="AB82" i="123"/>
  <c r="AB83" i="123"/>
  <c r="AB84" i="123"/>
  <c r="AB91" i="123"/>
  <c r="AB92" i="123"/>
  <c r="AB93" i="123"/>
  <c r="AB105" i="123"/>
  <c r="AB106" i="123"/>
  <c r="AB109" i="123"/>
  <c r="AB97" i="123"/>
  <c r="AB98" i="123"/>
  <c r="AB150" i="123"/>
  <c r="AB151" i="123"/>
  <c r="AB153" i="123"/>
  <c r="U156" i="108"/>
  <c r="U160" i="108"/>
  <c r="AB170" i="123"/>
  <c r="AB172" i="123"/>
  <c r="U168" i="108"/>
  <c r="U174" i="108"/>
  <c r="S39" i="71"/>
  <c r="V78" i="108"/>
  <c r="V87" i="108"/>
  <c r="T37" i="94"/>
  <c r="T38" i="94"/>
  <c r="V57" i="108"/>
  <c r="V90" i="108"/>
  <c r="V58" i="108"/>
  <c r="V91" i="108"/>
  <c r="V56" i="108"/>
  <c r="V94" i="108"/>
  <c r="V103" i="108"/>
  <c r="T28" i="95"/>
  <c r="T29" i="95"/>
  <c r="V42" i="108"/>
  <c r="V43" i="108"/>
  <c r="V44" i="108"/>
  <c r="V98" i="108"/>
  <c r="V104" i="108"/>
  <c r="V105" i="108"/>
  <c r="AC76" i="123"/>
  <c r="AC77" i="123"/>
  <c r="AC78" i="123"/>
  <c r="AC79" i="123"/>
  <c r="AC80" i="123"/>
  <c r="AB11" i="123"/>
  <c r="AC89" i="123"/>
  <c r="AC90" i="123"/>
  <c r="AC82" i="123"/>
  <c r="AC83" i="123"/>
  <c r="AC84" i="123"/>
  <c r="AC91" i="123"/>
  <c r="AC92" i="123"/>
  <c r="AC93" i="123"/>
  <c r="AC105" i="123"/>
  <c r="AC106" i="123"/>
  <c r="AC109" i="123"/>
  <c r="AC97" i="123"/>
  <c r="AC98" i="123"/>
  <c r="AC150" i="123"/>
  <c r="AC151" i="123"/>
  <c r="AC153" i="123"/>
  <c r="V156" i="108"/>
  <c r="V160" i="108"/>
  <c r="AC170" i="123"/>
  <c r="AC172" i="123"/>
  <c r="V168" i="108"/>
  <c r="V174" i="108"/>
  <c r="T39" i="71"/>
  <c r="W78" i="108"/>
  <c r="W87" i="108"/>
  <c r="U37" i="94"/>
  <c r="U38" i="94"/>
  <c r="W57" i="108"/>
  <c r="W90" i="108"/>
  <c r="W58" i="108"/>
  <c r="W91" i="108"/>
  <c r="W56" i="108"/>
  <c r="W94" i="108"/>
  <c r="W103" i="108"/>
  <c r="U28" i="95"/>
  <c r="U29" i="95"/>
  <c r="W42" i="108"/>
  <c r="W43" i="108"/>
  <c r="W44" i="108"/>
  <c r="W98" i="108"/>
  <c r="W104" i="108"/>
  <c r="W105" i="108"/>
  <c r="AD76" i="123"/>
  <c r="AD77" i="123"/>
  <c r="AD78" i="123"/>
  <c r="AD79" i="123"/>
  <c r="AD80" i="123"/>
  <c r="AC11" i="123"/>
  <c r="AD89" i="123"/>
  <c r="AD90" i="123"/>
  <c r="AD82" i="123"/>
  <c r="AD83" i="123"/>
  <c r="AD84" i="123"/>
  <c r="AD91" i="123"/>
  <c r="AD92" i="123"/>
  <c r="AD93" i="123"/>
  <c r="AD105" i="123"/>
  <c r="AD106" i="123"/>
  <c r="AD109" i="123"/>
  <c r="AD97" i="123"/>
  <c r="AD98" i="123"/>
  <c r="AD150" i="123"/>
  <c r="AD151" i="123"/>
  <c r="AD153" i="123"/>
  <c r="W156" i="108"/>
  <c r="W160" i="108"/>
  <c r="AD170" i="123"/>
  <c r="AD172" i="123"/>
  <c r="W168" i="108"/>
  <c r="W174" i="108"/>
  <c r="U39" i="71"/>
  <c r="X78" i="108"/>
  <c r="X87" i="108"/>
  <c r="V37" i="94"/>
  <c r="V38" i="94"/>
  <c r="X57" i="108"/>
  <c r="X90" i="108"/>
  <c r="X58" i="108"/>
  <c r="X91" i="108"/>
  <c r="X56" i="108"/>
  <c r="X94" i="108"/>
  <c r="X103" i="108"/>
  <c r="V28" i="95"/>
  <c r="V29" i="95"/>
  <c r="X42" i="108"/>
  <c r="X43" i="108"/>
  <c r="X44" i="108"/>
  <c r="X98" i="108"/>
  <c r="X104" i="108"/>
  <c r="X105" i="108"/>
  <c r="AE76" i="123"/>
  <c r="AE77" i="123"/>
  <c r="AE78" i="123"/>
  <c r="AE79" i="123"/>
  <c r="AE80" i="123"/>
  <c r="AD11" i="123"/>
  <c r="AE89" i="123"/>
  <c r="AE90" i="123"/>
  <c r="AE82" i="123"/>
  <c r="AE83" i="123"/>
  <c r="AE84" i="123"/>
  <c r="AE91" i="123"/>
  <c r="AE92" i="123"/>
  <c r="AE93" i="123"/>
  <c r="AE105" i="123"/>
  <c r="AE106" i="123"/>
  <c r="AE109" i="123"/>
  <c r="AE97" i="123"/>
  <c r="AE98" i="123"/>
  <c r="AE150" i="123"/>
  <c r="AE151" i="123"/>
  <c r="AE153" i="123"/>
  <c r="X156" i="108"/>
  <c r="X160" i="108"/>
  <c r="AE170" i="123"/>
  <c r="AE172" i="123"/>
  <c r="X168" i="108"/>
  <c r="X174" i="108"/>
  <c r="V39" i="71"/>
  <c r="W39" i="71"/>
  <c r="C18" i="147"/>
  <c r="C19" i="147"/>
  <c r="X35" i="71"/>
  <c r="C17" i="147"/>
  <c r="C32" i="71"/>
  <c r="D32" i="71"/>
  <c r="E32" i="71"/>
  <c r="F32" i="71"/>
  <c r="G32" i="71"/>
  <c r="H32" i="71"/>
  <c r="I32" i="71"/>
  <c r="J32" i="71"/>
  <c r="K32" i="71"/>
  <c r="L32" i="71"/>
  <c r="M32" i="71"/>
  <c r="N32" i="71"/>
  <c r="O32" i="71"/>
  <c r="P32" i="71"/>
  <c r="Q32" i="71"/>
  <c r="R32" i="71"/>
  <c r="S32" i="71"/>
  <c r="T32" i="71"/>
  <c r="U32" i="71"/>
  <c r="V32" i="71"/>
  <c r="W32" i="71"/>
  <c r="C16" i="147"/>
  <c r="C15" i="147"/>
  <c r="C30" i="71"/>
  <c r="D30" i="71"/>
  <c r="E30" i="71"/>
  <c r="F30" i="71"/>
  <c r="G30" i="71"/>
  <c r="H30" i="71"/>
  <c r="I30" i="71"/>
  <c r="J30" i="71"/>
  <c r="K30" i="71"/>
  <c r="L30" i="71"/>
  <c r="M30" i="71"/>
  <c r="N30" i="71"/>
  <c r="O30" i="71"/>
  <c r="P30" i="71"/>
  <c r="Q30" i="71"/>
  <c r="R30" i="71"/>
  <c r="S30" i="71"/>
  <c r="T30" i="71"/>
  <c r="U30" i="71"/>
  <c r="V30" i="71"/>
  <c r="W30" i="71"/>
  <c r="C13" i="147"/>
  <c r="E72" i="97"/>
  <c r="C15" i="95"/>
  <c r="C16" i="95"/>
  <c r="E42" i="97"/>
  <c r="E43" i="97"/>
  <c r="E44" i="97"/>
  <c r="E98" i="97"/>
  <c r="E105" i="97"/>
  <c r="E125" i="97"/>
  <c r="E126" i="97"/>
  <c r="E127" i="97"/>
  <c r="E128" i="97"/>
  <c r="E129" i="97"/>
  <c r="E130" i="97"/>
  <c r="E131" i="97"/>
  <c r="E133" i="97"/>
  <c r="E134" i="97"/>
  <c r="E135" i="97"/>
  <c r="E136" i="97"/>
  <c r="E140" i="97"/>
  <c r="E141" i="97"/>
  <c r="E142" i="97"/>
  <c r="E144" i="97"/>
  <c r="E152" i="97"/>
  <c r="E156" i="97"/>
  <c r="E160" i="97"/>
  <c r="L171" i="122"/>
  <c r="E165" i="97"/>
  <c r="E164" i="97"/>
  <c r="E167" i="97"/>
  <c r="E168" i="97"/>
  <c r="E174" i="97"/>
  <c r="C20" i="71"/>
  <c r="F78" i="97"/>
  <c r="F87" i="97"/>
  <c r="D19" i="94"/>
  <c r="D20" i="94"/>
  <c r="F57" i="97"/>
  <c r="F90" i="97"/>
  <c r="F103" i="97"/>
  <c r="F58" i="97"/>
  <c r="F91" i="97"/>
  <c r="D15" i="95"/>
  <c r="D16" i="95"/>
  <c r="F42" i="97"/>
  <c r="F43" i="97"/>
  <c r="F44" i="97"/>
  <c r="F98" i="97"/>
  <c r="F56" i="97"/>
  <c r="F94" i="97"/>
  <c r="F104" i="97"/>
  <c r="F105" i="97"/>
  <c r="F125" i="97"/>
  <c r="F126" i="97"/>
  <c r="F127" i="97"/>
  <c r="F128" i="97"/>
  <c r="F129" i="97"/>
  <c r="F130" i="97"/>
  <c r="F131" i="97"/>
  <c r="F133" i="97"/>
  <c r="F134" i="97"/>
  <c r="F135" i="97"/>
  <c r="F136" i="97"/>
  <c r="F140" i="97"/>
  <c r="F141" i="97"/>
  <c r="F142" i="97"/>
  <c r="F144" i="97"/>
  <c r="F152" i="97"/>
  <c r="F156" i="97"/>
  <c r="F160" i="97"/>
  <c r="M171" i="122"/>
  <c r="F165" i="97"/>
  <c r="F164" i="97"/>
  <c r="F167" i="97"/>
  <c r="F168" i="97"/>
  <c r="F174" i="97"/>
  <c r="D20" i="71"/>
  <c r="G78" i="97"/>
  <c r="G87" i="97"/>
  <c r="E19" i="94"/>
  <c r="E20" i="94"/>
  <c r="G57" i="97"/>
  <c r="G90" i="97"/>
  <c r="G58" i="97"/>
  <c r="G91" i="97"/>
  <c r="G103" i="97"/>
  <c r="E15" i="95"/>
  <c r="E16" i="95"/>
  <c r="G42" i="97"/>
  <c r="G43" i="97"/>
  <c r="G44" i="97"/>
  <c r="G98" i="97"/>
  <c r="G56" i="97"/>
  <c r="G94" i="97"/>
  <c r="G104" i="97"/>
  <c r="G105" i="97"/>
  <c r="M11" i="122"/>
  <c r="N87" i="122"/>
  <c r="G126" i="97"/>
  <c r="N88" i="122"/>
  <c r="G127" i="97"/>
  <c r="N89" i="122"/>
  <c r="G128" i="97"/>
  <c r="N90" i="122"/>
  <c r="G129" i="97"/>
  <c r="N91" i="122"/>
  <c r="G130" i="97"/>
  <c r="N92" i="122"/>
  <c r="G131" i="97"/>
  <c r="N108" i="122"/>
  <c r="G133" i="97"/>
  <c r="N96" i="122"/>
  <c r="G134" i="97"/>
  <c r="N97" i="122"/>
  <c r="G135" i="97"/>
  <c r="G125" i="97"/>
  <c r="G136" i="97"/>
  <c r="N120" i="122"/>
  <c r="N121" i="122"/>
  <c r="N122" i="122"/>
  <c r="N123" i="122"/>
  <c r="N129" i="122"/>
  <c r="N131" i="122"/>
  <c r="G140" i="97"/>
  <c r="G141" i="97"/>
  <c r="G142" i="97"/>
  <c r="G144" i="97"/>
  <c r="G152" i="97"/>
  <c r="G156" i="97"/>
  <c r="G160" i="97"/>
  <c r="N171" i="122"/>
  <c r="G165" i="97"/>
  <c r="G164" i="97"/>
  <c r="G167" i="97"/>
  <c r="G168" i="97"/>
  <c r="G174" i="97"/>
  <c r="E20" i="71"/>
  <c r="H78" i="97"/>
  <c r="H87" i="97"/>
  <c r="F19" i="94"/>
  <c r="F20" i="94"/>
  <c r="H57" i="97"/>
  <c r="H90" i="97"/>
  <c r="H58" i="97"/>
  <c r="H91" i="97"/>
  <c r="H56" i="97"/>
  <c r="H94" i="97"/>
  <c r="H103" i="97"/>
  <c r="F15" i="95"/>
  <c r="F16" i="95"/>
  <c r="H42" i="97"/>
  <c r="H43" i="97"/>
  <c r="H44" i="97"/>
  <c r="H98" i="97"/>
  <c r="H104" i="97"/>
  <c r="H105" i="97"/>
  <c r="O76" i="122"/>
  <c r="O77" i="122"/>
  <c r="O78" i="122"/>
  <c r="O79" i="122"/>
  <c r="H125" i="97"/>
  <c r="N11" i="122"/>
  <c r="O87" i="122"/>
  <c r="H126" i="97"/>
  <c r="O88" i="122"/>
  <c r="H127" i="97"/>
  <c r="O89" i="122"/>
  <c r="H128" i="97"/>
  <c r="O81" i="122"/>
  <c r="O82" i="122"/>
  <c r="O83" i="122"/>
  <c r="O90" i="122"/>
  <c r="H129" i="97"/>
  <c r="O91" i="122"/>
  <c r="H130" i="97"/>
  <c r="O92" i="122"/>
  <c r="H131" i="97"/>
  <c r="O108" i="122"/>
  <c r="H133" i="97"/>
  <c r="O96" i="122"/>
  <c r="H134" i="97"/>
  <c r="O97" i="122"/>
  <c r="H135" i="97"/>
  <c r="H136" i="97"/>
  <c r="O120" i="122"/>
  <c r="O121" i="122"/>
  <c r="O122" i="122"/>
  <c r="O123" i="122"/>
  <c r="O129" i="122"/>
  <c r="O131" i="122"/>
  <c r="H140" i="97"/>
  <c r="O135" i="122"/>
  <c r="O136" i="122"/>
  <c r="O137" i="122"/>
  <c r="O138" i="122"/>
  <c r="O139" i="122"/>
  <c r="O140" i="122"/>
  <c r="O146" i="122"/>
  <c r="O149" i="122"/>
  <c r="O150" i="122"/>
  <c r="O152" i="122"/>
  <c r="O154" i="122"/>
  <c r="H141" i="97"/>
  <c r="H142" i="97"/>
  <c r="H144" i="97"/>
  <c r="H152" i="97"/>
  <c r="H156" i="97"/>
  <c r="H160" i="97"/>
  <c r="O169" i="122"/>
  <c r="H164" i="97"/>
  <c r="O171" i="122"/>
  <c r="H165" i="97"/>
  <c r="H167" i="97"/>
  <c r="H168" i="97"/>
  <c r="H174" i="97"/>
  <c r="F20" i="71"/>
  <c r="I78" i="97"/>
  <c r="I87" i="97"/>
  <c r="G19" i="94"/>
  <c r="G20" i="94"/>
  <c r="I57" i="97"/>
  <c r="I90" i="97"/>
  <c r="I58" i="97"/>
  <c r="I91" i="97"/>
  <c r="I56" i="97"/>
  <c r="I94" i="97"/>
  <c r="I103" i="97"/>
  <c r="G15" i="95"/>
  <c r="G16" i="95"/>
  <c r="I42" i="97"/>
  <c r="I43" i="97"/>
  <c r="I44" i="97"/>
  <c r="I98" i="97"/>
  <c r="I104" i="97"/>
  <c r="I105" i="97"/>
  <c r="P76" i="122"/>
  <c r="P77" i="122"/>
  <c r="P78" i="122"/>
  <c r="P79" i="122"/>
  <c r="I125" i="97"/>
  <c r="P87" i="122"/>
  <c r="I126" i="97"/>
  <c r="P88" i="122"/>
  <c r="I127" i="97"/>
  <c r="P89" i="122"/>
  <c r="I128" i="97"/>
  <c r="P81" i="122"/>
  <c r="P82" i="122"/>
  <c r="P83" i="122"/>
  <c r="P90" i="122"/>
  <c r="I129" i="97"/>
  <c r="P91" i="122"/>
  <c r="I130" i="97"/>
  <c r="P92" i="122"/>
  <c r="I131" i="97"/>
  <c r="P108" i="122"/>
  <c r="I133" i="97"/>
  <c r="P96" i="122"/>
  <c r="I134" i="97"/>
  <c r="P97" i="122"/>
  <c r="I135" i="97"/>
  <c r="I136" i="97"/>
  <c r="P120" i="122"/>
  <c r="P121" i="122"/>
  <c r="P122" i="122"/>
  <c r="P123" i="122"/>
  <c r="P129" i="122"/>
  <c r="P131" i="122"/>
  <c r="I140" i="97"/>
  <c r="P135" i="122"/>
  <c r="P136" i="122"/>
  <c r="P137" i="122"/>
  <c r="P138" i="122"/>
  <c r="P139" i="122"/>
  <c r="P140" i="122"/>
  <c r="P146" i="122"/>
  <c r="P149" i="122"/>
  <c r="P150" i="122"/>
  <c r="P152" i="122"/>
  <c r="P154" i="122"/>
  <c r="I141" i="97"/>
  <c r="I142" i="97"/>
  <c r="I144" i="97"/>
  <c r="I152" i="97"/>
  <c r="I156" i="97"/>
  <c r="I160" i="97"/>
  <c r="P169" i="122"/>
  <c r="I164" i="97"/>
  <c r="P171" i="122"/>
  <c r="I165" i="97"/>
  <c r="I167" i="97"/>
  <c r="I168" i="97"/>
  <c r="I174" i="97"/>
  <c r="G20" i="71"/>
  <c r="H20" i="71"/>
  <c r="K78" i="97"/>
  <c r="K87" i="97"/>
  <c r="I19" i="94"/>
  <c r="I20" i="94"/>
  <c r="K57" i="97"/>
  <c r="K90" i="97"/>
  <c r="K58" i="97"/>
  <c r="K91" i="97"/>
  <c r="K56" i="97"/>
  <c r="K94" i="97"/>
  <c r="K103" i="97"/>
  <c r="I15" i="95"/>
  <c r="I16" i="95"/>
  <c r="K42" i="97"/>
  <c r="K43" i="97"/>
  <c r="K44" i="97"/>
  <c r="K98" i="97"/>
  <c r="K104" i="97"/>
  <c r="K105" i="97"/>
  <c r="R76" i="122"/>
  <c r="R77" i="122"/>
  <c r="R78" i="122"/>
  <c r="R79" i="122"/>
  <c r="K125" i="97"/>
  <c r="Q11" i="122"/>
  <c r="R87" i="122"/>
  <c r="K126" i="97"/>
  <c r="R88" i="122"/>
  <c r="K127" i="97"/>
  <c r="R89" i="122"/>
  <c r="K128" i="97"/>
  <c r="R81" i="122"/>
  <c r="R82" i="122"/>
  <c r="R83" i="122"/>
  <c r="R90" i="122"/>
  <c r="K129" i="97"/>
  <c r="R91" i="122"/>
  <c r="K130" i="97"/>
  <c r="R92" i="122"/>
  <c r="K131" i="97"/>
  <c r="R108" i="122"/>
  <c r="K133" i="97"/>
  <c r="R97" i="122"/>
  <c r="K135" i="97"/>
  <c r="K134" i="97"/>
  <c r="K136" i="97"/>
  <c r="R120" i="122"/>
  <c r="R121" i="122"/>
  <c r="R122" i="122"/>
  <c r="R123" i="122"/>
  <c r="R129" i="122"/>
  <c r="R131" i="122"/>
  <c r="K140" i="97"/>
  <c r="R135" i="122"/>
  <c r="R136" i="122"/>
  <c r="R137" i="122"/>
  <c r="R138" i="122"/>
  <c r="R139" i="122"/>
  <c r="R140" i="122"/>
  <c r="R146" i="122"/>
  <c r="R149" i="122"/>
  <c r="R150" i="122"/>
  <c r="R152" i="122"/>
  <c r="R154" i="122"/>
  <c r="K141" i="97"/>
  <c r="K142" i="97"/>
  <c r="K144" i="97"/>
  <c r="K152" i="97"/>
  <c r="K156" i="97"/>
  <c r="K160" i="97"/>
  <c r="R169" i="122"/>
  <c r="K164" i="97"/>
  <c r="R171" i="122"/>
  <c r="K165" i="97"/>
  <c r="K167" i="97"/>
  <c r="K168" i="97"/>
  <c r="K174" i="97"/>
  <c r="I20" i="71"/>
  <c r="L78" i="97"/>
  <c r="L87" i="97"/>
  <c r="J19" i="94"/>
  <c r="J20" i="94"/>
  <c r="L57" i="97"/>
  <c r="L90" i="97"/>
  <c r="L58" i="97"/>
  <c r="L91" i="97"/>
  <c r="L56" i="97"/>
  <c r="L94" i="97"/>
  <c r="L103" i="97"/>
  <c r="J15" i="95"/>
  <c r="J16" i="95"/>
  <c r="L42" i="97"/>
  <c r="L43" i="97"/>
  <c r="L44" i="97"/>
  <c r="L98" i="97"/>
  <c r="L104" i="97"/>
  <c r="L105" i="97"/>
  <c r="S76" i="122"/>
  <c r="S77" i="122"/>
  <c r="S78" i="122"/>
  <c r="S79" i="122"/>
  <c r="L125" i="97"/>
  <c r="R11" i="122"/>
  <c r="S87" i="122"/>
  <c r="L126" i="97"/>
  <c r="S88" i="122"/>
  <c r="L127" i="97"/>
  <c r="S89" i="122"/>
  <c r="L128" i="97"/>
  <c r="S81" i="122"/>
  <c r="S82" i="122"/>
  <c r="S83" i="122"/>
  <c r="S90" i="122"/>
  <c r="L129" i="97"/>
  <c r="S91" i="122"/>
  <c r="L130" i="97"/>
  <c r="S92" i="122"/>
  <c r="L131" i="97"/>
  <c r="S108" i="122"/>
  <c r="L133" i="97"/>
  <c r="S96" i="122"/>
  <c r="L134" i="97"/>
  <c r="S97" i="122"/>
  <c r="L135" i="97"/>
  <c r="L136" i="97"/>
  <c r="S120" i="122"/>
  <c r="S121" i="122"/>
  <c r="S122" i="122"/>
  <c r="S123" i="122"/>
  <c r="S129" i="122"/>
  <c r="S131" i="122"/>
  <c r="L140" i="97"/>
  <c r="S135" i="122"/>
  <c r="S136" i="122"/>
  <c r="S137" i="122"/>
  <c r="S138" i="122"/>
  <c r="S139" i="122"/>
  <c r="S140" i="122"/>
  <c r="S146" i="122"/>
  <c r="S149" i="122"/>
  <c r="S150" i="122"/>
  <c r="S152" i="122"/>
  <c r="S154" i="122"/>
  <c r="L141" i="97"/>
  <c r="L142" i="97"/>
  <c r="L144" i="97"/>
  <c r="L152" i="97"/>
  <c r="L156" i="97"/>
  <c r="L160" i="97"/>
  <c r="S169" i="122"/>
  <c r="L164" i="97"/>
  <c r="S171" i="122"/>
  <c r="L165" i="97"/>
  <c r="L167" i="97"/>
  <c r="L168" i="97"/>
  <c r="L174" i="97"/>
  <c r="J20" i="71"/>
  <c r="M78" i="97"/>
  <c r="M87" i="97"/>
  <c r="K19" i="94"/>
  <c r="K20" i="94"/>
  <c r="M57" i="97"/>
  <c r="M90" i="97"/>
  <c r="M58" i="97"/>
  <c r="M91" i="97"/>
  <c r="M56" i="97"/>
  <c r="M94" i="97"/>
  <c r="M103" i="97"/>
  <c r="K15" i="95"/>
  <c r="K16" i="95"/>
  <c r="M42" i="97"/>
  <c r="M43" i="97"/>
  <c r="M44" i="97"/>
  <c r="M98" i="97"/>
  <c r="M104" i="97"/>
  <c r="M105" i="97"/>
  <c r="T76" i="122"/>
  <c r="T77" i="122"/>
  <c r="T78" i="122"/>
  <c r="T79" i="122"/>
  <c r="M125" i="97"/>
  <c r="S11" i="122"/>
  <c r="T87" i="122"/>
  <c r="M126" i="97"/>
  <c r="T88" i="122"/>
  <c r="M127" i="97"/>
  <c r="T89" i="122"/>
  <c r="M128" i="97"/>
  <c r="T81" i="122"/>
  <c r="T82" i="122"/>
  <c r="T83" i="122"/>
  <c r="T90" i="122"/>
  <c r="M129" i="97"/>
  <c r="T91" i="122"/>
  <c r="M130" i="97"/>
  <c r="T92" i="122"/>
  <c r="M131" i="97"/>
  <c r="T108" i="122"/>
  <c r="M133" i="97"/>
  <c r="T96" i="122"/>
  <c r="M134" i="97"/>
  <c r="T97" i="122"/>
  <c r="M135" i="97"/>
  <c r="M136" i="97"/>
  <c r="T120" i="122"/>
  <c r="T121" i="122"/>
  <c r="T122" i="122"/>
  <c r="T123" i="122"/>
  <c r="T129" i="122"/>
  <c r="T131" i="122"/>
  <c r="M140" i="97"/>
  <c r="T135" i="122"/>
  <c r="T136" i="122"/>
  <c r="T137" i="122"/>
  <c r="T138" i="122"/>
  <c r="T139" i="122"/>
  <c r="T140" i="122"/>
  <c r="T146" i="122"/>
  <c r="T149" i="122"/>
  <c r="T150" i="122"/>
  <c r="T152" i="122"/>
  <c r="T154" i="122"/>
  <c r="M141" i="97"/>
  <c r="M142" i="97"/>
  <c r="M144" i="97"/>
  <c r="M152" i="97"/>
  <c r="M156" i="97"/>
  <c r="M160" i="97"/>
  <c r="T169" i="122"/>
  <c r="M164" i="97"/>
  <c r="T171" i="122"/>
  <c r="M165" i="97"/>
  <c r="M167" i="97"/>
  <c r="M168" i="97"/>
  <c r="M174" i="97"/>
  <c r="K20" i="71"/>
  <c r="N78" i="97"/>
  <c r="N87" i="97"/>
  <c r="L19" i="94"/>
  <c r="L20" i="94"/>
  <c r="N57" i="97"/>
  <c r="N90" i="97"/>
  <c r="N58" i="97"/>
  <c r="N91" i="97"/>
  <c r="N56" i="97"/>
  <c r="N94" i="97"/>
  <c r="N103" i="97"/>
  <c r="L15" i="95"/>
  <c r="L16" i="95"/>
  <c r="N42" i="97"/>
  <c r="N43" i="97"/>
  <c r="N44" i="97"/>
  <c r="N98" i="97"/>
  <c r="N104" i="97"/>
  <c r="N105" i="97"/>
  <c r="U76" i="122"/>
  <c r="U77" i="122"/>
  <c r="U78" i="122"/>
  <c r="U79" i="122"/>
  <c r="N125" i="97"/>
  <c r="T11" i="122"/>
  <c r="U87" i="122"/>
  <c r="N126" i="97"/>
  <c r="U88" i="122"/>
  <c r="N127" i="97"/>
  <c r="U89" i="122"/>
  <c r="N128" i="97"/>
  <c r="U81" i="122"/>
  <c r="U82" i="122"/>
  <c r="U83" i="122"/>
  <c r="U90" i="122"/>
  <c r="N129" i="97"/>
  <c r="U91" i="122"/>
  <c r="N130" i="97"/>
  <c r="U92" i="122"/>
  <c r="N131" i="97"/>
  <c r="U108" i="122"/>
  <c r="N133" i="97"/>
  <c r="U96" i="122"/>
  <c r="N134" i="97"/>
  <c r="U97" i="122"/>
  <c r="N135" i="97"/>
  <c r="N136" i="97"/>
  <c r="U120" i="122"/>
  <c r="U121" i="122"/>
  <c r="U122" i="122"/>
  <c r="U123" i="122"/>
  <c r="U129" i="122"/>
  <c r="U131" i="122"/>
  <c r="N140" i="97"/>
  <c r="U135" i="122"/>
  <c r="U136" i="122"/>
  <c r="U137" i="122"/>
  <c r="U138" i="122"/>
  <c r="U139" i="122"/>
  <c r="U140" i="122"/>
  <c r="U146" i="122"/>
  <c r="U149" i="122"/>
  <c r="U150" i="122"/>
  <c r="U152" i="122"/>
  <c r="U154" i="122"/>
  <c r="N141" i="97"/>
  <c r="N142" i="97"/>
  <c r="N144" i="97"/>
  <c r="N152" i="97"/>
  <c r="N156" i="97"/>
  <c r="N160" i="97"/>
  <c r="U169" i="122"/>
  <c r="N164" i="97"/>
  <c r="U171" i="122"/>
  <c r="N165" i="97"/>
  <c r="N167" i="97"/>
  <c r="N168" i="97"/>
  <c r="N174" i="97"/>
  <c r="L20" i="71"/>
  <c r="O78" i="97"/>
  <c r="O87" i="97"/>
  <c r="M19" i="94"/>
  <c r="M20" i="94"/>
  <c r="O57" i="97"/>
  <c r="O90" i="97"/>
  <c r="O58" i="97"/>
  <c r="O91" i="97"/>
  <c r="O56" i="97"/>
  <c r="O94" i="97"/>
  <c r="O103" i="97"/>
  <c r="M15" i="95"/>
  <c r="M16" i="95"/>
  <c r="O42" i="97"/>
  <c r="O43" i="97"/>
  <c r="O44" i="97"/>
  <c r="O98" i="97"/>
  <c r="O104" i="97"/>
  <c r="O105" i="97"/>
  <c r="V76" i="122"/>
  <c r="V77" i="122"/>
  <c r="V78" i="122"/>
  <c r="V79" i="122"/>
  <c r="O125" i="97"/>
  <c r="U11" i="122"/>
  <c r="V87" i="122"/>
  <c r="O126" i="97"/>
  <c r="V89" i="122"/>
  <c r="O128" i="97"/>
  <c r="V81" i="122"/>
  <c r="V82" i="122"/>
  <c r="V83" i="122"/>
  <c r="V90" i="122"/>
  <c r="O129" i="97"/>
  <c r="V91" i="122"/>
  <c r="O130" i="97"/>
  <c r="V92" i="122"/>
  <c r="O131" i="97"/>
  <c r="V108" i="122"/>
  <c r="O133" i="97"/>
  <c r="V96" i="122"/>
  <c r="O134" i="97"/>
  <c r="V97" i="122"/>
  <c r="O135" i="97"/>
  <c r="O127" i="97"/>
  <c r="O136" i="97"/>
  <c r="V120" i="122"/>
  <c r="V121" i="122"/>
  <c r="V122" i="122"/>
  <c r="V123" i="122"/>
  <c r="V129" i="122"/>
  <c r="V131" i="122"/>
  <c r="O140" i="97"/>
  <c r="V135" i="122"/>
  <c r="V136" i="122"/>
  <c r="V137" i="122"/>
  <c r="V138" i="122"/>
  <c r="V139" i="122"/>
  <c r="V140" i="122"/>
  <c r="V146" i="122"/>
  <c r="V149" i="122"/>
  <c r="V150" i="122"/>
  <c r="V152" i="122"/>
  <c r="V154" i="122"/>
  <c r="O141" i="97"/>
  <c r="O142" i="97"/>
  <c r="O144" i="97"/>
  <c r="O152" i="97"/>
  <c r="O156" i="97"/>
  <c r="O160" i="97"/>
  <c r="V169" i="122"/>
  <c r="O164" i="97"/>
  <c r="V171" i="122"/>
  <c r="O165" i="97"/>
  <c r="O167" i="97"/>
  <c r="O168" i="97"/>
  <c r="O174" i="97"/>
  <c r="M20" i="71"/>
  <c r="P78" i="97"/>
  <c r="P87" i="97"/>
  <c r="N19" i="94"/>
  <c r="N20" i="94"/>
  <c r="P57" i="97"/>
  <c r="P90" i="97"/>
  <c r="P58" i="97"/>
  <c r="P91" i="97"/>
  <c r="P56" i="97"/>
  <c r="P94" i="97"/>
  <c r="P103" i="97"/>
  <c r="N15" i="95"/>
  <c r="N16" i="95"/>
  <c r="P42" i="97"/>
  <c r="P43" i="97"/>
  <c r="P44" i="97"/>
  <c r="P98" i="97"/>
  <c r="P104" i="97"/>
  <c r="P105" i="97"/>
  <c r="W76" i="122"/>
  <c r="W77" i="122"/>
  <c r="W78" i="122"/>
  <c r="W79" i="122"/>
  <c r="P125" i="97"/>
  <c r="V11" i="122"/>
  <c r="W87" i="122"/>
  <c r="P126" i="97"/>
  <c r="W88" i="122"/>
  <c r="P127" i="97"/>
  <c r="W89" i="122"/>
  <c r="P128" i="97"/>
  <c r="W81" i="122"/>
  <c r="W82" i="122"/>
  <c r="W83" i="122"/>
  <c r="W90" i="122"/>
  <c r="P129" i="97"/>
  <c r="W91" i="122"/>
  <c r="P130" i="97"/>
  <c r="W92" i="122"/>
  <c r="P131" i="97"/>
  <c r="W108" i="122"/>
  <c r="P133" i="97"/>
  <c r="W96" i="122"/>
  <c r="P134" i="97"/>
  <c r="W97" i="122"/>
  <c r="P135" i="97"/>
  <c r="P136" i="97"/>
  <c r="W120" i="122"/>
  <c r="W121" i="122"/>
  <c r="W122" i="122"/>
  <c r="W123" i="122"/>
  <c r="W129" i="122"/>
  <c r="W131" i="122"/>
  <c r="P140" i="97"/>
  <c r="W135" i="122"/>
  <c r="W136" i="122"/>
  <c r="W137" i="122"/>
  <c r="W138" i="122"/>
  <c r="W139" i="122"/>
  <c r="W140" i="122"/>
  <c r="W146" i="122"/>
  <c r="W149" i="122"/>
  <c r="W150" i="122"/>
  <c r="W152" i="122"/>
  <c r="W154" i="122"/>
  <c r="P141" i="97"/>
  <c r="P142" i="97"/>
  <c r="P144" i="97"/>
  <c r="P152" i="97"/>
  <c r="P156" i="97"/>
  <c r="P160" i="97"/>
  <c r="W169" i="122"/>
  <c r="P164" i="97"/>
  <c r="W171" i="122"/>
  <c r="P165" i="97"/>
  <c r="P167" i="97"/>
  <c r="P168" i="97"/>
  <c r="P174" i="97"/>
  <c r="N20" i="71"/>
  <c r="Q78" i="97"/>
  <c r="Q87" i="97"/>
  <c r="O19" i="94"/>
  <c r="O20" i="94"/>
  <c r="Q57" i="97"/>
  <c r="Q90" i="97"/>
  <c r="Q58" i="97"/>
  <c r="Q91" i="97"/>
  <c r="Q56" i="97"/>
  <c r="Q94" i="97"/>
  <c r="Q103" i="97"/>
  <c r="O15" i="95"/>
  <c r="O16" i="95"/>
  <c r="Q42" i="97"/>
  <c r="Q43" i="97"/>
  <c r="Q44" i="97"/>
  <c r="Q98" i="97"/>
  <c r="Q104" i="97"/>
  <c r="Q105" i="97"/>
  <c r="X76" i="122"/>
  <c r="X77" i="122"/>
  <c r="X78" i="122"/>
  <c r="X79" i="122"/>
  <c r="Q125" i="97"/>
  <c r="W11" i="122"/>
  <c r="X87" i="122"/>
  <c r="Q126" i="97"/>
  <c r="X88" i="122"/>
  <c r="Q127" i="97"/>
  <c r="X89" i="122"/>
  <c r="Q128" i="97"/>
  <c r="X81" i="122"/>
  <c r="X82" i="122"/>
  <c r="X83" i="122"/>
  <c r="X90" i="122"/>
  <c r="Q129" i="97"/>
  <c r="X91" i="122"/>
  <c r="Q130" i="97"/>
  <c r="X92" i="122"/>
  <c r="Q131" i="97"/>
  <c r="X108" i="122"/>
  <c r="Q133" i="97"/>
  <c r="X96" i="122"/>
  <c r="Q134" i="97"/>
  <c r="X97" i="122"/>
  <c r="Q135" i="97"/>
  <c r="Q136" i="97"/>
  <c r="X120" i="122"/>
  <c r="X121" i="122"/>
  <c r="X122" i="122"/>
  <c r="X123" i="122"/>
  <c r="X129" i="122"/>
  <c r="X131" i="122"/>
  <c r="Q140" i="97"/>
  <c r="X135" i="122"/>
  <c r="X136" i="122"/>
  <c r="X137" i="122"/>
  <c r="X138" i="122"/>
  <c r="X139" i="122"/>
  <c r="X140" i="122"/>
  <c r="X146" i="122"/>
  <c r="X149" i="122"/>
  <c r="X150" i="122"/>
  <c r="X152" i="122"/>
  <c r="X154" i="122"/>
  <c r="Q141" i="97"/>
  <c r="Q142" i="97"/>
  <c r="Q144" i="97"/>
  <c r="Q152" i="97"/>
  <c r="Q156" i="97"/>
  <c r="Q160" i="97"/>
  <c r="X169" i="122"/>
  <c r="Q164" i="97"/>
  <c r="X171" i="122"/>
  <c r="Q165" i="97"/>
  <c r="Q167" i="97"/>
  <c r="Q168" i="97"/>
  <c r="Q174" i="97"/>
  <c r="O20" i="71"/>
  <c r="R78" i="97"/>
  <c r="R87" i="97"/>
  <c r="P19" i="94"/>
  <c r="P20" i="94"/>
  <c r="R57" i="97"/>
  <c r="R90" i="97"/>
  <c r="R58" i="97"/>
  <c r="R91" i="97"/>
  <c r="R56" i="97"/>
  <c r="R94" i="97"/>
  <c r="R103" i="97"/>
  <c r="P15" i="95"/>
  <c r="P16" i="95"/>
  <c r="R42" i="97"/>
  <c r="R43" i="97"/>
  <c r="R44" i="97"/>
  <c r="R98" i="97"/>
  <c r="R104" i="97"/>
  <c r="R105" i="97"/>
  <c r="Y76" i="122"/>
  <c r="Y77" i="122"/>
  <c r="Y78" i="122"/>
  <c r="Y79" i="122"/>
  <c r="R125" i="97"/>
  <c r="X11" i="122"/>
  <c r="Y87" i="122"/>
  <c r="R126" i="97"/>
  <c r="Y88" i="122"/>
  <c r="R127" i="97"/>
  <c r="Y89" i="122"/>
  <c r="R128" i="97"/>
  <c r="Y81" i="122"/>
  <c r="Y82" i="122"/>
  <c r="Y83" i="122"/>
  <c r="Y90" i="122"/>
  <c r="R129" i="97"/>
  <c r="Y91" i="122"/>
  <c r="R130" i="97"/>
  <c r="Y92" i="122"/>
  <c r="R131" i="97"/>
  <c r="Y108" i="122"/>
  <c r="R133" i="97"/>
  <c r="Y96" i="122"/>
  <c r="R134" i="97"/>
  <c r="Y97" i="122"/>
  <c r="R135" i="97"/>
  <c r="R136" i="97"/>
  <c r="Y120" i="122"/>
  <c r="Y121" i="122"/>
  <c r="Y122" i="122"/>
  <c r="Y123" i="122"/>
  <c r="Y129" i="122"/>
  <c r="Y131" i="122"/>
  <c r="R140" i="97"/>
  <c r="Y135" i="122"/>
  <c r="Y136" i="122"/>
  <c r="Y137" i="122"/>
  <c r="Y138" i="122"/>
  <c r="Y139" i="122"/>
  <c r="Y140" i="122"/>
  <c r="Y146" i="122"/>
  <c r="Y149" i="122"/>
  <c r="Y150" i="122"/>
  <c r="Y152" i="122"/>
  <c r="Y154" i="122"/>
  <c r="R141" i="97"/>
  <c r="R142" i="97"/>
  <c r="R144" i="97"/>
  <c r="R152" i="97"/>
  <c r="R156" i="97"/>
  <c r="R160" i="97"/>
  <c r="Y169" i="122"/>
  <c r="R164" i="97"/>
  <c r="Y171" i="122"/>
  <c r="R165" i="97"/>
  <c r="R167" i="97"/>
  <c r="R168" i="97"/>
  <c r="R174" i="97"/>
  <c r="P20" i="71"/>
  <c r="S78" i="97"/>
  <c r="S87" i="97"/>
  <c r="Q19" i="94"/>
  <c r="Q20" i="94"/>
  <c r="S57" i="97"/>
  <c r="S90" i="97"/>
  <c r="S58" i="97"/>
  <c r="S91" i="97"/>
  <c r="S56" i="97"/>
  <c r="S94" i="97"/>
  <c r="S103" i="97"/>
  <c r="Q15" i="95"/>
  <c r="Q16" i="95"/>
  <c r="S42" i="97"/>
  <c r="S43" i="97"/>
  <c r="S44" i="97"/>
  <c r="S98" i="97"/>
  <c r="S104" i="97"/>
  <c r="S105" i="97"/>
  <c r="Z76" i="122"/>
  <c r="Z77" i="122"/>
  <c r="Z78" i="122"/>
  <c r="Z79" i="122"/>
  <c r="S125" i="97"/>
  <c r="Y11" i="122"/>
  <c r="Z87" i="122"/>
  <c r="S126" i="97"/>
  <c r="Z88" i="122"/>
  <c r="S127" i="97"/>
  <c r="Z89" i="122"/>
  <c r="S128" i="97"/>
  <c r="Z81" i="122"/>
  <c r="Z82" i="122"/>
  <c r="Z83" i="122"/>
  <c r="Z90" i="122"/>
  <c r="S129" i="97"/>
  <c r="Z91" i="122"/>
  <c r="S130" i="97"/>
  <c r="Z92" i="122"/>
  <c r="S131" i="97"/>
  <c r="Z108" i="122"/>
  <c r="S133" i="97"/>
  <c r="Z96" i="122"/>
  <c r="S134" i="97"/>
  <c r="Z97" i="122"/>
  <c r="S135" i="97"/>
  <c r="S136" i="97"/>
  <c r="Z120" i="122"/>
  <c r="Z121" i="122"/>
  <c r="Z122" i="122"/>
  <c r="Z123" i="122"/>
  <c r="Z129" i="122"/>
  <c r="Z131" i="122"/>
  <c r="S140" i="97"/>
  <c r="Z135" i="122"/>
  <c r="Z136" i="122"/>
  <c r="Z137" i="122"/>
  <c r="Z138" i="122"/>
  <c r="Z139" i="122"/>
  <c r="Z140" i="122"/>
  <c r="Z146" i="122"/>
  <c r="Z149" i="122"/>
  <c r="Z150" i="122"/>
  <c r="Z152" i="122"/>
  <c r="Z154" i="122"/>
  <c r="S141" i="97"/>
  <c r="S142" i="97"/>
  <c r="S144" i="97"/>
  <c r="S152" i="97"/>
  <c r="S156" i="97"/>
  <c r="S160" i="97"/>
  <c r="Z169" i="122"/>
  <c r="S164" i="97"/>
  <c r="Z171" i="122"/>
  <c r="S165" i="97"/>
  <c r="S167" i="97"/>
  <c r="S168" i="97"/>
  <c r="S174" i="97"/>
  <c r="Q20" i="71"/>
  <c r="T78" i="97"/>
  <c r="T87" i="97"/>
  <c r="R19" i="94"/>
  <c r="R20" i="94"/>
  <c r="T57" i="97"/>
  <c r="T90" i="97"/>
  <c r="T58" i="97"/>
  <c r="T91" i="97"/>
  <c r="T56" i="97"/>
  <c r="T94" i="97"/>
  <c r="T103" i="97"/>
  <c r="R15" i="95"/>
  <c r="R16" i="95"/>
  <c r="T42" i="97"/>
  <c r="T43" i="97"/>
  <c r="T44" i="97"/>
  <c r="T98" i="97"/>
  <c r="T104" i="97"/>
  <c r="T105" i="97"/>
  <c r="AA76" i="122"/>
  <c r="AA77" i="122"/>
  <c r="AA78" i="122"/>
  <c r="AA79" i="122"/>
  <c r="T125" i="97"/>
  <c r="Z11" i="122"/>
  <c r="AA87" i="122"/>
  <c r="T126" i="97"/>
  <c r="AA89" i="122"/>
  <c r="T128" i="97"/>
  <c r="AA81" i="122"/>
  <c r="AA82" i="122"/>
  <c r="AA83" i="122"/>
  <c r="AA90" i="122"/>
  <c r="T129" i="97"/>
  <c r="AA91" i="122"/>
  <c r="T130" i="97"/>
  <c r="AA92" i="122"/>
  <c r="T131" i="97"/>
  <c r="AA108" i="122"/>
  <c r="T133" i="97"/>
  <c r="AA96" i="122"/>
  <c r="T134" i="97"/>
  <c r="AA97" i="122"/>
  <c r="T135" i="97"/>
  <c r="T127" i="97"/>
  <c r="T136" i="97"/>
  <c r="AA120" i="122"/>
  <c r="AA121" i="122"/>
  <c r="AA122" i="122"/>
  <c r="AA123" i="122"/>
  <c r="AA129" i="122"/>
  <c r="AA131" i="122"/>
  <c r="T140" i="97"/>
  <c r="AA135" i="122"/>
  <c r="AA136" i="122"/>
  <c r="AA137" i="122"/>
  <c r="AA138" i="122"/>
  <c r="AA139" i="122"/>
  <c r="AA140" i="122"/>
  <c r="AA146" i="122"/>
  <c r="AA149" i="122"/>
  <c r="AA150" i="122"/>
  <c r="AA152" i="122"/>
  <c r="AA154" i="122"/>
  <c r="T141" i="97"/>
  <c r="T142" i="97"/>
  <c r="T144" i="97"/>
  <c r="T152" i="97"/>
  <c r="T156" i="97"/>
  <c r="T160" i="97"/>
  <c r="AA169" i="122"/>
  <c r="T164" i="97"/>
  <c r="AA171" i="122"/>
  <c r="T165" i="97"/>
  <c r="T167" i="97"/>
  <c r="T168" i="97"/>
  <c r="T174" i="97"/>
  <c r="R20" i="71"/>
  <c r="U78" i="97"/>
  <c r="U87" i="97"/>
  <c r="S19" i="94"/>
  <c r="S20" i="94"/>
  <c r="U57" i="97"/>
  <c r="U90" i="97"/>
  <c r="U58" i="97"/>
  <c r="U91" i="97"/>
  <c r="U56" i="97"/>
  <c r="U94" i="97"/>
  <c r="U103" i="97"/>
  <c r="S15" i="95"/>
  <c r="S16" i="95"/>
  <c r="U42" i="97"/>
  <c r="U43" i="97"/>
  <c r="U44" i="97"/>
  <c r="U98" i="97"/>
  <c r="U104" i="97"/>
  <c r="U105" i="97"/>
  <c r="AB76" i="122"/>
  <c r="AB77" i="122"/>
  <c r="AB78" i="122"/>
  <c r="AB79" i="122"/>
  <c r="U125" i="97"/>
  <c r="AA11" i="122"/>
  <c r="AB87" i="122"/>
  <c r="U126" i="97"/>
  <c r="AB88" i="122"/>
  <c r="U127" i="97"/>
  <c r="AB89" i="122"/>
  <c r="U128" i="97"/>
  <c r="AB81" i="122"/>
  <c r="AB82" i="122"/>
  <c r="AB83" i="122"/>
  <c r="AB90" i="122"/>
  <c r="U129" i="97"/>
  <c r="AB91" i="122"/>
  <c r="U130" i="97"/>
  <c r="AB92" i="122"/>
  <c r="U131" i="97"/>
  <c r="AB108" i="122"/>
  <c r="U133" i="97"/>
  <c r="AB96" i="122"/>
  <c r="U134" i="97"/>
  <c r="AB97" i="122"/>
  <c r="U135" i="97"/>
  <c r="U136" i="97"/>
  <c r="AB120" i="122"/>
  <c r="AB121" i="122"/>
  <c r="AB122" i="122"/>
  <c r="AB123" i="122"/>
  <c r="AB129" i="122"/>
  <c r="AB131" i="122"/>
  <c r="U140" i="97"/>
  <c r="AB135" i="122"/>
  <c r="AB136" i="122"/>
  <c r="AB137" i="122"/>
  <c r="AB138" i="122"/>
  <c r="AB139" i="122"/>
  <c r="AB140" i="122"/>
  <c r="AB146" i="122"/>
  <c r="AB149" i="122"/>
  <c r="AB150" i="122"/>
  <c r="AB152" i="122"/>
  <c r="AB154" i="122"/>
  <c r="U141" i="97"/>
  <c r="U142" i="97"/>
  <c r="U144" i="97"/>
  <c r="U152" i="97"/>
  <c r="U156" i="97"/>
  <c r="U160" i="97"/>
  <c r="AB169" i="122"/>
  <c r="U164" i="97"/>
  <c r="AB171" i="122"/>
  <c r="U165" i="97"/>
  <c r="U167" i="97"/>
  <c r="U168" i="97"/>
  <c r="U174" i="97"/>
  <c r="S20" i="71"/>
  <c r="V78" i="97"/>
  <c r="V87" i="97"/>
  <c r="T19" i="94"/>
  <c r="T20" i="94"/>
  <c r="V57" i="97"/>
  <c r="V90" i="97"/>
  <c r="V58" i="97"/>
  <c r="V91" i="97"/>
  <c r="V56" i="97"/>
  <c r="V94" i="97"/>
  <c r="V103" i="97"/>
  <c r="T15" i="95"/>
  <c r="T16" i="95"/>
  <c r="V42" i="97"/>
  <c r="V43" i="97"/>
  <c r="V44" i="97"/>
  <c r="V98" i="97"/>
  <c r="V104" i="97"/>
  <c r="V105" i="97"/>
  <c r="AC76" i="122"/>
  <c r="AC77" i="122"/>
  <c r="AC78" i="122"/>
  <c r="AC79" i="122"/>
  <c r="V125" i="97"/>
  <c r="AB11" i="122"/>
  <c r="AC87" i="122"/>
  <c r="V126" i="97"/>
  <c r="AC88" i="122"/>
  <c r="V127" i="97"/>
  <c r="AC89" i="122"/>
  <c r="V128" i="97"/>
  <c r="AC81" i="122"/>
  <c r="AC82" i="122"/>
  <c r="AC83" i="122"/>
  <c r="AC90" i="122"/>
  <c r="V129" i="97"/>
  <c r="AC91" i="122"/>
  <c r="V130" i="97"/>
  <c r="AC92" i="122"/>
  <c r="V131" i="97"/>
  <c r="AC108" i="122"/>
  <c r="V133" i="97"/>
  <c r="AC96" i="122"/>
  <c r="V134" i="97"/>
  <c r="AC97" i="122"/>
  <c r="V135" i="97"/>
  <c r="V136" i="97"/>
  <c r="AC120" i="122"/>
  <c r="AC121" i="122"/>
  <c r="AC122" i="122"/>
  <c r="AC123" i="122"/>
  <c r="AC129" i="122"/>
  <c r="AC131" i="122"/>
  <c r="V140" i="97"/>
  <c r="AC135" i="122"/>
  <c r="AC136" i="122"/>
  <c r="AC137" i="122"/>
  <c r="AC138" i="122"/>
  <c r="AC139" i="122"/>
  <c r="AC140" i="122"/>
  <c r="AC146" i="122"/>
  <c r="AC149" i="122"/>
  <c r="AC150" i="122"/>
  <c r="AC152" i="122"/>
  <c r="AC154" i="122"/>
  <c r="V141" i="97"/>
  <c r="V142" i="97"/>
  <c r="V144" i="97"/>
  <c r="V152" i="97"/>
  <c r="V156" i="97"/>
  <c r="V160" i="97"/>
  <c r="AC169" i="122"/>
  <c r="V164" i="97"/>
  <c r="AC171" i="122"/>
  <c r="V165" i="97"/>
  <c r="V167" i="97"/>
  <c r="V168" i="97"/>
  <c r="V174" i="97"/>
  <c r="T20" i="71"/>
  <c r="W78" i="97"/>
  <c r="W87" i="97"/>
  <c r="U19" i="94"/>
  <c r="U20" i="94"/>
  <c r="W57" i="97"/>
  <c r="W90" i="97"/>
  <c r="W58" i="97"/>
  <c r="W91" i="97"/>
  <c r="W56" i="97"/>
  <c r="W94" i="97"/>
  <c r="W103" i="97"/>
  <c r="U15" i="95"/>
  <c r="U16" i="95"/>
  <c r="W42" i="97"/>
  <c r="W43" i="97"/>
  <c r="W44" i="97"/>
  <c r="W98" i="97"/>
  <c r="W104" i="97"/>
  <c r="W105" i="97"/>
  <c r="AD76" i="122"/>
  <c r="AD77" i="122"/>
  <c r="AD78" i="122"/>
  <c r="AD79" i="122"/>
  <c r="W125" i="97"/>
  <c r="AC11" i="122"/>
  <c r="AD87" i="122"/>
  <c r="W126" i="97"/>
  <c r="AD88" i="122"/>
  <c r="W127" i="97"/>
  <c r="AD89" i="122"/>
  <c r="W128" i="97"/>
  <c r="AD81" i="122"/>
  <c r="AD82" i="122"/>
  <c r="AD83" i="122"/>
  <c r="AD90" i="122"/>
  <c r="W129" i="97"/>
  <c r="AD91" i="122"/>
  <c r="W130" i="97"/>
  <c r="AD92" i="122"/>
  <c r="W131" i="97"/>
  <c r="AD108" i="122"/>
  <c r="W133" i="97"/>
  <c r="AD96" i="122"/>
  <c r="W134" i="97"/>
  <c r="AD97" i="122"/>
  <c r="W135" i="97"/>
  <c r="W136" i="97"/>
  <c r="AD120" i="122"/>
  <c r="AD121" i="122"/>
  <c r="AD122" i="122"/>
  <c r="AD123" i="122"/>
  <c r="AD129" i="122"/>
  <c r="AD131" i="122"/>
  <c r="W140" i="97"/>
  <c r="AD135" i="122"/>
  <c r="AD136" i="122"/>
  <c r="AD137" i="122"/>
  <c r="AD138" i="122"/>
  <c r="AD139" i="122"/>
  <c r="AD140" i="122"/>
  <c r="AD146" i="122"/>
  <c r="AD149" i="122"/>
  <c r="AD150" i="122"/>
  <c r="AD152" i="122"/>
  <c r="AD154" i="122"/>
  <c r="W141" i="97"/>
  <c r="W142" i="97"/>
  <c r="W144" i="97"/>
  <c r="W152" i="97"/>
  <c r="W156" i="97"/>
  <c r="W160" i="97"/>
  <c r="AD169" i="122"/>
  <c r="W164" i="97"/>
  <c r="AD171" i="122"/>
  <c r="W165" i="97"/>
  <c r="W167" i="97"/>
  <c r="W168" i="97"/>
  <c r="W174" i="97"/>
  <c r="U20" i="71"/>
  <c r="X78" i="97"/>
  <c r="X87" i="97"/>
  <c r="V19" i="94"/>
  <c r="V20" i="94"/>
  <c r="X57" i="97"/>
  <c r="X90" i="97"/>
  <c r="X58" i="97"/>
  <c r="X91" i="97"/>
  <c r="X56" i="97"/>
  <c r="X94" i="97"/>
  <c r="X103" i="97"/>
  <c r="V15" i="95"/>
  <c r="V16" i="95"/>
  <c r="X42" i="97"/>
  <c r="X43" i="97"/>
  <c r="X44" i="97"/>
  <c r="X98" i="97"/>
  <c r="X104" i="97"/>
  <c r="X105" i="97"/>
  <c r="AE76" i="122"/>
  <c r="AE77" i="122"/>
  <c r="AE78" i="122"/>
  <c r="AE79" i="122"/>
  <c r="X125" i="97"/>
  <c r="AD11" i="122"/>
  <c r="AE87" i="122"/>
  <c r="X126" i="97"/>
  <c r="AE88" i="122"/>
  <c r="X127" i="97"/>
  <c r="AE89" i="122"/>
  <c r="X128" i="97"/>
  <c r="AE81" i="122"/>
  <c r="AE82" i="122"/>
  <c r="AE83" i="122"/>
  <c r="AE90" i="122"/>
  <c r="X129" i="97"/>
  <c r="AE91" i="122"/>
  <c r="X130" i="97"/>
  <c r="AE92" i="122"/>
  <c r="X131" i="97"/>
  <c r="AE108" i="122"/>
  <c r="X133" i="97"/>
  <c r="AE96" i="122"/>
  <c r="X134" i="97"/>
  <c r="AE97" i="122"/>
  <c r="X135" i="97"/>
  <c r="X136" i="97"/>
  <c r="AE120" i="122"/>
  <c r="AE121" i="122"/>
  <c r="AE122" i="122"/>
  <c r="AE123" i="122"/>
  <c r="AE129" i="122"/>
  <c r="AE131" i="122"/>
  <c r="X140" i="97"/>
  <c r="AE135" i="122"/>
  <c r="AE136" i="122"/>
  <c r="AE137" i="122"/>
  <c r="AE138" i="122"/>
  <c r="AE139" i="122"/>
  <c r="AE140" i="122"/>
  <c r="AE146" i="122"/>
  <c r="AE149" i="122"/>
  <c r="AE150" i="122"/>
  <c r="AE152" i="122"/>
  <c r="AE154" i="122"/>
  <c r="X141" i="97"/>
  <c r="X142" i="97"/>
  <c r="X144" i="97"/>
  <c r="X152" i="97"/>
  <c r="X156" i="97"/>
  <c r="X160" i="97"/>
  <c r="AE169" i="122"/>
  <c r="X164" i="97"/>
  <c r="AE171" i="122"/>
  <c r="X165" i="97"/>
  <c r="X167" i="97"/>
  <c r="X168" i="97"/>
  <c r="X174" i="97"/>
  <c r="V20" i="71"/>
  <c r="W20" i="71"/>
  <c r="B18" i="147"/>
  <c r="B19" i="147"/>
  <c r="F15" i="71"/>
  <c r="G15" i="71"/>
  <c r="H15" i="71"/>
  <c r="I15" i="71"/>
  <c r="J15" i="71"/>
  <c r="K15" i="71"/>
  <c r="L15" i="71"/>
  <c r="M15" i="71"/>
  <c r="N15" i="71"/>
  <c r="O15" i="71"/>
  <c r="P15" i="71"/>
  <c r="Q15" i="71"/>
  <c r="R15" i="71"/>
  <c r="S15" i="71"/>
  <c r="T15" i="71"/>
  <c r="U15" i="71"/>
  <c r="V15" i="71"/>
  <c r="C15" i="71"/>
  <c r="D15" i="71"/>
  <c r="E15" i="71"/>
  <c r="W15" i="71"/>
  <c r="C16" i="71"/>
  <c r="D16" i="71"/>
  <c r="E16" i="71"/>
  <c r="F16" i="71"/>
  <c r="G16" i="71"/>
  <c r="H16" i="71"/>
  <c r="I16" i="71"/>
  <c r="J16" i="71"/>
  <c r="K16" i="71"/>
  <c r="L16" i="71"/>
  <c r="M16" i="71"/>
  <c r="N16" i="71"/>
  <c r="O16" i="71"/>
  <c r="P16" i="71"/>
  <c r="Q16" i="71"/>
  <c r="R16" i="71"/>
  <c r="S16" i="71"/>
  <c r="T16" i="71"/>
  <c r="U16" i="71"/>
  <c r="V16" i="71"/>
  <c r="W16" i="71"/>
  <c r="X16" i="71"/>
  <c r="B17" i="147"/>
  <c r="C13" i="71"/>
  <c r="D13" i="71"/>
  <c r="E13" i="71"/>
  <c r="F13" i="71"/>
  <c r="G13" i="71"/>
  <c r="H13" i="71"/>
  <c r="I13" i="71"/>
  <c r="J13" i="71"/>
  <c r="K13" i="71"/>
  <c r="L13" i="71"/>
  <c r="M13" i="71"/>
  <c r="N13" i="71"/>
  <c r="O13" i="71"/>
  <c r="P13" i="71"/>
  <c r="Q13" i="71"/>
  <c r="R13" i="71"/>
  <c r="S13" i="71"/>
  <c r="T13" i="71"/>
  <c r="U13" i="71"/>
  <c r="V13" i="71"/>
  <c r="W13" i="71"/>
  <c r="B16" i="147"/>
  <c r="E12" i="71"/>
  <c r="F12" i="71"/>
  <c r="G12" i="71"/>
  <c r="H12" i="71"/>
  <c r="I12" i="71"/>
  <c r="J12" i="71"/>
  <c r="K12" i="71"/>
  <c r="L12" i="71"/>
  <c r="M12" i="71"/>
  <c r="N12" i="71"/>
  <c r="O12" i="71"/>
  <c r="P12" i="71"/>
  <c r="Q12" i="71"/>
  <c r="R12" i="71"/>
  <c r="S12" i="71"/>
  <c r="T12" i="71"/>
  <c r="U12" i="71"/>
  <c r="V12" i="71"/>
  <c r="C12" i="71"/>
  <c r="D12" i="71"/>
  <c r="W12" i="71"/>
  <c r="B15" i="147"/>
  <c r="C11" i="71"/>
  <c r="D11" i="71"/>
  <c r="E11" i="71"/>
  <c r="F11" i="71"/>
  <c r="G11" i="71"/>
  <c r="H11" i="71"/>
  <c r="I11" i="71"/>
  <c r="J11" i="71"/>
  <c r="K11" i="71"/>
  <c r="L11" i="71"/>
  <c r="M11" i="71"/>
  <c r="N11" i="71"/>
  <c r="O11" i="71"/>
  <c r="P11" i="71"/>
  <c r="Q11" i="71"/>
  <c r="R11" i="71"/>
  <c r="S11" i="71"/>
  <c r="T11" i="71"/>
  <c r="U11" i="71"/>
  <c r="V11" i="71"/>
  <c r="W11" i="71"/>
  <c r="B13" i="147"/>
  <c r="X103" i="105"/>
  <c r="W103" i="105"/>
  <c r="V103" i="105"/>
  <c r="U103" i="105"/>
  <c r="T103" i="105"/>
  <c r="S103" i="105"/>
  <c r="R103" i="105"/>
  <c r="Q103" i="105"/>
  <c r="P103" i="105"/>
  <c r="O103" i="105"/>
  <c r="N103" i="105"/>
  <c r="M103" i="105"/>
  <c r="L103" i="105"/>
  <c r="K103" i="105"/>
  <c r="J103" i="105"/>
  <c r="I103" i="105"/>
  <c r="H103" i="105"/>
  <c r="G103" i="105"/>
  <c r="H64" i="105"/>
  <c r="I64" i="105"/>
  <c r="J64" i="105"/>
  <c r="K64" i="105"/>
  <c r="L64" i="105"/>
  <c r="M64" i="105"/>
  <c r="N64" i="105"/>
  <c r="O64" i="105"/>
  <c r="P64" i="105"/>
  <c r="Q64" i="105"/>
  <c r="R64" i="105"/>
  <c r="S64" i="105"/>
  <c r="T64" i="105"/>
  <c r="U64" i="105"/>
  <c r="V64" i="105"/>
  <c r="W64" i="105"/>
  <c r="X64" i="105"/>
  <c r="H64" i="104"/>
  <c r="I64" i="104"/>
  <c r="J64" i="104"/>
  <c r="K64" i="104"/>
  <c r="L64" i="104"/>
  <c r="M64" i="104"/>
  <c r="N64" i="104"/>
  <c r="O64" i="104"/>
  <c r="P64" i="104"/>
  <c r="Q64" i="104"/>
  <c r="R64" i="104"/>
  <c r="S64" i="104"/>
  <c r="T64" i="104"/>
  <c r="U64" i="104"/>
  <c r="V64" i="104"/>
  <c r="W64" i="104"/>
  <c r="X64" i="104"/>
  <c r="X103" i="104"/>
  <c r="W103" i="104"/>
  <c r="V103" i="104"/>
  <c r="U103" i="104"/>
  <c r="T103" i="104"/>
  <c r="S103" i="104"/>
  <c r="R103" i="104"/>
  <c r="Q103" i="104"/>
  <c r="P103" i="104"/>
  <c r="O103" i="104"/>
  <c r="N103" i="104"/>
  <c r="M103" i="104"/>
  <c r="L103" i="104"/>
  <c r="K103" i="104"/>
  <c r="J103" i="104"/>
  <c r="I103" i="104"/>
  <c r="H103" i="104"/>
  <c r="G103" i="104"/>
  <c r="X103" i="103"/>
  <c r="W103" i="103"/>
  <c r="V103" i="103"/>
  <c r="U103" i="103"/>
  <c r="T103" i="103"/>
  <c r="S103" i="103"/>
  <c r="R103" i="103"/>
  <c r="Q103" i="103"/>
  <c r="P103" i="103"/>
  <c r="O103" i="103"/>
  <c r="N103" i="103"/>
  <c r="M103" i="103"/>
  <c r="L103" i="103"/>
  <c r="K103" i="103"/>
  <c r="J103" i="103"/>
  <c r="I103" i="103"/>
  <c r="H103" i="103"/>
  <c r="G103" i="103"/>
  <c r="H64" i="103"/>
  <c r="I64" i="103"/>
  <c r="J64" i="103"/>
  <c r="K64" i="103"/>
  <c r="L64" i="103"/>
  <c r="M64" i="103"/>
  <c r="N64" i="103"/>
  <c r="O64" i="103"/>
  <c r="P64" i="103"/>
  <c r="Q64" i="103"/>
  <c r="R64" i="103"/>
  <c r="S64" i="103"/>
  <c r="T64" i="103"/>
  <c r="U64" i="103"/>
  <c r="V64" i="103"/>
  <c r="W64" i="103"/>
  <c r="X64" i="103"/>
  <c r="H64" i="93"/>
  <c r="I64" i="93"/>
  <c r="J64" i="93"/>
  <c r="K64" i="93"/>
  <c r="L64" i="93"/>
  <c r="M64" i="93"/>
  <c r="N64" i="93"/>
  <c r="O64" i="93"/>
  <c r="P64" i="93"/>
  <c r="Q64" i="93"/>
  <c r="R64" i="93"/>
  <c r="S64" i="93"/>
  <c r="T64" i="93"/>
  <c r="U64" i="93"/>
  <c r="V64" i="93"/>
  <c r="W64" i="93"/>
  <c r="X64" i="93"/>
  <c r="X103" i="93"/>
  <c r="W103" i="93"/>
  <c r="V103" i="93"/>
  <c r="U103" i="93"/>
  <c r="T103" i="93"/>
  <c r="S103" i="93"/>
  <c r="R103" i="93"/>
  <c r="Q103" i="93"/>
  <c r="P103" i="93"/>
  <c r="O103" i="93"/>
  <c r="N103" i="93"/>
  <c r="M103" i="93"/>
  <c r="L103" i="93"/>
  <c r="K103" i="93"/>
  <c r="J103" i="93"/>
  <c r="I103" i="93"/>
  <c r="H103" i="93"/>
  <c r="G103" i="93"/>
  <c r="X103" i="120"/>
  <c r="W103" i="120"/>
  <c r="V103" i="120"/>
  <c r="U103" i="120"/>
  <c r="T103" i="120"/>
  <c r="S103" i="120"/>
  <c r="R103" i="120"/>
  <c r="Q103" i="120"/>
  <c r="P103" i="120"/>
  <c r="O103" i="120"/>
  <c r="N103" i="120"/>
  <c r="M103" i="120"/>
  <c r="L103" i="120"/>
  <c r="K103" i="120"/>
  <c r="J103" i="120"/>
  <c r="I103" i="120"/>
  <c r="H103" i="120"/>
  <c r="G103" i="120"/>
  <c r="H64" i="120"/>
  <c r="I64" i="120"/>
  <c r="J64" i="120"/>
  <c r="K64" i="120"/>
  <c r="L64" i="120"/>
  <c r="M64" i="120"/>
  <c r="N64" i="120"/>
  <c r="O64" i="120"/>
  <c r="P64" i="120"/>
  <c r="Q64" i="120"/>
  <c r="R64" i="120"/>
  <c r="S64" i="120"/>
  <c r="T64" i="120"/>
  <c r="U64" i="120"/>
  <c r="V64" i="120"/>
  <c r="W64" i="120"/>
  <c r="X64" i="120"/>
  <c r="H64" i="119"/>
  <c r="I64" i="119"/>
  <c r="J64" i="119"/>
  <c r="K64" i="119"/>
  <c r="L64" i="119"/>
  <c r="M64" i="119"/>
  <c r="N64" i="119"/>
  <c r="O64" i="119"/>
  <c r="P64" i="119"/>
  <c r="Q64" i="119"/>
  <c r="R64" i="119"/>
  <c r="S64" i="119"/>
  <c r="T64" i="119"/>
  <c r="U64" i="119"/>
  <c r="V64" i="119"/>
  <c r="W64" i="119"/>
  <c r="X64" i="119"/>
  <c r="X103" i="119"/>
  <c r="W103" i="119"/>
  <c r="V103" i="119"/>
  <c r="U103" i="119"/>
  <c r="T103" i="119"/>
  <c r="S103" i="119"/>
  <c r="R103" i="119"/>
  <c r="Q103" i="119"/>
  <c r="P103" i="119"/>
  <c r="O103" i="119"/>
  <c r="N103" i="119"/>
  <c r="M103" i="119"/>
  <c r="L103" i="119"/>
  <c r="K103" i="119"/>
  <c r="J103" i="119"/>
  <c r="I103" i="119"/>
  <c r="H103" i="119"/>
  <c r="G103" i="119"/>
  <c r="X103" i="118"/>
  <c r="W103" i="118"/>
  <c r="V103" i="118"/>
  <c r="U103" i="118"/>
  <c r="T103" i="118"/>
  <c r="S103" i="118"/>
  <c r="R103" i="118"/>
  <c r="Q103" i="118"/>
  <c r="P103" i="118"/>
  <c r="O103" i="118"/>
  <c r="N103" i="118"/>
  <c r="M103" i="118"/>
  <c r="L103" i="118"/>
  <c r="K103" i="118"/>
  <c r="J103" i="118"/>
  <c r="I103" i="118"/>
  <c r="H103" i="118"/>
  <c r="G103" i="118"/>
  <c r="H64" i="118"/>
  <c r="I64" i="118"/>
  <c r="J64" i="118"/>
  <c r="K64" i="118"/>
  <c r="L64" i="118"/>
  <c r="M64" i="118"/>
  <c r="N64" i="118"/>
  <c r="O64" i="118"/>
  <c r="P64" i="118"/>
  <c r="Q64" i="118"/>
  <c r="R64" i="118"/>
  <c r="S64" i="118"/>
  <c r="T64" i="118"/>
  <c r="U64" i="118"/>
  <c r="V64" i="118"/>
  <c r="W64" i="118"/>
  <c r="X64" i="118"/>
  <c r="H64" i="117"/>
  <c r="I64" i="117"/>
  <c r="J64" i="117"/>
  <c r="K64" i="117"/>
  <c r="L64" i="117"/>
  <c r="M64" i="117"/>
  <c r="N64" i="117"/>
  <c r="O64" i="117"/>
  <c r="P64" i="117"/>
  <c r="Q64" i="117"/>
  <c r="R64" i="117"/>
  <c r="S64" i="117"/>
  <c r="T64" i="117"/>
  <c r="U64" i="117"/>
  <c r="V64" i="117"/>
  <c r="W64" i="117"/>
  <c r="X64" i="117"/>
  <c r="X103" i="117"/>
  <c r="W103" i="117"/>
  <c r="V103" i="117"/>
  <c r="U103" i="117"/>
  <c r="T103" i="117"/>
  <c r="S103" i="117"/>
  <c r="R103" i="117"/>
  <c r="Q103" i="117"/>
  <c r="P103" i="117"/>
  <c r="O103" i="117"/>
  <c r="N103" i="117"/>
  <c r="M103" i="117"/>
  <c r="L103" i="117"/>
  <c r="K103" i="117"/>
  <c r="J103" i="117"/>
  <c r="I103" i="117"/>
  <c r="H103" i="117"/>
  <c r="G103" i="117"/>
  <c r="X102" i="102"/>
  <c r="W102" i="102"/>
  <c r="V102" i="102"/>
  <c r="U102" i="102"/>
  <c r="T102" i="102"/>
  <c r="S102" i="102"/>
  <c r="R102" i="102"/>
  <c r="Q102" i="102"/>
  <c r="P102" i="102"/>
  <c r="O102" i="102"/>
  <c r="N102" i="102"/>
  <c r="M102" i="102"/>
  <c r="L102" i="102"/>
  <c r="K102" i="102"/>
  <c r="J102" i="102"/>
  <c r="I102" i="102"/>
  <c r="H102" i="102"/>
  <c r="G102" i="102"/>
  <c r="H64" i="102"/>
  <c r="I64" i="102"/>
  <c r="J64" i="102"/>
  <c r="K64" i="102"/>
  <c r="L64" i="102"/>
  <c r="M64" i="102"/>
  <c r="N64" i="102"/>
  <c r="O64" i="102"/>
  <c r="P64" i="102"/>
  <c r="Q64" i="102"/>
  <c r="R64" i="102"/>
  <c r="S64" i="102"/>
  <c r="T64" i="102"/>
  <c r="U64" i="102"/>
  <c r="V64" i="102"/>
  <c r="W64" i="102"/>
  <c r="X64" i="102"/>
  <c r="H64" i="101"/>
  <c r="I64" i="101"/>
  <c r="J64" i="101"/>
  <c r="K64" i="101"/>
  <c r="L64" i="101"/>
  <c r="M64" i="101"/>
  <c r="N64" i="101"/>
  <c r="O64" i="101"/>
  <c r="P64" i="101"/>
  <c r="Q64" i="101"/>
  <c r="R64" i="101"/>
  <c r="S64" i="101"/>
  <c r="T64" i="101"/>
  <c r="U64" i="101"/>
  <c r="V64" i="101"/>
  <c r="W64" i="101"/>
  <c r="X64" i="101"/>
  <c r="X102" i="101"/>
  <c r="W102" i="101"/>
  <c r="V102" i="101"/>
  <c r="U102" i="101"/>
  <c r="T102" i="101"/>
  <c r="S102" i="101"/>
  <c r="R102" i="101"/>
  <c r="Q102" i="101"/>
  <c r="P102" i="101"/>
  <c r="O102" i="101"/>
  <c r="N102" i="101"/>
  <c r="M102" i="101"/>
  <c r="L102" i="101"/>
  <c r="K102" i="101"/>
  <c r="J102" i="101"/>
  <c r="I102" i="101"/>
  <c r="H102" i="101"/>
  <c r="G102" i="101"/>
  <c r="X102" i="99"/>
  <c r="W102" i="99"/>
  <c r="V102" i="99"/>
  <c r="U102" i="99"/>
  <c r="T102" i="99"/>
  <c r="S102" i="99"/>
  <c r="R102" i="99"/>
  <c r="Q102" i="99"/>
  <c r="P102" i="99"/>
  <c r="O102" i="99"/>
  <c r="N102" i="99"/>
  <c r="M102" i="99"/>
  <c r="L102" i="99"/>
  <c r="K102" i="99"/>
  <c r="J102" i="99"/>
  <c r="I102" i="99"/>
  <c r="H102" i="99"/>
  <c r="G102" i="99"/>
  <c r="H64" i="99"/>
  <c r="I64" i="99"/>
  <c r="J64" i="99"/>
  <c r="K64" i="99"/>
  <c r="L64" i="99"/>
  <c r="M64" i="99"/>
  <c r="N64" i="99"/>
  <c r="O64" i="99"/>
  <c r="P64" i="99"/>
  <c r="Q64" i="99"/>
  <c r="R64" i="99"/>
  <c r="S64" i="99"/>
  <c r="T64" i="99"/>
  <c r="U64" i="99"/>
  <c r="V64" i="99"/>
  <c r="W64" i="99"/>
  <c r="X64" i="99"/>
  <c r="H64" i="96"/>
  <c r="I64" i="96"/>
  <c r="J64" i="96"/>
  <c r="K64" i="96"/>
  <c r="L64" i="96"/>
  <c r="M64" i="96"/>
  <c r="N64" i="96"/>
  <c r="O64" i="96"/>
  <c r="P64" i="96"/>
  <c r="Q64" i="96"/>
  <c r="R64" i="96"/>
  <c r="S64" i="96"/>
  <c r="T64" i="96"/>
  <c r="U64" i="96"/>
  <c r="V64" i="96"/>
  <c r="W64" i="96"/>
  <c r="X64" i="96"/>
  <c r="X102" i="96"/>
  <c r="W102" i="96"/>
  <c r="V102" i="96"/>
  <c r="U102" i="96"/>
  <c r="T102" i="96"/>
  <c r="S102" i="96"/>
  <c r="R102" i="96"/>
  <c r="Q102" i="96"/>
  <c r="P102" i="96"/>
  <c r="O102" i="96"/>
  <c r="N102" i="96"/>
  <c r="M102" i="96"/>
  <c r="L102" i="96"/>
  <c r="K102" i="96"/>
  <c r="J102" i="96"/>
  <c r="I102" i="96"/>
  <c r="H102" i="96"/>
  <c r="G102" i="96"/>
  <c r="X102" i="112"/>
  <c r="W102" i="112"/>
  <c r="V102" i="112"/>
  <c r="U102" i="112"/>
  <c r="T102" i="112"/>
  <c r="S102" i="112"/>
  <c r="R102" i="112"/>
  <c r="Q102" i="112"/>
  <c r="P102" i="112"/>
  <c r="O102" i="112"/>
  <c r="N102" i="112"/>
  <c r="M102" i="112"/>
  <c r="L102" i="112"/>
  <c r="K102" i="112"/>
  <c r="J102" i="112"/>
  <c r="I102" i="112"/>
  <c r="H102" i="112"/>
  <c r="G102" i="112"/>
  <c r="H64" i="112"/>
  <c r="I64" i="112"/>
  <c r="J64" i="112"/>
  <c r="K64" i="112"/>
  <c r="L64" i="112"/>
  <c r="M64" i="112"/>
  <c r="N64" i="112"/>
  <c r="O64" i="112"/>
  <c r="P64" i="112"/>
  <c r="Q64" i="112"/>
  <c r="R64" i="112"/>
  <c r="S64" i="112"/>
  <c r="T64" i="112"/>
  <c r="U64" i="112"/>
  <c r="V64" i="112"/>
  <c r="W64" i="112"/>
  <c r="X64" i="112"/>
  <c r="H64" i="111"/>
  <c r="I64" i="111"/>
  <c r="J64" i="111"/>
  <c r="K64" i="111"/>
  <c r="L64" i="111"/>
  <c r="M64" i="111"/>
  <c r="N64" i="111"/>
  <c r="O64" i="111"/>
  <c r="P64" i="111"/>
  <c r="Q64" i="111"/>
  <c r="R64" i="111"/>
  <c r="S64" i="111"/>
  <c r="T64" i="111"/>
  <c r="U64" i="111"/>
  <c r="V64" i="111"/>
  <c r="W64" i="111"/>
  <c r="X64" i="111"/>
  <c r="X102" i="111"/>
  <c r="W102" i="111"/>
  <c r="V102" i="111"/>
  <c r="U102" i="111"/>
  <c r="T102" i="111"/>
  <c r="S102" i="111"/>
  <c r="R102" i="111"/>
  <c r="Q102" i="111"/>
  <c r="P102" i="111"/>
  <c r="O102" i="111"/>
  <c r="N102" i="111"/>
  <c r="M102" i="111"/>
  <c r="L102" i="111"/>
  <c r="K102" i="111"/>
  <c r="J102" i="111"/>
  <c r="I102" i="111"/>
  <c r="H102" i="111"/>
  <c r="G102" i="111"/>
  <c r="X102" i="110"/>
  <c r="W102" i="110"/>
  <c r="V102" i="110"/>
  <c r="U102" i="110"/>
  <c r="T102" i="110"/>
  <c r="S102" i="110"/>
  <c r="R102" i="110"/>
  <c r="Q102" i="110"/>
  <c r="P102" i="110"/>
  <c r="O102" i="110"/>
  <c r="N102" i="110"/>
  <c r="M102" i="110"/>
  <c r="L102" i="110"/>
  <c r="K102" i="110"/>
  <c r="J102" i="110"/>
  <c r="I102" i="110"/>
  <c r="H102" i="110"/>
  <c r="G102" i="110"/>
  <c r="H64" i="110"/>
  <c r="I64" i="110"/>
  <c r="J64" i="110"/>
  <c r="K64" i="110"/>
  <c r="L64" i="110"/>
  <c r="M64" i="110"/>
  <c r="N64" i="110"/>
  <c r="O64" i="110"/>
  <c r="P64" i="110"/>
  <c r="Q64" i="110"/>
  <c r="R64" i="110"/>
  <c r="S64" i="110"/>
  <c r="T64" i="110"/>
  <c r="U64" i="110"/>
  <c r="V64" i="110"/>
  <c r="W64" i="110"/>
  <c r="X64" i="110"/>
  <c r="H64" i="109"/>
  <c r="I64" i="109"/>
  <c r="J64" i="109"/>
  <c r="K64" i="109"/>
  <c r="L64" i="109"/>
  <c r="M64" i="109"/>
  <c r="N64" i="109"/>
  <c r="O64" i="109"/>
  <c r="P64" i="109"/>
  <c r="Q64" i="109"/>
  <c r="R64" i="109"/>
  <c r="S64" i="109"/>
  <c r="T64" i="109"/>
  <c r="U64" i="109"/>
  <c r="V64" i="109"/>
  <c r="W64" i="109"/>
  <c r="X64" i="109"/>
  <c r="X102" i="109"/>
  <c r="W102" i="109"/>
  <c r="V102" i="109"/>
  <c r="U102" i="109"/>
  <c r="T102" i="109"/>
  <c r="S102" i="109"/>
  <c r="R102" i="109"/>
  <c r="Q102" i="109"/>
  <c r="P102" i="109"/>
  <c r="O102" i="109"/>
  <c r="N102" i="109"/>
  <c r="M102" i="109"/>
  <c r="L102" i="109"/>
  <c r="K102" i="109"/>
  <c r="J102" i="109"/>
  <c r="I102" i="109"/>
  <c r="H102" i="109"/>
  <c r="G102" i="109"/>
  <c r="X102" i="116"/>
  <c r="W102" i="116"/>
  <c r="V102" i="116"/>
  <c r="U102" i="116"/>
  <c r="T102" i="116"/>
  <c r="S102" i="116"/>
  <c r="R102" i="116"/>
  <c r="Q102" i="116"/>
  <c r="P102" i="116"/>
  <c r="O102" i="116"/>
  <c r="N102" i="116"/>
  <c r="M102" i="116"/>
  <c r="L102" i="116"/>
  <c r="K102" i="116"/>
  <c r="J102" i="116"/>
  <c r="I102" i="116"/>
  <c r="H102" i="116"/>
  <c r="G102" i="116"/>
  <c r="H64" i="116"/>
  <c r="I64" i="116"/>
  <c r="J64" i="116"/>
  <c r="K64" i="116"/>
  <c r="L64" i="116"/>
  <c r="M64" i="116"/>
  <c r="N64" i="116"/>
  <c r="O64" i="116"/>
  <c r="P64" i="116"/>
  <c r="Q64" i="116"/>
  <c r="R64" i="116"/>
  <c r="S64" i="116"/>
  <c r="T64" i="116"/>
  <c r="U64" i="116"/>
  <c r="V64" i="116"/>
  <c r="W64" i="116"/>
  <c r="X64" i="116"/>
  <c r="H64" i="115"/>
  <c r="I64" i="115"/>
  <c r="J64" i="115"/>
  <c r="K64" i="115"/>
  <c r="L64" i="115"/>
  <c r="M64" i="115"/>
  <c r="N64" i="115"/>
  <c r="O64" i="115"/>
  <c r="P64" i="115"/>
  <c r="Q64" i="115"/>
  <c r="R64" i="115"/>
  <c r="S64" i="115"/>
  <c r="T64" i="115"/>
  <c r="U64" i="115"/>
  <c r="V64" i="115"/>
  <c r="W64" i="115"/>
  <c r="X64" i="115"/>
  <c r="X102" i="115"/>
  <c r="W102" i="115"/>
  <c r="V102" i="115"/>
  <c r="U102" i="115"/>
  <c r="T102" i="115"/>
  <c r="S102" i="115"/>
  <c r="R102" i="115"/>
  <c r="Q102" i="115"/>
  <c r="P102" i="115"/>
  <c r="O102" i="115"/>
  <c r="N102" i="115"/>
  <c r="M102" i="115"/>
  <c r="L102" i="115"/>
  <c r="K102" i="115"/>
  <c r="J102" i="115"/>
  <c r="I102" i="115"/>
  <c r="H102" i="115"/>
  <c r="G102" i="115"/>
  <c r="X102" i="114"/>
  <c r="W102" i="114"/>
  <c r="V102" i="114"/>
  <c r="U102" i="114"/>
  <c r="T102" i="114"/>
  <c r="S102" i="114"/>
  <c r="R102" i="114"/>
  <c r="Q102" i="114"/>
  <c r="P102" i="114"/>
  <c r="O102" i="114"/>
  <c r="N102" i="114"/>
  <c r="M102" i="114"/>
  <c r="L102" i="114"/>
  <c r="K102" i="114"/>
  <c r="J102" i="114"/>
  <c r="I102" i="114"/>
  <c r="H102" i="114"/>
  <c r="G102" i="114"/>
  <c r="H64" i="114"/>
  <c r="I64" i="114"/>
  <c r="J64" i="114"/>
  <c r="K64" i="114"/>
  <c r="L64" i="114"/>
  <c r="M64" i="114"/>
  <c r="N64" i="114"/>
  <c r="O64" i="114"/>
  <c r="P64" i="114"/>
  <c r="Q64" i="114"/>
  <c r="R64" i="114"/>
  <c r="S64" i="114"/>
  <c r="T64" i="114"/>
  <c r="U64" i="114"/>
  <c r="V64" i="114"/>
  <c r="W64" i="114"/>
  <c r="X64" i="114"/>
  <c r="H102" i="113"/>
  <c r="I102" i="113"/>
  <c r="J102" i="113"/>
  <c r="K102" i="113"/>
  <c r="L102" i="113"/>
  <c r="M102" i="113"/>
  <c r="N102" i="113"/>
  <c r="O102" i="113"/>
  <c r="P102" i="113"/>
  <c r="Q102" i="113"/>
  <c r="R102" i="113"/>
  <c r="S102" i="113"/>
  <c r="T102" i="113"/>
  <c r="U102" i="113"/>
  <c r="V102" i="113"/>
  <c r="W102" i="113"/>
  <c r="X102" i="113"/>
  <c r="G102" i="113"/>
  <c r="H64" i="113"/>
  <c r="I64" i="113"/>
  <c r="J64" i="113"/>
  <c r="K64" i="113"/>
  <c r="L64" i="113"/>
  <c r="M64" i="113"/>
  <c r="N64" i="113"/>
  <c r="O64" i="113"/>
  <c r="P64" i="113"/>
  <c r="Q64" i="113"/>
  <c r="R64" i="113"/>
  <c r="S64" i="113"/>
  <c r="T64" i="113"/>
  <c r="U64" i="113"/>
  <c r="V64" i="113"/>
  <c r="W64" i="113"/>
  <c r="X64" i="113"/>
  <c r="H64" i="108"/>
  <c r="I64" i="108"/>
  <c r="J64" i="108"/>
  <c r="K64" i="108"/>
  <c r="L64" i="108"/>
  <c r="M64" i="108"/>
  <c r="N64" i="108"/>
  <c r="O64" i="108"/>
  <c r="P64" i="108"/>
  <c r="Q64" i="108"/>
  <c r="R64" i="108"/>
  <c r="S64" i="108"/>
  <c r="T64" i="108"/>
  <c r="U64" i="108"/>
  <c r="V64" i="108"/>
  <c r="W64" i="108"/>
  <c r="X64" i="108"/>
  <c r="I64" i="97"/>
  <c r="J64" i="97"/>
  <c r="K64" i="97"/>
  <c r="L64" i="97"/>
  <c r="M64" i="97"/>
  <c r="N64" i="97"/>
  <c r="O64" i="97"/>
  <c r="P64" i="97"/>
  <c r="Q64" i="97"/>
  <c r="R64" i="97"/>
  <c r="S64" i="97"/>
  <c r="T64" i="97"/>
  <c r="U64" i="97"/>
  <c r="V64" i="97"/>
  <c r="W64" i="97"/>
  <c r="X64" i="97"/>
  <c r="H64" i="97"/>
  <c r="M56" i="123"/>
  <c r="F51" i="108"/>
  <c r="N56" i="123"/>
  <c r="G51" i="108"/>
  <c r="O56" i="123"/>
  <c r="H51" i="108"/>
  <c r="P56" i="123"/>
  <c r="I51" i="108"/>
  <c r="Q56" i="123"/>
  <c r="J51" i="108"/>
  <c r="R56" i="123"/>
  <c r="K51" i="108"/>
  <c r="S56" i="123"/>
  <c r="L51" i="108"/>
  <c r="T56" i="123"/>
  <c r="M51" i="108"/>
  <c r="U56" i="123"/>
  <c r="N51" i="108"/>
  <c r="V56" i="123"/>
  <c r="O51" i="108"/>
  <c r="W56" i="123"/>
  <c r="P51" i="108"/>
  <c r="X56" i="123"/>
  <c r="Q51" i="108"/>
  <c r="Y56" i="123"/>
  <c r="R51" i="108"/>
  <c r="Z56" i="123"/>
  <c r="S51" i="108"/>
  <c r="AA56" i="123"/>
  <c r="T51" i="108"/>
  <c r="AB56" i="123"/>
  <c r="U51" i="108"/>
  <c r="AC56" i="123"/>
  <c r="V51" i="108"/>
  <c r="AD56" i="123"/>
  <c r="W51" i="108"/>
  <c r="AE56" i="123"/>
  <c r="X51" i="108"/>
  <c r="L56" i="123"/>
  <c r="E51" i="108"/>
  <c r="F51" i="97"/>
  <c r="G51" i="97"/>
  <c r="H51" i="97"/>
  <c r="I51" i="97"/>
  <c r="J51" i="97"/>
  <c r="K51" i="97"/>
  <c r="L51" i="97"/>
  <c r="M51" i="97"/>
  <c r="N51" i="97"/>
  <c r="O51" i="97"/>
  <c r="P51" i="97"/>
  <c r="Q51" i="97"/>
  <c r="R51" i="97"/>
  <c r="S51" i="97"/>
  <c r="T51" i="97"/>
  <c r="U51" i="97"/>
  <c r="V51" i="97"/>
  <c r="W51" i="97"/>
  <c r="X51" i="97"/>
  <c r="E51" i="97"/>
  <c r="B71" i="145"/>
  <c r="B60" i="145"/>
  <c r="B27" i="145"/>
  <c r="B49" i="145"/>
  <c r="B38" i="145"/>
  <c r="B16" i="145"/>
  <c r="D20" i="145"/>
  <c r="B5" i="145"/>
  <c r="H47" i="146"/>
  <c r="G136" i="105"/>
  <c r="H136" i="105"/>
  <c r="I136" i="105"/>
  <c r="J136" i="105"/>
  <c r="K136" i="105"/>
  <c r="L136" i="105"/>
  <c r="M136" i="105"/>
  <c r="N136" i="105"/>
  <c r="O136" i="105"/>
  <c r="P136" i="105"/>
  <c r="Q136" i="105"/>
  <c r="R136" i="105"/>
  <c r="S136" i="105"/>
  <c r="T136" i="105"/>
  <c r="U136" i="105"/>
  <c r="V136" i="105"/>
  <c r="W136" i="105"/>
  <c r="X136" i="105"/>
  <c r="F136" i="105"/>
  <c r="E136" i="105"/>
  <c r="G136" i="120"/>
  <c r="H136" i="120"/>
  <c r="I136" i="120"/>
  <c r="J136" i="120"/>
  <c r="K136" i="120"/>
  <c r="L136" i="120"/>
  <c r="M136" i="120"/>
  <c r="N136" i="120"/>
  <c r="O136" i="120"/>
  <c r="P136" i="120"/>
  <c r="Q136" i="120"/>
  <c r="R136" i="120"/>
  <c r="S136" i="120"/>
  <c r="T136" i="120"/>
  <c r="U136" i="120"/>
  <c r="V136" i="120"/>
  <c r="W136" i="120"/>
  <c r="X136" i="120"/>
  <c r="F136" i="120"/>
  <c r="E136" i="120"/>
  <c r="J104" i="137"/>
  <c r="L104" i="137"/>
  <c r="J105" i="137"/>
  <c r="L105" i="137"/>
  <c r="L106" i="137"/>
  <c r="M106" i="137"/>
  <c r="N106" i="137"/>
  <c r="O106" i="137"/>
  <c r="P106" i="137"/>
  <c r="Q106" i="137"/>
  <c r="R106" i="137"/>
  <c r="S106" i="137"/>
  <c r="T106" i="137"/>
  <c r="U106" i="137"/>
  <c r="V106" i="137"/>
  <c r="W106" i="137"/>
  <c r="X106" i="137"/>
  <c r="Y106" i="137"/>
  <c r="Z106" i="137"/>
  <c r="AA106" i="137"/>
  <c r="AB106" i="137"/>
  <c r="AC106" i="137"/>
  <c r="AD106" i="137"/>
  <c r="AE106" i="137"/>
  <c r="L107" i="137"/>
  <c r="M107" i="137"/>
  <c r="N107" i="137"/>
  <c r="O107" i="137"/>
  <c r="P107" i="137"/>
  <c r="Q107" i="137"/>
  <c r="R107" i="137"/>
  <c r="S107" i="137"/>
  <c r="T107" i="137"/>
  <c r="U107" i="137"/>
  <c r="V107" i="137"/>
  <c r="W107" i="137"/>
  <c r="X107" i="137"/>
  <c r="Y107" i="137"/>
  <c r="Z107" i="137"/>
  <c r="AA107" i="137"/>
  <c r="AB107" i="137"/>
  <c r="AC107" i="137"/>
  <c r="AD107" i="137"/>
  <c r="AE107" i="137"/>
  <c r="M104" i="137"/>
  <c r="M105" i="137"/>
  <c r="M108" i="137"/>
  <c r="L108" i="137"/>
  <c r="J63" i="118"/>
  <c r="L104" i="122"/>
  <c r="M170" i="143"/>
  <c r="N170" i="143"/>
  <c r="O170" i="143"/>
  <c r="P170" i="143"/>
  <c r="Q170" i="143"/>
  <c r="R170" i="143"/>
  <c r="S170" i="143"/>
  <c r="T170" i="143"/>
  <c r="U170" i="143"/>
  <c r="V170" i="143"/>
  <c r="W170" i="143"/>
  <c r="X170" i="143"/>
  <c r="Y170" i="143"/>
  <c r="Z170" i="143"/>
  <c r="AA170" i="143"/>
  <c r="AB170" i="143"/>
  <c r="AC170" i="143"/>
  <c r="AD170" i="143"/>
  <c r="AE170" i="143"/>
  <c r="L170" i="143"/>
  <c r="M170" i="142"/>
  <c r="N170" i="142"/>
  <c r="L170" i="142"/>
  <c r="M170" i="141"/>
  <c r="N170" i="141"/>
  <c r="L170" i="141"/>
  <c r="N170" i="140"/>
  <c r="M169" i="139"/>
  <c r="N169" i="139"/>
  <c r="O169" i="139"/>
  <c r="P169" i="139"/>
  <c r="Q169" i="139"/>
  <c r="R169" i="139"/>
  <c r="S169" i="139"/>
  <c r="T169" i="139"/>
  <c r="U169" i="139"/>
  <c r="V169" i="139"/>
  <c r="W169" i="139"/>
  <c r="X169" i="139"/>
  <c r="Y169" i="139"/>
  <c r="Z169" i="139"/>
  <c r="AA169" i="139"/>
  <c r="AB169" i="139"/>
  <c r="AC169" i="139"/>
  <c r="AD169" i="139"/>
  <c r="AE169" i="139"/>
  <c r="L169" i="139"/>
  <c r="M169" i="138"/>
  <c r="N169" i="138"/>
  <c r="L169" i="138"/>
  <c r="M169" i="137"/>
  <c r="N169" i="137"/>
  <c r="L169" i="137"/>
  <c r="N169" i="136"/>
  <c r="R49" i="146"/>
  <c r="T49" i="146"/>
  <c r="T20" i="146"/>
  <c r="R20" i="146"/>
  <c r="P20" i="146"/>
  <c r="Y49" i="146"/>
  <c r="AA49" i="146"/>
  <c r="J63" i="96"/>
  <c r="J114" i="96"/>
  <c r="J115" i="96"/>
  <c r="AA20" i="146"/>
  <c r="Y20" i="146"/>
  <c r="W20" i="146"/>
  <c r="AO20" i="146"/>
  <c r="AM20" i="146"/>
  <c r="AK20" i="146"/>
  <c r="AH20" i="146"/>
  <c r="J115" i="118"/>
  <c r="J116" i="118"/>
  <c r="AF20" i="146"/>
  <c r="AD20" i="146"/>
  <c r="AO86" i="146"/>
  <c r="AM86" i="146"/>
  <c r="AK86" i="146"/>
  <c r="J151" i="118"/>
  <c r="AF86" i="146"/>
  <c r="AH86" i="146"/>
  <c r="AD86" i="146"/>
  <c r="R86" i="146"/>
  <c r="T86" i="146"/>
  <c r="P86" i="146"/>
  <c r="B56" i="145"/>
  <c r="B45" i="145"/>
  <c r="B34" i="145"/>
  <c r="B23" i="145"/>
  <c r="B12" i="145"/>
  <c r="B79" i="13"/>
  <c r="U11" i="13"/>
  <c r="Z79" i="13"/>
  <c r="Z97" i="13"/>
  <c r="G33" i="98"/>
  <c r="B85" i="13"/>
  <c r="Z85" i="13"/>
  <c r="B91" i="13"/>
  <c r="Z91" i="13"/>
  <c r="AD97" i="13"/>
  <c r="AD79" i="13"/>
  <c r="H22" i="98"/>
  <c r="D77" i="145"/>
  <c r="D66" i="145"/>
  <c r="J150" i="96"/>
  <c r="AA86" i="146"/>
  <c r="Y86" i="146"/>
  <c r="D22" i="98"/>
  <c r="D28" i="98"/>
  <c r="E22" i="98"/>
  <c r="F22" i="98"/>
  <c r="G22" i="98"/>
  <c r="I22" i="98"/>
  <c r="J22" i="98"/>
  <c r="K22" i="98"/>
  <c r="L22" i="98"/>
  <c r="M22" i="98"/>
  <c r="N22" i="98"/>
  <c r="O22" i="98"/>
  <c r="P22" i="98"/>
  <c r="Q22" i="98"/>
  <c r="R22" i="98"/>
  <c r="S22" i="98"/>
  <c r="T22" i="98"/>
  <c r="U22" i="98"/>
  <c r="V22" i="98"/>
  <c r="C22" i="98"/>
  <c r="C28" i="98"/>
  <c r="Q112" i="131"/>
  <c r="Q158" i="131"/>
  <c r="Q162" i="131"/>
  <c r="F27" i="105"/>
  <c r="M32" i="143"/>
  <c r="M136" i="143"/>
  <c r="N136" i="143"/>
  <c r="M137" i="143"/>
  <c r="N137" i="143"/>
  <c r="M138" i="143"/>
  <c r="N138" i="143"/>
  <c r="M139" i="143"/>
  <c r="N139" i="143"/>
  <c r="M140" i="143"/>
  <c r="N140" i="143"/>
  <c r="N141" i="143"/>
  <c r="M11" i="143"/>
  <c r="O136" i="143"/>
  <c r="O137" i="143"/>
  <c r="O138" i="143"/>
  <c r="O139" i="143"/>
  <c r="O140" i="143"/>
  <c r="O141" i="143"/>
  <c r="N11" i="143"/>
  <c r="P136" i="143"/>
  <c r="P137" i="143"/>
  <c r="P138" i="143"/>
  <c r="P139" i="143"/>
  <c r="P140" i="143"/>
  <c r="P141" i="143"/>
  <c r="O11" i="143"/>
  <c r="Q136" i="143"/>
  <c r="Q137" i="143"/>
  <c r="Q138" i="143"/>
  <c r="Q139" i="143"/>
  <c r="Q140" i="143"/>
  <c r="Q141" i="143"/>
  <c r="P11" i="143"/>
  <c r="R136" i="143"/>
  <c r="R137" i="143"/>
  <c r="R138" i="143"/>
  <c r="R139" i="143"/>
  <c r="R140" i="143"/>
  <c r="R141" i="143"/>
  <c r="Q11" i="143"/>
  <c r="S136" i="143"/>
  <c r="S137" i="143"/>
  <c r="S138" i="143"/>
  <c r="S139" i="143"/>
  <c r="S140" i="143"/>
  <c r="S141" i="143"/>
  <c r="R11" i="143"/>
  <c r="T136" i="143"/>
  <c r="T137" i="143"/>
  <c r="T138" i="143"/>
  <c r="T139" i="143"/>
  <c r="T140" i="143"/>
  <c r="T141" i="143"/>
  <c r="S11" i="143"/>
  <c r="U136" i="143"/>
  <c r="U137" i="143"/>
  <c r="U138" i="143"/>
  <c r="U139" i="143"/>
  <c r="U140" i="143"/>
  <c r="U141" i="143"/>
  <c r="T11" i="143"/>
  <c r="V136" i="143"/>
  <c r="V137" i="143"/>
  <c r="V138" i="143"/>
  <c r="V139" i="143"/>
  <c r="V140" i="143"/>
  <c r="V141" i="143"/>
  <c r="U11" i="143"/>
  <c r="W136" i="143"/>
  <c r="W137" i="143"/>
  <c r="W138" i="143"/>
  <c r="W139" i="143"/>
  <c r="W140" i="143"/>
  <c r="W141" i="143"/>
  <c r="V11" i="143"/>
  <c r="X136" i="143"/>
  <c r="X137" i="143"/>
  <c r="X138" i="143"/>
  <c r="X139" i="143"/>
  <c r="X140" i="143"/>
  <c r="X141" i="143"/>
  <c r="W11" i="143"/>
  <c r="Y136" i="143"/>
  <c r="Y137" i="143"/>
  <c r="Y138" i="143"/>
  <c r="Y139" i="143"/>
  <c r="Y140" i="143"/>
  <c r="Y141" i="143"/>
  <c r="X11" i="143"/>
  <c r="Z136" i="143"/>
  <c r="Z137" i="143"/>
  <c r="Z138" i="143"/>
  <c r="Z139" i="143"/>
  <c r="Z140" i="143"/>
  <c r="Z141" i="143"/>
  <c r="Y11" i="143"/>
  <c r="AA136" i="143"/>
  <c r="AA137" i="143"/>
  <c r="AA138" i="143"/>
  <c r="AA139" i="143"/>
  <c r="AA140" i="143"/>
  <c r="AA141" i="143"/>
  <c r="Z11" i="143"/>
  <c r="AB136" i="143"/>
  <c r="AB137" i="143"/>
  <c r="AB138" i="143"/>
  <c r="AB139" i="143"/>
  <c r="AB140" i="143"/>
  <c r="AB141" i="143"/>
  <c r="AA11" i="143"/>
  <c r="AC136" i="143"/>
  <c r="AC137" i="143"/>
  <c r="AC138" i="143"/>
  <c r="AC139" i="143"/>
  <c r="AC140" i="143"/>
  <c r="AC141" i="143"/>
  <c r="AB11" i="143"/>
  <c r="AD136" i="143"/>
  <c r="AD137" i="143"/>
  <c r="AD138" i="143"/>
  <c r="AD139" i="143"/>
  <c r="AD140" i="143"/>
  <c r="AD141" i="143"/>
  <c r="AC11" i="143"/>
  <c r="AE136" i="143"/>
  <c r="AE137" i="143"/>
  <c r="AE138" i="143"/>
  <c r="AE139" i="143"/>
  <c r="AE140" i="143"/>
  <c r="AE141" i="143"/>
  <c r="M141" i="143"/>
  <c r="F27" i="120"/>
  <c r="M32" i="139"/>
  <c r="M135" i="139"/>
  <c r="N135" i="139"/>
  <c r="M136" i="139"/>
  <c r="N136" i="139"/>
  <c r="M137" i="139"/>
  <c r="N137" i="139"/>
  <c r="M138" i="139"/>
  <c r="N138" i="139"/>
  <c r="M139" i="139"/>
  <c r="N139" i="139"/>
  <c r="N140" i="139"/>
  <c r="M11" i="139"/>
  <c r="O135" i="139"/>
  <c r="O136" i="139"/>
  <c r="O137" i="139"/>
  <c r="O138" i="139"/>
  <c r="O139" i="139"/>
  <c r="O140" i="139"/>
  <c r="N11" i="139"/>
  <c r="P135" i="139"/>
  <c r="P136" i="139"/>
  <c r="P137" i="139"/>
  <c r="P138" i="139"/>
  <c r="P139" i="139"/>
  <c r="P140" i="139"/>
  <c r="O11" i="139"/>
  <c r="Q135" i="139"/>
  <c r="Q136" i="139"/>
  <c r="Q137" i="139"/>
  <c r="Q138" i="139"/>
  <c r="Q139" i="139"/>
  <c r="Q140" i="139"/>
  <c r="P11" i="139"/>
  <c r="R135" i="139"/>
  <c r="R136" i="139"/>
  <c r="R137" i="139"/>
  <c r="R138" i="139"/>
  <c r="R139" i="139"/>
  <c r="R140" i="139"/>
  <c r="Q11" i="139"/>
  <c r="S135" i="139"/>
  <c r="S136" i="139"/>
  <c r="S137" i="139"/>
  <c r="S138" i="139"/>
  <c r="S139" i="139"/>
  <c r="S140" i="139"/>
  <c r="R11" i="139"/>
  <c r="T135" i="139"/>
  <c r="T136" i="139"/>
  <c r="T137" i="139"/>
  <c r="T138" i="139"/>
  <c r="T139" i="139"/>
  <c r="T140" i="139"/>
  <c r="S11" i="139"/>
  <c r="U135" i="139"/>
  <c r="U136" i="139"/>
  <c r="U137" i="139"/>
  <c r="U138" i="139"/>
  <c r="U139" i="139"/>
  <c r="U140" i="139"/>
  <c r="T11" i="139"/>
  <c r="V135" i="139"/>
  <c r="V136" i="139"/>
  <c r="V137" i="139"/>
  <c r="V138" i="139"/>
  <c r="V139" i="139"/>
  <c r="V140" i="139"/>
  <c r="U11" i="139"/>
  <c r="W135" i="139"/>
  <c r="W136" i="139"/>
  <c r="W137" i="139"/>
  <c r="W138" i="139"/>
  <c r="W139" i="139"/>
  <c r="W140" i="139"/>
  <c r="V11" i="139"/>
  <c r="X135" i="139"/>
  <c r="X136" i="139"/>
  <c r="X137" i="139"/>
  <c r="X138" i="139"/>
  <c r="X139" i="139"/>
  <c r="X140" i="139"/>
  <c r="W11" i="139"/>
  <c r="Y135" i="139"/>
  <c r="Y136" i="139"/>
  <c r="Y137" i="139"/>
  <c r="Y138" i="139"/>
  <c r="Y139" i="139"/>
  <c r="Y140" i="139"/>
  <c r="X11" i="139"/>
  <c r="Z135" i="139"/>
  <c r="Z136" i="139"/>
  <c r="Z137" i="139"/>
  <c r="Z138" i="139"/>
  <c r="Z139" i="139"/>
  <c r="Z140" i="139"/>
  <c r="Y11" i="139"/>
  <c r="AA135" i="139"/>
  <c r="AA136" i="139"/>
  <c r="AA137" i="139"/>
  <c r="AA138" i="139"/>
  <c r="AA139" i="139"/>
  <c r="AA140" i="139"/>
  <c r="Z11" i="139"/>
  <c r="AB135" i="139"/>
  <c r="AB136" i="139"/>
  <c r="AB137" i="139"/>
  <c r="AB138" i="139"/>
  <c r="AB139" i="139"/>
  <c r="AB140" i="139"/>
  <c r="AA11" i="139"/>
  <c r="AC135" i="139"/>
  <c r="AC136" i="139"/>
  <c r="AC137" i="139"/>
  <c r="AC138" i="139"/>
  <c r="AC139" i="139"/>
  <c r="AC140" i="139"/>
  <c r="AB11" i="139"/>
  <c r="AD135" i="139"/>
  <c r="AD136" i="139"/>
  <c r="AD137" i="139"/>
  <c r="AD138" i="139"/>
  <c r="AD139" i="139"/>
  <c r="AD140" i="139"/>
  <c r="AC11" i="139"/>
  <c r="AE135" i="139"/>
  <c r="AE136" i="139"/>
  <c r="AE137" i="139"/>
  <c r="AE138" i="139"/>
  <c r="AE139" i="139"/>
  <c r="AE140" i="139"/>
  <c r="M140" i="139"/>
  <c r="F27" i="102"/>
  <c r="M32" i="135"/>
  <c r="M136" i="135"/>
  <c r="N136" i="135"/>
  <c r="M137" i="135"/>
  <c r="N137" i="135"/>
  <c r="M138" i="135"/>
  <c r="N138" i="135"/>
  <c r="M139" i="135"/>
  <c r="N139" i="135"/>
  <c r="M140" i="135"/>
  <c r="N140" i="135"/>
  <c r="N141" i="135"/>
  <c r="M11" i="135"/>
  <c r="O136" i="135"/>
  <c r="O137" i="135"/>
  <c r="O138" i="135"/>
  <c r="O139" i="135"/>
  <c r="O140" i="135"/>
  <c r="O141" i="135"/>
  <c r="N11" i="135"/>
  <c r="P136" i="135"/>
  <c r="P137" i="135"/>
  <c r="P138" i="135"/>
  <c r="P139" i="135"/>
  <c r="P140" i="135"/>
  <c r="P141" i="135"/>
  <c r="O11" i="135"/>
  <c r="Q136" i="135"/>
  <c r="Q137" i="135"/>
  <c r="Q138" i="135"/>
  <c r="Q139" i="135"/>
  <c r="Q140" i="135"/>
  <c r="Q141" i="135"/>
  <c r="P11" i="135"/>
  <c r="R136" i="135"/>
  <c r="R137" i="135"/>
  <c r="R138" i="135"/>
  <c r="R139" i="135"/>
  <c r="R140" i="135"/>
  <c r="R141" i="135"/>
  <c r="Q11" i="135"/>
  <c r="S136" i="135"/>
  <c r="S137" i="135"/>
  <c r="S138" i="135"/>
  <c r="S139" i="135"/>
  <c r="S140" i="135"/>
  <c r="S141" i="135"/>
  <c r="R11" i="135"/>
  <c r="T136" i="135"/>
  <c r="T137" i="135"/>
  <c r="T138" i="135"/>
  <c r="T139" i="135"/>
  <c r="T140" i="135"/>
  <c r="T141" i="135"/>
  <c r="S11" i="135"/>
  <c r="U136" i="135"/>
  <c r="U137" i="135"/>
  <c r="U138" i="135"/>
  <c r="U139" i="135"/>
  <c r="U140" i="135"/>
  <c r="U141" i="135"/>
  <c r="T11" i="135"/>
  <c r="V136" i="135"/>
  <c r="V137" i="135"/>
  <c r="V138" i="135"/>
  <c r="V139" i="135"/>
  <c r="V140" i="135"/>
  <c r="V141" i="135"/>
  <c r="U11" i="135"/>
  <c r="W136" i="135"/>
  <c r="W137" i="135"/>
  <c r="W138" i="135"/>
  <c r="W139" i="135"/>
  <c r="W140" i="135"/>
  <c r="W141" i="135"/>
  <c r="V11" i="135"/>
  <c r="X136" i="135"/>
  <c r="X137" i="135"/>
  <c r="X138" i="135"/>
  <c r="X139" i="135"/>
  <c r="X140" i="135"/>
  <c r="X141" i="135"/>
  <c r="W11" i="135"/>
  <c r="Y136" i="135"/>
  <c r="Y137" i="135"/>
  <c r="Y138" i="135"/>
  <c r="Y139" i="135"/>
  <c r="Y140" i="135"/>
  <c r="Y141" i="135"/>
  <c r="X11" i="135"/>
  <c r="Z136" i="135"/>
  <c r="Z137" i="135"/>
  <c r="Z138" i="135"/>
  <c r="Z139" i="135"/>
  <c r="Z140" i="135"/>
  <c r="Z141" i="135"/>
  <c r="Y11" i="135"/>
  <c r="AA136" i="135"/>
  <c r="AA137" i="135"/>
  <c r="AA138" i="135"/>
  <c r="AA139" i="135"/>
  <c r="AA140" i="135"/>
  <c r="AA141" i="135"/>
  <c r="Z11" i="135"/>
  <c r="AB136" i="135"/>
  <c r="AB137" i="135"/>
  <c r="AB138" i="135"/>
  <c r="AB139" i="135"/>
  <c r="AB140" i="135"/>
  <c r="AB141" i="135"/>
  <c r="AA11" i="135"/>
  <c r="AC136" i="135"/>
  <c r="AC137" i="135"/>
  <c r="AC138" i="135"/>
  <c r="AC139" i="135"/>
  <c r="AC140" i="135"/>
  <c r="AC141" i="135"/>
  <c r="AB11" i="135"/>
  <c r="AD136" i="135"/>
  <c r="AD137" i="135"/>
  <c r="AD138" i="135"/>
  <c r="AD139" i="135"/>
  <c r="AD140" i="135"/>
  <c r="AD141" i="135"/>
  <c r="AC11" i="135"/>
  <c r="AE136" i="135"/>
  <c r="AE137" i="135"/>
  <c r="AE138" i="135"/>
  <c r="AE139" i="135"/>
  <c r="AE140" i="135"/>
  <c r="AE141" i="135"/>
  <c r="M141" i="135"/>
  <c r="F27" i="112"/>
  <c r="M32" i="132"/>
  <c r="M135" i="132"/>
  <c r="N135" i="132"/>
  <c r="M136" i="132"/>
  <c r="N136" i="132"/>
  <c r="M137" i="132"/>
  <c r="N137" i="132"/>
  <c r="M138" i="132"/>
  <c r="N138" i="132"/>
  <c r="M139" i="132"/>
  <c r="N139" i="132"/>
  <c r="N140" i="132"/>
  <c r="M11" i="132"/>
  <c r="O135" i="132"/>
  <c r="O136" i="132"/>
  <c r="O137" i="132"/>
  <c r="O138" i="132"/>
  <c r="O139" i="132"/>
  <c r="O140" i="132"/>
  <c r="N11" i="132"/>
  <c r="P135" i="132"/>
  <c r="P136" i="132"/>
  <c r="P137" i="132"/>
  <c r="P138" i="132"/>
  <c r="P139" i="132"/>
  <c r="P140" i="132"/>
  <c r="O11" i="132"/>
  <c r="Q135" i="132"/>
  <c r="Q136" i="132"/>
  <c r="Q137" i="132"/>
  <c r="Q138" i="132"/>
  <c r="Q139" i="132"/>
  <c r="Q140" i="132"/>
  <c r="P11" i="132"/>
  <c r="R135" i="132"/>
  <c r="R136" i="132"/>
  <c r="R137" i="132"/>
  <c r="R138" i="132"/>
  <c r="R139" i="132"/>
  <c r="R140" i="132"/>
  <c r="Q11" i="132"/>
  <c r="S135" i="132"/>
  <c r="S136" i="132"/>
  <c r="S137" i="132"/>
  <c r="S138" i="132"/>
  <c r="S139" i="132"/>
  <c r="S140" i="132"/>
  <c r="R11" i="132"/>
  <c r="T135" i="132"/>
  <c r="T136" i="132"/>
  <c r="T137" i="132"/>
  <c r="T138" i="132"/>
  <c r="T139" i="132"/>
  <c r="T140" i="132"/>
  <c r="S11" i="132"/>
  <c r="U135" i="132"/>
  <c r="U136" i="132"/>
  <c r="U137" i="132"/>
  <c r="U138" i="132"/>
  <c r="U139" i="132"/>
  <c r="U140" i="132"/>
  <c r="T11" i="132"/>
  <c r="V135" i="132"/>
  <c r="V136" i="132"/>
  <c r="V137" i="132"/>
  <c r="V138" i="132"/>
  <c r="V139" i="132"/>
  <c r="V140" i="132"/>
  <c r="U11" i="132"/>
  <c r="W135" i="132"/>
  <c r="W136" i="132"/>
  <c r="W137" i="132"/>
  <c r="W138" i="132"/>
  <c r="W139" i="132"/>
  <c r="W140" i="132"/>
  <c r="V11" i="132"/>
  <c r="X135" i="132"/>
  <c r="X136" i="132"/>
  <c r="X137" i="132"/>
  <c r="X138" i="132"/>
  <c r="X139" i="132"/>
  <c r="X140" i="132"/>
  <c r="W11" i="132"/>
  <c r="Y135" i="132"/>
  <c r="Y136" i="132"/>
  <c r="Y137" i="132"/>
  <c r="Y138" i="132"/>
  <c r="Y139" i="132"/>
  <c r="Y140" i="132"/>
  <c r="X11" i="132"/>
  <c r="Z135" i="132"/>
  <c r="Z136" i="132"/>
  <c r="Z137" i="132"/>
  <c r="Z138" i="132"/>
  <c r="Z139" i="132"/>
  <c r="Z140" i="132"/>
  <c r="Y11" i="132"/>
  <c r="AA135" i="132"/>
  <c r="AA136" i="132"/>
  <c r="AA137" i="132"/>
  <c r="AA138" i="132"/>
  <c r="AA139" i="132"/>
  <c r="AA140" i="132"/>
  <c r="Z11" i="132"/>
  <c r="AB135" i="132"/>
  <c r="AB136" i="132"/>
  <c r="AB137" i="132"/>
  <c r="AB138" i="132"/>
  <c r="AB139" i="132"/>
  <c r="AB140" i="132"/>
  <c r="AA11" i="132"/>
  <c r="AC135" i="132"/>
  <c r="AC136" i="132"/>
  <c r="AC137" i="132"/>
  <c r="AC138" i="132"/>
  <c r="AC139" i="132"/>
  <c r="AC140" i="132"/>
  <c r="AB11" i="132"/>
  <c r="AD135" i="132"/>
  <c r="AD136" i="132"/>
  <c r="AD137" i="132"/>
  <c r="AD138" i="132"/>
  <c r="AD139" i="132"/>
  <c r="AD140" i="132"/>
  <c r="AC11" i="132"/>
  <c r="AE135" i="132"/>
  <c r="AE136" i="132"/>
  <c r="AE137" i="132"/>
  <c r="AE138" i="132"/>
  <c r="AE139" i="132"/>
  <c r="AE140" i="132"/>
  <c r="M140" i="132"/>
  <c r="F27" i="116"/>
  <c r="M32" i="127"/>
  <c r="M134" i="127"/>
  <c r="N134" i="127"/>
  <c r="M135" i="127"/>
  <c r="N135" i="127"/>
  <c r="M136" i="127"/>
  <c r="N136" i="127"/>
  <c r="M137" i="127"/>
  <c r="N137" i="127"/>
  <c r="M138" i="127"/>
  <c r="N138" i="127"/>
  <c r="N139" i="127"/>
  <c r="M11" i="127"/>
  <c r="O134" i="127"/>
  <c r="O135" i="127"/>
  <c r="O136" i="127"/>
  <c r="O137" i="127"/>
  <c r="O138" i="127"/>
  <c r="O139" i="127"/>
  <c r="N11" i="127"/>
  <c r="P134" i="127"/>
  <c r="P135" i="127"/>
  <c r="P136" i="127"/>
  <c r="P137" i="127"/>
  <c r="P138" i="127"/>
  <c r="P139" i="127"/>
  <c r="O11" i="127"/>
  <c r="Q134" i="127"/>
  <c r="Q135" i="127"/>
  <c r="Q136" i="127"/>
  <c r="Q137" i="127"/>
  <c r="Q138" i="127"/>
  <c r="Q139" i="127"/>
  <c r="P11" i="127"/>
  <c r="R134" i="127"/>
  <c r="R135" i="127"/>
  <c r="R136" i="127"/>
  <c r="R137" i="127"/>
  <c r="R138" i="127"/>
  <c r="R139" i="127"/>
  <c r="Q11" i="127"/>
  <c r="S134" i="127"/>
  <c r="S135" i="127"/>
  <c r="S136" i="127"/>
  <c r="S137" i="127"/>
  <c r="S138" i="127"/>
  <c r="S139" i="127"/>
  <c r="R11" i="127"/>
  <c r="T134" i="127"/>
  <c r="T135" i="127"/>
  <c r="T136" i="127"/>
  <c r="T137" i="127"/>
  <c r="T138" i="127"/>
  <c r="T139" i="127"/>
  <c r="S11" i="127"/>
  <c r="U134" i="127"/>
  <c r="U135" i="127"/>
  <c r="U136" i="127"/>
  <c r="U137" i="127"/>
  <c r="U138" i="127"/>
  <c r="U139" i="127"/>
  <c r="T11" i="127"/>
  <c r="V134" i="127"/>
  <c r="V135" i="127"/>
  <c r="V136" i="127"/>
  <c r="V137" i="127"/>
  <c r="V138" i="127"/>
  <c r="V139" i="127"/>
  <c r="U11" i="127"/>
  <c r="W134" i="127"/>
  <c r="W135" i="127"/>
  <c r="W136" i="127"/>
  <c r="W137" i="127"/>
  <c r="W138" i="127"/>
  <c r="W139" i="127"/>
  <c r="V11" i="127"/>
  <c r="X134" i="127"/>
  <c r="X135" i="127"/>
  <c r="X136" i="127"/>
  <c r="X137" i="127"/>
  <c r="X138" i="127"/>
  <c r="X139" i="127"/>
  <c r="W11" i="127"/>
  <c r="Y134" i="127"/>
  <c r="Y135" i="127"/>
  <c r="Y136" i="127"/>
  <c r="Y137" i="127"/>
  <c r="Y138" i="127"/>
  <c r="Y139" i="127"/>
  <c r="X11" i="127"/>
  <c r="Z134" i="127"/>
  <c r="Z135" i="127"/>
  <c r="Z136" i="127"/>
  <c r="Z137" i="127"/>
  <c r="Z138" i="127"/>
  <c r="Z139" i="127"/>
  <c r="Y11" i="127"/>
  <c r="AA134" i="127"/>
  <c r="AA135" i="127"/>
  <c r="AA136" i="127"/>
  <c r="AA137" i="127"/>
  <c r="AA138" i="127"/>
  <c r="AA139" i="127"/>
  <c r="Z11" i="127"/>
  <c r="AB134" i="127"/>
  <c r="AB135" i="127"/>
  <c r="AB136" i="127"/>
  <c r="AB137" i="127"/>
  <c r="AB138" i="127"/>
  <c r="AB139" i="127"/>
  <c r="AA11" i="127"/>
  <c r="AC134" i="127"/>
  <c r="AC135" i="127"/>
  <c r="AC136" i="127"/>
  <c r="AC137" i="127"/>
  <c r="AC138" i="127"/>
  <c r="AC139" i="127"/>
  <c r="AB11" i="127"/>
  <c r="AD134" i="127"/>
  <c r="AD135" i="127"/>
  <c r="AD136" i="127"/>
  <c r="AD137" i="127"/>
  <c r="AD138" i="127"/>
  <c r="AD139" i="127"/>
  <c r="AC11" i="127"/>
  <c r="AE134" i="127"/>
  <c r="AE135" i="127"/>
  <c r="AE136" i="127"/>
  <c r="AE137" i="127"/>
  <c r="AE138" i="127"/>
  <c r="AE139" i="127"/>
  <c r="M139" i="127"/>
  <c r="F27" i="115"/>
  <c r="M32" i="126"/>
  <c r="M134" i="126"/>
  <c r="N134" i="126"/>
  <c r="M135" i="126"/>
  <c r="N135" i="126"/>
  <c r="M136" i="126"/>
  <c r="N136" i="126"/>
  <c r="M137" i="126"/>
  <c r="N137" i="126"/>
  <c r="M138" i="126"/>
  <c r="N138" i="126"/>
  <c r="N139" i="126"/>
  <c r="M11" i="126"/>
  <c r="O134" i="126"/>
  <c r="O135" i="126"/>
  <c r="O136" i="126"/>
  <c r="O137" i="126"/>
  <c r="O138" i="126"/>
  <c r="O139" i="126"/>
  <c r="N11" i="126"/>
  <c r="P134" i="126"/>
  <c r="P135" i="126"/>
  <c r="P136" i="126"/>
  <c r="P137" i="126"/>
  <c r="P138" i="126"/>
  <c r="P139" i="126"/>
  <c r="O11" i="126"/>
  <c r="Q134" i="126"/>
  <c r="Q135" i="126"/>
  <c r="Q136" i="126"/>
  <c r="Q137" i="126"/>
  <c r="Q138" i="126"/>
  <c r="Q139" i="126"/>
  <c r="P11" i="126"/>
  <c r="R134" i="126"/>
  <c r="R135" i="126"/>
  <c r="R136" i="126"/>
  <c r="R137" i="126"/>
  <c r="R138" i="126"/>
  <c r="R139" i="126"/>
  <c r="Q11" i="126"/>
  <c r="S134" i="126"/>
  <c r="S135" i="126"/>
  <c r="S136" i="126"/>
  <c r="S137" i="126"/>
  <c r="S138" i="126"/>
  <c r="S139" i="126"/>
  <c r="R11" i="126"/>
  <c r="T134" i="126"/>
  <c r="T135" i="126"/>
  <c r="T136" i="126"/>
  <c r="T137" i="126"/>
  <c r="T138" i="126"/>
  <c r="T139" i="126"/>
  <c r="S11" i="126"/>
  <c r="U134" i="126"/>
  <c r="U135" i="126"/>
  <c r="U136" i="126"/>
  <c r="U137" i="126"/>
  <c r="U138" i="126"/>
  <c r="U139" i="126"/>
  <c r="T11" i="126"/>
  <c r="V134" i="126"/>
  <c r="V135" i="126"/>
  <c r="V136" i="126"/>
  <c r="V137" i="126"/>
  <c r="V138" i="126"/>
  <c r="V139" i="126"/>
  <c r="U11" i="126"/>
  <c r="W134" i="126"/>
  <c r="W135" i="126"/>
  <c r="W136" i="126"/>
  <c r="W137" i="126"/>
  <c r="W138" i="126"/>
  <c r="W139" i="126"/>
  <c r="V11" i="126"/>
  <c r="X134" i="126"/>
  <c r="X135" i="126"/>
  <c r="X136" i="126"/>
  <c r="X137" i="126"/>
  <c r="X138" i="126"/>
  <c r="X139" i="126"/>
  <c r="W11" i="126"/>
  <c r="Y134" i="126"/>
  <c r="Y135" i="126"/>
  <c r="Y136" i="126"/>
  <c r="Y137" i="126"/>
  <c r="Y138" i="126"/>
  <c r="Y139" i="126"/>
  <c r="X11" i="126"/>
  <c r="Z134" i="126"/>
  <c r="Z135" i="126"/>
  <c r="Z136" i="126"/>
  <c r="Z137" i="126"/>
  <c r="Z138" i="126"/>
  <c r="Z139" i="126"/>
  <c r="Y11" i="126"/>
  <c r="AA134" i="126"/>
  <c r="AA135" i="126"/>
  <c r="AA136" i="126"/>
  <c r="AA137" i="126"/>
  <c r="AA138" i="126"/>
  <c r="AA139" i="126"/>
  <c r="Z11" i="126"/>
  <c r="AB134" i="126"/>
  <c r="AB135" i="126"/>
  <c r="AB136" i="126"/>
  <c r="AB137" i="126"/>
  <c r="AB138" i="126"/>
  <c r="AB139" i="126"/>
  <c r="AA11" i="126"/>
  <c r="AC134" i="126"/>
  <c r="AC135" i="126"/>
  <c r="AC136" i="126"/>
  <c r="AC137" i="126"/>
  <c r="AC138" i="126"/>
  <c r="AC139" i="126"/>
  <c r="AB11" i="126"/>
  <c r="AD134" i="126"/>
  <c r="AD135" i="126"/>
  <c r="AD136" i="126"/>
  <c r="AD137" i="126"/>
  <c r="AD138" i="126"/>
  <c r="AD139" i="126"/>
  <c r="AC11" i="126"/>
  <c r="AE134" i="126"/>
  <c r="AE135" i="126"/>
  <c r="AE136" i="126"/>
  <c r="AE137" i="126"/>
  <c r="AE138" i="126"/>
  <c r="AE139" i="126"/>
  <c r="M139" i="126"/>
  <c r="F27" i="114"/>
  <c r="M32" i="125"/>
  <c r="M134" i="125"/>
  <c r="N134" i="125"/>
  <c r="M135" i="125"/>
  <c r="N135" i="125"/>
  <c r="M136" i="125"/>
  <c r="N136" i="125"/>
  <c r="M137" i="125"/>
  <c r="N137" i="125"/>
  <c r="M138" i="125"/>
  <c r="N138" i="125"/>
  <c r="N139" i="125"/>
  <c r="M11" i="125"/>
  <c r="O134" i="125"/>
  <c r="O135" i="125"/>
  <c r="O136" i="125"/>
  <c r="O137" i="125"/>
  <c r="O138" i="125"/>
  <c r="O139" i="125"/>
  <c r="N11" i="125"/>
  <c r="P134" i="125"/>
  <c r="P135" i="125"/>
  <c r="P136" i="125"/>
  <c r="P137" i="125"/>
  <c r="P138" i="125"/>
  <c r="P139" i="125"/>
  <c r="O11" i="125"/>
  <c r="Q134" i="125"/>
  <c r="Q135" i="125"/>
  <c r="Q136" i="125"/>
  <c r="Q137" i="125"/>
  <c r="Q138" i="125"/>
  <c r="Q139" i="125"/>
  <c r="P11" i="125"/>
  <c r="R134" i="125"/>
  <c r="R135" i="125"/>
  <c r="R136" i="125"/>
  <c r="R137" i="125"/>
  <c r="R138" i="125"/>
  <c r="R139" i="125"/>
  <c r="Q11" i="125"/>
  <c r="S134" i="125"/>
  <c r="S135" i="125"/>
  <c r="S136" i="125"/>
  <c r="S137" i="125"/>
  <c r="S138" i="125"/>
  <c r="S139" i="125"/>
  <c r="R11" i="125"/>
  <c r="T134" i="125"/>
  <c r="T135" i="125"/>
  <c r="T136" i="125"/>
  <c r="T137" i="125"/>
  <c r="T138" i="125"/>
  <c r="T139" i="125"/>
  <c r="S11" i="125"/>
  <c r="U134" i="125"/>
  <c r="U135" i="125"/>
  <c r="U136" i="125"/>
  <c r="U137" i="125"/>
  <c r="U138" i="125"/>
  <c r="U139" i="125"/>
  <c r="T11" i="125"/>
  <c r="V134" i="125"/>
  <c r="V135" i="125"/>
  <c r="V136" i="125"/>
  <c r="V137" i="125"/>
  <c r="V138" i="125"/>
  <c r="V139" i="125"/>
  <c r="U11" i="125"/>
  <c r="W134" i="125"/>
  <c r="W135" i="125"/>
  <c r="W136" i="125"/>
  <c r="W137" i="125"/>
  <c r="W138" i="125"/>
  <c r="W139" i="125"/>
  <c r="V11" i="125"/>
  <c r="X134" i="125"/>
  <c r="X135" i="125"/>
  <c r="X136" i="125"/>
  <c r="X137" i="125"/>
  <c r="X138" i="125"/>
  <c r="X139" i="125"/>
  <c r="W11" i="125"/>
  <c r="Y134" i="125"/>
  <c r="Y135" i="125"/>
  <c r="Y136" i="125"/>
  <c r="Y137" i="125"/>
  <c r="Y138" i="125"/>
  <c r="Y139" i="125"/>
  <c r="X11" i="125"/>
  <c r="Z134" i="125"/>
  <c r="Z135" i="125"/>
  <c r="Z136" i="125"/>
  <c r="Z137" i="125"/>
  <c r="Z138" i="125"/>
  <c r="Z139" i="125"/>
  <c r="Y11" i="125"/>
  <c r="AA134" i="125"/>
  <c r="AA135" i="125"/>
  <c r="AA136" i="125"/>
  <c r="AA137" i="125"/>
  <c r="AA138" i="125"/>
  <c r="AA139" i="125"/>
  <c r="Z11" i="125"/>
  <c r="AB134" i="125"/>
  <c r="AB135" i="125"/>
  <c r="AB136" i="125"/>
  <c r="AB137" i="125"/>
  <c r="AB138" i="125"/>
  <c r="AB139" i="125"/>
  <c r="AA11" i="125"/>
  <c r="AC134" i="125"/>
  <c r="AC135" i="125"/>
  <c r="AC136" i="125"/>
  <c r="AC137" i="125"/>
  <c r="AC138" i="125"/>
  <c r="AC139" i="125"/>
  <c r="AB11" i="125"/>
  <c r="AD134" i="125"/>
  <c r="AD135" i="125"/>
  <c r="AD136" i="125"/>
  <c r="AD137" i="125"/>
  <c r="AD138" i="125"/>
  <c r="AD139" i="125"/>
  <c r="AC11" i="125"/>
  <c r="AE134" i="125"/>
  <c r="AE135" i="125"/>
  <c r="AE136" i="125"/>
  <c r="AE137" i="125"/>
  <c r="AE138" i="125"/>
  <c r="AE139" i="125"/>
  <c r="M139" i="125"/>
  <c r="F27" i="113"/>
  <c r="M32" i="124"/>
  <c r="M134" i="124"/>
  <c r="N134" i="124"/>
  <c r="M135" i="124"/>
  <c r="N135" i="124"/>
  <c r="M136" i="124"/>
  <c r="N136" i="124"/>
  <c r="M137" i="124"/>
  <c r="N137" i="124"/>
  <c r="M138" i="124"/>
  <c r="N138" i="124"/>
  <c r="N139" i="124"/>
  <c r="M11" i="124"/>
  <c r="O134" i="124"/>
  <c r="O135" i="124"/>
  <c r="O136" i="124"/>
  <c r="O137" i="124"/>
  <c r="O138" i="124"/>
  <c r="O139" i="124"/>
  <c r="N11" i="124"/>
  <c r="P134" i="124"/>
  <c r="P135" i="124"/>
  <c r="P136" i="124"/>
  <c r="P137" i="124"/>
  <c r="P138" i="124"/>
  <c r="P139" i="124"/>
  <c r="O11" i="124"/>
  <c r="Q134" i="124"/>
  <c r="Q135" i="124"/>
  <c r="Q136" i="124"/>
  <c r="Q137" i="124"/>
  <c r="Q138" i="124"/>
  <c r="Q139" i="124"/>
  <c r="P11" i="124"/>
  <c r="R134" i="124"/>
  <c r="R135" i="124"/>
  <c r="R136" i="124"/>
  <c r="R137" i="124"/>
  <c r="R138" i="124"/>
  <c r="R139" i="124"/>
  <c r="Q11" i="124"/>
  <c r="S134" i="124"/>
  <c r="S135" i="124"/>
  <c r="S136" i="124"/>
  <c r="S137" i="124"/>
  <c r="S138" i="124"/>
  <c r="S139" i="124"/>
  <c r="R11" i="124"/>
  <c r="T134" i="124"/>
  <c r="T135" i="124"/>
  <c r="T136" i="124"/>
  <c r="T137" i="124"/>
  <c r="T138" i="124"/>
  <c r="T139" i="124"/>
  <c r="S11" i="124"/>
  <c r="U134" i="124"/>
  <c r="U135" i="124"/>
  <c r="U136" i="124"/>
  <c r="U137" i="124"/>
  <c r="U138" i="124"/>
  <c r="U139" i="124"/>
  <c r="T11" i="124"/>
  <c r="V134" i="124"/>
  <c r="V135" i="124"/>
  <c r="V136" i="124"/>
  <c r="V137" i="124"/>
  <c r="V138" i="124"/>
  <c r="V139" i="124"/>
  <c r="U11" i="124"/>
  <c r="W134" i="124"/>
  <c r="W135" i="124"/>
  <c r="W136" i="124"/>
  <c r="W137" i="124"/>
  <c r="W138" i="124"/>
  <c r="W139" i="124"/>
  <c r="V11" i="124"/>
  <c r="X134" i="124"/>
  <c r="X135" i="124"/>
  <c r="X136" i="124"/>
  <c r="X137" i="124"/>
  <c r="X138" i="124"/>
  <c r="X139" i="124"/>
  <c r="W11" i="124"/>
  <c r="Y134" i="124"/>
  <c r="Y135" i="124"/>
  <c r="Y136" i="124"/>
  <c r="Y137" i="124"/>
  <c r="Y138" i="124"/>
  <c r="Y139" i="124"/>
  <c r="X11" i="124"/>
  <c r="Z134" i="124"/>
  <c r="Z135" i="124"/>
  <c r="Z136" i="124"/>
  <c r="Z137" i="124"/>
  <c r="Z138" i="124"/>
  <c r="Z139" i="124"/>
  <c r="Y11" i="124"/>
  <c r="AA134" i="124"/>
  <c r="AA135" i="124"/>
  <c r="AA136" i="124"/>
  <c r="AA137" i="124"/>
  <c r="AA138" i="124"/>
  <c r="AA139" i="124"/>
  <c r="Z11" i="124"/>
  <c r="AB134" i="124"/>
  <c r="AB135" i="124"/>
  <c r="AB136" i="124"/>
  <c r="AB137" i="124"/>
  <c r="AB138" i="124"/>
  <c r="AB139" i="124"/>
  <c r="AA11" i="124"/>
  <c r="AC134" i="124"/>
  <c r="AC135" i="124"/>
  <c r="AC136" i="124"/>
  <c r="AC137" i="124"/>
  <c r="AC138" i="124"/>
  <c r="AC139" i="124"/>
  <c r="AB11" i="124"/>
  <c r="AD134" i="124"/>
  <c r="AD135" i="124"/>
  <c r="AD136" i="124"/>
  <c r="AD137" i="124"/>
  <c r="AD138" i="124"/>
  <c r="AD139" i="124"/>
  <c r="AC11" i="124"/>
  <c r="AE134" i="124"/>
  <c r="AE135" i="124"/>
  <c r="AE136" i="124"/>
  <c r="AE137" i="124"/>
  <c r="AE138" i="124"/>
  <c r="AE139" i="124"/>
  <c r="M139" i="124"/>
  <c r="N140" i="122"/>
  <c r="M140" i="122"/>
  <c r="D55" i="145"/>
  <c r="W86" i="146"/>
  <c r="M97" i="131"/>
  <c r="M98" i="131"/>
  <c r="M100" i="131"/>
  <c r="M112" i="131"/>
  <c r="N97" i="131"/>
  <c r="N98" i="131"/>
  <c r="N93" i="131"/>
  <c r="N100" i="131"/>
  <c r="N112" i="131"/>
  <c r="O97" i="131"/>
  <c r="O98" i="131"/>
  <c r="O93" i="131"/>
  <c r="O100" i="131"/>
  <c r="O112" i="131"/>
  <c r="P97" i="131"/>
  <c r="P98" i="131"/>
  <c r="P93" i="131"/>
  <c r="P100" i="131"/>
  <c r="P112" i="131"/>
  <c r="R97" i="131"/>
  <c r="R98" i="131"/>
  <c r="R93" i="131"/>
  <c r="R100" i="131"/>
  <c r="R112" i="131"/>
  <c r="S97" i="131"/>
  <c r="S98" i="131"/>
  <c r="S93" i="131"/>
  <c r="S100" i="131"/>
  <c r="S112" i="131"/>
  <c r="T97" i="131"/>
  <c r="T98" i="131"/>
  <c r="T93" i="131"/>
  <c r="T100" i="131"/>
  <c r="T112" i="131"/>
  <c r="U97" i="131"/>
  <c r="U98" i="131"/>
  <c r="U93" i="131"/>
  <c r="U100" i="131"/>
  <c r="U112" i="131"/>
  <c r="V97" i="131"/>
  <c r="V98" i="131"/>
  <c r="V93" i="131"/>
  <c r="V100" i="131"/>
  <c r="V112" i="131"/>
  <c r="W97" i="131"/>
  <c r="W98" i="131"/>
  <c r="W93" i="131"/>
  <c r="W100" i="131"/>
  <c r="W112" i="131"/>
  <c r="X97" i="131"/>
  <c r="X98" i="131"/>
  <c r="X93" i="131"/>
  <c r="X100" i="131"/>
  <c r="X112" i="131"/>
  <c r="Y97" i="131"/>
  <c r="Y98" i="131"/>
  <c r="Y93" i="131"/>
  <c r="Y100" i="131"/>
  <c r="Y112" i="131"/>
  <c r="Z97" i="131"/>
  <c r="Z98" i="131"/>
  <c r="Z93" i="131"/>
  <c r="Z100" i="131"/>
  <c r="Z112" i="131"/>
  <c r="AA97" i="131"/>
  <c r="AA98" i="131"/>
  <c r="AA93" i="131"/>
  <c r="AA100" i="131"/>
  <c r="AA112" i="131"/>
  <c r="AB97" i="131"/>
  <c r="AB98" i="131"/>
  <c r="AB93" i="131"/>
  <c r="AB100" i="131"/>
  <c r="AB112" i="131"/>
  <c r="AC97" i="131"/>
  <c r="AC98" i="131"/>
  <c r="AC93" i="131"/>
  <c r="AC100" i="131"/>
  <c r="AC112" i="131"/>
  <c r="AD97" i="131"/>
  <c r="AD98" i="131"/>
  <c r="AD93" i="131"/>
  <c r="AD100" i="131"/>
  <c r="AD112" i="131"/>
  <c r="AE97" i="131"/>
  <c r="AE98" i="131"/>
  <c r="AE93" i="131"/>
  <c r="AE100" i="131"/>
  <c r="AE112" i="131"/>
  <c r="D44" i="145"/>
  <c r="D22" i="145"/>
  <c r="D11" i="145"/>
  <c r="D9" i="145"/>
  <c r="N147" i="143"/>
  <c r="N155" i="143"/>
  <c r="O147" i="143"/>
  <c r="O150" i="143"/>
  <c r="O151" i="143"/>
  <c r="O153" i="143"/>
  <c r="O155" i="143"/>
  <c r="P147" i="143"/>
  <c r="P150" i="143"/>
  <c r="P151" i="143"/>
  <c r="P153" i="143"/>
  <c r="P155" i="143"/>
  <c r="Q147" i="143"/>
  <c r="Q150" i="143"/>
  <c r="Q151" i="143"/>
  <c r="Q153" i="143"/>
  <c r="Q155" i="143"/>
  <c r="R147" i="143"/>
  <c r="R150" i="143"/>
  <c r="R151" i="143"/>
  <c r="R153" i="143"/>
  <c r="R155" i="143"/>
  <c r="S147" i="143"/>
  <c r="S150" i="143"/>
  <c r="S151" i="143"/>
  <c r="S153" i="143"/>
  <c r="S155" i="143"/>
  <c r="T147" i="143"/>
  <c r="T150" i="143"/>
  <c r="T151" i="143"/>
  <c r="T153" i="143"/>
  <c r="T155" i="143"/>
  <c r="U147" i="143"/>
  <c r="U150" i="143"/>
  <c r="U151" i="143"/>
  <c r="U153" i="143"/>
  <c r="U155" i="143"/>
  <c r="V147" i="143"/>
  <c r="V150" i="143"/>
  <c r="V151" i="143"/>
  <c r="V153" i="143"/>
  <c r="V155" i="143"/>
  <c r="W147" i="143"/>
  <c r="W150" i="143"/>
  <c r="W151" i="143"/>
  <c r="W153" i="143"/>
  <c r="W155" i="143"/>
  <c r="X147" i="143"/>
  <c r="X150" i="143"/>
  <c r="X151" i="143"/>
  <c r="X153" i="143"/>
  <c r="X155" i="143"/>
  <c r="Y147" i="143"/>
  <c r="Y150" i="143"/>
  <c r="Y151" i="143"/>
  <c r="Y153" i="143"/>
  <c r="Y155" i="143"/>
  <c r="Z147" i="143"/>
  <c r="Z150" i="143"/>
  <c r="Z151" i="143"/>
  <c r="Z153" i="143"/>
  <c r="Z155" i="143"/>
  <c r="AA147" i="143"/>
  <c r="AA150" i="143"/>
  <c r="AA151" i="143"/>
  <c r="AA153" i="143"/>
  <c r="AA155" i="143"/>
  <c r="AB147" i="143"/>
  <c r="AB150" i="143"/>
  <c r="AB151" i="143"/>
  <c r="AB153" i="143"/>
  <c r="AB155" i="143"/>
  <c r="AC147" i="143"/>
  <c r="AC150" i="143"/>
  <c r="AC151" i="143"/>
  <c r="AC153" i="143"/>
  <c r="AC155" i="143"/>
  <c r="AD147" i="143"/>
  <c r="AD150" i="143"/>
  <c r="AD151" i="143"/>
  <c r="AD153" i="143"/>
  <c r="AD155" i="143"/>
  <c r="AE147" i="143"/>
  <c r="AE150" i="143"/>
  <c r="AE151" i="143"/>
  <c r="AE153" i="143"/>
  <c r="AE155" i="143"/>
  <c r="M147" i="143"/>
  <c r="M155" i="143"/>
  <c r="N146" i="139"/>
  <c r="N154" i="139"/>
  <c r="O146" i="139"/>
  <c r="O149" i="139"/>
  <c r="O150" i="139"/>
  <c r="O152" i="139"/>
  <c r="O154" i="139"/>
  <c r="P146" i="139"/>
  <c r="P149" i="139"/>
  <c r="P150" i="139"/>
  <c r="P152" i="139"/>
  <c r="P154" i="139"/>
  <c r="Q146" i="139"/>
  <c r="Q149" i="139"/>
  <c r="Q150" i="139"/>
  <c r="Q152" i="139"/>
  <c r="Q154" i="139"/>
  <c r="R146" i="139"/>
  <c r="R149" i="139"/>
  <c r="R150" i="139"/>
  <c r="R152" i="139"/>
  <c r="R154" i="139"/>
  <c r="S146" i="139"/>
  <c r="S149" i="139"/>
  <c r="S150" i="139"/>
  <c r="S152" i="139"/>
  <c r="S154" i="139"/>
  <c r="T146" i="139"/>
  <c r="T149" i="139"/>
  <c r="T150" i="139"/>
  <c r="T152" i="139"/>
  <c r="T154" i="139"/>
  <c r="U146" i="139"/>
  <c r="U149" i="139"/>
  <c r="U150" i="139"/>
  <c r="U152" i="139"/>
  <c r="U154" i="139"/>
  <c r="V146" i="139"/>
  <c r="V149" i="139"/>
  <c r="V150" i="139"/>
  <c r="V152" i="139"/>
  <c r="V154" i="139"/>
  <c r="W146" i="139"/>
  <c r="W149" i="139"/>
  <c r="W150" i="139"/>
  <c r="W152" i="139"/>
  <c r="W154" i="139"/>
  <c r="X146" i="139"/>
  <c r="X149" i="139"/>
  <c r="X150" i="139"/>
  <c r="X152" i="139"/>
  <c r="X154" i="139"/>
  <c r="Y146" i="139"/>
  <c r="Y149" i="139"/>
  <c r="Y150" i="139"/>
  <c r="Y152" i="139"/>
  <c r="Y154" i="139"/>
  <c r="Z146" i="139"/>
  <c r="Z149" i="139"/>
  <c r="Z150" i="139"/>
  <c r="Z152" i="139"/>
  <c r="Z154" i="139"/>
  <c r="AA146" i="139"/>
  <c r="AA149" i="139"/>
  <c r="AA150" i="139"/>
  <c r="AA152" i="139"/>
  <c r="AA154" i="139"/>
  <c r="AB146" i="139"/>
  <c r="AB149" i="139"/>
  <c r="AB150" i="139"/>
  <c r="AB152" i="139"/>
  <c r="AB154" i="139"/>
  <c r="AC146" i="139"/>
  <c r="AC149" i="139"/>
  <c r="AC150" i="139"/>
  <c r="AC152" i="139"/>
  <c r="AC154" i="139"/>
  <c r="AD146" i="139"/>
  <c r="AD149" i="139"/>
  <c r="AD150" i="139"/>
  <c r="AD152" i="139"/>
  <c r="AD154" i="139"/>
  <c r="AE146" i="139"/>
  <c r="AE149" i="139"/>
  <c r="AE150" i="139"/>
  <c r="AE152" i="139"/>
  <c r="AE154" i="139"/>
  <c r="M146" i="139"/>
  <c r="M154" i="139"/>
  <c r="N147" i="135"/>
  <c r="N155" i="135"/>
  <c r="O147" i="135"/>
  <c r="O150" i="135"/>
  <c r="O151" i="135"/>
  <c r="O153" i="135"/>
  <c r="O155" i="135"/>
  <c r="P147" i="135"/>
  <c r="P150" i="135"/>
  <c r="P151" i="135"/>
  <c r="P153" i="135"/>
  <c r="P155" i="135"/>
  <c r="Q147" i="135"/>
  <c r="Q150" i="135"/>
  <c r="Q151" i="135"/>
  <c r="Q153" i="135"/>
  <c r="Q155" i="135"/>
  <c r="R147" i="135"/>
  <c r="R150" i="135"/>
  <c r="R151" i="135"/>
  <c r="R153" i="135"/>
  <c r="R155" i="135"/>
  <c r="S147" i="135"/>
  <c r="S150" i="135"/>
  <c r="S151" i="135"/>
  <c r="S153" i="135"/>
  <c r="S155" i="135"/>
  <c r="T147" i="135"/>
  <c r="T150" i="135"/>
  <c r="T151" i="135"/>
  <c r="T153" i="135"/>
  <c r="T155" i="135"/>
  <c r="U147" i="135"/>
  <c r="U150" i="135"/>
  <c r="U151" i="135"/>
  <c r="U153" i="135"/>
  <c r="U155" i="135"/>
  <c r="V147" i="135"/>
  <c r="V150" i="135"/>
  <c r="V151" i="135"/>
  <c r="V153" i="135"/>
  <c r="V155" i="135"/>
  <c r="W147" i="135"/>
  <c r="W150" i="135"/>
  <c r="W151" i="135"/>
  <c r="W153" i="135"/>
  <c r="W155" i="135"/>
  <c r="X147" i="135"/>
  <c r="X150" i="135"/>
  <c r="X151" i="135"/>
  <c r="X153" i="135"/>
  <c r="X155" i="135"/>
  <c r="Y147" i="135"/>
  <c r="Y150" i="135"/>
  <c r="Y151" i="135"/>
  <c r="Y153" i="135"/>
  <c r="Y155" i="135"/>
  <c r="Z147" i="135"/>
  <c r="Z150" i="135"/>
  <c r="Z151" i="135"/>
  <c r="Z153" i="135"/>
  <c r="Z155" i="135"/>
  <c r="AA147" i="135"/>
  <c r="AA150" i="135"/>
  <c r="AA151" i="135"/>
  <c r="AA153" i="135"/>
  <c r="AA155" i="135"/>
  <c r="AB147" i="135"/>
  <c r="AB150" i="135"/>
  <c r="AB151" i="135"/>
  <c r="AB153" i="135"/>
  <c r="AB155" i="135"/>
  <c r="AC147" i="135"/>
  <c r="AC150" i="135"/>
  <c r="AC151" i="135"/>
  <c r="AC153" i="135"/>
  <c r="AC155" i="135"/>
  <c r="AD147" i="135"/>
  <c r="AD150" i="135"/>
  <c r="AD151" i="135"/>
  <c r="AD153" i="135"/>
  <c r="AD155" i="135"/>
  <c r="AE147" i="135"/>
  <c r="AE150" i="135"/>
  <c r="AE151" i="135"/>
  <c r="AE153" i="135"/>
  <c r="AE155" i="135"/>
  <c r="M147" i="135"/>
  <c r="M155" i="135"/>
  <c r="N146" i="132"/>
  <c r="N154" i="132"/>
  <c r="O146" i="132"/>
  <c r="O149" i="132"/>
  <c r="O150" i="132"/>
  <c r="O152" i="132"/>
  <c r="O154" i="132"/>
  <c r="P146" i="132"/>
  <c r="P149" i="132"/>
  <c r="P150" i="132"/>
  <c r="P152" i="132"/>
  <c r="P154" i="132"/>
  <c r="Q146" i="132"/>
  <c r="Q149" i="132"/>
  <c r="Q150" i="132"/>
  <c r="Q152" i="132"/>
  <c r="Q154" i="132"/>
  <c r="R146" i="132"/>
  <c r="R149" i="132"/>
  <c r="R150" i="132"/>
  <c r="R152" i="132"/>
  <c r="R154" i="132"/>
  <c r="S146" i="132"/>
  <c r="S149" i="132"/>
  <c r="S150" i="132"/>
  <c r="S152" i="132"/>
  <c r="S154" i="132"/>
  <c r="T146" i="132"/>
  <c r="T149" i="132"/>
  <c r="T150" i="132"/>
  <c r="T152" i="132"/>
  <c r="T154" i="132"/>
  <c r="U146" i="132"/>
  <c r="U149" i="132"/>
  <c r="U150" i="132"/>
  <c r="U152" i="132"/>
  <c r="U154" i="132"/>
  <c r="V146" i="132"/>
  <c r="V149" i="132"/>
  <c r="V150" i="132"/>
  <c r="V152" i="132"/>
  <c r="V154" i="132"/>
  <c r="W146" i="132"/>
  <c r="W149" i="132"/>
  <c r="W150" i="132"/>
  <c r="W152" i="132"/>
  <c r="W154" i="132"/>
  <c r="X146" i="132"/>
  <c r="X149" i="132"/>
  <c r="X150" i="132"/>
  <c r="X152" i="132"/>
  <c r="X154" i="132"/>
  <c r="Y146" i="132"/>
  <c r="Y149" i="132"/>
  <c r="Y150" i="132"/>
  <c r="Y152" i="132"/>
  <c r="Y154" i="132"/>
  <c r="Z146" i="132"/>
  <c r="Z149" i="132"/>
  <c r="Z150" i="132"/>
  <c r="Z152" i="132"/>
  <c r="Z154" i="132"/>
  <c r="AA146" i="132"/>
  <c r="AA149" i="132"/>
  <c r="AA150" i="132"/>
  <c r="AA152" i="132"/>
  <c r="AA154" i="132"/>
  <c r="AB146" i="132"/>
  <c r="AB149" i="132"/>
  <c r="AB150" i="132"/>
  <c r="AB152" i="132"/>
  <c r="AB154" i="132"/>
  <c r="AC146" i="132"/>
  <c r="AC149" i="132"/>
  <c r="AC150" i="132"/>
  <c r="AC152" i="132"/>
  <c r="AC154" i="132"/>
  <c r="AD146" i="132"/>
  <c r="AD149" i="132"/>
  <c r="AD150" i="132"/>
  <c r="AD152" i="132"/>
  <c r="AD154" i="132"/>
  <c r="AE146" i="132"/>
  <c r="AE149" i="132"/>
  <c r="AE150" i="132"/>
  <c r="AE152" i="132"/>
  <c r="AE154" i="132"/>
  <c r="M146" i="132"/>
  <c r="M154" i="132"/>
  <c r="N145" i="127"/>
  <c r="N153" i="127"/>
  <c r="O145" i="127"/>
  <c r="O148" i="127"/>
  <c r="O149" i="127"/>
  <c r="O151" i="127"/>
  <c r="O153" i="127"/>
  <c r="P145" i="127"/>
  <c r="P148" i="127"/>
  <c r="P149" i="127"/>
  <c r="P151" i="127"/>
  <c r="P153" i="127"/>
  <c r="Q145" i="127"/>
  <c r="Q148" i="127"/>
  <c r="Q149" i="127"/>
  <c r="Q151" i="127"/>
  <c r="Q153" i="127"/>
  <c r="R145" i="127"/>
  <c r="R148" i="127"/>
  <c r="R149" i="127"/>
  <c r="R151" i="127"/>
  <c r="R153" i="127"/>
  <c r="S145" i="127"/>
  <c r="S148" i="127"/>
  <c r="S149" i="127"/>
  <c r="S151" i="127"/>
  <c r="S153" i="127"/>
  <c r="T145" i="127"/>
  <c r="T148" i="127"/>
  <c r="T149" i="127"/>
  <c r="T151" i="127"/>
  <c r="T153" i="127"/>
  <c r="U145" i="127"/>
  <c r="U148" i="127"/>
  <c r="U149" i="127"/>
  <c r="U151" i="127"/>
  <c r="U153" i="127"/>
  <c r="V145" i="127"/>
  <c r="V148" i="127"/>
  <c r="V149" i="127"/>
  <c r="V151" i="127"/>
  <c r="V153" i="127"/>
  <c r="W145" i="127"/>
  <c r="W148" i="127"/>
  <c r="W149" i="127"/>
  <c r="W151" i="127"/>
  <c r="W153" i="127"/>
  <c r="X145" i="127"/>
  <c r="X148" i="127"/>
  <c r="X149" i="127"/>
  <c r="X151" i="127"/>
  <c r="X153" i="127"/>
  <c r="Y145" i="127"/>
  <c r="Y148" i="127"/>
  <c r="Y149" i="127"/>
  <c r="Y151" i="127"/>
  <c r="Y153" i="127"/>
  <c r="Z145" i="127"/>
  <c r="Z148" i="127"/>
  <c r="Z149" i="127"/>
  <c r="Z151" i="127"/>
  <c r="Z153" i="127"/>
  <c r="AA145" i="127"/>
  <c r="AA148" i="127"/>
  <c r="AA149" i="127"/>
  <c r="AA151" i="127"/>
  <c r="AA153" i="127"/>
  <c r="AB145" i="127"/>
  <c r="AB148" i="127"/>
  <c r="AB149" i="127"/>
  <c r="AB151" i="127"/>
  <c r="AB153" i="127"/>
  <c r="AC145" i="127"/>
  <c r="AC148" i="127"/>
  <c r="AC149" i="127"/>
  <c r="AC151" i="127"/>
  <c r="AC153" i="127"/>
  <c r="AD145" i="127"/>
  <c r="AD148" i="127"/>
  <c r="AD149" i="127"/>
  <c r="AD151" i="127"/>
  <c r="AD153" i="127"/>
  <c r="AE145" i="127"/>
  <c r="AE148" i="127"/>
  <c r="AE149" i="127"/>
  <c r="AE151" i="127"/>
  <c r="AE153" i="127"/>
  <c r="M145" i="127"/>
  <c r="M153" i="127"/>
  <c r="N145" i="126"/>
  <c r="N153" i="126"/>
  <c r="O145" i="126"/>
  <c r="O148" i="126"/>
  <c r="O149" i="126"/>
  <c r="O151" i="126"/>
  <c r="O153" i="126"/>
  <c r="P145" i="126"/>
  <c r="P148" i="126"/>
  <c r="P149" i="126"/>
  <c r="P151" i="126"/>
  <c r="P153" i="126"/>
  <c r="Q145" i="126"/>
  <c r="Q148" i="126"/>
  <c r="Q149" i="126"/>
  <c r="Q151" i="126"/>
  <c r="Q153" i="126"/>
  <c r="R145" i="126"/>
  <c r="R148" i="126"/>
  <c r="R149" i="126"/>
  <c r="R151" i="126"/>
  <c r="R153" i="126"/>
  <c r="S145" i="126"/>
  <c r="S148" i="126"/>
  <c r="S149" i="126"/>
  <c r="S151" i="126"/>
  <c r="S153" i="126"/>
  <c r="T145" i="126"/>
  <c r="T148" i="126"/>
  <c r="T149" i="126"/>
  <c r="T151" i="126"/>
  <c r="T153" i="126"/>
  <c r="U145" i="126"/>
  <c r="U148" i="126"/>
  <c r="U149" i="126"/>
  <c r="U151" i="126"/>
  <c r="U153" i="126"/>
  <c r="V145" i="126"/>
  <c r="V148" i="126"/>
  <c r="V149" i="126"/>
  <c r="V151" i="126"/>
  <c r="V153" i="126"/>
  <c r="W145" i="126"/>
  <c r="W148" i="126"/>
  <c r="W149" i="126"/>
  <c r="W151" i="126"/>
  <c r="W153" i="126"/>
  <c r="X145" i="126"/>
  <c r="X148" i="126"/>
  <c r="X149" i="126"/>
  <c r="X151" i="126"/>
  <c r="X153" i="126"/>
  <c r="Y145" i="126"/>
  <c r="Y148" i="126"/>
  <c r="Y149" i="126"/>
  <c r="Y151" i="126"/>
  <c r="Y153" i="126"/>
  <c r="Z145" i="126"/>
  <c r="Z148" i="126"/>
  <c r="Z149" i="126"/>
  <c r="Z151" i="126"/>
  <c r="Z153" i="126"/>
  <c r="AA145" i="126"/>
  <c r="AA148" i="126"/>
  <c r="AA149" i="126"/>
  <c r="AA151" i="126"/>
  <c r="AA153" i="126"/>
  <c r="AB145" i="126"/>
  <c r="AB148" i="126"/>
  <c r="AB149" i="126"/>
  <c r="AB151" i="126"/>
  <c r="AB153" i="126"/>
  <c r="AC145" i="126"/>
  <c r="AC148" i="126"/>
  <c r="AC149" i="126"/>
  <c r="AC151" i="126"/>
  <c r="AC153" i="126"/>
  <c r="AD145" i="126"/>
  <c r="AD148" i="126"/>
  <c r="AD149" i="126"/>
  <c r="AD151" i="126"/>
  <c r="AD153" i="126"/>
  <c r="AE145" i="126"/>
  <c r="AE148" i="126"/>
  <c r="AE149" i="126"/>
  <c r="AE151" i="126"/>
  <c r="AE153" i="126"/>
  <c r="M145" i="126"/>
  <c r="M153" i="126"/>
  <c r="N145" i="125"/>
  <c r="N153" i="125"/>
  <c r="O145" i="125"/>
  <c r="O148" i="125"/>
  <c r="O149" i="125"/>
  <c r="O151" i="125"/>
  <c r="O153" i="125"/>
  <c r="P145" i="125"/>
  <c r="P148" i="125"/>
  <c r="P149" i="125"/>
  <c r="P151" i="125"/>
  <c r="P153" i="125"/>
  <c r="Q145" i="125"/>
  <c r="Q148" i="125"/>
  <c r="Q149" i="125"/>
  <c r="Q151" i="125"/>
  <c r="Q153" i="125"/>
  <c r="R145" i="125"/>
  <c r="R148" i="125"/>
  <c r="R149" i="125"/>
  <c r="R151" i="125"/>
  <c r="R153" i="125"/>
  <c r="S145" i="125"/>
  <c r="S148" i="125"/>
  <c r="S149" i="125"/>
  <c r="S151" i="125"/>
  <c r="S153" i="125"/>
  <c r="T145" i="125"/>
  <c r="T148" i="125"/>
  <c r="T149" i="125"/>
  <c r="T151" i="125"/>
  <c r="T153" i="125"/>
  <c r="U145" i="125"/>
  <c r="U148" i="125"/>
  <c r="U149" i="125"/>
  <c r="U151" i="125"/>
  <c r="U153" i="125"/>
  <c r="V145" i="125"/>
  <c r="V148" i="125"/>
  <c r="V149" i="125"/>
  <c r="V151" i="125"/>
  <c r="V153" i="125"/>
  <c r="W145" i="125"/>
  <c r="W148" i="125"/>
  <c r="W149" i="125"/>
  <c r="W151" i="125"/>
  <c r="W153" i="125"/>
  <c r="X145" i="125"/>
  <c r="X148" i="125"/>
  <c r="X149" i="125"/>
  <c r="X151" i="125"/>
  <c r="X153" i="125"/>
  <c r="Y145" i="125"/>
  <c r="Y148" i="125"/>
  <c r="Y149" i="125"/>
  <c r="Y151" i="125"/>
  <c r="Y153" i="125"/>
  <c r="Z145" i="125"/>
  <c r="Z148" i="125"/>
  <c r="Z149" i="125"/>
  <c r="Z151" i="125"/>
  <c r="Z153" i="125"/>
  <c r="AA145" i="125"/>
  <c r="AA148" i="125"/>
  <c r="AA149" i="125"/>
  <c r="AA151" i="125"/>
  <c r="AA153" i="125"/>
  <c r="AB145" i="125"/>
  <c r="AB148" i="125"/>
  <c r="AB149" i="125"/>
  <c r="AB151" i="125"/>
  <c r="AB153" i="125"/>
  <c r="AC145" i="125"/>
  <c r="AC148" i="125"/>
  <c r="AC149" i="125"/>
  <c r="AC151" i="125"/>
  <c r="AC153" i="125"/>
  <c r="AD145" i="125"/>
  <c r="AD148" i="125"/>
  <c r="AD149" i="125"/>
  <c r="AD151" i="125"/>
  <c r="AD153" i="125"/>
  <c r="AE145" i="125"/>
  <c r="AE148" i="125"/>
  <c r="AE149" i="125"/>
  <c r="AE151" i="125"/>
  <c r="AE153" i="125"/>
  <c r="M145" i="125"/>
  <c r="M153" i="125"/>
  <c r="N145" i="124"/>
  <c r="N153" i="124"/>
  <c r="O145" i="124"/>
  <c r="O148" i="124"/>
  <c r="O149" i="124"/>
  <c r="O151" i="124"/>
  <c r="O153" i="124"/>
  <c r="P145" i="124"/>
  <c r="P148" i="124"/>
  <c r="P149" i="124"/>
  <c r="P151" i="124"/>
  <c r="P153" i="124"/>
  <c r="Q145" i="124"/>
  <c r="Q148" i="124"/>
  <c r="Q149" i="124"/>
  <c r="Q151" i="124"/>
  <c r="Q153" i="124"/>
  <c r="R145" i="124"/>
  <c r="R148" i="124"/>
  <c r="R149" i="124"/>
  <c r="R151" i="124"/>
  <c r="R153" i="124"/>
  <c r="S145" i="124"/>
  <c r="S148" i="124"/>
  <c r="S149" i="124"/>
  <c r="S151" i="124"/>
  <c r="S153" i="124"/>
  <c r="T145" i="124"/>
  <c r="T148" i="124"/>
  <c r="T149" i="124"/>
  <c r="T151" i="124"/>
  <c r="T153" i="124"/>
  <c r="U145" i="124"/>
  <c r="U148" i="124"/>
  <c r="U149" i="124"/>
  <c r="U151" i="124"/>
  <c r="U153" i="124"/>
  <c r="V145" i="124"/>
  <c r="V148" i="124"/>
  <c r="V149" i="124"/>
  <c r="V151" i="124"/>
  <c r="V153" i="124"/>
  <c r="W145" i="124"/>
  <c r="W148" i="124"/>
  <c r="W149" i="124"/>
  <c r="W151" i="124"/>
  <c r="W153" i="124"/>
  <c r="X145" i="124"/>
  <c r="X148" i="124"/>
  <c r="X149" i="124"/>
  <c r="X151" i="124"/>
  <c r="X153" i="124"/>
  <c r="Y145" i="124"/>
  <c r="Y148" i="124"/>
  <c r="Y149" i="124"/>
  <c r="Y151" i="124"/>
  <c r="Y153" i="124"/>
  <c r="Z145" i="124"/>
  <c r="Z148" i="124"/>
  <c r="Z149" i="124"/>
  <c r="Z151" i="124"/>
  <c r="Z153" i="124"/>
  <c r="AA145" i="124"/>
  <c r="AA148" i="124"/>
  <c r="AA149" i="124"/>
  <c r="AA151" i="124"/>
  <c r="AA153" i="124"/>
  <c r="AB145" i="124"/>
  <c r="AB148" i="124"/>
  <c r="AB149" i="124"/>
  <c r="AB151" i="124"/>
  <c r="AB153" i="124"/>
  <c r="AC145" i="124"/>
  <c r="AC148" i="124"/>
  <c r="AC149" i="124"/>
  <c r="AC151" i="124"/>
  <c r="AC153" i="124"/>
  <c r="AD145" i="124"/>
  <c r="AD148" i="124"/>
  <c r="AD149" i="124"/>
  <c r="AD151" i="124"/>
  <c r="AD153" i="124"/>
  <c r="AE145" i="124"/>
  <c r="AE148" i="124"/>
  <c r="AE149" i="124"/>
  <c r="AE151" i="124"/>
  <c r="AE153" i="124"/>
  <c r="M145" i="124"/>
  <c r="M153" i="124"/>
  <c r="L86" i="146"/>
  <c r="L108" i="122"/>
  <c r="I86" i="146"/>
  <c r="J105" i="143"/>
  <c r="L105" i="143"/>
  <c r="AD11" i="143"/>
  <c r="AE105" i="143"/>
  <c r="J106" i="143"/>
  <c r="L106" i="143"/>
  <c r="AE106" i="143"/>
  <c r="L107" i="143"/>
  <c r="M107" i="143"/>
  <c r="N107" i="143"/>
  <c r="O107" i="143"/>
  <c r="P107" i="143"/>
  <c r="Q107" i="143"/>
  <c r="R107" i="143"/>
  <c r="S107" i="143"/>
  <c r="T107" i="143"/>
  <c r="U107" i="143"/>
  <c r="V107" i="143"/>
  <c r="W107" i="143"/>
  <c r="X107" i="143"/>
  <c r="Y107" i="143"/>
  <c r="Z107" i="143"/>
  <c r="AA107" i="143"/>
  <c r="AB107" i="143"/>
  <c r="AC107" i="143"/>
  <c r="AD107" i="143"/>
  <c r="AE107" i="143"/>
  <c r="L108" i="143"/>
  <c r="M108" i="143"/>
  <c r="N108" i="143"/>
  <c r="O108" i="143"/>
  <c r="P108" i="143"/>
  <c r="Q108" i="143"/>
  <c r="R108" i="143"/>
  <c r="S108" i="143"/>
  <c r="T108" i="143"/>
  <c r="U108" i="143"/>
  <c r="V108" i="143"/>
  <c r="W108" i="143"/>
  <c r="X108" i="143"/>
  <c r="Y108" i="143"/>
  <c r="Z108" i="143"/>
  <c r="AA108" i="143"/>
  <c r="AB108" i="143"/>
  <c r="AC108" i="143"/>
  <c r="AD108" i="143"/>
  <c r="AE108" i="143"/>
  <c r="AE109" i="143"/>
  <c r="AD105" i="143"/>
  <c r="AD106" i="143"/>
  <c r="AD109" i="143"/>
  <c r="AC105" i="143"/>
  <c r="AC106" i="143"/>
  <c r="AC109" i="143"/>
  <c r="AB105" i="143"/>
  <c r="AB106" i="143"/>
  <c r="AB109" i="143"/>
  <c r="AA105" i="143"/>
  <c r="AA106" i="143"/>
  <c r="AA109" i="143"/>
  <c r="Z105" i="143"/>
  <c r="Z106" i="143"/>
  <c r="Z109" i="143"/>
  <c r="Y105" i="143"/>
  <c r="Y106" i="143"/>
  <c r="Y109" i="143"/>
  <c r="X105" i="143"/>
  <c r="X106" i="143"/>
  <c r="X109" i="143"/>
  <c r="W105" i="143"/>
  <c r="W106" i="143"/>
  <c r="W109" i="143"/>
  <c r="V105" i="143"/>
  <c r="V106" i="143"/>
  <c r="V109" i="143"/>
  <c r="U105" i="143"/>
  <c r="U106" i="143"/>
  <c r="U109" i="143"/>
  <c r="T105" i="143"/>
  <c r="T106" i="143"/>
  <c r="T109" i="143"/>
  <c r="S105" i="143"/>
  <c r="S106" i="143"/>
  <c r="S109" i="143"/>
  <c r="R105" i="143"/>
  <c r="R106" i="143"/>
  <c r="R109" i="143"/>
  <c r="Q105" i="143"/>
  <c r="Q106" i="143"/>
  <c r="Q109" i="143"/>
  <c r="P105" i="143"/>
  <c r="P106" i="143"/>
  <c r="P109" i="143"/>
  <c r="O105" i="143"/>
  <c r="O106" i="143"/>
  <c r="O109" i="143"/>
  <c r="N105" i="143"/>
  <c r="N106" i="143"/>
  <c r="N109" i="143"/>
  <c r="M105" i="143"/>
  <c r="M106" i="143"/>
  <c r="M109" i="143"/>
  <c r="L109" i="143"/>
  <c r="J105" i="142"/>
  <c r="L105" i="142"/>
  <c r="J106" i="142"/>
  <c r="L106" i="142"/>
  <c r="L107" i="142"/>
  <c r="M107" i="142"/>
  <c r="N107" i="142"/>
  <c r="O107" i="142"/>
  <c r="P107" i="142"/>
  <c r="Q107" i="142"/>
  <c r="R107" i="142"/>
  <c r="S107" i="142"/>
  <c r="T107" i="142"/>
  <c r="U107" i="142"/>
  <c r="V107" i="142"/>
  <c r="W107" i="142"/>
  <c r="X107" i="142"/>
  <c r="Y107" i="142"/>
  <c r="Z107" i="142"/>
  <c r="AA107" i="142"/>
  <c r="AB107" i="142"/>
  <c r="AC107" i="142"/>
  <c r="AD107" i="142"/>
  <c r="AE107" i="142"/>
  <c r="L108" i="142"/>
  <c r="M108" i="142"/>
  <c r="N108" i="142"/>
  <c r="O108" i="142"/>
  <c r="P108" i="142"/>
  <c r="Q108" i="142"/>
  <c r="R108" i="142"/>
  <c r="S108" i="142"/>
  <c r="T108" i="142"/>
  <c r="U108" i="142"/>
  <c r="V108" i="142"/>
  <c r="W108" i="142"/>
  <c r="X108" i="142"/>
  <c r="Y108" i="142"/>
  <c r="Z108" i="142"/>
  <c r="AA108" i="142"/>
  <c r="AB108" i="142"/>
  <c r="AC108" i="142"/>
  <c r="AD108" i="142"/>
  <c r="AE108" i="142"/>
  <c r="M105" i="142"/>
  <c r="M106" i="142"/>
  <c r="M109" i="142"/>
  <c r="L109" i="142"/>
  <c r="J105" i="141"/>
  <c r="L105" i="141"/>
  <c r="J106" i="141"/>
  <c r="L106" i="141"/>
  <c r="L107" i="141"/>
  <c r="M107" i="141"/>
  <c r="N107" i="141"/>
  <c r="O107" i="141"/>
  <c r="P107" i="141"/>
  <c r="Q107" i="141"/>
  <c r="R107" i="141"/>
  <c r="S107" i="141"/>
  <c r="T107" i="141"/>
  <c r="U107" i="141"/>
  <c r="V107" i="141"/>
  <c r="W107" i="141"/>
  <c r="X107" i="141"/>
  <c r="Y107" i="141"/>
  <c r="Z107" i="141"/>
  <c r="AA107" i="141"/>
  <c r="AB107" i="141"/>
  <c r="AC107" i="141"/>
  <c r="AD107" i="141"/>
  <c r="AE107" i="141"/>
  <c r="L108" i="141"/>
  <c r="M108" i="141"/>
  <c r="N108" i="141"/>
  <c r="O108" i="141"/>
  <c r="P108" i="141"/>
  <c r="Q108" i="141"/>
  <c r="R108" i="141"/>
  <c r="S108" i="141"/>
  <c r="T108" i="141"/>
  <c r="U108" i="141"/>
  <c r="V108" i="141"/>
  <c r="W108" i="141"/>
  <c r="X108" i="141"/>
  <c r="Y108" i="141"/>
  <c r="Z108" i="141"/>
  <c r="AA108" i="141"/>
  <c r="AB108" i="141"/>
  <c r="AC108" i="141"/>
  <c r="AD108" i="141"/>
  <c r="AE108" i="141"/>
  <c r="M105" i="141"/>
  <c r="M106" i="141"/>
  <c r="M109" i="141"/>
  <c r="L109" i="141"/>
  <c r="N107" i="140"/>
  <c r="O107" i="140"/>
  <c r="P107" i="140"/>
  <c r="Q107" i="140"/>
  <c r="R107" i="140"/>
  <c r="S107" i="140"/>
  <c r="T107" i="140"/>
  <c r="U107" i="140"/>
  <c r="V107" i="140"/>
  <c r="W107" i="140"/>
  <c r="X107" i="140"/>
  <c r="Y107" i="140"/>
  <c r="Z107" i="140"/>
  <c r="AA107" i="140"/>
  <c r="AB107" i="140"/>
  <c r="AC107" i="140"/>
  <c r="AD107" i="140"/>
  <c r="AE107" i="140"/>
  <c r="N108" i="140"/>
  <c r="O108" i="140"/>
  <c r="P108" i="140"/>
  <c r="Q108" i="140"/>
  <c r="R108" i="140"/>
  <c r="S108" i="140"/>
  <c r="T108" i="140"/>
  <c r="U108" i="140"/>
  <c r="V108" i="140"/>
  <c r="W108" i="140"/>
  <c r="X108" i="140"/>
  <c r="Y108" i="140"/>
  <c r="Z108" i="140"/>
  <c r="AA108" i="140"/>
  <c r="AB108" i="140"/>
  <c r="AC108" i="140"/>
  <c r="AD108" i="140"/>
  <c r="AE108" i="140"/>
  <c r="M106" i="140"/>
  <c r="M105" i="140"/>
  <c r="J105" i="140"/>
  <c r="L105" i="140"/>
  <c r="L107" i="140"/>
  <c r="M107" i="140"/>
  <c r="L108" i="140"/>
  <c r="M108" i="140"/>
  <c r="M109" i="140"/>
  <c r="J106" i="140"/>
  <c r="L106" i="140"/>
  <c r="L109" i="140"/>
  <c r="J104" i="139"/>
  <c r="L104" i="139"/>
  <c r="AD11" i="139"/>
  <c r="AE104" i="139"/>
  <c r="J105" i="139"/>
  <c r="L105" i="139"/>
  <c r="AE105" i="139"/>
  <c r="L106" i="139"/>
  <c r="M106" i="139"/>
  <c r="N106" i="139"/>
  <c r="O106" i="139"/>
  <c r="P106" i="139"/>
  <c r="Q106" i="139"/>
  <c r="R106" i="139"/>
  <c r="S106" i="139"/>
  <c r="T106" i="139"/>
  <c r="U106" i="139"/>
  <c r="V106" i="139"/>
  <c r="W106" i="139"/>
  <c r="X106" i="139"/>
  <c r="Y106" i="139"/>
  <c r="Z106" i="139"/>
  <c r="AA106" i="139"/>
  <c r="AB106" i="139"/>
  <c r="AC106" i="139"/>
  <c r="AD106" i="139"/>
  <c r="AE106" i="139"/>
  <c r="L107" i="139"/>
  <c r="M107" i="139"/>
  <c r="N107" i="139"/>
  <c r="O107" i="139"/>
  <c r="P107" i="139"/>
  <c r="Q107" i="139"/>
  <c r="R107" i="139"/>
  <c r="S107" i="139"/>
  <c r="T107" i="139"/>
  <c r="U107" i="139"/>
  <c r="V107" i="139"/>
  <c r="W107" i="139"/>
  <c r="X107" i="139"/>
  <c r="Y107" i="139"/>
  <c r="Z107" i="139"/>
  <c r="AA107" i="139"/>
  <c r="AB107" i="139"/>
  <c r="AC107" i="139"/>
  <c r="AD107" i="139"/>
  <c r="AE107" i="139"/>
  <c r="AE108" i="139"/>
  <c r="AD104" i="139"/>
  <c r="AD105" i="139"/>
  <c r="AD108" i="139"/>
  <c r="AC104" i="139"/>
  <c r="AC105" i="139"/>
  <c r="AC108" i="139"/>
  <c r="AB104" i="139"/>
  <c r="AB105" i="139"/>
  <c r="AB108" i="139"/>
  <c r="AA104" i="139"/>
  <c r="AA105" i="139"/>
  <c r="AA108" i="139"/>
  <c r="Z104" i="139"/>
  <c r="Z105" i="139"/>
  <c r="Z108" i="139"/>
  <c r="Y104" i="139"/>
  <c r="Y105" i="139"/>
  <c r="Y108" i="139"/>
  <c r="X104" i="139"/>
  <c r="X105" i="139"/>
  <c r="X108" i="139"/>
  <c r="W104" i="139"/>
  <c r="W105" i="139"/>
  <c r="W108" i="139"/>
  <c r="V104" i="139"/>
  <c r="V105" i="139"/>
  <c r="V108" i="139"/>
  <c r="U104" i="139"/>
  <c r="U105" i="139"/>
  <c r="U108" i="139"/>
  <c r="T104" i="139"/>
  <c r="T105" i="139"/>
  <c r="T108" i="139"/>
  <c r="S104" i="139"/>
  <c r="S105" i="139"/>
  <c r="S108" i="139"/>
  <c r="R104" i="139"/>
  <c r="R105" i="139"/>
  <c r="R108" i="139"/>
  <c r="Q104" i="139"/>
  <c r="Q105" i="139"/>
  <c r="Q108" i="139"/>
  <c r="P104" i="139"/>
  <c r="P105" i="139"/>
  <c r="P108" i="139"/>
  <c r="O104" i="139"/>
  <c r="O105" i="139"/>
  <c r="O108" i="139"/>
  <c r="N104" i="139"/>
  <c r="N105" i="139"/>
  <c r="N108" i="139"/>
  <c r="M104" i="139"/>
  <c r="M105" i="139"/>
  <c r="M108" i="139"/>
  <c r="L108" i="139"/>
  <c r="J104" i="138"/>
  <c r="L104" i="138"/>
  <c r="J105" i="138"/>
  <c r="L105" i="138"/>
  <c r="L106" i="138"/>
  <c r="M106" i="138"/>
  <c r="N106" i="138"/>
  <c r="O106" i="138"/>
  <c r="P106" i="138"/>
  <c r="Q106" i="138"/>
  <c r="R106" i="138"/>
  <c r="S106" i="138"/>
  <c r="T106" i="138"/>
  <c r="U106" i="138"/>
  <c r="V106" i="138"/>
  <c r="W106" i="138"/>
  <c r="X106" i="138"/>
  <c r="Y106" i="138"/>
  <c r="Z106" i="138"/>
  <c r="AA106" i="138"/>
  <c r="AB106" i="138"/>
  <c r="AC106" i="138"/>
  <c r="AD106" i="138"/>
  <c r="AE106" i="138"/>
  <c r="L107" i="138"/>
  <c r="M107" i="138"/>
  <c r="N107" i="138"/>
  <c r="O107" i="138"/>
  <c r="P107" i="138"/>
  <c r="Q107" i="138"/>
  <c r="R107" i="138"/>
  <c r="S107" i="138"/>
  <c r="T107" i="138"/>
  <c r="U107" i="138"/>
  <c r="V107" i="138"/>
  <c r="W107" i="138"/>
  <c r="X107" i="138"/>
  <c r="Y107" i="138"/>
  <c r="Z107" i="138"/>
  <c r="AA107" i="138"/>
  <c r="AB107" i="138"/>
  <c r="AC107" i="138"/>
  <c r="AD107" i="138"/>
  <c r="AE107" i="138"/>
  <c r="M104" i="138"/>
  <c r="M105" i="138"/>
  <c r="M108" i="138"/>
  <c r="L108" i="138"/>
  <c r="N106" i="136"/>
  <c r="O106" i="136"/>
  <c r="P106" i="136"/>
  <c r="Q106" i="136"/>
  <c r="R106" i="136"/>
  <c r="S106" i="136"/>
  <c r="T106" i="136"/>
  <c r="U106" i="136"/>
  <c r="V106" i="136"/>
  <c r="W106" i="136"/>
  <c r="X106" i="136"/>
  <c r="Y106" i="136"/>
  <c r="Z106" i="136"/>
  <c r="AA106" i="136"/>
  <c r="AB106" i="136"/>
  <c r="AC106" i="136"/>
  <c r="AD106" i="136"/>
  <c r="AE106" i="136"/>
  <c r="N107" i="136"/>
  <c r="O107" i="136"/>
  <c r="P107" i="136"/>
  <c r="Q107" i="136"/>
  <c r="R107" i="136"/>
  <c r="S107" i="136"/>
  <c r="T107" i="136"/>
  <c r="U107" i="136"/>
  <c r="V107" i="136"/>
  <c r="W107" i="136"/>
  <c r="X107" i="136"/>
  <c r="Y107" i="136"/>
  <c r="Z107" i="136"/>
  <c r="AA107" i="136"/>
  <c r="AB107" i="136"/>
  <c r="AC107" i="136"/>
  <c r="AD107" i="136"/>
  <c r="AE107" i="136"/>
  <c r="M105" i="136"/>
  <c r="M104" i="136"/>
  <c r="J104" i="136"/>
  <c r="J105" i="136"/>
  <c r="L105" i="136"/>
  <c r="L106" i="136"/>
  <c r="M106" i="136"/>
  <c r="L107" i="136"/>
  <c r="M107" i="136"/>
  <c r="M108" i="136"/>
  <c r="L104" i="136"/>
  <c r="L108" i="136"/>
  <c r="J105" i="135"/>
  <c r="L105" i="135"/>
  <c r="AD11" i="135"/>
  <c r="AE105" i="135"/>
  <c r="J106" i="135"/>
  <c r="L106" i="135"/>
  <c r="AE106" i="135"/>
  <c r="L107" i="135"/>
  <c r="M107" i="135"/>
  <c r="N107" i="135"/>
  <c r="O107" i="135"/>
  <c r="P107" i="135"/>
  <c r="Q107" i="135"/>
  <c r="R107" i="135"/>
  <c r="S107" i="135"/>
  <c r="T107" i="135"/>
  <c r="U107" i="135"/>
  <c r="V107" i="135"/>
  <c r="W107" i="135"/>
  <c r="X107" i="135"/>
  <c r="Y107" i="135"/>
  <c r="Z107" i="135"/>
  <c r="AA107" i="135"/>
  <c r="AB107" i="135"/>
  <c r="AC107" i="135"/>
  <c r="AD107" i="135"/>
  <c r="AE107" i="135"/>
  <c r="L108" i="135"/>
  <c r="M108" i="135"/>
  <c r="N108" i="135"/>
  <c r="O108" i="135"/>
  <c r="P108" i="135"/>
  <c r="Q108" i="135"/>
  <c r="R108" i="135"/>
  <c r="S108" i="135"/>
  <c r="T108" i="135"/>
  <c r="U108" i="135"/>
  <c r="V108" i="135"/>
  <c r="W108" i="135"/>
  <c r="X108" i="135"/>
  <c r="Y108" i="135"/>
  <c r="Z108" i="135"/>
  <c r="AA108" i="135"/>
  <c r="AB108" i="135"/>
  <c r="AC108" i="135"/>
  <c r="AD108" i="135"/>
  <c r="AE108" i="135"/>
  <c r="AE109" i="135"/>
  <c r="AD105" i="135"/>
  <c r="AD106" i="135"/>
  <c r="AD109" i="135"/>
  <c r="AC105" i="135"/>
  <c r="AC106" i="135"/>
  <c r="AC109" i="135"/>
  <c r="AB105" i="135"/>
  <c r="AB106" i="135"/>
  <c r="AB109" i="135"/>
  <c r="AA105" i="135"/>
  <c r="AA106" i="135"/>
  <c r="AA109" i="135"/>
  <c r="Z105" i="135"/>
  <c r="Z106" i="135"/>
  <c r="Z109" i="135"/>
  <c r="Y105" i="135"/>
  <c r="Y106" i="135"/>
  <c r="Y109" i="135"/>
  <c r="X105" i="135"/>
  <c r="X106" i="135"/>
  <c r="X109" i="135"/>
  <c r="W105" i="135"/>
  <c r="W106" i="135"/>
  <c r="W109" i="135"/>
  <c r="V105" i="135"/>
  <c r="V106" i="135"/>
  <c r="V109" i="135"/>
  <c r="U105" i="135"/>
  <c r="U106" i="135"/>
  <c r="U109" i="135"/>
  <c r="T105" i="135"/>
  <c r="T106" i="135"/>
  <c r="T109" i="135"/>
  <c r="S105" i="135"/>
  <c r="S106" i="135"/>
  <c r="S109" i="135"/>
  <c r="R105" i="135"/>
  <c r="R106" i="135"/>
  <c r="R109" i="135"/>
  <c r="Q105" i="135"/>
  <c r="Q106" i="135"/>
  <c r="Q109" i="135"/>
  <c r="P105" i="135"/>
  <c r="P106" i="135"/>
  <c r="P109" i="135"/>
  <c r="O105" i="135"/>
  <c r="O106" i="135"/>
  <c r="O109" i="135"/>
  <c r="N105" i="135"/>
  <c r="N106" i="135"/>
  <c r="N109" i="135"/>
  <c r="M105" i="135"/>
  <c r="M106" i="135"/>
  <c r="M109" i="135"/>
  <c r="L109" i="135"/>
  <c r="J105" i="134"/>
  <c r="L105" i="134"/>
  <c r="J106" i="134"/>
  <c r="L106" i="134"/>
  <c r="L107" i="134"/>
  <c r="M107" i="134"/>
  <c r="N107" i="134"/>
  <c r="O107" i="134"/>
  <c r="P107" i="134"/>
  <c r="Q107" i="134"/>
  <c r="R107" i="134"/>
  <c r="S107" i="134"/>
  <c r="T107" i="134"/>
  <c r="U107" i="134"/>
  <c r="V107" i="134"/>
  <c r="W107" i="134"/>
  <c r="X107" i="134"/>
  <c r="Y107" i="134"/>
  <c r="Z107" i="134"/>
  <c r="AA107" i="134"/>
  <c r="AB107" i="134"/>
  <c r="AC107" i="134"/>
  <c r="AD107" i="134"/>
  <c r="AE107" i="134"/>
  <c r="L108" i="134"/>
  <c r="M108" i="134"/>
  <c r="N108" i="134"/>
  <c r="O108" i="134"/>
  <c r="P108" i="134"/>
  <c r="Q108" i="134"/>
  <c r="R108" i="134"/>
  <c r="S108" i="134"/>
  <c r="T108" i="134"/>
  <c r="U108" i="134"/>
  <c r="V108" i="134"/>
  <c r="W108" i="134"/>
  <c r="X108" i="134"/>
  <c r="Y108" i="134"/>
  <c r="Z108" i="134"/>
  <c r="AA108" i="134"/>
  <c r="AB108" i="134"/>
  <c r="AC108" i="134"/>
  <c r="AD108" i="134"/>
  <c r="AE108" i="134"/>
  <c r="M105" i="134"/>
  <c r="M106" i="134"/>
  <c r="M109" i="134"/>
  <c r="L109" i="134"/>
  <c r="J105" i="133"/>
  <c r="L105" i="133"/>
  <c r="J106" i="133"/>
  <c r="L106" i="133"/>
  <c r="L107" i="133"/>
  <c r="M107" i="133"/>
  <c r="N107" i="133"/>
  <c r="O107" i="133"/>
  <c r="P107" i="133"/>
  <c r="Q107" i="133"/>
  <c r="R107" i="133"/>
  <c r="S107" i="133"/>
  <c r="T107" i="133"/>
  <c r="U107" i="133"/>
  <c r="V107" i="133"/>
  <c r="W107" i="133"/>
  <c r="X107" i="133"/>
  <c r="Y107" i="133"/>
  <c r="Z107" i="133"/>
  <c r="AA107" i="133"/>
  <c r="AB107" i="133"/>
  <c r="AC107" i="133"/>
  <c r="AD107" i="133"/>
  <c r="AE107" i="133"/>
  <c r="L108" i="133"/>
  <c r="M108" i="133"/>
  <c r="N108" i="133"/>
  <c r="O108" i="133"/>
  <c r="P108" i="133"/>
  <c r="Q108" i="133"/>
  <c r="R108" i="133"/>
  <c r="S108" i="133"/>
  <c r="T108" i="133"/>
  <c r="U108" i="133"/>
  <c r="V108" i="133"/>
  <c r="W108" i="133"/>
  <c r="X108" i="133"/>
  <c r="Y108" i="133"/>
  <c r="Z108" i="133"/>
  <c r="AA108" i="133"/>
  <c r="AB108" i="133"/>
  <c r="AC108" i="133"/>
  <c r="AD108" i="133"/>
  <c r="AE108" i="133"/>
  <c r="M105" i="133"/>
  <c r="M106" i="133"/>
  <c r="M109" i="133"/>
  <c r="L109" i="133"/>
  <c r="N107" i="129"/>
  <c r="O107" i="129"/>
  <c r="P107" i="129"/>
  <c r="Q107" i="129"/>
  <c r="R107" i="129"/>
  <c r="S107" i="129"/>
  <c r="T107" i="129"/>
  <c r="U107" i="129"/>
  <c r="V107" i="129"/>
  <c r="W107" i="129"/>
  <c r="X107" i="129"/>
  <c r="Y107" i="129"/>
  <c r="Z107" i="129"/>
  <c r="AA107" i="129"/>
  <c r="AB107" i="129"/>
  <c r="AC107" i="129"/>
  <c r="AD107" i="129"/>
  <c r="AE107" i="129"/>
  <c r="N108" i="129"/>
  <c r="O108" i="129"/>
  <c r="P108" i="129"/>
  <c r="Q108" i="129"/>
  <c r="R108" i="129"/>
  <c r="S108" i="129"/>
  <c r="T108" i="129"/>
  <c r="U108" i="129"/>
  <c r="V108" i="129"/>
  <c r="W108" i="129"/>
  <c r="X108" i="129"/>
  <c r="Y108" i="129"/>
  <c r="Z108" i="129"/>
  <c r="AA108" i="129"/>
  <c r="AB108" i="129"/>
  <c r="AC108" i="129"/>
  <c r="AD108" i="129"/>
  <c r="AE108" i="129"/>
  <c r="M106" i="129"/>
  <c r="M105" i="129"/>
  <c r="J105" i="129"/>
  <c r="L105" i="129"/>
  <c r="L107" i="129"/>
  <c r="M107" i="129"/>
  <c r="L108" i="129"/>
  <c r="M108" i="129"/>
  <c r="M109" i="129"/>
  <c r="J106" i="129"/>
  <c r="L106" i="129"/>
  <c r="L109" i="129"/>
  <c r="J104" i="132"/>
  <c r="L104" i="132"/>
  <c r="AD11" i="132"/>
  <c r="AE104" i="132"/>
  <c r="J105" i="132"/>
  <c r="L105" i="132"/>
  <c r="AE105" i="132"/>
  <c r="L106" i="132"/>
  <c r="M106" i="132"/>
  <c r="N106" i="132"/>
  <c r="O106" i="132"/>
  <c r="P106" i="132"/>
  <c r="Q106" i="132"/>
  <c r="R106" i="132"/>
  <c r="S106" i="132"/>
  <c r="T106" i="132"/>
  <c r="U106" i="132"/>
  <c r="V106" i="132"/>
  <c r="W106" i="132"/>
  <c r="X106" i="132"/>
  <c r="Y106" i="132"/>
  <c r="Z106" i="132"/>
  <c r="AA106" i="132"/>
  <c r="AB106" i="132"/>
  <c r="AC106" i="132"/>
  <c r="AD106" i="132"/>
  <c r="AE106" i="132"/>
  <c r="L107" i="132"/>
  <c r="M107" i="132"/>
  <c r="N107" i="132"/>
  <c r="O107" i="132"/>
  <c r="P107" i="132"/>
  <c r="Q107" i="132"/>
  <c r="R107" i="132"/>
  <c r="S107" i="132"/>
  <c r="T107" i="132"/>
  <c r="U107" i="132"/>
  <c r="V107" i="132"/>
  <c r="W107" i="132"/>
  <c r="X107" i="132"/>
  <c r="Y107" i="132"/>
  <c r="Z107" i="132"/>
  <c r="AA107" i="132"/>
  <c r="AB107" i="132"/>
  <c r="AC107" i="132"/>
  <c r="AD107" i="132"/>
  <c r="AE107" i="132"/>
  <c r="AE108" i="132"/>
  <c r="AD104" i="132"/>
  <c r="AD105" i="132"/>
  <c r="AD108" i="132"/>
  <c r="AC104" i="132"/>
  <c r="AC105" i="132"/>
  <c r="AC108" i="132"/>
  <c r="AB104" i="132"/>
  <c r="AB105" i="132"/>
  <c r="AB108" i="132"/>
  <c r="AA104" i="132"/>
  <c r="AA105" i="132"/>
  <c r="AA108" i="132"/>
  <c r="Z104" i="132"/>
  <c r="Z105" i="132"/>
  <c r="Z108" i="132"/>
  <c r="Y104" i="132"/>
  <c r="Y105" i="132"/>
  <c r="Y108" i="132"/>
  <c r="X104" i="132"/>
  <c r="X105" i="132"/>
  <c r="X108" i="132"/>
  <c r="W104" i="132"/>
  <c r="W105" i="132"/>
  <c r="W108" i="132"/>
  <c r="V104" i="132"/>
  <c r="V105" i="132"/>
  <c r="V108" i="132"/>
  <c r="U104" i="132"/>
  <c r="U105" i="132"/>
  <c r="U108" i="132"/>
  <c r="T104" i="132"/>
  <c r="T105" i="132"/>
  <c r="T108" i="132"/>
  <c r="S104" i="132"/>
  <c r="S105" i="132"/>
  <c r="S108" i="132"/>
  <c r="R104" i="132"/>
  <c r="R105" i="132"/>
  <c r="R108" i="132"/>
  <c r="Q104" i="132"/>
  <c r="Q105" i="132"/>
  <c r="Q108" i="132"/>
  <c r="P104" i="132"/>
  <c r="P105" i="132"/>
  <c r="P108" i="132"/>
  <c r="O104" i="132"/>
  <c r="O105" i="132"/>
  <c r="O108" i="132"/>
  <c r="N104" i="132"/>
  <c r="N105" i="132"/>
  <c r="N108" i="132"/>
  <c r="M104" i="132"/>
  <c r="M105" i="132"/>
  <c r="M108" i="132"/>
  <c r="L108" i="132"/>
  <c r="J104" i="131"/>
  <c r="L104" i="131"/>
  <c r="J105" i="131"/>
  <c r="L105" i="131"/>
  <c r="L106" i="131"/>
  <c r="M106" i="131"/>
  <c r="N106" i="131"/>
  <c r="O106" i="131"/>
  <c r="P106" i="131"/>
  <c r="Q106" i="131"/>
  <c r="R106" i="131"/>
  <c r="S106" i="131"/>
  <c r="T106" i="131"/>
  <c r="U106" i="131"/>
  <c r="V106" i="131"/>
  <c r="W106" i="131"/>
  <c r="X106" i="131"/>
  <c r="Y106" i="131"/>
  <c r="Z106" i="131"/>
  <c r="AA106" i="131"/>
  <c r="AB106" i="131"/>
  <c r="AC106" i="131"/>
  <c r="AD106" i="131"/>
  <c r="AE106" i="131"/>
  <c r="L107" i="131"/>
  <c r="M107" i="131"/>
  <c r="N107" i="131"/>
  <c r="O107" i="131"/>
  <c r="P107" i="131"/>
  <c r="Q107" i="131"/>
  <c r="R107" i="131"/>
  <c r="S107" i="131"/>
  <c r="T107" i="131"/>
  <c r="U107" i="131"/>
  <c r="V107" i="131"/>
  <c r="W107" i="131"/>
  <c r="X107" i="131"/>
  <c r="Y107" i="131"/>
  <c r="Z107" i="131"/>
  <c r="AA107" i="131"/>
  <c r="AB107" i="131"/>
  <c r="AC107" i="131"/>
  <c r="AD107" i="131"/>
  <c r="AE107" i="131"/>
  <c r="M104" i="131"/>
  <c r="M105" i="131"/>
  <c r="M108" i="131"/>
  <c r="L108" i="131"/>
  <c r="J104" i="130"/>
  <c r="L104" i="130"/>
  <c r="J105" i="130"/>
  <c r="L105" i="130"/>
  <c r="L106" i="130"/>
  <c r="M106" i="130"/>
  <c r="N106" i="130"/>
  <c r="O106" i="130"/>
  <c r="P106" i="130"/>
  <c r="Q106" i="130"/>
  <c r="R106" i="130"/>
  <c r="S106" i="130"/>
  <c r="T106" i="130"/>
  <c r="U106" i="130"/>
  <c r="V106" i="130"/>
  <c r="W106" i="130"/>
  <c r="X106" i="130"/>
  <c r="Y106" i="130"/>
  <c r="Z106" i="130"/>
  <c r="AA106" i="130"/>
  <c r="AB106" i="130"/>
  <c r="AC106" i="130"/>
  <c r="AD106" i="130"/>
  <c r="AE106" i="130"/>
  <c r="L107" i="130"/>
  <c r="M107" i="130"/>
  <c r="N107" i="130"/>
  <c r="O107" i="130"/>
  <c r="P107" i="130"/>
  <c r="Q107" i="130"/>
  <c r="R107" i="130"/>
  <c r="S107" i="130"/>
  <c r="T107" i="130"/>
  <c r="U107" i="130"/>
  <c r="V107" i="130"/>
  <c r="W107" i="130"/>
  <c r="X107" i="130"/>
  <c r="Y107" i="130"/>
  <c r="Z107" i="130"/>
  <c r="AA107" i="130"/>
  <c r="AB107" i="130"/>
  <c r="AC107" i="130"/>
  <c r="AD107" i="130"/>
  <c r="AE107" i="130"/>
  <c r="M104" i="130"/>
  <c r="M105" i="130"/>
  <c r="M108" i="130"/>
  <c r="L108" i="130"/>
  <c r="N106" i="128"/>
  <c r="O106" i="128"/>
  <c r="P106" i="128"/>
  <c r="Q106" i="128"/>
  <c r="R106" i="128"/>
  <c r="S106" i="128"/>
  <c r="T106" i="128"/>
  <c r="U106" i="128"/>
  <c r="V106" i="128"/>
  <c r="W106" i="128"/>
  <c r="X106" i="128"/>
  <c r="Y106" i="128"/>
  <c r="Z106" i="128"/>
  <c r="AA106" i="128"/>
  <c r="AB106" i="128"/>
  <c r="AC106" i="128"/>
  <c r="AD106" i="128"/>
  <c r="AE106" i="128"/>
  <c r="N107" i="128"/>
  <c r="O107" i="128"/>
  <c r="P107" i="128"/>
  <c r="Q107" i="128"/>
  <c r="R107" i="128"/>
  <c r="S107" i="128"/>
  <c r="T107" i="128"/>
  <c r="U107" i="128"/>
  <c r="V107" i="128"/>
  <c r="W107" i="128"/>
  <c r="X107" i="128"/>
  <c r="Y107" i="128"/>
  <c r="Z107" i="128"/>
  <c r="AA107" i="128"/>
  <c r="AB107" i="128"/>
  <c r="AC107" i="128"/>
  <c r="AD107" i="128"/>
  <c r="AE107" i="128"/>
  <c r="M105" i="128"/>
  <c r="M104" i="128"/>
  <c r="J104" i="128"/>
  <c r="L104" i="128"/>
  <c r="L106" i="128"/>
  <c r="M106" i="128"/>
  <c r="L107" i="128"/>
  <c r="M107" i="128"/>
  <c r="M108" i="128"/>
  <c r="J105" i="128"/>
  <c r="L105" i="128"/>
  <c r="L108" i="128"/>
  <c r="J103" i="127"/>
  <c r="L103" i="127"/>
  <c r="AD11" i="127"/>
  <c r="AE103" i="127"/>
  <c r="J104" i="127"/>
  <c r="L104" i="127"/>
  <c r="AE104" i="127"/>
  <c r="L105" i="127"/>
  <c r="M105" i="127"/>
  <c r="N105" i="127"/>
  <c r="O105" i="127"/>
  <c r="P105" i="127"/>
  <c r="Q105" i="127"/>
  <c r="R105" i="127"/>
  <c r="S105" i="127"/>
  <c r="T105" i="127"/>
  <c r="U105" i="127"/>
  <c r="V105" i="127"/>
  <c r="W105" i="127"/>
  <c r="X105" i="127"/>
  <c r="Y105" i="127"/>
  <c r="Z105" i="127"/>
  <c r="AA105" i="127"/>
  <c r="AB105" i="127"/>
  <c r="AC105" i="127"/>
  <c r="AD105" i="127"/>
  <c r="AE105" i="127"/>
  <c r="L106" i="127"/>
  <c r="M106" i="127"/>
  <c r="N106" i="127"/>
  <c r="O106" i="127"/>
  <c r="P106" i="127"/>
  <c r="Q106" i="127"/>
  <c r="R106" i="127"/>
  <c r="S106" i="127"/>
  <c r="T106" i="127"/>
  <c r="U106" i="127"/>
  <c r="V106" i="127"/>
  <c r="W106" i="127"/>
  <c r="X106" i="127"/>
  <c r="Y106" i="127"/>
  <c r="Z106" i="127"/>
  <c r="AA106" i="127"/>
  <c r="AB106" i="127"/>
  <c r="AC106" i="127"/>
  <c r="AD106" i="127"/>
  <c r="AE106" i="127"/>
  <c r="AE107" i="127"/>
  <c r="AD103" i="127"/>
  <c r="AD104" i="127"/>
  <c r="AD107" i="127"/>
  <c r="AC103" i="127"/>
  <c r="AC104" i="127"/>
  <c r="AC107" i="127"/>
  <c r="AB103" i="127"/>
  <c r="AB104" i="127"/>
  <c r="AB107" i="127"/>
  <c r="AA103" i="127"/>
  <c r="AA104" i="127"/>
  <c r="AA107" i="127"/>
  <c r="Z103" i="127"/>
  <c r="Z104" i="127"/>
  <c r="Z107" i="127"/>
  <c r="Y103" i="127"/>
  <c r="Y104" i="127"/>
  <c r="Y107" i="127"/>
  <c r="X103" i="127"/>
  <c r="X104" i="127"/>
  <c r="X107" i="127"/>
  <c r="W103" i="127"/>
  <c r="W104" i="127"/>
  <c r="W107" i="127"/>
  <c r="V103" i="127"/>
  <c r="V104" i="127"/>
  <c r="V107" i="127"/>
  <c r="U103" i="127"/>
  <c r="U104" i="127"/>
  <c r="U107" i="127"/>
  <c r="T103" i="127"/>
  <c r="T104" i="127"/>
  <c r="T107" i="127"/>
  <c r="S103" i="127"/>
  <c r="S104" i="127"/>
  <c r="S107" i="127"/>
  <c r="R103" i="127"/>
  <c r="R104" i="127"/>
  <c r="R107" i="127"/>
  <c r="Q103" i="127"/>
  <c r="Q104" i="127"/>
  <c r="Q107" i="127"/>
  <c r="P103" i="127"/>
  <c r="P104" i="127"/>
  <c r="P107" i="127"/>
  <c r="O103" i="127"/>
  <c r="O104" i="127"/>
  <c r="O107" i="127"/>
  <c r="N103" i="127"/>
  <c r="N104" i="127"/>
  <c r="N107" i="127"/>
  <c r="M103" i="127"/>
  <c r="M104" i="127"/>
  <c r="M107" i="127"/>
  <c r="L107" i="127"/>
  <c r="J103" i="126"/>
  <c r="L103" i="126"/>
  <c r="AD11" i="126"/>
  <c r="AE103" i="126"/>
  <c r="J104" i="126"/>
  <c r="L104" i="126"/>
  <c r="AE104" i="126"/>
  <c r="L105" i="126"/>
  <c r="M105" i="126"/>
  <c r="N105" i="126"/>
  <c r="O105" i="126"/>
  <c r="P105" i="126"/>
  <c r="Q105" i="126"/>
  <c r="R105" i="126"/>
  <c r="S105" i="126"/>
  <c r="T105" i="126"/>
  <c r="U105" i="126"/>
  <c r="V105" i="126"/>
  <c r="W105" i="126"/>
  <c r="X105" i="126"/>
  <c r="Y105" i="126"/>
  <c r="Z105" i="126"/>
  <c r="AA105" i="126"/>
  <c r="AB105" i="126"/>
  <c r="AC105" i="126"/>
  <c r="AD105" i="126"/>
  <c r="AE105" i="126"/>
  <c r="L106" i="126"/>
  <c r="M106" i="126"/>
  <c r="N106" i="126"/>
  <c r="O106" i="126"/>
  <c r="P106" i="126"/>
  <c r="Q106" i="126"/>
  <c r="R106" i="126"/>
  <c r="S106" i="126"/>
  <c r="T106" i="126"/>
  <c r="U106" i="126"/>
  <c r="V106" i="126"/>
  <c r="W106" i="126"/>
  <c r="X106" i="126"/>
  <c r="Y106" i="126"/>
  <c r="Z106" i="126"/>
  <c r="AA106" i="126"/>
  <c r="AB106" i="126"/>
  <c r="AC106" i="126"/>
  <c r="AD106" i="126"/>
  <c r="AE106" i="126"/>
  <c r="AE107" i="126"/>
  <c r="AD103" i="126"/>
  <c r="AD104" i="126"/>
  <c r="AD107" i="126"/>
  <c r="AC103" i="126"/>
  <c r="AC104" i="126"/>
  <c r="AC107" i="126"/>
  <c r="AB103" i="126"/>
  <c r="AB104" i="126"/>
  <c r="AB107" i="126"/>
  <c r="AA103" i="126"/>
  <c r="AA104" i="126"/>
  <c r="AA107" i="126"/>
  <c r="Z103" i="126"/>
  <c r="Z104" i="126"/>
  <c r="Z107" i="126"/>
  <c r="Y103" i="126"/>
  <c r="Y104" i="126"/>
  <c r="Y107" i="126"/>
  <c r="X103" i="126"/>
  <c r="X104" i="126"/>
  <c r="X107" i="126"/>
  <c r="W103" i="126"/>
  <c r="W104" i="126"/>
  <c r="W107" i="126"/>
  <c r="V103" i="126"/>
  <c r="V104" i="126"/>
  <c r="V107" i="126"/>
  <c r="U103" i="126"/>
  <c r="U104" i="126"/>
  <c r="U107" i="126"/>
  <c r="T103" i="126"/>
  <c r="T104" i="126"/>
  <c r="T107" i="126"/>
  <c r="S103" i="126"/>
  <c r="S104" i="126"/>
  <c r="S107" i="126"/>
  <c r="R103" i="126"/>
  <c r="R104" i="126"/>
  <c r="R107" i="126"/>
  <c r="Q103" i="126"/>
  <c r="Q104" i="126"/>
  <c r="Q107" i="126"/>
  <c r="P103" i="126"/>
  <c r="P104" i="126"/>
  <c r="P107" i="126"/>
  <c r="O103" i="126"/>
  <c r="O104" i="126"/>
  <c r="O107" i="126"/>
  <c r="N103" i="126"/>
  <c r="N104" i="126"/>
  <c r="N107" i="126"/>
  <c r="M103" i="126"/>
  <c r="M104" i="126"/>
  <c r="M107" i="126"/>
  <c r="L107" i="126"/>
  <c r="J103" i="125"/>
  <c r="L103" i="125"/>
  <c r="AD11" i="125"/>
  <c r="AE103" i="125"/>
  <c r="J104" i="125"/>
  <c r="L104" i="125"/>
  <c r="AE104" i="125"/>
  <c r="L105" i="125"/>
  <c r="M105" i="125"/>
  <c r="N105" i="125"/>
  <c r="O105" i="125"/>
  <c r="P105" i="125"/>
  <c r="Q105" i="125"/>
  <c r="R105" i="125"/>
  <c r="S105" i="125"/>
  <c r="T105" i="125"/>
  <c r="U105" i="125"/>
  <c r="V105" i="125"/>
  <c r="W105" i="125"/>
  <c r="X105" i="125"/>
  <c r="Y105" i="125"/>
  <c r="Z105" i="125"/>
  <c r="AA105" i="125"/>
  <c r="AB105" i="125"/>
  <c r="AC105" i="125"/>
  <c r="AD105" i="125"/>
  <c r="AE105" i="125"/>
  <c r="L106" i="125"/>
  <c r="M106" i="125"/>
  <c r="N106" i="125"/>
  <c r="O106" i="125"/>
  <c r="P106" i="125"/>
  <c r="Q106" i="125"/>
  <c r="R106" i="125"/>
  <c r="S106" i="125"/>
  <c r="T106" i="125"/>
  <c r="U106" i="125"/>
  <c r="V106" i="125"/>
  <c r="W106" i="125"/>
  <c r="X106" i="125"/>
  <c r="Y106" i="125"/>
  <c r="Z106" i="125"/>
  <c r="AA106" i="125"/>
  <c r="AB106" i="125"/>
  <c r="AC106" i="125"/>
  <c r="AD106" i="125"/>
  <c r="AE106" i="125"/>
  <c r="AE107" i="125"/>
  <c r="AD103" i="125"/>
  <c r="AD104" i="125"/>
  <c r="AD107" i="125"/>
  <c r="AC103" i="125"/>
  <c r="AC104" i="125"/>
  <c r="AC107" i="125"/>
  <c r="AB103" i="125"/>
  <c r="AB104" i="125"/>
  <c r="AB107" i="125"/>
  <c r="AA103" i="125"/>
  <c r="AA104" i="125"/>
  <c r="AA107" i="125"/>
  <c r="Z103" i="125"/>
  <c r="Z104" i="125"/>
  <c r="Z107" i="125"/>
  <c r="Y103" i="125"/>
  <c r="Y104" i="125"/>
  <c r="Y107" i="125"/>
  <c r="X103" i="125"/>
  <c r="X104" i="125"/>
  <c r="X107" i="125"/>
  <c r="W103" i="125"/>
  <c r="W104" i="125"/>
  <c r="W107" i="125"/>
  <c r="V103" i="125"/>
  <c r="V104" i="125"/>
  <c r="V107" i="125"/>
  <c r="U103" i="125"/>
  <c r="U104" i="125"/>
  <c r="U107" i="125"/>
  <c r="T103" i="125"/>
  <c r="T104" i="125"/>
  <c r="T107" i="125"/>
  <c r="S103" i="125"/>
  <c r="S104" i="125"/>
  <c r="S107" i="125"/>
  <c r="R103" i="125"/>
  <c r="R104" i="125"/>
  <c r="R107" i="125"/>
  <c r="Q103" i="125"/>
  <c r="Q104" i="125"/>
  <c r="Q107" i="125"/>
  <c r="P103" i="125"/>
  <c r="P104" i="125"/>
  <c r="P107" i="125"/>
  <c r="O103" i="125"/>
  <c r="O104" i="125"/>
  <c r="O107" i="125"/>
  <c r="N103" i="125"/>
  <c r="N104" i="125"/>
  <c r="N107" i="125"/>
  <c r="M103" i="125"/>
  <c r="M104" i="125"/>
  <c r="M107" i="125"/>
  <c r="L107" i="125"/>
  <c r="N103" i="124"/>
  <c r="O103" i="124"/>
  <c r="P103" i="124"/>
  <c r="Q103" i="124"/>
  <c r="R103" i="124"/>
  <c r="S103" i="124"/>
  <c r="T103" i="124"/>
  <c r="U103" i="124"/>
  <c r="V103" i="124"/>
  <c r="W103" i="124"/>
  <c r="X103" i="124"/>
  <c r="Y103" i="124"/>
  <c r="Z103" i="124"/>
  <c r="AA103" i="124"/>
  <c r="AB103" i="124"/>
  <c r="AC103" i="124"/>
  <c r="AD103" i="124"/>
  <c r="AD11" i="124"/>
  <c r="AE103" i="124"/>
  <c r="N104" i="124"/>
  <c r="O104" i="124"/>
  <c r="P104" i="124"/>
  <c r="Q104" i="124"/>
  <c r="R104" i="124"/>
  <c r="S104" i="124"/>
  <c r="T104" i="124"/>
  <c r="U104" i="124"/>
  <c r="V104" i="124"/>
  <c r="W104" i="124"/>
  <c r="X104" i="124"/>
  <c r="Y104" i="124"/>
  <c r="Z104" i="124"/>
  <c r="AA104" i="124"/>
  <c r="AB104" i="124"/>
  <c r="AC104" i="124"/>
  <c r="AD104" i="124"/>
  <c r="AE104" i="124"/>
  <c r="N105" i="124"/>
  <c r="O105" i="124"/>
  <c r="P105" i="124"/>
  <c r="Q105" i="124"/>
  <c r="R105" i="124"/>
  <c r="S105" i="124"/>
  <c r="T105" i="124"/>
  <c r="U105" i="124"/>
  <c r="V105" i="124"/>
  <c r="W105" i="124"/>
  <c r="X105" i="124"/>
  <c r="Y105" i="124"/>
  <c r="Z105" i="124"/>
  <c r="AA105" i="124"/>
  <c r="AB105" i="124"/>
  <c r="AC105" i="124"/>
  <c r="AD105" i="124"/>
  <c r="AE105" i="124"/>
  <c r="N106" i="124"/>
  <c r="O106" i="124"/>
  <c r="P106" i="124"/>
  <c r="Q106" i="124"/>
  <c r="R106" i="124"/>
  <c r="S106" i="124"/>
  <c r="T106" i="124"/>
  <c r="U106" i="124"/>
  <c r="V106" i="124"/>
  <c r="W106" i="124"/>
  <c r="X106" i="124"/>
  <c r="Y106" i="124"/>
  <c r="Z106" i="124"/>
  <c r="AA106" i="124"/>
  <c r="AB106" i="124"/>
  <c r="AC106" i="124"/>
  <c r="AD106" i="124"/>
  <c r="AE106" i="124"/>
  <c r="N107" i="124"/>
  <c r="O107" i="124"/>
  <c r="P107" i="124"/>
  <c r="Q107" i="124"/>
  <c r="R107" i="124"/>
  <c r="S107" i="124"/>
  <c r="T107" i="124"/>
  <c r="U107" i="124"/>
  <c r="V107" i="124"/>
  <c r="W107" i="124"/>
  <c r="X107" i="124"/>
  <c r="Y107" i="124"/>
  <c r="Z107" i="124"/>
  <c r="AA107" i="124"/>
  <c r="AB107" i="124"/>
  <c r="AC107" i="124"/>
  <c r="AD107" i="124"/>
  <c r="AE107" i="124"/>
  <c r="M104" i="124"/>
  <c r="M103" i="124"/>
  <c r="L105" i="124"/>
  <c r="L106" i="124"/>
  <c r="M105" i="124"/>
  <c r="M106" i="124"/>
  <c r="M107" i="124"/>
  <c r="J103" i="124"/>
  <c r="L103" i="124"/>
  <c r="J104" i="124"/>
  <c r="L104" i="124"/>
  <c r="L107" i="124"/>
  <c r="M109" i="123"/>
  <c r="M106" i="123"/>
  <c r="M105" i="123"/>
  <c r="L108" i="123"/>
  <c r="J105" i="123"/>
  <c r="L105" i="123"/>
  <c r="J106" i="123"/>
  <c r="L106" i="123"/>
  <c r="L107" i="123"/>
  <c r="L109" i="123"/>
  <c r="M108" i="123"/>
  <c r="N108" i="123"/>
  <c r="O108" i="123"/>
  <c r="P108" i="123"/>
  <c r="Q108" i="123"/>
  <c r="R108" i="123"/>
  <c r="S108" i="123"/>
  <c r="T108" i="123"/>
  <c r="U108" i="123"/>
  <c r="V108" i="123"/>
  <c r="W108" i="123"/>
  <c r="X108" i="123"/>
  <c r="Y108" i="123"/>
  <c r="Z108" i="123"/>
  <c r="AA108" i="123"/>
  <c r="AB108" i="123"/>
  <c r="AC108" i="123"/>
  <c r="AD108" i="123"/>
  <c r="AE108" i="123"/>
  <c r="M107" i="123"/>
  <c r="N107" i="123"/>
  <c r="O107" i="123"/>
  <c r="P107" i="123"/>
  <c r="Q107" i="123"/>
  <c r="R107" i="123"/>
  <c r="S107" i="123"/>
  <c r="T107" i="123"/>
  <c r="U107" i="123"/>
  <c r="V107" i="123"/>
  <c r="W107" i="123"/>
  <c r="X107" i="123"/>
  <c r="Y107" i="123"/>
  <c r="Z107" i="123"/>
  <c r="AA107" i="123"/>
  <c r="AB107" i="123"/>
  <c r="AC107" i="123"/>
  <c r="AD107" i="123"/>
  <c r="AE107" i="123"/>
  <c r="J104" i="122"/>
  <c r="N105" i="122"/>
  <c r="O105" i="122"/>
  <c r="P105" i="122"/>
  <c r="Q105" i="122"/>
  <c r="R105" i="122"/>
  <c r="S105" i="122"/>
  <c r="T105" i="122"/>
  <c r="U105" i="122"/>
  <c r="V105" i="122"/>
  <c r="W105" i="122"/>
  <c r="X105" i="122"/>
  <c r="Y105" i="122"/>
  <c r="Z105" i="122"/>
  <c r="AA105" i="122"/>
  <c r="AB105" i="122"/>
  <c r="AC105" i="122"/>
  <c r="AD105" i="122"/>
  <c r="AE105" i="122"/>
  <c r="M105" i="122"/>
  <c r="L105" i="122"/>
  <c r="N104" i="122"/>
  <c r="O104" i="122"/>
  <c r="P104" i="122"/>
  <c r="Q104" i="122"/>
  <c r="R104" i="122"/>
  <c r="S104" i="122"/>
  <c r="T104" i="122"/>
  <c r="U104" i="122"/>
  <c r="V104" i="122"/>
  <c r="W104" i="122"/>
  <c r="X104" i="122"/>
  <c r="Y104" i="122"/>
  <c r="Z104" i="122"/>
  <c r="AA104" i="122"/>
  <c r="AB104" i="122"/>
  <c r="AC104" i="122"/>
  <c r="AD104" i="122"/>
  <c r="AE104" i="122"/>
  <c r="M104" i="122"/>
  <c r="E44" i="5"/>
  <c r="E43" i="5"/>
  <c r="E42" i="5"/>
  <c r="E34" i="5"/>
  <c r="E33" i="5"/>
  <c r="E30" i="5"/>
  <c r="E27" i="5"/>
  <c r="E26" i="5"/>
  <c r="E25" i="5"/>
  <c r="E24" i="5"/>
  <c r="E21" i="5"/>
  <c r="E19" i="5"/>
  <c r="E18" i="5"/>
  <c r="E14" i="14"/>
  <c r="E14" i="5"/>
  <c r="E13" i="14"/>
  <c r="E13" i="5"/>
  <c r="E12" i="14"/>
  <c r="E12" i="5"/>
  <c r="E11" i="14"/>
  <c r="E11" i="5"/>
  <c r="E37" i="5"/>
  <c r="E56" i="5"/>
  <c r="J105" i="122"/>
  <c r="O79" i="143"/>
  <c r="P79" i="143"/>
  <c r="Q79" i="143"/>
  <c r="R79" i="143"/>
  <c r="S79" i="143"/>
  <c r="T79" i="143"/>
  <c r="U79" i="143"/>
  <c r="V79" i="143"/>
  <c r="W79" i="143"/>
  <c r="X79" i="143"/>
  <c r="Y79" i="143"/>
  <c r="Z79" i="143"/>
  <c r="AA79" i="143"/>
  <c r="AB79" i="143"/>
  <c r="AC79" i="143"/>
  <c r="AD79" i="143"/>
  <c r="AE79" i="143"/>
  <c r="N79" i="143"/>
  <c r="M79" i="143"/>
  <c r="N79" i="142"/>
  <c r="M79" i="142"/>
  <c r="N79" i="141"/>
  <c r="M79" i="141"/>
  <c r="N79" i="140"/>
  <c r="M79" i="140"/>
  <c r="O79" i="135"/>
  <c r="P79" i="135"/>
  <c r="Q79" i="135"/>
  <c r="R79" i="135"/>
  <c r="S79" i="135"/>
  <c r="T79" i="135"/>
  <c r="U79" i="135"/>
  <c r="V79" i="135"/>
  <c r="W79" i="135"/>
  <c r="X79" i="135"/>
  <c r="Y79" i="135"/>
  <c r="Z79" i="135"/>
  <c r="AA79" i="135"/>
  <c r="AB79" i="135"/>
  <c r="AC79" i="135"/>
  <c r="AD79" i="135"/>
  <c r="AE79" i="135"/>
  <c r="N79" i="135"/>
  <c r="M79" i="135"/>
  <c r="N79" i="134"/>
  <c r="M79" i="134"/>
  <c r="N79" i="133"/>
  <c r="M79" i="133"/>
  <c r="N79" i="129"/>
  <c r="M79" i="129"/>
  <c r="C132" i="94"/>
  <c r="C133" i="94"/>
  <c r="C134" i="94"/>
  <c r="C135" i="94"/>
  <c r="C121" i="94"/>
  <c r="D132" i="94"/>
  <c r="D133" i="94"/>
  <c r="D134" i="94"/>
  <c r="D135" i="94"/>
  <c r="D121" i="94"/>
  <c r="E132" i="94"/>
  <c r="E133" i="94"/>
  <c r="E134" i="94"/>
  <c r="E135" i="94"/>
  <c r="E121" i="94"/>
  <c r="F132" i="94"/>
  <c r="F133" i="94"/>
  <c r="F134" i="94"/>
  <c r="F135" i="94"/>
  <c r="F121" i="94"/>
  <c r="G132" i="94"/>
  <c r="G133" i="94"/>
  <c r="G134" i="94"/>
  <c r="G135" i="94"/>
  <c r="G121" i="94"/>
  <c r="C127" i="94"/>
  <c r="C123" i="94"/>
  <c r="C125" i="94"/>
  <c r="C126" i="94"/>
  <c r="C128" i="94"/>
  <c r="C130" i="94"/>
  <c r="C124" i="94"/>
  <c r="C129" i="94"/>
  <c r="C131" i="94"/>
  <c r="C122" i="94"/>
  <c r="D123" i="94"/>
  <c r="D125" i="94"/>
  <c r="D126" i="94"/>
  <c r="D130" i="94"/>
  <c r="D124" i="94"/>
  <c r="D129" i="94"/>
  <c r="D131" i="94"/>
  <c r="D122" i="94"/>
  <c r="E123" i="94"/>
  <c r="E125" i="94"/>
  <c r="E126" i="94"/>
  <c r="E130" i="94"/>
  <c r="E124" i="94"/>
  <c r="E129" i="94"/>
  <c r="E131" i="94"/>
  <c r="E122" i="94"/>
  <c r="F123" i="94"/>
  <c r="F125" i="94"/>
  <c r="F126" i="94"/>
  <c r="F130" i="94"/>
  <c r="F124" i="94"/>
  <c r="F129" i="94"/>
  <c r="F131" i="94"/>
  <c r="F122" i="94"/>
  <c r="G123" i="94"/>
  <c r="G125" i="94"/>
  <c r="G126" i="94"/>
  <c r="G130" i="94"/>
  <c r="G124" i="94"/>
  <c r="G129" i="94"/>
  <c r="G131" i="94"/>
  <c r="G122" i="94"/>
  <c r="C96" i="94"/>
  <c r="C97" i="94"/>
  <c r="C98" i="94"/>
  <c r="C99" i="94"/>
  <c r="C85" i="94"/>
  <c r="D96" i="94"/>
  <c r="D97" i="94"/>
  <c r="D98" i="94"/>
  <c r="D99" i="94"/>
  <c r="D85" i="94"/>
  <c r="E96" i="94"/>
  <c r="E97" i="94"/>
  <c r="E98" i="94"/>
  <c r="E99" i="94"/>
  <c r="E85" i="94"/>
  <c r="F96" i="94"/>
  <c r="F97" i="94"/>
  <c r="F98" i="94"/>
  <c r="F99" i="94"/>
  <c r="F85" i="94"/>
  <c r="G96" i="94"/>
  <c r="G97" i="94"/>
  <c r="G98" i="94"/>
  <c r="G99" i="94"/>
  <c r="G85" i="94"/>
  <c r="C91" i="94"/>
  <c r="C87" i="94"/>
  <c r="C89" i="94"/>
  <c r="C90" i="94"/>
  <c r="C92" i="94"/>
  <c r="C94" i="94"/>
  <c r="C88" i="94"/>
  <c r="C93" i="94"/>
  <c r="C95" i="94"/>
  <c r="C86" i="94"/>
  <c r="D87" i="94"/>
  <c r="D89" i="94"/>
  <c r="D90" i="94"/>
  <c r="D94" i="94"/>
  <c r="D88" i="94"/>
  <c r="D93" i="94"/>
  <c r="D95" i="94"/>
  <c r="D86" i="94"/>
  <c r="E87" i="94"/>
  <c r="E89" i="94"/>
  <c r="E90" i="94"/>
  <c r="E94" i="94"/>
  <c r="E88" i="94"/>
  <c r="E93" i="94"/>
  <c r="E95" i="94"/>
  <c r="E86" i="94"/>
  <c r="F87" i="94"/>
  <c r="F89" i="94"/>
  <c r="F90" i="94"/>
  <c r="F94" i="94"/>
  <c r="F88" i="94"/>
  <c r="F93" i="94"/>
  <c r="F95" i="94"/>
  <c r="F86" i="94"/>
  <c r="G87" i="94"/>
  <c r="G89" i="94"/>
  <c r="G90" i="94"/>
  <c r="G94" i="94"/>
  <c r="G88" i="94"/>
  <c r="G93" i="94"/>
  <c r="G95" i="94"/>
  <c r="G86" i="94"/>
  <c r="C42" i="94"/>
  <c r="C43" i="94"/>
  <c r="C44" i="94"/>
  <c r="C45" i="94"/>
  <c r="C31" i="94"/>
  <c r="D42" i="94"/>
  <c r="D43" i="94"/>
  <c r="D44" i="94"/>
  <c r="D45" i="94"/>
  <c r="D31" i="94"/>
  <c r="E42" i="94"/>
  <c r="E43" i="94"/>
  <c r="E44" i="94"/>
  <c r="E45" i="94"/>
  <c r="E31" i="94"/>
  <c r="F42" i="94"/>
  <c r="F43" i="94"/>
  <c r="F44" i="94"/>
  <c r="F45" i="94"/>
  <c r="F31" i="94"/>
  <c r="G42" i="94"/>
  <c r="G43" i="94"/>
  <c r="G44" i="94"/>
  <c r="G45" i="94"/>
  <c r="G31" i="94"/>
  <c r="C37" i="94"/>
  <c r="C33" i="94"/>
  <c r="C35" i="94"/>
  <c r="C36" i="94"/>
  <c r="C38" i="94"/>
  <c r="C40" i="94"/>
  <c r="C34" i="94"/>
  <c r="C39" i="94"/>
  <c r="C41" i="94"/>
  <c r="C32" i="94"/>
  <c r="D33" i="94"/>
  <c r="D35" i="94"/>
  <c r="D36" i="94"/>
  <c r="D40" i="94"/>
  <c r="D34" i="94"/>
  <c r="D39" i="94"/>
  <c r="D41" i="94"/>
  <c r="D32" i="94"/>
  <c r="E33" i="94"/>
  <c r="E35" i="94"/>
  <c r="E36" i="94"/>
  <c r="E40" i="94"/>
  <c r="E34" i="94"/>
  <c r="E39" i="94"/>
  <c r="E41" i="94"/>
  <c r="E32" i="94"/>
  <c r="F33" i="94"/>
  <c r="F35" i="94"/>
  <c r="F36" i="94"/>
  <c r="F40" i="94"/>
  <c r="F34" i="94"/>
  <c r="F39" i="94"/>
  <c r="F41" i="94"/>
  <c r="F32" i="94"/>
  <c r="G33" i="94"/>
  <c r="G35" i="94"/>
  <c r="G36" i="94"/>
  <c r="G40" i="94"/>
  <c r="G34" i="94"/>
  <c r="G39" i="94"/>
  <c r="G41" i="94"/>
  <c r="G32" i="94"/>
  <c r="M61" i="123"/>
  <c r="N61" i="123"/>
  <c r="O61" i="123"/>
  <c r="P61" i="123"/>
  <c r="M62" i="123"/>
  <c r="N62" i="123"/>
  <c r="O62" i="123"/>
  <c r="P62" i="123"/>
  <c r="M63" i="123"/>
  <c r="N63" i="123"/>
  <c r="O63" i="123"/>
  <c r="P63" i="123"/>
  <c r="N79" i="123"/>
  <c r="M79" i="123"/>
  <c r="I62" i="146"/>
  <c r="N146" i="122"/>
  <c r="N154" i="122"/>
  <c r="M146" i="122"/>
  <c r="M154" i="122"/>
  <c r="F56" i="105"/>
  <c r="F57" i="105"/>
  <c r="F58" i="105"/>
  <c r="H56" i="105"/>
  <c r="H95" i="105"/>
  <c r="I56" i="105"/>
  <c r="I95" i="105"/>
  <c r="J56" i="105"/>
  <c r="J95" i="105"/>
  <c r="K56" i="105"/>
  <c r="K95" i="105"/>
  <c r="L56" i="105"/>
  <c r="L95" i="105"/>
  <c r="M56" i="105"/>
  <c r="M95" i="105"/>
  <c r="N56" i="105"/>
  <c r="N95" i="105"/>
  <c r="O56" i="105"/>
  <c r="O95" i="105"/>
  <c r="P56" i="105"/>
  <c r="P95" i="105"/>
  <c r="Q56" i="105"/>
  <c r="Q95" i="105"/>
  <c r="R56" i="105"/>
  <c r="R95" i="105"/>
  <c r="S56" i="105"/>
  <c r="S95" i="105"/>
  <c r="T56" i="105"/>
  <c r="T95" i="105"/>
  <c r="U56" i="105"/>
  <c r="U95" i="105"/>
  <c r="V56" i="105"/>
  <c r="V95" i="105"/>
  <c r="W56" i="105"/>
  <c r="W95" i="105"/>
  <c r="X56" i="105"/>
  <c r="X95" i="105"/>
  <c r="G56" i="105"/>
  <c r="G95" i="105"/>
  <c r="F95" i="105"/>
  <c r="F56" i="120"/>
  <c r="F57" i="120"/>
  <c r="F58" i="120"/>
  <c r="G56" i="120"/>
  <c r="G95" i="120"/>
  <c r="H56" i="120"/>
  <c r="H95" i="120"/>
  <c r="I56" i="120"/>
  <c r="I95" i="120"/>
  <c r="J56" i="120"/>
  <c r="J95" i="120"/>
  <c r="K56" i="120"/>
  <c r="K95" i="120"/>
  <c r="L56" i="120"/>
  <c r="L95" i="120"/>
  <c r="M56" i="120"/>
  <c r="M95" i="120"/>
  <c r="N56" i="120"/>
  <c r="N95" i="120"/>
  <c r="O56" i="120"/>
  <c r="O95" i="120"/>
  <c r="P56" i="120"/>
  <c r="P95" i="120"/>
  <c r="Q56" i="120"/>
  <c r="Q95" i="120"/>
  <c r="R56" i="120"/>
  <c r="R95" i="120"/>
  <c r="S56" i="120"/>
  <c r="S95" i="120"/>
  <c r="T56" i="120"/>
  <c r="T95" i="120"/>
  <c r="U56" i="120"/>
  <c r="U95" i="120"/>
  <c r="V56" i="120"/>
  <c r="V95" i="120"/>
  <c r="W56" i="120"/>
  <c r="W95" i="120"/>
  <c r="X56" i="120"/>
  <c r="X95" i="120"/>
  <c r="F95" i="120"/>
  <c r="G56" i="102"/>
  <c r="G94" i="102"/>
  <c r="H56" i="102"/>
  <c r="H94" i="102"/>
  <c r="I56" i="102"/>
  <c r="I94" i="102"/>
  <c r="J56" i="102"/>
  <c r="J94" i="102"/>
  <c r="K56" i="102"/>
  <c r="K94" i="102"/>
  <c r="L56" i="102"/>
  <c r="L94" i="102"/>
  <c r="M56" i="102"/>
  <c r="M94" i="102"/>
  <c r="N56" i="102"/>
  <c r="N94" i="102"/>
  <c r="O56" i="102"/>
  <c r="O94" i="102"/>
  <c r="P56" i="102"/>
  <c r="P94" i="102"/>
  <c r="Q56" i="102"/>
  <c r="Q94" i="102"/>
  <c r="R56" i="102"/>
  <c r="R94" i="102"/>
  <c r="S56" i="102"/>
  <c r="S94" i="102"/>
  <c r="T56" i="102"/>
  <c r="T94" i="102"/>
  <c r="U56" i="102"/>
  <c r="U94" i="102"/>
  <c r="V56" i="102"/>
  <c r="V94" i="102"/>
  <c r="W56" i="102"/>
  <c r="W94" i="102"/>
  <c r="X56" i="102"/>
  <c r="X94" i="102"/>
  <c r="F56" i="102"/>
  <c r="F57" i="102"/>
  <c r="F58" i="102"/>
  <c r="F94" i="102"/>
  <c r="F56" i="112"/>
  <c r="F57" i="112"/>
  <c r="F58" i="112"/>
  <c r="G56" i="112"/>
  <c r="G94" i="112"/>
  <c r="H56" i="112"/>
  <c r="H94" i="112"/>
  <c r="I56" i="112"/>
  <c r="I94" i="112"/>
  <c r="J56" i="112"/>
  <c r="J94" i="112"/>
  <c r="K56" i="112"/>
  <c r="K94" i="112"/>
  <c r="L56" i="112"/>
  <c r="L94" i="112"/>
  <c r="M56" i="112"/>
  <c r="M94" i="112"/>
  <c r="N56" i="112"/>
  <c r="N94" i="112"/>
  <c r="O56" i="112"/>
  <c r="O94" i="112"/>
  <c r="P56" i="112"/>
  <c r="P94" i="112"/>
  <c r="Q56" i="112"/>
  <c r="Q94" i="112"/>
  <c r="R56" i="112"/>
  <c r="R94" i="112"/>
  <c r="S56" i="112"/>
  <c r="S94" i="112"/>
  <c r="T56" i="112"/>
  <c r="T94" i="112"/>
  <c r="U56" i="112"/>
  <c r="U94" i="112"/>
  <c r="V56" i="112"/>
  <c r="V94" i="112"/>
  <c r="W56" i="112"/>
  <c r="W94" i="112"/>
  <c r="X56" i="112"/>
  <c r="X94" i="112"/>
  <c r="F94" i="112"/>
  <c r="G94" i="116"/>
  <c r="H94" i="116"/>
  <c r="I94" i="116"/>
  <c r="J94" i="116"/>
  <c r="K94" i="116"/>
  <c r="L94" i="116"/>
  <c r="M94" i="116"/>
  <c r="N94" i="116"/>
  <c r="O94" i="116"/>
  <c r="P94" i="116"/>
  <c r="Q94" i="116"/>
  <c r="R94" i="116"/>
  <c r="S94" i="116"/>
  <c r="T94" i="116"/>
  <c r="U94" i="116"/>
  <c r="V94" i="116"/>
  <c r="W94" i="116"/>
  <c r="X94" i="116"/>
  <c r="F94" i="116"/>
  <c r="G94" i="115"/>
  <c r="H94" i="115"/>
  <c r="I94" i="115"/>
  <c r="J94" i="115"/>
  <c r="K94" i="115"/>
  <c r="L94" i="115"/>
  <c r="M94" i="115"/>
  <c r="N94" i="115"/>
  <c r="O94" i="115"/>
  <c r="P94" i="115"/>
  <c r="Q94" i="115"/>
  <c r="R94" i="115"/>
  <c r="S94" i="115"/>
  <c r="T94" i="115"/>
  <c r="U94" i="115"/>
  <c r="V94" i="115"/>
  <c r="W94" i="115"/>
  <c r="X94" i="115"/>
  <c r="F94" i="115"/>
  <c r="G94" i="114"/>
  <c r="H94" i="114"/>
  <c r="I94" i="114"/>
  <c r="J94" i="114"/>
  <c r="K94" i="114"/>
  <c r="L94" i="114"/>
  <c r="M94" i="114"/>
  <c r="N94" i="114"/>
  <c r="O94" i="114"/>
  <c r="P94" i="114"/>
  <c r="Q94" i="114"/>
  <c r="R94" i="114"/>
  <c r="S94" i="114"/>
  <c r="T94" i="114"/>
  <c r="U94" i="114"/>
  <c r="V94" i="114"/>
  <c r="W94" i="114"/>
  <c r="X94" i="114"/>
  <c r="F94" i="114"/>
  <c r="G94" i="113"/>
  <c r="H94" i="113"/>
  <c r="I94" i="113"/>
  <c r="J94" i="113"/>
  <c r="K94" i="113"/>
  <c r="L94" i="113"/>
  <c r="M94" i="113"/>
  <c r="N94" i="113"/>
  <c r="O94" i="113"/>
  <c r="P94" i="113"/>
  <c r="Q94" i="113"/>
  <c r="R94" i="113"/>
  <c r="S94" i="113"/>
  <c r="T94" i="113"/>
  <c r="U94" i="113"/>
  <c r="V94" i="113"/>
  <c r="W94" i="113"/>
  <c r="X94" i="113"/>
  <c r="F94" i="113"/>
  <c r="F38" i="14"/>
  <c r="E38" i="14"/>
  <c r="E33" i="98"/>
  <c r="N98" i="143"/>
  <c r="F33" i="98"/>
  <c r="O98" i="143"/>
  <c r="P98" i="143"/>
  <c r="H33" i="98"/>
  <c r="Q98" i="143"/>
  <c r="I33" i="98"/>
  <c r="R98" i="143"/>
  <c r="J33" i="98"/>
  <c r="S98" i="143"/>
  <c r="K33" i="98"/>
  <c r="T98" i="143"/>
  <c r="L33" i="98"/>
  <c r="U98" i="143"/>
  <c r="M33" i="98"/>
  <c r="V98" i="143"/>
  <c r="N33" i="98"/>
  <c r="W98" i="143"/>
  <c r="O33" i="98"/>
  <c r="X98" i="143"/>
  <c r="P33" i="98"/>
  <c r="Y98" i="143"/>
  <c r="Q33" i="98"/>
  <c r="Z98" i="143"/>
  <c r="R33" i="98"/>
  <c r="AA98" i="143"/>
  <c r="S33" i="98"/>
  <c r="AB98" i="143"/>
  <c r="T33" i="98"/>
  <c r="AC98" i="143"/>
  <c r="U33" i="98"/>
  <c r="AD98" i="143"/>
  <c r="V33" i="98"/>
  <c r="AE98" i="143"/>
  <c r="D38" i="98"/>
  <c r="D33" i="98"/>
  <c r="D39" i="98"/>
  <c r="M98" i="143"/>
  <c r="C33" i="98"/>
  <c r="C39" i="98"/>
  <c r="L98" i="143"/>
  <c r="N98" i="142"/>
  <c r="O98" i="142"/>
  <c r="P98" i="142"/>
  <c r="R98" i="142"/>
  <c r="S98" i="142"/>
  <c r="T98" i="142"/>
  <c r="U98" i="142"/>
  <c r="V98" i="142"/>
  <c r="W98" i="142"/>
  <c r="X98" i="142"/>
  <c r="Y98" i="142"/>
  <c r="Z98" i="142"/>
  <c r="AA98" i="142"/>
  <c r="AB98" i="142"/>
  <c r="AC98" i="142"/>
  <c r="AD98" i="142"/>
  <c r="AE98" i="142"/>
  <c r="M98" i="142"/>
  <c r="L98" i="142"/>
  <c r="N98" i="141"/>
  <c r="O98" i="141"/>
  <c r="P98" i="141"/>
  <c r="Q98" i="141"/>
  <c r="R98" i="141"/>
  <c r="S98" i="141"/>
  <c r="T98" i="141"/>
  <c r="U98" i="141"/>
  <c r="V98" i="141"/>
  <c r="W98" i="141"/>
  <c r="X98" i="141"/>
  <c r="Y98" i="141"/>
  <c r="Z98" i="141"/>
  <c r="AA98" i="141"/>
  <c r="AB98" i="141"/>
  <c r="AC98" i="141"/>
  <c r="AD98" i="141"/>
  <c r="AE98" i="141"/>
  <c r="M98" i="141"/>
  <c r="L98" i="141"/>
  <c r="N98" i="140"/>
  <c r="O98" i="140"/>
  <c r="P98" i="140"/>
  <c r="Q98" i="140"/>
  <c r="R98" i="140"/>
  <c r="S98" i="140"/>
  <c r="T98" i="140"/>
  <c r="U98" i="140"/>
  <c r="V98" i="140"/>
  <c r="W98" i="140"/>
  <c r="X98" i="140"/>
  <c r="Y98" i="140"/>
  <c r="Z98" i="140"/>
  <c r="AA98" i="140"/>
  <c r="AB98" i="140"/>
  <c r="AC98" i="140"/>
  <c r="AD98" i="140"/>
  <c r="AE98" i="140"/>
  <c r="M98" i="140"/>
  <c r="L98" i="140"/>
  <c r="N97" i="137"/>
  <c r="O97" i="137"/>
  <c r="P97" i="137"/>
  <c r="Q97" i="137"/>
  <c r="R97" i="137"/>
  <c r="S97" i="137"/>
  <c r="T97" i="137"/>
  <c r="U97" i="137"/>
  <c r="V97" i="137"/>
  <c r="W97" i="137"/>
  <c r="X97" i="137"/>
  <c r="Y97" i="137"/>
  <c r="Z97" i="137"/>
  <c r="AA97" i="137"/>
  <c r="AB97" i="137"/>
  <c r="AC97" i="137"/>
  <c r="AD97" i="137"/>
  <c r="AE97" i="137"/>
  <c r="M97" i="137"/>
  <c r="L97" i="137"/>
  <c r="N97" i="136"/>
  <c r="O97" i="136"/>
  <c r="P97" i="136"/>
  <c r="Q97" i="136"/>
  <c r="R97" i="136"/>
  <c r="S97" i="136"/>
  <c r="T97" i="136"/>
  <c r="U97" i="136"/>
  <c r="V97" i="136"/>
  <c r="W97" i="136"/>
  <c r="X97" i="136"/>
  <c r="Y97" i="136"/>
  <c r="Z97" i="136"/>
  <c r="AA97" i="136"/>
  <c r="AB97" i="136"/>
  <c r="AC97" i="136"/>
  <c r="AD97" i="136"/>
  <c r="AE97" i="136"/>
  <c r="L97" i="136"/>
  <c r="M97" i="136"/>
  <c r="N98" i="135"/>
  <c r="O98" i="135"/>
  <c r="P98" i="135"/>
  <c r="Q98" i="135"/>
  <c r="R98" i="135"/>
  <c r="S98" i="135"/>
  <c r="T98" i="135"/>
  <c r="U98" i="135"/>
  <c r="V98" i="135"/>
  <c r="W98" i="135"/>
  <c r="X98" i="135"/>
  <c r="Y98" i="135"/>
  <c r="Z98" i="135"/>
  <c r="AA98" i="135"/>
  <c r="AB98" i="135"/>
  <c r="AC98" i="135"/>
  <c r="AD98" i="135"/>
  <c r="AE98" i="135"/>
  <c r="D27" i="98"/>
  <c r="M98" i="135"/>
  <c r="L98" i="135"/>
  <c r="N98" i="134"/>
  <c r="O98" i="134"/>
  <c r="P98" i="134"/>
  <c r="R98" i="134"/>
  <c r="S98" i="134"/>
  <c r="T98" i="134"/>
  <c r="U98" i="134"/>
  <c r="V98" i="134"/>
  <c r="W98" i="134"/>
  <c r="X98" i="134"/>
  <c r="Y98" i="134"/>
  <c r="Z98" i="134"/>
  <c r="AA98" i="134"/>
  <c r="AB98" i="134"/>
  <c r="AC98" i="134"/>
  <c r="AD98" i="134"/>
  <c r="AE98" i="134"/>
  <c r="M98" i="134"/>
  <c r="L98" i="134"/>
  <c r="N98" i="133"/>
  <c r="O98" i="133"/>
  <c r="P98" i="133"/>
  <c r="Q98" i="133"/>
  <c r="R98" i="133"/>
  <c r="S98" i="133"/>
  <c r="T98" i="133"/>
  <c r="U98" i="133"/>
  <c r="V98" i="133"/>
  <c r="W98" i="133"/>
  <c r="X98" i="133"/>
  <c r="Y98" i="133"/>
  <c r="Z98" i="133"/>
  <c r="AA98" i="133"/>
  <c r="AB98" i="133"/>
  <c r="AC98" i="133"/>
  <c r="AD98" i="133"/>
  <c r="AE98" i="133"/>
  <c r="M98" i="133"/>
  <c r="L98" i="133"/>
  <c r="N98" i="129"/>
  <c r="O98" i="129"/>
  <c r="P98" i="129"/>
  <c r="Q98" i="129"/>
  <c r="R98" i="129"/>
  <c r="S98" i="129"/>
  <c r="T98" i="129"/>
  <c r="U98" i="129"/>
  <c r="V98" i="129"/>
  <c r="W98" i="129"/>
  <c r="X98" i="129"/>
  <c r="Y98" i="129"/>
  <c r="Z98" i="129"/>
  <c r="AA98" i="129"/>
  <c r="AB98" i="129"/>
  <c r="AC98" i="129"/>
  <c r="AD98" i="129"/>
  <c r="AE98" i="129"/>
  <c r="M98" i="129"/>
  <c r="L98" i="129"/>
  <c r="N97" i="132"/>
  <c r="O97" i="132"/>
  <c r="P97" i="132"/>
  <c r="Q97" i="132"/>
  <c r="R97" i="132"/>
  <c r="S97" i="132"/>
  <c r="T97" i="132"/>
  <c r="U97" i="132"/>
  <c r="V97" i="132"/>
  <c r="W97" i="132"/>
  <c r="X97" i="132"/>
  <c r="Y97" i="132"/>
  <c r="Z97" i="132"/>
  <c r="AA97" i="132"/>
  <c r="AB97" i="132"/>
  <c r="AC97" i="132"/>
  <c r="AD97" i="132"/>
  <c r="AE97" i="132"/>
  <c r="M97" i="132"/>
  <c r="L97" i="132"/>
  <c r="L97" i="131"/>
  <c r="N97" i="130"/>
  <c r="O97" i="130"/>
  <c r="P97" i="130"/>
  <c r="R97" i="130"/>
  <c r="S97" i="130"/>
  <c r="T97" i="130"/>
  <c r="U97" i="130"/>
  <c r="V97" i="130"/>
  <c r="W97" i="130"/>
  <c r="X97" i="130"/>
  <c r="Y97" i="130"/>
  <c r="Z97" i="130"/>
  <c r="AA97" i="130"/>
  <c r="AB97" i="130"/>
  <c r="AC97" i="130"/>
  <c r="AD97" i="130"/>
  <c r="AE97" i="130"/>
  <c r="M97" i="130"/>
  <c r="L97" i="130"/>
  <c r="N97" i="128"/>
  <c r="O97" i="128"/>
  <c r="P97" i="128"/>
  <c r="Q97" i="128"/>
  <c r="R97" i="128"/>
  <c r="S97" i="128"/>
  <c r="T97" i="128"/>
  <c r="U97" i="128"/>
  <c r="V97" i="128"/>
  <c r="W97" i="128"/>
  <c r="X97" i="128"/>
  <c r="Y97" i="128"/>
  <c r="Z97" i="128"/>
  <c r="AA97" i="128"/>
  <c r="AB97" i="128"/>
  <c r="AC97" i="128"/>
  <c r="AD97" i="128"/>
  <c r="AE97" i="128"/>
  <c r="M97" i="128"/>
  <c r="L97" i="128"/>
  <c r="M98" i="123"/>
  <c r="L98" i="123"/>
  <c r="M97" i="122"/>
  <c r="L97" i="122"/>
  <c r="M56" i="122"/>
  <c r="N56" i="122"/>
  <c r="O56" i="122"/>
  <c r="P56" i="122"/>
  <c r="Q56" i="122"/>
  <c r="R56" i="122"/>
  <c r="S56" i="122"/>
  <c r="T56" i="122"/>
  <c r="U56" i="122"/>
  <c r="V56" i="122"/>
  <c r="W56" i="122"/>
  <c r="X56" i="122"/>
  <c r="Y56" i="122"/>
  <c r="Z56" i="122"/>
  <c r="AA56" i="122"/>
  <c r="AB56" i="122"/>
  <c r="AC56" i="122"/>
  <c r="AD56" i="122"/>
  <c r="AE56" i="122"/>
  <c r="L56" i="122"/>
  <c r="H43" i="146"/>
  <c r="H44" i="146"/>
  <c r="C82" i="146"/>
  <c r="H80" i="146"/>
  <c r="D19" i="146"/>
  <c r="D69" i="146"/>
  <c r="D84" i="146"/>
  <c r="E19" i="146"/>
  <c r="E84" i="146"/>
  <c r="C19" i="146"/>
  <c r="C84" i="146"/>
  <c r="C5" i="146"/>
  <c r="D5" i="146"/>
  <c r="C6" i="146"/>
  <c r="D6" i="146"/>
  <c r="C7" i="146"/>
  <c r="D7" i="146"/>
  <c r="C8" i="146"/>
  <c r="D8" i="146"/>
  <c r="C9" i="146"/>
  <c r="D9" i="146"/>
  <c r="C10" i="146"/>
  <c r="D10" i="146"/>
  <c r="C11" i="146"/>
  <c r="D11" i="146"/>
  <c r="C12" i="146"/>
  <c r="D12" i="146"/>
  <c r="C13" i="146"/>
  <c r="D13" i="146"/>
  <c r="C14" i="146"/>
  <c r="D14" i="146"/>
  <c r="C15" i="146"/>
  <c r="D15" i="146"/>
  <c r="C16" i="146"/>
  <c r="D16" i="146"/>
  <c r="C17" i="146"/>
  <c r="D17" i="146"/>
  <c r="C18" i="146"/>
  <c r="D18" i="146"/>
  <c r="H5" i="146"/>
  <c r="H6" i="146"/>
  <c r="H7" i="146"/>
  <c r="I3" i="146"/>
  <c r="H8" i="146"/>
  <c r="H9" i="146"/>
  <c r="H10" i="146"/>
  <c r="H11" i="146"/>
  <c r="H12" i="146"/>
  <c r="H13" i="146"/>
  <c r="H14" i="146"/>
  <c r="H15" i="146"/>
  <c r="H16" i="146"/>
  <c r="H17" i="146"/>
  <c r="H18" i="146"/>
  <c r="H67" i="146"/>
  <c r="H68" i="146"/>
  <c r="H69" i="146"/>
  <c r="H70" i="146"/>
  <c r="H71" i="146"/>
  <c r="H72" i="146"/>
  <c r="H73" i="146"/>
  <c r="H74" i="146"/>
  <c r="H75" i="146"/>
  <c r="H76" i="146"/>
  <c r="H77" i="146"/>
  <c r="H78" i="146"/>
  <c r="H79" i="146"/>
  <c r="B73" i="146"/>
  <c r="H65" i="146"/>
  <c r="H66" i="146"/>
  <c r="H64" i="146"/>
  <c r="H50" i="146"/>
  <c r="H52" i="146"/>
  <c r="H53" i="146"/>
  <c r="H54" i="146"/>
  <c r="H51" i="146"/>
  <c r="H26" i="146"/>
  <c r="H28" i="146"/>
  <c r="H29" i="146"/>
  <c r="H30" i="146"/>
  <c r="H31" i="146"/>
  <c r="H32" i="146"/>
  <c r="H33" i="146"/>
  <c r="H34" i="146"/>
  <c r="H35" i="146"/>
  <c r="H36" i="146"/>
  <c r="H37" i="146"/>
  <c r="H38" i="146"/>
  <c r="H39" i="146"/>
  <c r="H40" i="146"/>
  <c r="H41" i="146"/>
  <c r="H42" i="146"/>
  <c r="H25" i="146"/>
  <c r="O27" i="146"/>
  <c r="O25" i="146"/>
  <c r="O26" i="146"/>
  <c r="E63" i="146"/>
  <c r="D63" i="146"/>
  <c r="C63" i="146"/>
  <c r="V91" i="13"/>
  <c r="W91" i="13"/>
  <c r="X91" i="13"/>
  <c r="Y91" i="13"/>
  <c r="AA91" i="13"/>
  <c r="AB91" i="13"/>
  <c r="AC91" i="13"/>
  <c r="AD91" i="13"/>
  <c r="AE91" i="13"/>
  <c r="AF91" i="13"/>
  <c r="AG91" i="13"/>
  <c r="AH91" i="13"/>
  <c r="AI91" i="13"/>
  <c r="AJ91" i="13"/>
  <c r="AK91" i="13"/>
  <c r="AL91" i="13"/>
  <c r="AM91" i="13"/>
  <c r="AN91" i="13"/>
  <c r="Y76" i="104"/>
  <c r="V97" i="13"/>
  <c r="W97" i="13"/>
  <c r="X97" i="13"/>
  <c r="Y97" i="13"/>
  <c r="AA97" i="13"/>
  <c r="AB97" i="13"/>
  <c r="AC97" i="13"/>
  <c r="AE97" i="13"/>
  <c r="AF97" i="13"/>
  <c r="AG97" i="13"/>
  <c r="AH97" i="13"/>
  <c r="AI97" i="13"/>
  <c r="AJ97" i="13"/>
  <c r="AK97" i="13"/>
  <c r="AL97" i="13"/>
  <c r="AM97" i="13"/>
  <c r="AN97" i="13"/>
  <c r="Y78" i="104"/>
  <c r="C91" i="95"/>
  <c r="C92" i="95"/>
  <c r="C95" i="95"/>
  <c r="C96" i="95"/>
  <c r="C98" i="95"/>
  <c r="E116" i="104"/>
  <c r="D91" i="95"/>
  <c r="D92" i="95"/>
  <c r="D95" i="95"/>
  <c r="D96" i="95"/>
  <c r="D98" i="95"/>
  <c r="E91" i="95"/>
  <c r="E92" i="95"/>
  <c r="E95" i="95"/>
  <c r="E96" i="95"/>
  <c r="E98" i="95"/>
  <c r="F91" i="95"/>
  <c r="F92" i="95"/>
  <c r="F95" i="95"/>
  <c r="F96" i="95"/>
  <c r="F98" i="95"/>
  <c r="G91" i="95"/>
  <c r="G92" i="95"/>
  <c r="G95" i="95"/>
  <c r="G96" i="95"/>
  <c r="G98" i="95"/>
  <c r="D106" i="104"/>
  <c r="D120" i="104"/>
  <c r="Y120" i="104"/>
  <c r="AA120" i="104"/>
  <c r="V85" i="13"/>
  <c r="W85" i="13"/>
  <c r="X85" i="13"/>
  <c r="Y85" i="13"/>
  <c r="AA85" i="13"/>
  <c r="AB85" i="13"/>
  <c r="AC85" i="13"/>
  <c r="AD85" i="13"/>
  <c r="AE85" i="13"/>
  <c r="AF85" i="13"/>
  <c r="AG85" i="13"/>
  <c r="AH85" i="13"/>
  <c r="AI85" i="13"/>
  <c r="AJ85" i="13"/>
  <c r="AK85" i="13"/>
  <c r="AL85" i="13"/>
  <c r="AM85" i="13"/>
  <c r="AN85" i="13"/>
  <c r="Y76" i="103"/>
  <c r="Y78" i="103"/>
  <c r="E115" i="103"/>
  <c r="E116" i="103"/>
  <c r="F115" i="103"/>
  <c r="F116" i="103"/>
  <c r="G63" i="103"/>
  <c r="G115" i="103"/>
  <c r="G116" i="103"/>
  <c r="H63" i="103"/>
  <c r="H115" i="103"/>
  <c r="H116" i="103"/>
  <c r="I63" i="103"/>
  <c r="I115" i="103"/>
  <c r="I116" i="103"/>
  <c r="J63" i="103"/>
  <c r="J115" i="103"/>
  <c r="J116" i="103"/>
  <c r="K63" i="103"/>
  <c r="K115" i="103"/>
  <c r="K116" i="103"/>
  <c r="L63" i="103"/>
  <c r="L115" i="103"/>
  <c r="L116" i="103"/>
  <c r="M63" i="103"/>
  <c r="M115" i="103"/>
  <c r="M116" i="103"/>
  <c r="N63" i="103"/>
  <c r="N115" i="103"/>
  <c r="N116" i="103"/>
  <c r="O63" i="103"/>
  <c r="O115" i="103"/>
  <c r="O116" i="103"/>
  <c r="P63" i="103"/>
  <c r="P115" i="103"/>
  <c r="P116" i="103"/>
  <c r="Q63" i="103"/>
  <c r="Q115" i="103"/>
  <c r="Q116" i="103"/>
  <c r="R63" i="103"/>
  <c r="R115" i="103"/>
  <c r="R116" i="103"/>
  <c r="S63" i="103"/>
  <c r="S115" i="103"/>
  <c r="S116" i="103"/>
  <c r="T63" i="103"/>
  <c r="T115" i="103"/>
  <c r="T116" i="103"/>
  <c r="U63" i="103"/>
  <c r="U115" i="103"/>
  <c r="U116" i="103"/>
  <c r="V63" i="103"/>
  <c r="V115" i="103"/>
  <c r="V116" i="103"/>
  <c r="W63" i="103"/>
  <c r="W115" i="103"/>
  <c r="W116" i="103"/>
  <c r="X63" i="103"/>
  <c r="X115" i="103"/>
  <c r="X116" i="103"/>
  <c r="D106" i="103"/>
  <c r="D116" i="103"/>
  <c r="D120" i="103"/>
  <c r="Y120" i="103"/>
  <c r="AA120" i="103"/>
  <c r="V79" i="13"/>
  <c r="W79" i="13"/>
  <c r="X79" i="13"/>
  <c r="Y79" i="13"/>
  <c r="AA79" i="13"/>
  <c r="AB79" i="13"/>
  <c r="AC79" i="13"/>
  <c r="AE79" i="13"/>
  <c r="AF79" i="13"/>
  <c r="AG79" i="13"/>
  <c r="AH79" i="13"/>
  <c r="AI79" i="13"/>
  <c r="AJ79" i="13"/>
  <c r="AK79" i="13"/>
  <c r="AL79" i="13"/>
  <c r="AM79" i="13"/>
  <c r="AN79" i="13"/>
  <c r="Y76" i="93"/>
  <c r="Y78" i="93"/>
  <c r="E116" i="93"/>
  <c r="D106" i="93"/>
  <c r="D120" i="93"/>
  <c r="Y120" i="93"/>
  <c r="AA120" i="93"/>
  <c r="Y76" i="117"/>
  <c r="Y78" i="117"/>
  <c r="E116" i="117"/>
  <c r="D106" i="117"/>
  <c r="D120" i="117"/>
  <c r="Y120" i="117"/>
  <c r="AA120" i="117"/>
  <c r="Y76" i="118"/>
  <c r="Y78" i="118"/>
  <c r="E115" i="118"/>
  <c r="E116" i="118"/>
  <c r="F115" i="118"/>
  <c r="F116" i="118"/>
  <c r="G63" i="118"/>
  <c r="G115" i="118"/>
  <c r="G116" i="118"/>
  <c r="H63" i="118"/>
  <c r="H115" i="118"/>
  <c r="H116" i="118"/>
  <c r="I63" i="118"/>
  <c r="I115" i="118"/>
  <c r="I116" i="118"/>
  <c r="K63" i="118"/>
  <c r="K115" i="118"/>
  <c r="K116" i="118"/>
  <c r="L63" i="118"/>
  <c r="L115" i="118"/>
  <c r="L116" i="118"/>
  <c r="M63" i="118"/>
  <c r="M115" i="118"/>
  <c r="M116" i="118"/>
  <c r="N63" i="118"/>
  <c r="N115" i="118"/>
  <c r="N116" i="118"/>
  <c r="O63" i="118"/>
  <c r="O115" i="118"/>
  <c r="O116" i="118"/>
  <c r="P63" i="118"/>
  <c r="P115" i="118"/>
  <c r="P116" i="118"/>
  <c r="Q63" i="118"/>
  <c r="Q115" i="118"/>
  <c r="Q116" i="118"/>
  <c r="R63" i="118"/>
  <c r="R115" i="118"/>
  <c r="R116" i="118"/>
  <c r="S63" i="118"/>
  <c r="S115" i="118"/>
  <c r="S116" i="118"/>
  <c r="T63" i="118"/>
  <c r="T115" i="118"/>
  <c r="T116" i="118"/>
  <c r="U63" i="118"/>
  <c r="U115" i="118"/>
  <c r="U116" i="118"/>
  <c r="V63" i="118"/>
  <c r="V115" i="118"/>
  <c r="V116" i="118"/>
  <c r="W63" i="118"/>
  <c r="W115" i="118"/>
  <c r="W116" i="118"/>
  <c r="X63" i="118"/>
  <c r="X115" i="118"/>
  <c r="X116" i="118"/>
  <c r="D106" i="118"/>
  <c r="D116" i="118"/>
  <c r="D120" i="118"/>
  <c r="Y120" i="118"/>
  <c r="AA120" i="118"/>
  <c r="Y76" i="119"/>
  <c r="Y78" i="119"/>
  <c r="E116" i="119"/>
  <c r="D106" i="119"/>
  <c r="D120" i="119"/>
  <c r="Y120" i="119"/>
  <c r="AA120" i="119"/>
  <c r="Y76" i="96"/>
  <c r="Y78" i="96"/>
  <c r="C65" i="95"/>
  <c r="C66" i="95"/>
  <c r="C69" i="95"/>
  <c r="C70" i="95"/>
  <c r="C72" i="95"/>
  <c r="E115" i="96"/>
  <c r="D65" i="95"/>
  <c r="D66" i="95"/>
  <c r="D69" i="95"/>
  <c r="D70" i="95"/>
  <c r="D72" i="95"/>
  <c r="F115" i="96"/>
  <c r="E65" i="95"/>
  <c r="E66" i="95"/>
  <c r="E69" i="95"/>
  <c r="E70" i="95"/>
  <c r="E72" i="95"/>
  <c r="G63" i="96"/>
  <c r="G114" i="96"/>
  <c r="G115" i="96"/>
  <c r="F65" i="95"/>
  <c r="F66" i="95"/>
  <c r="F69" i="95"/>
  <c r="F70" i="95"/>
  <c r="F72" i="95"/>
  <c r="H63" i="96"/>
  <c r="H114" i="96"/>
  <c r="H115" i="96"/>
  <c r="G65" i="95"/>
  <c r="G66" i="95"/>
  <c r="G69" i="95"/>
  <c r="G70" i="95"/>
  <c r="G72" i="95"/>
  <c r="I63" i="96"/>
  <c r="I114" i="96"/>
  <c r="I115" i="96"/>
  <c r="K63" i="96"/>
  <c r="K114" i="96"/>
  <c r="K115" i="96"/>
  <c r="L63" i="96"/>
  <c r="L114" i="96"/>
  <c r="L115" i="96"/>
  <c r="M63" i="96"/>
  <c r="M114" i="96"/>
  <c r="M115" i="96"/>
  <c r="N63" i="96"/>
  <c r="N114" i="96"/>
  <c r="N115" i="96"/>
  <c r="O63" i="96"/>
  <c r="O114" i="96"/>
  <c r="O115" i="96"/>
  <c r="P63" i="96"/>
  <c r="P114" i="96"/>
  <c r="P115" i="96"/>
  <c r="Q63" i="96"/>
  <c r="Q114" i="96"/>
  <c r="Q115" i="96"/>
  <c r="R63" i="96"/>
  <c r="R114" i="96"/>
  <c r="R115" i="96"/>
  <c r="S63" i="96"/>
  <c r="S114" i="96"/>
  <c r="S115" i="96"/>
  <c r="T63" i="96"/>
  <c r="T114" i="96"/>
  <c r="T115" i="96"/>
  <c r="U63" i="96"/>
  <c r="U114" i="96"/>
  <c r="U115" i="96"/>
  <c r="V63" i="96"/>
  <c r="V114" i="96"/>
  <c r="V115" i="96"/>
  <c r="W63" i="96"/>
  <c r="W114" i="96"/>
  <c r="W115" i="96"/>
  <c r="X63" i="96"/>
  <c r="X114" i="96"/>
  <c r="X115" i="96"/>
  <c r="D105" i="96"/>
  <c r="D115" i="96"/>
  <c r="D119" i="96"/>
  <c r="Y119" i="96"/>
  <c r="AA119" i="96"/>
  <c r="Y76" i="99"/>
  <c r="Y78" i="99"/>
  <c r="D105" i="99"/>
  <c r="D119" i="99"/>
  <c r="Y119" i="99"/>
  <c r="AA119" i="99"/>
  <c r="Y76" i="101"/>
  <c r="Y78" i="101"/>
  <c r="D105" i="101"/>
  <c r="D119" i="101"/>
  <c r="Y119" i="101"/>
  <c r="AA119" i="101"/>
  <c r="Y76" i="111"/>
  <c r="Y78" i="111"/>
  <c r="D105" i="111"/>
  <c r="D119" i="111"/>
  <c r="Y119" i="111"/>
  <c r="AA119" i="111"/>
  <c r="Y76" i="110"/>
  <c r="Y78" i="110"/>
  <c r="D105" i="110"/>
  <c r="D119" i="110"/>
  <c r="Y119" i="110"/>
  <c r="AA119" i="110"/>
  <c r="Y76" i="109"/>
  <c r="Y78" i="109"/>
  <c r="D105" i="109"/>
  <c r="D119" i="109"/>
  <c r="Y119" i="109"/>
  <c r="AA119" i="109"/>
  <c r="L11" i="140"/>
  <c r="L11" i="136"/>
  <c r="M172" i="143"/>
  <c r="F166" i="105"/>
  <c r="D415" i="71"/>
  <c r="N172" i="143"/>
  <c r="G166" i="105"/>
  <c r="E415" i="71"/>
  <c r="O172" i="143"/>
  <c r="H166" i="105"/>
  <c r="F415" i="71"/>
  <c r="P172" i="143"/>
  <c r="I166" i="105"/>
  <c r="G415" i="71"/>
  <c r="Q172" i="143"/>
  <c r="J166" i="105"/>
  <c r="H415" i="71"/>
  <c r="R172" i="143"/>
  <c r="K166" i="105"/>
  <c r="I415" i="71"/>
  <c r="S172" i="143"/>
  <c r="L166" i="105"/>
  <c r="J415" i="71"/>
  <c r="T172" i="143"/>
  <c r="M166" i="105"/>
  <c r="K415" i="71"/>
  <c r="U172" i="143"/>
  <c r="N166" i="105"/>
  <c r="L415" i="71"/>
  <c r="V172" i="143"/>
  <c r="O166" i="105"/>
  <c r="M415" i="71"/>
  <c r="W172" i="143"/>
  <c r="P166" i="105"/>
  <c r="N415" i="71"/>
  <c r="X172" i="143"/>
  <c r="Q166" i="105"/>
  <c r="O415" i="71"/>
  <c r="Y172" i="143"/>
  <c r="R166" i="105"/>
  <c r="P415" i="71"/>
  <c r="Z172" i="143"/>
  <c r="S166" i="105"/>
  <c r="Q415" i="71"/>
  <c r="AA172" i="143"/>
  <c r="T166" i="105"/>
  <c r="R415" i="71"/>
  <c r="AB172" i="143"/>
  <c r="U166" i="105"/>
  <c r="S415" i="71"/>
  <c r="AC172" i="143"/>
  <c r="V166" i="105"/>
  <c r="T415" i="71"/>
  <c r="AD172" i="143"/>
  <c r="W166" i="105"/>
  <c r="U415" i="71"/>
  <c r="AE172" i="143"/>
  <c r="X166" i="105"/>
  <c r="V415" i="71"/>
  <c r="L172" i="143"/>
  <c r="E166" i="105"/>
  <c r="C415" i="71"/>
  <c r="M171" i="139"/>
  <c r="F166" i="120"/>
  <c r="D339" i="71"/>
  <c r="N171" i="139"/>
  <c r="G166" i="120"/>
  <c r="E339" i="71"/>
  <c r="O171" i="139"/>
  <c r="H166" i="120"/>
  <c r="F339" i="71"/>
  <c r="P171" i="139"/>
  <c r="I166" i="120"/>
  <c r="G339" i="71"/>
  <c r="Q171" i="139"/>
  <c r="J166" i="120"/>
  <c r="H339" i="71"/>
  <c r="R171" i="139"/>
  <c r="K166" i="120"/>
  <c r="I339" i="71"/>
  <c r="S171" i="139"/>
  <c r="L166" i="120"/>
  <c r="J339" i="71"/>
  <c r="T171" i="139"/>
  <c r="M166" i="120"/>
  <c r="K339" i="71"/>
  <c r="U171" i="139"/>
  <c r="N166" i="120"/>
  <c r="L339" i="71"/>
  <c r="V171" i="139"/>
  <c r="O166" i="120"/>
  <c r="M339" i="71"/>
  <c r="W171" i="139"/>
  <c r="P166" i="120"/>
  <c r="N339" i="71"/>
  <c r="X171" i="139"/>
  <c r="Q166" i="120"/>
  <c r="O339" i="71"/>
  <c r="Y171" i="139"/>
  <c r="R166" i="120"/>
  <c r="P339" i="71"/>
  <c r="Z171" i="139"/>
  <c r="S166" i="120"/>
  <c r="Q339" i="71"/>
  <c r="AA171" i="139"/>
  <c r="T166" i="120"/>
  <c r="R339" i="71"/>
  <c r="AB171" i="139"/>
  <c r="U166" i="120"/>
  <c r="S339" i="71"/>
  <c r="AC171" i="139"/>
  <c r="V166" i="120"/>
  <c r="T339" i="71"/>
  <c r="AD171" i="139"/>
  <c r="W166" i="120"/>
  <c r="U339" i="71"/>
  <c r="AE171" i="139"/>
  <c r="X166" i="120"/>
  <c r="V339" i="71"/>
  <c r="L171" i="139"/>
  <c r="E166" i="120"/>
  <c r="C339" i="71"/>
  <c r="M172" i="135"/>
  <c r="F165" i="102"/>
  <c r="D263" i="71"/>
  <c r="N172" i="135"/>
  <c r="G165" i="102"/>
  <c r="E263" i="71"/>
  <c r="O172" i="135"/>
  <c r="H165" i="102"/>
  <c r="F263" i="71"/>
  <c r="P172" i="135"/>
  <c r="I165" i="102"/>
  <c r="G263" i="71"/>
  <c r="Q172" i="135"/>
  <c r="J165" i="102"/>
  <c r="H263" i="71"/>
  <c r="R172" i="135"/>
  <c r="K165" i="102"/>
  <c r="I263" i="71"/>
  <c r="S172" i="135"/>
  <c r="L165" i="102"/>
  <c r="J263" i="71"/>
  <c r="T172" i="135"/>
  <c r="M165" i="102"/>
  <c r="K263" i="71"/>
  <c r="U172" i="135"/>
  <c r="N165" i="102"/>
  <c r="L263" i="71"/>
  <c r="V172" i="135"/>
  <c r="O165" i="102"/>
  <c r="M263" i="71"/>
  <c r="W172" i="135"/>
  <c r="P165" i="102"/>
  <c r="N263" i="71"/>
  <c r="X172" i="135"/>
  <c r="Q165" i="102"/>
  <c r="O263" i="71"/>
  <c r="Y172" i="135"/>
  <c r="R165" i="102"/>
  <c r="P263" i="71"/>
  <c r="Z172" i="135"/>
  <c r="S165" i="102"/>
  <c r="Q263" i="71"/>
  <c r="AA172" i="135"/>
  <c r="T165" i="102"/>
  <c r="R263" i="71"/>
  <c r="AB172" i="135"/>
  <c r="U165" i="102"/>
  <c r="S263" i="71"/>
  <c r="AC172" i="135"/>
  <c r="V165" i="102"/>
  <c r="T263" i="71"/>
  <c r="AD172" i="135"/>
  <c r="W165" i="102"/>
  <c r="U263" i="71"/>
  <c r="AE172" i="135"/>
  <c r="X165" i="102"/>
  <c r="V263" i="71"/>
  <c r="L172" i="135"/>
  <c r="E165" i="102"/>
  <c r="C263" i="71"/>
  <c r="L11" i="129"/>
  <c r="N170" i="129"/>
  <c r="N170" i="134"/>
  <c r="N170" i="133"/>
  <c r="M171" i="132"/>
  <c r="F165" i="112"/>
  <c r="D187" i="71"/>
  <c r="N171" i="132"/>
  <c r="G165" i="112"/>
  <c r="E187" i="71"/>
  <c r="O171" i="132"/>
  <c r="H165" i="112"/>
  <c r="F187" i="71"/>
  <c r="P171" i="132"/>
  <c r="I165" i="112"/>
  <c r="G187" i="71"/>
  <c r="Q171" i="132"/>
  <c r="J165" i="112"/>
  <c r="H187" i="71"/>
  <c r="R171" i="132"/>
  <c r="K165" i="112"/>
  <c r="I187" i="71"/>
  <c r="S171" i="132"/>
  <c r="L165" i="112"/>
  <c r="J187" i="71"/>
  <c r="T171" i="132"/>
  <c r="M165" i="112"/>
  <c r="K187" i="71"/>
  <c r="U171" i="132"/>
  <c r="N165" i="112"/>
  <c r="L187" i="71"/>
  <c r="V171" i="132"/>
  <c r="O165" i="112"/>
  <c r="M187" i="71"/>
  <c r="W171" i="132"/>
  <c r="P165" i="112"/>
  <c r="N187" i="71"/>
  <c r="X171" i="132"/>
  <c r="Q165" i="112"/>
  <c r="O187" i="71"/>
  <c r="Y171" i="132"/>
  <c r="R165" i="112"/>
  <c r="P187" i="71"/>
  <c r="Z171" i="132"/>
  <c r="S165" i="112"/>
  <c r="Q187" i="71"/>
  <c r="AA171" i="132"/>
  <c r="T165" i="112"/>
  <c r="R187" i="71"/>
  <c r="AB171" i="132"/>
  <c r="U165" i="112"/>
  <c r="S187" i="71"/>
  <c r="AC171" i="132"/>
  <c r="V165" i="112"/>
  <c r="T187" i="71"/>
  <c r="AD171" i="132"/>
  <c r="W165" i="112"/>
  <c r="U187" i="71"/>
  <c r="AE171" i="132"/>
  <c r="X165" i="112"/>
  <c r="V187" i="71"/>
  <c r="L171" i="132"/>
  <c r="E165" i="112"/>
  <c r="C187" i="71"/>
  <c r="L11" i="128"/>
  <c r="N169" i="128"/>
  <c r="N169" i="130"/>
  <c r="M169" i="130"/>
  <c r="N169" i="131"/>
  <c r="M169" i="131"/>
  <c r="M170" i="124"/>
  <c r="M170" i="127"/>
  <c r="F165" i="116"/>
  <c r="D111" i="71"/>
  <c r="N170" i="124"/>
  <c r="N170" i="127"/>
  <c r="G165" i="116"/>
  <c r="E111" i="71"/>
  <c r="O170" i="124"/>
  <c r="O170" i="127"/>
  <c r="H165" i="116"/>
  <c r="F111" i="71"/>
  <c r="P170" i="124"/>
  <c r="P170" i="127"/>
  <c r="I165" i="116"/>
  <c r="G111" i="71"/>
  <c r="Q170" i="124"/>
  <c r="Q170" i="127"/>
  <c r="J165" i="116"/>
  <c r="H111" i="71"/>
  <c r="R170" i="124"/>
  <c r="R170" i="127"/>
  <c r="K165" i="116"/>
  <c r="I111" i="71"/>
  <c r="S170" i="124"/>
  <c r="S170" i="127"/>
  <c r="L165" i="116"/>
  <c r="J111" i="71"/>
  <c r="T170" i="124"/>
  <c r="T170" i="127"/>
  <c r="M165" i="116"/>
  <c r="K111" i="71"/>
  <c r="U170" i="124"/>
  <c r="U170" i="127"/>
  <c r="N165" i="116"/>
  <c r="L111" i="71"/>
  <c r="V170" i="124"/>
  <c r="V170" i="127"/>
  <c r="O165" i="116"/>
  <c r="M111" i="71"/>
  <c r="W170" i="124"/>
  <c r="W170" i="127"/>
  <c r="P165" i="116"/>
  <c r="N111" i="71"/>
  <c r="X170" i="124"/>
  <c r="X170" i="127"/>
  <c r="Q165" i="116"/>
  <c r="O111" i="71"/>
  <c r="Y170" i="124"/>
  <c r="Y170" i="127"/>
  <c r="R165" i="116"/>
  <c r="P111" i="71"/>
  <c r="Z170" i="124"/>
  <c r="Z170" i="127"/>
  <c r="S165" i="116"/>
  <c r="Q111" i="71"/>
  <c r="AA170" i="124"/>
  <c r="AA170" i="127"/>
  <c r="T165" i="116"/>
  <c r="R111" i="71"/>
  <c r="AB170" i="124"/>
  <c r="AB170" i="127"/>
  <c r="U165" i="116"/>
  <c r="S111" i="71"/>
  <c r="AC170" i="124"/>
  <c r="AC170" i="127"/>
  <c r="V165" i="116"/>
  <c r="T111" i="71"/>
  <c r="AD170" i="124"/>
  <c r="AD170" i="127"/>
  <c r="W165" i="116"/>
  <c r="U111" i="71"/>
  <c r="AE170" i="124"/>
  <c r="AE170" i="127"/>
  <c r="X165" i="116"/>
  <c r="V111" i="71"/>
  <c r="L170" i="124"/>
  <c r="L170" i="127"/>
  <c r="E165" i="116"/>
  <c r="C111" i="71"/>
  <c r="L170" i="126"/>
  <c r="E165" i="115"/>
  <c r="C92" i="71"/>
  <c r="M170" i="126"/>
  <c r="F165" i="115"/>
  <c r="D92" i="71"/>
  <c r="N170" i="126"/>
  <c r="G165" i="115"/>
  <c r="E92" i="71"/>
  <c r="O170" i="126"/>
  <c r="H165" i="115"/>
  <c r="F92" i="71"/>
  <c r="P170" i="126"/>
  <c r="I165" i="115"/>
  <c r="G92" i="71"/>
  <c r="Q170" i="126"/>
  <c r="J165" i="115"/>
  <c r="H92" i="71"/>
  <c r="R170" i="126"/>
  <c r="K165" i="115"/>
  <c r="I92" i="71"/>
  <c r="S170" i="126"/>
  <c r="L165" i="115"/>
  <c r="J92" i="71"/>
  <c r="T170" i="126"/>
  <c r="M165" i="115"/>
  <c r="K92" i="71"/>
  <c r="U170" i="126"/>
  <c r="N165" i="115"/>
  <c r="L92" i="71"/>
  <c r="V170" i="126"/>
  <c r="O165" i="115"/>
  <c r="M92" i="71"/>
  <c r="W170" i="126"/>
  <c r="P165" i="115"/>
  <c r="N92" i="71"/>
  <c r="X170" i="126"/>
  <c r="Q165" i="115"/>
  <c r="O92" i="71"/>
  <c r="Y170" i="126"/>
  <c r="R165" i="115"/>
  <c r="P92" i="71"/>
  <c r="Z170" i="126"/>
  <c r="S165" i="115"/>
  <c r="Q92" i="71"/>
  <c r="AA170" i="126"/>
  <c r="T165" i="115"/>
  <c r="R92" i="71"/>
  <c r="AB170" i="126"/>
  <c r="U165" i="115"/>
  <c r="S92" i="71"/>
  <c r="AC170" i="126"/>
  <c r="V165" i="115"/>
  <c r="T92" i="71"/>
  <c r="AD170" i="126"/>
  <c r="W165" i="115"/>
  <c r="U92" i="71"/>
  <c r="AE170" i="126"/>
  <c r="X165" i="115"/>
  <c r="V92" i="71"/>
  <c r="W92" i="71"/>
  <c r="L11" i="124"/>
  <c r="N168" i="124"/>
  <c r="N168" i="126"/>
  <c r="G164" i="115"/>
  <c r="E91" i="71"/>
  <c r="O168" i="124"/>
  <c r="O168" i="126"/>
  <c r="H164" i="115"/>
  <c r="F91" i="71"/>
  <c r="P168" i="124"/>
  <c r="P168" i="126"/>
  <c r="I164" i="115"/>
  <c r="G91" i="71"/>
  <c r="Q168" i="124"/>
  <c r="Q168" i="126"/>
  <c r="J164" i="115"/>
  <c r="H91" i="71"/>
  <c r="R168" i="124"/>
  <c r="R168" i="126"/>
  <c r="K164" i="115"/>
  <c r="I91" i="71"/>
  <c r="S168" i="124"/>
  <c r="S168" i="126"/>
  <c r="L164" i="115"/>
  <c r="J91" i="71"/>
  <c r="T168" i="124"/>
  <c r="T168" i="126"/>
  <c r="M164" i="115"/>
  <c r="K91" i="71"/>
  <c r="U168" i="124"/>
  <c r="U168" i="126"/>
  <c r="N164" i="115"/>
  <c r="L91" i="71"/>
  <c r="V168" i="124"/>
  <c r="V168" i="126"/>
  <c r="O164" i="115"/>
  <c r="M91" i="71"/>
  <c r="W168" i="124"/>
  <c r="W168" i="126"/>
  <c r="P164" i="115"/>
  <c r="N91" i="71"/>
  <c r="X168" i="124"/>
  <c r="X168" i="126"/>
  <c r="Q164" i="115"/>
  <c r="O91" i="71"/>
  <c r="Y168" i="124"/>
  <c r="Y168" i="126"/>
  <c r="R164" i="115"/>
  <c r="P91" i="71"/>
  <c r="Z168" i="124"/>
  <c r="Z168" i="126"/>
  <c r="S164" i="115"/>
  <c r="Q91" i="71"/>
  <c r="AA168" i="124"/>
  <c r="AA168" i="126"/>
  <c r="T164" i="115"/>
  <c r="R91" i="71"/>
  <c r="AB168" i="124"/>
  <c r="AB168" i="126"/>
  <c r="U164" i="115"/>
  <c r="S91" i="71"/>
  <c r="AC168" i="124"/>
  <c r="AC168" i="126"/>
  <c r="V164" i="115"/>
  <c r="T91" i="71"/>
  <c r="AD168" i="124"/>
  <c r="AD168" i="126"/>
  <c r="W164" i="115"/>
  <c r="U91" i="71"/>
  <c r="AE168" i="124"/>
  <c r="AE168" i="126"/>
  <c r="X164" i="115"/>
  <c r="V91" i="71"/>
  <c r="E164" i="115"/>
  <c r="C91" i="71"/>
  <c r="F164" i="115"/>
  <c r="D91" i="71"/>
  <c r="W91" i="71"/>
  <c r="X92" i="71"/>
  <c r="M170" i="125"/>
  <c r="F165" i="114"/>
  <c r="D73" i="71"/>
  <c r="N170" i="125"/>
  <c r="G165" i="114"/>
  <c r="E73" i="71"/>
  <c r="O170" i="125"/>
  <c r="H165" i="114"/>
  <c r="F73" i="71"/>
  <c r="P170" i="125"/>
  <c r="I165" i="114"/>
  <c r="G73" i="71"/>
  <c r="Q170" i="125"/>
  <c r="J165" i="114"/>
  <c r="H73" i="71"/>
  <c r="R170" i="125"/>
  <c r="K165" i="114"/>
  <c r="I73" i="71"/>
  <c r="S170" i="125"/>
  <c r="L165" i="114"/>
  <c r="J73" i="71"/>
  <c r="T170" i="125"/>
  <c r="M165" i="114"/>
  <c r="K73" i="71"/>
  <c r="U170" i="125"/>
  <c r="N165" i="114"/>
  <c r="L73" i="71"/>
  <c r="V170" i="125"/>
  <c r="O165" i="114"/>
  <c r="M73" i="71"/>
  <c r="W170" i="125"/>
  <c r="P165" i="114"/>
  <c r="N73" i="71"/>
  <c r="X170" i="125"/>
  <c r="Q165" i="114"/>
  <c r="O73" i="71"/>
  <c r="Y170" i="125"/>
  <c r="R165" i="114"/>
  <c r="P73" i="71"/>
  <c r="Z170" i="125"/>
  <c r="S165" i="114"/>
  <c r="Q73" i="71"/>
  <c r="AA170" i="125"/>
  <c r="T165" i="114"/>
  <c r="R73" i="71"/>
  <c r="AB170" i="125"/>
  <c r="U165" i="114"/>
  <c r="S73" i="71"/>
  <c r="AC170" i="125"/>
  <c r="V165" i="114"/>
  <c r="T73" i="71"/>
  <c r="AD170" i="125"/>
  <c r="W165" i="114"/>
  <c r="U73" i="71"/>
  <c r="AE170" i="125"/>
  <c r="X165" i="114"/>
  <c r="V73" i="71"/>
  <c r="L170" i="125"/>
  <c r="E165" i="114"/>
  <c r="C73" i="71"/>
  <c r="F165" i="113"/>
  <c r="D54" i="71"/>
  <c r="G165" i="113"/>
  <c r="E54" i="71"/>
  <c r="H165" i="113"/>
  <c r="F54" i="71"/>
  <c r="I165" i="113"/>
  <c r="G54" i="71"/>
  <c r="J165" i="113"/>
  <c r="H54" i="71"/>
  <c r="K165" i="113"/>
  <c r="I54" i="71"/>
  <c r="L165" i="113"/>
  <c r="J54" i="71"/>
  <c r="M165" i="113"/>
  <c r="K54" i="71"/>
  <c r="N165" i="113"/>
  <c r="L54" i="71"/>
  <c r="O165" i="113"/>
  <c r="M54" i="71"/>
  <c r="P165" i="113"/>
  <c r="N54" i="71"/>
  <c r="Q165" i="113"/>
  <c r="O54" i="71"/>
  <c r="R165" i="113"/>
  <c r="P54" i="71"/>
  <c r="S165" i="113"/>
  <c r="Q54" i="71"/>
  <c r="T165" i="113"/>
  <c r="R54" i="71"/>
  <c r="U165" i="113"/>
  <c r="S54" i="71"/>
  <c r="V165" i="113"/>
  <c r="T54" i="71"/>
  <c r="W165" i="113"/>
  <c r="U54" i="71"/>
  <c r="X165" i="113"/>
  <c r="V54" i="71"/>
  <c r="E165" i="113"/>
  <c r="C54" i="71"/>
  <c r="F165" i="105"/>
  <c r="G165" i="105"/>
  <c r="H165" i="105"/>
  <c r="I165" i="105"/>
  <c r="J165" i="105"/>
  <c r="K165" i="105"/>
  <c r="L165" i="105"/>
  <c r="M165" i="105"/>
  <c r="N165" i="105"/>
  <c r="O165" i="105"/>
  <c r="P165" i="105"/>
  <c r="Q165" i="105"/>
  <c r="R165" i="105"/>
  <c r="S165" i="105"/>
  <c r="T165" i="105"/>
  <c r="U165" i="105"/>
  <c r="V165" i="105"/>
  <c r="W165" i="105"/>
  <c r="X165" i="105"/>
  <c r="E165" i="105"/>
  <c r="F78" i="105"/>
  <c r="F165" i="120"/>
  <c r="G165" i="120"/>
  <c r="H165" i="120"/>
  <c r="I165" i="120"/>
  <c r="J165" i="120"/>
  <c r="K165" i="120"/>
  <c r="L165" i="120"/>
  <c r="M165" i="120"/>
  <c r="N165" i="120"/>
  <c r="O165" i="120"/>
  <c r="P165" i="120"/>
  <c r="Q165" i="120"/>
  <c r="R165" i="120"/>
  <c r="S165" i="120"/>
  <c r="T165" i="120"/>
  <c r="U165" i="120"/>
  <c r="V165" i="120"/>
  <c r="W165" i="120"/>
  <c r="X165" i="120"/>
  <c r="E165" i="120"/>
  <c r="F78" i="120"/>
  <c r="F164" i="102"/>
  <c r="N170" i="135"/>
  <c r="G164" i="102"/>
  <c r="O170" i="135"/>
  <c r="H164" i="102"/>
  <c r="P170" i="135"/>
  <c r="I164" i="102"/>
  <c r="Q170" i="135"/>
  <c r="J164" i="102"/>
  <c r="R170" i="135"/>
  <c r="K164" i="102"/>
  <c r="S170" i="135"/>
  <c r="L164" i="102"/>
  <c r="T170" i="135"/>
  <c r="M164" i="102"/>
  <c r="U170" i="135"/>
  <c r="N164" i="102"/>
  <c r="V170" i="135"/>
  <c r="O164" i="102"/>
  <c r="W170" i="135"/>
  <c r="P164" i="102"/>
  <c r="X170" i="135"/>
  <c r="Q164" i="102"/>
  <c r="Y170" i="135"/>
  <c r="R164" i="102"/>
  <c r="Z170" i="135"/>
  <c r="S164" i="102"/>
  <c r="AA170" i="135"/>
  <c r="T164" i="102"/>
  <c r="AB170" i="135"/>
  <c r="U164" i="102"/>
  <c r="AC170" i="135"/>
  <c r="V164" i="102"/>
  <c r="AD170" i="135"/>
  <c r="W164" i="102"/>
  <c r="AE170" i="135"/>
  <c r="X164" i="102"/>
  <c r="E164" i="102"/>
  <c r="F78" i="102"/>
  <c r="L11" i="123"/>
  <c r="N170" i="123"/>
  <c r="L11" i="122"/>
  <c r="N169" i="122"/>
  <c r="F164" i="113"/>
  <c r="G164" i="113"/>
  <c r="H164" i="113"/>
  <c r="I164" i="113"/>
  <c r="J164" i="113"/>
  <c r="K164" i="113"/>
  <c r="L164" i="113"/>
  <c r="M164" i="113"/>
  <c r="N164" i="113"/>
  <c r="O164" i="113"/>
  <c r="P164" i="113"/>
  <c r="Q164" i="113"/>
  <c r="R164" i="113"/>
  <c r="S164" i="113"/>
  <c r="T164" i="113"/>
  <c r="U164" i="113"/>
  <c r="V164" i="113"/>
  <c r="W164" i="113"/>
  <c r="X164" i="113"/>
  <c r="E164" i="113"/>
  <c r="M169" i="132"/>
  <c r="F164" i="112"/>
  <c r="N169" i="132"/>
  <c r="G164" i="112"/>
  <c r="O169" i="132"/>
  <c r="H164" i="112"/>
  <c r="P169" i="132"/>
  <c r="I164" i="112"/>
  <c r="Q169" i="132"/>
  <c r="J164" i="112"/>
  <c r="R169" i="132"/>
  <c r="K164" i="112"/>
  <c r="S169" i="132"/>
  <c r="L164" i="112"/>
  <c r="T169" i="132"/>
  <c r="M164" i="112"/>
  <c r="U169" i="132"/>
  <c r="N164" i="112"/>
  <c r="V169" i="132"/>
  <c r="O164" i="112"/>
  <c r="W169" i="132"/>
  <c r="P164" i="112"/>
  <c r="X169" i="132"/>
  <c r="Q164" i="112"/>
  <c r="Y169" i="132"/>
  <c r="R164" i="112"/>
  <c r="Z169" i="132"/>
  <c r="S164" i="112"/>
  <c r="AA169" i="132"/>
  <c r="T164" i="112"/>
  <c r="AB169" i="132"/>
  <c r="U164" i="112"/>
  <c r="AC169" i="132"/>
  <c r="V164" i="112"/>
  <c r="AD169" i="132"/>
  <c r="W164" i="112"/>
  <c r="AE169" i="132"/>
  <c r="X164" i="112"/>
  <c r="E164" i="112"/>
  <c r="F78" i="112"/>
  <c r="F78" i="115"/>
  <c r="F164" i="116"/>
  <c r="N168" i="127"/>
  <c r="G164" i="116"/>
  <c r="O168" i="127"/>
  <c r="H164" i="116"/>
  <c r="P168" i="127"/>
  <c r="I164" i="116"/>
  <c r="Q168" i="127"/>
  <c r="J164" i="116"/>
  <c r="R168" i="127"/>
  <c r="K164" i="116"/>
  <c r="S168" i="127"/>
  <c r="L164" i="116"/>
  <c r="T168" i="127"/>
  <c r="M164" i="116"/>
  <c r="U168" i="127"/>
  <c r="N164" i="116"/>
  <c r="V168" i="127"/>
  <c r="O164" i="116"/>
  <c r="W168" i="127"/>
  <c r="P164" i="116"/>
  <c r="X168" i="127"/>
  <c r="Q164" i="116"/>
  <c r="Y168" i="127"/>
  <c r="R164" i="116"/>
  <c r="Z168" i="127"/>
  <c r="S164" i="116"/>
  <c r="AA168" i="127"/>
  <c r="T164" i="116"/>
  <c r="AB168" i="127"/>
  <c r="U164" i="116"/>
  <c r="AC168" i="127"/>
  <c r="V164" i="116"/>
  <c r="AD168" i="127"/>
  <c r="W164" i="116"/>
  <c r="AE168" i="127"/>
  <c r="X164" i="116"/>
  <c r="E164" i="116"/>
  <c r="F78" i="116"/>
  <c r="F164" i="114"/>
  <c r="N168" i="125"/>
  <c r="G164" i="114"/>
  <c r="O168" i="125"/>
  <c r="H164" i="114"/>
  <c r="P168" i="125"/>
  <c r="I164" i="114"/>
  <c r="Q168" i="125"/>
  <c r="J164" i="114"/>
  <c r="R168" i="125"/>
  <c r="K164" i="114"/>
  <c r="S168" i="125"/>
  <c r="L164" i="114"/>
  <c r="T168" i="125"/>
  <c r="M164" i="114"/>
  <c r="U168" i="125"/>
  <c r="N164" i="114"/>
  <c r="V168" i="125"/>
  <c r="O164" i="114"/>
  <c r="W168" i="125"/>
  <c r="P164" i="114"/>
  <c r="X168" i="125"/>
  <c r="Q164" i="114"/>
  <c r="Y168" i="125"/>
  <c r="R164" i="114"/>
  <c r="Z168" i="125"/>
  <c r="S164" i="114"/>
  <c r="AA168" i="125"/>
  <c r="T164" i="114"/>
  <c r="AB168" i="125"/>
  <c r="U164" i="114"/>
  <c r="AC168" i="125"/>
  <c r="V164" i="114"/>
  <c r="AD168" i="125"/>
  <c r="W164" i="114"/>
  <c r="AE168" i="125"/>
  <c r="X164" i="114"/>
  <c r="E164" i="114"/>
  <c r="F78" i="114"/>
  <c r="F78" i="113"/>
  <c r="Y78" i="113"/>
  <c r="K170" i="143"/>
  <c r="K172" i="143"/>
  <c r="A170" i="143"/>
  <c r="A172" i="143"/>
  <c r="A169" i="143"/>
  <c r="K170" i="142"/>
  <c r="K172" i="142"/>
  <c r="A170" i="142"/>
  <c r="A172" i="142"/>
  <c r="A169" i="142"/>
  <c r="K170" i="141"/>
  <c r="K172" i="141"/>
  <c r="A170" i="141"/>
  <c r="A172" i="141"/>
  <c r="A169" i="141"/>
  <c r="K169" i="139"/>
  <c r="K171" i="139"/>
  <c r="A169" i="139"/>
  <c r="A171" i="139"/>
  <c r="A168" i="139"/>
  <c r="K169" i="138"/>
  <c r="K171" i="138"/>
  <c r="A169" i="138"/>
  <c r="A171" i="138"/>
  <c r="A168" i="138"/>
  <c r="K169" i="137"/>
  <c r="K171" i="137"/>
  <c r="A169" i="137"/>
  <c r="A171" i="137"/>
  <c r="A168" i="137"/>
  <c r="K170" i="135"/>
  <c r="L170" i="135"/>
  <c r="M170" i="135"/>
  <c r="K172" i="135"/>
  <c r="A170" i="135"/>
  <c r="A172" i="135"/>
  <c r="A169" i="135"/>
  <c r="K170" i="134"/>
  <c r="L170" i="134"/>
  <c r="M170" i="134"/>
  <c r="K172" i="134"/>
  <c r="A170" i="134"/>
  <c r="A172" i="134"/>
  <c r="A169" i="134"/>
  <c r="K170" i="133"/>
  <c r="L170" i="133"/>
  <c r="M170" i="133"/>
  <c r="K172" i="133"/>
  <c r="A170" i="133"/>
  <c r="A172" i="133"/>
  <c r="A169" i="133"/>
  <c r="K169" i="132"/>
  <c r="L169" i="132"/>
  <c r="K171" i="132"/>
  <c r="A169" i="132"/>
  <c r="A171" i="132"/>
  <c r="A168" i="132"/>
  <c r="K169" i="131"/>
  <c r="L169" i="131"/>
  <c r="K171" i="131"/>
  <c r="A169" i="131"/>
  <c r="A171" i="131"/>
  <c r="A168" i="131"/>
  <c r="K169" i="130"/>
  <c r="L169" i="130"/>
  <c r="K171" i="130"/>
  <c r="A169" i="130"/>
  <c r="A171" i="130"/>
  <c r="A168" i="130"/>
  <c r="K168" i="127"/>
  <c r="L168" i="127"/>
  <c r="M168" i="127"/>
  <c r="K170" i="127"/>
  <c r="A170" i="127"/>
  <c r="A168" i="127"/>
  <c r="A167" i="127"/>
  <c r="K168" i="126"/>
  <c r="L168" i="126"/>
  <c r="M168" i="126"/>
  <c r="K169" i="126"/>
  <c r="L169" i="126"/>
  <c r="M169" i="126"/>
  <c r="N169" i="126"/>
  <c r="O169" i="126"/>
  <c r="P169" i="126"/>
  <c r="Q169" i="126"/>
  <c r="R169" i="126"/>
  <c r="S169" i="126"/>
  <c r="T169" i="126"/>
  <c r="U169" i="126"/>
  <c r="V169" i="126"/>
  <c r="W169" i="126"/>
  <c r="X169" i="126"/>
  <c r="Y169" i="126"/>
  <c r="Z169" i="126"/>
  <c r="AA169" i="126"/>
  <c r="AB169" i="126"/>
  <c r="AC169" i="126"/>
  <c r="AD169" i="126"/>
  <c r="AE169" i="126"/>
  <c r="K170" i="126"/>
  <c r="A168" i="126"/>
  <c r="A170" i="126"/>
  <c r="A167" i="126"/>
  <c r="K168" i="125"/>
  <c r="L168" i="125"/>
  <c r="M168" i="125"/>
  <c r="K170" i="125"/>
  <c r="A168" i="125"/>
  <c r="A170" i="125"/>
  <c r="A167" i="125"/>
  <c r="M170" i="123"/>
  <c r="M168" i="124"/>
  <c r="E62" i="5"/>
  <c r="E63" i="5"/>
  <c r="E64" i="5"/>
  <c r="E67" i="5"/>
  <c r="E35" i="5"/>
  <c r="E36" i="5"/>
  <c r="E76" i="116"/>
  <c r="A76" i="116"/>
  <c r="E76" i="112"/>
  <c r="A76" i="112"/>
  <c r="E76" i="102"/>
  <c r="A76" i="102"/>
  <c r="E76" i="120"/>
  <c r="A76" i="120"/>
  <c r="E76" i="105"/>
  <c r="A76" i="105"/>
  <c r="E20" i="14"/>
  <c r="A19" i="144"/>
  <c r="A7" i="144"/>
  <c r="G7" i="144"/>
  <c r="A8" i="144"/>
  <c r="G8" i="144"/>
  <c r="A11" i="144"/>
  <c r="G11" i="144"/>
  <c r="A12" i="144"/>
  <c r="B12" i="144"/>
  <c r="C12" i="144"/>
  <c r="D12" i="144"/>
  <c r="E12" i="144"/>
  <c r="G12" i="144"/>
  <c r="H12" i="144"/>
  <c r="I12" i="144"/>
  <c r="J12" i="144"/>
  <c r="K12" i="144"/>
  <c r="A13" i="144"/>
  <c r="B13" i="144"/>
  <c r="C13" i="144"/>
  <c r="D13" i="144"/>
  <c r="G13" i="144"/>
  <c r="H13" i="144"/>
  <c r="I13" i="144"/>
  <c r="J13" i="144"/>
  <c r="A14" i="144"/>
  <c r="B14" i="144"/>
  <c r="C14" i="144"/>
  <c r="D14" i="144"/>
  <c r="E14" i="144"/>
  <c r="G14" i="144"/>
  <c r="H14" i="144"/>
  <c r="I14" i="144"/>
  <c r="J14" i="144"/>
  <c r="K14" i="144"/>
  <c r="A15" i="144"/>
  <c r="B15" i="144"/>
  <c r="C15" i="144"/>
  <c r="D15" i="144"/>
  <c r="E15" i="144"/>
  <c r="G15" i="144"/>
  <c r="H15" i="144"/>
  <c r="I15" i="144"/>
  <c r="J15" i="144"/>
  <c r="K15" i="144"/>
  <c r="A16" i="144"/>
  <c r="B16" i="144"/>
  <c r="C16" i="144"/>
  <c r="D16" i="144"/>
  <c r="E16" i="144"/>
  <c r="G16" i="144"/>
  <c r="H16" i="144"/>
  <c r="I16" i="144"/>
  <c r="J16" i="144"/>
  <c r="K16" i="144"/>
  <c r="A17" i="144"/>
  <c r="B17" i="144"/>
  <c r="C17" i="144"/>
  <c r="D17" i="144"/>
  <c r="E17" i="144"/>
  <c r="G17" i="144"/>
  <c r="H17" i="144"/>
  <c r="I17" i="144"/>
  <c r="J17" i="144"/>
  <c r="K17" i="144"/>
  <c r="A18" i="144"/>
  <c r="B18" i="144"/>
  <c r="C18" i="144"/>
  <c r="D18" i="144"/>
  <c r="E18" i="144"/>
  <c r="G18" i="144"/>
  <c r="H18" i="144"/>
  <c r="I18" i="144"/>
  <c r="J18" i="144"/>
  <c r="K18" i="144"/>
  <c r="B19" i="144"/>
  <c r="C19" i="144"/>
  <c r="D19" i="144"/>
  <c r="E19" i="144"/>
  <c r="H19" i="144"/>
  <c r="I19" i="144"/>
  <c r="J19" i="144"/>
  <c r="K19" i="144"/>
  <c r="A20" i="144"/>
  <c r="B20" i="144"/>
  <c r="C20" i="144"/>
  <c r="D20" i="144"/>
  <c r="E20" i="144"/>
  <c r="G20" i="144"/>
  <c r="H20" i="144"/>
  <c r="I20" i="144"/>
  <c r="J20" i="144"/>
  <c r="K20" i="144"/>
  <c r="A21" i="144"/>
  <c r="B21" i="144"/>
  <c r="C21" i="144"/>
  <c r="D21" i="144"/>
  <c r="E21" i="144"/>
  <c r="G21" i="144"/>
  <c r="H21" i="144"/>
  <c r="I21" i="144"/>
  <c r="J21" i="144"/>
  <c r="K21" i="144"/>
  <c r="A22" i="144"/>
  <c r="B22" i="144"/>
  <c r="C22" i="144"/>
  <c r="D22" i="144"/>
  <c r="E22" i="144"/>
  <c r="G22" i="144"/>
  <c r="H22" i="144"/>
  <c r="I22" i="144"/>
  <c r="J22" i="144"/>
  <c r="K22" i="144"/>
  <c r="A23" i="144"/>
  <c r="B23" i="144"/>
  <c r="C23" i="144"/>
  <c r="D23" i="144"/>
  <c r="E23" i="144"/>
  <c r="G23" i="144"/>
  <c r="H23" i="144"/>
  <c r="I23" i="144"/>
  <c r="J23" i="144"/>
  <c r="K23" i="144"/>
  <c r="A24" i="144"/>
  <c r="B24" i="144"/>
  <c r="C24" i="144"/>
  <c r="D24" i="144"/>
  <c r="E24" i="144"/>
  <c r="G24" i="144"/>
  <c r="H24" i="144"/>
  <c r="I24" i="144"/>
  <c r="J24" i="144"/>
  <c r="K24" i="144"/>
  <c r="A25" i="144"/>
  <c r="B25" i="144"/>
  <c r="C25" i="144"/>
  <c r="D25" i="144"/>
  <c r="E25" i="144"/>
  <c r="G25" i="144"/>
  <c r="H25" i="144"/>
  <c r="I25" i="144"/>
  <c r="J25" i="144"/>
  <c r="K25" i="144"/>
  <c r="A26" i="144"/>
  <c r="B26" i="144"/>
  <c r="C26" i="144"/>
  <c r="D26" i="144"/>
  <c r="E26" i="144"/>
  <c r="G26" i="144"/>
  <c r="H26" i="144"/>
  <c r="I26" i="144"/>
  <c r="J26" i="144"/>
  <c r="K26" i="144"/>
  <c r="I4" i="144"/>
  <c r="A3" i="144"/>
  <c r="A2" i="144"/>
  <c r="A1" i="144"/>
  <c r="G19" i="144"/>
  <c r="F128" i="105"/>
  <c r="J128" i="105"/>
  <c r="O128" i="105"/>
  <c r="T128" i="105"/>
  <c r="J135" i="105"/>
  <c r="E135" i="105"/>
  <c r="E128" i="105"/>
  <c r="E129" i="105"/>
  <c r="E132" i="105"/>
  <c r="E127" i="105"/>
  <c r="F116" i="105"/>
  <c r="G116" i="105"/>
  <c r="H116" i="105"/>
  <c r="I116" i="105"/>
  <c r="J116" i="105"/>
  <c r="K116" i="105"/>
  <c r="L116" i="105"/>
  <c r="M116" i="105"/>
  <c r="N116" i="105"/>
  <c r="O116" i="105"/>
  <c r="P116" i="105"/>
  <c r="Q116" i="105"/>
  <c r="R116" i="105"/>
  <c r="S116" i="105"/>
  <c r="T116" i="105"/>
  <c r="U116" i="105"/>
  <c r="V116" i="105"/>
  <c r="W116" i="105"/>
  <c r="X116" i="105"/>
  <c r="E116" i="105"/>
  <c r="F116" i="104"/>
  <c r="G116" i="104"/>
  <c r="H116" i="104"/>
  <c r="I116" i="104"/>
  <c r="J116" i="104"/>
  <c r="K116" i="104"/>
  <c r="L116" i="104"/>
  <c r="M116" i="104"/>
  <c r="N116" i="104"/>
  <c r="O116" i="104"/>
  <c r="P116" i="104"/>
  <c r="Q116" i="104"/>
  <c r="R116" i="104"/>
  <c r="S116" i="104"/>
  <c r="T116" i="104"/>
  <c r="U116" i="104"/>
  <c r="V116" i="104"/>
  <c r="W116" i="104"/>
  <c r="X116" i="104"/>
  <c r="L17" i="143"/>
  <c r="L18" i="143"/>
  <c r="L19" i="143"/>
  <c r="L20" i="143"/>
  <c r="K28" i="143"/>
  <c r="L28" i="143"/>
  <c r="M28" i="143"/>
  <c r="N28" i="143"/>
  <c r="O28" i="143"/>
  <c r="P28" i="143"/>
  <c r="Q28" i="143"/>
  <c r="R28" i="143"/>
  <c r="S28" i="143"/>
  <c r="T28" i="143"/>
  <c r="U28" i="143"/>
  <c r="V28" i="143"/>
  <c r="W28" i="143"/>
  <c r="X28" i="143"/>
  <c r="Y28" i="143"/>
  <c r="Z28" i="143"/>
  <c r="AA28" i="143"/>
  <c r="AB28" i="143"/>
  <c r="AC28" i="143"/>
  <c r="AD28" i="143"/>
  <c r="AE28" i="143"/>
  <c r="K32" i="143"/>
  <c r="Q27" i="105"/>
  <c r="X32" i="143"/>
  <c r="K33" i="143"/>
  <c r="L33" i="143"/>
  <c r="K34" i="143"/>
  <c r="L34" i="143"/>
  <c r="M34" i="143"/>
  <c r="N34" i="143"/>
  <c r="O34" i="143"/>
  <c r="P34" i="143"/>
  <c r="Q34" i="143"/>
  <c r="R34" i="143"/>
  <c r="S34" i="143"/>
  <c r="T34" i="143"/>
  <c r="U34" i="143"/>
  <c r="V34" i="143"/>
  <c r="W34" i="143"/>
  <c r="X34" i="143"/>
  <c r="Y34" i="143"/>
  <c r="Z34" i="143"/>
  <c r="AA34" i="143"/>
  <c r="AB34" i="143"/>
  <c r="AC34" i="143"/>
  <c r="AD34" i="143"/>
  <c r="AE34" i="143"/>
  <c r="K35" i="143"/>
  <c r="L35" i="143"/>
  <c r="K36" i="143"/>
  <c r="L36" i="143"/>
  <c r="M36" i="143"/>
  <c r="N36" i="143"/>
  <c r="O36" i="143"/>
  <c r="P36" i="143"/>
  <c r="Q36" i="143"/>
  <c r="R36" i="143"/>
  <c r="S36" i="143"/>
  <c r="T36" i="143"/>
  <c r="U36" i="143"/>
  <c r="V36" i="143"/>
  <c r="W36" i="143"/>
  <c r="X36" i="143"/>
  <c r="Y36" i="143"/>
  <c r="Z36" i="143"/>
  <c r="AA36" i="143"/>
  <c r="AB36" i="143"/>
  <c r="AC36" i="143"/>
  <c r="AD36" i="143"/>
  <c r="AE36" i="143"/>
  <c r="K38" i="143"/>
  <c r="L38" i="143"/>
  <c r="K39" i="143"/>
  <c r="L39" i="143"/>
  <c r="M39" i="143"/>
  <c r="N39" i="143"/>
  <c r="O39" i="143"/>
  <c r="P39" i="143"/>
  <c r="Q39" i="143"/>
  <c r="R39" i="143"/>
  <c r="S39" i="143"/>
  <c r="T39" i="143"/>
  <c r="U39" i="143"/>
  <c r="V39" i="143"/>
  <c r="W39" i="143"/>
  <c r="X39" i="143"/>
  <c r="Y39" i="143"/>
  <c r="Z39" i="143"/>
  <c r="AA39" i="143"/>
  <c r="AB39" i="143"/>
  <c r="AC39" i="143"/>
  <c r="AD39" i="143"/>
  <c r="AE39" i="143"/>
  <c r="K40" i="143"/>
  <c r="K41" i="143"/>
  <c r="L41" i="143"/>
  <c r="M41" i="143"/>
  <c r="N41" i="143"/>
  <c r="O41" i="143"/>
  <c r="P41" i="143"/>
  <c r="Q41" i="143"/>
  <c r="R41" i="143"/>
  <c r="S41" i="143"/>
  <c r="T41" i="143"/>
  <c r="U41" i="143"/>
  <c r="V41" i="143"/>
  <c r="W41" i="143"/>
  <c r="X41" i="143"/>
  <c r="Y41" i="143"/>
  <c r="Z41" i="143"/>
  <c r="AA41" i="143"/>
  <c r="AB41" i="143"/>
  <c r="AC41" i="143"/>
  <c r="AD41" i="143"/>
  <c r="AE41" i="143"/>
  <c r="K42" i="143"/>
  <c r="L42" i="143"/>
  <c r="M42" i="143"/>
  <c r="N42" i="143"/>
  <c r="O42" i="143"/>
  <c r="P42" i="143"/>
  <c r="Q42" i="143"/>
  <c r="R42" i="143"/>
  <c r="S42" i="143"/>
  <c r="T42" i="143"/>
  <c r="U42" i="143"/>
  <c r="V42" i="143"/>
  <c r="W42" i="143"/>
  <c r="X42" i="143"/>
  <c r="Y42" i="143"/>
  <c r="Z42" i="143"/>
  <c r="AA42" i="143"/>
  <c r="AB42" i="143"/>
  <c r="AC42" i="143"/>
  <c r="AD42" i="143"/>
  <c r="AE42" i="143"/>
  <c r="K44" i="143"/>
  <c r="K47" i="143"/>
  <c r="K48" i="143"/>
  <c r="K49" i="143"/>
  <c r="K51" i="143"/>
  <c r="L51" i="143"/>
  <c r="M51" i="143"/>
  <c r="N51" i="143"/>
  <c r="O51" i="143"/>
  <c r="P51" i="143"/>
  <c r="Q51" i="143"/>
  <c r="R51" i="143"/>
  <c r="S51" i="143"/>
  <c r="T51" i="143"/>
  <c r="U51" i="143"/>
  <c r="V51" i="143"/>
  <c r="W51" i="143"/>
  <c r="X51" i="143"/>
  <c r="Y51" i="143"/>
  <c r="Z51" i="143"/>
  <c r="AA51" i="143"/>
  <c r="AB51" i="143"/>
  <c r="AC51" i="143"/>
  <c r="AD51" i="143"/>
  <c r="AE51" i="143"/>
  <c r="K52" i="143"/>
  <c r="L52" i="143"/>
  <c r="M52" i="143"/>
  <c r="N52" i="143"/>
  <c r="O52" i="143"/>
  <c r="P52" i="143"/>
  <c r="Q52" i="143"/>
  <c r="R52" i="143"/>
  <c r="S52" i="143"/>
  <c r="T52" i="143"/>
  <c r="U52" i="143"/>
  <c r="V52" i="143"/>
  <c r="W52" i="143"/>
  <c r="X52" i="143"/>
  <c r="Y52" i="143"/>
  <c r="Z52" i="143"/>
  <c r="AA52" i="143"/>
  <c r="AB52" i="143"/>
  <c r="AC52" i="143"/>
  <c r="AD52" i="143"/>
  <c r="AE52" i="143"/>
  <c r="K53" i="143"/>
  <c r="L53" i="143"/>
  <c r="M53" i="143"/>
  <c r="N53" i="143"/>
  <c r="O53" i="143"/>
  <c r="P53" i="143"/>
  <c r="Q53" i="143"/>
  <c r="R53" i="143"/>
  <c r="S53" i="143"/>
  <c r="T53" i="143"/>
  <c r="U53" i="143"/>
  <c r="V53" i="143"/>
  <c r="W53" i="143"/>
  <c r="X53" i="143"/>
  <c r="Y53" i="143"/>
  <c r="Z53" i="143"/>
  <c r="AA53" i="143"/>
  <c r="AB53" i="143"/>
  <c r="AC53" i="143"/>
  <c r="AD53" i="143"/>
  <c r="AE53" i="143"/>
  <c r="K54" i="143"/>
  <c r="L54" i="143"/>
  <c r="M54" i="143"/>
  <c r="N54" i="143"/>
  <c r="O54" i="143"/>
  <c r="P54" i="143"/>
  <c r="Q54" i="143"/>
  <c r="R54" i="143"/>
  <c r="S54" i="143"/>
  <c r="T54" i="143"/>
  <c r="U54" i="143"/>
  <c r="V54" i="143"/>
  <c r="W54" i="143"/>
  <c r="X54" i="143"/>
  <c r="Y54" i="143"/>
  <c r="Z54" i="143"/>
  <c r="AA54" i="143"/>
  <c r="AB54" i="143"/>
  <c r="AC54" i="143"/>
  <c r="AD54" i="143"/>
  <c r="AE54" i="143"/>
  <c r="K56" i="143"/>
  <c r="K58" i="143"/>
  <c r="L58" i="143"/>
  <c r="M58" i="143"/>
  <c r="N58" i="143"/>
  <c r="O58" i="143"/>
  <c r="P58" i="143"/>
  <c r="Q58" i="143"/>
  <c r="R58" i="143"/>
  <c r="S58" i="143"/>
  <c r="T58" i="143"/>
  <c r="U58" i="143"/>
  <c r="V58" i="143"/>
  <c r="W58" i="143"/>
  <c r="X58" i="143"/>
  <c r="Y58" i="143"/>
  <c r="Z58" i="143"/>
  <c r="AA58" i="143"/>
  <c r="AB58" i="143"/>
  <c r="AC58" i="143"/>
  <c r="AD58" i="143"/>
  <c r="AE58" i="143"/>
  <c r="K61" i="143"/>
  <c r="L61" i="143"/>
  <c r="M61" i="143"/>
  <c r="K62" i="143"/>
  <c r="L62" i="143"/>
  <c r="M62" i="143"/>
  <c r="K63" i="143"/>
  <c r="L63" i="143"/>
  <c r="M63" i="143"/>
  <c r="K64" i="143"/>
  <c r="L64" i="143"/>
  <c r="M64" i="143"/>
  <c r="N64" i="143"/>
  <c r="O64" i="143"/>
  <c r="P64" i="143"/>
  <c r="Q64" i="143"/>
  <c r="R64" i="143"/>
  <c r="S64" i="143"/>
  <c r="T64" i="143"/>
  <c r="U64" i="143"/>
  <c r="V64" i="143"/>
  <c r="W64" i="143"/>
  <c r="X64" i="143"/>
  <c r="Y64" i="143"/>
  <c r="Z64" i="143"/>
  <c r="AA64" i="143"/>
  <c r="AB64" i="143"/>
  <c r="AC64" i="143"/>
  <c r="AD64" i="143"/>
  <c r="AE64" i="143"/>
  <c r="AF64" i="143"/>
  <c r="K65" i="143"/>
  <c r="L65" i="143"/>
  <c r="M65" i="143"/>
  <c r="N65" i="143"/>
  <c r="O65" i="143"/>
  <c r="P65" i="143"/>
  <c r="Q65" i="143"/>
  <c r="R65" i="143"/>
  <c r="S65" i="143"/>
  <c r="T65" i="143"/>
  <c r="U65" i="143"/>
  <c r="V65" i="143"/>
  <c r="W65" i="143"/>
  <c r="X65" i="143"/>
  <c r="Y65" i="143"/>
  <c r="Z65" i="143"/>
  <c r="AA65" i="143"/>
  <c r="AB65" i="143"/>
  <c r="AC65" i="143"/>
  <c r="AD65" i="143"/>
  <c r="AE65" i="143"/>
  <c r="AF65" i="143"/>
  <c r="K68" i="143"/>
  <c r="L68" i="143"/>
  <c r="M68" i="143"/>
  <c r="N68" i="143"/>
  <c r="O68" i="143"/>
  <c r="P68" i="143"/>
  <c r="Q68" i="143"/>
  <c r="R68" i="143"/>
  <c r="S68" i="143"/>
  <c r="T68" i="143"/>
  <c r="U68" i="143"/>
  <c r="V68" i="143"/>
  <c r="W68" i="143"/>
  <c r="X68" i="143"/>
  <c r="Y68" i="143"/>
  <c r="Z68" i="143"/>
  <c r="AA68" i="143"/>
  <c r="AB68" i="143"/>
  <c r="AC68" i="143"/>
  <c r="AD68" i="143"/>
  <c r="AE68" i="143"/>
  <c r="K69" i="143"/>
  <c r="L69" i="143"/>
  <c r="M69" i="143"/>
  <c r="N69" i="143"/>
  <c r="O69" i="143"/>
  <c r="P69" i="143"/>
  <c r="Q69" i="143"/>
  <c r="R69" i="143"/>
  <c r="S69" i="143"/>
  <c r="T69" i="143"/>
  <c r="U69" i="143"/>
  <c r="V69" i="143"/>
  <c r="W69" i="143"/>
  <c r="X69" i="143"/>
  <c r="Y69" i="143"/>
  <c r="Z69" i="143"/>
  <c r="AA69" i="143"/>
  <c r="AB69" i="143"/>
  <c r="AC69" i="143"/>
  <c r="AD69" i="143"/>
  <c r="AE69" i="143"/>
  <c r="K70" i="143"/>
  <c r="L70" i="143"/>
  <c r="M70" i="143"/>
  <c r="N70" i="143"/>
  <c r="O70" i="143"/>
  <c r="P70" i="143"/>
  <c r="Q70" i="143"/>
  <c r="R70" i="143"/>
  <c r="S70" i="143"/>
  <c r="T70" i="143"/>
  <c r="U70" i="143"/>
  <c r="V70" i="143"/>
  <c r="W70" i="143"/>
  <c r="X70" i="143"/>
  <c r="Y70" i="143"/>
  <c r="Z70" i="143"/>
  <c r="AA70" i="143"/>
  <c r="AB70" i="143"/>
  <c r="AC70" i="143"/>
  <c r="AD70" i="143"/>
  <c r="AE70" i="143"/>
  <c r="K177" i="143"/>
  <c r="K175" i="143"/>
  <c r="L175" i="143"/>
  <c r="L177" i="143"/>
  <c r="M153" i="143"/>
  <c r="L153" i="143"/>
  <c r="K150" i="143"/>
  <c r="L144" i="143"/>
  <c r="L143" i="143"/>
  <c r="L145" i="143"/>
  <c r="K143" i="143"/>
  <c r="L141" i="143"/>
  <c r="L155" i="143"/>
  <c r="E142" i="105"/>
  <c r="K141" i="143"/>
  <c r="C141" i="143"/>
  <c r="F140" i="143"/>
  <c r="E140" i="143"/>
  <c r="G140" i="143"/>
  <c r="H140" i="143"/>
  <c r="D140" i="143"/>
  <c r="F139" i="143"/>
  <c r="E139" i="143"/>
  <c r="G139" i="143"/>
  <c r="H139" i="143"/>
  <c r="D139" i="143"/>
  <c r="F138" i="143"/>
  <c r="E138" i="143"/>
  <c r="G138" i="143"/>
  <c r="H138" i="143"/>
  <c r="D138" i="143"/>
  <c r="F137" i="143"/>
  <c r="E137" i="143"/>
  <c r="G137" i="143"/>
  <c r="H137" i="143"/>
  <c r="D137" i="143"/>
  <c r="F136" i="143"/>
  <c r="F141" i="143"/>
  <c r="D136" i="143"/>
  <c r="L128" i="143"/>
  <c r="K128" i="143"/>
  <c r="L127" i="143"/>
  <c r="K127" i="143"/>
  <c r="L126" i="143"/>
  <c r="K126" i="143"/>
  <c r="L124" i="143"/>
  <c r="K124" i="143"/>
  <c r="C124" i="143"/>
  <c r="F123" i="143"/>
  <c r="E123" i="143"/>
  <c r="G123" i="143"/>
  <c r="H123" i="143"/>
  <c r="D123" i="143"/>
  <c r="F122" i="143"/>
  <c r="E122" i="143"/>
  <c r="E124" i="143"/>
  <c r="D122" i="143"/>
  <c r="G121" i="143"/>
  <c r="F121" i="143"/>
  <c r="F124" i="143"/>
  <c r="D121" i="143"/>
  <c r="E134" i="105"/>
  <c r="L99" i="143"/>
  <c r="K89" i="143"/>
  <c r="J127" i="105"/>
  <c r="K84" i="143"/>
  <c r="K83" i="143"/>
  <c r="L83" i="143"/>
  <c r="K82" i="143"/>
  <c r="K80" i="143"/>
  <c r="K113" i="143"/>
  <c r="K163" i="143"/>
  <c r="C80" i="143"/>
  <c r="F79" i="143"/>
  <c r="E79" i="143"/>
  <c r="D79" i="143"/>
  <c r="F78" i="143"/>
  <c r="E78" i="143"/>
  <c r="D78" i="143"/>
  <c r="L77" i="143"/>
  <c r="L80" i="143"/>
  <c r="E126" i="105"/>
  <c r="F77" i="143"/>
  <c r="G77" i="143"/>
  <c r="D77" i="143"/>
  <c r="F76" i="143"/>
  <c r="G76" i="143"/>
  <c r="D76" i="143"/>
  <c r="A60" i="143"/>
  <c r="A28" i="143"/>
  <c r="A27" i="143"/>
  <c r="A25" i="143"/>
  <c r="A24" i="143"/>
  <c r="A23" i="143"/>
  <c r="A19" i="143"/>
  <c r="A18" i="143"/>
  <c r="A17" i="143"/>
  <c r="L11" i="143"/>
  <c r="K127" i="105"/>
  <c r="K11" i="143"/>
  <c r="E4" i="143"/>
  <c r="A3" i="143"/>
  <c r="A2" i="143"/>
  <c r="A1" i="143"/>
  <c r="L17" i="142"/>
  <c r="L18" i="142"/>
  <c r="L19" i="142"/>
  <c r="L20" i="142"/>
  <c r="K28" i="142"/>
  <c r="L28" i="142"/>
  <c r="M28" i="142"/>
  <c r="N28" i="142"/>
  <c r="O28" i="142"/>
  <c r="P28" i="142"/>
  <c r="Q28" i="142"/>
  <c r="R28" i="142"/>
  <c r="S28" i="142"/>
  <c r="T28" i="142"/>
  <c r="U28" i="142"/>
  <c r="V28" i="142"/>
  <c r="W28" i="142"/>
  <c r="X28" i="142"/>
  <c r="Y28" i="142"/>
  <c r="Z28" i="142"/>
  <c r="AA28" i="142"/>
  <c r="AB28" i="142"/>
  <c r="AC28" i="142"/>
  <c r="AD28" i="142"/>
  <c r="AE28" i="142"/>
  <c r="K32" i="142"/>
  <c r="I27" i="104"/>
  <c r="P32" i="142"/>
  <c r="Q27" i="104"/>
  <c r="X32" i="142"/>
  <c r="K33" i="142"/>
  <c r="L33" i="142"/>
  <c r="K34" i="142"/>
  <c r="L34" i="142"/>
  <c r="M34" i="142"/>
  <c r="N34" i="142"/>
  <c r="O34" i="142"/>
  <c r="P34" i="142"/>
  <c r="Q34" i="142"/>
  <c r="R34" i="142"/>
  <c r="S34" i="142"/>
  <c r="T34" i="142"/>
  <c r="U34" i="142"/>
  <c r="V34" i="142"/>
  <c r="W34" i="142"/>
  <c r="X34" i="142"/>
  <c r="Y34" i="142"/>
  <c r="Z34" i="142"/>
  <c r="AA34" i="142"/>
  <c r="AB34" i="142"/>
  <c r="AC34" i="142"/>
  <c r="AD34" i="142"/>
  <c r="AE34" i="142"/>
  <c r="K35" i="142"/>
  <c r="L35" i="142"/>
  <c r="K36" i="142"/>
  <c r="L36" i="142"/>
  <c r="M36" i="142"/>
  <c r="N36" i="142"/>
  <c r="O36" i="142"/>
  <c r="P36" i="142"/>
  <c r="Q36" i="142"/>
  <c r="R36" i="142"/>
  <c r="S36" i="142"/>
  <c r="T36" i="142"/>
  <c r="U36" i="142"/>
  <c r="V36" i="142"/>
  <c r="W36" i="142"/>
  <c r="X36" i="142"/>
  <c r="Y36" i="142"/>
  <c r="Z36" i="142"/>
  <c r="AA36" i="142"/>
  <c r="AB36" i="142"/>
  <c r="AC36" i="142"/>
  <c r="AD36" i="142"/>
  <c r="AE36" i="142"/>
  <c r="K38" i="142"/>
  <c r="L38" i="142"/>
  <c r="K39" i="142"/>
  <c r="L39" i="142"/>
  <c r="M39" i="142"/>
  <c r="N39" i="142"/>
  <c r="O39" i="142"/>
  <c r="P39" i="142"/>
  <c r="Q39" i="142"/>
  <c r="R39" i="142"/>
  <c r="S39" i="142"/>
  <c r="T39" i="142"/>
  <c r="U39" i="142"/>
  <c r="V39" i="142"/>
  <c r="W39" i="142"/>
  <c r="X39" i="142"/>
  <c r="Y39" i="142"/>
  <c r="Z39" i="142"/>
  <c r="AA39" i="142"/>
  <c r="AB39" i="142"/>
  <c r="AC39" i="142"/>
  <c r="AD39" i="142"/>
  <c r="AE39" i="142"/>
  <c r="K40" i="142"/>
  <c r="K41" i="142"/>
  <c r="L41" i="142"/>
  <c r="M41" i="142"/>
  <c r="N41" i="142"/>
  <c r="O41" i="142"/>
  <c r="P41" i="142"/>
  <c r="Q41" i="142"/>
  <c r="R41" i="142"/>
  <c r="S41" i="142"/>
  <c r="T41" i="142"/>
  <c r="U41" i="142"/>
  <c r="V41" i="142"/>
  <c r="W41" i="142"/>
  <c r="X41" i="142"/>
  <c r="Y41" i="142"/>
  <c r="Z41" i="142"/>
  <c r="AA41" i="142"/>
  <c r="AB41" i="142"/>
  <c r="AC41" i="142"/>
  <c r="AD41" i="142"/>
  <c r="AE41" i="142"/>
  <c r="K42" i="142"/>
  <c r="L42" i="142"/>
  <c r="M42" i="142"/>
  <c r="N42" i="142"/>
  <c r="O42" i="142"/>
  <c r="P42" i="142"/>
  <c r="Q42" i="142"/>
  <c r="R42" i="142"/>
  <c r="S42" i="142"/>
  <c r="T42" i="142"/>
  <c r="U42" i="142"/>
  <c r="V42" i="142"/>
  <c r="W42" i="142"/>
  <c r="X42" i="142"/>
  <c r="Y42" i="142"/>
  <c r="Z42" i="142"/>
  <c r="AA42" i="142"/>
  <c r="AB42" i="142"/>
  <c r="AC42" i="142"/>
  <c r="AD42" i="142"/>
  <c r="AE42" i="142"/>
  <c r="K44" i="142"/>
  <c r="K47" i="142"/>
  <c r="K48" i="142"/>
  <c r="K49" i="142"/>
  <c r="K51" i="142"/>
  <c r="L51" i="142"/>
  <c r="M51" i="142"/>
  <c r="N51" i="142"/>
  <c r="O51" i="142"/>
  <c r="P51" i="142"/>
  <c r="Q51" i="142"/>
  <c r="R51" i="142"/>
  <c r="S51" i="142"/>
  <c r="T51" i="142"/>
  <c r="U51" i="142"/>
  <c r="V51" i="142"/>
  <c r="W51" i="142"/>
  <c r="X51" i="142"/>
  <c r="Y51" i="142"/>
  <c r="Z51" i="142"/>
  <c r="AA51" i="142"/>
  <c r="AB51" i="142"/>
  <c r="AC51" i="142"/>
  <c r="AD51" i="142"/>
  <c r="AE51" i="142"/>
  <c r="K52" i="142"/>
  <c r="L52" i="142"/>
  <c r="M52" i="142"/>
  <c r="N52" i="142"/>
  <c r="O52" i="142"/>
  <c r="P52" i="142"/>
  <c r="Q52" i="142"/>
  <c r="R52" i="142"/>
  <c r="S52" i="142"/>
  <c r="T52" i="142"/>
  <c r="U52" i="142"/>
  <c r="V52" i="142"/>
  <c r="W52" i="142"/>
  <c r="X52" i="142"/>
  <c r="Y52" i="142"/>
  <c r="Z52" i="142"/>
  <c r="AA52" i="142"/>
  <c r="AB52" i="142"/>
  <c r="AC52" i="142"/>
  <c r="AD52" i="142"/>
  <c r="AE52" i="142"/>
  <c r="K53" i="142"/>
  <c r="L53" i="142"/>
  <c r="M53" i="142"/>
  <c r="N53" i="142"/>
  <c r="O53" i="142"/>
  <c r="P53" i="142"/>
  <c r="Q53" i="142"/>
  <c r="R53" i="142"/>
  <c r="S53" i="142"/>
  <c r="T53" i="142"/>
  <c r="U53" i="142"/>
  <c r="V53" i="142"/>
  <c r="W53" i="142"/>
  <c r="X53" i="142"/>
  <c r="Y53" i="142"/>
  <c r="Z53" i="142"/>
  <c r="AA53" i="142"/>
  <c r="AB53" i="142"/>
  <c r="AC53" i="142"/>
  <c r="AD53" i="142"/>
  <c r="AE53" i="142"/>
  <c r="K54" i="142"/>
  <c r="L54" i="142"/>
  <c r="M54" i="142"/>
  <c r="N54" i="142"/>
  <c r="O54" i="142"/>
  <c r="P54" i="142"/>
  <c r="Q54" i="142"/>
  <c r="R54" i="142"/>
  <c r="S54" i="142"/>
  <c r="T54" i="142"/>
  <c r="U54" i="142"/>
  <c r="V54" i="142"/>
  <c r="W54" i="142"/>
  <c r="X54" i="142"/>
  <c r="Y54" i="142"/>
  <c r="Z54" i="142"/>
  <c r="AA54" i="142"/>
  <c r="AB54" i="142"/>
  <c r="AC54" i="142"/>
  <c r="AD54" i="142"/>
  <c r="AE54" i="142"/>
  <c r="K56" i="142"/>
  <c r="K58" i="142"/>
  <c r="L58" i="142"/>
  <c r="M58" i="142"/>
  <c r="N58" i="142"/>
  <c r="O58" i="142"/>
  <c r="P58" i="142"/>
  <c r="Q58" i="142"/>
  <c r="R58" i="142"/>
  <c r="S58" i="142"/>
  <c r="T58" i="142"/>
  <c r="U58" i="142"/>
  <c r="V58" i="142"/>
  <c r="W58" i="142"/>
  <c r="X58" i="142"/>
  <c r="Y58" i="142"/>
  <c r="Z58" i="142"/>
  <c r="AA58" i="142"/>
  <c r="AB58" i="142"/>
  <c r="AC58" i="142"/>
  <c r="AD58" i="142"/>
  <c r="AE58" i="142"/>
  <c r="K61" i="142"/>
  <c r="L61" i="142"/>
  <c r="M61" i="142"/>
  <c r="K62" i="142"/>
  <c r="L62" i="142"/>
  <c r="M62" i="142"/>
  <c r="K63" i="142"/>
  <c r="L63" i="142"/>
  <c r="M63" i="142"/>
  <c r="K64" i="142"/>
  <c r="L64" i="142"/>
  <c r="M64" i="142"/>
  <c r="N64" i="142"/>
  <c r="O64" i="142"/>
  <c r="P64" i="142"/>
  <c r="Q64" i="142"/>
  <c r="R64" i="142"/>
  <c r="S64" i="142"/>
  <c r="T64" i="142"/>
  <c r="U64" i="142"/>
  <c r="V64" i="142"/>
  <c r="W64" i="142"/>
  <c r="X64" i="142"/>
  <c r="Y64" i="142"/>
  <c r="Z64" i="142"/>
  <c r="AA64" i="142"/>
  <c r="AB64" i="142"/>
  <c r="AC64" i="142"/>
  <c r="AD64" i="142"/>
  <c r="AE64" i="142"/>
  <c r="AF64" i="142"/>
  <c r="K65" i="142"/>
  <c r="L65" i="142"/>
  <c r="M65" i="142"/>
  <c r="N65" i="142"/>
  <c r="O65" i="142"/>
  <c r="P65" i="142"/>
  <c r="Q65" i="142"/>
  <c r="R65" i="142"/>
  <c r="S65" i="142"/>
  <c r="T65" i="142"/>
  <c r="U65" i="142"/>
  <c r="V65" i="142"/>
  <c r="W65" i="142"/>
  <c r="X65" i="142"/>
  <c r="Y65" i="142"/>
  <c r="Z65" i="142"/>
  <c r="AA65" i="142"/>
  <c r="AB65" i="142"/>
  <c r="AC65" i="142"/>
  <c r="AD65" i="142"/>
  <c r="AE65" i="142"/>
  <c r="AF65" i="142"/>
  <c r="K68" i="142"/>
  <c r="L68" i="142"/>
  <c r="M68" i="142"/>
  <c r="N68" i="142"/>
  <c r="O68" i="142"/>
  <c r="P68" i="142"/>
  <c r="Q68" i="142"/>
  <c r="R68" i="142"/>
  <c r="S68" i="142"/>
  <c r="T68" i="142"/>
  <c r="U68" i="142"/>
  <c r="V68" i="142"/>
  <c r="W68" i="142"/>
  <c r="X68" i="142"/>
  <c r="Y68" i="142"/>
  <c r="Z68" i="142"/>
  <c r="AA68" i="142"/>
  <c r="AB68" i="142"/>
  <c r="AC68" i="142"/>
  <c r="AD68" i="142"/>
  <c r="AE68" i="142"/>
  <c r="K69" i="142"/>
  <c r="L69" i="142"/>
  <c r="M69" i="142"/>
  <c r="N69" i="142"/>
  <c r="O69" i="142"/>
  <c r="P69" i="142"/>
  <c r="Q69" i="142"/>
  <c r="R69" i="142"/>
  <c r="S69" i="142"/>
  <c r="T69" i="142"/>
  <c r="U69" i="142"/>
  <c r="V69" i="142"/>
  <c r="W69" i="142"/>
  <c r="X69" i="142"/>
  <c r="Y69" i="142"/>
  <c r="Z69" i="142"/>
  <c r="AA69" i="142"/>
  <c r="AB69" i="142"/>
  <c r="AC69" i="142"/>
  <c r="AD69" i="142"/>
  <c r="AE69" i="142"/>
  <c r="K70" i="142"/>
  <c r="L70" i="142"/>
  <c r="M70" i="142"/>
  <c r="N70" i="142"/>
  <c r="O70" i="142"/>
  <c r="P70" i="142"/>
  <c r="Q70" i="142"/>
  <c r="R70" i="142"/>
  <c r="S70" i="142"/>
  <c r="T70" i="142"/>
  <c r="U70" i="142"/>
  <c r="V70" i="142"/>
  <c r="W70" i="142"/>
  <c r="X70" i="142"/>
  <c r="Y70" i="142"/>
  <c r="Z70" i="142"/>
  <c r="AA70" i="142"/>
  <c r="AB70" i="142"/>
  <c r="AC70" i="142"/>
  <c r="AD70" i="142"/>
  <c r="AE70" i="142"/>
  <c r="K177" i="142"/>
  <c r="K175" i="142"/>
  <c r="M153" i="142"/>
  <c r="L153" i="142"/>
  <c r="K150" i="142"/>
  <c r="L144" i="142"/>
  <c r="L143" i="142"/>
  <c r="L145" i="142"/>
  <c r="K143" i="142"/>
  <c r="L141" i="142"/>
  <c r="L155" i="142"/>
  <c r="K141" i="142"/>
  <c r="C141" i="142"/>
  <c r="F140" i="142"/>
  <c r="E140" i="142"/>
  <c r="G140" i="142"/>
  <c r="H140" i="142"/>
  <c r="D140" i="142"/>
  <c r="F139" i="142"/>
  <c r="E139" i="142"/>
  <c r="G139" i="142"/>
  <c r="H139" i="142"/>
  <c r="D139" i="142"/>
  <c r="F138" i="142"/>
  <c r="E138" i="142"/>
  <c r="D138" i="142"/>
  <c r="F137" i="142"/>
  <c r="E137" i="142"/>
  <c r="D137" i="142"/>
  <c r="G136" i="142"/>
  <c r="H136" i="142"/>
  <c r="F136" i="142"/>
  <c r="D136" i="142"/>
  <c r="L128" i="142"/>
  <c r="K128" i="142"/>
  <c r="L127" i="142"/>
  <c r="L126" i="142"/>
  <c r="K126" i="142"/>
  <c r="L124" i="142"/>
  <c r="L130" i="142"/>
  <c r="L132" i="142"/>
  <c r="K124" i="142"/>
  <c r="C124" i="142"/>
  <c r="F123" i="142"/>
  <c r="E123" i="142"/>
  <c r="G123" i="142"/>
  <c r="H123" i="142"/>
  <c r="D123" i="142"/>
  <c r="H122" i="142"/>
  <c r="F122" i="142"/>
  <c r="E122" i="142"/>
  <c r="G122" i="142"/>
  <c r="D122" i="142"/>
  <c r="F121" i="142"/>
  <c r="F124" i="142"/>
  <c r="D121" i="142"/>
  <c r="L99" i="142"/>
  <c r="K84" i="142"/>
  <c r="K90" i="142"/>
  <c r="L83" i="142"/>
  <c r="K82" i="142"/>
  <c r="K83" i="142"/>
  <c r="K80" i="142"/>
  <c r="K113" i="142"/>
  <c r="K163" i="142"/>
  <c r="C80" i="142"/>
  <c r="F79" i="142"/>
  <c r="E79" i="142"/>
  <c r="D79" i="142"/>
  <c r="F78" i="142"/>
  <c r="E78" i="142"/>
  <c r="G78" i="142"/>
  <c r="D78" i="142"/>
  <c r="F77" i="142"/>
  <c r="G77" i="142"/>
  <c r="D77" i="142"/>
  <c r="F76" i="142"/>
  <c r="G76" i="142"/>
  <c r="D76" i="142"/>
  <c r="A60" i="142"/>
  <c r="A28" i="142"/>
  <c r="A27" i="142"/>
  <c r="A25" i="142"/>
  <c r="A24" i="142"/>
  <c r="A23" i="142"/>
  <c r="A19" i="142"/>
  <c r="A18" i="142"/>
  <c r="A17" i="142"/>
  <c r="L11" i="142"/>
  <c r="K11" i="142"/>
  <c r="E4" i="142"/>
  <c r="A3" i="142"/>
  <c r="A2" i="142"/>
  <c r="A1" i="142"/>
  <c r="L17" i="141"/>
  <c r="L18" i="141"/>
  <c r="L19" i="141"/>
  <c r="L20" i="141"/>
  <c r="K28" i="141"/>
  <c r="L28" i="141"/>
  <c r="M28" i="141"/>
  <c r="N28" i="141"/>
  <c r="O28" i="141"/>
  <c r="P28" i="141"/>
  <c r="Q28" i="141"/>
  <c r="R28" i="141"/>
  <c r="S28" i="141"/>
  <c r="T28" i="141"/>
  <c r="U28" i="141"/>
  <c r="V28" i="141"/>
  <c r="W28" i="141"/>
  <c r="X28" i="141"/>
  <c r="Y28" i="141"/>
  <c r="Z28" i="141"/>
  <c r="AA28" i="141"/>
  <c r="AB28" i="141"/>
  <c r="AC28" i="141"/>
  <c r="AD28" i="141"/>
  <c r="AE28" i="141"/>
  <c r="K32" i="141"/>
  <c r="Q27" i="103"/>
  <c r="X32" i="141"/>
  <c r="K33" i="141"/>
  <c r="L33" i="141"/>
  <c r="K34" i="141"/>
  <c r="L34" i="141"/>
  <c r="F29" i="103"/>
  <c r="M34" i="141"/>
  <c r="G29" i="103"/>
  <c r="N34" i="141"/>
  <c r="H29" i="103"/>
  <c r="O34" i="141"/>
  <c r="I29" i="103"/>
  <c r="P34" i="141"/>
  <c r="J29" i="103"/>
  <c r="Q34" i="141"/>
  <c r="K29" i="103"/>
  <c r="R34" i="141"/>
  <c r="L29" i="103"/>
  <c r="S34" i="141"/>
  <c r="M29" i="103"/>
  <c r="T34" i="141"/>
  <c r="N29" i="103"/>
  <c r="U34" i="141"/>
  <c r="O29" i="103"/>
  <c r="V34" i="141"/>
  <c r="P29" i="103"/>
  <c r="W34" i="141"/>
  <c r="Q29" i="103"/>
  <c r="X34" i="141"/>
  <c r="R29" i="103"/>
  <c r="Y34" i="141"/>
  <c r="S29" i="103"/>
  <c r="Z34" i="141"/>
  <c r="T29" i="103"/>
  <c r="AA34" i="141"/>
  <c r="U29" i="103"/>
  <c r="AB34" i="141"/>
  <c r="V29" i="103"/>
  <c r="AC34" i="141"/>
  <c r="W29" i="103"/>
  <c r="AD34" i="141"/>
  <c r="X29" i="103"/>
  <c r="AE34" i="141"/>
  <c r="K35" i="141"/>
  <c r="E30" i="103"/>
  <c r="L35" i="141"/>
  <c r="K36" i="141"/>
  <c r="L36" i="141"/>
  <c r="M36" i="141"/>
  <c r="N36" i="141"/>
  <c r="O36" i="141"/>
  <c r="P36" i="141"/>
  <c r="Q36" i="141"/>
  <c r="R36" i="141"/>
  <c r="S36" i="141"/>
  <c r="T36" i="141"/>
  <c r="U36" i="141"/>
  <c r="V36" i="141"/>
  <c r="W36" i="141"/>
  <c r="X36" i="141"/>
  <c r="Y36" i="141"/>
  <c r="Z36" i="141"/>
  <c r="AA36" i="141"/>
  <c r="AB36" i="141"/>
  <c r="AC36" i="141"/>
  <c r="AD36" i="141"/>
  <c r="AE36" i="141"/>
  <c r="K38" i="141"/>
  <c r="L38" i="141"/>
  <c r="K39" i="141"/>
  <c r="L39" i="141"/>
  <c r="M39" i="141"/>
  <c r="N39" i="141"/>
  <c r="O39" i="141"/>
  <c r="P39" i="141"/>
  <c r="Q39" i="141"/>
  <c r="R39" i="141"/>
  <c r="S39" i="141"/>
  <c r="T39" i="141"/>
  <c r="U39" i="141"/>
  <c r="V39" i="141"/>
  <c r="W39" i="141"/>
  <c r="X39" i="141"/>
  <c r="Y39" i="141"/>
  <c r="Z39" i="141"/>
  <c r="AA39" i="141"/>
  <c r="AB39" i="141"/>
  <c r="AC39" i="141"/>
  <c r="AD39" i="141"/>
  <c r="AE39" i="141"/>
  <c r="K40" i="141"/>
  <c r="K41" i="141"/>
  <c r="L41" i="141"/>
  <c r="M41" i="141"/>
  <c r="N41" i="141"/>
  <c r="O41" i="141"/>
  <c r="P41" i="141"/>
  <c r="Q41" i="141"/>
  <c r="R41" i="141"/>
  <c r="S41" i="141"/>
  <c r="T41" i="141"/>
  <c r="U41" i="141"/>
  <c r="V41" i="141"/>
  <c r="W41" i="141"/>
  <c r="X41" i="141"/>
  <c r="Y41" i="141"/>
  <c r="Z41" i="141"/>
  <c r="AA41" i="141"/>
  <c r="AB41" i="141"/>
  <c r="AC41" i="141"/>
  <c r="AD41" i="141"/>
  <c r="AE41" i="141"/>
  <c r="K42" i="141"/>
  <c r="E37" i="103"/>
  <c r="L42" i="141"/>
  <c r="F37" i="103"/>
  <c r="M42" i="141"/>
  <c r="G37" i="103"/>
  <c r="N42" i="141"/>
  <c r="H37" i="103"/>
  <c r="O42" i="141"/>
  <c r="I37" i="103"/>
  <c r="P42" i="141"/>
  <c r="J37" i="103"/>
  <c r="Q42" i="141"/>
  <c r="K37" i="103"/>
  <c r="R42" i="141"/>
  <c r="L37" i="103"/>
  <c r="S42" i="141"/>
  <c r="M37" i="103"/>
  <c r="T42" i="141"/>
  <c r="N37" i="103"/>
  <c r="U42" i="141"/>
  <c r="O37" i="103"/>
  <c r="V42" i="141"/>
  <c r="P37" i="103"/>
  <c r="W42" i="141"/>
  <c r="Q37" i="103"/>
  <c r="X42" i="141"/>
  <c r="R37" i="103"/>
  <c r="Y42" i="141"/>
  <c r="S37" i="103"/>
  <c r="Z42" i="141"/>
  <c r="T37" i="103"/>
  <c r="AA42" i="141"/>
  <c r="U37" i="103"/>
  <c r="AB42" i="141"/>
  <c r="V37" i="103"/>
  <c r="AC42" i="141"/>
  <c r="W37" i="103"/>
  <c r="AD42" i="141"/>
  <c r="X37" i="103"/>
  <c r="AE42" i="141"/>
  <c r="K44" i="141"/>
  <c r="K47" i="141"/>
  <c r="K48" i="141"/>
  <c r="K49" i="141"/>
  <c r="K51" i="141"/>
  <c r="L51" i="141"/>
  <c r="M51" i="141"/>
  <c r="N51" i="141"/>
  <c r="O51" i="141"/>
  <c r="P51" i="141"/>
  <c r="Q51" i="141"/>
  <c r="R51" i="141"/>
  <c r="S51" i="141"/>
  <c r="T51" i="141"/>
  <c r="U51" i="141"/>
  <c r="V51" i="141"/>
  <c r="W51" i="141"/>
  <c r="X51" i="141"/>
  <c r="Y51" i="141"/>
  <c r="Z51" i="141"/>
  <c r="AA51" i="141"/>
  <c r="AB51" i="141"/>
  <c r="AC51" i="141"/>
  <c r="AD51" i="141"/>
  <c r="AE51" i="141"/>
  <c r="K52" i="141"/>
  <c r="L52" i="141"/>
  <c r="M52" i="141"/>
  <c r="N52" i="141"/>
  <c r="O52" i="141"/>
  <c r="P52" i="141"/>
  <c r="Q52" i="141"/>
  <c r="R52" i="141"/>
  <c r="S52" i="141"/>
  <c r="T52" i="141"/>
  <c r="U52" i="141"/>
  <c r="V52" i="141"/>
  <c r="W52" i="141"/>
  <c r="X52" i="141"/>
  <c r="Y52" i="141"/>
  <c r="Z52" i="141"/>
  <c r="AA52" i="141"/>
  <c r="AB52" i="141"/>
  <c r="AC52" i="141"/>
  <c r="AD52" i="141"/>
  <c r="AE52" i="141"/>
  <c r="K53" i="141"/>
  <c r="L53" i="141"/>
  <c r="M53" i="141"/>
  <c r="N53" i="141"/>
  <c r="O53" i="141"/>
  <c r="P53" i="141"/>
  <c r="Q53" i="141"/>
  <c r="R53" i="141"/>
  <c r="S53" i="141"/>
  <c r="T53" i="141"/>
  <c r="U53" i="141"/>
  <c r="V53" i="141"/>
  <c r="W53" i="141"/>
  <c r="X53" i="141"/>
  <c r="Y53" i="141"/>
  <c r="Z53" i="141"/>
  <c r="AA53" i="141"/>
  <c r="AB53" i="141"/>
  <c r="AC53" i="141"/>
  <c r="AD53" i="141"/>
  <c r="AE53" i="141"/>
  <c r="K54" i="141"/>
  <c r="E49" i="103"/>
  <c r="L54" i="141"/>
  <c r="F49" i="103"/>
  <c r="M54" i="141"/>
  <c r="G49" i="103"/>
  <c r="N54" i="141"/>
  <c r="H49" i="103"/>
  <c r="O54" i="141"/>
  <c r="I49" i="103"/>
  <c r="P54" i="141"/>
  <c r="J49" i="103"/>
  <c r="Q54" i="141"/>
  <c r="K49" i="103"/>
  <c r="R54" i="141"/>
  <c r="L49" i="103"/>
  <c r="S54" i="141"/>
  <c r="M49" i="103"/>
  <c r="T54" i="141"/>
  <c r="N49" i="103"/>
  <c r="U54" i="141"/>
  <c r="O49" i="103"/>
  <c r="V54" i="141"/>
  <c r="P49" i="103"/>
  <c r="W54" i="141"/>
  <c r="Q49" i="103"/>
  <c r="X54" i="141"/>
  <c r="R49" i="103"/>
  <c r="Y54" i="141"/>
  <c r="S49" i="103"/>
  <c r="Z54" i="141"/>
  <c r="T49" i="103"/>
  <c r="AA54" i="141"/>
  <c r="U49" i="103"/>
  <c r="AB54" i="141"/>
  <c r="V49" i="103"/>
  <c r="AC54" i="141"/>
  <c r="W49" i="103"/>
  <c r="AD54" i="141"/>
  <c r="X49" i="103"/>
  <c r="AE54" i="141"/>
  <c r="K56" i="141"/>
  <c r="K58" i="141"/>
  <c r="L58" i="141"/>
  <c r="M58" i="141"/>
  <c r="N58" i="141"/>
  <c r="O58" i="141"/>
  <c r="P58" i="141"/>
  <c r="Q58" i="141"/>
  <c r="R58" i="141"/>
  <c r="S58" i="141"/>
  <c r="T58" i="141"/>
  <c r="U58" i="141"/>
  <c r="V58" i="141"/>
  <c r="W58" i="141"/>
  <c r="X58" i="141"/>
  <c r="Y58" i="141"/>
  <c r="Z58" i="141"/>
  <c r="AA58" i="141"/>
  <c r="AB58" i="141"/>
  <c r="AC58" i="141"/>
  <c r="AD58" i="141"/>
  <c r="AE58" i="141"/>
  <c r="K61" i="141"/>
  <c r="L61" i="141"/>
  <c r="M61" i="141"/>
  <c r="K62" i="141"/>
  <c r="L62" i="141"/>
  <c r="M62" i="141"/>
  <c r="K63" i="141"/>
  <c r="L63" i="141"/>
  <c r="M63" i="141"/>
  <c r="L64" i="141"/>
  <c r="M64" i="141"/>
  <c r="N64" i="141"/>
  <c r="O64" i="141"/>
  <c r="P64" i="141"/>
  <c r="Q64" i="141"/>
  <c r="R64" i="141"/>
  <c r="S64" i="141"/>
  <c r="T64" i="141"/>
  <c r="U64" i="141"/>
  <c r="V64" i="141"/>
  <c r="W64" i="141"/>
  <c r="X64" i="141"/>
  <c r="Y64" i="141"/>
  <c r="Z64" i="141"/>
  <c r="AA64" i="141"/>
  <c r="AB64" i="141"/>
  <c r="AC64" i="141"/>
  <c r="AD64" i="141"/>
  <c r="AE64" i="141"/>
  <c r="AF64" i="141"/>
  <c r="L65" i="141"/>
  <c r="M65" i="141"/>
  <c r="N65" i="141"/>
  <c r="O65" i="141"/>
  <c r="P65" i="141"/>
  <c r="Q65" i="141"/>
  <c r="R65" i="141"/>
  <c r="S65" i="141"/>
  <c r="T65" i="141"/>
  <c r="U65" i="141"/>
  <c r="V65" i="141"/>
  <c r="W65" i="141"/>
  <c r="X65" i="141"/>
  <c r="Y65" i="141"/>
  <c r="Z65" i="141"/>
  <c r="AA65" i="141"/>
  <c r="AB65" i="141"/>
  <c r="AC65" i="141"/>
  <c r="AD65" i="141"/>
  <c r="AE65" i="141"/>
  <c r="AF65" i="141"/>
  <c r="K68" i="141"/>
  <c r="L68" i="141"/>
  <c r="M68" i="141"/>
  <c r="N68" i="141"/>
  <c r="O68" i="141"/>
  <c r="P68" i="141"/>
  <c r="Q68" i="141"/>
  <c r="R68" i="141"/>
  <c r="S68" i="141"/>
  <c r="T68" i="141"/>
  <c r="U68" i="141"/>
  <c r="V68" i="141"/>
  <c r="W68" i="141"/>
  <c r="X68" i="141"/>
  <c r="Y68" i="141"/>
  <c r="Z68" i="141"/>
  <c r="AA68" i="141"/>
  <c r="AB68" i="141"/>
  <c r="AC68" i="141"/>
  <c r="AD68" i="141"/>
  <c r="AE68" i="141"/>
  <c r="K69" i="141"/>
  <c r="L69" i="141"/>
  <c r="M69" i="141"/>
  <c r="N69" i="141"/>
  <c r="O69" i="141"/>
  <c r="P69" i="141"/>
  <c r="Q69" i="141"/>
  <c r="R69" i="141"/>
  <c r="S69" i="141"/>
  <c r="T69" i="141"/>
  <c r="U69" i="141"/>
  <c r="V69" i="141"/>
  <c r="W69" i="141"/>
  <c r="X69" i="141"/>
  <c r="Y69" i="141"/>
  <c r="Z69" i="141"/>
  <c r="AA69" i="141"/>
  <c r="AB69" i="141"/>
  <c r="AC69" i="141"/>
  <c r="AD69" i="141"/>
  <c r="AE69" i="141"/>
  <c r="K70" i="141"/>
  <c r="L70" i="141"/>
  <c r="M70" i="141"/>
  <c r="N70" i="141"/>
  <c r="O70" i="141"/>
  <c r="P70" i="141"/>
  <c r="Q70" i="141"/>
  <c r="R70" i="141"/>
  <c r="S70" i="141"/>
  <c r="T70" i="141"/>
  <c r="U70" i="141"/>
  <c r="V70" i="141"/>
  <c r="W70" i="141"/>
  <c r="X70" i="141"/>
  <c r="Y70" i="141"/>
  <c r="Z70" i="141"/>
  <c r="AA70" i="141"/>
  <c r="AB70" i="141"/>
  <c r="AC70" i="141"/>
  <c r="AD70" i="141"/>
  <c r="AE70" i="141"/>
  <c r="B9" i="141"/>
  <c r="G27" i="105"/>
  <c r="N32" i="143"/>
  <c r="H27" i="105"/>
  <c r="O32" i="143"/>
  <c r="I27" i="105"/>
  <c r="P32" i="143"/>
  <c r="J27" i="105"/>
  <c r="Q32" i="143"/>
  <c r="K27" i="105"/>
  <c r="R32" i="143"/>
  <c r="L27" i="105"/>
  <c r="S32" i="143"/>
  <c r="M27" i="105"/>
  <c r="T32" i="143"/>
  <c r="N27" i="105"/>
  <c r="U32" i="143"/>
  <c r="O27" i="105"/>
  <c r="V32" i="143"/>
  <c r="P27" i="105"/>
  <c r="W32" i="143"/>
  <c r="R27" i="105"/>
  <c r="Y32" i="143"/>
  <c r="S27" i="105"/>
  <c r="Z32" i="143"/>
  <c r="T27" i="105"/>
  <c r="AA32" i="143"/>
  <c r="U27" i="105"/>
  <c r="AB32" i="143"/>
  <c r="V27" i="105"/>
  <c r="AC32" i="143"/>
  <c r="W27" i="105"/>
  <c r="AD32" i="143"/>
  <c r="X27" i="105"/>
  <c r="AE32" i="143"/>
  <c r="E27" i="105"/>
  <c r="L32" i="143"/>
  <c r="G27" i="104"/>
  <c r="N32" i="142"/>
  <c r="H27" i="104"/>
  <c r="O32" i="142"/>
  <c r="J27" i="104"/>
  <c r="Q32" i="142"/>
  <c r="K27" i="104"/>
  <c r="R32" i="142"/>
  <c r="L27" i="104"/>
  <c r="S32" i="142"/>
  <c r="M27" i="104"/>
  <c r="T32" i="142"/>
  <c r="N27" i="104"/>
  <c r="U32" i="142"/>
  <c r="O27" i="104"/>
  <c r="V32" i="142"/>
  <c r="P27" i="104"/>
  <c r="W32" i="142"/>
  <c r="R27" i="104"/>
  <c r="Y32" i="142"/>
  <c r="S27" i="104"/>
  <c r="Z32" i="142"/>
  <c r="T27" i="104"/>
  <c r="AA32" i="142"/>
  <c r="U27" i="104"/>
  <c r="AB32" i="142"/>
  <c r="V27" i="104"/>
  <c r="AC32" i="142"/>
  <c r="W27" i="104"/>
  <c r="AD32" i="142"/>
  <c r="X27" i="104"/>
  <c r="AE32" i="142"/>
  <c r="E27" i="104"/>
  <c r="L32" i="142"/>
  <c r="G27" i="103"/>
  <c r="N32" i="141"/>
  <c r="H27" i="103"/>
  <c r="O32" i="141"/>
  <c r="I27" i="103"/>
  <c r="P32" i="141"/>
  <c r="J27" i="103"/>
  <c r="Q32" i="141"/>
  <c r="K27" i="103"/>
  <c r="R32" i="141"/>
  <c r="L27" i="103"/>
  <c r="S32" i="141"/>
  <c r="M27" i="103"/>
  <c r="T32" i="141"/>
  <c r="N27" i="103"/>
  <c r="U32" i="141"/>
  <c r="O27" i="103"/>
  <c r="V32" i="141"/>
  <c r="P27" i="103"/>
  <c r="W32" i="141"/>
  <c r="R27" i="103"/>
  <c r="Y32" i="141"/>
  <c r="S27" i="103"/>
  <c r="Z32" i="141"/>
  <c r="T27" i="103"/>
  <c r="AA32" i="141"/>
  <c r="U27" i="103"/>
  <c r="AB32" i="141"/>
  <c r="V27" i="103"/>
  <c r="AC32" i="141"/>
  <c r="W27" i="103"/>
  <c r="AD32" i="141"/>
  <c r="X27" i="103"/>
  <c r="AE32" i="141"/>
  <c r="E27" i="103"/>
  <c r="L32" i="141"/>
  <c r="K177" i="141"/>
  <c r="K175" i="141"/>
  <c r="L175" i="141"/>
  <c r="L177" i="141"/>
  <c r="M153" i="141"/>
  <c r="L153" i="141"/>
  <c r="K150" i="141"/>
  <c r="L144" i="141"/>
  <c r="L143" i="141"/>
  <c r="L145" i="141"/>
  <c r="K143" i="141"/>
  <c r="L141" i="141"/>
  <c r="K141" i="141"/>
  <c r="C141" i="141"/>
  <c r="F140" i="141"/>
  <c r="E140" i="141"/>
  <c r="G140" i="141"/>
  <c r="H140" i="141"/>
  <c r="D140" i="141"/>
  <c r="F139" i="141"/>
  <c r="E139" i="141"/>
  <c r="G139" i="141"/>
  <c r="H139" i="141"/>
  <c r="D139" i="141"/>
  <c r="F138" i="141"/>
  <c r="E138" i="141"/>
  <c r="G138" i="141"/>
  <c r="H138" i="141"/>
  <c r="D138" i="141"/>
  <c r="F137" i="141"/>
  <c r="E137" i="141"/>
  <c r="D137" i="141"/>
  <c r="F136" i="141"/>
  <c r="G136" i="141"/>
  <c r="H136" i="141"/>
  <c r="D136" i="141"/>
  <c r="L128" i="141"/>
  <c r="K128" i="141"/>
  <c r="K127" i="141"/>
  <c r="L127" i="141"/>
  <c r="L126" i="141"/>
  <c r="K126" i="141"/>
  <c r="L124" i="141"/>
  <c r="L130" i="141"/>
  <c r="K124" i="141"/>
  <c r="C124" i="141"/>
  <c r="F123" i="141"/>
  <c r="E123" i="141"/>
  <c r="G123" i="141"/>
  <c r="H123" i="141"/>
  <c r="D123" i="141"/>
  <c r="F122" i="141"/>
  <c r="E122" i="141"/>
  <c r="G122" i="141"/>
  <c r="H122" i="141"/>
  <c r="D122" i="141"/>
  <c r="F121" i="141"/>
  <c r="F124" i="141"/>
  <c r="D121" i="141"/>
  <c r="L99" i="141"/>
  <c r="K84" i="141"/>
  <c r="L83" i="141"/>
  <c r="K82" i="141"/>
  <c r="K80" i="141"/>
  <c r="K113" i="141"/>
  <c r="K163" i="141"/>
  <c r="C80" i="141"/>
  <c r="F79" i="141"/>
  <c r="E79" i="141"/>
  <c r="D79" i="141"/>
  <c r="F78" i="141"/>
  <c r="E78" i="141"/>
  <c r="D78" i="141"/>
  <c r="M77" i="141"/>
  <c r="F77" i="141"/>
  <c r="G77" i="141"/>
  <c r="D77" i="141"/>
  <c r="F76" i="141"/>
  <c r="G76" i="141"/>
  <c r="D76" i="141"/>
  <c r="A60" i="141"/>
  <c r="A28" i="141"/>
  <c r="A27" i="141"/>
  <c r="A25" i="141"/>
  <c r="A24" i="141"/>
  <c r="A23" i="141"/>
  <c r="A19" i="141"/>
  <c r="A18" i="141"/>
  <c r="A17" i="141"/>
  <c r="L11" i="141"/>
  <c r="M90" i="141"/>
  <c r="K11" i="141"/>
  <c r="E4" i="141"/>
  <c r="A3" i="141"/>
  <c r="A2" i="141"/>
  <c r="A1" i="141"/>
  <c r="F116" i="93"/>
  <c r="G116" i="93"/>
  <c r="H116" i="93"/>
  <c r="I116" i="93"/>
  <c r="J116" i="93"/>
  <c r="K116" i="93"/>
  <c r="L116" i="93"/>
  <c r="M116" i="93"/>
  <c r="N116" i="93"/>
  <c r="O116" i="93"/>
  <c r="P116" i="93"/>
  <c r="Q116" i="93"/>
  <c r="R116" i="93"/>
  <c r="S116" i="93"/>
  <c r="T116" i="93"/>
  <c r="U116" i="93"/>
  <c r="V116" i="93"/>
  <c r="W116" i="93"/>
  <c r="X116" i="93"/>
  <c r="L17" i="140"/>
  <c r="L18" i="140"/>
  <c r="L19" i="140"/>
  <c r="L20" i="140"/>
  <c r="K28" i="140"/>
  <c r="L28" i="140"/>
  <c r="M28" i="140"/>
  <c r="N28" i="140"/>
  <c r="O28" i="140"/>
  <c r="P28" i="140"/>
  <c r="Q28" i="140"/>
  <c r="R28" i="140"/>
  <c r="S28" i="140"/>
  <c r="T28" i="140"/>
  <c r="U28" i="140"/>
  <c r="V28" i="140"/>
  <c r="W28" i="140"/>
  <c r="X28" i="140"/>
  <c r="Y28" i="140"/>
  <c r="Z28" i="140"/>
  <c r="AA28" i="140"/>
  <c r="AB28" i="140"/>
  <c r="AC28" i="140"/>
  <c r="AD28" i="140"/>
  <c r="AE28" i="140"/>
  <c r="K32" i="140"/>
  <c r="K33" i="140"/>
  <c r="L33" i="140"/>
  <c r="K34" i="140"/>
  <c r="L34" i="140"/>
  <c r="M34" i="140"/>
  <c r="N34" i="140"/>
  <c r="O34" i="140"/>
  <c r="P34" i="140"/>
  <c r="Q34" i="140"/>
  <c r="R34" i="140"/>
  <c r="S34" i="140"/>
  <c r="T34" i="140"/>
  <c r="U34" i="140"/>
  <c r="V34" i="140"/>
  <c r="W34" i="140"/>
  <c r="X34" i="140"/>
  <c r="Y34" i="140"/>
  <c r="Z34" i="140"/>
  <c r="AA34" i="140"/>
  <c r="AB34" i="140"/>
  <c r="AC34" i="140"/>
  <c r="AD34" i="140"/>
  <c r="AE34" i="140"/>
  <c r="K35" i="140"/>
  <c r="L35" i="140"/>
  <c r="K36" i="140"/>
  <c r="L36" i="140"/>
  <c r="M36" i="140"/>
  <c r="N36" i="140"/>
  <c r="O36" i="140"/>
  <c r="P36" i="140"/>
  <c r="Q36" i="140"/>
  <c r="R36" i="140"/>
  <c r="S36" i="140"/>
  <c r="T36" i="140"/>
  <c r="U36" i="140"/>
  <c r="V36" i="140"/>
  <c r="W36" i="140"/>
  <c r="X36" i="140"/>
  <c r="Y36" i="140"/>
  <c r="Z36" i="140"/>
  <c r="AA36" i="140"/>
  <c r="AB36" i="140"/>
  <c r="AC36" i="140"/>
  <c r="AD36" i="140"/>
  <c r="AE36" i="140"/>
  <c r="K38" i="140"/>
  <c r="L38" i="140"/>
  <c r="K39" i="140"/>
  <c r="L39" i="140"/>
  <c r="M39" i="140"/>
  <c r="N39" i="140"/>
  <c r="O39" i="140"/>
  <c r="P39" i="140"/>
  <c r="Q39" i="140"/>
  <c r="R39" i="140"/>
  <c r="S39" i="140"/>
  <c r="T39" i="140"/>
  <c r="U39" i="140"/>
  <c r="V39" i="140"/>
  <c r="W39" i="140"/>
  <c r="X39" i="140"/>
  <c r="Y39" i="140"/>
  <c r="Z39" i="140"/>
  <c r="AA39" i="140"/>
  <c r="AB39" i="140"/>
  <c r="AC39" i="140"/>
  <c r="AD39" i="140"/>
  <c r="AE39" i="140"/>
  <c r="K40" i="140"/>
  <c r="K41" i="140"/>
  <c r="L41" i="140"/>
  <c r="M41" i="140"/>
  <c r="N41" i="140"/>
  <c r="O41" i="140"/>
  <c r="P41" i="140"/>
  <c r="Q41" i="140"/>
  <c r="R41" i="140"/>
  <c r="S41" i="140"/>
  <c r="T41" i="140"/>
  <c r="U41" i="140"/>
  <c r="V41" i="140"/>
  <c r="W41" i="140"/>
  <c r="X41" i="140"/>
  <c r="Y41" i="140"/>
  <c r="Z41" i="140"/>
  <c r="AA41" i="140"/>
  <c r="AB41" i="140"/>
  <c r="AC41" i="140"/>
  <c r="AD41" i="140"/>
  <c r="AE41" i="140"/>
  <c r="K42" i="140"/>
  <c r="L42" i="140"/>
  <c r="M42" i="140"/>
  <c r="N42" i="140"/>
  <c r="O42" i="140"/>
  <c r="P42" i="140"/>
  <c r="Q42" i="140"/>
  <c r="R42" i="140"/>
  <c r="S42" i="140"/>
  <c r="T42" i="140"/>
  <c r="U42" i="140"/>
  <c r="V42" i="140"/>
  <c r="W42" i="140"/>
  <c r="X42" i="140"/>
  <c r="Y42" i="140"/>
  <c r="Z42" i="140"/>
  <c r="AA42" i="140"/>
  <c r="AB42" i="140"/>
  <c r="AC42" i="140"/>
  <c r="AD42" i="140"/>
  <c r="AE42" i="140"/>
  <c r="K44" i="140"/>
  <c r="K47" i="140"/>
  <c r="K48" i="140"/>
  <c r="K49" i="140"/>
  <c r="K51" i="140"/>
  <c r="L51" i="140"/>
  <c r="M51" i="140"/>
  <c r="N51" i="140"/>
  <c r="O51" i="140"/>
  <c r="P51" i="140"/>
  <c r="Q51" i="140"/>
  <c r="R51" i="140"/>
  <c r="S51" i="140"/>
  <c r="T51" i="140"/>
  <c r="U51" i="140"/>
  <c r="V51" i="140"/>
  <c r="W51" i="140"/>
  <c r="X51" i="140"/>
  <c r="Y51" i="140"/>
  <c r="Z51" i="140"/>
  <c r="AA51" i="140"/>
  <c r="AB51" i="140"/>
  <c r="AC51" i="140"/>
  <c r="AD51" i="140"/>
  <c r="AE51" i="140"/>
  <c r="K52" i="140"/>
  <c r="L52" i="140"/>
  <c r="M52" i="140"/>
  <c r="N52" i="140"/>
  <c r="O52" i="140"/>
  <c r="P52" i="140"/>
  <c r="Q52" i="140"/>
  <c r="R52" i="140"/>
  <c r="S52" i="140"/>
  <c r="T52" i="140"/>
  <c r="U52" i="140"/>
  <c r="V52" i="140"/>
  <c r="W52" i="140"/>
  <c r="X52" i="140"/>
  <c r="Y52" i="140"/>
  <c r="Z52" i="140"/>
  <c r="AA52" i="140"/>
  <c r="AB52" i="140"/>
  <c r="AC52" i="140"/>
  <c r="AD52" i="140"/>
  <c r="AE52" i="140"/>
  <c r="K53" i="140"/>
  <c r="L53" i="140"/>
  <c r="M53" i="140"/>
  <c r="N53" i="140"/>
  <c r="O53" i="140"/>
  <c r="P53" i="140"/>
  <c r="Q53" i="140"/>
  <c r="R53" i="140"/>
  <c r="S53" i="140"/>
  <c r="T53" i="140"/>
  <c r="U53" i="140"/>
  <c r="V53" i="140"/>
  <c r="W53" i="140"/>
  <c r="X53" i="140"/>
  <c r="Y53" i="140"/>
  <c r="Z53" i="140"/>
  <c r="AA53" i="140"/>
  <c r="AB53" i="140"/>
  <c r="AC53" i="140"/>
  <c r="AD53" i="140"/>
  <c r="AE53" i="140"/>
  <c r="K54" i="140"/>
  <c r="L54" i="140"/>
  <c r="M54" i="140"/>
  <c r="N54" i="140"/>
  <c r="O54" i="140"/>
  <c r="P54" i="140"/>
  <c r="Q54" i="140"/>
  <c r="R54" i="140"/>
  <c r="S54" i="140"/>
  <c r="T54" i="140"/>
  <c r="U54" i="140"/>
  <c r="V54" i="140"/>
  <c r="W54" i="140"/>
  <c r="X54" i="140"/>
  <c r="Y54" i="140"/>
  <c r="Z54" i="140"/>
  <c r="AA54" i="140"/>
  <c r="AB54" i="140"/>
  <c r="AC54" i="140"/>
  <c r="AD54" i="140"/>
  <c r="AE54" i="140"/>
  <c r="K56" i="140"/>
  <c r="K58" i="140"/>
  <c r="L58" i="140"/>
  <c r="M58" i="140"/>
  <c r="N58" i="140"/>
  <c r="O58" i="140"/>
  <c r="P58" i="140"/>
  <c r="Q58" i="140"/>
  <c r="R58" i="140"/>
  <c r="S58" i="140"/>
  <c r="T58" i="140"/>
  <c r="U58" i="140"/>
  <c r="V58" i="140"/>
  <c r="W58" i="140"/>
  <c r="X58" i="140"/>
  <c r="Y58" i="140"/>
  <c r="Z58" i="140"/>
  <c r="AA58" i="140"/>
  <c r="AB58" i="140"/>
  <c r="AC58" i="140"/>
  <c r="AD58" i="140"/>
  <c r="AE58" i="140"/>
  <c r="K61" i="140"/>
  <c r="L61" i="140"/>
  <c r="M61" i="140"/>
  <c r="K62" i="140"/>
  <c r="L62" i="140"/>
  <c r="M62" i="140"/>
  <c r="K63" i="140"/>
  <c r="L63" i="140"/>
  <c r="M63" i="140"/>
  <c r="K64" i="140"/>
  <c r="L64" i="140"/>
  <c r="M64" i="140"/>
  <c r="N64" i="140"/>
  <c r="O64" i="140"/>
  <c r="P64" i="140"/>
  <c r="Q64" i="140"/>
  <c r="R64" i="140"/>
  <c r="S64" i="140"/>
  <c r="T64" i="140"/>
  <c r="U64" i="140"/>
  <c r="V64" i="140"/>
  <c r="W64" i="140"/>
  <c r="X64" i="140"/>
  <c r="Y64" i="140"/>
  <c r="Z64" i="140"/>
  <c r="AA64" i="140"/>
  <c r="AB64" i="140"/>
  <c r="AC64" i="140"/>
  <c r="AD64" i="140"/>
  <c r="AE64" i="140"/>
  <c r="AF64" i="140"/>
  <c r="K65" i="140"/>
  <c r="L65" i="140"/>
  <c r="M65" i="140"/>
  <c r="N65" i="140"/>
  <c r="O65" i="140"/>
  <c r="P65" i="140"/>
  <c r="Q65" i="140"/>
  <c r="R65" i="140"/>
  <c r="S65" i="140"/>
  <c r="T65" i="140"/>
  <c r="U65" i="140"/>
  <c r="V65" i="140"/>
  <c r="W65" i="140"/>
  <c r="X65" i="140"/>
  <c r="Y65" i="140"/>
  <c r="Z65" i="140"/>
  <c r="AA65" i="140"/>
  <c r="AB65" i="140"/>
  <c r="AC65" i="140"/>
  <c r="AD65" i="140"/>
  <c r="AE65" i="140"/>
  <c r="AF65" i="140"/>
  <c r="K68" i="140"/>
  <c r="L68" i="140"/>
  <c r="M68" i="140"/>
  <c r="N68" i="140"/>
  <c r="O68" i="140"/>
  <c r="P68" i="140"/>
  <c r="Q68" i="140"/>
  <c r="R68" i="140"/>
  <c r="S68" i="140"/>
  <c r="T68" i="140"/>
  <c r="U68" i="140"/>
  <c r="V68" i="140"/>
  <c r="W68" i="140"/>
  <c r="X68" i="140"/>
  <c r="Y68" i="140"/>
  <c r="Z68" i="140"/>
  <c r="AA68" i="140"/>
  <c r="AB68" i="140"/>
  <c r="AC68" i="140"/>
  <c r="AD68" i="140"/>
  <c r="AE68" i="140"/>
  <c r="K69" i="140"/>
  <c r="L69" i="140"/>
  <c r="M69" i="140"/>
  <c r="N69" i="140"/>
  <c r="O69" i="140"/>
  <c r="P69" i="140"/>
  <c r="Q69" i="140"/>
  <c r="R69" i="140"/>
  <c r="S69" i="140"/>
  <c r="T69" i="140"/>
  <c r="U69" i="140"/>
  <c r="V69" i="140"/>
  <c r="W69" i="140"/>
  <c r="X69" i="140"/>
  <c r="Y69" i="140"/>
  <c r="Z69" i="140"/>
  <c r="AA69" i="140"/>
  <c r="AB69" i="140"/>
  <c r="AC69" i="140"/>
  <c r="AD69" i="140"/>
  <c r="AE69" i="140"/>
  <c r="K70" i="140"/>
  <c r="L70" i="140"/>
  <c r="M70" i="140"/>
  <c r="N70" i="140"/>
  <c r="O70" i="140"/>
  <c r="P70" i="140"/>
  <c r="Q70" i="140"/>
  <c r="R70" i="140"/>
  <c r="S70" i="140"/>
  <c r="T70" i="140"/>
  <c r="U70" i="140"/>
  <c r="V70" i="140"/>
  <c r="W70" i="140"/>
  <c r="X70" i="140"/>
  <c r="Y70" i="140"/>
  <c r="Z70" i="140"/>
  <c r="AA70" i="140"/>
  <c r="AB70" i="140"/>
  <c r="AC70" i="140"/>
  <c r="AD70" i="140"/>
  <c r="AE70" i="140"/>
  <c r="G27" i="93"/>
  <c r="N32" i="140"/>
  <c r="H27" i="93"/>
  <c r="O32" i="140"/>
  <c r="I27" i="93"/>
  <c r="P32" i="140"/>
  <c r="J27" i="93"/>
  <c r="Q32" i="140"/>
  <c r="K27" i="93"/>
  <c r="R32" i="140"/>
  <c r="L27" i="93"/>
  <c r="S32" i="140"/>
  <c r="M27" i="93"/>
  <c r="T32" i="140"/>
  <c r="N27" i="93"/>
  <c r="U32" i="140"/>
  <c r="O27" i="93"/>
  <c r="V32" i="140"/>
  <c r="P27" i="93"/>
  <c r="W32" i="140"/>
  <c r="Q27" i="93"/>
  <c r="X32" i="140"/>
  <c r="R27" i="93"/>
  <c r="Y32" i="140"/>
  <c r="S27" i="93"/>
  <c r="Z32" i="140"/>
  <c r="T27" i="93"/>
  <c r="AA32" i="140"/>
  <c r="U27" i="93"/>
  <c r="AB32" i="140"/>
  <c r="V27" i="93"/>
  <c r="AC32" i="140"/>
  <c r="W27" i="93"/>
  <c r="AD32" i="140"/>
  <c r="X27" i="93"/>
  <c r="AE32" i="140"/>
  <c r="E27" i="93"/>
  <c r="L32" i="140"/>
  <c r="K177" i="140"/>
  <c r="K175" i="140"/>
  <c r="L175" i="140"/>
  <c r="L177" i="140"/>
  <c r="M153" i="140"/>
  <c r="L153" i="140"/>
  <c r="K150" i="140"/>
  <c r="L144" i="140"/>
  <c r="L143" i="140"/>
  <c r="K143" i="140"/>
  <c r="L141" i="140"/>
  <c r="L147" i="140"/>
  <c r="K141" i="140"/>
  <c r="C141" i="140"/>
  <c r="F140" i="140"/>
  <c r="G140" i="140"/>
  <c r="H140" i="140"/>
  <c r="E140" i="140"/>
  <c r="D140" i="140"/>
  <c r="G139" i="140"/>
  <c r="H139" i="140"/>
  <c r="F139" i="140"/>
  <c r="E139" i="140"/>
  <c r="D139" i="140"/>
  <c r="G138" i="140"/>
  <c r="H138" i="140"/>
  <c r="F138" i="140"/>
  <c r="E138" i="140"/>
  <c r="D138" i="140"/>
  <c r="G137" i="140"/>
  <c r="H137" i="140"/>
  <c r="F137" i="140"/>
  <c r="E137" i="140"/>
  <c r="D137" i="140"/>
  <c r="H136" i="140"/>
  <c r="G136" i="140"/>
  <c r="F136" i="140"/>
  <c r="D136" i="140"/>
  <c r="L128" i="140"/>
  <c r="K128" i="140"/>
  <c r="L127" i="140"/>
  <c r="L126" i="140"/>
  <c r="K126" i="140"/>
  <c r="L124" i="140"/>
  <c r="K124" i="140"/>
  <c r="C124" i="140"/>
  <c r="G123" i="140"/>
  <c r="H123" i="140"/>
  <c r="F123" i="140"/>
  <c r="E123" i="140"/>
  <c r="D123" i="140"/>
  <c r="F122" i="140"/>
  <c r="E122" i="140"/>
  <c r="D122" i="140"/>
  <c r="G121" i="140"/>
  <c r="H121" i="140"/>
  <c r="F121" i="140"/>
  <c r="D121" i="140"/>
  <c r="L99" i="140"/>
  <c r="K84" i="140"/>
  <c r="L83" i="140"/>
  <c r="K82" i="140"/>
  <c r="K83" i="140"/>
  <c r="K80" i="140"/>
  <c r="K113" i="140"/>
  <c r="K163" i="140"/>
  <c r="C80" i="140"/>
  <c r="F79" i="140"/>
  <c r="G79" i="140"/>
  <c r="E79" i="140"/>
  <c r="D79" i="140"/>
  <c r="F78" i="140"/>
  <c r="E78" i="140"/>
  <c r="D78" i="140"/>
  <c r="F77" i="140"/>
  <c r="G77" i="140"/>
  <c r="M77" i="140"/>
  <c r="D77" i="140"/>
  <c r="F76" i="140"/>
  <c r="G76" i="140"/>
  <c r="D76" i="140"/>
  <c r="A60" i="140"/>
  <c r="A28" i="140"/>
  <c r="A27" i="140"/>
  <c r="A25" i="140"/>
  <c r="A24" i="140"/>
  <c r="A23" i="140"/>
  <c r="A19" i="140"/>
  <c r="A18" i="140"/>
  <c r="A17" i="140"/>
  <c r="K11" i="140"/>
  <c r="E4" i="140"/>
  <c r="A3" i="140"/>
  <c r="A2" i="140"/>
  <c r="A1" i="140"/>
  <c r="F115" i="101"/>
  <c r="G115" i="101"/>
  <c r="H115" i="101"/>
  <c r="I115" i="101"/>
  <c r="J115" i="101"/>
  <c r="K115" i="101"/>
  <c r="L115" i="101"/>
  <c r="M115" i="101"/>
  <c r="N115" i="101"/>
  <c r="O115" i="101"/>
  <c r="P115" i="101"/>
  <c r="Q115" i="101"/>
  <c r="R115" i="101"/>
  <c r="S115" i="101"/>
  <c r="T115" i="101"/>
  <c r="U115" i="101"/>
  <c r="V115" i="101"/>
  <c r="W115" i="101"/>
  <c r="X115" i="101"/>
  <c r="E115" i="101"/>
  <c r="F115" i="99"/>
  <c r="G115" i="99"/>
  <c r="H115" i="99"/>
  <c r="I115" i="99"/>
  <c r="J115" i="99"/>
  <c r="K115" i="99"/>
  <c r="L115" i="99"/>
  <c r="M115" i="99"/>
  <c r="N115" i="99"/>
  <c r="O115" i="99"/>
  <c r="P115" i="99"/>
  <c r="Q115" i="99"/>
  <c r="R115" i="99"/>
  <c r="S115" i="99"/>
  <c r="T115" i="99"/>
  <c r="U115" i="99"/>
  <c r="V115" i="99"/>
  <c r="W115" i="99"/>
  <c r="X115" i="99"/>
  <c r="E115" i="99"/>
  <c r="F115" i="112"/>
  <c r="G114" i="112"/>
  <c r="G115" i="112"/>
  <c r="H114" i="112"/>
  <c r="H115" i="112"/>
  <c r="I114" i="112"/>
  <c r="I115" i="112"/>
  <c r="J114" i="112"/>
  <c r="J115" i="112"/>
  <c r="K114" i="112"/>
  <c r="K115" i="112"/>
  <c r="L114" i="112"/>
  <c r="L115" i="112"/>
  <c r="M114" i="112"/>
  <c r="M115" i="112"/>
  <c r="N114" i="112"/>
  <c r="N115" i="112"/>
  <c r="O114" i="112"/>
  <c r="O115" i="112"/>
  <c r="P114" i="112"/>
  <c r="P115" i="112"/>
  <c r="Q114" i="112"/>
  <c r="Q115" i="112"/>
  <c r="R114" i="112"/>
  <c r="R115" i="112"/>
  <c r="S114" i="112"/>
  <c r="S115" i="112"/>
  <c r="T114" i="112"/>
  <c r="T115" i="112"/>
  <c r="U114" i="112"/>
  <c r="U115" i="112"/>
  <c r="V114" i="112"/>
  <c r="V115" i="112"/>
  <c r="W114" i="112"/>
  <c r="W115" i="112"/>
  <c r="X114" i="112"/>
  <c r="X115" i="112"/>
  <c r="E115" i="112"/>
  <c r="F115" i="111"/>
  <c r="G115" i="111"/>
  <c r="H115" i="111"/>
  <c r="I115" i="111"/>
  <c r="J115" i="111"/>
  <c r="K115" i="111"/>
  <c r="L115" i="111"/>
  <c r="M115" i="111"/>
  <c r="N115" i="111"/>
  <c r="O115" i="111"/>
  <c r="P115" i="111"/>
  <c r="Q115" i="111"/>
  <c r="R115" i="111"/>
  <c r="S115" i="111"/>
  <c r="T115" i="111"/>
  <c r="U115" i="111"/>
  <c r="V115" i="111"/>
  <c r="W115" i="111"/>
  <c r="X115" i="111"/>
  <c r="E115" i="111"/>
  <c r="F115" i="110"/>
  <c r="G115" i="110"/>
  <c r="H115" i="110"/>
  <c r="I115" i="110"/>
  <c r="J115" i="110"/>
  <c r="K115" i="110"/>
  <c r="L115" i="110"/>
  <c r="M115" i="110"/>
  <c r="N115" i="110"/>
  <c r="O115" i="110"/>
  <c r="P115" i="110"/>
  <c r="Q115" i="110"/>
  <c r="R115" i="110"/>
  <c r="S115" i="110"/>
  <c r="T115" i="110"/>
  <c r="U115" i="110"/>
  <c r="V115" i="110"/>
  <c r="W115" i="110"/>
  <c r="X115" i="110"/>
  <c r="E115" i="110"/>
  <c r="F115" i="109"/>
  <c r="G115" i="109"/>
  <c r="H115" i="109"/>
  <c r="I115" i="109"/>
  <c r="J115" i="109"/>
  <c r="K115" i="109"/>
  <c r="L115" i="109"/>
  <c r="M115" i="109"/>
  <c r="N115" i="109"/>
  <c r="O115" i="109"/>
  <c r="P115" i="109"/>
  <c r="Q115" i="109"/>
  <c r="R115" i="109"/>
  <c r="S115" i="109"/>
  <c r="T115" i="109"/>
  <c r="U115" i="109"/>
  <c r="V115" i="109"/>
  <c r="W115" i="109"/>
  <c r="X115" i="109"/>
  <c r="E115" i="109"/>
  <c r="F115" i="116"/>
  <c r="G115" i="116"/>
  <c r="H115" i="116"/>
  <c r="I115" i="116"/>
  <c r="J115" i="116"/>
  <c r="K115" i="116"/>
  <c r="L115" i="116"/>
  <c r="M115" i="116"/>
  <c r="N115" i="116"/>
  <c r="O115" i="116"/>
  <c r="P115" i="116"/>
  <c r="Q115" i="116"/>
  <c r="R115" i="116"/>
  <c r="S115" i="116"/>
  <c r="T115" i="116"/>
  <c r="U115" i="116"/>
  <c r="V115" i="116"/>
  <c r="W115" i="116"/>
  <c r="X115" i="116"/>
  <c r="E115" i="116"/>
  <c r="F115" i="115"/>
  <c r="G115" i="115"/>
  <c r="H115" i="115"/>
  <c r="I115" i="115"/>
  <c r="J115" i="115"/>
  <c r="K115" i="115"/>
  <c r="L115" i="115"/>
  <c r="M115" i="115"/>
  <c r="N115" i="115"/>
  <c r="O115" i="115"/>
  <c r="P115" i="115"/>
  <c r="Q115" i="115"/>
  <c r="R115" i="115"/>
  <c r="S115" i="115"/>
  <c r="T115" i="115"/>
  <c r="U115" i="115"/>
  <c r="V115" i="115"/>
  <c r="W115" i="115"/>
  <c r="X115" i="115"/>
  <c r="E115" i="115"/>
  <c r="F115" i="114"/>
  <c r="G115" i="114"/>
  <c r="H115" i="114"/>
  <c r="I115" i="114"/>
  <c r="J115" i="114"/>
  <c r="K115" i="114"/>
  <c r="L115" i="114"/>
  <c r="M115" i="114"/>
  <c r="N115" i="114"/>
  <c r="O115" i="114"/>
  <c r="P115" i="114"/>
  <c r="Q115" i="114"/>
  <c r="R115" i="114"/>
  <c r="S115" i="114"/>
  <c r="T115" i="114"/>
  <c r="U115" i="114"/>
  <c r="V115" i="114"/>
  <c r="W115" i="114"/>
  <c r="X115" i="114"/>
  <c r="E115" i="114"/>
  <c r="F115" i="113"/>
  <c r="G115" i="113"/>
  <c r="H115" i="113"/>
  <c r="I115" i="113"/>
  <c r="J115" i="113"/>
  <c r="K115" i="113"/>
  <c r="L115" i="113"/>
  <c r="M115" i="113"/>
  <c r="N115" i="113"/>
  <c r="O115" i="113"/>
  <c r="P115" i="113"/>
  <c r="Q115" i="113"/>
  <c r="R115" i="113"/>
  <c r="S115" i="113"/>
  <c r="T115" i="113"/>
  <c r="U115" i="113"/>
  <c r="V115" i="113"/>
  <c r="W115" i="113"/>
  <c r="X115" i="113"/>
  <c r="E115" i="113"/>
  <c r="F115" i="108"/>
  <c r="G115" i="108"/>
  <c r="H115" i="108"/>
  <c r="I115" i="108"/>
  <c r="J115" i="108"/>
  <c r="K115" i="108"/>
  <c r="L115" i="108"/>
  <c r="M115" i="108"/>
  <c r="N115" i="108"/>
  <c r="O115" i="108"/>
  <c r="P115" i="108"/>
  <c r="Q115" i="108"/>
  <c r="R115" i="108"/>
  <c r="S115" i="108"/>
  <c r="T115" i="108"/>
  <c r="U115" i="108"/>
  <c r="V115" i="108"/>
  <c r="W115" i="108"/>
  <c r="X115" i="108"/>
  <c r="E115" i="108"/>
  <c r="F115" i="102"/>
  <c r="G115" i="102"/>
  <c r="H115" i="102"/>
  <c r="I115" i="102"/>
  <c r="J115" i="102"/>
  <c r="K115" i="102"/>
  <c r="L115" i="102"/>
  <c r="M115" i="102"/>
  <c r="N115" i="102"/>
  <c r="O115" i="102"/>
  <c r="P115" i="102"/>
  <c r="Q115" i="102"/>
  <c r="R115" i="102"/>
  <c r="S115" i="102"/>
  <c r="T115" i="102"/>
  <c r="U115" i="102"/>
  <c r="V115" i="102"/>
  <c r="W115" i="102"/>
  <c r="X115" i="102"/>
  <c r="E115" i="102"/>
  <c r="E142" i="120"/>
  <c r="F128" i="120"/>
  <c r="J128" i="120"/>
  <c r="O128" i="120"/>
  <c r="T128" i="120"/>
  <c r="J135" i="120"/>
  <c r="E135" i="120"/>
  <c r="E132" i="120"/>
  <c r="E128" i="120"/>
  <c r="E129" i="120"/>
  <c r="E127" i="120"/>
  <c r="L17" i="139"/>
  <c r="L18" i="139"/>
  <c r="L19" i="139"/>
  <c r="L20" i="139"/>
  <c r="K28" i="139"/>
  <c r="L28" i="139"/>
  <c r="M28" i="139"/>
  <c r="N28" i="139"/>
  <c r="O28" i="139"/>
  <c r="P28" i="139"/>
  <c r="Q28" i="139"/>
  <c r="R28" i="139"/>
  <c r="S28" i="139"/>
  <c r="T28" i="139"/>
  <c r="U28" i="139"/>
  <c r="V28" i="139"/>
  <c r="W28" i="139"/>
  <c r="X28" i="139"/>
  <c r="Y28" i="139"/>
  <c r="Z28" i="139"/>
  <c r="AA28" i="139"/>
  <c r="AB28" i="139"/>
  <c r="AC28" i="139"/>
  <c r="AD28" i="139"/>
  <c r="AE28" i="139"/>
  <c r="K32" i="139"/>
  <c r="M27" i="120"/>
  <c r="T32" i="139"/>
  <c r="Q27" i="120"/>
  <c r="X32" i="139"/>
  <c r="K33" i="139"/>
  <c r="L33" i="139"/>
  <c r="K34" i="139"/>
  <c r="L34" i="139"/>
  <c r="M34" i="139"/>
  <c r="N34" i="139"/>
  <c r="O34" i="139"/>
  <c r="P34" i="139"/>
  <c r="Q34" i="139"/>
  <c r="R34" i="139"/>
  <c r="S34" i="139"/>
  <c r="T34" i="139"/>
  <c r="U34" i="139"/>
  <c r="V34" i="139"/>
  <c r="W34" i="139"/>
  <c r="X34" i="139"/>
  <c r="Y34" i="139"/>
  <c r="Z34" i="139"/>
  <c r="AA34" i="139"/>
  <c r="AB34" i="139"/>
  <c r="AC34" i="139"/>
  <c r="AD34" i="139"/>
  <c r="AE34" i="139"/>
  <c r="K35" i="139"/>
  <c r="L35" i="139"/>
  <c r="K36" i="139"/>
  <c r="L36" i="139"/>
  <c r="M36" i="139"/>
  <c r="N36" i="139"/>
  <c r="O36" i="139"/>
  <c r="P36" i="139"/>
  <c r="Q36" i="139"/>
  <c r="R36" i="139"/>
  <c r="S36" i="139"/>
  <c r="T36" i="139"/>
  <c r="U36" i="139"/>
  <c r="V36" i="139"/>
  <c r="W36" i="139"/>
  <c r="X36" i="139"/>
  <c r="Y36" i="139"/>
  <c r="Z36" i="139"/>
  <c r="AA36" i="139"/>
  <c r="AB36" i="139"/>
  <c r="AC36" i="139"/>
  <c r="AD36" i="139"/>
  <c r="AE36" i="139"/>
  <c r="K38" i="139"/>
  <c r="L38" i="139"/>
  <c r="K39" i="139"/>
  <c r="L39" i="139"/>
  <c r="M39" i="139"/>
  <c r="N39" i="139"/>
  <c r="O39" i="139"/>
  <c r="P39" i="139"/>
  <c r="Q39" i="139"/>
  <c r="R39" i="139"/>
  <c r="S39" i="139"/>
  <c r="T39" i="139"/>
  <c r="U39" i="139"/>
  <c r="V39" i="139"/>
  <c r="W39" i="139"/>
  <c r="X39" i="139"/>
  <c r="Y39" i="139"/>
  <c r="Z39" i="139"/>
  <c r="AA39" i="139"/>
  <c r="AB39" i="139"/>
  <c r="AC39" i="139"/>
  <c r="AD39" i="139"/>
  <c r="AE39" i="139"/>
  <c r="K40" i="139"/>
  <c r="K41" i="139"/>
  <c r="L41" i="139"/>
  <c r="M41" i="139"/>
  <c r="N41" i="139"/>
  <c r="O41" i="139"/>
  <c r="P41" i="139"/>
  <c r="Q41" i="139"/>
  <c r="R41" i="139"/>
  <c r="S41" i="139"/>
  <c r="T41" i="139"/>
  <c r="U41" i="139"/>
  <c r="V41" i="139"/>
  <c r="W41" i="139"/>
  <c r="X41" i="139"/>
  <c r="Y41" i="139"/>
  <c r="Z41" i="139"/>
  <c r="AA41" i="139"/>
  <c r="AB41" i="139"/>
  <c r="AC41" i="139"/>
  <c r="AD41" i="139"/>
  <c r="AE41" i="139"/>
  <c r="K42" i="139"/>
  <c r="L42" i="139"/>
  <c r="M42" i="139"/>
  <c r="N42" i="139"/>
  <c r="O42" i="139"/>
  <c r="P42" i="139"/>
  <c r="Q42" i="139"/>
  <c r="R42" i="139"/>
  <c r="S42" i="139"/>
  <c r="T42" i="139"/>
  <c r="U42" i="139"/>
  <c r="V42" i="139"/>
  <c r="W42" i="139"/>
  <c r="X42" i="139"/>
  <c r="Y42" i="139"/>
  <c r="Z42" i="139"/>
  <c r="AA42" i="139"/>
  <c r="AB42" i="139"/>
  <c r="AC42" i="139"/>
  <c r="AD42" i="139"/>
  <c r="AE42" i="139"/>
  <c r="K44" i="139"/>
  <c r="K47" i="139"/>
  <c r="K48" i="139"/>
  <c r="K49" i="139"/>
  <c r="K51" i="139"/>
  <c r="L51" i="139"/>
  <c r="M51" i="139"/>
  <c r="N51" i="139"/>
  <c r="O51" i="139"/>
  <c r="P51" i="139"/>
  <c r="Q51" i="139"/>
  <c r="R51" i="139"/>
  <c r="S51" i="139"/>
  <c r="T51" i="139"/>
  <c r="U51" i="139"/>
  <c r="V51" i="139"/>
  <c r="W51" i="139"/>
  <c r="X51" i="139"/>
  <c r="Y51" i="139"/>
  <c r="Z51" i="139"/>
  <c r="AA51" i="139"/>
  <c r="AB51" i="139"/>
  <c r="AC51" i="139"/>
  <c r="AD51" i="139"/>
  <c r="AE51" i="139"/>
  <c r="K52" i="139"/>
  <c r="L52" i="139"/>
  <c r="M52" i="139"/>
  <c r="N52" i="139"/>
  <c r="O52" i="139"/>
  <c r="P52" i="139"/>
  <c r="Q52" i="139"/>
  <c r="R52" i="139"/>
  <c r="S52" i="139"/>
  <c r="T52" i="139"/>
  <c r="U52" i="139"/>
  <c r="V52" i="139"/>
  <c r="W52" i="139"/>
  <c r="X52" i="139"/>
  <c r="Y52" i="139"/>
  <c r="Z52" i="139"/>
  <c r="AA52" i="139"/>
  <c r="AB52" i="139"/>
  <c r="AC52" i="139"/>
  <c r="AD52" i="139"/>
  <c r="AE52" i="139"/>
  <c r="K53" i="139"/>
  <c r="L53" i="139"/>
  <c r="M53" i="139"/>
  <c r="N53" i="139"/>
  <c r="O53" i="139"/>
  <c r="P53" i="139"/>
  <c r="Q53" i="139"/>
  <c r="R53" i="139"/>
  <c r="S53" i="139"/>
  <c r="T53" i="139"/>
  <c r="U53" i="139"/>
  <c r="V53" i="139"/>
  <c r="W53" i="139"/>
  <c r="X53" i="139"/>
  <c r="Y53" i="139"/>
  <c r="Z53" i="139"/>
  <c r="AA53" i="139"/>
  <c r="AB53" i="139"/>
  <c r="AC53" i="139"/>
  <c r="AD53" i="139"/>
  <c r="AE53" i="139"/>
  <c r="K54" i="139"/>
  <c r="L54" i="139"/>
  <c r="M54" i="139"/>
  <c r="N54" i="139"/>
  <c r="O54" i="139"/>
  <c r="P54" i="139"/>
  <c r="Q54" i="139"/>
  <c r="R54" i="139"/>
  <c r="S54" i="139"/>
  <c r="T54" i="139"/>
  <c r="U54" i="139"/>
  <c r="V54" i="139"/>
  <c r="W54" i="139"/>
  <c r="X54" i="139"/>
  <c r="Y54" i="139"/>
  <c r="Z54" i="139"/>
  <c r="AA54" i="139"/>
  <c r="AB54" i="139"/>
  <c r="AC54" i="139"/>
  <c r="AD54" i="139"/>
  <c r="AE54" i="139"/>
  <c r="K56" i="139"/>
  <c r="K58" i="139"/>
  <c r="L58" i="139"/>
  <c r="M58" i="139"/>
  <c r="N58" i="139"/>
  <c r="O58" i="139"/>
  <c r="P58" i="139"/>
  <c r="Q58" i="139"/>
  <c r="R58" i="139"/>
  <c r="S58" i="139"/>
  <c r="T58" i="139"/>
  <c r="U58" i="139"/>
  <c r="V58" i="139"/>
  <c r="W58" i="139"/>
  <c r="X58" i="139"/>
  <c r="Y58" i="139"/>
  <c r="Z58" i="139"/>
  <c r="AA58" i="139"/>
  <c r="AB58" i="139"/>
  <c r="AC58" i="139"/>
  <c r="AD58" i="139"/>
  <c r="AE58" i="139"/>
  <c r="K61" i="139"/>
  <c r="L61" i="139"/>
  <c r="M61" i="139"/>
  <c r="K62" i="139"/>
  <c r="L62" i="139"/>
  <c r="M62" i="139"/>
  <c r="K63" i="139"/>
  <c r="L63" i="139"/>
  <c r="M63" i="139"/>
  <c r="K64" i="139"/>
  <c r="L64" i="139"/>
  <c r="M64" i="139"/>
  <c r="N64" i="139"/>
  <c r="O64" i="139"/>
  <c r="P64" i="139"/>
  <c r="Q64" i="139"/>
  <c r="R64" i="139"/>
  <c r="S64" i="139"/>
  <c r="T64" i="139"/>
  <c r="U64" i="139"/>
  <c r="V64" i="139"/>
  <c r="W64" i="139"/>
  <c r="X64" i="139"/>
  <c r="Y64" i="139"/>
  <c r="Z64" i="139"/>
  <c r="AA64" i="139"/>
  <c r="AB64" i="139"/>
  <c r="AC64" i="139"/>
  <c r="AD64" i="139"/>
  <c r="AE64" i="139"/>
  <c r="AF64" i="139"/>
  <c r="K65" i="139"/>
  <c r="L65" i="139"/>
  <c r="M65" i="139"/>
  <c r="N65" i="139"/>
  <c r="O65" i="139"/>
  <c r="P65" i="139"/>
  <c r="Q65" i="139"/>
  <c r="R65" i="139"/>
  <c r="S65" i="139"/>
  <c r="T65" i="139"/>
  <c r="U65" i="139"/>
  <c r="V65" i="139"/>
  <c r="W65" i="139"/>
  <c r="X65" i="139"/>
  <c r="Y65" i="139"/>
  <c r="Z65" i="139"/>
  <c r="AA65" i="139"/>
  <c r="AB65" i="139"/>
  <c r="AC65" i="139"/>
  <c r="AD65" i="139"/>
  <c r="AE65" i="139"/>
  <c r="AF65" i="139"/>
  <c r="K68" i="139"/>
  <c r="L68" i="139"/>
  <c r="M68" i="139"/>
  <c r="N68" i="139"/>
  <c r="O68" i="139"/>
  <c r="P68" i="139"/>
  <c r="Q68" i="139"/>
  <c r="R68" i="139"/>
  <c r="S68" i="139"/>
  <c r="T68" i="139"/>
  <c r="U68" i="139"/>
  <c r="V68" i="139"/>
  <c r="W68" i="139"/>
  <c r="X68" i="139"/>
  <c r="Y68" i="139"/>
  <c r="Z68" i="139"/>
  <c r="AA68" i="139"/>
  <c r="AB68" i="139"/>
  <c r="AC68" i="139"/>
  <c r="AD68" i="139"/>
  <c r="AE68" i="139"/>
  <c r="K69" i="139"/>
  <c r="L69" i="139"/>
  <c r="M69" i="139"/>
  <c r="N69" i="139"/>
  <c r="O69" i="139"/>
  <c r="P69" i="139"/>
  <c r="Q69" i="139"/>
  <c r="R69" i="139"/>
  <c r="S69" i="139"/>
  <c r="T69" i="139"/>
  <c r="U69" i="139"/>
  <c r="V69" i="139"/>
  <c r="W69" i="139"/>
  <c r="X69" i="139"/>
  <c r="Y69" i="139"/>
  <c r="Z69" i="139"/>
  <c r="AA69" i="139"/>
  <c r="AB69" i="139"/>
  <c r="AC69" i="139"/>
  <c r="AD69" i="139"/>
  <c r="AE69" i="139"/>
  <c r="K70" i="139"/>
  <c r="L70" i="139"/>
  <c r="M70" i="139"/>
  <c r="N70" i="139"/>
  <c r="O70" i="139"/>
  <c r="P70" i="139"/>
  <c r="Q70" i="139"/>
  <c r="R70" i="139"/>
  <c r="S70" i="139"/>
  <c r="T70" i="139"/>
  <c r="U70" i="139"/>
  <c r="V70" i="139"/>
  <c r="W70" i="139"/>
  <c r="X70" i="139"/>
  <c r="Y70" i="139"/>
  <c r="Z70" i="139"/>
  <c r="AA70" i="139"/>
  <c r="AB70" i="139"/>
  <c r="AC70" i="139"/>
  <c r="AD70" i="139"/>
  <c r="AE70" i="139"/>
  <c r="K176" i="139"/>
  <c r="K174" i="139"/>
  <c r="M152" i="139"/>
  <c r="L152" i="139"/>
  <c r="K149" i="139"/>
  <c r="L143" i="139"/>
  <c r="L142" i="139"/>
  <c r="K142" i="139"/>
  <c r="L140" i="139"/>
  <c r="L154" i="139"/>
  <c r="K140" i="139"/>
  <c r="C140" i="139"/>
  <c r="F139" i="139"/>
  <c r="G139" i="139"/>
  <c r="H139" i="139"/>
  <c r="E139" i="139"/>
  <c r="D139" i="139"/>
  <c r="F138" i="139"/>
  <c r="E138" i="139"/>
  <c r="D138" i="139"/>
  <c r="F137" i="139"/>
  <c r="E137" i="139"/>
  <c r="G137" i="139"/>
  <c r="H137" i="139"/>
  <c r="D137" i="139"/>
  <c r="F136" i="139"/>
  <c r="E136" i="139"/>
  <c r="D136" i="139"/>
  <c r="F135" i="139"/>
  <c r="G135" i="139"/>
  <c r="D135" i="139"/>
  <c r="L127" i="139"/>
  <c r="K127" i="139"/>
  <c r="L126" i="139"/>
  <c r="L125" i="139"/>
  <c r="K125" i="139"/>
  <c r="L123" i="139"/>
  <c r="L129" i="139"/>
  <c r="K123" i="139"/>
  <c r="C123" i="139"/>
  <c r="F122" i="139"/>
  <c r="E122" i="139"/>
  <c r="G122" i="139"/>
  <c r="H122" i="139"/>
  <c r="D122" i="139"/>
  <c r="F121" i="139"/>
  <c r="E121" i="139"/>
  <c r="G121" i="139"/>
  <c r="H121" i="139"/>
  <c r="D121" i="139"/>
  <c r="F120" i="139"/>
  <c r="G120" i="139"/>
  <c r="D120" i="139"/>
  <c r="E134" i="120"/>
  <c r="K83" i="139"/>
  <c r="L82" i="139"/>
  <c r="K81" i="139"/>
  <c r="K79" i="139"/>
  <c r="K112" i="139"/>
  <c r="K162" i="139"/>
  <c r="C79" i="139"/>
  <c r="F78" i="139"/>
  <c r="E78" i="139"/>
  <c r="D78" i="139"/>
  <c r="F77" i="139"/>
  <c r="D77" i="139"/>
  <c r="F76" i="139"/>
  <c r="G76" i="139"/>
  <c r="M76" i="139"/>
  <c r="D76" i="139"/>
  <c r="A60" i="139"/>
  <c r="A28" i="139"/>
  <c r="A27" i="139"/>
  <c r="A25" i="139"/>
  <c r="A24" i="139"/>
  <c r="A23" i="139"/>
  <c r="A19" i="139"/>
  <c r="A18" i="139"/>
  <c r="A17" i="139"/>
  <c r="L11" i="139"/>
  <c r="K11" i="139"/>
  <c r="E4" i="139"/>
  <c r="A3" i="139"/>
  <c r="A2" i="139"/>
  <c r="A1" i="139"/>
  <c r="F116" i="120"/>
  <c r="G116" i="120"/>
  <c r="H116" i="120"/>
  <c r="I116" i="120"/>
  <c r="J116" i="120"/>
  <c r="K116" i="120"/>
  <c r="L116" i="120"/>
  <c r="M116" i="120"/>
  <c r="N116" i="120"/>
  <c r="O116" i="120"/>
  <c r="P116" i="120"/>
  <c r="Q116" i="120"/>
  <c r="R116" i="120"/>
  <c r="S116" i="120"/>
  <c r="T116" i="120"/>
  <c r="U116" i="120"/>
  <c r="V116" i="120"/>
  <c r="W116" i="120"/>
  <c r="X116" i="120"/>
  <c r="E116" i="120"/>
  <c r="G27" i="120"/>
  <c r="N32" i="139"/>
  <c r="H27" i="120"/>
  <c r="O32" i="139"/>
  <c r="I27" i="120"/>
  <c r="P32" i="139"/>
  <c r="J27" i="120"/>
  <c r="Q32" i="139"/>
  <c r="K27" i="120"/>
  <c r="R32" i="139"/>
  <c r="L27" i="120"/>
  <c r="S32" i="139"/>
  <c r="N27" i="120"/>
  <c r="U32" i="139"/>
  <c r="O27" i="120"/>
  <c r="V32" i="139"/>
  <c r="P27" i="120"/>
  <c r="W32" i="139"/>
  <c r="R27" i="120"/>
  <c r="Y32" i="139"/>
  <c r="S27" i="120"/>
  <c r="Z32" i="139"/>
  <c r="T27" i="120"/>
  <c r="AA32" i="139"/>
  <c r="U27" i="120"/>
  <c r="AB32" i="139"/>
  <c r="V27" i="120"/>
  <c r="AC32" i="139"/>
  <c r="W27" i="120"/>
  <c r="AD32" i="139"/>
  <c r="X27" i="120"/>
  <c r="AE32" i="139"/>
  <c r="E27" i="120"/>
  <c r="L32" i="139"/>
  <c r="L17" i="138"/>
  <c r="L18" i="138"/>
  <c r="L19" i="138"/>
  <c r="L20" i="138"/>
  <c r="K28" i="138"/>
  <c r="L28" i="138"/>
  <c r="M28" i="138"/>
  <c r="N28" i="138"/>
  <c r="O28" i="138"/>
  <c r="P28" i="138"/>
  <c r="Q28" i="138"/>
  <c r="R28" i="138"/>
  <c r="S28" i="138"/>
  <c r="T28" i="138"/>
  <c r="U28" i="138"/>
  <c r="V28" i="138"/>
  <c r="W28" i="138"/>
  <c r="X28" i="138"/>
  <c r="Y28" i="138"/>
  <c r="Z28" i="138"/>
  <c r="AA28" i="138"/>
  <c r="AB28" i="138"/>
  <c r="AC28" i="138"/>
  <c r="AD28" i="138"/>
  <c r="AE28" i="138"/>
  <c r="K32" i="138"/>
  <c r="K33" i="138"/>
  <c r="L33" i="138"/>
  <c r="K34" i="138"/>
  <c r="L34" i="138"/>
  <c r="M34" i="138"/>
  <c r="N34" i="138"/>
  <c r="O34" i="138"/>
  <c r="P34" i="138"/>
  <c r="Q34" i="138"/>
  <c r="R34" i="138"/>
  <c r="S34" i="138"/>
  <c r="T34" i="138"/>
  <c r="U34" i="138"/>
  <c r="V34" i="138"/>
  <c r="W34" i="138"/>
  <c r="X34" i="138"/>
  <c r="Y34" i="138"/>
  <c r="Z34" i="138"/>
  <c r="AA34" i="138"/>
  <c r="AB34" i="138"/>
  <c r="AC34" i="138"/>
  <c r="AD34" i="138"/>
  <c r="AE34" i="138"/>
  <c r="K35" i="138"/>
  <c r="L35" i="138"/>
  <c r="K36" i="138"/>
  <c r="L36" i="138"/>
  <c r="M36" i="138"/>
  <c r="N36" i="138"/>
  <c r="O36" i="138"/>
  <c r="P36" i="138"/>
  <c r="Q36" i="138"/>
  <c r="R36" i="138"/>
  <c r="S36" i="138"/>
  <c r="T36" i="138"/>
  <c r="U36" i="138"/>
  <c r="V36" i="138"/>
  <c r="W36" i="138"/>
  <c r="X36" i="138"/>
  <c r="Y36" i="138"/>
  <c r="Z36" i="138"/>
  <c r="AA36" i="138"/>
  <c r="AB36" i="138"/>
  <c r="AC36" i="138"/>
  <c r="AD36" i="138"/>
  <c r="AE36" i="138"/>
  <c r="K38" i="138"/>
  <c r="L38" i="138"/>
  <c r="K39" i="138"/>
  <c r="L39" i="138"/>
  <c r="M39" i="138"/>
  <c r="N39" i="138"/>
  <c r="O39" i="138"/>
  <c r="P39" i="138"/>
  <c r="Q39" i="138"/>
  <c r="R39" i="138"/>
  <c r="S39" i="138"/>
  <c r="T39" i="138"/>
  <c r="U39" i="138"/>
  <c r="V39" i="138"/>
  <c r="W39" i="138"/>
  <c r="X39" i="138"/>
  <c r="Y39" i="138"/>
  <c r="Z39" i="138"/>
  <c r="AA39" i="138"/>
  <c r="AB39" i="138"/>
  <c r="AC39" i="138"/>
  <c r="AD39" i="138"/>
  <c r="AE39" i="138"/>
  <c r="K40" i="138"/>
  <c r="K41" i="138"/>
  <c r="L41" i="138"/>
  <c r="M41" i="138"/>
  <c r="N41" i="138"/>
  <c r="O41" i="138"/>
  <c r="P41" i="138"/>
  <c r="Q41" i="138"/>
  <c r="R41" i="138"/>
  <c r="S41" i="138"/>
  <c r="T41" i="138"/>
  <c r="U41" i="138"/>
  <c r="V41" i="138"/>
  <c r="W41" i="138"/>
  <c r="X41" i="138"/>
  <c r="Y41" i="138"/>
  <c r="Z41" i="138"/>
  <c r="AA41" i="138"/>
  <c r="AB41" i="138"/>
  <c r="AC41" i="138"/>
  <c r="AD41" i="138"/>
  <c r="AE41" i="138"/>
  <c r="K42" i="138"/>
  <c r="L42" i="138"/>
  <c r="M42" i="138"/>
  <c r="N42" i="138"/>
  <c r="O42" i="138"/>
  <c r="P42" i="138"/>
  <c r="Q42" i="138"/>
  <c r="R42" i="138"/>
  <c r="S42" i="138"/>
  <c r="T42" i="138"/>
  <c r="U42" i="138"/>
  <c r="V42" i="138"/>
  <c r="W42" i="138"/>
  <c r="X42" i="138"/>
  <c r="Y42" i="138"/>
  <c r="Z42" i="138"/>
  <c r="AA42" i="138"/>
  <c r="AB42" i="138"/>
  <c r="AC42" i="138"/>
  <c r="AD42" i="138"/>
  <c r="AE42" i="138"/>
  <c r="K44" i="138"/>
  <c r="K47" i="138"/>
  <c r="K48" i="138"/>
  <c r="K49" i="138"/>
  <c r="K51" i="138"/>
  <c r="L51" i="138"/>
  <c r="M51" i="138"/>
  <c r="N51" i="138"/>
  <c r="O51" i="138"/>
  <c r="P51" i="138"/>
  <c r="Q51" i="138"/>
  <c r="R51" i="138"/>
  <c r="S51" i="138"/>
  <c r="T51" i="138"/>
  <c r="U51" i="138"/>
  <c r="V51" i="138"/>
  <c r="W51" i="138"/>
  <c r="X51" i="138"/>
  <c r="Y51" i="138"/>
  <c r="Z51" i="138"/>
  <c r="AA51" i="138"/>
  <c r="AB51" i="138"/>
  <c r="AC51" i="138"/>
  <c r="AD51" i="138"/>
  <c r="AE51" i="138"/>
  <c r="K52" i="138"/>
  <c r="L52" i="138"/>
  <c r="M52" i="138"/>
  <c r="N52" i="138"/>
  <c r="O52" i="138"/>
  <c r="P52" i="138"/>
  <c r="Q52" i="138"/>
  <c r="R52" i="138"/>
  <c r="S52" i="138"/>
  <c r="T52" i="138"/>
  <c r="U52" i="138"/>
  <c r="V52" i="138"/>
  <c r="W52" i="138"/>
  <c r="X52" i="138"/>
  <c r="Y52" i="138"/>
  <c r="Z52" i="138"/>
  <c r="AA52" i="138"/>
  <c r="AB52" i="138"/>
  <c r="AC52" i="138"/>
  <c r="AD52" i="138"/>
  <c r="AE52" i="138"/>
  <c r="K53" i="138"/>
  <c r="L53" i="138"/>
  <c r="M53" i="138"/>
  <c r="N53" i="138"/>
  <c r="O53" i="138"/>
  <c r="P53" i="138"/>
  <c r="Q53" i="138"/>
  <c r="R53" i="138"/>
  <c r="S53" i="138"/>
  <c r="T53" i="138"/>
  <c r="U53" i="138"/>
  <c r="V53" i="138"/>
  <c r="W53" i="138"/>
  <c r="X53" i="138"/>
  <c r="Y53" i="138"/>
  <c r="Z53" i="138"/>
  <c r="AA53" i="138"/>
  <c r="AB53" i="138"/>
  <c r="AC53" i="138"/>
  <c r="AD53" i="138"/>
  <c r="AE53" i="138"/>
  <c r="K54" i="138"/>
  <c r="L54" i="138"/>
  <c r="M54" i="138"/>
  <c r="N54" i="138"/>
  <c r="O54" i="138"/>
  <c r="P54" i="138"/>
  <c r="Q54" i="138"/>
  <c r="R54" i="138"/>
  <c r="S54" i="138"/>
  <c r="T54" i="138"/>
  <c r="U54" i="138"/>
  <c r="V54" i="138"/>
  <c r="W54" i="138"/>
  <c r="X54" i="138"/>
  <c r="Y54" i="138"/>
  <c r="Z54" i="138"/>
  <c r="AA54" i="138"/>
  <c r="AB54" i="138"/>
  <c r="AC54" i="138"/>
  <c r="AD54" i="138"/>
  <c r="AE54" i="138"/>
  <c r="K56" i="138"/>
  <c r="K58" i="138"/>
  <c r="L58" i="138"/>
  <c r="M58" i="138"/>
  <c r="N58" i="138"/>
  <c r="O58" i="138"/>
  <c r="P58" i="138"/>
  <c r="Q58" i="138"/>
  <c r="R58" i="138"/>
  <c r="S58" i="138"/>
  <c r="T58" i="138"/>
  <c r="U58" i="138"/>
  <c r="V58" i="138"/>
  <c r="W58" i="138"/>
  <c r="X58" i="138"/>
  <c r="Y58" i="138"/>
  <c r="Z58" i="138"/>
  <c r="AA58" i="138"/>
  <c r="AB58" i="138"/>
  <c r="AC58" i="138"/>
  <c r="AD58" i="138"/>
  <c r="AE58" i="138"/>
  <c r="K61" i="138"/>
  <c r="L61" i="138"/>
  <c r="M61" i="138"/>
  <c r="K62" i="138"/>
  <c r="L62" i="138"/>
  <c r="M62" i="138"/>
  <c r="K63" i="138"/>
  <c r="L63" i="138"/>
  <c r="M63" i="138"/>
  <c r="K64" i="138"/>
  <c r="L64" i="138"/>
  <c r="M64" i="138"/>
  <c r="N64" i="138"/>
  <c r="O64" i="138"/>
  <c r="P64" i="138"/>
  <c r="Q64" i="138"/>
  <c r="R64" i="138"/>
  <c r="S64" i="138"/>
  <c r="T64" i="138"/>
  <c r="U64" i="138"/>
  <c r="V64" i="138"/>
  <c r="W64" i="138"/>
  <c r="X64" i="138"/>
  <c r="Y64" i="138"/>
  <c r="Z64" i="138"/>
  <c r="AA64" i="138"/>
  <c r="AB64" i="138"/>
  <c r="AC64" i="138"/>
  <c r="AD64" i="138"/>
  <c r="AE64" i="138"/>
  <c r="AF64" i="138"/>
  <c r="K65" i="138"/>
  <c r="L65" i="138"/>
  <c r="M65" i="138"/>
  <c r="N65" i="138"/>
  <c r="O65" i="138"/>
  <c r="P65" i="138"/>
  <c r="Q65" i="138"/>
  <c r="R65" i="138"/>
  <c r="S65" i="138"/>
  <c r="T65" i="138"/>
  <c r="U65" i="138"/>
  <c r="V65" i="138"/>
  <c r="W65" i="138"/>
  <c r="X65" i="138"/>
  <c r="Y65" i="138"/>
  <c r="Z65" i="138"/>
  <c r="AA65" i="138"/>
  <c r="AB65" i="138"/>
  <c r="AC65" i="138"/>
  <c r="AD65" i="138"/>
  <c r="AE65" i="138"/>
  <c r="AF65" i="138"/>
  <c r="K68" i="138"/>
  <c r="L68" i="138"/>
  <c r="M68" i="138"/>
  <c r="N68" i="138"/>
  <c r="O68" i="138"/>
  <c r="P68" i="138"/>
  <c r="Q68" i="138"/>
  <c r="R68" i="138"/>
  <c r="S68" i="138"/>
  <c r="T68" i="138"/>
  <c r="U68" i="138"/>
  <c r="V68" i="138"/>
  <c r="W68" i="138"/>
  <c r="X68" i="138"/>
  <c r="Y68" i="138"/>
  <c r="Z68" i="138"/>
  <c r="AA68" i="138"/>
  <c r="AB68" i="138"/>
  <c r="AC68" i="138"/>
  <c r="AD68" i="138"/>
  <c r="AE68" i="138"/>
  <c r="K69" i="138"/>
  <c r="L69" i="138"/>
  <c r="M69" i="138"/>
  <c r="N69" i="138"/>
  <c r="O69" i="138"/>
  <c r="P69" i="138"/>
  <c r="Q69" i="138"/>
  <c r="R69" i="138"/>
  <c r="S69" i="138"/>
  <c r="T69" i="138"/>
  <c r="U69" i="138"/>
  <c r="V69" i="138"/>
  <c r="W69" i="138"/>
  <c r="X69" i="138"/>
  <c r="Y69" i="138"/>
  <c r="Z69" i="138"/>
  <c r="AA69" i="138"/>
  <c r="AB69" i="138"/>
  <c r="AC69" i="138"/>
  <c r="AD69" i="138"/>
  <c r="AE69" i="138"/>
  <c r="K70" i="138"/>
  <c r="L70" i="138"/>
  <c r="M70" i="138"/>
  <c r="N70" i="138"/>
  <c r="O70" i="138"/>
  <c r="P70" i="138"/>
  <c r="Q70" i="138"/>
  <c r="R70" i="138"/>
  <c r="S70" i="138"/>
  <c r="T70" i="138"/>
  <c r="U70" i="138"/>
  <c r="V70" i="138"/>
  <c r="W70" i="138"/>
  <c r="X70" i="138"/>
  <c r="Y70" i="138"/>
  <c r="Z70" i="138"/>
  <c r="AA70" i="138"/>
  <c r="AB70" i="138"/>
  <c r="AC70" i="138"/>
  <c r="AD70" i="138"/>
  <c r="AE70" i="138"/>
  <c r="K176" i="138"/>
  <c r="K174" i="138"/>
  <c r="L174" i="138"/>
  <c r="L176" i="138"/>
  <c r="M152" i="138"/>
  <c r="L152" i="138"/>
  <c r="K149" i="138"/>
  <c r="L143" i="138"/>
  <c r="L142" i="138"/>
  <c r="K142" i="138"/>
  <c r="L140" i="138"/>
  <c r="K140" i="138"/>
  <c r="C140" i="138"/>
  <c r="F139" i="138"/>
  <c r="E139" i="138"/>
  <c r="D139" i="138"/>
  <c r="F138" i="138"/>
  <c r="E138" i="138"/>
  <c r="D138" i="138"/>
  <c r="F137" i="138"/>
  <c r="E137" i="138"/>
  <c r="D137" i="138"/>
  <c r="F136" i="138"/>
  <c r="G136" i="138"/>
  <c r="H136" i="138"/>
  <c r="E136" i="138"/>
  <c r="D136" i="138"/>
  <c r="F135" i="138"/>
  <c r="G135" i="138"/>
  <c r="D135" i="138"/>
  <c r="L129" i="138"/>
  <c r="L127" i="138"/>
  <c r="K127" i="138"/>
  <c r="L126" i="138"/>
  <c r="K126" i="138"/>
  <c r="L125" i="138"/>
  <c r="K125" i="138"/>
  <c r="L123" i="138"/>
  <c r="L131" i="138"/>
  <c r="K123" i="138"/>
  <c r="C123" i="138"/>
  <c r="F122" i="138"/>
  <c r="E122" i="138"/>
  <c r="D122" i="138"/>
  <c r="F121" i="138"/>
  <c r="E121" i="138"/>
  <c r="G121" i="138"/>
  <c r="H121" i="138"/>
  <c r="D121" i="138"/>
  <c r="G120" i="138"/>
  <c r="H120" i="138"/>
  <c r="F120" i="138"/>
  <c r="F123" i="138"/>
  <c r="D120" i="138"/>
  <c r="K83" i="138"/>
  <c r="K89" i="138"/>
  <c r="L82" i="138"/>
  <c r="K81" i="138"/>
  <c r="K79" i="138"/>
  <c r="K112" i="138"/>
  <c r="K162" i="138"/>
  <c r="E79" i="138"/>
  <c r="C79" i="138"/>
  <c r="G78" i="138"/>
  <c r="M78" i="138"/>
  <c r="M82" i="138"/>
  <c r="F78" i="138"/>
  <c r="E78" i="138"/>
  <c r="D78" i="138"/>
  <c r="L77" i="138"/>
  <c r="L81" i="138"/>
  <c r="L83" i="138"/>
  <c r="G77" i="138"/>
  <c r="F77" i="138"/>
  <c r="D77" i="138"/>
  <c r="F76" i="138"/>
  <c r="D76" i="138"/>
  <c r="A60" i="138"/>
  <c r="A28" i="138"/>
  <c r="A27" i="138"/>
  <c r="A25" i="138"/>
  <c r="A24" i="138"/>
  <c r="A23" i="138"/>
  <c r="A19" i="138"/>
  <c r="A18" i="138"/>
  <c r="A17" i="138"/>
  <c r="L11" i="138"/>
  <c r="M89" i="138"/>
  <c r="K11" i="138"/>
  <c r="E4" i="138"/>
  <c r="A3" i="138"/>
  <c r="A2" i="138"/>
  <c r="A1" i="138"/>
  <c r="F116" i="119"/>
  <c r="G116" i="119"/>
  <c r="H116" i="119"/>
  <c r="I116" i="119"/>
  <c r="J116" i="119"/>
  <c r="K116" i="119"/>
  <c r="L116" i="119"/>
  <c r="M116" i="119"/>
  <c r="N116" i="119"/>
  <c r="O116" i="119"/>
  <c r="P116" i="119"/>
  <c r="Q116" i="119"/>
  <c r="R116" i="119"/>
  <c r="S116" i="119"/>
  <c r="T116" i="119"/>
  <c r="U116" i="119"/>
  <c r="V116" i="119"/>
  <c r="W116" i="119"/>
  <c r="X116" i="119"/>
  <c r="G27" i="119"/>
  <c r="N32" i="138"/>
  <c r="H27" i="119"/>
  <c r="O32" i="138"/>
  <c r="I27" i="119"/>
  <c r="P32" i="138"/>
  <c r="J27" i="119"/>
  <c r="Q32" i="138"/>
  <c r="K27" i="119"/>
  <c r="R32" i="138"/>
  <c r="L27" i="119"/>
  <c r="S32" i="138"/>
  <c r="M27" i="119"/>
  <c r="T32" i="138"/>
  <c r="N27" i="119"/>
  <c r="U32" i="138"/>
  <c r="O27" i="119"/>
  <c r="V32" i="138"/>
  <c r="P27" i="119"/>
  <c r="W32" i="138"/>
  <c r="Q27" i="119"/>
  <c r="X32" i="138"/>
  <c r="R27" i="119"/>
  <c r="Y32" i="138"/>
  <c r="S27" i="119"/>
  <c r="Z32" i="138"/>
  <c r="T27" i="119"/>
  <c r="AA32" i="138"/>
  <c r="U27" i="119"/>
  <c r="AB32" i="138"/>
  <c r="V27" i="119"/>
  <c r="AC32" i="138"/>
  <c r="W27" i="119"/>
  <c r="AD32" i="138"/>
  <c r="X27" i="119"/>
  <c r="AE32" i="138"/>
  <c r="E27" i="119"/>
  <c r="L32" i="138"/>
  <c r="F116" i="117"/>
  <c r="G116" i="117"/>
  <c r="H116" i="117"/>
  <c r="I116" i="117"/>
  <c r="J116" i="117"/>
  <c r="K116" i="117"/>
  <c r="L116" i="117"/>
  <c r="M116" i="117"/>
  <c r="N116" i="117"/>
  <c r="O116" i="117"/>
  <c r="P116" i="117"/>
  <c r="Q116" i="117"/>
  <c r="R116" i="117"/>
  <c r="S116" i="117"/>
  <c r="T116" i="117"/>
  <c r="U116" i="117"/>
  <c r="V116" i="117"/>
  <c r="W116" i="117"/>
  <c r="X116" i="117"/>
  <c r="L17" i="137"/>
  <c r="L18" i="137"/>
  <c r="L19" i="137"/>
  <c r="L20" i="137"/>
  <c r="K28" i="137"/>
  <c r="L28" i="137"/>
  <c r="M28" i="137"/>
  <c r="N28" i="137"/>
  <c r="O28" i="137"/>
  <c r="P28" i="137"/>
  <c r="Q28" i="137"/>
  <c r="R28" i="137"/>
  <c r="S28" i="137"/>
  <c r="T28" i="137"/>
  <c r="U28" i="137"/>
  <c r="V28" i="137"/>
  <c r="W28" i="137"/>
  <c r="X28" i="137"/>
  <c r="Y28" i="137"/>
  <c r="Z28" i="137"/>
  <c r="AA28" i="137"/>
  <c r="AB28" i="137"/>
  <c r="AC28" i="137"/>
  <c r="AD28" i="137"/>
  <c r="AE28" i="137"/>
  <c r="K32" i="137"/>
  <c r="K33" i="137"/>
  <c r="L33" i="137"/>
  <c r="K34" i="137"/>
  <c r="L34" i="137"/>
  <c r="F29" i="118"/>
  <c r="M34" i="137"/>
  <c r="G29" i="118"/>
  <c r="N34" i="137"/>
  <c r="H29" i="118"/>
  <c r="O34" i="137"/>
  <c r="I29" i="118"/>
  <c r="P34" i="137"/>
  <c r="J29" i="118"/>
  <c r="Q34" i="137"/>
  <c r="K29" i="118"/>
  <c r="R34" i="137"/>
  <c r="L29" i="118"/>
  <c r="S34" i="137"/>
  <c r="M29" i="118"/>
  <c r="T34" i="137"/>
  <c r="N29" i="118"/>
  <c r="U34" i="137"/>
  <c r="O29" i="118"/>
  <c r="V34" i="137"/>
  <c r="P29" i="118"/>
  <c r="W34" i="137"/>
  <c r="Q29" i="118"/>
  <c r="X34" i="137"/>
  <c r="R29" i="118"/>
  <c r="Y34" i="137"/>
  <c r="S29" i="118"/>
  <c r="Z34" i="137"/>
  <c r="T29" i="118"/>
  <c r="AA34" i="137"/>
  <c r="U29" i="118"/>
  <c r="AB34" i="137"/>
  <c r="V29" i="118"/>
  <c r="AC34" i="137"/>
  <c r="W29" i="118"/>
  <c r="AD34" i="137"/>
  <c r="X29" i="118"/>
  <c r="AE34" i="137"/>
  <c r="K35" i="137"/>
  <c r="E30" i="118"/>
  <c r="L35" i="137"/>
  <c r="K36" i="137"/>
  <c r="L36" i="137"/>
  <c r="M36" i="137"/>
  <c r="N36" i="137"/>
  <c r="O36" i="137"/>
  <c r="P36" i="137"/>
  <c r="Q36" i="137"/>
  <c r="R36" i="137"/>
  <c r="S36" i="137"/>
  <c r="T36" i="137"/>
  <c r="U36" i="137"/>
  <c r="V36" i="137"/>
  <c r="W36" i="137"/>
  <c r="X36" i="137"/>
  <c r="Y36" i="137"/>
  <c r="Z36" i="137"/>
  <c r="AA36" i="137"/>
  <c r="AB36" i="137"/>
  <c r="AC36" i="137"/>
  <c r="AD36" i="137"/>
  <c r="AE36" i="137"/>
  <c r="K38" i="137"/>
  <c r="L38" i="137"/>
  <c r="K39" i="137"/>
  <c r="L39" i="137"/>
  <c r="M39" i="137"/>
  <c r="N39" i="137"/>
  <c r="O39" i="137"/>
  <c r="P39" i="137"/>
  <c r="Q39" i="137"/>
  <c r="R39" i="137"/>
  <c r="S39" i="137"/>
  <c r="T39" i="137"/>
  <c r="U39" i="137"/>
  <c r="V39" i="137"/>
  <c r="W39" i="137"/>
  <c r="X39" i="137"/>
  <c r="Y39" i="137"/>
  <c r="Z39" i="137"/>
  <c r="AA39" i="137"/>
  <c r="AB39" i="137"/>
  <c r="AC39" i="137"/>
  <c r="AD39" i="137"/>
  <c r="AE39" i="137"/>
  <c r="K40" i="137"/>
  <c r="K41" i="137"/>
  <c r="L41" i="137"/>
  <c r="M41" i="137"/>
  <c r="N41" i="137"/>
  <c r="O41" i="137"/>
  <c r="P41" i="137"/>
  <c r="Q41" i="137"/>
  <c r="R41" i="137"/>
  <c r="S41" i="137"/>
  <c r="T41" i="137"/>
  <c r="U41" i="137"/>
  <c r="V41" i="137"/>
  <c r="W41" i="137"/>
  <c r="X41" i="137"/>
  <c r="Y41" i="137"/>
  <c r="Z41" i="137"/>
  <c r="AA41" i="137"/>
  <c r="AB41" i="137"/>
  <c r="AC41" i="137"/>
  <c r="AD41" i="137"/>
  <c r="AE41" i="137"/>
  <c r="K42" i="137"/>
  <c r="E37" i="118"/>
  <c r="L42" i="137"/>
  <c r="F37" i="118"/>
  <c r="M42" i="137"/>
  <c r="G37" i="118"/>
  <c r="N42" i="137"/>
  <c r="H37" i="118"/>
  <c r="O42" i="137"/>
  <c r="I37" i="118"/>
  <c r="P42" i="137"/>
  <c r="J37" i="118"/>
  <c r="Q42" i="137"/>
  <c r="K37" i="118"/>
  <c r="R42" i="137"/>
  <c r="L37" i="118"/>
  <c r="S42" i="137"/>
  <c r="M37" i="118"/>
  <c r="T42" i="137"/>
  <c r="N37" i="118"/>
  <c r="U42" i="137"/>
  <c r="O37" i="118"/>
  <c r="V42" i="137"/>
  <c r="P37" i="118"/>
  <c r="W42" i="137"/>
  <c r="Q37" i="118"/>
  <c r="X42" i="137"/>
  <c r="R37" i="118"/>
  <c r="Y42" i="137"/>
  <c r="S37" i="118"/>
  <c r="Z42" i="137"/>
  <c r="T37" i="118"/>
  <c r="AA42" i="137"/>
  <c r="U37" i="118"/>
  <c r="AB42" i="137"/>
  <c r="V37" i="118"/>
  <c r="AC42" i="137"/>
  <c r="W37" i="118"/>
  <c r="AD42" i="137"/>
  <c r="X37" i="118"/>
  <c r="AE42" i="137"/>
  <c r="K44" i="137"/>
  <c r="K47" i="137"/>
  <c r="K48" i="137"/>
  <c r="K49" i="137"/>
  <c r="K51" i="137"/>
  <c r="L51" i="137"/>
  <c r="M51" i="137"/>
  <c r="N51" i="137"/>
  <c r="O51" i="137"/>
  <c r="P51" i="137"/>
  <c r="Q51" i="137"/>
  <c r="R51" i="137"/>
  <c r="S51" i="137"/>
  <c r="T51" i="137"/>
  <c r="U51" i="137"/>
  <c r="V51" i="137"/>
  <c r="W51" i="137"/>
  <c r="X51" i="137"/>
  <c r="Y51" i="137"/>
  <c r="Z51" i="137"/>
  <c r="AA51" i="137"/>
  <c r="AB51" i="137"/>
  <c r="AC51" i="137"/>
  <c r="AD51" i="137"/>
  <c r="AE51" i="137"/>
  <c r="K52" i="137"/>
  <c r="L52" i="137"/>
  <c r="M52" i="137"/>
  <c r="N52" i="137"/>
  <c r="O52" i="137"/>
  <c r="P52" i="137"/>
  <c r="Q52" i="137"/>
  <c r="R52" i="137"/>
  <c r="S52" i="137"/>
  <c r="T52" i="137"/>
  <c r="U52" i="137"/>
  <c r="V52" i="137"/>
  <c r="W52" i="137"/>
  <c r="X52" i="137"/>
  <c r="Y52" i="137"/>
  <c r="Z52" i="137"/>
  <c r="AA52" i="137"/>
  <c r="AB52" i="137"/>
  <c r="AC52" i="137"/>
  <c r="AD52" i="137"/>
  <c r="AE52" i="137"/>
  <c r="K53" i="137"/>
  <c r="L53" i="137"/>
  <c r="M53" i="137"/>
  <c r="N53" i="137"/>
  <c r="O53" i="137"/>
  <c r="P53" i="137"/>
  <c r="Q53" i="137"/>
  <c r="R53" i="137"/>
  <c r="S53" i="137"/>
  <c r="T53" i="137"/>
  <c r="U53" i="137"/>
  <c r="V53" i="137"/>
  <c r="W53" i="137"/>
  <c r="X53" i="137"/>
  <c r="Y53" i="137"/>
  <c r="Z53" i="137"/>
  <c r="AA53" i="137"/>
  <c r="AB53" i="137"/>
  <c r="AC53" i="137"/>
  <c r="AD53" i="137"/>
  <c r="AE53" i="137"/>
  <c r="K54" i="137"/>
  <c r="E49" i="118"/>
  <c r="L54" i="137"/>
  <c r="F49" i="118"/>
  <c r="M54" i="137"/>
  <c r="G49" i="118"/>
  <c r="N54" i="137"/>
  <c r="H49" i="118"/>
  <c r="O54" i="137"/>
  <c r="I49" i="118"/>
  <c r="P54" i="137"/>
  <c r="J49" i="118"/>
  <c r="Q54" i="137"/>
  <c r="K49" i="118"/>
  <c r="R54" i="137"/>
  <c r="L49" i="118"/>
  <c r="S54" i="137"/>
  <c r="M49" i="118"/>
  <c r="T54" i="137"/>
  <c r="N49" i="118"/>
  <c r="U54" i="137"/>
  <c r="O49" i="118"/>
  <c r="V54" i="137"/>
  <c r="P49" i="118"/>
  <c r="W54" i="137"/>
  <c r="Q49" i="118"/>
  <c r="X54" i="137"/>
  <c r="R49" i="118"/>
  <c r="Y54" i="137"/>
  <c r="S49" i="118"/>
  <c r="Z54" i="137"/>
  <c r="T49" i="118"/>
  <c r="AA54" i="137"/>
  <c r="U49" i="118"/>
  <c r="AB54" i="137"/>
  <c r="V49" i="118"/>
  <c r="AC54" i="137"/>
  <c r="W49" i="118"/>
  <c r="AD54" i="137"/>
  <c r="X49" i="118"/>
  <c r="AE54" i="137"/>
  <c r="K56" i="137"/>
  <c r="K58" i="137"/>
  <c r="L58" i="137"/>
  <c r="M58" i="137"/>
  <c r="N58" i="137"/>
  <c r="O58" i="137"/>
  <c r="P58" i="137"/>
  <c r="Q58" i="137"/>
  <c r="R58" i="137"/>
  <c r="S58" i="137"/>
  <c r="T58" i="137"/>
  <c r="U58" i="137"/>
  <c r="V58" i="137"/>
  <c r="W58" i="137"/>
  <c r="X58" i="137"/>
  <c r="Y58" i="137"/>
  <c r="Z58" i="137"/>
  <c r="AA58" i="137"/>
  <c r="AB58" i="137"/>
  <c r="AC58" i="137"/>
  <c r="AD58" i="137"/>
  <c r="AE58" i="137"/>
  <c r="K61" i="137"/>
  <c r="L61" i="137"/>
  <c r="M61" i="137"/>
  <c r="K62" i="137"/>
  <c r="L62" i="137"/>
  <c r="M62" i="137"/>
  <c r="K63" i="137"/>
  <c r="L63" i="137"/>
  <c r="M63" i="137"/>
  <c r="K64" i="137"/>
  <c r="L64" i="137"/>
  <c r="M64" i="137"/>
  <c r="N64" i="137"/>
  <c r="O64" i="137"/>
  <c r="P64" i="137"/>
  <c r="Q64" i="137"/>
  <c r="R64" i="137"/>
  <c r="S64" i="137"/>
  <c r="T64" i="137"/>
  <c r="U64" i="137"/>
  <c r="V64" i="137"/>
  <c r="W64" i="137"/>
  <c r="X64" i="137"/>
  <c r="Y64" i="137"/>
  <c r="Z64" i="137"/>
  <c r="AA64" i="137"/>
  <c r="AB64" i="137"/>
  <c r="AC64" i="137"/>
  <c r="AD64" i="137"/>
  <c r="AE64" i="137"/>
  <c r="AF64" i="137"/>
  <c r="K65" i="137"/>
  <c r="L65" i="137"/>
  <c r="M65" i="137"/>
  <c r="N65" i="137"/>
  <c r="O65" i="137"/>
  <c r="P65" i="137"/>
  <c r="Q65" i="137"/>
  <c r="R65" i="137"/>
  <c r="S65" i="137"/>
  <c r="T65" i="137"/>
  <c r="U65" i="137"/>
  <c r="V65" i="137"/>
  <c r="W65" i="137"/>
  <c r="X65" i="137"/>
  <c r="Y65" i="137"/>
  <c r="Z65" i="137"/>
  <c r="AA65" i="137"/>
  <c r="AB65" i="137"/>
  <c r="AC65" i="137"/>
  <c r="AD65" i="137"/>
  <c r="AE65" i="137"/>
  <c r="AF65" i="137"/>
  <c r="K68" i="137"/>
  <c r="L68" i="137"/>
  <c r="M68" i="137"/>
  <c r="N68" i="137"/>
  <c r="O68" i="137"/>
  <c r="P68" i="137"/>
  <c r="Q68" i="137"/>
  <c r="R68" i="137"/>
  <c r="S68" i="137"/>
  <c r="T68" i="137"/>
  <c r="U68" i="137"/>
  <c r="V68" i="137"/>
  <c r="W68" i="137"/>
  <c r="X68" i="137"/>
  <c r="Y68" i="137"/>
  <c r="Z68" i="137"/>
  <c r="AA68" i="137"/>
  <c r="AB68" i="137"/>
  <c r="AC68" i="137"/>
  <c r="AD68" i="137"/>
  <c r="AE68" i="137"/>
  <c r="K69" i="137"/>
  <c r="L69" i="137"/>
  <c r="M69" i="137"/>
  <c r="N69" i="137"/>
  <c r="O69" i="137"/>
  <c r="P69" i="137"/>
  <c r="Q69" i="137"/>
  <c r="R69" i="137"/>
  <c r="S69" i="137"/>
  <c r="T69" i="137"/>
  <c r="U69" i="137"/>
  <c r="V69" i="137"/>
  <c r="W69" i="137"/>
  <c r="X69" i="137"/>
  <c r="Y69" i="137"/>
  <c r="Z69" i="137"/>
  <c r="AA69" i="137"/>
  <c r="AB69" i="137"/>
  <c r="AC69" i="137"/>
  <c r="AD69" i="137"/>
  <c r="AE69" i="137"/>
  <c r="K70" i="137"/>
  <c r="L70" i="137"/>
  <c r="M70" i="137"/>
  <c r="N70" i="137"/>
  <c r="O70" i="137"/>
  <c r="P70" i="137"/>
  <c r="Q70" i="137"/>
  <c r="R70" i="137"/>
  <c r="S70" i="137"/>
  <c r="T70" i="137"/>
  <c r="U70" i="137"/>
  <c r="V70" i="137"/>
  <c r="W70" i="137"/>
  <c r="X70" i="137"/>
  <c r="Y70" i="137"/>
  <c r="Z70" i="137"/>
  <c r="AA70" i="137"/>
  <c r="AB70" i="137"/>
  <c r="AC70" i="137"/>
  <c r="AD70" i="137"/>
  <c r="AE70" i="137"/>
  <c r="G27" i="118"/>
  <c r="N32" i="137"/>
  <c r="H27" i="118"/>
  <c r="O32" i="137"/>
  <c r="I27" i="118"/>
  <c r="P32" i="137"/>
  <c r="J27" i="118"/>
  <c r="Q32" i="137"/>
  <c r="K27" i="118"/>
  <c r="R32" i="137"/>
  <c r="L27" i="118"/>
  <c r="S32" i="137"/>
  <c r="M27" i="118"/>
  <c r="T32" i="137"/>
  <c r="N27" i="118"/>
  <c r="U32" i="137"/>
  <c r="O27" i="118"/>
  <c r="V32" i="137"/>
  <c r="P27" i="118"/>
  <c r="W32" i="137"/>
  <c r="Q27" i="118"/>
  <c r="X32" i="137"/>
  <c r="R27" i="118"/>
  <c r="Y32" i="137"/>
  <c r="S27" i="118"/>
  <c r="Z32" i="137"/>
  <c r="T27" i="118"/>
  <c r="AA32" i="137"/>
  <c r="U27" i="118"/>
  <c r="AB32" i="137"/>
  <c r="V27" i="118"/>
  <c r="AC32" i="137"/>
  <c r="W27" i="118"/>
  <c r="AD32" i="137"/>
  <c r="X27" i="118"/>
  <c r="AE32" i="137"/>
  <c r="E27" i="118"/>
  <c r="L32" i="137"/>
  <c r="B9" i="137"/>
  <c r="K176" i="137"/>
  <c r="K174" i="137"/>
  <c r="L174" i="137"/>
  <c r="L176" i="137"/>
  <c r="M152" i="137"/>
  <c r="L152" i="137"/>
  <c r="K149" i="137"/>
  <c r="L143" i="137"/>
  <c r="L142" i="137"/>
  <c r="K142" i="137"/>
  <c r="L140" i="137"/>
  <c r="K140" i="137"/>
  <c r="C140" i="137"/>
  <c r="F139" i="137"/>
  <c r="E139" i="137"/>
  <c r="D139" i="137"/>
  <c r="F138" i="137"/>
  <c r="E138" i="137"/>
  <c r="D138" i="137"/>
  <c r="F137" i="137"/>
  <c r="E137" i="137"/>
  <c r="D137" i="137"/>
  <c r="G136" i="137"/>
  <c r="H136" i="137"/>
  <c r="F136" i="137"/>
  <c r="E136" i="137"/>
  <c r="D136" i="137"/>
  <c r="H135" i="137"/>
  <c r="G135" i="137"/>
  <c r="F135" i="137"/>
  <c r="D135" i="137"/>
  <c r="L127" i="137"/>
  <c r="K127" i="137"/>
  <c r="L126" i="137"/>
  <c r="L125" i="137"/>
  <c r="K125" i="137"/>
  <c r="L123" i="137"/>
  <c r="K123" i="137"/>
  <c r="C123" i="137"/>
  <c r="F122" i="137"/>
  <c r="E122" i="137"/>
  <c r="G122" i="137"/>
  <c r="H122" i="137"/>
  <c r="D122" i="137"/>
  <c r="F121" i="137"/>
  <c r="E121" i="137"/>
  <c r="E123" i="137"/>
  <c r="D121" i="137"/>
  <c r="F120" i="137"/>
  <c r="F123" i="137"/>
  <c r="D120" i="137"/>
  <c r="K83" i="137"/>
  <c r="K82" i="137"/>
  <c r="L82" i="137"/>
  <c r="K81" i="137"/>
  <c r="K79" i="137"/>
  <c r="K112" i="137"/>
  <c r="K162" i="137"/>
  <c r="C79" i="137"/>
  <c r="F78" i="137"/>
  <c r="G78" i="137"/>
  <c r="E78" i="137"/>
  <c r="E79" i="137"/>
  <c r="D78" i="137"/>
  <c r="F77" i="137"/>
  <c r="G77" i="137"/>
  <c r="D77" i="137"/>
  <c r="F76" i="137"/>
  <c r="D76" i="137"/>
  <c r="A60" i="137"/>
  <c r="A28" i="137"/>
  <c r="A27" i="137"/>
  <c r="A25" i="137"/>
  <c r="A24" i="137"/>
  <c r="A23" i="137"/>
  <c r="A19" i="137"/>
  <c r="A18" i="137"/>
  <c r="A17" i="137"/>
  <c r="L11" i="137"/>
  <c r="K11" i="137"/>
  <c r="E4" i="137"/>
  <c r="A3" i="137"/>
  <c r="A2" i="137"/>
  <c r="A1" i="137"/>
  <c r="L17" i="136"/>
  <c r="L18" i="136"/>
  <c r="L19" i="136"/>
  <c r="L20" i="136"/>
  <c r="K28" i="136"/>
  <c r="L28" i="136"/>
  <c r="M28" i="136"/>
  <c r="N28" i="136"/>
  <c r="O28" i="136"/>
  <c r="P28" i="136"/>
  <c r="Q28" i="136"/>
  <c r="R28" i="136"/>
  <c r="S28" i="136"/>
  <c r="T28" i="136"/>
  <c r="U28" i="136"/>
  <c r="V28" i="136"/>
  <c r="W28" i="136"/>
  <c r="X28" i="136"/>
  <c r="Y28" i="136"/>
  <c r="Z28" i="136"/>
  <c r="AA28" i="136"/>
  <c r="AB28" i="136"/>
  <c r="AC28" i="136"/>
  <c r="AD28" i="136"/>
  <c r="AE28" i="136"/>
  <c r="K32" i="136"/>
  <c r="K33" i="136"/>
  <c r="L33" i="136"/>
  <c r="K34" i="136"/>
  <c r="L34" i="136"/>
  <c r="M34" i="136"/>
  <c r="N34" i="136"/>
  <c r="O34" i="136"/>
  <c r="P34" i="136"/>
  <c r="Q34" i="136"/>
  <c r="R34" i="136"/>
  <c r="S34" i="136"/>
  <c r="T34" i="136"/>
  <c r="U34" i="136"/>
  <c r="V34" i="136"/>
  <c r="W34" i="136"/>
  <c r="X34" i="136"/>
  <c r="Y34" i="136"/>
  <c r="Z34" i="136"/>
  <c r="AA34" i="136"/>
  <c r="AB34" i="136"/>
  <c r="AC34" i="136"/>
  <c r="AD34" i="136"/>
  <c r="AE34" i="136"/>
  <c r="K35" i="136"/>
  <c r="K36" i="136"/>
  <c r="L36" i="136"/>
  <c r="M36" i="136"/>
  <c r="N36" i="136"/>
  <c r="O36" i="136"/>
  <c r="P36" i="136"/>
  <c r="Q36" i="136"/>
  <c r="R36" i="136"/>
  <c r="S36" i="136"/>
  <c r="T36" i="136"/>
  <c r="U36" i="136"/>
  <c r="V36" i="136"/>
  <c r="W36" i="136"/>
  <c r="X36" i="136"/>
  <c r="Y36" i="136"/>
  <c r="Z36" i="136"/>
  <c r="AA36" i="136"/>
  <c r="AB36" i="136"/>
  <c r="AC36" i="136"/>
  <c r="AD36" i="136"/>
  <c r="AE36" i="136"/>
  <c r="K38" i="136"/>
  <c r="L38" i="136"/>
  <c r="K39" i="136"/>
  <c r="L39" i="136"/>
  <c r="M39" i="136"/>
  <c r="N39" i="136"/>
  <c r="O39" i="136"/>
  <c r="P39" i="136"/>
  <c r="Q39" i="136"/>
  <c r="R39" i="136"/>
  <c r="S39" i="136"/>
  <c r="T39" i="136"/>
  <c r="U39" i="136"/>
  <c r="V39" i="136"/>
  <c r="W39" i="136"/>
  <c r="X39" i="136"/>
  <c r="Y39" i="136"/>
  <c r="Z39" i="136"/>
  <c r="AA39" i="136"/>
  <c r="AB39" i="136"/>
  <c r="AC39" i="136"/>
  <c r="AD39" i="136"/>
  <c r="AE39" i="136"/>
  <c r="K40" i="136"/>
  <c r="K41" i="136"/>
  <c r="L41" i="136"/>
  <c r="M41" i="136"/>
  <c r="N41" i="136"/>
  <c r="O41" i="136"/>
  <c r="P41" i="136"/>
  <c r="Q41" i="136"/>
  <c r="R41" i="136"/>
  <c r="S41" i="136"/>
  <c r="T41" i="136"/>
  <c r="U41" i="136"/>
  <c r="V41" i="136"/>
  <c r="W41" i="136"/>
  <c r="X41" i="136"/>
  <c r="Y41" i="136"/>
  <c r="Z41" i="136"/>
  <c r="AA41" i="136"/>
  <c r="AB41" i="136"/>
  <c r="AC41" i="136"/>
  <c r="AD41" i="136"/>
  <c r="AE41" i="136"/>
  <c r="K42" i="136"/>
  <c r="L42" i="136"/>
  <c r="M42" i="136"/>
  <c r="N42" i="136"/>
  <c r="O42" i="136"/>
  <c r="P42" i="136"/>
  <c r="Q42" i="136"/>
  <c r="R42" i="136"/>
  <c r="S42" i="136"/>
  <c r="T42" i="136"/>
  <c r="U42" i="136"/>
  <c r="V42" i="136"/>
  <c r="W42" i="136"/>
  <c r="X42" i="136"/>
  <c r="Y42" i="136"/>
  <c r="Z42" i="136"/>
  <c r="AA42" i="136"/>
  <c r="AB42" i="136"/>
  <c r="AC42" i="136"/>
  <c r="AD42" i="136"/>
  <c r="AE42" i="136"/>
  <c r="K44" i="136"/>
  <c r="K47" i="136"/>
  <c r="K48" i="136"/>
  <c r="K49" i="136"/>
  <c r="K51" i="136"/>
  <c r="L51" i="136"/>
  <c r="M51" i="136"/>
  <c r="N51" i="136"/>
  <c r="O51" i="136"/>
  <c r="P51" i="136"/>
  <c r="Q51" i="136"/>
  <c r="R51" i="136"/>
  <c r="S51" i="136"/>
  <c r="T51" i="136"/>
  <c r="U51" i="136"/>
  <c r="V51" i="136"/>
  <c r="W51" i="136"/>
  <c r="X51" i="136"/>
  <c r="Y51" i="136"/>
  <c r="Z51" i="136"/>
  <c r="AA51" i="136"/>
  <c r="AB51" i="136"/>
  <c r="AC51" i="136"/>
  <c r="AD51" i="136"/>
  <c r="AE51" i="136"/>
  <c r="K52" i="136"/>
  <c r="L52" i="136"/>
  <c r="M52" i="136"/>
  <c r="N52" i="136"/>
  <c r="O52" i="136"/>
  <c r="P52" i="136"/>
  <c r="Q52" i="136"/>
  <c r="R52" i="136"/>
  <c r="S52" i="136"/>
  <c r="T52" i="136"/>
  <c r="U52" i="136"/>
  <c r="V52" i="136"/>
  <c r="W52" i="136"/>
  <c r="X52" i="136"/>
  <c r="Y52" i="136"/>
  <c r="Z52" i="136"/>
  <c r="AA52" i="136"/>
  <c r="AB52" i="136"/>
  <c r="AC52" i="136"/>
  <c r="AD52" i="136"/>
  <c r="AE52" i="136"/>
  <c r="K53" i="136"/>
  <c r="L53" i="136"/>
  <c r="M53" i="136"/>
  <c r="N53" i="136"/>
  <c r="O53" i="136"/>
  <c r="P53" i="136"/>
  <c r="Q53" i="136"/>
  <c r="R53" i="136"/>
  <c r="S53" i="136"/>
  <c r="T53" i="136"/>
  <c r="U53" i="136"/>
  <c r="V53" i="136"/>
  <c r="W53" i="136"/>
  <c r="X53" i="136"/>
  <c r="Y53" i="136"/>
  <c r="Z53" i="136"/>
  <c r="AA53" i="136"/>
  <c r="AB53" i="136"/>
  <c r="AC53" i="136"/>
  <c r="AD53" i="136"/>
  <c r="AE53" i="136"/>
  <c r="K54" i="136"/>
  <c r="L54" i="136"/>
  <c r="M54" i="136"/>
  <c r="N54" i="136"/>
  <c r="O54" i="136"/>
  <c r="P54" i="136"/>
  <c r="Q54" i="136"/>
  <c r="R54" i="136"/>
  <c r="S54" i="136"/>
  <c r="T54" i="136"/>
  <c r="U54" i="136"/>
  <c r="V54" i="136"/>
  <c r="W54" i="136"/>
  <c r="X54" i="136"/>
  <c r="Y54" i="136"/>
  <c r="Z54" i="136"/>
  <c r="AA54" i="136"/>
  <c r="AB54" i="136"/>
  <c r="AC54" i="136"/>
  <c r="AD54" i="136"/>
  <c r="AE54" i="136"/>
  <c r="K56" i="136"/>
  <c r="K58" i="136"/>
  <c r="L58" i="136"/>
  <c r="M58" i="136"/>
  <c r="N58" i="136"/>
  <c r="O58" i="136"/>
  <c r="P58" i="136"/>
  <c r="Q58" i="136"/>
  <c r="R58" i="136"/>
  <c r="S58" i="136"/>
  <c r="T58" i="136"/>
  <c r="U58" i="136"/>
  <c r="V58" i="136"/>
  <c r="W58" i="136"/>
  <c r="X58" i="136"/>
  <c r="Y58" i="136"/>
  <c r="Z58" i="136"/>
  <c r="AA58" i="136"/>
  <c r="AB58" i="136"/>
  <c r="AC58" i="136"/>
  <c r="AD58" i="136"/>
  <c r="AE58" i="136"/>
  <c r="K61" i="136"/>
  <c r="L61" i="136"/>
  <c r="M61" i="136"/>
  <c r="K62" i="136"/>
  <c r="L62" i="136"/>
  <c r="M62" i="136"/>
  <c r="K63" i="136"/>
  <c r="L63" i="136"/>
  <c r="M63" i="136"/>
  <c r="K64" i="136"/>
  <c r="L64" i="136"/>
  <c r="M64" i="136"/>
  <c r="N64" i="136"/>
  <c r="O64" i="136"/>
  <c r="P64" i="136"/>
  <c r="Q64" i="136"/>
  <c r="R64" i="136"/>
  <c r="S64" i="136"/>
  <c r="T64" i="136"/>
  <c r="U64" i="136"/>
  <c r="V64" i="136"/>
  <c r="W64" i="136"/>
  <c r="X64" i="136"/>
  <c r="Y64" i="136"/>
  <c r="Z64" i="136"/>
  <c r="AA64" i="136"/>
  <c r="AB64" i="136"/>
  <c r="AC64" i="136"/>
  <c r="AD64" i="136"/>
  <c r="AE64" i="136"/>
  <c r="AF64" i="136"/>
  <c r="K65" i="136"/>
  <c r="L65" i="136"/>
  <c r="M65" i="136"/>
  <c r="N65" i="136"/>
  <c r="O65" i="136"/>
  <c r="P65" i="136"/>
  <c r="Q65" i="136"/>
  <c r="R65" i="136"/>
  <c r="S65" i="136"/>
  <c r="T65" i="136"/>
  <c r="U65" i="136"/>
  <c r="V65" i="136"/>
  <c r="W65" i="136"/>
  <c r="X65" i="136"/>
  <c r="Y65" i="136"/>
  <c r="Z65" i="136"/>
  <c r="AA65" i="136"/>
  <c r="AB65" i="136"/>
  <c r="AC65" i="136"/>
  <c r="AD65" i="136"/>
  <c r="AE65" i="136"/>
  <c r="AF65" i="136"/>
  <c r="K68" i="136"/>
  <c r="L68" i="136"/>
  <c r="M68" i="136"/>
  <c r="N68" i="136"/>
  <c r="O68" i="136"/>
  <c r="P68" i="136"/>
  <c r="Q68" i="136"/>
  <c r="R68" i="136"/>
  <c r="S68" i="136"/>
  <c r="T68" i="136"/>
  <c r="U68" i="136"/>
  <c r="V68" i="136"/>
  <c r="W68" i="136"/>
  <c r="X68" i="136"/>
  <c r="Y68" i="136"/>
  <c r="Z68" i="136"/>
  <c r="AA68" i="136"/>
  <c r="AB68" i="136"/>
  <c r="AC68" i="136"/>
  <c r="AD68" i="136"/>
  <c r="AE68" i="136"/>
  <c r="K69" i="136"/>
  <c r="L69" i="136"/>
  <c r="M69" i="136"/>
  <c r="N69" i="136"/>
  <c r="O69" i="136"/>
  <c r="P69" i="136"/>
  <c r="Q69" i="136"/>
  <c r="R69" i="136"/>
  <c r="S69" i="136"/>
  <c r="T69" i="136"/>
  <c r="U69" i="136"/>
  <c r="V69" i="136"/>
  <c r="W69" i="136"/>
  <c r="X69" i="136"/>
  <c r="Y69" i="136"/>
  <c r="Z69" i="136"/>
  <c r="AA69" i="136"/>
  <c r="AB69" i="136"/>
  <c r="AC69" i="136"/>
  <c r="AD69" i="136"/>
  <c r="AE69" i="136"/>
  <c r="K70" i="136"/>
  <c r="L70" i="136"/>
  <c r="M70" i="136"/>
  <c r="N70" i="136"/>
  <c r="O70" i="136"/>
  <c r="P70" i="136"/>
  <c r="Q70" i="136"/>
  <c r="R70" i="136"/>
  <c r="S70" i="136"/>
  <c r="T70" i="136"/>
  <c r="U70" i="136"/>
  <c r="V70" i="136"/>
  <c r="W70" i="136"/>
  <c r="X70" i="136"/>
  <c r="Y70" i="136"/>
  <c r="Z70" i="136"/>
  <c r="AA70" i="136"/>
  <c r="AB70" i="136"/>
  <c r="AC70" i="136"/>
  <c r="AD70" i="136"/>
  <c r="AE70" i="136"/>
  <c r="G27" i="117"/>
  <c r="N32" i="136"/>
  <c r="H27" i="117"/>
  <c r="O32" i="136"/>
  <c r="I27" i="117"/>
  <c r="P32" i="136"/>
  <c r="J27" i="117"/>
  <c r="Q32" i="136"/>
  <c r="K27" i="117"/>
  <c r="R32" i="136"/>
  <c r="L27" i="117"/>
  <c r="S32" i="136"/>
  <c r="M27" i="117"/>
  <c r="T32" i="136"/>
  <c r="N27" i="117"/>
  <c r="U32" i="136"/>
  <c r="O27" i="117"/>
  <c r="V32" i="136"/>
  <c r="P27" i="117"/>
  <c r="W32" i="136"/>
  <c r="Q27" i="117"/>
  <c r="X32" i="136"/>
  <c r="R27" i="117"/>
  <c r="Y32" i="136"/>
  <c r="S27" i="117"/>
  <c r="Z32" i="136"/>
  <c r="T27" i="117"/>
  <c r="AA32" i="136"/>
  <c r="U27" i="117"/>
  <c r="AB32" i="136"/>
  <c r="V27" i="117"/>
  <c r="AC32" i="136"/>
  <c r="W27" i="117"/>
  <c r="AD32" i="136"/>
  <c r="X27" i="117"/>
  <c r="AE32" i="136"/>
  <c r="E27" i="117"/>
  <c r="L32" i="136"/>
  <c r="K176" i="136"/>
  <c r="K174" i="136"/>
  <c r="L174" i="136"/>
  <c r="L176" i="136"/>
  <c r="M152" i="136"/>
  <c r="L152" i="136"/>
  <c r="K149" i="136"/>
  <c r="L143" i="136"/>
  <c r="L142" i="136"/>
  <c r="K142" i="136"/>
  <c r="L140" i="136"/>
  <c r="K140" i="136"/>
  <c r="C140" i="136"/>
  <c r="F139" i="136"/>
  <c r="E139" i="136"/>
  <c r="D139" i="136"/>
  <c r="F138" i="136"/>
  <c r="E138" i="136"/>
  <c r="G138" i="136"/>
  <c r="H138" i="136"/>
  <c r="D138" i="136"/>
  <c r="F137" i="136"/>
  <c r="E137" i="136"/>
  <c r="G137" i="136"/>
  <c r="H137" i="136"/>
  <c r="D137" i="136"/>
  <c r="F136" i="136"/>
  <c r="G136" i="136"/>
  <c r="H136" i="136"/>
  <c r="E136" i="136"/>
  <c r="E140" i="136"/>
  <c r="D136" i="136"/>
  <c r="F135" i="136"/>
  <c r="D135" i="136"/>
  <c r="L127" i="136"/>
  <c r="K127" i="136"/>
  <c r="L126" i="136"/>
  <c r="L125" i="136"/>
  <c r="K125" i="136"/>
  <c r="L123" i="136"/>
  <c r="K123" i="136"/>
  <c r="C123" i="136"/>
  <c r="F122" i="136"/>
  <c r="G122" i="136"/>
  <c r="H122" i="136"/>
  <c r="E122" i="136"/>
  <c r="D122" i="136"/>
  <c r="F121" i="136"/>
  <c r="G121" i="136"/>
  <c r="H121" i="136"/>
  <c r="E121" i="136"/>
  <c r="E123" i="136"/>
  <c r="D121" i="136"/>
  <c r="F120" i="136"/>
  <c r="G120" i="136"/>
  <c r="D120" i="136"/>
  <c r="K83" i="136"/>
  <c r="L82" i="136"/>
  <c r="K81" i="136"/>
  <c r="K79" i="136"/>
  <c r="K112" i="136"/>
  <c r="K162" i="136"/>
  <c r="C79" i="136"/>
  <c r="F78" i="136"/>
  <c r="E78" i="136"/>
  <c r="D78" i="136"/>
  <c r="F77" i="136"/>
  <c r="G77" i="136"/>
  <c r="M77" i="136"/>
  <c r="D77" i="136"/>
  <c r="F76" i="136"/>
  <c r="F79" i="136"/>
  <c r="D76" i="136"/>
  <c r="A60" i="136"/>
  <c r="A28" i="136"/>
  <c r="A27" i="136"/>
  <c r="A25" i="136"/>
  <c r="A24" i="136"/>
  <c r="A23" i="136"/>
  <c r="A19" i="136"/>
  <c r="A18" i="136"/>
  <c r="A17" i="136"/>
  <c r="K11" i="136"/>
  <c r="E4" i="136"/>
  <c r="A3" i="136"/>
  <c r="A2" i="136"/>
  <c r="A1" i="136"/>
  <c r="XFD54" i="140"/>
  <c r="M122" i="139"/>
  <c r="M121" i="139"/>
  <c r="XFD54" i="138"/>
  <c r="L147" i="143"/>
  <c r="K90" i="143"/>
  <c r="XFD54" i="143"/>
  <c r="K88" i="143"/>
  <c r="K94" i="143"/>
  <c r="G122" i="143"/>
  <c r="H122" i="143"/>
  <c r="G136" i="143"/>
  <c r="H136" i="143"/>
  <c r="G78" i="143"/>
  <c r="M78" i="143"/>
  <c r="M83" i="143"/>
  <c r="G79" i="142"/>
  <c r="E80" i="142"/>
  <c r="E124" i="142"/>
  <c r="XFD54" i="142"/>
  <c r="G121" i="142"/>
  <c r="H121" i="142"/>
  <c r="K127" i="142"/>
  <c r="G138" i="142"/>
  <c r="H138" i="142"/>
  <c r="L147" i="142"/>
  <c r="L175" i="142"/>
  <c r="L177" i="142"/>
  <c r="M143" i="142"/>
  <c r="L155" i="141"/>
  <c r="L132" i="141"/>
  <c r="G79" i="141"/>
  <c r="G121" i="141"/>
  <c r="H121" i="141"/>
  <c r="L147" i="141"/>
  <c r="XFD54" i="141"/>
  <c r="L77" i="140"/>
  <c r="L80" i="140"/>
  <c r="F141" i="140"/>
  <c r="E141" i="140"/>
  <c r="L145" i="140"/>
  <c r="L155" i="140"/>
  <c r="F124" i="140"/>
  <c r="K127" i="140"/>
  <c r="K126" i="139"/>
  <c r="G138" i="139"/>
  <c r="H138" i="139"/>
  <c r="L146" i="139"/>
  <c r="XFD54" i="139"/>
  <c r="F140" i="139"/>
  <c r="E123" i="138"/>
  <c r="G122" i="138"/>
  <c r="H122" i="138"/>
  <c r="G137" i="138"/>
  <c r="H137" i="138"/>
  <c r="L144" i="138"/>
  <c r="G120" i="137"/>
  <c r="G121" i="137"/>
  <c r="H121" i="137"/>
  <c r="F140" i="137"/>
  <c r="F79" i="137"/>
  <c r="K126" i="137"/>
  <c r="G137" i="137"/>
  <c r="H137" i="137"/>
  <c r="L144" i="137"/>
  <c r="R96" i="136"/>
  <c r="K126" i="136"/>
  <c r="L35" i="136"/>
  <c r="F123" i="136"/>
  <c r="L144" i="136"/>
  <c r="M89" i="136"/>
  <c r="M96" i="136"/>
  <c r="M87" i="138"/>
  <c r="M92" i="136"/>
  <c r="M87" i="136"/>
  <c r="N77" i="143"/>
  <c r="M77" i="143"/>
  <c r="N78" i="143"/>
  <c r="N83" i="143"/>
  <c r="E80" i="143"/>
  <c r="G79" i="143"/>
  <c r="N76" i="143"/>
  <c r="M76" i="143"/>
  <c r="G80" i="143"/>
  <c r="F80" i="143"/>
  <c r="L82" i="143"/>
  <c r="L84" i="143"/>
  <c r="H121" i="143"/>
  <c r="G124" i="143"/>
  <c r="N151" i="143"/>
  <c r="N150" i="143"/>
  <c r="N153" i="143"/>
  <c r="R97" i="143"/>
  <c r="K135" i="105"/>
  <c r="M97" i="143"/>
  <c r="M93" i="143"/>
  <c r="F132" i="105"/>
  <c r="M88" i="143"/>
  <c r="F127" i="105"/>
  <c r="M90" i="143"/>
  <c r="F129" i="105"/>
  <c r="F134" i="105"/>
  <c r="M122" i="143"/>
  <c r="H141" i="143"/>
  <c r="M123" i="143"/>
  <c r="L132" i="143"/>
  <c r="G141" i="143"/>
  <c r="L130" i="143"/>
  <c r="E141" i="143"/>
  <c r="Q175" i="143"/>
  <c r="Q177" i="143"/>
  <c r="M76" i="142"/>
  <c r="G80" i="142"/>
  <c r="N77" i="142"/>
  <c r="L77" i="142"/>
  <c r="M77" i="142"/>
  <c r="N76" i="142"/>
  <c r="N78" i="142"/>
  <c r="N83" i="142"/>
  <c r="M78" i="142"/>
  <c r="M83" i="142"/>
  <c r="F80" i="142"/>
  <c r="N151" i="142"/>
  <c r="N150" i="142"/>
  <c r="R97" i="142"/>
  <c r="M97" i="142"/>
  <c r="M90" i="142"/>
  <c r="M88" i="142"/>
  <c r="K88" i="142"/>
  <c r="K89" i="142"/>
  <c r="H124" i="142"/>
  <c r="M93" i="142"/>
  <c r="L159" i="142"/>
  <c r="G141" i="142"/>
  <c r="E141" i="142"/>
  <c r="G137" i="142"/>
  <c r="H137" i="142"/>
  <c r="G124" i="142"/>
  <c r="H141" i="142"/>
  <c r="F141" i="142"/>
  <c r="N76" i="141"/>
  <c r="M76" i="141"/>
  <c r="N151" i="141"/>
  <c r="N150" i="141"/>
  <c r="R97" i="141"/>
  <c r="M97" i="141"/>
  <c r="M93" i="141"/>
  <c r="N77" i="141"/>
  <c r="K90" i="141"/>
  <c r="K89" i="141"/>
  <c r="K88" i="141"/>
  <c r="K94" i="141"/>
  <c r="K83" i="141"/>
  <c r="M88" i="141"/>
  <c r="E141" i="141"/>
  <c r="G137" i="141"/>
  <c r="H137" i="141"/>
  <c r="F80" i="141"/>
  <c r="L77" i="141"/>
  <c r="E80" i="141"/>
  <c r="G78" i="141"/>
  <c r="E124" i="141"/>
  <c r="H124" i="141"/>
  <c r="G124" i="141"/>
  <c r="F141" i="141"/>
  <c r="E80" i="140"/>
  <c r="G78" i="140"/>
  <c r="M76" i="140"/>
  <c r="G80" i="140"/>
  <c r="L82" i="140"/>
  <c r="L84" i="140"/>
  <c r="N76" i="140"/>
  <c r="F80" i="140"/>
  <c r="G141" i="140"/>
  <c r="N151" i="140"/>
  <c r="M90" i="140"/>
  <c r="M88" i="140"/>
  <c r="N150" i="140"/>
  <c r="R97" i="140"/>
  <c r="M97" i="140"/>
  <c r="M93" i="140"/>
  <c r="N77" i="140"/>
  <c r="K90" i="140"/>
  <c r="K89" i="140"/>
  <c r="K88" i="140"/>
  <c r="H141" i="140"/>
  <c r="E124" i="140"/>
  <c r="G122" i="140"/>
  <c r="L130" i="140"/>
  <c r="L132" i="140"/>
  <c r="G123" i="139"/>
  <c r="H120" i="139"/>
  <c r="E79" i="139"/>
  <c r="G78" i="139"/>
  <c r="M126" i="139"/>
  <c r="F79" i="139"/>
  <c r="G77" i="139"/>
  <c r="G79" i="139"/>
  <c r="E123" i="139"/>
  <c r="N76" i="139"/>
  <c r="K89" i="139"/>
  <c r="K88" i="139"/>
  <c r="K87" i="139"/>
  <c r="E140" i="139"/>
  <c r="G136" i="139"/>
  <c r="H136" i="139"/>
  <c r="N149" i="139"/>
  <c r="N150" i="139"/>
  <c r="N152" i="139"/>
  <c r="M89" i="139"/>
  <c r="F129" i="120"/>
  <c r="M87" i="139"/>
  <c r="F127" i="120"/>
  <c r="R96" i="139"/>
  <c r="K135" i="120"/>
  <c r="M96" i="139"/>
  <c r="F135" i="120"/>
  <c r="M92" i="139"/>
  <c r="F132" i="120"/>
  <c r="K82" i="139"/>
  <c r="L131" i="139"/>
  <c r="F134" i="120"/>
  <c r="H135" i="139"/>
  <c r="F123" i="139"/>
  <c r="L144" i="139"/>
  <c r="L174" i="139"/>
  <c r="L176" i="139"/>
  <c r="F79" i="138"/>
  <c r="G76" i="138"/>
  <c r="L91" i="138"/>
  <c r="L90" i="138"/>
  <c r="M125" i="138"/>
  <c r="L79" i="138"/>
  <c r="M77" i="138"/>
  <c r="N78" i="138"/>
  <c r="N82" i="138"/>
  <c r="K82" i="138"/>
  <c r="N77" i="138"/>
  <c r="L154" i="138"/>
  <c r="L146" i="138"/>
  <c r="N149" i="138"/>
  <c r="N150" i="138"/>
  <c r="K87" i="138"/>
  <c r="K88" i="138"/>
  <c r="M92" i="138"/>
  <c r="M96" i="138"/>
  <c r="R96" i="138"/>
  <c r="F140" i="138"/>
  <c r="G123" i="138"/>
  <c r="H135" i="138"/>
  <c r="E140" i="138"/>
  <c r="G139" i="138"/>
  <c r="H139" i="138"/>
  <c r="G138" i="138"/>
  <c r="H138" i="138"/>
  <c r="XFD54" i="137"/>
  <c r="XFD54" i="136"/>
  <c r="N78" i="137"/>
  <c r="N82" i="137"/>
  <c r="M78" i="137"/>
  <c r="M82" i="137"/>
  <c r="M77" i="137"/>
  <c r="L77" i="137"/>
  <c r="N77" i="137"/>
  <c r="N149" i="137"/>
  <c r="N150" i="137"/>
  <c r="R96" i="137"/>
  <c r="M96" i="137"/>
  <c r="M92" i="137"/>
  <c r="K87" i="137"/>
  <c r="K88" i="137"/>
  <c r="K89" i="137"/>
  <c r="M87" i="137"/>
  <c r="M89" i="137"/>
  <c r="G76" i="137"/>
  <c r="L154" i="137"/>
  <c r="L146" i="137"/>
  <c r="L129" i="137"/>
  <c r="L131" i="137"/>
  <c r="E140" i="137"/>
  <c r="G138" i="137"/>
  <c r="H138" i="137"/>
  <c r="G139" i="137"/>
  <c r="H139" i="137"/>
  <c r="N77" i="136"/>
  <c r="E79" i="136"/>
  <c r="G78" i="136"/>
  <c r="G123" i="136"/>
  <c r="H120" i="136"/>
  <c r="K82" i="136"/>
  <c r="K89" i="136"/>
  <c r="K88" i="136"/>
  <c r="K87" i="136"/>
  <c r="G76" i="136"/>
  <c r="L77" i="136"/>
  <c r="L154" i="136"/>
  <c r="L146" i="136"/>
  <c r="F140" i="136"/>
  <c r="N149" i="136"/>
  <c r="N150" i="136"/>
  <c r="L129" i="136"/>
  <c r="L131" i="136"/>
  <c r="G135" i="136"/>
  <c r="G139" i="136"/>
  <c r="H139" i="136"/>
  <c r="M143" i="136"/>
  <c r="F127" i="102"/>
  <c r="J127" i="102"/>
  <c r="O127" i="102"/>
  <c r="T127" i="102"/>
  <c r="E141" i="102"/>
  <c r="J134" i="102"/>
  <c r="E134" i="102"/>
  <c r="E133" i="102"/>
  <c r="E127" i="102"/>
  <c r="E128" i="102"/>
  <c r="E131" i="102"/>
  <c r="E126" i="102"/>
  <c r="L17" i="135"/>
  <c r="L18" i="135"/>
  <c r="L19" i="135"/>
  <c r="L20" i="135"/>
  <c r="K28" i="135"/>
  <c r="L28" i="135"/>
  <c r="M28" i="135"/>
  <c r="N28" i="135"/>
  <c r="O28" i="135"/>
  <c r="P28" i="135"/>
  <c r="Q28" i="135"/>
  <c r="R28" i="135"/>
  <c r="S28" i="135"/>
  <c r="T28" i="135"/>
  <c r="U28" i="135"/>
  <c r="V28" i="135"/>
  <c r="W28" i="135"/>
  <c r="X28" i="135"/>
  <c r="Y28" i="135"/>
  <c r="Z28" i="135"/>
  <c r="AA28" i="135"/>
  <c r="AB28" i="135"/>
  <c r="AC28" i="135"/>
  <c r="AD28" i="135"/>
  <c r="AE28" i="135"/>
  <c r="K32" i="135"/>
  <c r="K33" i="135"/>
  <c r="L33" i="135"/>
  <c r="K34" i="135"/>
  <c r="L34" i="135"/>
  <c r="M34" i="135"/>
  <c r="N34" i="135"/>
  <c r="O34" i="135"/>
  <c r="P34" i="135"/>
  <c r="Q34" i="135"/>
  <c r="R34" i="135"/>
  <c r="S34" i="135"/>
  <c r="T34" i="135"/>
  <c r="U34" i="135"/>
  <c r="V34" i="135"/>
  <c r="W34" i="135"/>
  <c r="X34" i="135"/>
  <c r="Y34" i="135"/>
  <c r="Z34" i="135"/>
  <c r="AA34" i="135"/>
  <c r="AB34" i="135"/>
  <c r="AC34" i="135"/>
  <c r="AD34" i="135"/>
  <c r="AE34" i="135"/>
  <c r="K35" i="135"/>
  <c r="L35" i="135"/>
  <c r="K36" i="135"/>
  <c r="L36" i="135"/>
  <c r="M36" i="135"/>
  <c r="N36" i="135"/>
  <c r="O36" i="135"/>
  <c r="P36" i="135"/>
  <c r="Q36" i="135"/>
  <c r="R36" i="135"/>
  <c r="S36" i="135"/>
  <c r="T36" i="135"/>
  <c r="U36" i="135"/>
  <c r="V36" i="135"/>
  <c r="W36" i="135"/>
  <c r="X36" i="135"/>
  <c r="Y36" i="135"/>
  <c r="Z36" i="135"/>
  <c r="AA36" i="135"/>
  <c r="AB36" i="135"/>
  <c r="AC36" i="135"/>
  <c r="AD36" i="135"/>
  <c r="AE36" i="135"/>
  <c r="K38" i="135"/>
  <c r="L38" i="135"/>
  <c r="K39" i="135"/>
  <c r="L39" i="135"/>
  <c r="M39" i="135"/>
  <c r="N39" i="135"/>
  <c r="O39" i="135"/>
  <c r="P39" i="135"/>
  <c r="Q39" i="135"/>
  <c r="R39" i="135"/>
  <c r="S39" i="135"/>
  <c r="T39" i="135"/>
  <c r="U39" i="135"/>
  <c r="V39" i="135"/>
  <c r="W39" i="135"/>
  <c r="X39" i="135"/>
  <c r="Y39" i="135"/>
  <c r="Z39" i="135"/>
  <c r="AA39" i="135"/>
  <c r="AB39" i="135"/>
  <c r="AC39" i="135"/>
  <c r="AD39" i="135"/>
  <c r="AE39" i="135"/>
  <c r="K40" i="135"/>
  <c r="K41" i="135"/>
  <c r="L41" i="135"/>
  <c r="M41" i="135"/>
  <c r="N41" i="135"/>
  <c r="O41" i="135"/>
  <c r="P41" i="135"/>
  <c r="Q41" i="135"/>
  <c r="R41" i="135"/>
  <c r="S41" i="135"/>
  <c r="T41" i="135"/>
  <c r="U41" i="135"/>
  <c r="V41" i="135"/>
  <c r="W41" i="135"/>
  <c r="X41" i="135"/>
  <c r="Y41" i="135"/>
  <c r="Z41" i="135"/>
  <c r="AA41" i="135"/>
  <c r="AB41" i="135"/>
  <c r="AC41" i="135"/>
  <c r="AD41" i="135"/>
  <c r="AE41" i="135"/>
  <c r="K42" i="135"/>
  <c r="L42" i="135"/>
  <c r="M42" i="135"/>
  <c r="N42" i="135"/>
  <c r="O42" i="135"/>
  <c r="P42" i="135"/>
  <c r="Q42" i="135"/>
  <c r="R42" i="135"/>
  <c r="S42" i="135"/>
  <c r="T42" i="135"/>
  <c r="U42" i="135"/>
  <c r="V42" i="135"/>
  <c r="W42" i="135"/>
  <c r="X42" i="135"/>
  <c r="Y42" i="135"/>
  <c r="Z42" i="135"/>
  <c r="AA42" i="135"/>
  <c r="AB42" i="135"/>
  <c r="AC42" i="135"/>
  <c r="AD42" i="135"/>
  <c r="AE42" i="135"/>
  <c r="K44" i="135"/>
  <c r="K47" i="135"/>
  <c r="K48" i="135"/>
  <c r="K49" i="135"/>
  <c r="K51" i="135"/>
  <c r="L51" i="135"/>
  <c r="M51" i="135"/>
  <c r="N51" i="135"/>
  <c r="O51" i="135"/>
  <c r="P51" i="135"/>
  <c r="Q51" i="135"/>
  <c r="R51" i="135"/>
  <c r="S51" i="135"/>
  <c r="T51" i="135"/>
  <c r="U51" i="135"/>
  <c r="V51" i="135"/>
  <c r="W51" i="135"/>
  <c r="X51" i="135"/>
  <c r="Y51" i="135"/>
  <c r="Z51" i="135"/>
  <c r="AA51" i="135"/>
  <c r="AB51" i="135"/>
  <c r="AC51" i="135"/>
  <c r="AD51" i="135"/>
  <c r="AE51" i="135"/>
  <c r="K52" i="135"/>
  <c r="L52" i="135"/>
  <c r="M52" i="135"/>
  <c r="N52" i="135"/>
  <c r="O52" i="135"/>
  <c r="P52" i="135"/>
  <c r="Q52" i="135"/>
  <c r="R52" i="135"/>
  <c r="S52" i="135"/>
  <c r="T52" i="135"/>
  <c r="U52" i="135"/>
  <c r="V52" i="135"/>
  <c r="W52" i="135"/>
  <c r="X52" i="135"/>
  <c r="Y52" i="135"/>
  <c r="Z52" i="135"/>
  <c r="AA52" i="135"/>
  <c r="AB52" i="135"/>
  <c r="AC52" i="135"/>
  <c r="AD52" i="135"/>
  <c r="AE52" i="135"/>
  <c r="K53" i="135"/>
  <c r="L53" i="135"/>
  <c r="M53" i="135"/>
  <c r="N53" i="135"/>
  <c r="O53" i="135"/>
  <c r="P53" i="135"/>
  <c r="Q53" i="135"/>
  <c r="R53" i="135"/>
  <c r="S53" i="135"/>
  <c r="T53" i="135"/>
  <c r="U53" i="135"/>
  <c r="V53" i="135"/>
  <c r="W53" i="135"/>
  <c r="X53" i="135"/>
  <c r="Y53" i="135"/>
  <c r="Z53" i="135"/>
  <c r="AA53" i="135"/>
  <c r="AB53" i="135"/>
  <c r="AC53" i="135"/>
  <c r="AD53" i="135"/>
  <c r="AE53" i="135"/>
  <c r="K54" i="135"/>
  <c r="L54" i="135"/>
  <c r="M54" i="135"/>
  <c r="N54" i="135"/>
  <c r="O54" i="135"/>
  <c r="P54" i="135"/>
  <c r="Q54" i="135"/>
  <c r="R54" i="135"/>
  <c r="S54" i="135"/>
  <c r="T54" i="135"/>
  <c r="U54" i="135"/>
  <c r="V54" i="135"/>
  <c r="W54" i="135"/>
  <c r="X54" i="135"/>
  <c r="Y54" i="135"/>
  <c r="Z54" i="135"/>
  <c r="AA54" i="135"/>
  <c r="AB54" i="135"/>
  <c r="AC54" i="135"/>
  <c r="AD54" i="135"/>
  <c r="AE54" i="135"/>
  <c r="K56" i="135"/>
  <c r="K58" i="135"/>
  <c r="L58" i="135"/>
  <c r="M58" i="135"/>
  <c r="N58" i="135"/>
  <c r="O58" i="135"/>
  <c r="P58" i="135"/>
  <c r="Q58" i="135"/>
  <c r="R58" i="135"/>
  <c r="S58" i="135"/>
  <c r="T58" i="135"/>
  <c r="U58" i="135"/>
  <c r="V58" i="135"/>
  <c r="W58" i="135"/>
  <c r="X58" i="135"/>
  <c r="Y58" i="135"/>
  <c r="Z58" i="135"/>
  <c r="AA58" i="135"/>
  <c r="AB58" i="135"/>
  <c r="AC58" i="135"/>
  <c r="AD58" i="135"/>
  <c r="AE58" i="135"/>
  <c r="K61" i="135"/>
  <c r="L61" i="135"/>
  <c r="M61" i="135"/>
  <c r="K62" i="135"/>
  <c r="L62" i="135"/>
  <c r="M62" i="135"/>
  <c r="K63" i="135"/>
  <c r="L63" i="135"/>
  <c r="M63" i="135"/>
  <c r="K64" i="135"/>
  <c r="L64" i="135"/>
  <c r="M64" i="135"/>
  <c r="N64" i="135"/>
  <c r="O64" i="135"/>
  <c r="P64" i="135"/>
  <c r="Q64" i="135"/>
  <c r="R64" i="135"/>
  <c r="S64" i="135"/>
  <c r="T64" i="135"/>
  <c r="U64" i="135"/>
  <c r="V64" i="135"/>
  <c r="W64" i="135"/>
  <c r="X64" i="135"/>
  <c r="Y64" i="135"/>
  <c r="Z64" i="135"/>
  <c r="AA64" i="135"/>
  <c r="AB64" i="135"/>
  <c r="AC64" i="135"/>
  <c r="AD64" i="135"/>
  <c r="AE64" i="135"/>
  <c r="AF64" i="135"/>
  <c r="K65" i="135"/>
  <c r="L65" i="135"/>
  <c r="M65" i="135"/>
  <c r="N65" i="135"/>
  <c r="O65" i="135"/>
  <c r="P65" i="135"/>
  <c r="Q65" i="135"/>
  <c r="R65" i="135"/>
  <c r="S65" i="135"/>
  <c r="T65" i="135"/>
  <c r="U65" i="135"/>
  <c r="V65" i="135"/>
  <c r="W65" i="135"/>
  <c r="X65" i="135"/>
  <c r="Y65" i="135"/>
  <c r="Z65" i="135"/>
  <c r="AA65" i="135"/>
  <c r="AB65" i="135"/>
  <c r="AC65" i="135"/>
  <c r="AD65" i="135"/>
  <c r="AE65" i="135"/>
  <c r="AF65" i="135"/>
  <c r="K68" i="135"/>
  <c r="L68" i="135"/>
  <c r="M68" i="135"/>
  <c r="N68" i="135"/>
  <c r="O68" i="135"/>
  <c r="P68" i="135"/>
  <c r="Q68" i="135"/>
  <c r="R68" i="135"/>
  <c r="S68" i="135"/>
  <c r="T68" i="135"/>
  <c r="U68" i="135"/>
  <c r="V68" i="135"/>
  <c r="W68" i="135"/>
  <c r="X68" i="135"/>
  <c r="Y68" i="135"/>
  <c r="Z68" i="135"/>
  <c r="AA68" i="135"/>
  <c r="AB68" i="135"/>
  <c r="AC68" i="135"/>
  <c r="AD68" i="135"/>
  <c r="AE68" i="135"/>
  <c r="K69" i="135"/>
  <c r="L69" i="135"/>
  <c r="M69" i="135"/>
  <c r="N69" i="135"/>
  <c r="O69" i="135"/>
  <c r="P69" i="135"/>
  <c r="Q69" i="135"/>
  <c r="R69" i="135"/>
  <c r="S69" i="135"/>
  <c r="T69" i="135"/>
  <c r="U69" i="135"/>
  <c r="V69" i="135"/>
  <c r="W69" i="135"/>
  <c r="X69" i="135"/>
  <c r="Y69" i="135"/>
  <c r="Z69" i="135"/>
  <c r="AA69" i="135"/>
  <c r="AB69" i="135"/>
  <c r="AC69" i="135"/>
  <c r="AD69" i="135"/>
  <c r="AE69" i="135"/>
  <c r="K70" i="135"/>
  <c r="L70" i="135"/>
  <c r="M70" i="135"/>
  <c r="N70" i="135"/>
  <c r="O70" i="135"/>
  <c r="P70" i="135"/>
  <c r="Q70" i="135"/>
  <c r="R70" i="135"/>
  <c r="S70" i="135"/>
  <c r="T70" i="135"/>
  <c r="U70" i="135"/>
  <c r="V70" i="135"/>
  <c r="W70" i="135"/>
  <c r="X70" i="135"/>
  <c r="Y70" i="135"/>
  <c r="Z70" i="135"/>
  <c r="AA70" i="135"/>
  <c r="AB70" i="135"/>
  <c r="AC70" i="135"/>
  <c r="AD70" i="135"/>
  <c r="AE70" i="135"/>
  <c r="K177" i="135"/>
  <c r="M175" i="135"/>
  <c r="M177" i="135"/>
  <c r="K175" i="135"/>
  <c r="L175" i="135"/>
  <c r="L177" i="135"/>
  <c r="M153" i="135"/>
  <c r="L153" i="135"/>
  <c r="K150" i="135"/>
  <c r="L144" i="135"/>
  <c r="L143" i="135"/>
  <c r="L145" i="135"/>
  <c r="K143" i="135"/>
  <c r="L141" i="135"/>
  <c r="L155" i="135"/>
  <c r="K141" i="135"/>
  <c r="C141" i="135"/>
  <c r="F140" i="135"/>
  <c r="E140" i="135"/>
  <c r="G140" i="135"/>
  <c r="H140" i="135"/>
  <c r="D140" i="135"/>
  <c r="F139" i="135"/>
  <c r="E139" i="135"/>
  <c r="D139" i="135"/>
  <c r="F138" i="135"/>
  <c r="G138" i="135"/>
  <c r="H138" i="135"/>
  <c r="E138" i="135"/>
  <c r="D138" i="135"/>
  <c r="F137" i="135"/>
  <c r="G137" i="135"/>
  <c r="H137" i="135"/>
  <c r="E137" i="135"/>
  <c r="D137" i="135"/>
  <c r="F136" i="135"/>
  <c r="F141" i="135"/>
  <c r="D136" i="135"/>
  <c r="L128" i="135"/>
  <c r="K128" i="135"/>
  <c r="K127" i="135"/>
  <c r="L127" i="135"/>
  <c r="L126" i="135"/>
  <c r="K126" i="135"/>
  <c r="L124" i="135"/>
  <c r="K124" i="135"/>
  <c r="C124" i="135"/>
  <c r="F123" i="135"/>
  <c r="G123" i="135"/>
  <c r="H123" i="135"/>
  <c r="E123" i="135"/>
  <c r="D123" i="135"/>
  <c r="F122" i="135"/>
  <c r="G122" i="135"/>
  <c r="H122" i="135"/>
  <c r="E122" i="135"/>
  <c r="E124" i="135"/>
  <c r="D122" i="135"/>
  <c r="F121" i="135"/>
  <c r="F124" i="135"/>
  <c r="D121" i="135"/>
  <c r="L99" i="135"/>
  <c r="J126" i="102"/>
  <c r="K88" i="135"/>
  <c r="K84" i="135"/>
  <c r="K90" i="135"/>
  <c r="L83" i="135"/>
  <c r="K82" i="135"/>
  <c r="K83" i="135"/>
  <c r="K80" i="135"/>
  <c r="K113" i="135"/>
  <c r="K163" i="135"/>
  <c r="C80" i="135"/>
  <c r="F79" i="135"/>
  <c r="E79" i="135"/>
  <c r="D79" i="135"/>
  <c r="F78" i="135"/>
  <c r="E78" i="135"/>
  <c r="D78" i="135"/>
  <c r="F77" i="135"/>
  <c r="G77" i="135"/>
  <c r="D77" i="135"/>
  <c r="F76" i="135"/>
  <c r="G76" i="135"/>
  <c r="D76" i="135"/>
  <c r="A60" i="135"/>
  <c r="A28" i="135"/>
  <c r="A27" i="135"/>
  <c r="A25" i="135"/>
  <c r="A24" i="135"/>
  <c r="A23" i="135"/>
  <c r="A19" i="135"/>
  <c r="A18" i="135"/>
  <c r="A17" i="135"/>
  <c r="L11" i="135"/>
  <c r="M93" i="135"/>
  <c r="F131" i="102"/>
  <c r="K11" i="135"/>
  <c r="E4" i="135"/>
  <c r="A3" i="135"/>
  <c r="A2" i="135"/>
  <c r="A1" i="135"/>
  <c r="G27" i="102"/>
  <c r="N32" i="135"/>
  <c r="H27" i="102"/>
  <c r="O32" i="135"/>
  <c r="I27" i="102"/>
  <c r="P32" i="135"/>
  <c r="J27" i="102"/>
  <c r="Q32" i="135"/>
  <c r="K27" i="102"/>
  <c r="R32" i="135"/>
  <c r="L27" i="102"/>
  <c r="S32" i="135"/>
  <c r="M27" i="102"/>
  <c r="T32" i="135"/>
  <c r="N27" i="102"/>
  <c r="U32" i="135"/>
  <c r="O27" i="102"/>
  <c r="V32" i="135"/>
  <c r="P27" i="102"/>
  <c r="W32" i="135"/>
  <c r="Q27" i="102"/>
  <c r="X32" i="135"/>
  <c r="R27" i="102"/>
  <c r="Y32" i="135"/>
  <c r="S27" i="102"/>
  <c r="Z32" i="135"/>
  <c r="T27" i="102"/>
  <c r="AA32" i="135"/>
  <c r="U27" i="102"/>
  <c r="AB32" i="135"/>
  <c r="V27" i="102"/>
  <c r="AC32" i="135"/>
  <c r="W27" i="102"/>
  <c r="AD32" i="135"/>
  <c r="X27" i="102"/>
  <c r="AE32" i="135"/>
  <c r="E27" i="102"/>
  <c r="L32" i="135"/>
  <c r="L17" i="134"/>
  <c r="L18" i="134"/>
  <c r="L19" i="134"/>
  <c r="L20" i="134"/>
  <c r="K28" i="134"/>
  <c r="L28" i="134"/>
  <c r="M28" i="134"/>
  <c r="N28" i="134"/>
  <c r="O28" i="134"/>
  <c r="P28" i="134"/>
  <c r="Q28" i="134"/>
  <c r="R28" i="134"/>
  <c r="S28" i="134"/>
  <c r="T28" i="134"/>
  <c r="U28" i="134"/>
  <c r="V28" i="134"/>
  <c r="W28" i="134"/>
  <c r="X28" i="134"/>
  <c r="Y28" i="134"/>
  <c r="Z28" i="134"/>
  <c r="AA28" i="134"/>
  <c r="AB28" i="134"/>
  <c r="AC28" i="134"/>
  <c r="AD28" i="134"/>
  <c r="AE28" i="134"/>
  <c r="K32" i="134"/>
  <c r="K33" i="134"/>
  <c r="L33" i="134"/>
  <c r="K34" i="134"/>
  <c r="L34" i="134"/>
  <c r="M34" i="134"/>
  <c r="N34" i="134"/>
  <c r="O34" i="134"/>
  <c r="P34" i="134"/>
  <c r="Q34" i="134"/>
  <c r="R34" i="134"/>
  <c r="S34" i="134"/>
  <c r="T34" i="134"/>
  <c r="U34" i="134"/>
  <c r="V34" i="134"/>
  <c r="W34" i="134"/>
  <c r="X34" i="134"/>
  <c r="Y34" i="134"/>
  <c r="Z34" i="134"/>
  <c r="AA34" i="134"/>
  <c r="AB34" i="134"/>
  <c r="AC34" i="134"/>
  <c r="AD34" i="134"/>
  <c r="AE34" i="134"/>
  <c r="K35" i="134"/>
  <c r="L35" i="134"/>
  <c r="K36" i="134"/>
  <c r="L36" i="134"/>
  <c r="M36" i="134"/>
  <c r="N36" i="134"/>
  <c r="O36" i="134"/>
  <c r="P36" i="134"/>
  <c r="Q36" i="134"/>
  <c r="R36" i="134"/>
  <c r="S36" i="134"/>
  <c r="T36" i="134"/>
  <c r="U36" i="134"/>
  <c r="V36" i="134"/>
  <c r="W36" i="134"/>
  <c r="X36" i="134"/>
  <c r="Y36" i="134"/>
  <c r="Z36" i="134"/>
  <c r="AA36" i="134"/>
  <c r="AB36" i="134"/>
  <c r="AC36" i="134"/>
  <c r="AD36" i="134"/>
  <c r="AE36" i="134"/>
  <c r="K38" i="134"/>
  <c r="L38" i="134"/>
  <c r="K39" i="134"/>
  <c r="L39" i="134"/>
  <c r="M39" i="134"/>
  <c r="N39" i="134"/>
  <c r="O39" i="134"/>
  <c r="P39" i="134"/>
  <c r="Q39" i="134"/>
  <c r="R39" i="134"/>
  <c r="S39" i="134"/>
  <c r="T39" i="134"/>
  <c r="U39" i="134"/>
  <c r="V39" i="134"/>
  <c r="W39" i="134"/>
  <c r="X39" i="134"/>
  <c r="Y39" i="134"/>
  <c r="Z39" i="134"/>
  <c r="AA39" i="134"/>
  <c r="AB39" i="134"/>
  <c r="AC39" i="134"/>
  <c r="AD39" i="134"/>
  <c r="AE39" i="134"/>
  <c r="K40" i="134"/>
  <c r="K41" i="134"/>
  <c r="L41" i="134"/>
  <c r="M41" i="134"/>
  <c r="N41" i="134"/>
  <c r="O41" i="134"/>
  <c r="P41" i="134"/>
  <c r="Q41" i="134"/>
  <c r="R41" i="134"/>
  <c r="S41" i="134"/>
  <c r="T41" i="134"/>
  <c r="U41" i="134"/>
  <c r="V41" i="134"/>
  <c r="W41" i="134"/>
  <c r="X41" i="134"/>
  <c r="Y41" i="134"/>
  <c r="Z41" i="134"/>
  <c r="AA41" i="134"/>
  <c r="AB41" i="134"/>
  <c r="AC41" i="134"/>
  <c r="AD41" i="134"/>
  <c r="AE41" i="134"/>
  <c r="K42" i="134"/>
  <c r="L42" i="134"/>
  <c r="M42" i="134"/>
  <c r="N42" i="134"/>
  <c r="O42" i="134"/>
  <c r="P42" i="134"/>
  <c r="Q42" i="134"/>
  <c r="R42" i="134"/>
  <c r="S42" i="134"/>
  <c r="T42" i="134"/>
  <c r="U42" i="134"/>
  <c r="V42" i="134"/>
  <c r="W42" i="134"/>
  <c r="X42" i="134"/>
  <c r="Y42" i="134"/>
  <c r="Z42" i="134"/>
  <c r="AA42" i="134"/>
  <c r="AB42" i="134"/>
  <c r="AC42" i="134"/>
  <c r="AD42" i="134"/>
  <c r="AE42" i="134"/>
  <c r="K44" i="134"/>
  <c r="K47" i="134"/>
  <c r="K48" i="134"/>
  <c r="K49" i="134"/>
  <c r="K51" i="134"/>
  <c r="L51" i="134"/>
  <c r="M51" i="134"/>
  <c r="N51" i="134"/>
  <c r="O51" i="134"/>
  <c r="P51" i="134"/>
  <c r="Q51" i="134"/>
  <c r="R51" i="134"/>
  <c r="S51" i="134"/>
  <c r="T51" i="134"/>
  <c r="U51" i="134"/>
  <c r="V51" i="134"/>
  <c r="W51" i="134"/>
  <c r="X51" i="134"/>
  <c r="Y51" i="134"/>
  <c r="Z51" i="134"/>
  <c r="AA51" i="134"/>
  <c r="AB51" i="134"/>
  <c r="AC51" i="134"/>
  <c r="AD51" i="134"/>
  <c r="AE51" i="134"/>
  <c r="K52" i="134"/>
  <c r="L52" i="134"/>
  <c r="M52" i="134"/>
  <c r="N52" i="134"/>
  <c r="O52" i="134"/>
  <c r="P52" i="134"/>
  <c r="Q52" i="134"/>
  <c r="R52" i="134"/>
  <c r="S52" i="134"/>
  <c r="T52" i="134"/>
  <c r="U52" i="134"/>
  <c r="V52" i="134"/>
  <c r="W52" i="134"/>
  <c r="X52" i="134"/>
  <c r="Y52" i="134"/>
  <c r="Z52" i="134"/>
  <c r="AA52" i="134"/>
  <c r="AB52" i="134"/>
  <c r="AC52" i="134"/>
  <c r="AD52" i="134"/>
  <c r="AE52" i="134"/>
  <c r="K53" i="134"/>
  <c r="L53" i="134"/>
  <c r="M53" i="134"/>
  <c r="N53" i="134"/>
  <c r="O53" i="134"/>
  <c r="P53" i="134"/>
  <c r="Q53" i="134"/>
  <c r="R53" i="134"/>
  <c r="S53" i="134"/>
  <c r="T53" i="134"/>
  <c r="U53" i="134"/>
  <c r="V53" i="134"/>
  <c r="W53" i="134"/>
  <c r="X53" i="134"/>
  <c r="Y53" i="134"/>
  <c r="Z53" i="134"/>
  <c r="AA53" i="134"/>
  <c r="AB53" i="134"/>
  <c r="AC53" i="134"/>
  <c r="AD53" i="134"/>
  <c r="AE53" i="134"/>
  <c r="K54" i="134"/>
  <c r="L54" i="134"/>
  <c r="M54" i="134"/>
  <c r="N54" i="134"/>
  <c r="O54" i="134"/>
  <c r="P54" i="134"/>
  <c r="Q54" i="134"/>
  <c r="R54" i="134"/>
  <c r="S54" i="134"/>
  <c r="T54" i="134"/>
  <c r="U54" i="134"/>
  <c r="V54" i="134"/>
  <c r="W54" i="134"/>
  <c r="X54" i="134"/>
  <c r="Y54" i="134"/>
  <c r="Z54" i="134"/>
  <c r="AA54" i="134"/>
  <c r="AB54" i="134"/>
  <c r="AC54" i="134"/>
  <c r="AD54" i="134"/>
  <c r="AE54" i="134"/>
  <c r="K56" i="134"/>
  <c r="K58" i="134"/>
  <c r="L58" i="134"/>
  <c r="M58" i="134"/>
  <c r="N58" i="134"/>
  <c r="O58" i="134"/>
  <c r="P58" i="134"/>
  <c r="Q58" i="134"/>
  <c r="R58" i="134"/>
  <c r="S58" i="134"/>
  <c r="T58" i="134"/>
  <c r="U58" i="134"/>
  <c r="V58" i="134"/>
  <c r="W58" i="134"/>
  <c r="X58" i="134"/>
  <c r="Y58" i="134"/>
  <c r="Z58" i="134"/>
  <c r="AA58" i="134"/>
  <c r="AB58" i="134"/>
  <c r="AC58" i="134"/>
  <c r="AD58" i="134"/>
  <c r="AE58" i="134"/>
  <c r="K61" i="134"/>
  <c r="L61" i="134"/>
  <c r="M61" i="134"/>
  <c r="K62" i="134"/>
  <c r="L62" i="134"/>
  <c r="M62" i="134"/>
  <c r="K63" i="134"/>
  <c r="L63" i="134"/>
  <c r="M63" i="134"/>
  <c r="K64" i="134"/>
  <c r="L64" i="134"/>
  <c r="M64" i="134"/>
  <c r="N64" i="134"/>
  <c r="O64" i="134"/>
  <c r="P64" i="134"/>
  <c r="Q64" i="134"/>
  <c r="R64" i="134"/>
  <c r="S64" i="134"/>
  <c r="T64" i="134"/>
  <c r="U64" i="134"/>
  <c r="V64" i="134"/>
  <c r="W64" i="134"/>
  <c r="X64" i="134"/>
  <c r="Y64" i="134"/>
  <c r="Z64" i="134"/>
  <c r="AA64" i="134"/>
  <c r="AB64" i="134"/>
  <c r="AC64" i="134"/>
  <c r="AD64" i="134"/>
  <c r="AE64" i="134"/>
  <c r="AF64" i="134"/>
  <c r="K65" i="134"/>
  <c r="L65" i="134"/>
  <c r="M65" i="134"/>
  <c r="N65" i="134"/>
  <c r="O65" i="134"/>
  <c r="P65" i="134"/>
  <c r="Q65" i="134"/>
  <c r="R65" i="134"/>
  <c r="S65" i="134"/>
  <c r="T65" i="134"/>
  <c r="U65" i="134"/>
  <c r="V65" i="134"/>
  <c r="W65" i="134"/>
  <c r="X65" i="134"/>
  <c r="Y65" i="134"/>
  <c r="Z65" i="134"/>
  <c r="AA65" i="134"/>
  <c r="AB65" i="134"/>
  <c r="AC65" i="134"/>
  <c r="AD65" i="134"/>
  <c r="AE65" i="134"/>
  <c r="AF65" i="134"/>
  <c r="K68" i="134"/>
  <c r="L68" i="134"/>
  <c r="M68" i="134"/>
  <c r="N68" i="134"/>
  <c r="O68" i="134"/>
  <c r="P68" i="134"/>
  <c r="Q68" i="134"/>
  <c r="R68" i="134"/>
  <c r="S68" i="134"/>
  <c r="T68" i="134"/>
  <c r="U68" i="134"/>
  <c r="V68" i="134"/>
  <c r="W68" i="134"/>
  <c r="X68" i="134"/>
  <c r="Y68" i="134"/>
  <c r="Z68" i="134"/>
  <c r="AA68" i="134"/>
  <c r="AB68" i="134"/>
  <c r="AC68" i="134"/>
  <c r="AD68" i="134"/>
  <c r="AE68" i="134"/>
  <c r="K69" i="134"/>
  <c r="L69" i="134"/>
  <c r="M69" i="134"/>
  <c r="N69" i="134"/>
  <c r="O69" i="134"/>
  <c r="P69" i="134"/>
  <c r="Q69" i="134"/>
  <c r="R69" i="134"/>
  <c r="S69" i="134"/>
  <c r="T69" i="134"/>
  <c r="U69" i="134"/>
  <c r="V69" i="134"/>
  <c r="W69" i="134"/>
  <c r="X69" i="134"/>
  <c r="Y69" i="134"/>
  <c r="Z69" i="134"/>
  <c r="AA69" i="134"/>
  <c r="AB69" i="134"/>
  <c r="AC69" i="134"/>
  <c r="AD69" i="134"/>
  <c r="AE69" i="134"/>
  <c r="K70" i="134"/>
  <c r="L70" i="134"/>
  <c r="M70" i="134"/>
  <c r="N70" i="134"/>
  <c r="O70" i="134"/>
  <c r="P70" i="134"/>
  <c r="Q70" i="134"/>
  <c r="R70" i="134"/>
  <c r="S70" i="134"/>
  <c r="T70" i="134"/>
  <c r="U70" i="134"/>
  <c r="V70" i="134"/>
  <c r="W70" i="134"/>
  <c r="X70" i="134"/>
  <c r="Y70" i="134"/>
  <c r="Z70" i="134"/>
  <c r="AA70" i="134"/>
  <c r="AB70" i="134"/>
  <c r="AC70" i="134"/>
  <c r="AD70" i="134"/>
  <c r="AE70" i="134"/>
  <c r="B9" i="134"/>
  <c r="K177" i="134"/>
  <c r="M175" i="134"/>
  <c r="M177" i="134"/>
  <c r="K175" i="134"/>
  <c r="L175" i="134"/>
  <c r="L177" i="134"/>
  <c r="M153" i="134"/>
  <c r="L153" i="134"/>
  <c r="K150" i="134"/>
  <c r="L144" i="134"/>
  <c r="L143" i="134"/>
  <c r="L145" i="134"/>
  <c r="K143" i="134"/>
  <c r="L141" i="134"/>
  <c r="L155" i="134"/>
  <c r="K141" i="134"/>
  <c r="C141" i="134"/>
  <c r="F140" i="134"/>
  <c r="E140" i="134"/>
  <c r="G140" i="134"/>
  <c r="H140" i="134"/>
  <c r="D140" i="134"/>
  <c r="F139" i="134"/>
  <c r="E139" i="134"/>
  <c r="G139" i="134"/>
  <c r="H139" i="134"/>
  <c r="D139" i="134"/>
  <c r="G138" i="134"/>
  <c r="H138" i="134"/>
  <c r="F138" i="134"/>
  <c r="E138" i="134"/>
  <c r="D138" i="134"/>
  <c r="G137" i="134"/>
  <c r="H137" i="134"/>
  <c r="F137" i="134"/>
  <c r="E137" i="134"/>
  <c r="D137" i="134"/>
  <c r="G136" i="134"/>
  <c r="F136" i="134"/>
  <c r="F141" i="134"/>
  <c r="D136" i="134"/>
  <c r="L128" i="134"/>
  <c r="K128" i="134"/>
  <c r="K127" i="134"/>
  <c r="L127" i="134"/>
  <c r="L126" i="134"/>
  <c r="K126" i="134"/>
  <c r="L124" i="134"/>
  <c r="K124" i="134"/>
  <c r="C124" i="134"/>
  <c r="G123" i="134"/>
  <c r="H123" i="134"/>
  <c r="F123" i="134"/>
  <c r="E123" i="134"/>
  <c r="D123" i="134"/>
  <c r="G122" i="134"/>
  <c r="H122" i="134"/>
  <c r="F122" i="134"/>
  <c r="E122" i="134"/>
  <c r="E124" i="134"/>
  <c r="D122" i="134"/>
  <c r="F121" i="134"/>
  <c r="F124" i="134"/>
  <c r="D121" i="134"/>
  <c r="L99" i="134"/>
  <c r="K84" i="134"/>
  <c r="K89" i="134"/>
  <c r="L83" i="134"/>
  <c r="K82" i="134"/>
  <c r="K80" i="134"/>
  <c r="K113" i="134"/>
  <c r="K163" i="134"/>
  <c r="C80" i="134"/>
  <c r="F79" i="134"/>
  <c r="E79" i="134"/>
  <c r="D79" i="134"/>
  <c r="G78" i="134"/>
  <c r="F78" i="134"/>
  <c r="E78" i="134"/>
  <c r="D78" i="134"/>
  <c r="G77" i="134"/>
  <c r="F77" i="134"/>
  <c r="D77" i="134"/>
  <c r="F76" i="134"/>
  <c r="F80" i="134"/>
  <c r="D76" i="134"/>
  <c r="A60" i="134"/>
  <c r="A28" i="134"/>
  <c r="A27" i="134"/>
  <c r="A25" i="134"/>
  <c r="A24" i="134"/>
  <c r="A23" i="134"/>
  <c r="A19" i="134"/>
  <c r="A18" i="134"/>
  <c r="A17" i="134"/>
  <c r="L11" i="134"/>
  <c r="K11" i="134"/>
  <c r="E4" i="134"/>
  <c r="A3" i="134"/>
  <c r="A2" i="134"/>
  <c r="A1" i="134"/>
  <c r="B9" i="133"/>
  <c r="X27" i="101"/>
  <c r="AE32" i="134"/>
  <c r="W27" i="101"/>
  <c r="AD32" i="134"/>
  <c r="V27" i="101"/>
  <c r="AC32" i="134"/>
  <c r="U27" i="101"/>
  <c r="AB32" i="134"/>
  <c r="T27" i="101"/>
  <c r="AA32" i="134"/>
  <c r="S27" i="101"/>
  <c r="Z32" i="134"/>
  <c r="R27" i="101"/>
  <c r="Y32" i="134"/>
  <c r="Q27" i="101"/>
  <c r="X32" i="134"/>
  <c r="P27" i="101"/>
  <c r="W32" i="134"/>
  <c r="O27" i="101"/>
  <c r="V32" i="134"/>
  <c r="N27" i="101"/>
  <c r="U32" i="134"/>
  <c r="M27" i="101"/>
  <c r="T32" i="134"/>
  <c r="L27" i="101"/>
  <c r="S32" i="134"/>
  <c r="K27" i="101"/>
  <c r="R32" i="134"/>
  <c r="J27" i="101"/>
  <c r="Q32" i="134"/>
  <c r="I27" i="101"/>
  <c r="P32" i="134"/>
  <c r="H27" i="101"/>
  <c r="O32" i="134"/>
  <c r="G27" i="101"/>
  <c r="N32" i="134"/>
  <c r="L17" i="133"/>
  <c r="L18" i="133"/>
  <c r="L19" i="133"/>
  <c r="L20" i="133"/>
  <c r="K27" i="133"/>
  <c r="L27" i="133"/>
  <c r="M27" i="133"/>
  <c r="N27" i="133"/>
  <c r="O27" i="133"/>
  <c r="P27" i="133"/>
  <c r="Q27" i="133"/>
  <c r="R27" i="133"/>
  <c r="S27" i="133"/>
  <c r="T27" i="133"/>
  <c r="U27" i="133"/>
  <c r="V27" i="133"/>
  <c r="W27" i="133"/>
  <c r="X27" i="133"/>
  <c r="Y27" i="133"/>
  <c r="Z27" i="133"/>
  <c r="AA27" i="133"/>
  <c r="AB27" i="133"/>
  <c r="AC27" i="133"/>
  <c r="AD27" i="133"/>
  <c r="AE27" i="133"/>
  <c r="K28" i="133"/>
  <c r="L28" i="133"/>
  <c r="M28" i="133"/>
  <c r="N28" i="133"/>
  <c r="O28" i="133"/>
  <c r="P28" i="133"/>
  <c r="Q28" i="133"/>
  <c r="R28" i="133"/>
  <c r="S28" i="133"/>
  <c r="T28" i="133"/>
  <c r="U28" i="133"/>
  <c r="V28" i="133"/>
  <c r="W28" i="133"/>
  <c r="X28" i="133"/>
  <c r="Y28" i="133"/>
  <c r="Z28" i="133"/>
  <c r="AA28" i="133"/>
  <c r="AB28" i="133"/>
  <c r="AC28" i="133"/>
  <c r="AD28" i="133"/>
  <c r="AE28" i="133"/>
  <c r="K32" i="133"/>
  <c r="M27" i="99"/>
  <c r="T32" i="133"/>
  <c r="K33" i="133"/>
  <c r="L33" i="133"/>
  <c r="K34" i="133"/>
  <c r="L34" i="133"/>
  <c r="M34" i="133"/>
  <c r="N34" i="133"/>
  <c r="O34" i="133"/>
  <c r="P34" i="133"/>
  <c r="Q34" i="133"/>
  <c r="R34" i="133"/>
  <c r="S34" i="133"/>
  <c r="T34" i="133"/>
  <c r="U34" i="133"/>
  <c r="V34" i="133"/>
  <c r="W34" i="133"/>
  <c r="X34" i="133"/>
  <c r="Y34" i="133"/>
  <c r="Z34" i="133"/>
  <c r="AA34" i="133"/>
  <c r="AB34" i="133"/>
  <c r="AC34" i="133"/>
  <c r="AD34" i="133"/>
  <c r="AE34" i="133"/>
  <c r="K35" i="133"/>
  <c r="L35" i="133"/>
  <c r="K36" i="133"/>
  <c r="L36" i="133"/>
  <c r="M36" i="133"/>
  <c r="N36" i="133"/>
  <c r="O36" i="133"/>
  <c r="P36" i="133"/>
  <c r="Q36" i="133"/>
  <c r="R36" i="133"/>
  <c r="S36" i="133"/>
  <c r="T36" i="133"/>
  <c r="U36" i="133"/>
  <c r="V36" i="133"/>
  <c r="W36" i="133"/>
  <c r="X36" i="133"/>
  <c r="Y36" i="133"/>
  <c r="Z36" i="133"/>
  <c r="AA36" i="133"/>
  <c r="AB36" i="133"/>
  <c r="AC36" i="133"/>
  <c r="AD36" i="133"/>
  <c r="AE36" i="133"/>
  <c r="K38" i="133"/>
  <c r="L38" i="133"/>
  <c r="K39" i="133"/>
  <c r="L39" i="133"/>
  <c r="M39" i="133"/>
  <c r="N39" i="133"/>
  <c r="O39" i="133"/>
  <c r="P39" i="133"/>
  <c r="Q39" i="133"/>
  <c r="R39" i="133"/>
  <c r="S39" i="133"/>
  <c r="T39" i="133"/>
  <c r="U39" i="133"/>
  <c r="V39" i="133"/>
  <c r="W39" i="133"/>
  <c r="X39" i="133"/>
  <c r="Y39" i="133"/>
  <c r="Z39" i="133"/>
  <c r="AA39" i="133"/>
  <c r="AB39" i="133"/>
  <c r="AC39" i="133"/>
  <c r="AD39" i="133"/>
  <c r="AE39" i="133"/>
  <c r="K40" i="133"/>
  <c r="K41" i="133"/>
  <c r="L41" i="133"/>
  <c r="M41" i="133"/>
  <c r="N41" i="133"/>
  <c r="O41" i="133"/>
  <c r="P41" i="133"/>
  <c r="Q41" i="133"/>
  <c r="R41" i="133"/>
  <c r="S41" i="133"/>
  <c r="T41" i="133"/>
  <c r="U41" i="133"/>
  <c r="V41" i="133"/>
  <c r="W41" i="133"/>
  <c r="X41" i="133"/>
  <c r="Y41" i="133"/>
  <c r="Z41" i="133"/>
  <c r="AA41" i="133"/>
  <c r="AB41" i="133"/>
  <c r="AC41" i="133"/>
  <c r="AD41" i="133"/>
  <c r="AE41" i="133"/>
  <c r="K42" i="133"/>
  <c r="L42" i="133"/>
  <c r="M42" i="133"/>
  <c r="N42" i="133"/>
  <c r="O42" i="133"/>
  <c r="P42" i="133"/>
  <c r="Q42" i="133"/>
  <c r="R42" i="133"/>
  <c r="S42" i="133"/>
  <c r="T42" i="133"/>
  <c r="U42" i="133"/>
  <c r="V42" i="133"/>
  <c r="W42" i="133"/>
  <c r="X42" i="133"/>
  <c r="Y42" i="133"/>
  <c r="Z42" i="133"/>
  <c r="AA42" i="133"/>
  <c r="AB42" i="133"/>
  <c r="AC42" i="133"/>
  <c r="AD42" i="133"/>
  <c r="AE42" i="133"/>
  <c r="K44" i="133"/>
  <c r="K47" i="133"/>
  <c r="K48" i="133"/>
  <c r="K49" i="133"/>
  <c r="K51" i="133"/>
  <c r="L51" i="133"/>
  <c r="M51" i="133"/>
  <c r="N51" i="133"/>
  <c r="O51" i="133"/>
  <c r="P51" i="133"/>
  <c r="Q51" i="133"/>
  <c r="R51" i="133"/>
  <c r="S51" i="133"/>
  <c r="T51" i="133"/>
  <c r="U51" i="133"/>
  <c r="V51" i="133"/>
  <c r="W51" i="133"/>
  <c r="X51" i="133"/>
  <c r="Y51" i="133"/>
  <c r="Z51" i="133"/>
  <c r="AA51" i="133"/>
  <c r="AB51" i="133"/>
  <c r="AC51" i="133"/>
  <c r="AD51" i="133"/>
  <c r="AE51" i="133"/>
  <c r="K52" i="133"/>
  <c r="L52" i="133"/>
  <c r="M52" i="133"/>
  <c r="N52" i="133"/>
  <c r="O52" i="133"/>
  <c r="P52" i="133"/>
  <c r="Q52" i="133"/>
  <c r="R52" i="133"/>
  <c r="S52" i="133"/>
  <c r="T52" i="133"/>
  <c r="U52" i="133"/>
  <c r="V52" i="133"/>
  <c r="W52" i="133"/>
  <c r="X52" i="133"/>
  <c r="Y52" i="133"/>
  <c r="Z52" i="133"/>
  <c r="AA52" i="133"/>
  <c r="AB52" i="133"/>
  <c r="AC52" i="133"/>
  <c r="AD52" i="133"/>
  <c r="AE52" i="133"/>
  <c r="K53" i="133"/>
  <c r="L53" i="133"/>
  <c r="M53" i="133"/>
  <c r="N53" i="133"/>
  <c r="O53" i="133"/>
  <c r="P53" i="133"/>
  <c r="Q53" i="133"/>
  <c r="R53" i="133"/>
  <c r="S53" i="133"/>
  <c r="T53" i="133"/>
  <c r="U53" i="133"/>
  <c r="V53" i="133"/>
  <c r="W53" i="133"/>
  <c r="X53" i="133"/>
  <c r="Y53" i="133"/>
  <c r="Z53" i="133"/>
  <c r="AA53" i="133"/>
  <c r="AB53" i="133"/>
  <c r="AC53" i="133"/>
  <c r="AD53" i="133"/>
  <c r="AE53" i="133"/>
  <c r="K54" i="133"/>
  <c r="L54" i="133"/>
  <c r="M54" i="133"/>
  <c r="N54" i="133"/>
  <c r="O54" i="133"/>
  <c r="P54" i="133"/>
  <c r="Q54" i="133"/>
  <c r="R54" i="133"/>
  <c r="S54" i="133"/>
  <c r="T54" i="133"/>
  <c r="U54" i="133"/>
  <c r="V54" i="133"/>
  <c r="W54" i="133"/>
  <c r="X54" i="133"/>
  <c r="Y54" i="133"/>
  <c r="Z54" i="133"/>
  <c r="AA54" i="133"/>
  <c r="AB54" i="133"/>
  <c r="AC54" i="133"/>
  <c r="AD54" i="133"/>
  <c r="AE54" i="133"/>
  <c r="K56" i="133"/>
  <c r="K58" i="133"/>
  <c r="L58" i="133"/>
  <c r="M58" i="133"/>
  <c r="N58" i="133"/>
  <c r="O58" i="133"/>
  <c r="P58" i="133"/>
  <c r="Q58" i="133"/>
  <c r="R58" i="133"/>
  <c r="S58" i="133"/>
  <c r="T58" i="133"/>
  <c r="U58" i="133"/>
  <c r="V58" i="133"/>
  <c r="W58" i="133"/>
  <c r="X58" i="133"/>
  <c r="Y58" i="133"/>
  <c r="Z58" i="133"/>
  <c r="AA58" i="133"/>
  <c r="AB58" i="133"/>
  <c r="AC58" i="133"/>
  <c r="AD58" i="133"/>
  <c r="AE58" i="133"/>
  <c r="K61" i="133"/>
  <c r="L61" i="133"/>
  <c r="M61" i="133"/>
  <c r="K62" i="133"/>
  <c r="L62" i="133"/>
  <c r="M62" i="133"/>
  <c r="K63" i="133"/>
  <c r="L63" i="133"/>
  <c r="M63" i="133"/>
  <c r="K64" i="133"/>
  <c r="L64" i="133"/>
  <c r="M64" i="133"/>
  <c r="N64" i="133"/>
  <c r="O64" i="133"/>
  <c r="P64" i="133"/>
  <c r="Q64" i="133"/>
  <c r="R64" i="133"/>
  <c r="S64" i="133"/>
  <c r="T64" i="133"/>
  <c r="U64" i="133"/>
  <c r="V64" i="133"/>
  <c r="W64" i="133"/>
  <c r="X64" i="133"/>
  <c r="Y64" i="133"/>
  <c r="Z64" i="133"/>
  <c r="AA64" i="133"/>
  <c r="AB64" i="133"/>
  <c r="AC64" i="133"/>
  <c r="AD64" i="133"/>
  <c r="AE64" i="133"/>
  <c r="AF64" i="133"/>
  <c r="K65" i="133"/>
  <c r="L65" i="133"/>
  <c r="M65" i="133"/>
  <c r="N65" i="133"/>
  <c r="O65" i="133"/>
  <c r="P65" i="133"/>
  <c r="Q65" i="133"/>
  <c r="R65" i="133"/>
  <c r="S65" i="133"/>
  <c r="T65" i="133"/>
  <c r="U65" i="133"/>
  <c r="V65" i="133"/>
  <c r="W65" i="133"/>
  <c r="X65" i="133"/>
  <c r="Y65" i="133"/>
  <c r="Z65" i="133"/>
  <c r="AA65" i="133"/>
  <c r="AB65" i="133"/>
  <c r="AC65" i="133"/>
  <c r="AD65" i="133"/>
  <c r="AE65" i="133"/>
  <c r="AF65" i="133"/>
  <c r="K68" i="133"/>
  <c r="L68" i="133"/>
  <c r="M68" i="133"/>
  <c r="N68" i="133"/>
  <c r="O68" i="133"/>
  <c r="P68" i="133"/>
  <c r="Q68" i="133"/>
  <c r="R68" i="133"/>
  <c r="S68" i="133"/>
  <c r="T68" i="133"/>
  <c r="U68" i="133"/>
  <c r="V68" i="133"/>
  <c r="W68" i="133"/>
  <c r="X68" i="133"/>
  <c r="Y68" i="133"/>
  <c r="Z68" i="133"/>
  <c r="AA68" i="133"/>
  <c r="AB68" i="133"/>
  <c r="AC68" i="133"/>
  <c r="AD68" i="133"/>
  <c r="AE68" i="133"/>
  <c r="K69" i="133"/>
  <c r="L69" i="133"/>
  <c r="M69" i="133"/>
  <c r="N69" i="133"/>
  <c r="O69" i="133"/>
  <c r="P69" i="133"/>
  <c r="Q69" i="133"/>
  <c r="R69" i="133"/>
  <c r="S69" i="133"/>
  <c r="T69" i="133"/>
  <c r="U69" i="133"/>
  <c r="V69" i="133"/>
  <c r="W69" i="133"/>
  <c r="X69" i="133"/>
  <c r="Y69" i="133"/>
  <c r="Z69" i="133"/>
  <c r="AA69" i="133"/>
  <c r="AB69" i="133"/>
  <c r="AC69" i="133"/>
  <c r="AD69" i="133"/>
  <c r="AE69" i="133"/>
  <c r="K70" i="133"/>
  <c r="L70" i="133"/>
  <c r="M70" i="133"/>
  <c r="N70" i="133"/>
  <c r="O70" i="133"/>
  <c r="P70" i="133"/>
  <c r="Q70" i="133"/>
  <c r="R70" i="133"/>
  <c r="S70" i="133"/>
  <c r="T70" i="133"/>
  <c r="U70" i="133"/>
  <c r="V70" i="133"/>
  <c r="W70" i="133"/>
  <c r="X70" i="133"/>
  <c r="Y70" i="133"/>
  <c r="Z70" i="133"/>
  <c r="AA70" i="133"/>
  <c r="AB70" i="133"/>
  <c r="AC70" i="133"/>
  <c r="AD70" i="133"/>
  <c r="AE70" i="133"/>
  <c r="E27" i="101"/>
  <c r="L32" i="134"/>
  <c r="G27" i="99"/>
  <c r="N32" i="133"/>
  <c r="H27" i="99"/>
  <c r="O32" i="133"/>
  <c r="I27" i="99"/>
  <c r="P32" i="133"/>
  <c r="J27" i="99"/>
  <c r="Q32" i="133"/>
  <c r="K27" i="99"/>
  <c r="R32" i="133"/>
  <c r="L27" i="99"/>
  <c r="S32" i="133"/>
  <c r="N27" i="99"/>
  <c r="U32" i="133"/>
  <c r="O27" i="99"/>
  <c r="V32" i="133"/>
  <c r="P27" i="99"/>
  <c r="W32" i="133"/>
  <c r="Q27" i="99"/>
  <c r="X32" i="133"/>
  <c r="R27" i="99"/>
  <c r="Y32" i="133"/>
  <c r="S27" i="99"/>
  <c r="Z32" i="133"/>
  <c r="T27" i="99"/>
  <c r="AA32" i="133"/>
  <c r="U27" i="99"/>
  <c r="AB32" i="133"/>
  <c r="V27" i="99"/>
  <c r="AC32" i="133"/>
  <c r="W27" i="99"/>
  <c r="AD32" i="133"/>
  <c r="X27" i="99"/>
  <c r="AE32" i="133"/>
  <c r="E27" i="99"/>
  <c r="L32" i="133"/>
  <c r="K177" i="133"/>
  <c r="M175" i="133"/>
  <c r="M177" i="133"/>
  <c r="K175" i="133"/>
  <c r="L175" i="133"/>
  <c r="L177" i="133"/>
  <c r="M153" i="133"/>
  <c r="L153" i="133"/>
  <c r="K150" i="133"/>
  <c r="L144" i="133"/>
  <c r="L143" i="133"/>
  <c r="K143" i="133"/>
  <c r="L141" i="133"/>
  <c r="L155" i="133"/>
  <c r="K141" i="133"/>
  <c r="C141" i="133"/>
  <c r="F140" i="133"/>
  <c r="E140" i="133"/>
  <c r="G140" i="133"/>
  <c r="H140" i="133"/>
  <c r="D140" i="133"/>
  <c r="F139" i="133"/>
  <c r="E139" i="133"/>
  <c r="G139" i="133"/>
  <c r="H139" i="133"/>
  <c r="D139" i="133"/>
  <c r="F138" i="133"/>
  <c r="E138" i="133"/>
  <c r="D138" i="133"/>
  <c r="F137" i="133"/>
  <c r="G137" i="133"/>
  <c r="H137" i="133"/>
  <c r="E137" i="133"/>
  <c r="D137" i="133"/>
  <c r="F136" i="133"/>
  <c r="F141" i="133"/>
  <c r="D136" i="133"/>
  <c r="L128" i="133"/>
  <c r="K128" i="133"/>
  <c r="K127" i="133"/>
  <c r="L127" i="133"/>
  <c r="L126" i="133"/>
  <c r="K126" i="133"/>
  <c r="L124" i="133"/>
  <c r="K124" i="133"/>
  <c r="C124" i="133"/>
  <c r="F123" i="133"/>
  <c r="G123" i="133"/>
  <c r="H123" i="133"/>
  <c r="E123" i="133"/>
  <c r="D123" i="133"/>
  <c r="F122" i="133"/>
  <c r="G122" i="133"/>
  <c r="H122" i="133"/>
  <c r="E122" i="133"/>
  <c r="E124" i="133"/>
  <c r="D122" i="133"/>
  <c r="F121" i="133"/>
  <c r="F124" i="133"/>
  <c r="D121" i="133"/>
  <c r="L99" i="133"/>
  <c r="K84" i="133"/>
  <c r="L83" i="133"/>
  <c r="K82" i="133"/>
  <c r="K80" i="133"/>
  <c r="K113" i="133"/>
  <c r="K163" i="133"/>
  <c r="C80" i="133"/>
  <c r="F79" i="133"/>
  <c r="E79" i="133"/>
  <c r="D79" i="133"/>
  <c r="F78" i="133"/>
  <c r="E78" i="133"/>
  <c r="D78" i="133"/>
  <c r="M77" i="133"/>
  <c r="G77" i="133"/>
  <c r="F77" i="133"/>
  <c r="D77" i="133"/>
  <c r="G76" i="133"/>
  <c r="F76" i="133"/>
  <c r="F80" i="133"/>
  <c r="D76" i="133"/>
  <c r="A60" i="133"/>
  <c r="A28" i="133"/>
  <c r="A27" i="133"/>
  <c r="A25" i="133"/>
  <c r="A24" i="133"/>
  <c r="A23" i="133"/>
  <c r="A19" i="133"/>
  <c r="A18" i="133"/>
  <c r="A17" i="133"/>
  <c r="L11" i="133"/>
  <c r="K11" i="133"/>
  <c r="E4" i="133"/>
  <c r="A3" i="133"/>
  <c r="A2" i="133"/>
  <c r="A1" i="133"/>
  <c r="L17" i="129"/>
  <c r="L18" i="129"/>
  <c r="L19" i="129"/>
  <c r="L20" i="129"/>
  <c r="K28" i="129"/>
  <c r="L28" i="129"/>
  <c r="M28" i="129"/>
  <c r="N28" i="129"/>
  <c r="O28" i="129"/>
  <c r="P28" i="129"/>
  <c r="Q28" i="129"/>
  <c r="R28" i="129"/>
  <c r="S28" i="129"/>
  <c r="T28" i="129"/>
  <c r="U28" i="129"/>
  <c r="V28" i="129"/>
  <c r="W28" i="129"/>
  <c r="X28" i="129"/>
  <c r="Y28" i="129"/>
  <c r="Z28" i="129"/>
  <c r="AA28" i="129"/>
  <c r="AB28" i="129"/>
  <c r="AC28" i="129"/>
  <c r="AD28" i="129"/>
  <c r="AE28" i="129"/>
  <c r="K32" i="129"/>
  <c r="K33" i="129"/>
  <c r="L33" i="129"/>
  <c r="K34" i="129"/>
  <c r="L34" i="129"/>
  <c r="F29" i="96"/>
  <c r="M34" i="129"/>
  <c r="G29" i="96"/>
  <c r="N34" i="129"/>
  <c r="H29" i="96"/>
  <c r="O34" i="129"/>
  <c r="I29" i="96"/>
  <c r="P34" i="129"/>
  <c r="J29" i="96"/>
  <c r="Q34" i="129"/>
  <c r="K29" i="96"/>
  <c r="R34" i="129"/>
  <c r="L29" i="96"/>
  <c r="S34" i="129"/>
  <c r="M29" i="96"/>
  <c r="T34" i="129"/>
  <c r="N29" i="96"/>
  <c r="U34" i="129"/>
  <c r="O29" i="96"/>
  <c r="V34" i="129"/>
  <c r="P29" i="96"/>
  <c r="W34" i="129"/>
  <c r="Q29" i="96"/>
  <c r="X34" i="129"/>
  <c r="R29" i="96"/>
  <c r="Y34" i="129"/>
  <c r="S29" i="96"/>
  <c r="Z34" i="129"/>
  <c r="T29" i="96"/>
  <c r="AA34" i="129"/>
  <c r="U29" i="96"/>
  <c r="AB34" i="129"/>
  <c r="V29" i="96"/>
  <c r="AC34" i="129"/>
  <c r="W29" i="96"/>
  <c r="AD34" i="129"/>
  <c r="X29" i="96"/>
  <c r="AE34" i="129"/>
  <c r="K35" i="129"/>
  <c r="K36" i="129"/>
  <c r="L36" i="129"/>
  <c r="M36" i="129"/>
  <c r="N36" i="129"/>
  <c r="O36" i="129"/>
  <c r="P36" i="129"/>
  <c r="Q36" i="129"/>
  <c r="R36" i="129"/>
  <c r="S36" i="129"/>
  <c r="T36" i="129"/>
  <c r="U36" i="129"/>
  <c r="V36" i="129"/>
  <c r="W36" i="129"/>
  <c r="X36" i="129"/>
  <c r="Y36" i="129"/>
  <c r="Z36" i="129"/>
  <c r="AA36" i="129"/>
  <c r="AB36" i="129"/>
  <c r="AC36" i="129"/>
  <c r="AD36" i="129"/>
  <c r="AE36" i="129"/>
  <c r="K38" i="129"/>
  <c r="L38" i="129"/>
  <c r="K39" i="129"/>
  <c r="L39" i="129"/>
  <c r="M39" i="129"/>
  <c r="N39" i="129"/>
  <c r="O39" i="129"/>
  <c r="P39" i="129"/>
  <c r="Q39" i="129"/>
  <c r="R39" i="129"/>
  <c r="S39" i="129"/>
  <c r="T39" i="129"/>
  <c r="U39" i="129"/>
  <c r="V39" i="129"/>
  <c r="W39" i="129"/>
  <c r="X39" i="129"/>
  <c r="Y39" i="129"/>
  <c r="Z39" i="129"/>
  <c r="AA39" i="129"/>
  <c r="AB39" i="129"/>
  <c r="AC39" i="129"/>
  <c r="AD39" i="129"/>
  <c r="AE39" i="129"/>
  <c r="K40" i="129"/>
  <c r="K41" i="129"/>
  <c r="L41" i="129"/>
  <c r="M41" i="129"/>
  <c r="N41" i="129"/>
  <c r="O41" i="129"/>
  <c r="P41" i="129"/>
  <c r="Q41" i="129"/>
  <c r="R41" i="129"/>
  <c r="S41" i="129"/>
  <c r="T41" i="129"/>
  <c r="U41" i="129"/>
  <c r="V41" i="129"/>
  <c r="W41" i="129"/>
  <c r="X41" i="129"/>
  <c r="Y41" i="129"/>
  <c r="Z41" i="129"/>
  <c r="AA41" i="129"/>
  <c r="AB41" i="129"/>
  <c r="AC41" i="129"/>
  <c r="AD41" i="129"/>
  <c r="AE41" i="129"/>
  <c r="K42" i="129"/>
  <c r="E37" i="96"/>
  <c r="L42" i="129"/>
  <c r="F37" i="96"/>
  <c r="M42" i="129"/>
  <c r="G37" i="96"/>
  <c r="N42" i="129"/>
  <c r="H37" i="96"/>
  <c r="O42" i="129"/>
  <c r="I37" i="96"/>
  <c r="P42" i="129"/>
  <c r="J37" i="96"/>
  <c r="Q42" i="129"/>
  <c r="K37" i="96"/>
  <c r="R42" i="129"/>
  <c r="L37" i="96"/>
  <c r="S42" i="129"/>
  <c r="M37" i="96"/>
  <c r="T42" i="129"/>
  <c r="N37" i="96"/>
  <c r="U42" i="129"/>
  <c r="O37" i="96"/>
  <c r="V42" i="129"/>
  <c r="P37" i="96"/>
  <c r="W42" i="129"/>
  <c r="Q37" i="96"/>
  <c r="X42" i="129"/>
  <c r="R37" i="96"/>
  <c r="Y42" i="129"/>
  <c r="S37" i="96"/>
  <c r="Z42" i="129"/>
  <c r="T37" i="96"/>
  <c r="AA42" i="129"/>
  <c r="U37" i="96"/>
  <c r="AB42" i="129"/>
  <c r="V37" i="96"/>
  <c r="AC42" i="129"/>
  <c r="W37" i="96"/>
  <c r="AD42" i="129"/>
  <c r="X37" i="96"/>
  <c r="AE42" i="129"/>
  <c r="K44" i="129"/>
  <c r="K47" i="129"/>
  <c r="K48" i="129"/>
  <c r="K49" i="129"/>
  <c r="K51" i="129"/>
  <c r="L51" i="129"/>
  <c r="M51" i="129"/>
  <c r="N51" i="129"/>
  <c r="O51" i="129"/>
  <c r="P51" i="129"/>
  <c r="Q51" i="129"/>
  <c r="R51" i="129"/>
  <c r="S51" i="129"/>
  <c r="T51" i="129"/>
  <c r="U51" i="129"/>
  <c r="V51" i="129"/>
  <c r="W51" i="129"/>
  <c r="X51" i="129"/>
  <c r="Y51" i="129"/>
  <c r="Z51" i="129"/>
  <c r="AA51" i="129"/>
  <c r="AB51" i="129"/>
  <c r="AC51" i="129"/>
  <c r="AD51" i="129"/>
  <c r="AE51" i="129"/>
  <c r="K52" i="129"/>
  <c r="L52" i="129"/>
  <c r="M52" i="129"/>
  <c r="N52" i="129"/>
  <c r="O52" i="129"/>
  <c r="P52" i="129"/>
  <c r="Q52" i="129"/>
  <c r="R52" i="129"/>
  <c r="S52" i="129"/>
  <c r="T52" i="129"/>
  <c r="U52" i="129"/>
  <c r="V52" i="129"/>
  <c r="W52" i="129"/>
  <c r="X52" i="129"/>
  <c r="Y52" i="129"/>
  <c r="Z52" i="129"/>
  <c r="AA52" i="129"/>
  <c r="AB52" i="129"/>
  <c r="AC52" i="129"/>
  <c r="AD52" i="129"/>
  <c r="AE52" i="129"/>
  <c r="K53" i="129"/>
  <c r="L53" i="129"/>
  <c r="M53" i="129"/>
  <c r="N53" i="129"/>
  <c r="O53" i="129"/>
  <c r="P53" i="129"/>
  <c r="Q53" i="129"/>
  <c r="R53" i="129"/>
  <c r="S53" i="129"/>
  <c r="T53" i="129"/>
  <c r="U53" i="129"/>
  <c r="V53" i="129"/>
  <c r="W53" i="129"/>
  <c r="X53" i="129"/>
  <c r="Y53" i="129"/>
  <c r="Z53" i="129"/>
  <c r="AA53" i="129"/>
  <c r="AB53" i="129"/>
  <c r="AC53" i="129"/>
  <c r="AD53" i="129"/>
  <c r="AE53" i="129"/>
  <c r="K54" i="129"/>
  <c r="E49" i="96"/>
  <c r="L54" i="129"/>
  <c r="F49" i="96"/>
  <c r="M54" i="129"/>
  <c r="G49" i="96"/>
  <c r="N54" i="129"/>
  <c r="H49" i="96"/>
  <c r="O54" i="129"/>
  <c r="I49" i="96"/>
  <c r="P54" i="129"/>
  <c r="J49" i="96"/>
  <c r="Q54" i="129"/>
  <c r="K49" i="96"/>
  <c r="R54" i="129"/>
  <c r="L49" i="96"/>
  <c r="S54" i="129"/>
  <c r="M49" i="96"/>
  <c r="T54" i="129"/>
  <c r="N49" i="96"/>
  <c r="U54" i="129"/>
  <c r="O49" i="96"/>
  <c r="V54" i="129"/>
  <c r="P49" i="96"/>
  <c r="W54" i="129"/>
  <c r="Q49" i="96"/>
  <c r="X54" i="129"/>
  <c r="R49" i="96"/>
  <c r="Y54" i="129"/>
  <c r="S49" i="96"/>
  <c r="Z54" i="129"/>
  <c r="T49" i="96"/>
  <c r="AA54" i="129"/>
  <c r="U49" i="96"/>
  <c r="AB54" i="129"/>
  <c r="V49" i="96"/>
  <c r="AC54" i="129"/>
  <c r="W49" i="96"/>
  <c r="AD54" i="129"/>
  <c r="X49" i="96"/>
  <c r="AE54" i="129"/>
  <c r="K56" i="129"/>
  <c r="K58" i="129"/>
  <c r="L58" i="129"/>
  <c r="M58" i="129"/>
  <c r="N58" i="129"/>
  <c r="O58" i="129"/>
  <c r="P58" i="129"/>
  <c r="Q58" i="129"/>
  <c r="R58" i="129"/>
  <c r="S58" i="129"/>
  <c r="T58" i="129"/>
  <c r="U58" i="129"/>
  <c r="V58" i="129"/>
  <c r="W58" i="129"/>
  <c r="X58" i="129"/>
  <c r="Y58" i="129"/>
  <c r="Z58" i="129"/>
  <c r="AA58" i="129"/>
  <c r="AB58" i="129"/>
  <c r="AC58" i="129"/>
  <c r="AD58" i="129"/>
  <c r="AE58" i="129"/>
  <c r="K59" i="129"/>
  <c r="L59" i="129"/>
  <c r="M59" i="129"/>
  <c r="N59" i="129"/>
  <c r="O59" i="129"/>
  <c r="P59" i="129"/>
  <c r="Q59" i="129"/>
  <c r="R59" i="129"/>
  <c r="S59" i="129"/>
  <c r="T59" i="129"/>
  <c r="U59" i="129"/>
  <c r="V59" i="129"/>
  <c r="W59" i="129"/>
  <c r="X59" i="129"/>
  <c r="Y59" i="129"/>
  <c r="Z59" i="129"/>
  <c r="AA59" i="129"/>
  <c r="AB59" i="129"/>
  <c r="AC59" i="129"/>
  <c r="AD59" i="129"/>
  <c r="AE59" i="129"/>
  <c r="K60" i="129"/>
  <c r="L60" i="129"/>
  <c r="M60" i="129"/>
  <c r="N60" i="129"/>
  <c r="O60" i="129"/>
  <c r="P60" i="129"/>
  <c r="Q60" i="129"/>
  <c r="R60" i="129"/>
  <c r="S60" i="129"/>
  <c r="T60" i="129"/>
  <c r="U60" i="129"/>
  <c r="V60" i="129"/>
  <c r="W60" i="129"/>
  <c r="X60" i="129"/>
  <c r="Y60" i="129"/>
  <c r="Z60" i="129"/>
  <c r="AA60" i="129"/>
  <c r="AB60" i="129"/>
  <c r="AC60" i="129"/>
  <c r="AD60" i="129"/>
  <c r="AE60" i="129"/>
  <c r="K61" i="129"/>
  <c r="L61" i="129"/>
  <c r="M61" i="129"/>
  <c r="K62" i="129"/>
  <c r="L62" i="129"/>
  <c r="M62" i="129"/>
  <c r="K63" i="129"/>
  <c r="L63" i="129"/>
  <c r="M63" i="129"/>
  <c r="K64" i="129"/>
  <c r="L64" i="129"/>
  <c r="M64" i="129"/>
  <c r="N64" i="129"/>
  <c r="O64" i="129"/>
  <c r="P64" i="129"/>
  <c r="Q64" i="129"/>
  <c r="R64" i="129"/>
  <c r="S64" i="129"/>
  <c r="T64" i="129"/>
  <c r="U64" i="129"/>
  <c r="V64" i="129"/>
  <c r="W64" i="129"/>
  <c r="X64" i="129"/>
  <c r="Y64" i="129"/>
  <c r="Z64" i="129"/>
  <c r="AA64" i="129"/>
  <c r="AB64" i="129"/>
  <c r="AC64" i="129"/>
  <c r="AD64" i="129"/>
  <c r="AE64" i="129"/>
  <c r="AF64" i="129"/>
  <c r="K65" i="129"/>
  <c r="L65" i="129"/>
  <c r="M65" i="129"/>
  <c r="N65" i="129"/>
  <c r="O65" i="129"/>
  <c r="P65" i="129"/>
  <c r="Q65" i="129"/>
  <c r="R65" i="129"/>
  <c r="S65" i="129"/>
  <c r="T65" i="129"/>
  <c r="U65" i="129"/>
  <c r="V65" i="129"/>
  <c r="W65" i="129"/>
  <c r="X65" i="129"/>
  <c r="Y65" i="129"/>
  <c r="Z65" i="129"/>
  <c r="AA65" i="129"/>
  <c r="AB65" i="129"/>
  <c r="AC65" i="129"/>
  <c r="AD65" i="129"/>
  <c r="AE65" i="129"/>
  <c r="AF65" i="129"/>
  <c r="K68" i="129"/>
  <c r="L68" i="129"/>
  <c r="M68" i="129"/>
  <c r="N68" i="129"/>
  <c r="O68" i="129"/>
  <c r="P68" i="129"/>
  <c r="Q68" i="129"/>
  <c r="R68" i="129"/>
  <c r="S68" i="129"/>
  <c r="T68" i="129"/>
  <c r="U68" i="129"/>
  <c r="V68" i="129"/>
  <c r="W68" i="129"/>
  <c r="X68" i="129"/>
  <c r="Y68" i="129"/>
  <c r="Z68" i="129"/>
  <c r="AA68" i="129"/>
  <c r="AB68" i="129"/>
  <c r="AC68" i="129"/>
  <c r="AD68" i="129"/>
  <c r="AE68" i="129"/>
  <c r="K69" i="129"/>
  <c r="L69" i="129"/>
  <c r="M69" i="129"/>
  <c r="N69" i="129"/>
  <c r="O69" i="129"/>
  <c r="P69" i="129"/>
  <c r="Q69" i="129"/>
  <c r="R69" i="129"/>
  <c r="S69" i="129"/>
  <c r="T69" i="129"/>
  <c r="U69" i="129"/>
  <c r="V69" i="129"/>
  <c r="W69" i="129"/>
  <c r="X69" i="129"/>
  <c r="Y69" i="129"/>
  <c r="Z69" i="129"/>
  <c r="AA69" i="129"/>
  <c r="AB69" i="129"/>
  <c r="AC69" i="129"/>
  <c r="AD69" i="129"/>
  <c r="AE69" i="129"/>
  <c r="K70" i="129"/>
  <c r="L70" i="129"/>
  <c r="M70" i="129"/>
  <c r="N70" i="129"/>
  <c r="O70" i="129"/>
  <c r="P70" i="129"/>
  <c r="Q70" i="129"/>
  <c r="R70" i="129"/>
  <c r="S70" i="129"/>
  <c r="T70" i="129"/>
  <c r="U70" i="129"/>
  <c r="V70" i="129"/>
  <c r="W70" i="129"/>
  <c r="X70" i="129"/>
  <c r="Y70" i="129"/>
  <c r="Z70" i="129"/>
  <c r="AA70" i="129"/>
  <c r="AB70" i="129"/>
  <c r="AC70" i="129"/>
  <c r="AD70" i="129"/>
  <c r="AE70" i="129"/>
  <c r="G27" i="96"/>
  <c r="N32" i="129"/>
  <c r="H27" i="96"/>
  <c r="O32" i="129"/>
  <c r="I27" i="96"/>
  <c r="P32" i="129"/>
  <c r="J27" i="96"/>
  <c r="Q32" i="129"/>
  <c r="K27" i="96"/>
  <c r="R32" i="129"/>
  <c r="L27" i="96"/>
  <c r="S32" i="129"/>
  <c r="M27" i="96"/>
  <c r="T32" i="129"/>
  <c r="N27" i="96"/>
  <c r="U32" i="129"/>
  <c r="O27" i="96"/>
  <c r="V32" i="129"/>
  <c r="P27" i="96"/>
  <c r="W32" i="129"/>
  <c r="Q27" i="96"/>
  <c r="X32" i="129"/>
  <c r="R27" i="96"/>
  <c r="Y32" i="129"/>
  <c r="S27" i="96"/>
  <c r="Z32" i="129"/>
  <c r="T27" i="96"/>
  <c r="AA32" i="129"/>
  <c r="U27" i="96"/>
  <c r="AB32" i="129"/>
  <c r="V27" i="96"/>
  <c r="AC32" i="129"/>
  <c r="W27" i="96"/>
  <c r="AD32" i="129"/>
  <c r="X27" i="96"/>
  <c r="AE32" i="129"/>
  <c r="E27" i="96"/>
  <c r="L32" i="129"/>
  <c r="L96" i="127"/>
  <c r="L96" i="126"/>
  <c r="L96" i="125"/>
  <c r="L96" i="124"/>
  <c r="L159" i="143"/>
  <c r="E141" i="105"/>
  <c r="Q177" i="142"/>
  <c r="K94" i="142"/>
  <c r="N153" i="142"/>
  <c r="L159" i="141"/>
  <c r="G141" i="141"/>
  <c r="H141" i="141"/>
  <c r="L159" i="140"/>
  <c r="M175" i="140"/>
  <c r="M177" i="140"/>
  <c r="L158" i="139"/>
  <c r="E141" i="120"/>
  <c r="L93" i="138"/>
  <c r="H123" i="138"/>
  <c r="L158" i="138"/>
  <c r="L158" i="137"/>
  <c r="G123" i="137"/>
  <c r="H120" i="137"/>
  <c r="N152" i="136"/>
  <c r="Q177" i="141"/>
  <c r="M174" i="136"/>
  <c r="M176" i="136"/>
  <c r="L158" i="136"/>
  <c r="K93" i="136"/>
  <c r="G136" i="135"/>
  <c r="G78" i="135"/>
  <c r="K89" i="135"/>
  <c r="K94" i="135"/>
  <c r="G121" i="135"/>
  <c r="E141" i="135"/>
  <c r="G139" i="135"/>
  <c r="H139" i="135"/>
  <c r="XFD54" i="135"/>
  <c r="K90" i="134"/>
  <c r="K88" i="134"/>
  <c r="K94" i="134"/>
  <c r="E80" i="134"/>
  <c r="K83" i="134"/>
  <c r="G121" i="134"/>
  <c r="Q177" i="133"/>
  <c r="G121" i="133"/>
  <c r="H121" i="133"/>
  <c r="H124" i="133"/>
  <c r="G136" i="133"/>
  <c r="H136" i="133"/>
  <c r="G79" i="133"/>
  <c r="E141" i="133"/>
  <c r="G138" i="133"/>
  <c r="H138" i="133"/>
  <c r="L145" i="133"/>
  <c r="M97" i="135"/>
  <c r="N152" i="137"/>
  <c r="N153" i="140"/>
  <c r="F135" i="105"/>
  <c r="K126" i="102"/>
  <c r="L92" i="143"/>
  <c r="E131" i="105"/>
  <c r="L91" i="143"/>
  <c r="E130" i="105"/>
  <c r="M127" i="143"/>
  <c r="M82" i="143"/>
  <c r="M84" i="143"/>
  <c r="M80" i="143"/>
  <c r="F126" i="105"/>
  <c r="M145" i="143"/>
  <c r="M143" i="143"/>
  <c r="M144" i="143"/>
  <c r="M121" i="143"/>
  <c r="H124" i="143"/>
  <c r="N82" i="143"/>
  <c r="N84" i="143"/>
  <c r="N80" i="143"/>
  <c r="G126" i="105"/>
  <c r="M145" i="142"/>
  <c r="M144" i="142"/>
  <c r="M128" i="142"/>
  <c r="M126" i="142"/>
  <c r="N82" i="142"/>
  <c r="N84" i="142"/>
  <c r="N80" i="142"/>
  <c r="M80" i="142"/>
  <c r="M82" i="142"/>
  <c r="M84" i="142"/>
  <c r="N143" i="142"/>
  <c r="M127" i="142"/>
  <c r="L82" i="142"/>
  <c r="L84" i="142"/>
  <c r="L80" i="142"/>
  <c r="L82" i="141"/>
  <c r="L84" i="141"/>
  <c r="L80" i="141"/>
  <c r="N153" i="141"/>
  <c r="M144" i="141"/>
  <c r="M126" i="141"/>
  <c r="M128" i="141"/>
  <c r="N82" i="141"/>
  <c r="M78" i="141"/>
  <c r="M83" i="141"/>
  <c r="N78" i="141"/>
  <c r="N83" i="141"/>
  <c r="M127" i="141"/>
  <c r="M80" i="141"/>
  <c r="M82" i="141"/>
  <c r="M84" i="141"/>
  <c r="G80" i="141"/>
  <c r="M145" i="141"/>
  <c r="M143" i="141"/>
  <c r="H122" i="140"/>
  <c r="G124" i="140"/>
  <c r="N78" i="140"/>
  <c r="N83" i="140"/>
  <c r="M78" i="140"/>
  <c r="M83" i="140"/>
  <c r="N82" i="140"/>
  <c r="N84" i="140"/>
  <c r="N80" i="140"/>
  <c r="M82" i="140"/>
  <c r="M144" i="140"/>
  <c r="M145" i="140"/>
  <c r="M143" i="140"/>
  <c r="L92" i="140"/>
  <c r="L91" i="140"/>
  <c r="K94" i="140"/>
  <c r="M126" i="140"/>
  <c r="XFD54" i="133"/>
  <c r="XFD54" i="134"/>
  <c r="G140" i="139"/>
  <c r="L77" i="139"/>
  <c r="M77" i="139"/>
  <c r="N77" i="139"/>
  <c r="M78" i="139"/>
  <c r="M82" i="139"/>
  <c r="N78" i="139"/>
  <c r="N82" i="139"/>
  <c r="N81" i="139"/>
  <c r="N79" i="139"/>
  <c r="G126" i="120"/>
  <c r="H140" i="139"/>
  <c r="K93" i="139"/>
  <c r="M143" i="139"/>
  <c r="H123" i="139"/>
  <c r="M120" i="139"/>
  <c r="G140" i="138"/>
  <c r="K93" i="138"/>
  <c r="H140" i="138"/>
  <c r="N152" i="138"/>
  <c r="M126" i="138"/>
  <c r="N76" i="138"/>
  <c r="G79" i="138"/>
  <c r="M76" i="138"/>
  <c r="M143" i="138"/>
  <c r="N143" i="138"/>
  <c r="M127" i="138"/>
  <c r="L81" i="137"/>
  <c r="L83" i="137"/>
  <c r="L79" i="137"/>
  <c r="M144" i="137"/>
  <c r="M142" i="137"/>
  <c r="N76" i="137"/>
  <c r="G79" i="137"/>
  <c r="M76" i="137"/>
  <c r="G140" i="137"/>
  <c r="M143" i="137"/>
  <c r="M126" i="137"/>
  <c r="H140" i="137"/>
  <c r="K93" i="137"/>
  <c r="N76" i="136"/>
  <c r="M76" i="136"/>
  <c r="G79" i="136"/>
  <c r="H123" i="136"/>
  <c r="L81" i="136"/>
  <c r="L83" i="136"/>
  <c r="L79" i="136"/>
  <c r="N143" i="136"/>
  <c r="G140" i="136"/>
  <c r="H135" i="136"/>
  <c r="M126" i="136"/>
  <c r="N78" i="136"/>
  <c r="N82" i="136"/>
  <c r="M78" i="136"/>
  <c r="M82" i="136"/>
  <c r="N77" i="135"/>
  <c r="M77" i="135"/>
  <c r="N76" i="135"/>
  <c r="M76" i="135"/>
  <c r="L77" i="135"/>
  <c r="M78" i="135"/>
  <c r="M83" i="135"/>
  <c r="F80" i="135"/>
  <c r="N78" i="135"/>
  <c r="N83" i="135"/>
  <c r="H121" i="135"/>
  <c r="G124" i="135"/>
  <c r="E80" i="135"/>
  <c r="G79" i="135"/>
  <c r="F133" i="102"/>
  <c r="M90" i="135"/>
  <c r="F128" i="102"/>
  <c r="N150" i="135"/>
  <c r="N151" i="135"/>
  <c r="M88" i="135"/>
  <c r="F126" i="102"/>
  <c r="R97" i="135"/>
  <c r="K134" i="102"/>
  <c r="M123" i="135"/>
  <c r="M122" i="135"/>
  <c r="G141" i="135"/>
  <c r="H136" i="135"/>
  <c r="L130" i="135"/>
  <c r="L132" i="135"/>
  <c r="L147" i="135"/>
  <c r="G76" i="134"/>
  <c r="M77" i="134"/>
  <c r="N78" i="134"/>
  <c r="N83" i="134"/>
  <c r="N150" i="134"/>
  <c r="N151" i="134"/>
  <c r="R97" i="134"/>
  <c r="M97" i="134"/>
  <c r="M93" i="134"/>
  <c r="N77" i="134"/>
  <c r="G79" i="134"/>
  <c r="M88" i="134"/>
  <c r="M90" i="134"/>
  <c r="L77" i="134"/>
  <c r="M78" i="134"/>
  <c r="M83" i="134"/>
  <c r="G141" i="134"/>
  <c r="H136" i="134"/>
  <c r="M144" i="134"/>
  <c r="E141" i="134"/>
  <c r="L130" i="134"/>
  <c r="L132" i="134"/>
  <c r="L147" i="134"/>
  <c r="N150" i="133"/>
  <c r="N151" i="133"/>
  <c r="R97" i="133"/>
  <c r="M97" i="133"/>
  <c r="M93" i="133"/>
  <c r="M90" i="133"/>
  <c r="M88" i="133"/>
  <c r="N76" i="133"/>
  <c r="M76" i="133"/>
  <c r="G80" i="133"/>
  <c r="E80" i="133"/>
  <c r="G78" i="133"/>
  <c r="N77" i="133"/>
  <c r="K90" i="133"/>
  <c r="K89" i="133"/>
  <c r="K88" i="133"/>
  <c r="L77" i="133"/>
  <c r="K83" i="133"/>
  <c r="G124" i="133"/>
  <c r="G141" i="133"/>
  <c r="L130" i="133"/>
  <c r="L132" i="133"/>
  <c r="L147" i="133"/>
  <c r="J134" i="112"/>
  <c r="E134" i="112"/>
  <c r="F127" i="112"/>
  <c r="J127" i="112"/>
  <c r="O127" i="112"/>
  <c r="T127" i="112"/>
  <c r="E127" i="112"/>
  <c r="E128" i="112"/>
  <c r="E131" i="112"/>
  <c r="E126" i="112"/>
  <c r="L17" i="132"/>
  <c r="L18" i="132"/>
  <c r="L19" i="132"/>
  <c r="L20" i="132"/>
  <c r="K28" i="132"/>
  <c r="L28" i="132"/>
  <c r="M28" i="132"/>
  <c r="N28" i="132"/>
  <c r="O28" i="132"/>
  <c r="P28" i="132"/>
  <c r="Q28" i="132"/>
  <c r="R28" i="132"/>
  <c r="S28" i="132"/>
  <c r="T28" i="132"/>
  <c r="U28" i="132"/>
  <c r="V28" i="132"/>
  <c r="W28" i="132"/>
  <c r="X28" i="132"/>
  <c r="Y28" i="132"/>
  <c r="Z28" i="132"/>
  <c r="AA28" i="132"/>
  <c r="AB28" i="132"/>
  <c r="AC28" i="132"/>
  <c r="AD28" i="132"/>
  <c r="AE28" i="132"/>
  <c r="K32" i="132"/>
  <c r="K33" i="132"/>
  <c r="L33" i="132"/>
  <c r="K34" i="132"/>
  <c r="L34" i="132"/>
  <c r="F29" i="112"/>
  <c r="M34" i="132"/>
  <c r="G29" i="112"/>
  <c r="N34" i="132"/>
  <c r="H29" i="112"/>
  <c r="O34" i="132"/>
  <c r="I29" i="112"/>
  <c r="P34" i="132"/>
  <c r="J29" i="112"/>
  <c r="Q34" i="132"/>
  <c r="K29" i="112"/>
  <c r="R34" i="132"/>
  <c r="L29" i="112"/>
  <c r="S34" i="132"/>
  <c r="M29" i="112"/>
  <c r="T34" i="132"/>
  <c r="N29" i="112"/>
  <c r="U34" i="132"/>
  <c r="O29" i="112"/>
  <c r="V34" i="132"/>
  <c r="P29" i="112"/>
  <c r="W34" i="132"/>
  <c r="Q29" i="112"/>
  <c r="X34" i="132"/>
  <c r="R29" i="112"/>
  <c r="Y34" i="132"/>
  <c r="S29" i="112"/>
  <c r="Z34" i="132"/>
  <c r="T29" i="112"/>
  <c r="AA34" i="132"/>
  <c r="U29" i="112"/>
  <c r="AB34" i="132"/>
  <c r="V29" i="112"/>
  <c r="AC34" i="132"/>
  <c r="W29" i="112"/>
  <c r="AD34" i="132"/>
  <c r="X29" i="112"/>
  <c r="AE34" i="132"/>
  <c r="K35" i="132"/>
  <c r="K36" i="132"/>
  <c r="L36" i="132"/>
  <c r="M36" i="132"/>
  <c r="N36" i="132"/>
  <c r="O36" i="132"/>
  <c r="P36" i="132"/>
  <c r="Q36" i="132"/>
  <c r="R36" i="132"/>
  <c r="S36" i="132"/>
  <c r="T36" i="132"/>
  <c r="U36" i="132"/>
  <c r="V36" i="132"/>
  <c r="W36" i="132"/>
  <c r="X36" i="132"/>
  <c r="Y36" i="132"/>
  <c r="Z36" i="132"/>
  <c r="AA36" i="132"/>
  <c r="AB36" i="132"/>
  <c r="AC36" i="132"/>
  <c r="AD36" i="132"/>
  <c r="AE36" i="132"/>
  <c r="K38" i="132"/>
  <c r="L38" i="132"/>
  <c r="K39" i="132"/>
  <c r="L39" i="132"/>
  <c r="M39" i="132"/>
  <c r="N39" i="132"/>
  <c r="O39" i="132"/>
  <c r="P39" i="132"/>
  <c r="Q39" i="132"/>
  <c r="R39" i="132"/>
  <c r="S39" i="132"/>
  <c r="T39" i="132"/>
  <c r="U39" i="132"/>
  <c r="V39" i="132"/>
  <c r="W39" i="132"/>
  <c r="X39" i="132"/>
  <c r="Y39" i="132"/>
  <c r="Z39" i="132"/>
  <c r="AA39" i="132"/>
  <c r="AB39" i="132"/>
  <c r="AC39" i="132"/>
  <c r="AD39" i="132"/>
  <c r="AE39" i="132"/>
  <c r="K40" i="132"/>
  <c r="K41" i="132"/>
  <c r="L41" i="132"/>
  <c r="M41" i="132"/>
  <c r="N41" i="132"/>
  <c r="O41" i="132"/>
  <c r="P41" i="132"/>
  <c r="Q41" i="132"/>
  <c r="R41" i="132"/>
  <c r="S41" i="132"/>
  <c r="T41" i="132"/>
  <c r="U41" i="132"/>
  <c r="V41" i="132"/>
  <c r="W41" i="132"/>
  <c r="X41" i="132"/>
  <c r="Y41" i="132"/>
  <c r="Z41" i="132"/>
  <c r="AA41" i="132"/>
  <c r="AB41" i="132"/>
  <c r="AC41" i="132"/>
  <c r="AD41" i="132"/>
  <c r="AE41" i="132"/>
  <c r="K42" i="132"/>
  <c r="E37" i="112"/>
  <c r="L42" i="132"/>
  <c r="F37" i="112"/>
  <c r="M42" i="132"/>
  <c r="G37" i="112"/>
  <c r="N42" i="132"/>
  <c r="H37" i="112"/>
  <c r="O42" i="132"/>
  <c r="I37" i="112"/>
  <c r="P42" i="132"/>
  <c r="J37" i="112"/>
  <c r="Q42" i="132"/>
  <c r="K37" i="112"/>
  <c r="R42" i="132"/>
  <c r="L37" i="112"/>
  <c r="S42" i="132"/>
  <c r="M37" i="112"/>
  <c r="T42" i="132"/>
  <c r="N37" i="112"/>
  <c r="U42" i="132"/>
  <c r="O37" i="112"/>
  <c r="V42" i="132"/>
  <c r="P37" i="112"/>
  <c r="W42" i="132"/>
  <c r="Q37" i="112"/>
  <c r="X42" i="132"/>
  <c r="R37" i="112"/>
  <c r="Y42" i="132"/>
  <c r="S37" i="112"/>
  <c r="Z42" i="132"/>
  <c r="T37" i="112"/>
  <c r="AA42" i="132"/>
  <c r="U37" i="112"/>
  <c r="AB42" i="132"/>
  <c r="V37" i="112"/>
  <c r="AC42" i="132"/>
  <c r="W37" i="112"/>
  <c r="AD42" i="132"/>
  <c r="X37" i="112"/>
  <c r="AE42" i="132"/>
  <c r="K44" i="132"/>
  <c r="K47" i="132"/>
  <c r="K48" i="132"/>
  <c r="K49" i="132"/>
  <c r="K51" i="132"/>
  <c r="L51" i="132"/>
  <c r="M51" i="132"/>
  <c r="N51" i="132"/>
  <c r="O51" i="132"/>
  <c r="P51" i="132"/>
  <c r="Q51" i="132"/>
  <c r="R51" i="132"/>
  <c r="S51" i="132"/>
  <c r="T51" i="132"/>
  <c r="U51" i="132"/>
  <c r="V51" i="132"/>
  <c r="W51" i="132"/>
  <c r="X51" i="132"/>
  <c r="Y51" i="132"/>
  <c r="Z51" i="132"/>
  <c r="AA51" i="132"/>
  <c r="AB51" i="132"/>
  <c r="AC51" i="132"/>
  <c r="AD51" i="132"/>
  <c r="AE51" i="132"/>
  <c r="K52" i="132"/>
  <c r="L52" i="132"/>
  <c r="M52" i="132"/>
  <c r="N52" i="132"/>
  <c r="O52" i="132"/>
  <c r="P52" i="132"/>
  <c r="Q52" i="132"/>
  <c r="R52" i="132"/>
  <c r="S52" i="132"/>
  <c r="T52" i="132"/>
  <c r="U52" i="132"/>
  <c r="V52" i="132"/>
  <c r="W52" i="132"/>
  <c r="X52" i="132"/>
  <c r="Y52" i="132"/>
  <c r="Z52" i="132"/>
  <c r="AA52" i="132"/>
  <c r="AB52" i="132"/>
  <c r="AC52" i="132"/>
  <c r="AD52" i="132"/>
  <c r="AE52" i="132"/>
  <c r="K53" i="132"/>
  <c r="L53" i="132"/>
  <c r="M53" i="132"/>
  <c r="N53" i="132"/>
  <c r="O53" i="132"/>
  <c r="P53" i="132"/>
  <c r="Q53" i="132"/>
  <c r="R53" i="132"/>
  <c r="S53" i="132"/>
  <c r="T53" i="132"/>
  <c r="U53" i="132"/>
  <c r="V53" i="132"/>
  <c r="W53" i="132"/>
  <c r="X53" i="132"/>
  <c r="Y53" i="132"/>
  <c r="Z53" i="132"/>
  <c r="AA53" i="132"/>
  <c r="AB53" i="132"/>
  <c r="AC53" i="132"/>
  <c r="AD53" i="132"/>
  <c r="AE53" i="132"/>
  <c r="K54" i="132"/>
  <c r="E49" i="112"/>
  <c r="L54" i="132"/>
  <c r="F49" i="112"/>
  <c r="M54" i="132"/>
  <c r="G49" i="112"/>
  <c r="N54" i="132"/>
  <c r="H49" i="112"/>
  <c r="O54" i="132"/>
  <c r="I49" i="112"/>
  <c r="P54" i="132"/>
  <c r="J49" i="112"/>
  <c r="Q54" i="132"/>
  <c r="K49" i="112"/>
  <c r="R54" i="132"/>
  <c r="L49" i="112"/>
  <c r="S54" i="132"/>
  <c r="M49" i="112"/>
  <c r="T54" i="132"/>
  <c r="N49" i="112"/>
  <c r="U54" i="132"/>
  <c r="O49" i="112"/>
  <c r="V54" i="132"/>
  <c r="P49" i="112"/>
  <c r="W54" i="132"/>
  <c r="Q49" i="112"/>
  <c r="X54" i="132"/>
  <c r="R49" i="112"/>
  <c r="Y54" i="132"/>
  <c r="S49" i="112"/>
  <c r="Z54" i="132"/>
  <c r="T49" i="112"/>
  <c r="AA54" i="132"/>
  <c r="U49" i="112"/>
  <c r="AB54" i="132"/>
  <c r="V49" i="112"/>
  <c r="AC54" i="132"/>
  <c r="W49" i="112"/>
  <c r="AD54" i="132"/>
  <c r="X49" i="112"/>
  <c r="AE54" i="132"/>
  <c r="K56" i="132"/>
  <c r="K58" i="132"/>
  <c r="L58" i="132"/>
  <c r="M58" i="132"/>
  <c r="N58" i="132"/>
  <c r="O58" i="132"/>
  <c r="P58" i="132"/>
  <c r="Q58" i="132"/>
  <c r="R58" i="132"/>
  <c r="S58" i="132"/>
  <c r="T58" i="132"/>
  <c r="U58" i="132"/>
  <c r="V58" i="132"/>
  <c r="W58" i="132"/>
  <c r="X58" i="132"/>
  <c r="Y58" i="132"/>
  <c r="Z58" i="132"/>
  <c r="AA58" i="132"/>
  <c r="AB58" i="132"/>
  <c r="AC58" i="132"/>
  <c r="AD58" i="132"/>
  <c r="AE58" i="132"/>
  <c r="K61" i="132"/>
  <c r="L61" i="132"/>
  <c r="M61" i="132"/>
  <c r="K62" i="132"/>
  <c r="L62" i="132"/>
  <c r="M62" i="132"/>
  <c r="K63" i="132"/>
  <c r="L63" i="132"/>
  <c r="M63" i="132"/>
  <c r="K64" i="132"/>
  <c r="L64" i="132"/>
  <c r="M64" i="132"/>
  <c r="N64" i="132"/>
  <c r="O64" i="132"/>
  <c r="P64" i="132"/>
  <c r="Q64" i="132"/>
  <c r="R64" i="132"/>
  <c r="S64" i="132"/>
  <c r="T64" i="132"/>
  <c r="U64" i="132"/>
  <c r="V64" i="132"/>
  <c r="W64" i="132"/>
  <c r="X64" i="132"/>
  <c r="Y64" i="132"/>
  <c r="Z64" i="132"/>
  <c r="AA64" i="132"/>
  <c r="AB64" i="132"/>
  <c r="AC64" i="132"/>
  <c r="AD64" i="132"/>
  <c r="AE64" i="132"/>
  <c r="AF64" i="132"/>
  <c r="K65" i="132"/>
  <c r="L65" i="132"/>
  <c r="M65" i="132"/>
  <c r="N65" i="132"/>
  <c r="O65" i="132"/>
  <c r="P65" i="132"/>
  <c r="Q65" i="132"/>
  <c r="R65" i="132"/>
  <c r="S65" i="132"/>
  <c r="T65" i="132"/>
  <c r="U65" i="132"/>
  <c r="V65" i="132"/>
  <c r="W65" i="132"/>
  <c r="X65" i="132"/>
  <c r="Y65" i="132"/>
  <c r="Z65" i="132"/>
  <c r="AA65" i="132"/>
  <c r="AB65" i="132"/>
  <c r="AC65" i="132"/>
  <c r="AD65" i="132"/>
  <c r="AE65" i="132"/>
  <c r="AF65" i="132"/>
  <c r="K68" i="132"/>
  <c r="L68" i="132"/>
  <c r="M68" i="132"/>
  <c r="G63" i="112"/>
  <c r="N68" i="132"/>
  <c r="H63" i="112"/>
  <c r="O68" i="132"/>
  <c r="I63" i="112"/>
  <c r="P68" i="132"/>
  <c r="J63" i="112"/>
  <c r="Q68" i="132"/>
  <c r="K63" i="112"/>
  <c r="R68" i="132"/>
  <c r="L63" i="112"/>
  <c r="S68" i="132"/>
  <c r="M63" i="112"/>
  <c r="T68" i="132"/>
  <c r="N63" i="112"/>
  <c r="U68" i="132"/>
  <c r="O63" i="112"/>
  <c r="V68" i="132"/>
  <c r="P63" i="112"/>
  <c r="W68" i="132"/>
  <c r="Q63" i="112"/>
  <c r="X68" i="132"/>
  <c r="R63" i="112"/>
  <c r="Y68" i="132"/>
  <c r="S63" i="112"/>
  <c r="Z68" i="132"/>
  <c r="T63" i="112"/>
  <c r="AA68" i="132"/>
  <c r="U63" i="112"/>
  <c r="AB68" i="132"/>
  <c r="V63" i="112"/>
  <c r="AC68" i="132"/>
  <c r="W63" i="112"/>
  <c r="AD68" i="132"/>
  <c r="X63" i="112"/>
  <c r="AE68" i="132"/>
  <c r="K69" i="132"/>
  <c r="L69" i="132"/>
  <c r="M69" i="132"/>
  <c r="N69" i="132"/>
  <c r="O69" i="132"/>
  <c r="P69" i="132"/>
  <c r="Q69" i="132"/>
  <c r="R69" i="132"/>
  <c r="S69" i="132"/>
  <c r="T69" i="132"/>
  <c r="U69" i="132"/>
  <c r="V69" i="132"/>
  <c r="W69" i="132"/>
  <c r="X69" i="132"/>
  <c r="Y69" i="132"/>
  <c r="Z69" i="132"/>
  <c r="AA69" i="132"/>
  <c r="AB69" i="132"/>
  <c r="AC69" i="132"/>
  <c r="AD69" i="132"/>
  <c r="AE69" i="132"/>
  <c r="K70" i="132"/>
  <c r="L70" i="132"/>
  <c r="M70" i="132"/>
  <c r="N70" i="132"/>
  <c r="O70" i="132"/>
  <c r="P70" i="132"/>
  <c r="Q70" i="132"/>
  <c r="R70" i="132"/>
  <c r="S70" i="132"/>
  <c r="T70" i="132"/>
  <c r="U70" i="132"/>
  <c r="V70" i="132"/>
  <c r="W70" i="132"/>
  <c r="X70" i="132"/>
  <c r="Y70" i="132"/>
  <c r="Z70" i="132"/>
  <c r="AA70" i="132"/>
  <c r="AB70" i="132"/>
  <c r="AC70" i="132"/>
  <c r="AD70" i="132"/>
  <c r="AE70" i="132"/>
  <c r="K176" i="132"/>
  <c r="M174" i="132"/>
  <c r="M176" i="132"/>
  <c r="K174" i="132"/>
  <c r="L174" i="132"/>
  <c r="L176" i="132"/>
  <c r="M152" i="132"/>
  <c r="L152" i="132"/>
  <c r="K149" i="132"/>
  <c r="L143" i="132"/>
  <c r="L142" i="132"/>
  <c r="K142" i="132"/>
  <c r="L140" i="132"/>
  <c r="K140" i="132"/>
  <c r="C140" i="132"/>
  <c r="F139" i="132"/>
  <c r="E139" i="132"/>
  <c r="D139" i="132"/>
  <c r="F138" i="132"/>
  <c r="E138" i="132"/>
  <c r="G138" i="132"/>
  <c r="H138" i="132"/>
  <c r="D138" i="132"/>
  <c r="F137" i="132"/>
  <c r="E137" i="132"/>
  <c r="G137" i="132"/>
  <c r="H137" i="132"/>
  <c r="D137" i="132"/>
  <c r="F136" i="132"/>
  <c r="E136" i="132"/>
  <c r="E140" i="132"/>
  <c r="D136" i="132"/>
  <c r="G135" i="132"/>
  <c r="F135" i="132"/>
  <c r="D135" i="132"/>
  <c r="L127" i="132"/>
  <c r="K127" i="132"/>
  <c r="L126" i="132"/>
  <c r="K126" i="132"/>
  <c r="L125" i="132"/>
  <c r="K125" i="132"/>
  <c r="L123" i="132"/>
  <c r="K123" i="132"/>
  <c r="C123" i="132"/>
  <c r="F122" i="132"/>
  <c r="E122" i="132"/>
  <c r="G122" i="132"/>
  <c r="H122" i="132"/>
  <c r="D122" i="132"/>
  <c r="F121" i="132"/>
  <c r="E121" i="132"/>
  <c r="E123" i="132"/>
  <c r="D121" i="132"/>
  <c r="G120" i="132"/>
  <c r="F120" i="132"/>
  <c r="F123" i="132"/>
  <c r="D120" i="132"/>
  <c r="E133" i="112"/>
  <c r="K83" i="132"/>
  <c r="K89" i="132"/>
  <c r="L82" i="132"/>
  <c r="K81" i="132"/>
  <c r="K79" i="132"/>
  <c r="K112" i="132"/>
  <c r="K162" i="132"/>
  <c r="F79" i="132"/>
  <c r="C79" i="132"/>
  <c r="F78" i="132"/>
  <c r="E78" i="132"/>
  <c r="D78" i="132"/>
  <c r="F77" i="132"/>
  <c r="G77" i="132"/>
  <c r="M77" i="132"/>
  <c r="D77" i="132"/>
  <c r="G76" i="132"/>
  <c r="F76" i="132"/>
  <c r="D76" i="132"/>
  <c r="A60" i="132"/>
  <c r="A28" i="132"/>
  <c r="A27" i="132"/>
  <c r="A25" i="132"/>
  <c r="A24" i="132"/>
  <c r="A23" i="132"/>
  <c r="A19" i="132"/>
  <c r="A18" i="132"/>
  <c r="A17" i="132"/>
  <c r="L11" i="132"/>
  <c r="K11" i="132"/>
  <c r="E4" i="132"/>
  <c r="A3" i="132"/>
  <c r="A2" i="132"/>
  <c r="A1" i="132"/>
  <c r="G27" i="112"/>
  <c r="N32" i="132"/>
  <c r="H27" i="112"/>
  <c r="O32" i="132"/>
  <c r="I27" i="112"/>
  <c r="P32" i="132"/>
  <c r="J27" i="112"/>
  <c r="Q32" i="132"/>
  <c r="K27" i="112"/>
  <c r="R32" i="132"/>
  <c r="L27" i="112"/>
  <c r="S32" i="132"/>
  <c r="M27" i="112"/>
  <c r="T32" i="132"/>
  <c r="N27" i="112"/>
  <c r="U32" i="132"/>
  <c r="O27" i="112"/>
  <c r="V32" i="132"/>
  <c r="P27" i="112"/>
  <c r="W32" i="132"/>
  <c r="Q27" i="112"/>
  <c r="X32" i="132"/>
  <c r="R27" i="112"/>
  <c r="Y32" i="132"/>
  <c r="S27" i="112"/>
  <c r="Z32" i="132"/>
  <c r="T27" i="112"/>
  <c r="AA32" i="132"/>
  <c r="U27" i="112"/>
  <c r="AB32" i="132"/>
  <c r="V27" i="112"/>
  <c r="AC32" i="132"/>
  <c r="W27" i="112"/>
  <c r="AD32" i="132"/>
  <c r="X27" i="112"/>
  <c r="AE32" i="132"/>
  <c r="E27" i="112"/>
  <c r="L32" i="132"/>
  <c r="L17" i="131"/>
  <c r="L18" i="131"/>
  <c r="L19" i="131"/>
  <c r="L20" i="131"/>
  <c r="K28" i="131"/>
  <c r="L28" i="131"/>
  <c r="M28" i="131"/>
  <c r="N28" i="131"/>
  <c r="O28" i="131"/>
  <c r="P28" i="131"/>
  <c r="Q28" i="131"/>
  <c r="R28" i="131"/>
  <c r="S28" i="131"/>
  <c r="T28" i="131"/>
  <c r="U28" i="131"/>
  <c r="V28" i="131"/>
  <c r="W28" i="131"/>
  <c r="X28" i="131"/>
  <c r="Y28" i="131"/>
  <c r="Z28" i="131"/>
  <c r="AA28" i="131"/>
  <c r="AB28" i="131"/>
  <c r="AC28" i="131"/>
  <c r="AD28" i="131"/>
  <c r="AE28" i="131"/>
  <c r="K32" i="131"/>
  <c r="H27" i="111"/>
  <c r="O32" i="131"/>
  <c r="P27" i="111"/>
  <c r="W32" i="131"/>
  <c r="K33" i="131"/>
  <c r="L33" i="131"/>
  <c r="K34" i="131"/>
  <c r="L34" i="131"/>
  <c r="M34" i="131"/>
  <c r="N34" i="131"/>
  <c r="O34" i="131"/>
  <c r="P34" i="131"/>
  <c r="Q34" i="131"/>
  <c r="R34" i="131"/>
  <c r="S34" i="131"/>
  <c r="T34" i="131"/>
  <c r="U34" i="131"/>
  <c r="V34" i="131"/>
  <c r="W34" i="131"/>
  <c r="X34" i="131"/>
  <c r="Y34" i="131"/>
  <c r="Z34" i="131"/>
  <c r="AA34" i="131"/>
  <c r="AB34" i="131"/>
  <c r="AC34" i="131"/>
  <c r="AD34" i="131"/>
  <c r="AE34" i="131"/>
  <c r="K35" i="131"/>
  <c r="K36" i="131"/>
  <c r="L36" i="131"/>
  <c r="M36" i="131"/>
  <c r="N36" i="131"/>
  <c r="O36" i="131"/>
  <c r="P36" i="131"/>
  <c r="Q36" i="131"/>
  <c r="R36" i="131"/>
  <c r="S36" i="131"/>
  <c r="T36" i="131"/>
  <c r="U36" i="131"/>
  <c r="V36" i="131"/>
  <c r="W36" i="131"/>
  <c r="X36" i="131"/>
  <c r="Y36" i="131"/>
  <c r="Z36" i="131"/>
  <c r="AA36" i="131"/>
  <c r="AB36" i="131"/>
  <c r="AC36" i="131"/>
  <c r="AD36" i="131"/>
  <c r="AE36" i="131"/>
  <c r="K38" i="131"/>
  <c r="L38" i="131"/>
  <c r="K39" i="131"/>
  <c r="L39" i="131"/>
  <c r="M39" i="131"/>
  <c r="N39" i="131"/>
  <c r="O39" i="131"/>
  <c r="P39" i="131"/>
  <c r="Q39" i="131"/>
  <c r="R39" i="131"/>
  <c r="S39" i="131"/>
  <c r="T39" i="131"/>
  <c r="U39" i="131"/>
  <c r="V39" i="131"/>
  <c r="W39" i="131"/>
  <c r="X39" i="131"/>
  <c r="Y39" i="131"/>
  <c r="Z39" i="131"/>
  <c r="AA39" i="131"/>
  <c r="AB39" i="131"/>
  <c r="AC39" i="131"/>
  <c r="AD39" i="131"/>
  <c r="AE39" i="131"/>
  <c r="K40" i="131"/>
  <c r="K41" i="131"/>
  <c r="L41" i="131"/>
  <c r="M41" i="131"/>
  <c r="N41" i="131"/>
  <c r="O41" i="131"/>
  <c r="P41" i="131"/>
  <c r="Q41" i="131"/>
  <c r="R41" i="131"/>
  <c r="S41" i="131"/>
  <c r="T41" i="131"/>
  <c r="U41" i="131"/>
  <c r="V41" i="131"/>
  <c r="W41" i="131"/>
  <c r="X41" i="131"/>
  <c r="Y41" i="131"/>
  <c r="Z41" i="131"/>
  <c r="AA41" i="131"/>
  <c r="AB41" i="131"/>
  <c r="AC41" i="131"/>
  <c r="AD41" i="131"/>
  <c r="AE41" i="131"/>
  <c r="K42" i="131"/>
  <c r="L42" i="131"/>
  <c r="M42" i="131"/>
  <c r="N42" i="131"/>
  <c r="O42" i="131"/>
  <c r="P42" i="131"/>
  <c r="Q42" i="131"/>
  <c r="R42" i="131"/>
  <c r="S42" i="131"/>
  <c r="T42" i="131"/>
  <c r="U42" i="131"/>
  <c r="V42" i="131"/>
  <c r="W42" i="131"/>
  <c r="X42" i="131"/>
  <c r="Y42" i="131"/>
  <c r="Z42" i="131"/>
  <c r="AA42" i="131"/>
  <c r="AB42" i="131"/>
  <c r="AC42" i="131"/>
  <c r="AD42" i="131"/>
  <c r="AE42" i="131"/>
  <c r="K44" i="131"/>
  <c r="K47" i="131"/>
  <c r="K48" i="131"/>
  <c r="K49" i="131"/>
  <c r="K51" i="131"/>
  <c r="L51" i="131"/>
  <c r="M51" i="131"/>
  <c r="N51" i="131"/>
  <c r="O51" i="131"/>
  <c r="P51" i="131"/>
  <c r="Q51" i="131"/>
  <c r="R51" i="131"/>
  <c r="S51" i="131"/>
  <c r="T51" i="131"/>
  <c r="U51" i="131"/>
  <c r="V51" i="131"/>
  <c r="W51" i="131"/>
  <c r="X51" i="131"/>
  <c r="Y51" i="131"/>
  <c r="Z51" i="131"/>
  <c r="AA51" i="131"/>
  <c r="AB51" i="131"/>
  <c r="AC51" i="131"/>
  <c r="AD51" i="131"/>
  <c r="AE51" i="131"/>
  <c r="K52" i="131"/>
  <c r="L52" i="131"/>
  <c r="M52" i="131"/>
  <c r="N52" i="131"/>
  <c r="O52" i="131"/>
  <c r="P52" i="131"/>
  <c r="Q52" i="131"/>
  <c r="R52" i="131"/>
  <c r="S52" i="131"/>
  <c r="T52" i="131"/>
  <c r="U52" i="131"/>
  <c r="V52" i="131"/>
  <c r="W52" i="131"/>
  <c r="X52" i="131"/>
  <c r="Y52" i="131"/>
  <c r="Z52" i="131"/>
  <c r="AA52" i="131"/>
  <c r="AB52" i="131"/>
  <c r="AC52" i="131"/>
  <c r="AD52" i="131"/>
  <c r="AE52" i="131"/>
  <c r="K53" i="131"/>
  <c r="L53" i="131"/>
  <c r="M53" i="131"/>
  <c r="N53" i="131"/>
  <c r="O53" i="131"/>
  <c r="P53" i="131"/>
  <c r="Q53" i="131"/>
  <c r="R53" i="131"/>
  <c r="S53" i="131"/>
  <c r="T53" i="131"/>
  <c r="U53" i="131"/>
  <c r="V53" i="131"/>
  <c r="W53" i="131"/>
  <c r="X53" i="131"/>
  <c r="Y53" i="131"/>
  <c r="Z53" i="131"/>
  <c r="AA53" i="131"/>
  <c r="AB53" i="131"/>
  <c r="AC53" i="131"/>
  <c r="AD53" i="131"/>
  <c r="AE53" i="131"/>
  <c r="K54" i="131"/>
  <c r="L54" i="131"/>
  <c r="M54" i="131"/>
  <c r="N54" i="131"/>
  <c r="O54" i="131"/>
  <c r="P54" i="131"/>
  <c r="Q54" i="131"/>
  <c r="R54" i="131"/>
  <c r="S54" i="131"/>
  <c r="T54" i="131"/>
  <c r="U54" i="131"/>
  <c r="V54" i="131"/>
  <c r="W54" i="131"/>
  <c r="X54" i="131"/>
  <c r="Y54" i="131"/>
  <c r="Z54" i="131"/>
  <c r="AA54" i="131"/>
  <c r="AB54" i="131"/>
  <c r="AC54" i="131"/>
  <c r="AD54" i="131"/>
  <c r="AE54" i="131"/>
  <c r="K56" i="131"/>
  <c r="K58" i="131"/>
  <c r="L58" i="131"/>
  <c r="M58" i="131"/>
  <c r="N58" i="131"/>
  <c r="O58" i="131"/>
  <c r="P58" i="131"/>
  <c r="Q58" i="131"/>
  <c r="R58" i="131"/>
  <c r="S58" i="131"/>
  <c r="T58" i="131"/>
  <c r="U58" i="131"/>
  <c r="V58" i="131"/>
  <c r="W58" i="131"/>
  <c r="X58" i="131"/>
  <c r="Y58" i="131"/>
  <c r="Z58" i="131"/>
  <c r="AA58" i="131"/>
  <c r="AB58" i="131"/>
  <c r="AC58" i="131"/>
  <c r="AD58" i="131"/>
  <c r="AE58" i="131"/>
  <c r="K61" i="131"/>
  <c r="L61" i="131"/>
  <c r="M61" i="131"/>
  <c r="K62" i="131"/>
  <c r="L62" i="131"/>
  <c r="M62" i="131"/>
  <c r="K63" i="131"/>
  <c r="L63" i="131"/>
  <c r="M63" i="131"/>
  <c r="K64" i="131"/>
  <c r="L64" i="131"/>
  <c r="M64" i="131"/>
  <c r="N64" i="131"/>
  <c r="O64" i="131"/>
  <c r="P64" i="131"/>
  <c r="Q64" i="131"/>
  <c r="R64" i="131"/>
  <c r="S64" i="131"/>
  <c r="T64" i="131"/>
  <c r="U64" i="131"/>
  <c r="V64" i="131"/>
  <c r="W64" i="131"/>
  <c r="X64" i="131"/>
  <c r="Y64" i="131"/>
  <c r="Z64" i="131"/>
  <c r="AA64" i="131"/>
  <c r="AB64" i="131"/>
  <c r="AC64" i="131"/>
  <c r="AD64" i="131"/>
  <c r="AE64" i="131"/>
  <c r="AF64" i="131"/>
  <c r="K65" i="131"/>
  <c r="L65" i="131"/>
  <c r="M65" i="131"/>
  <c r="N65" i="131"/>
  <c r="O65" i="131"/>
  <c r="P65" i="131"/>
  <c r="Q65" i="131"/>
  <c r="R65" i="131"/>
  <c r="S65" i="131"/>
  <c r="T65" i="131"/>
  <c r="U65" i="131"/>
  <c r="V65" i="131"/>
  <c r="W65" i="131"/>
  <c r="X65" i="131"/>
  <c r="Y65" i="131"/>
  <c r="Z65" i="131"/>
  <c r="AA65" i="131"/>
  <c r="AB65" i="131"/>
  <c r="AC65" i="131"/>
  <c r="AD65" i="131"/>
  <c r="AE65" i="131"/>
  <c r="AF65" i="131"/>
  <c r="K68" i="131"/>
  <c r="L68" i="131"/>
  <c r="M68" i="131"/>
  <c r="N68" i="131"/>
  <c r="O68" i="131"/>
  <c r="P68" i="131"/>
  <c r="Q68" i="131"/>
  <c r="R68" i="131"/>
  <c r="S68" i="131"/>
  <c r="T68" i="131"/>
  <c r="U68" i="131"/>
  <c r="V68" i="131"/>
  <c r="W68" i="131"/>
  <c r="X68" i="131"/>
  <c r="Y68" i="131"/>
  <c r="Z68" i="131"/>
  <c r="AA68" i="131"/>
  <c r="AB68" i="131"/>
  <c r="AC68" i="131"/>
  <c r="AD68" i="131"/>
  <c r="AE68" i="131"/>
  <c r="K69" i="131"/>
  <c r="L69" i="131"/>
  <c r="M69" i="131"/>
  <c r="N69" i="131"/>
  <c r="O69" i="131"/>
  <c r="P69" i="131"/>
  <c r="Q69" i="131"/>
  <c r="R69" i="131"/>
  <c r="S69" i="131"/>
  <c r="T69" i="131"/>
  <c r="U69" i="131"/>
  <c r="V69" i="131"/>
  <c r="W69" i="131"/>
  <c r="X69" i="131"/>
  <c r="Y69" i="131"/>
  <c r="Z69" i="131"/>
  <c r="AA69" i="131"/>
  <c r="AB69" i="131"/>
  <c r="AC69" i="131"/>
  <c r="AD69" i="131"/>
  <c r="AE69" i="131"/>
  <c r="K70" i="131"/>
  <c r="L70" i="131"/>
  <c r="M70" i="131"/>
  <c r="N70" i="131"/>
  <c r="O70" i="131"/>
  <c r="P70" i="131"/>
  <c r="Q70" i="131"/>
  <c r="R70" i="131"/>
  <c r="S70" i="131"/>
  <c r="T70" i="131"/>
  <c r="U70" i="131"/>
  <c r="V70" i="131"/>
  <c r="W70" i="131"/>
  <c r="X70" i="131"/>
  <c r="Y70" i="131"/>
  <c r="Z70" i="131"/>
  <c r="AA70" i="131"/>
  <c r="AB70" i="131"/>
  <c r="AC70" i="131"/>
  <c r="AD70" i="131"/>
  <c r="AE70" i="131"/>
  <c r="G27" i="111"/>
  <c r="N32" i="131"/>
  <c r="I27" i="111"/>
  <c r="P32" i="131"/>
  <c r="J27" i="111"/>
  <c r="Q32" i="131"/>
  <c r="K27" i="111"/>
  <c r="R32" i="131"/>
  <c r="L27" i="111"/>
  <c r="S32" i="131"/>
  <c r="M27" i="111"/>
  <c r="T32" i="131"/>
  <c r="N27" i="111"/>
  <c r="U32" i="131"/>
  <c r="O27" i="111"/>
  <c r="V32" i="131"/>
  <c r="Q27" i="111"/>
  <c r="X32" i="131"/>
  <c r="R27" i="111"/>
  <c r="Y32" i="131"/>
  <c r="S27" i="111"/>
  <c r="Z32" i="131"/>
  <c r="T27" i="111"/>
  <c r="AA32" i="131"/>
  <c r="U27" i="111"/>
  <c r="AB32" i="131"/>
  <c r="V27" i="111"/>
  <c r="AC32" i="131"/>
  <c r="W27" i="111"/>
  <c r="AD32" i="131"/>
  <c r="X27" i="111"/>
  <c r="AE32" i="131"/>
  <c r="E27" i="111"/>
  <c r="L32" i="131"/>
  <c r="B9" i="131"/>
  <c r="K176" i="131"/>
  <c r="M174" i="131"/>
  <c r="M176" i="131"/>
  <c r="K174" i="131"/>
  <c r="L174" i="131"/>
  <c r="L176" i="131"/>
  <c r="M152" i="131"/>
  <c r="L152" i="131"/>
  <c r="K149" i="131"/>
  <c r="L144" i="131"/>
  <c r="L143" i="131"/>
  <c r="L142" i="131"/>
  <c r="K142" i="131"/>
  <c r="L140" i="131"/>
  <c r="L154" i="131"/>
  <c r="K140" i="131"/>
  <c r="C140" i="131"/>
  <c r="F139" i="131"/>
  <c r="E139" i="131"/>
  <c r="G139" i="131"/>
  <c r="H139" i="131"/>
  <c r="D139" i="131"/>
  <c r="F138" i="131"/>
  <c r="E138" i="131"/>
  <c r="G138" i="131"/>
  <c r="H138" i="131"/>
  <c r="D138" i="131"/>
  <c r="F137" i="131"/>
  <c r="E137" i="131"/>
  <c r="D137" i="131"/>
  <c r="F136" i="131"/>
  <c r="E136" i="131"/>
  <c r="D136" i="131"/>
  <c r="F135" i="131"/>
  <c r="D135" i="131"/>
  <c r="L127" i="131"/>
  <c r="K127" i="131"/>
  <c r="L126" i="131"/>
  <c r="L125" i="131"/>
  <c r="K125" i="131"/>
  <c r="K126" i="131"/>
  <c r="L123" i="131"/>
  <c r="K123" i="131"/>
  <c r="C123" i="131"/>
  <c r="F122" i="131"/>
  <c r="E122" i="131"/>
  <c r="D122" i="131"/>
  <c r="F121" i="131"/>
  <c r="E121" i="131"/>
  <c r="E123" i="131"/>
  <c r="D121" i="131"/>
  <c r="F120" i="131"/>
  <c r="G120" i="131"/>
  <c r="D120" i="131"/>
  <c r="K83" i="131"/>
  <c r="K89" i="131"/>
  <c r="L82" i="131"/>
  <c r="K81" i="131"/>
  <c r="K79" i="131"/>
  <c r="K112" i="131"/>
  <c r="K162" i="131"/>
  <c r="C79" i="131"/>
  <c r="M78" i="131"/>
  <c r="M82" i="131"/>
  <c r="F78" i="131"/>
  <c r="G78" i="131"/>
  <c r="E78" i="131"/>
  <c r="E79" i="131"/>
  <c r="D78" i="131"/>
  <c r="L77" i="131"/>
  <c r="L81" i="131"/>
  <c r="L83" i="131"/>
  <c r="F77" i="131"/>
  <c r="G77" i="131"/>
  <c r="D77" i="131"/>
  <c r="F76" i="131"/>
  <c r="D76" i="131"/>
  <c r="A60" i="131"/>
  <c r="A28" i="131"/>
  <c r="A27" i="131"/>
  <c r="A25" i="131"/>
  <c r="A24" i="131"/>
  <c r="A23" i="131"/>
  <c r="A19" i="131"/>
  <c r="A18" i="131"/>
  <c r="A17" i="131"/>
  <c r="L11" i="131"/>
  <c r="M89" i="131"/>
  <c r="K11" i="131"/>
  <c r="E4" i="131"/>
  <c r="A3" i="131"/>
  <c r="A2" i="131"/>
  <c r="A1" i="131"/>
  <c r="L17" i="130"/>
  <c r="L18" i="130"/>
  <c r="L19" i="130"/>
  <c r="L20" i="130"/>
  <c r="K28" i="130"/>
  <c r="L28" i="130"/>
  <c r="M28" i="130"/>
  <c r="N28" i="130"/>
  <c r="O28" i="130"/>
  <c r="P28" i="130"/>
  <c r="Q28" i="130"/>
  <c r="R28" i="130"/>
  <c r="S28" i="130"/>
  <c r="T28" i="130"/>
  <c r="U28" i="130"/>
  <c r="V28" i="130"/>
  <c r="W28" i="130"/>
  <c r="X28" i="130"/>
  <c r="Y28" i="130"/>
  <c r="Z28" i="130"/>
  <c r="AA28" i="130"/>
  <c r="AB28" i="130"/>
  <c r="AC28" i="130"/>
  <c r="AD28" i="130"/>
  <c r="AE28" i="130"/>
  <c r="K32" i="130"/>
  <c r="H27" i="110"/>
  <c r="O32" i="130"/>
  <c r="P27" i="110"/>
  <c r="W32" i="130"/>
  <c r="K33" i="130"/>
  <c r="L33" i="130"/>
  <c r="K34" i="130"/>
  <c r="L34" i="130"/>
  <c r="M34" i="130"/>
  <c r="N34" i="130"/>
  <c r="O34" i="130"/>
  <c r="P34" i="130"/>
  <c r="Q34" i="130"/>
  <c r="R34" i="130"/>
  <c r="S34" i="130"/>
  <c r="T34" i="130"/>
  <c r="U34" i="130"/>
  <c r="V34" i="130"/>
  <c r="W34" i="130"/>
  <c r="X34" i="130"/>
  <c r="Y34" i="130"/>
  <c r="Z34" i="130"/>
  <c r="AA34" i="130"/>
  <c r="AB34" i="130"/>
  <c r="AC34" i="130"/>
  <c r="AD34" i="130"/>
  <c r="AE34" i="130"/>
  <c r="K35" i="130"/>
  <c r="K36" i="130"/>
  <c r="L36" i="130"/>
  <c r="M36" i="130"/>
  <c r="N36" i="130"/>
  <c r="O36" i="130"/>
  <c r="P36" i="130"/>
  <c r="Q36" i="130"/>
  <c r="R36" i="130"/>
  <c r="S36" i="130"/>
  <c r="T36" i="130"/>
  <c r="U36" i="130"/>
  <c r="V36" i="130"/>
  <c r="W36" i="130"/>
  <c r="X36" i="130"/>
  <c r="Y36" i="130"/>
  <c r="Z36" i="130"/>
  <c r="AA36" i="130"/>
  <c r="AB36" i="130"/>
  <c r="AC36" i="130"/>
  <c r="AD36" i="130"/>
  <c r="AE36" i="130"/>
  <c r="K38" i="130"/>
  <c r="L38" i="130"/>
  <c r="K39" i="130"/>
  <c r="L39" i="130"/>
  <c r="M39" i="130"/>
  <c r="N39" i="130"/>
  <c r="O39" i="130"/>
  <c r="P39" i="130"/>
  <c r="Q39" i="130"/>
  <c r="R39" i="130"/>
  <c r="S39" i="130"/>
  <c r="T39" i="130"/>
  <c r="U39" i="130"/>
  <c r="V39" i="130"/>
  <c r="W39" i="130"/>
  <c r="X39" i="130"/>
  <c r="Y39" i="130"/>
  <c r="Z39" i="130"/>
  <c r="AA39" i="130"/>
  <c r="AB39" i="130"/>
  <c r="AC39" i="130"/>
  <c r="AD39" i="130"/>
  <c r="AE39" i="130"/>
  <c r="K40" i="130"/>
  <c r="K41" i="130"/>
  <c r="L41" i="130"/>
  <c r="M41" i="130"/>
  <c r="N41" i="130"/>
  <c r="O41" i="130"/>
  <c r="P41" i="130"/>
  <c r="Q41" i="130"/>
  <c r="R41" i="130"/>
  <c r="S41" i="130"/>
  <c r="T41" i="130"/>
  <c r="U41" i="130"/>
  <c r="V41" i="130"/>
  <c r="W41" i="130"/>
  <c r="X41" i="130"/>
  <c r="Y41" i="130"/>
  <c r="Z41" i="130"/>
  <c r="AA41" i="130"/>
  <c r="AB41" i="130"/>
  <c r="AC41" i="130"/>
  <c r="AD41" i="130"/>
  <c r="AE41" i="130"/>
  <c r="K42" i="130"/>
  <c r="L42" i="130"/>
  <c r="M42" i="130"/>
  <c r="N42" i="130"/>
  <c r="O42" i="130"/>
  <c r="P42" i="130"/>
  <c r="Q42" i="130"/>
  <c r="R42" i="130"/>
  <c r="S42" i="130"/>
  <c r="T42" i="130"/>
  <c r="U42" i="130"/>
  <c r="V42" i="130"/>
  <c r="W42" i="130"/>
  <c r="X42" i="130"/>
  <c r="Y42" i="130"/>
  <c r="Z42" i="130"/>
  <c r="AA42" i="130"/>
  <c r="AB42" i="130"/>
  <c r="AC42" i="130"/>
  <c r="AD42" i="130"/>
  <c r="AE42" i="130"/>
  <c r="K44" i="130"/>
  <c r="K47" i="130"/>
  <c r="K48" i="130"/>
  <c r="K49" i="130"/>
  <c r="K51" i="130"/>
  <c r="L51" i="130"/>
  <c r="M51" i="130"/>
  <c r="N51" i="130"/>
  <c r="O51" i="130"/>
  <c r="P51" i="130"/>
  <c r="Q51" i="130"/>
  <c r="R51" i="130"/>
  <c r="S51" i="130"/>
  <c r="T51" i="130"/>
  <c r="U51" i="130"/>
  <c r="V51" i="130"/>
  <c r="W51" i="130"/>
  <c r="X51" i="130"/>
  <c r="Y51" i="130"/>
  <c r="Z51" i="130"/>
  <c r="AA51" i="130"/>
  <c r="AB51" i="130"/>
  <c r="AC51" i="130"/>
  <c r="AD51" i="130"/>
  <c r="AE51" i="130"/>
  <c r="K52" i="130"/>
  <c r="L52" i="130"/>
  <c r="M52" i="130"/>
  <c r="N52" i="130"/>
  <c r="O52" i="130"/>
  <c r="P52" i="130"/>
  <c r="Q52" i="130"/>
  <c r="R52" i="130"/>
  <c r="S52" i="130"/>
  <c r="T52" i="130"/>
  <c r="U52" i="130"/>
  <c r="V52" i="130"/>
  <c r="W52" i="130"/>
  <c r="X52" i="130"/>
  <c r="Y52" i="130"/>
  <c r="Z52" i="130"/>
  <c r="AA52" i="130"/>
  <c r="AB52" i="130"/>
  <c r="AC52" i="130"/>
  <c r="AD52" i="130"/>
  <c r="AE52" i="130"/>
  <c r="K53" i="130"/>
  <c r="L53" i="130"/>
  <c r="M53" i="130"/>
  <c r="N53" i="130"/>
  <c r="O53" i="130"/>
  <c r="P53" i="130"/>
  <c r="Q53" i="130"/>
  <c r="R53" i="130"/>
  <c r="S53" i="130"/>
  <c r="T53" i="130"/>
  <c r="U53" i="130"/>
  <c r="V53" i="130"/>
  <c r="W53" i="130"/>
  <c r="X53" i="130"/>
  <c r="Y53" i="130"/>
  <c r="Z53" i="130"/>
  <c r="AA53" i="130"/>
  <c r="AB53" i="130"/>
  <c r="AC53" i="130"/>
  <c r="AD53" i="130"/>
  <c r="AE53" i="130"/>
  <c r="K54" i="130"/>
  <c r="L54" i="130"/>
  <c r="M54" i="130"/>
  <c r="N54" i="130"/>
  <c r="O54" i="130"/>
  <c r="P54" i="130"/>
  <c r="Q54" i="130"/>
  <c r="R54" i="130"/>
  <c r="S54" i="130"/>
  <c r="T54" i="130"/>
  <c r="U54" i="130"/>
  <c r="V54" i="130"/>
  <c r="W54" i="130"/>
  <c r="X54" i="130"/>
  <c r="Y54" i="130"/>
  <c r="Z54" i="130"/>
  <c r="AA54" i="130"/>
  <c r="AB54" i="130"/>
  <c r="AC54" i="130"/>
  <c r="AD54" i="130"/>
  <c r="AE54" i="130"/>
  <c r="K56" i="130"/>
  <c r="K58" i="130"/>
  <c r="L58" i="130"/>
  <c r="M58" i="130"/>
  <c r="N58" i="130"/>
  <c r="O58" i="130"/>
  <c r="P58" i="130"/>
  <c r="Q58" i="130"/>
  <c r="R58" i="130"/>
  <c r="S58" i="130"/>
  <c r="T58" i="130"/>
  <c r="U58" i="130"/>
  <c r="V58" i="130"/>
  <c r="W58" i="130"/>
  <c r="X58" i="130"/>
  <c r="Y58" i="130"/>
  <c r="Z58" i="130"/>
  <c r="AA58" i="130"/>
  <c r="AB58" i="130"/>
  <c r="AC58" i="130"/>
  <c r="AD58" i="130"/>
  <c r="AE58" i="130"/>
  <c r="K61" i="130"/>
  <c r="L61" i="130"/>
  <c r="M61" i="130"/>
  <c r="K62" i="130"/>
  <c r="L62" i="130"/>
  <c r="M62" i="130"/>
  <c r="K63" i="130"/>
  <c r="L63" i="130"/>
  <c r="M63" i="130"/>
  <c r="K64" i="130"/>
  <c r="L64" i="130"/>
  <c r="M64" i="130"/>
  <c r="N64" i="130"/>
  <c r="O64" i="130"/>
  <c r="P64" i="130"/>
  <c r="Q64" i="130"/>
  <c r="R64" i="130"/>
  <c r="S64" i="130"/>
  <c r="T64" i="130"/>
  <c r="U64" i="130"/>
  <c r="V64" i="130"/>
  <c r="W64" i="130"/>
  <c r="X64" i="130"/>
  <c r="Y64" i="130"/>
  <c r="Z64" i="130"/>
  <c r="AA64" i="130"/>
  <c r="AB64" i="130"/>
  <c r="AC64" i="130"/>
  <c r="AD64" i="130"/>
  <c r="AE64" i="130"/>
  <c r="AF64" i="130"/>
  <c r="K65" i="130"/>
  <c r="L65" i="130"/>
  <c r="M65" i="130"/>
  <c r="N65" i="130"/>
  <c r="O65" i="130"/>
  <c r="P65" i="130"/>
  <c r="Q65" i="130"/>
  <c r="R65" i="130"/>
  <c r="S65" i="130"/>
  <c r="T65" i="130"/>
  <c r="U65" i="130"/>
  <c r="V65" i="130"/>
  <c r="W65" i="130"/>
  <c r="X65" i="130"/>
  <c r="Y65" i="130"/>
  <c r="Z65" i="130"/>
  <c r="AA65" i="130"/>
  <c r="AB65" i="130"/>
  <c r="AC65" i="130"/>
  <c r="AD65" i="130"/>
  <c r="AE65" i="130"/>
  <c r="AF65" i="130"/>
  <c r="K68" i="130"/>
  <c r="L68" i="130"/>
  <c r="M68" i="130"/>
  <c r="N68" i="130"/>
  <c r="O68" i="130"/>
  <c r="P68" i="130"/>
  <c r="Q68" i="130"/>
  <c r="R68" i="130"/>
  <c r="S68" i="130"/>
  <c r="T68" i="130"/>
  <c r="U68" i="130"/>
  <c r="V68" i="130"/>
  <c r="W68" i="130"/>
  <c r="X68" i="130"/>
  <c r="Y68" i="130"/>
  <c r="Z68" i="130"/>
  <c r="AA68" i="130"/>
  <c r="AB68" i="130"/>
  <c r="AC68" i="130"/>
  <c r="AD68" i="130"/>
  <c r="AE68" i="130"/>
  <c r="K69" i="130"/>
  <c r="L69" i="130"/>
  <c r="M69" i="130"/>
  <c r="N69" i="130"/>
  <c r="O69" i="130"/>
  <c r="P69" i="130"/>
  <c r="Q69" i="130"/>
  <c r="R69" i="130"/>
  <c r="S69" i="130"/>
  <c r="T69" i="130"/>
  <c r="U69" i="130"/>
  <c r="V69" i="130"/>
  <c r="W69" i="130"/>
  <c r="X69" i="130"/>
  <c r="Y69" i="130"/>
  <c r="Z69" i="130"/>
  <c r="AA69" i="130"/>
  <c r="AB69" i="130"/>
  <c r="AC69" i="130"/>
  <c r="AD69" i="130"/>
  <c r="AE69" i="130"/>
  <c r="K70" i="130"/>
  <c r="L70" i="130"/>
  <c r="M70" i="130"/>
  <c r="N70" i="130"/>
  <c r="O70" i="130"/>
  <c r="P70" i="130"/>
  <c r="Q70" i="130"/>
  <c r="R70" i="130"/>
  <c r="S70" i="130"/>
  <c r="T70" i="130"/>
  <c r="U70" i="130"/>
  <c r="V70" i="130"/>
  <c r="W70" i="130"/>
  <c r="X70" i="130"/>
  <c r="Y70" i="130"/>
  <c r="Z70" i="130"/>
  <c r="AA70" i="130"/>
  <c r="AB70" i="130"/>
  <c r="AC70" i="130"/>
  <c r="AD70" i="130"/>
  <c r="AE70" i="130"/>
  <c r="B9" i="130"/>
  <c r="G27" i="110"/>
  <c r="N32" i="130"/>
  <c r="I27" i="110"/>
  <c r="P32" i="130"/>
  <c r="J27" i="110"/>
  <c r="Q32" i="130"/>
  <c r="K27" i="110"/>
  <c r="R32" i="130"/>
  <c r="L27" i="110"/>
  <c r="S32" i="130"/>
  <c r="M27" i="110"/>
  <c r="T32" i="130"/>
  <c r="N27" i="110"/>
  <c r="U32" i="130"/>
  <c r="O27" i="110"/>
  <c r="V32" i="130"/>
  <c r="Q27" i="110"/>
  <c r="X32" i="130"/>
  <c r="R27" i="110"/>
  <c r="Y32" i="130"/>
  <c r="S27" i="110"/>
  <c r="Z32" i="130"/>
  <c r="T27" i="110"/>
  <c r="AA32" i="130"/>
  <c r="U27" i="110"/>
  <c r="AB32" i="130"/>
  <c r="V27" i="110"/>
  <c r="AC32" i="130"/>
  <c r="W27" i="110"/>
  <c r="AD32" i="130"/>
  <c r="X27" i="110"/>
  <c r="AE32" i="130"/>
  <c r="E27" i="110"/>
  <c r="L32" i="130"/>
  <c r="K176" i="130"/>
  <c r="M174" i="130"/>
  <c r="M176" i="130"/>
  <c r="K174" i="130"/>
  <c r="L174" i="130"/>
  <c r="L176" i="130"/>
  <c r="M152" i="130"/>
  <c r="L152" i="130"/>
  <c r="K149" i="130"/>
  <c r="L143" i="130"/>
  <c r="L142" i="130"/>
  <c r="L144" i="130"/>
  <c r="K142" i="130"/>
  <c r="L140" i="130"/>
  <c r="K140" i="130"/>
  <c r="C140" i="130"/>
  <c r="F139" i="130"/>
  <c r="E139" i="130"/>
  <c r="D139" i="130"/>
  <c r="F138" i="130"/>
  <c r="E138" i="130"/>
  <c r="D138" i="130"/>
  <c r="F137" i="130"/>
  <c r="E137" i="130"/>
  <c r="G137" i="130"/>
  <c r="H137" i="130"/>
  <c r="D137" i="130"/>
  <c r="F136" i="130"/>
  <c r="G136" i="130"/>
  <c r="H136" i="130"/>
  <c r="E136" i="130"/>
  <c r="E140" i="130"/>
  <c r="D136" i="130"/>
  <c r="G135" i="130"/>
  <c r="H135" i="130"/>
  <c r="F135" i="130"/>
  <c r="D135" i="130"/>
  <c r="L127" i="130"/>
  <c r="K127" i="130"/>
  <c r="K126" i="130"/>
  <c r="L126" i="130"/>
  <c r="L125" i="130"/>
  <c r="K125" i="130"/>
  <c r="L123" i="130"/>
  <c r="K123" i="130"/>
  <c r="C123" i="130"/>
  <c r="G122" i="130"/>
  <c r="H122" i="130"/>
  <c r="F122" i="130"/>
  <c r="E122" i="130"/>
  <c r="D122" i="130"/>
  <c r="F121" i="130"/>
  <c r="G121" i="130"/>
  <c r="H121" i="130"/>
  <c r="E121" i="130"/>
  <c r="D121" i="130"/>
  <c r="F120" i="130"/>
  <c r="G120" i="130"/>
  <c r="H120" i="130"/>
  <c r="D120" i="130"/>
  <c r="K83" i="130"/>
  <c r="K89" i="130"/>
  <c r="L82" i="130"/>
  <c r="K81" i="130"/>
  <c r="K82" i="130"/>
  <c r="K79" i="130"/>
  <c r="K112" i="130"/>
  <c r="K162" i="130"/>
  <c r="C79" i="130"/>
  <c r="F78" i="130"/>
  <c r="E78" i="130"/>
  <c r="D78" i="130"/>
  <c r="F77" i="130"/>
  <c r="G77" i="130"/>
  <c r="D77" i="130"/>
  <c r="G76" i="130"/>
  <c r="F76" i="130"/>
  <c r="D76" i="130"/>
  <c r="A60" i="130"/>
  <c r="A28" i="130"/>
  <c r="A27" i="130"/>
  <c r="A25" i="130"/>
  <c r="A24" i="130"/>
  <c r="A23" i="130"/>
  <c r="A19" i="130"/>
  <c r="A18" i="130"/>
  <c r="A17" i="130"/>
  <c r="L11" i="130"/>
  <c r="K11" i="130"/>
  <c r="E4" i="130"/>
  <c r="A3" i="130"/>
  <c r="A2" i="130"/>
  <c r="A1" i="130"/>
  <c r="E135" i="102"/>
  <c r="E135" i="112"/>
  <c r="L98" i="130"/>
  <c r="AF65" i="122"/>
  <c r="AF64" i="122"/>
  <c r="K177" i="129"/>
  <c r="M175" i="129"/>
  <c r="M177" i="129"/>
  <c r="K175" i="129"/>
  <c r="L175" i="129"/>
  <c r="L177" i="129"/>
  <c r="M153" i="129"/>
  <c r="L153" i="129"/>
  <c r="K150" i="129"/>
  <c r="L144" i="129"/>
  <c r="L143" i="129"/>
  <c r="L145" i="129"/>
  <c r="K143" i="129"/>
  <c r="L141" i="129"/>
  <c r="K141" i="129"/>
  <c r="C141" i="129"/>
  <c r="F140" i="129"/>
  <c r="E140" i="129"/>
  <c r="D140" i="129"/>
  <c r="F139" i="129"/>
  <c r="E139" i="129"/>
  <c r="G139" i="129"/>
  <c r="H139" i="129"/>
  <c r="D139" i="129"/>
  <c r="F138" i="129"/>
  <c r="E138" i="129"/>
  <c r="G138" i="129"/>
  <c r="H138" i="129"/>
  <c r="D138" i="129"/>
  <c r="F137" i="129"/>
  <c r="E137" i="129"/>
  <c r="D137" i="129"/>
  <c r="G136" i="129"/>
  <c r="F136" i="129"/>
  <c r="D136" i="129"/>
  <c r="L130" i="129"/>
  <c r="L132" i="129"/>
  <c r="L128" i="129"/>
  <c r="K128" i="129"/>
  <c r="L127" i="129"/>
  <c r="L126" i="129"/>
  <c r="K126" i="129"/>
  <c r="K127" i="129"/>
  <c r="L124" i="129"/>
  <c r="K124" i="129"/>
  <c r="C124" i="129"/>
  <c r="F123" i="129"/>
  <c r="E123" i="129"/>
  <c r="D123" i="129"/>
  <c r="F122" i="129"/>
  <c r="E122" i="129"/>
  <c r="G122" i="129"/>
  <c r="H122" i="129"/>
  <c r="D122" i="129"/>
  <c r="F121" i="129"/>
  <c r="D121" i="129"/>
  <c r="L99" i="129"/>
  <c r="K84" i="129"/>
  <c r="K90" i="129"/>
  <c r="L83" i="129"/>
  <c r="K82" i="129"/>
  <c r="K80" i="129"/>
  <c r="K113" i="129"/>
  <c r="K163" i="129"/>
  <c r="C80" i="129"/>
  <c r="F79" i="129"/>
  <c r="E79" i="129"/>
  <c r="G79" i="129"/>
  <c r="D79" i="129"/>
  <c r="F78" i="129"/>
  <c r="E78" i="129"/>
  <c r="D78" i="129"/>
  <c r="L77" i="129"/>
  <c r="L80" i="129"/>
  <c r="F77" i="129"/>
  <c r="G77" i="129"/>
  <c r="D77" i="129"/>
  <c r="F76" i="129"/>
  <c r="G76" i="129"/>
  <c r="D76" i="129"/>
  <c r="A60" i="129"/>
  <c r="XFD54" i="129"/>
  <c r="A28" i="129"/>
  <c r="A27" i="129"/>
  <c r="A25" i="129"/>
  <c r="A24" i="129"/>
  <c r="A23" i="129"/>
  <c r="A19" i="129"/>
  <c r="A18" i="129"/>
  <c r="A17" i="129"/>
  <c r="K11" i="129"/>
  <c r="E4" i="129"/>
  <c r="A3" i="129"/>
  <c r="A2" i="129"/>
  <c r="A1" i="129"/>
  <c r="G27" i="109"/>
  <c r="N32" i="128"/>
  <c r="H27" i="109"/>
  <c r="I27" i="109"/>
  <c r="P32" i="128"/>
  <c r="J27" i="109"/>
  <c r="Q32" i="128"/>
  <c r="K27" i="109"/>
  <c r="R32" i="128"/>
  <c r="L27" i="109"/>
  <c r="M27" i="109"/>
  <c r="T32" i="128"/>
  <c r="N27" i="109"/>
  <c r="O27" i="109"/>
  <c r="P27" i="109"/>
  <c r="Q27" i="109"/>
  <c r="X32" i="128"/>
  <c r="R27" i="109"/>
  <c r="Y32" i="128"/>
  <c r="S27" i="109"/>
  <c r="T27" i="109"/>
  <c r="U27" i="109"/>
  <c r="AB32" i="128"/>
  <c r="V27" i="109"/>
  <c r="AC32" i="128"/>
  <c r="W27" i="109"/>
  <c r="AD32" i="128"/>
  <c r="X27" i="109"/>
  <c r="E27" i="109"/>
  <c r="L32" i="128"/>
  <c r="L17" i="128"/>
  <c r="L18" i="128"/>
  <c r="L19" i="128"/>
  <c r="L20" i="128"/>
  <c r="K28" i="128"/>
  <c r="L28" i="128"/>
  <c r="M28" i="128"/>
  <c r="N28" i="128"/>
  <c r="O28" i="128"/>
  <c r="P28" i="128"/>
  <c r="Q28" i="128"/>
  <c r="R28" i="128"/>
  <c r="S28" i="128"/>
  <c r="T28" i="128"/>
  <c r="U28" i="128"/>
  <c r="V28" i="128"/>
  <c r="W28" i="128"/>
  <c r="X28" i="128"/>
  <c r="Y28" i="128"/>
  <c r="Z28" i="128"/>
  <c r="AA28" i="128"/>
  <c r="AB28" i="128"/>
  <c r="AC28" i="128"/>
  <c r="AD28" i="128"/>
  <c r="AE28" i="128"/>
  <c r="K32" i="128"/>
  <c r="O32" i="128"/>
  <c r="S32" i="128"/>
  <c r="U32" i="128"/>
  <c r="V32" i="128"/>
  <c r="W32" i="128"/>
  <c r="Z32" i="128"/>
  <c r="AA32" i="128"/>
  <c r="AE32" i="128"/>
  <c r="K33" i="128"/>
  <c r="L33" i="128"/>
  <c r="K34" i="128"/>
  <c r="L34" i="128"/>
  <c r="M34" i="128"/>
  <c r="N34" i="128"/>
  <c r="O34" i="128"/>
  <c r="P34" i="128"/>
  <c r="Q34" i="128"/>
  <c r="R34" i="128"/>
  <c r="S34" i="128"/>
  <c r="T34" i="128"/>
  <c r="U34" i="128"/>
  <c r="V34" i="128"/>
  <c r="W34" i="128"/>
  <c r="X34" i="128"/>
  <c r="Y34" i="128"/>
  <c r="Z34" i="128"/>
  <c r="AA34" i="128"/>
  <c r="AB34" i="128"/>
  <c r="AC34" i="128"/>
  <c r="AD34" i="128"/>
  <c r="AE34" i="128"/>
  <c r="K35" i="128"/>
  <c r="L35" i="128"/>
  <c r="K36" i="128"/>
  <c r="L36" i="128"/>
  <c r="M36" i="128"/>
  <c r="N36" i="128"/>
  <c r="O36" i="128"/>
  <c r="P36" i="128"/>
  <c r="Q36" i="128"/>
  <c r="R36" i="128"/>
  <c r="S36" i="128"/>
  <c r="T36" i="128"/>
  <c r="U36" i="128"/>
  <c r="V36" i="128"/>
  <c r="W36" i="128"/>
  <c r="X36" i="128"/>
  <c r="Y36" i="128"/>
  <c r="Z36" i="128"/>
  <c r="AA36" i="128"/>
  <c r="AB36" i="128"/>
  <c r="AC36" i="128"/>
  <c r="AD36" i="128"/>
  <c r="AE36" i="128"/>
  <c r="K38" i="128"/>
  <c r="L38" i="128"/>
  <c r="K39" i="128"/>
  <c r="L39" i="128"/>
  <c r="M39" i="128"/>
  <c r="N39" i="128"/>
  <c r="O39" i="128"/>
  <c r="P39" i="128"/>
  <c r="Q39" i="128"/>
  <c r="R39" i="128"/>
  <c r="S39" i="128"/>
  <c r="T39" i="128"/>
  <c r="U39" i="128"/>
  <c r="V39" i="128"/>
  <c r="W39" i="128"/>
  <c r="X39" i="128"/>
  <c r="Y39" i="128"/>
  <c r="Z39" i="128"/>
  <c r="AA39" i="128"/>
  <c r="AB39" i="128"/>
  <c r="AC39" i="128"/>
  <c r="AD39" i="128"/>
  <c r="AE39" i="128"/>
  <c r="K40" i="128"/>
  <c r="K41" i="128"/>
  <c r="L41" i="128"/>
  <c r="M41" i="128"/>
  <c r="N41" i="128"/>
  <c r="O41" i="128"/>
  <c r="P41" i="128"/>
  <c r="Q41" i="128"/>
  <c r="R41" i="128"/>
  <c r="S41" i="128"/>
  <c r="T41" i="128"/>
  <c r="U41" i="128"/>
  <c r="V41" i="128"/>
  <c r="W41" i="128"/>
  <c r="X41" i="128"/>
  <c r="Y41" i="128"/>
  <c r="Z41" i="128"/>
  <c r="AA41" i="128"/>
  <c r="AB41" i="128"/>
  <c r="AC41" i="128"/>
  <c r="AD41" i="128"/>
  <c r="AE41" i="128"/>
  <c r="K42" i="128"/>
  <c r="L42" i="128"/>
  <c r="M42" i="128"/>
  <c r="N42" i="128"/>
  <c r="O42" i="128"/>
  <c r="P42" i="128"/>
  <c r="Q42" i="128"/>
  <c r="R42" i="128"/>
  <c r="S42" i="128"/>
  <c r="T42" i="128"/>
  <c r="U42" i="128"/>
  <c r="V42" i="128"/>
  <c r="W42" i="128"/>
  <c r="X42" i="128"/>
  <c r="Y42" i="128"/>
  <c r="Z42" i="128"/>
  <c r="AA42" i="128"/>
  <c r="AB42" i="128"/>
  <c r="AC42" i="128"/>
  <c r="AD42" i="128"/>
  <c r="AE42" i="128"/>
  <c r="K44" i="128"/>
  <c r="K47" i="128"/>
  <c r="K48" i="128"/>
  <c r="K49" i="128"/>
  <c r="K51" i="128"/>
  <c r="L51" i="128"/>
  <c r="M51" i="128"/>
  <c r="N51" i="128"/>
  <c r="O51" i="128"/>
  <c r="P51" i="128"/>
  <c r="Q51" i="128"/>
  <c r="R51" i="128"/>
  <c r="S51" i="128"/>
  <c r="T51" i="128"/>
  <c r="U51" i="128"/>
  <c r="V51" i="128"/>
  <c r="W51" i="128"/>
  <c r="X51" i="128"/>
  <c r="Y51" i="128"/>
  <c r="Z51" i="128"/>
  <c r="AA51" i="128"/>
  <c r="AB51" i="128"/>
  <c r="AC51" i="128"/>
  <c r="AD51" i="128"/>
  <c r="AE51" i="128"/>
  <c r="K52" i="128"/>
  <c r="L52" i="128"/>
  <c r="M52" i="128"/>
  <c r="N52" i="128"/>
  <c r="O52" i="128"/>
  <c r="P52" i="128"/>
  <c r="Q52" i="128"/>
  <c r="R52" i="128"/>
  <c r="S52" i="128"/>
  <c r="T52" i="128"/>
  <c r="U52" i="128"/>
  <c r="V52" i="128"/>
  <c r="W52" i="128"/>
  <c r="X52" i="128"/>
  <c r="Y52" i="128"/>
  <c r="Z52" i="128"/>
  <c r="AA52" i="128"/>
  <c r="AB52" i="128"/>
  <c r="AC52" i="128"/>
  <c r="AD52" i="128"/>
  <c r="AE52" i="128"/>
  <c r="K53" i="128"/>
  <c r="L53" i="128"/>
  <c r="M53" i="128"/>
  <c r="N53" i="128"/>
  <c r="O53" i="128"/>
  <c r="P53" i="128"/>
  <c r="Q53" i="128"/>
  <c r="R53" i="128"/>
  <c r="S53" i="128"/>
  <c r="T53" i="128"/>
  <c r="U53" i="128"/>
  <c r="V53" i="128"/>
  <c r="W53" i="128"/>
  <c r="X53" i="128"/>
  <c r="Y53" i="128"/>
  <c r="Z53" i="128"/>
  <c r="AA53" i="128"/>
  <c r="AB53" i="128"/>
  <c r="AC53" i="128"/>
  <c r="AD53" i="128"/>
  <c r="AE53" i="128"/>
  <c r="K54" i="128"/>
  <c r="L54" i="128"/>
  <c r="M54" i="128"/>
  <c r="N54" i="128"/>
  <c r="O54" i="128"/>
  <c r="P54" i="128"/>
  <c r="Q54" i="128"/>
  <c r="R54" i="128"/>
  <c r="S54" i="128"/>
  <c r="T54" i="128"/>
  <c r="U54" i="128"/>
  <c r="V54" i="128"/>
  <c r="W54" i="128"/>
  <c r="X54" i="128"/>
  <c r="Y54" i="128"/>
  <c r="Z54" i="128"/>
  <c r="AA54" i="128"/>
  <c r="AB54" i="128"/>
  <c r="AC54" i="128"/>
  <c r="AD54" i="128"/>
  <c r="AE54" i="128"/>
  <c r="K56" i="128"/>
  <c r="K58" i="128"/>
  <c r="L58" i="128"/>
  <c r="M58" i="128"/>
  <c r="N58" i="128"/>
  <c r="O58" i="128"/>
  <c r="P58" i="128"/>
  <c r="Q58" i="128"/>
  <c r="R58" i="128"/>
  <c r="S58" i="128"/>
  <c r="T58" i="128"/>
  <c r="U58" i="128"/>
  <c r="V58" i="128"/>
  <c r="W58" i="128"/>
  <c r="X58" i="128"/>
  <c r="Y58" i="128"/>
  <c r="Z58" i="128"/>
  <c r="AA58" i="128"/>
  <c r="AB58" i="128"/>
  <c r="AC58" i="128"/>
  <c r="AD58" i="128"/>
  <c r="AE58" i="128"/>
  <c r="K61" i="128"/>
  <c r="L61" i="128"/>
  <c r="M61" i="128"/>
  <c r="K62" i="128"/>
  <c r="L62" i="128"/>
  <c r="M62" i="128"/>
  <c r="K63" i="128"/>
  <c r="L63" i="128"/>
  <c r="M63" i="128"/>
  <c r="K64" i="128"/>
  <c r="L64" i="128"/>
  <c r="M64" i="128"/>
  <c r="N64" i="128"/>
  <c r="O64" i="128"/>
  <c r="P64" i="128"/>
  <c r="Q64" i="128"/>
  <c r="R64" i="128"/>
  <c r="S64" i="128"/>
  <c r="T64" i="128"/>
  <c r="U64" i="128"/>
  <c r="V64" i="128"/>
  <c r="W64" i="128"/>
  <c r="X64" i="128"/>
  <c r="Y64" i="128"/>
  <c r="Z64" i="128"/>
  <c r="AA64" i="128"/>
  <c r="AB64" i="128"/>
  <c r="AC64" i="128"/>
  <c r="AD64" i="128"/>
  <c r="AE64" i="128"/>
  <c r="AF64" i="128"/>
  <c r="K65" i="128"/>
  <c r="L65" i="128"/>
  <c r="M65" i="128"/>
  <c r="N65" i="128"/>
  <c r="O65" i="128"/>
  <c r="P65" i="128"/>
  <c r="Q65" i="128"/>
  <c r="R65" i="128"/>
  <c r="S65" i="128"/>
  <c r="T65" i="128"/>
  <c r="U65" i="128"/>
  <c r="V65" i="128"/>
  <c r="W65" i="128"/>
  <c r="X65" i="128"/>
  <c r="Y65" i="128"/>
  <c r="Z65" i="128"/>
  <c r="AA65" i="128"/>
  <c r="AB65" i="128"/>
  <c r="AC65" i="128"/>
  <c r="AD65" i="128"/>
  <c r="AE65" i="128"/>
  <c r="AF65" i="128"/>
  <c r="K68" i="128"/>
  <c r="L68" i="128"/>
  <c r="M68" i="128"/>
  <c r="N68" i="128"/>
  <c r="O68" i="128"/>
  <c r="P68" i="128"/>
  <c r="Q68" i="128"/>
  <c r="R68" i="128"/>
  <c r="S68" i="128"/>
  <c r="T68" i="128"/>
  <c r="U68" i="128"/>
  <c r="V68" i="128"/>
  <c r="W68" i="128"/>
  <c r="X68" i="128"/>
  <c r="Y68" i="128"/>
  <c r="Z68" i="128"/>
  <c r="AA68" i="128"/>
  <c r="AB68" i="128"/>
  <c r="AC68" i="128"/>
  <c r="AD68" i="128"/>
  <c r="AE68" i="128"/>
  <c r="K69" i="128"/>
  <c r="L69" i="128"/>
  <c r="M69" i="128"/>
  <c r="N69" i="128"/>
  <c r="O69" i="128"/>
  <c r="P69" i="128"/>
  <c r="Q69" i="128"/>
  <c r="R69" i="128"/>
  <c r="S69" i="128"/>
  <c r="T69" i="128"/>
  <c r="U69" i="128"/>
  <c r="V69" i="128"/>
  <c r="W69" i="128"/>
  <c r="X69" i="128"/>
  <c r="Y69" i="128"/>
  <c r="Z69" i="128"/>
  <c r="AA69" i="128"/>
  <c r="AB69" i="128"/>
  <c r="AC69" i="128"/>
  <c r="AD69" i="128"/>
  <c r="AE69" i="128"/>
  <c r="K70" i="128"/>
  <c r="L70" i="128"/>
  <c r="M70" i="128"/>
  <c r="N70" i="128"/>
  <c r="O70" i="128"/>
  <c r="P70" i="128"/>
  <c r="Q70" i="128"/>
  <c r="R70" i="128"/>
  <c r="S70" i="128"/>
  <c r="T70" i="128"/>
  <c r="U70" i="128"/>
  <c r="V70" i="128"/>
  <c r="W70" i="128"/>
  <c r="X70" i="128"/>
  <c r="Y70" i="128"/>
  <c r="Z70" i="128"/>
  <c r="AA70" i="128"/>
  <c r="AB70" i="128"/>
  <c r="AC70" i="128"/>
  <c r="AD70" i="128"/>
  <c r="AE70" i="128"/>
  <c r="J134" i="116"/>
  <c r="E135" i="116"/>
  <c r="E134" i="116"/>
  <c r="F127" i="116"/>
  <c r="J127" i="116"/>
  <c r="O127" i="116"/>
  <c r="T127" i="116"/>
  <c r="E127" i="116"/>
  <c r="E128" i="116"/>
  <c r="E131" i="116"/>
  <c r="E126" i="116"/>
  <c r="E30" i="97"/>
  <c r="L17" i="127"/>
  <c r="L18" i="127"/>
  <c r="L19" i="127"/>
  <c r="L20" i="127"/>
  <c r="K28" i="127"/>
  <c r="L28" i="127"/>
  <c r="M28" i="127"/>
  <c r="N28" i="127"/>
  <c r="O28" i="127"/>
  <c r="P28" i="127"/>
  <c r="Q28" i="127"/>
  <c r="R28" i="127"/>
  <c r="S28" i="127"/>
  <c r="T28" i="127"/>
  <c r="U28" i="127"/>
  <c r="V28" i="127"/>
  <c r="W28" i="127"/>
  <c r="X28" i="127"/>
  <c r="Y28" i="127"/>
  <c r="Z28" i="127"/>
  <c r="AA28" i="127"/>
  <c r="AB28" i="127"/>
  <c r="AC28" i="127"/>
  <c r="AD28" i="127"/>
  <c r="AE28" i="127"/>
  <c r="K32" i="127"/>
  <c r="L27" i="116"/>
  <c r="S32" i="127"/>
  <c r="K33" i="127"/>
  <c r="L33" i="127"/>
  <c r="K34" i="127"/>
  <c r="L34" i="127"/>
  <c r="M34" i="127"/>
  <c r="N34" i="127"/>
  <c r="O34" i="127"/>
  <c r="P34" i="127"/>
  <c r="Q34" i="127"/>
  <c r="R34" i="127"/>
  <c r="S34" i="127"/>
  <c r="T34" i="127"/>
  <c r="U34" i="127"/>
  <c r="V34" i="127"/>
  <c r="W34" i="127"/>
  <c r="X34" i="127"/>
  <c r="Y34" i="127"/>
  <c r="Z34" i="127"/>
  <c r="AA34" i="127"/>
  <c r="AB34" i="127"/>
  <c r="AC34" i="127"/>
  <c r="AD34" i="127"/>
  <c r="AE34" i="127"/>
  <c r="K35" i="127"/>
  <c r="K36" i="127"/>
  <c r="L36" i="127"/>
  <c r="M36" i="127"/>
  <c r="N36" i="127"/>
  <c r="O36" i="127"/>
  <c r="P36" i="127"/>
  <c r="Q36" i="127"/>
  <c r="R36" i="127"/>
  <c r="S36" i="127"/>
  <c r="T36" i="127"/>
  <c r="U36" i="127"/>
  <c r="V36" i="127"/>
  <c r="W36" i="127"/>
  <c r="X36" i="127"/>
  <c r="Y36" i="127"/>
  <c r="Z36" i="127"/>
  <c r="AA36" i="127"/>
  <c r="AB36" i="127"/>
  <c r="AC36" i="127"/>
  <c r="AD36" i="127"/>
  <c r="AE36" i="127"/>
  <c r="K38" i="127"/>
  <c r="L38" i="127"/>
  <c r="K39" i="127"/>
  <c r="L39" i="127"/>
  <c r="M39" i="127"/>
  <c r="N39" i="127"/>
  <c r="O39" i="127"/>
  <c r="P39" i="127"/>
  <c r="Q39" i="127"/>
  <c r="R39" i="127"/>
  <c r="S39" i="127"/>
  <c r="T39" i="127"/>
  <c r="U39" i="127"/>
  <c r="V39" i="127"/>
  <c r="W39" i="127"/>
  <c r="X39" i="127"/>
  <c r="Y39" i="127"/>
  <c r="Z39" i="127"/>
  <c r="AA39" i="127"/>
  <c r="AB39" i="127"/>
  <c r="AC39" i="127"/>
  <c r="AD39" i="127"/>
  <c r="AE39" i="127"/>
  <c r="K40" i="127"/>
  <c r="K41" i="127"/>
  <c r="L41" i="127"/>
  <c r="M41" i="127"/>
  <c r="N41" i="127"/>
  <c r="O41" i="127"/>
  <c r="P41" i="127"/>
  <c r="Q41" i="127"/>
  <c r="R41" i="127"/>
  <c r="S41" i="127"/>
  <c r="T41" i="127"/>
  <c r="U41" i="127"/>
  <c r="V41" i="127"/>
  <c r="W41" i="127"/>
  <c r="X41" i="127"/>
  <c r="Y41" i="127"/>
  <c r="Z41" i="127"/>
  <c r="AA41" i="127"/>
  <c r="AB41" i="127"/>
  <c r="AC41" i="127"/>
  <c r="AD41" i="127"/>
  <c r="AE41" i="127"/>
  <c r="K42" i="127"/>
  <c r="L42" i="127"/>
  <c r="M42" i="127"/>
  <c r="N42" i="127"/>
  <c r="O42" i="127"/>
  <c r="P42" i="127"/>
  <c r="Q42" i="127"/>
  <c r="R42" i="127"/>
  <c r="S42" i="127"/>
  <c r="T42" i="127"/>
  <c r="U42" i="127"/>
  <c r="V42" i="127"/>
  <c r="W42" i="127"/>
  <c r="X42" i="127"/>
  <c r="Y42" i="127"/>
  <c r="Z42" i="127"/>
  <c r="AA42" i="127"/>
  <c r="AB42" i="127"/>
  <c r="AC42" i="127"/>
  <c r="AD42" i="127"/>
  <c r="AE42" i="127"/>
  <c r="K44" i="127"/>
  <c r="K47" i="127"/>
  <c r="K48" i="127"/>
  <c r="K49" i="127"/>
  <c r="K51" i="127"/>
  <c r="L51" i="127"/>
  <c r="M51" i="127"/>
  <c r="N51" i="127"/>
  <c r="O51" i="127"/>
  <c r="P51" i="127"/>
  <c r="Q51" i="127"/>
  <c r="R51" i="127"/>
  <c r="S51" i="127"/>
  <c r="T51" i="127"/>
  <c r="U51" i="127"/>
  <c r="V51" i="127"/>
  <c r="W51" i="127"/>
  <c r="X51" i="127"/>
  <c r="Y51" i="127"/>
  <c r="Z51" i="127"/>
  <c r="AA51" i="127"/>
  <c r="AB51" i="127"/>
  <c r="AC51" i="127"/>
  <c r="AD51" i="127"/>
  <c r="AE51" i="127"/>
  <c r="K52" i="127"/>
  <c r="L52" i="127"/>
  <c r="M52" i="127"/>
  <c r="N52" i="127"/>
  <c r="O52" i="127"/>
  <c r="P52" i="127"/>
  <c r="Q52" i="127"/>
  <c r="R52" i="127"/>
  <c r="S52" i="127"/>
  <c r="T52" i="127"/>
  <c r="U52" i="127"/>
  <c r="V52" i="127"/>
  <c r="W52" i="127"/>
  <c r="X52" i="127"/>
  <c r="Y52" i="127"/>
  <c r="Z52" i="127"/>
  <c r="AA52" i="127"/>
  <c r="AB52" i="127"/>
  <c r="AC52" i="127"/>
  <c r="AD52" i="127"/>
  <c r="AE52" i="127"/>
  <c r="K53" i="127"/>
  <c r="L53" i="127"/>
  <c r="M53" i="127"/>
  <c r="N53" i="127"/>
  <c r="O53" i="127"/>
  <c r="P53" i="127"/>
  <c r="Q53" i="127"/>
  <c r="R53" i="127"/>
  <c r="S53" i="127"/>
  <c r="T53" i="127"/>
  <c r="U53" i="127"/>
  <c r="V53" i="127"/>
  <c r="W53" i="127"/>
  <c r="X53" i="127"/>
  <c r="Y53" i="127"/>
  <c r="Z53" i="127"/>
  <c r="AA53" i="127"/>
  <c r="AB53" i="127"/>
  <c r="AC53" i="127"/>
  <c r="AD53" i="127"/>
  <c r="AE53" i="127"/>
  <c r="K54" i="127"/>
  <c r="L54" i="127"/>
  <c r="M54" i="127"/>
  <c r="N54" i="127"/>
  <c r="O54" i="127"/>
  <c r="P54" i="127"/>
  <c r="Q54" i="127"/>
  <c r="R54" i="127"/>
  <c r="S54" i="127"/>
  <c r="T54" i="127"/>
  <c r="U54" i="127"/>
  <c r="V54" i="127"/>
  <c r="W54" i="127"/>
  <c r="X54" i="127"/>
  <c r="Y54" i="127"/>
  <c r="Z54" i="127"/>
  <c r="AA54" i="127"/>
  <c r="AB54" i="127"/>
  <c r="AC54" i="127"/>
  <c r="AD54" i="127"/>
  <c r="AE54" i="127"/>
  <c r="K56" i="127"/>
  <c r="K58" i="127"/>
  <c r="L58" i="127"/>
  <c r="M58" i="127"/>
  <c r="N58" i="127"/>
  <c r="O58" i="127"/>
  <c r="P58" i="127"/>
  <c r="Q58" i="127"/>
  <c r="R58" i="127"/>
  <c r="S58" i="127"/>
  <c r="T58" i="127"/>
  <c r="U58" i="127"/>
  <c r="V58" i="127"/>
  <c r="W58" i="127"/>
  <c r="X58" i="127"/>
  <c r="Y58" i="127"/>
  <c r="Z58" i="127"/>
  <c r="AA58" i="127"/>
  <c r="AB58" i="127"/>
  <c r="AC58" i="127"/>
  <c r="AD58" i="127"/>
  <c r="AE58" i="127"/>
  <c r="K61" i="127"/>
  <c r="L61" i="127"/>
  <c r="M61" i="127"/>
  <c r="N61" i="127"/>
  <c r="O61" i="127"/>
  <c r="P61" i="127"/>
  <c r="Q61" i="127"/>
  <c r="R61" i="127"/>
  <c r="S61" i="127"/>
  <c r="T61" i="127"/>
  <c r="U61" i="127"/>
  <c r="V61" i="127"/>
  <c r="W61" i="127"/>
  <c r="X61" i="127"/>
  <c r="Y61" i="127"/>
  <c r="Z61" i="127"/>
  <c r="AA61" i="127"/>
  <c r="AB61" i="127"/>
  <c r="AC61" i="127"/>
  <c r="AD61" i="127"/>
  <c r="AE61" i="127"/>
  <c r="K62" i="127"/>
  <c r="L62" i="127"/>
  <c r="M62" i="127"/>
  <c r="N62" i="127"/>
  <c r="O62" i="127"/>
  <c r="P62" i="127"/>
  <c r="Q62" i="127"/>
  <c r="R62" i="127"/>
  <c r="S62" i="127"/>
  <c r="T62" i="127"/>
  <c r="U62" i="127"/>
  <c r="V62" i="127"/>
  <c r="W62" i="127"/>
  <c r="X62" i="127"/>
  <c r="Y62" i="127"/>
  <c r="Z62" i="127"/>
  <c r="AA62" i="127"/>
  <c r="AB62" i="127"/>
  <c r="AC62" i="127"/>
  <c r="AD62" i="127"/>
  <c r="AE62" i="127"/>
  <c r="K63" i="127"/>
  <c r="L63" i="127"/>
  <c r="M63" i="127"/>
  <c r="N63" i="127"/>
  <c r="O63" i="127"/>
  <c r="P63" i="127"/>
  <c r="Q63" i="127"/>
  <c r="R63" i="127"/>
  <c r="S63" i="127"/>
  <c r="T63" i="127"/>
  <c r="U63" i="127"/>
  <c r="V63" i="127"/>
  <c r="W63" i="127"/>
  <c r="X63" i="127"/>
  <c r="Y63" i="127"/>
  <c r="Z63" i="127"/>
  <c r="AA63" i="127"/>
  <c r="AB63" i="127"/>
  <c r="AC63" i="127"/>
  <c r="AD63" i="127"/>
  <c r="AE63" i="127"/>
  <c r="K64" i="127"/>
  <c r="L64" i="127"/>
  <c r="M64" i="127"/>
  <c r="N64" i="127"/>
  <c r="O64" i="127"/>
  <c r="P64" i="127"/>
  <c r="Q64" i="127"/>
  <c r="R64" i="127"/>
  <c r="S64" i="127"/>
  <c r="T64" i="127"/>
  <c r="U64" i="127"/>
  <c r="V64" i="127"/>
  <c r="W64" i="127"/>
  <c r="X64" i="127"/>
  <c r="Y64" i="127"/>
  <c r="Z64" i="127"/>
  <c r="AA64" i="127"/>
  <c r="AB64" i="127"/>
  <c r="AC64" i="127"/>
  <c r="AD64" i="127"/>
  <c r="AE64" i="127"/>
  <c r="AF64" i="127"/>
  <c r="K65" i="127"/>
  <c r="L65" i="127"/>
  <c r="M65" i="127"/>
  <c r="N65" i="127"/>
  <c r="O65" i="127"/>
  <c r="P65" i="127"/>
  <c r="Q65" i="127"/>
  <c r="R65" i="127"/>
  <c r="S65" i="127"/>
  <c r="T65" i="127"/>
  <c r="U65" i="127"/>
  <c r="V65" i="127"/>
  <c r="W65" i="127"/>
  <c r="X65" i="127"/>
  <c r="Y65" i="127"/>
  <c r="Z65" i="127"/>
  <c r="AA65" i="127"/>
  <c r="AB65" i="127"/>
  <c r="AC65" i="127"/>
  <c r="AD65" i="127"/>
  <c r="AE65" i="127"/>
  <c r="AF65" i="127"/>
  <c r="K68" i="127"/>
  <c r="L68" i="127"/>
  <c r="M68" i="127"/>
  <c r="N68" i="127"/>
  <c r="O68" i="127"/>
  <c r="P68" i="127"/>
  <c r="Q68" i="127"/>
  <c r="R68" i="127"/>
  <c r="S68" i="127"/>
  <c r="T68" i="127"/>
  <c r="U68" i="127"/>
  <c r="V68" i="127"/>
  <c r="W68" i="127"/>
  <c r="X68" i="127"/>
  <c r="Y68" i="127"/>
  <c r="Z68" i="127"/>
  <c r="AA68" i="127"/>
  <c r="AB68" i="127"/>
  <c r="AC68" i="127"/>
  <c r="AD68" i="127"/>
  <c r="AE68" i="127"/>
  <c r="K69" i="127"/>
  <c r="L69" i="127"/>
  <c r="M69" i="127"/>
  <c r="N69" i="127"/>
  <c r="O69" i="127"/>
  <c r="P69" i="127"/>
  <c r="Q69" i="127"/>
  <c r="R69" i="127"/>
  <c r="S69" i="127"/>
  <c r="T69" i="127"/>
  <c r="U69" i="127"/>
  <c r="V69" i="127"/>
  <c r="W69" i="127"/>
  <c r="X69" i="127"/>
  <c r="Y69" i="127"/>
  <c r="Z69" i="127"/>
  <c r="AA69" i="127"/>
  <c r="AB69" i="127"/>
  <c r="AC69" i="127"/>
  <c r="AD69" i="127"/>
  <c r="AE69" i="127"/>
  <c r="K70" i="127"/>
  <c r="L70" i="127"/>
  <c r="M70" i="127"/>
  <c r="N70" i="127"/>
  <c r="O70" i="127"/>
  <c r="P70" i="127"/>
  <c r="Q70" i="127"/>
  <c r="R70" i="127"/>
  <c r="S70" i="127"/>
  <c r="T70" i="127"/>
  <c r="U70" i="127"/>
  <c r="V70" i="127"/>
  <c r="W70" i="127"/>
  <c r="X70" i="127"/>
  <c r="Y70" i="127"/>
  <c r="Z70" i="127"/>
  <c r="AA70" i="127"/>
  <c r="AB70" i="127"/>
  <c r="AC70" i="127"/>
  <c r="AD70" i="127"/>
  <c r="AE70" i="127"/>
  <c r="B9" i="127"/>
  <c r="G27" i="116"/>
  <c r="N32" i="127"/>
  <c r="H27" i="116"/>
  <c r="O32" i="127"/>
  <c r="I27" i="116"/>
  <c r="P32" i="127"/>
  <c r="J27" i="116"/>
  <c r="Q32" i="127"/>
  <c r="K27" i="116"/>
  <c r="R32" i="127"/>
  <c r="M27" i="116"/>
  <c r="T32" i="127"/>
  <c r="N27" i="116"/>
  <c r="U32" i="127"/>
  <c r="O27" i="116"/>
  <c r="V32" i="127"/>
  <c r="P27" i="116"/>
  <c r="W32" i="127"/>
  <c r="Q27" i="116"/>
  <c r="X32" i="127"/>
  <c r="R27" i="116"/>
  <c r="Y32" i="127"/>
  <c r="S27" i="116"/>
  <c r="Z32" i="127"/>
  <c r="T27" i="116"/>
  <c r="AA32" i="127"/>
  <c r="U27" i="116"/>
  <c r="AB32" i="127"/>
  <c r="V27" i="116"/>
  <c r="AC32" i="127"/>
  <c r="W27" i="116"/>
  <c r="AD32" i="127"/>
  <c r="X27" i="116"/>
  <c r="AE32" i="127"/>
  <c r="E27" i="116"/>
  <c r="L32" i="127"/>
  <c r="E141" i="115"/>
  <c r="E135" i="115"/>
  <c r="J134" i="115"/>
  <c r="E134" i="115"/>
  <c r="F127" i="115"/>
  <c r="J127" i="115"/>
  <c r="O127" i="115"/>
  <c r="T127" i="115"/>
  <c r="E127" i="115"/>
  <c r="E128" i="115"/>
  <c r="E131" i="115"/>
  <c r="E126" i="115"/>
  <c r="L17" i="126"/>
  <c r="L18" i="126"/>
  <c r="L19" i="126"/>
  <c r="L20" i="126"/>
  <c r="K28" i="126"/>
  <c r="L28" i="126"/>
  <c r="M28" i="126"/>
  <c r="N28" i="126"/>
  <c r="O28" i="126"/>
  <c r="P28" i="126"/>
  <c r="Q28" i="126"/>
  <c r="R28" i="126"/>
  <c r="S28" i="126"/>
  <c r="T28" i="126"/>
  <c r="U28" i="126"/>
  <c r="V28" i="126"/>
  <c r="W28" i="126"/>
  <c r="X28" i="126"/>
  <c r="Y28" i="126"/>
  <c r="Z28" i="126"/>
  <c r="AA28" i="126"/>
  <c r="AB28" i="126"/>
  <c r="AC28" i="126"/>
  <c r="AD28" i="126"/>
  <c r="AE28" i="126"/>
  <c r="K32" i="126"/>
  <c r="K27" i="115"/>
  <c r="R32" i="126"/>
  <c r="K33" i="126"/>
  <c r="L33" i="126"/>
  <c r="K34" i="126"/>
  <c r="L34" i="126"/>
  <c r="M34" i="126"/>
  <c r="N34" i="126"/>
  <c r="O34" i="126"/>
  <c r="P34" i="126"/>
  <c r="Q34" i="126"/>
  <c r="R34" i="126"/>
  <c r="S34" i="126"/>
  <c r="T34" i="126"/>
  <c r="U34" i="126"/>
  <c r="V34" i="126"/>
  <c r="W34" i="126"/>
  <c r="X34" i="126"/>
  <c r="Y34" i="126"/>
  <c r="Z34" i="126"/>
  <c r="AA34" i="126"/>
  <c r="AB34" i="126"/>
  <c r="AC34" i="126"/>
  <c r="AD34" i="126"/>
  <c r="AE34" i="126"/>
  <c r="K36" i="126"/>
  <c r="L36" i="126"/>
  <c r="M36" i="126"/>
  <c r="N36" i="126"/>
  <c r="O36" i="126"/>
  <c r="P36" i="126"/>
  <c r="Q36" i="126"/>
  <c r="R36" i="126"/>
  <c r="S36" i="126"/>
  <c r="T36" i="126"/>
  <c r="U36" i="126"/>
  <c r="V36" i="126"/>
  <c r="W36" i="126"/>
  <c r="X36" i="126"/>
  <c r="Y36" i="126"/>
  <c r="Z36" i="126"/>
  <c r="AA36" i="126"/>
  <c r="AB36" i="126"/>
  <c r="AC36" i="126"/>
  <c r="AD36" i="126"/>
  <c r="AE36" i="126"/>
  <c r="K38" i="126"/>
  <c r="L38" i="126"/>
  <c r="K39" i="126"/>
  <c r="L39" i="126"/>
  <c r="M39" i="126"/>
  <c r="N39" i="126"/>
  <c r="O39" i="126"/>
  <c r="P39" i="126"/>
  <c r="Q39" i="126"/>
  <c r="R39" i="126"/>
  <c r="S39" i="126"/>
  <c r="T39" i="126"/>
  <c r="U39" i="126"/>
  <c r="V39" i="126"/>
  <c r="W39" i="126"/>
  <c r="X39" i="126"/>
  <c r="Y39" i="126"/>
  <c r="Z39" i="126"/>
  <c r="AA39" i="126"/>
  <c r="AB39" i="126"/>
  <c r="AC39" i="126"/>
  <c r="AD39" i="126"/>
  <c r="AE39" i="126"/>
  <c r="K40" i="126"/>
  <c r="K41" i="126"/>
  <c r="L41" i="126"/>
  <c r="M41" i="126"/>
  <c r="N41" i="126"/>
  <c r="O41" i="126"/>
  <c r="P41" i="126"/>
  <c r="Q41" i="126"/>
  <c r="R41" i="126"/>
  <c r="S41" i="126"/>
  <c r="T41" i="126"/>
  <c r="U41" i="126"/>
  <c r="V41" i="126"/>
  <c r="W41" i="126"/>
  <c r="X41" i="126"/>
  <c r="Y41" i="126"/>
  <c r="Z41" i="126"/>
  <c r="AA41" i="126"/>
  <c r="AB41" i="126"/>
  <c r="AC41" i="126"/>
  <c r="AD41" i="126"/>
  <c r="AE41" i="126"/>
  <c r="K42" i="126"/>
  <c r="L42" i="126"/>
  <c r="M42" i="126"/>
  <c r="N42" i="126"/>
  <c r="O42" i="126"/>
  <c r="P42" i="126"/>
  <c r="Q42" i="126"/>
  <c r="R42" i="126"/>
  <c r="S42" i="126"/>
  <c r="T42" i="126"/>
  <c r="U42" i="126"/>
  <c r="V42" i="126"/>
  <c r="W42" i="126"/>
  <c r="X42" i="126"/>
  <c r="Y42" i="126"/>
  <c r="Z42" i="126"/>
  <c r="AA42" i="126"/>
  <c r="AB42" i="126"/>
  <c r="AC42" i="126"/>
  <c r="AD42" i="126"/>
  <c r="AE42" i="126"/>
  <c r="K44" i="126"/>
  <c r="K47" i="126"/>
  <c r="K48" i="126"/>
  <c r="K49" i="126"/>
  <c r="K51" i="126"/>
  <c r="L51" i="126"/>
  <c r="M51" i="126"/>
  <c r="N51" i="126"/>
  <c r="O51" i="126"/>
  <c r="P51" i="126"/>
  <c r="Q51" i="126"/>
  <c r="R51" i="126"/>
  <c r="S51" i="126"/>
  <c r="T51" i="126"/>
  <c r="U51" i="126"/>
  <c r="V51" i="126"/>
  <c r="W51" i="126"/>
  <c r="X51" i="126"/>
  <c r="Y51" i="126"/>
  <c r="Z51" i="126"/>
  <c r="AA51" i="126"/>
  <c r="AB51" i="126"/>
  <c r="AC51" i="126"/>
  <c r="AD51" i="126"/>
  <c r="AE51" i="126"/>
  <c r="K52" i="126"/>
  <c r="L52" i="126"/>
  <c r="M52" i="126"/>
  <c r="N52" i="126"/>
  <c r="O52" i="126"/>
  <c r="P52" i="126"/>
  <c r="Q52" i="126"/>
  <c r="R52" i="126"/>
  <c r="S52" i="126"/>
  <c r="T52" i="126"/>
  <c r="U52" i="126"/>
  <c r="V52" i="126"/>
  <c r="W52" i="126"/>
  <c r="X52" i="126"/>
  <c r="Y52" i="126"/>
  <c r="Z52" i="126"/>
  <c r="AA52" i="126"/>
  <c r="AB52" i="126"/>
  <c r="AC52" i="126"/>
  <c r="AD52" i="126"/>
  <c r="AE52" i="126"/>
  <c r="K53" i="126"/>
  <c r="L53" i="126"/>
  <c r="M53" i="126"/>
  <c r="N53" i="126"/>
  <c r="O53" i="126"/>
  <c r="P53" i="126"/>
  <c r="Q53" i="126"/>
  <c r="R53" i="126"/>
  <c r="S53" i="126"/>
  <c r="T53" i="126"/>
  <c r="U53" i="126"/>
  <c r="V53" i="126"/>
  <c r="W53" i="126"/>
  <c r="X53" i="126"/>
  <c r="Y53" i="126"/>
  <c r="Z53" i="126"/>
  <c r="AA53" i="126"/>
  <c r="AB53" i="126"/>
  <c r="AC53" i="126"/>
  <c r="AD53" i="126"/>
  <c r="AE53" i="126"/>
  <c r="K54" i="126"/>
  <c r="L54" i="126"/>
  <c r="M54" i="126"/>
  <c r="N54" i="126"/>
  <c r="O54" i="126"/>
  <c r="P54" i="126"/>
  <c r="Q54" i="126"/>
  <c r="R54" i="126"/>
  <c r="S54" i="126"/>
  <c r="T54" i="126"/>
  <c r="U54" i="126"/>
  <c r="V54" i="126"/>
  <c r="W54" i="126"/>
  <c r="X54" i="126"/>
  <c r="Y54" i="126"/>
  <c r="Z54" i="126"/>
  <c r="AA54" i="126"/>
  <c r="AB54" i="126"/>
  <c r="AC54" i="126"/>
  <c r="AD54" i="126"/>
  <c r="AE54" i="126"/>
  <c r="K56" i="126"/>
  <c r="K58" i="126"/>
  <c r="L58" i="126"/>
  <c r="M58" i="126"/>
  <c r="N58" i="126"/>
  <c r="O58" i="126"/>
  <c r="P58" i="126"/>
  <c r="Q58" i="126"/>
  <c r="R58" i="126"/>
  <c r="S58" i="126"/>
  <c r="T58" i="126"/>
  <c r="U58" i="126"/>
  <c r="V58" i="126"/>
  <c r="W58" i="126"/>
  <c r="X58" i="126"/>
  <c r="Y58" i="126"/>
  <c r="Z58" i="126"/>
  <c r="AA58" i="126"/>
  <c r="AB58" i="126"/>
  <c r="AC58" i="126"/>
  <c r="AD58" i="126"/>
  <c r="AE58" i="126"/>
  <c r="K61" i="126"/>
  <c r="L61" i="126"/>
  <c r="M61" i="126"/>
  <c r="N61" i="126"/>
  <c r="O61" i="126"/>
  <c r="P61" i="126"/>
  <c r="Q61" i="126"/>
  <c r="R61" i="126"/>
  <c r="S61" i="126"/>
  <c r="T61" i="126"/>
  <c r="U61" i="126"/>
  <c r="V61" i="126"/>
  <c r="W61" i="126"/>
  <c r="X61" i="126"/>
  <c r="Y61" i="126"/>
  <c r="Z61" i="126"/>
  <c r="AA61" i="126"/>
  <c r="AB61" i="126"/>
  <c r="AC61" i="126"/>
  <c r="AD61" i="126"/>
  <c r="AE61" i="126"/>
  <c r="K62" i="126"/>
  <c r="L62" i="126"/>
  <c r="M62" i="126"/>
  <c r="N62" i="126"/>
  <c r="O62" i="126"/>
  <c r="P62" i="126"/>
  <c r="Q62" i="126"/>
  <c r="R62" i="126"/>
  <c r="S62" i="126"/>
  <c r="T62" i="126"/>
  <c r="U62" i="126"/>
  <c r="V62" i="126"/>
  <c r="W62" i="126"/>
  <c r="X62" i="126"/>
  <c r="Y62" i="126"/>
  <c r="Z62" i="126"/>
  <c r="AA62" i="126"/>
  <c r="AB62" i="126"/>
  <c r="AC62" i="126"/>
  <c r="AD62" i="126"/>
  <c r="AE62" i="126"/>
  <c r="K63" i="126"/>
  <c r="L63" i="126"/>
  <c r="M63" i="126"/>
  <c r="N63" i="126"/>
  <c r="O63" i="126"/>
  <c r="P63" i="126"/>
  <c r="Q63" i="126"/>
  <c r="R63" i="126"/>
  <c r="S63" i="126"/>
  <c r="T63" i="126"/>
  <c r="U63" i="126"/>
  <c r="V63" i="126"/>
  <c r="W63" i="126"/>
  <c r="X63" i="126"/>
  <c r="Y63" i="126"/>
  <c r="Z63" i="126"/>
  <c r="AA63" i="126"/>
  <c r="AB63" i="126"/>
  <c r="AC63" i="126"/>
  <c r="AD63" i="126"/>
  <c r="AE63" i="126"/>
  <c r="K64" i="126"/>
  <c r="L64" i="126"/>
  <c r="M64" i="126"/>
  <c r="N64" i="126"/>
  <c r="O64" i="126"/>
  <c r="P64" i="126"/>
  <c r="Q64" i="126"/>
  <c r="R64" i="126"/>
  <c r="S64" i="126"/>
  <c r="T64" i="126"/>
  <c r="U64" i="126"/>
  <c r="V64" i="126"/>
  <c r="W64" i="126"/>
  <c r="X64" i="126"/>
  <c r="Y64" i="126"/>
  <c r="Z64" i="126"/>
  <c r="AA64" i="126"/>
  <c r="AB64" i="126"/>
  <c r="AC64" i="126"/>
  <c r="AD64" i="126"/>
  <c r="AE64" i="126"/>
  <c r="AF64" i="126"/>
  <c r="K65" i="126"/>
  <c r="L65" i="126"/>
  <c r="M65" i="126"/>
  <c r="N65" i="126"/>
  <c r="O65" i="126"/>
  <c r="P65" i="126"/>
  <c r="Q65" i="126"/>
  <c r="R65" i="126"/>
  <c r="S65" i="126"/>
  <c r="T65" i="126"/>
  <c r="U65" i="126"/>
  <c r="V65" i="126"/>
  <c r="W65" i="126"/>
  <c r="X65" i="126"/>
  <c r="Y65" i="126"/>
  <c r="Z65" i="126"/>
  <c r="AA65" i="126"/>
  <c r="AB65" i="126"/>
  <c r="AC65" i="126"/>
  <c r="AD65" i="126"/>
  <c r="AE65" i="126"/>
  <c r="AF65" i="126"/>
  <c r="K68" i="126"/>
  <c r="L68" i="126"/>
  <c r="M68" i="126"/>
  <c r="N68" i="126"/>
  <c r="O68" i="126"/>
  <c r="P68" i="126"/>
  <c r="Q68" i="126"/>
  <c r="R68" i="126"/>
  <c r="S68" i="126"/>
  <c r="T68" i="126"/>
  <c r="U68" i="126"/>
  <c r="V68" i="126"/>
  <c r="W68" i="126"/>
  <c r="X68" i="126"/>
  <c r="Y68" i="126"/>
  <c r="Z68" i="126"/>
  <c r="AA68" i="126"/>
  <c r="AB68" i="126"/>
  <c r="AC68" i="126"/>
  <c r="AD68" i="126"/>
  <c r="AE68" i="126"/>
  <c r="K69" i="126"/>
  <c r="L69" i="126"/>
  <c r="M69" i="126"/>
  <c r="N69" i="126"/>
  <c r="O69" i="126"/>
  <c r="P69" i="126"/>
  <c r="Q69" i="126"/>
  <c r="R69" i="126"/>
  <c r="S69" i="126"/>
  <c r="T69" i="126"/>
  <c r="U69" i="126"/>
  <c r="V69" i="126"/>
  <c r="W69" i="126"/>
  <c r="X69" i="126"/>
  <c r="Y69" i="126"/>
  <c r="Z69" i="126"/>
  <c r="AA69" i="126"/>
  <c r="AB69" i="126"/>
  <c r="AC69" i="126"/>
  <c r="AD69" i="126"/>
  <c r="AE69" i="126"/>
  <c r="K70" i="126"/>
  <c r="L70" i="126"/>
  <c r="M70" i="126"/>
  <c r="N70" i="126"/>
  <c r="O70" i="126"/>
  <c r="P70" i="126"/>
  <c r="Q70" i="126"/>
  <c r="R70" i="126"/>
  <c r="S70" i="126"/>
  <c r="T70" i="126"/>
  <c r="U70" i="126"/>
  <c r="V70" i="126"/>
  <c r="W70" i="126"/>
  <c r="X70" i="126"/>
  <c r="Y70" i="126"/>
  <c r="Z70" i="126"/>
  <c r="AA70" i="126"/>
  <c r="AB70" i="126"/>
  <c r="AC70" i="126"/>
  <c r="AD70" i="126"/>
  <c r="AE70" i="126"/>
  <c r="G27" i="115"/>
  <c r="N32" i="126"/>
  <c r="H27" i="115"/>
  <c r="O32" i="126"/>
  <c r="I27" i="115"/>
  <c r="P32" i="126"/>
  <c r="J27" i="115"/>
  <c r="Q32" i="126"/>
  <c r="L27" i="115"/>
  <c r="S32" i="126"/>
  <c r="M27" i="115"/>
  <c r="T32" i="126"/>
  <c r="N27" i="115"/>
  <c r="U32" i="126"/>
  <c r="O27" i="115"/>
  <c r="V32" i="126"/>
  <c r="P27" i="115"/>
  <c r="W32" i="126"/>
  <c r="Q27" i="115"/>
  <c r="X32" i="126"/>
  <c r="R27" i="115"/>
  <c r="Y32" i="126"/>
  <c r="S27" i="115"/>
  <c r="Z32" i="126"/>
  <c r="T27" i="115"/>
  <c r="AA32" i="126"/>
  <c r="U27" i="115"/>
  <c r="AB32" i="126"/>
  <c r="V27" i="115"/>
  <c r="AC32" i="126"/>
  <c r="W27" i="115"/>
  <c r="AD32" i="126"/>
  <c r="X27" i="115"/>
  <c r="AE32" i="126"/>
  <c r="E27" i="115"/>
  <c r="L32" i="126"/>
  <c r="J134" i="114"/>
  <c r="E135" i="114"/>
  <c r="E134" i="114"/>
  <c r="F127" i="114"/>
  <c r="J127" i="114"/>
  <c r="O127" i="114"/>
  <c r="T127" i="114"/>
  <c r="E127" i="114"/>
  <c r="E128" i="114"/>
  <c r="E131" i="114"/>
  <c r="E126" i="114"/>
  <c r="M81" i="125"/>
  <c r="N81" i="125"/>
  <c r="O81" i="125"/>
  <c r="P81" i="125"/>
  <c r="Q81" i="125"/>
  <c r="R81" i="125"/>
  <c r="S81" i="125"/>
  <c r="T81" i="125"/>
  <c r="U81" i="125"/>
  <c r="V81" i="125"/>
  <c r="W81" i="125"/>
  <c r="X81" i="125"/>
  <c r="Y81" i="125"/>
  <c r="Z81" i="125"/>
  <c r="AA81" i="125"/>
  <c r="AB81" i="125"/>
  <c r="AC81" i="125"/>
  <c r="AD81" i="125"/>
  <c r="AE81" i="125"/>
  <c r="K176" i="128"/>
  <c r="M174" i="128"/>
  <c r="M176" i="128"/>
  <c r="L174" i="128"/>
  <c r="L176" i="128"/>
  <c r="K174" i="128"/>
  <c r="M152" i="128"/>
  <c r="L152" i="128"/>
  <c r="K149" i="128"/>
  <c r="L143" i="128"/>
  <c r="L142" i="128"/>
  <c r="K142" i="128"/>
  <c r="L140" i="128"/>
  <c r="L154" i="128"/>
  <c r="K140" i="128"/>
  <c r="C140" i="128"/>
  <c r="F139" i="128"/>
  <c r="E139" i="128"/>
  <c r="G139" i="128"/>
  <c r="H139" i="128"/>
  <c r="D139" i="128"/>
  <c r="F138" i="128"/>
  <c r="E138" i="128"/>
  <c r="D138" i="128"/>
  <c r="F137" i="128"/>
  <c r="E137" i="128"/>
  <c r="D137" i="128"/>
  <c r="F136" i="128"/>
  <c r="E136" i="128"/>
  <c r="G136" i="128"/>
  <c r="H136" i="128"/>
  <c r="D136" i="128"/>
  <c r="F135" i="128"/>
  <c r="D135" i="128"/>
  <c r="L127" i="128"/>
  <c r="K127" i="128"/>
  <c r="L126" i="128"/>
  <c r="L125" i="128"/>
  <c r="K125" i="128"/>
  <c r="K126" i="128"/>
  <c r="L123" i="128"/>
  <c r="K123" i="128"/>
  <c r="C123" i="128"/>
  <c r="F122" i="128"/>
  <c r="G122" i="128"/>
  <c r="H122" i="128"/>
  <c r="E122" i="128"/>
  <c r="D122" i="128"/>
  <c r="F121" i="128"/>
  <c r="E121" i="128"/>
  <c r="E123" i="128"/>
  <c r="D121" i="128"/>
  <c r="F120" i="128"/>
  <c r="D120" i="128"/>
  <c r="K83" i="128"/>
  <c r="K89" i="128"/>
  <c r="L82" i="128"/>
  <c r="K81" i="128"/>
  <c r="K79" i="128"/>
  <c r="K112" i="128"/>
  <c r="K162" i="128"/>
  <c r="C79" i="128"/>
  <c r="F78" i="128"/>
  <c r="E78" i="128"/>
  <c r="D78" i="128"/>
  <c r="F77" i="128"/>
  <c r="G77" i="128"/>
  <c r="D77" i="128"/>
  <c r="F76" i="128"/>
  <c r="G76" i="128"/>
  <c r="D76" i="128"/>
  <c r="A60" i="128"/>
  <c r="A28" i="128"/>
  <c r="A27" i="128"/>
  <c r="A25" i="128"/>
  <c r="A24" i="128"/>
  <c r="A23" i="128"/>
  <c r="A19" i="128"/>
  <c r="A18" i="128"/>
  <c r="A17" i="128"/>
  <c r="N174" i="128"/>
  <c r="N176" i="128"/>
  <c r="K11" i="128"/>
  <c r="E4" i="128"/>
  <c r="A3" i="128"/>
  <c r="A2" i="128"/>
  <c r="A1" i="128"/>
  <c r="K175" i="127"/>
  <c r="M173" i="127"/>
  <c r="M175" i="127"/>
  <c r="K173" i="127"/>
  <c r="L173" i="127"/>
  <c r="L175" i="127"/>
  <c r="M151" i="127"/>
  <c r="L151" i="127"/>
  <c r="K148" i="127"/>
  <c r="L142" i="127"/>
  <c r="L141" i="127"/>
  <c r="L143" i="127"/>
  <c r="K141" i="127"/>
  <c r="L139" i="127"/>
  <c r="K139" i="127"/>
  <c r="C139" i="127"/>
  <c r="F138" i="127"/>
  <c r="E138" i="127"/>
  <c r="D138" i="127"/>
  <c r="F137" i="127"/>
  <c r="E137" i="127"/>
  <c r="D137" i="127"/>
  <c r="F136" i="127"/>
  <c r="E136" i="127"/>
  <c r="D136" i="127"/>
  <c r="F135" i="127"/>
  <c r="E135" i="127"/>
  <c r="D135" i="127"/>
  <c r="F134" i="127"/>
  <c r="G134" i="127"/>
  <c r="D134" i="127"/>
  <c r="L126" i="127"/>
  <c r="K126" i="127"/>
  <c r="L125" i="127"/>
  <c r="L124" i="127"/>
  <c r="K124" i="127"/>
  <c r="L122" i="127"/>
  <c r="L128" i="127"/>
  <c r="K122" i="127"/>
  <c r="C122" i="127"/>
  <c r="F121" i="127"/>
  <c r="E121" i="127"/>
  <c r="D121" i="127"/>
  <c r="F120" i="127"/>
  <c r="E120" i="127"/>
  <c r="D120" i="127"/>
  <c r="F119" i="127"/>
  <c r="D119" i="127"/>
  <c r="E133" i="116"/>
  <c r="L97" i="127"/>
  <c r="K82" i="127"/>
  <c r="K88" i="127"/>
  <c r="K80" i="127"/>
  <c r="K78" i="127"/>
  <c r="K111" i="127"/>
  <c r="K161" i="127"/>
  <c r="C78" i="127"/>
  <c r="F77" i="127"/>
  <c r="G77" i="127"/>
  <c r="D77" i="127"/>
  <c r="F76" i="127"/>
  <c r="G76" i="127"/>
  <c r="M76" i="127"/>
  <c r="D76" i="127"/>
  <c r="A60" i="127"/>
  <c r="A28" i="127"/>
  <c r="A27" i="127"/>
  <c r="A25" i="127"/>
  <c r="A24" i="127"/>
  <c r="A23" i="127"/>
  <c r="A19" i="127"/>
  <c r="A18" i="127"/>
  <c r="A17" i="127"/>
  <c r="L11" i="127"/>
  <c r="M88" i="127"/>
  <c r="F128" i="116"/>
  <c r="K11" i="127"/>
  <c r="E4" i="127"/>
  <c r="A3" i="127"/>
  <c r="A2" i="127"/>
  <c r="A1" i="127"/>
  <c r="K175" i="126"/>
  <c r="M173" i="126"/>
  <c r="M175" i="126"/>
  <c r="K173" i="126"/>
  <c r="L173" i="126"/>
  <c r="L175" i="126"/>
  <c r="M151" i="126"/>
  <c r="L151" i="126"/>
  <c r="K148" i="126"/>
  <c r="L142" i="126"/>
  <c r="L141" i="126"/>
  <c r="K141" i="126"/>
  <c r="L139" i="126"/>
  <c r="L153" i="126"/>
  <c r="K139" i="126"/>
  <c r="C139" i="126"/>
  <c r="F138" i="126"/>
  <c r="E138" i="126"/>
  <c r="G138" i="126"/>
  <c r="H138" i="126"/>
  <c r="D138" i="126"/>
  <c r="F137" i="126"/>
  <c r="E137" i="126"/>
  <c r="G137" i="126"/>
  <c r="H137" i="126"/>
  <c r="D137" i="126"/>
  <c r="F136" i="126"/>
  <c r="E136" i="126"/>
  <c r="D136" i="126"/>
  <c r="F135" i="126"/>
  <c r="E135" i="126"/>
  <c r="D135" i="126"/>
  <c r="F134" i="126"/>
  <c r="D134" i="126"/>
  <c r="L126" i="126"/>
  <c r="K126" i="126"/>
  <c r="L125" i="126"/>
  <c r="L124" i="126"/>
  <c r="K124" i="126"/>
  <c r="K125" i="126"/>
  <c r="L122" i="126"/>
  <c r="L128" i="126"/>
  <c r="L130" i="126"/>
  <c r="E140" i="115"/>
  <c r="K122" i="126"/>
  <c r="E122" i="126"/>
  <c r="C122" i="126"/>
  <c r="F121" i="126"/>
  <c r="E121" i="126"/>
  <c r="D121" i="126"/>
  <c r="F120" i="126"/>
  <c r="E120" i="126"/>
  <c r="D120" i="126"/>
  <c r="F119" i="126"/>
  <c r="G119" i="126"/>
  <c r="D119" i="126"/>
  <c r="E133" i="115"/>
  <c r="L97" i="126"/>
  <c r="K82" i="126"/>
  <c r="K80" i="126"/>
  <c r="K78" i="126"/>
  <c r="K111" i="126"/>
  <c r="K161" i="126"/>
  <c r="C78" i="126"/>
  <c r="F77" i="126"/>
  <c r="G77" i="126"/>
  <c r="D77" i="126"/>
  <c r="G76" i="126"/>
  <c r="F76" i="126"/>
  <c r="D76" i="126"/>
  <c r="A60" i="126"/>
  <c r="A28" i="126"/>
  <c r="A27" i="126"/>
  <c r="A25" i="126"/>
  <c r="A24" i="126"/>
  <c r="A23" i="126"/>
  <c r="A19" i="126"/>
  <c r="A18" i="126"/>
  <c r="A17" i="126"/>
  <c r="L11" i="126"/>
  <c r="K11" i="126"/>
  <c r="E4" i="126"/>
  <c r="A3" i="126"/>
  <c r="A2" i="126"/>
  <c r="A1" i="126"/>
  <c r="G27" i="114"/>
  <c r="H27" i="114"/>
  <c r="O32" i="125"/>
  <c r="I27" i="114"/>
  <c r="P32" i="125"/>
  <c r="J27" i="114"/>
  <c r="K27" i="114"/>
  <c r="R32" i="125"/>
  <c r="L27" i="114"/>
  <c r="S32" i="125"/>
  <c r="M27" i="114"/>
  <c r="T32" i="125"/>
  <c r="N27" i="114"/>
  <c r="O27" i="114"/>
  <c r="V32" i="125"/>
  <c r="P27" i="114"/>
  <c r="W32" i="125"/>
  <c r="Q27" i="114"/>
  <c r="X32" i="125"/>
  <c r="R27" i="114"/>
  <c r="S27" i="114"/>
  <c r="Z32" i="125"/>
  <c r="T27" i="114"/>
  <c r="AA32" i="125"/>
  <c r="U27" i="114"/>
  <c r="AB32" i="125"/>
  <c r="V27" i="114"/>
  <c r="W27" i="114"/>
  <c r="X27" i="114"/>
  <c r="E27" i="114"/>
  <c r="M28" i="125"/>
  <c r="N28" i="125"/>
  <c r="O28" i="125"/>
  <c r="P28" i="125"/>
  <c r="Q28" i="125"/>
  <c r="R28" i="125"/>
  <c r="S28" i="125"/>
  <c r="T28" i="125"/>
  <c r="U28" i="125"/>
  <c r="V28" i="125"/>
  <c r="W28" i="125"/>
  <c r="X28" i="125"/>
  <c r="Y28" i="125"/>
  <c r="Z28" i="125"/>
  <c r="AA28" i="125"/>
  <c r="AB28" i="125"/>
  <c r="AC28" i="125"/>
  <c r="AD28" i="125"/>
  <c r="AE28" i="125"/>
  <c r="N32" i="125"/>
  <c r="Q32" i="125"/>
  <c r="U32" i="125"/>
  <c r="Y32" i="125"/>
  <c r="AC32" i="125"/>
  <c r="AD32" i="125"/>
  <c r="AE32" i="125"/>
  <c r="M34" i="125"/>
  <c r="N34" i="125"/>
  <c r="O34" i="125"/>
  <c r="P34" i="125"/>
  <c r="Q34" i="125"/>
  <c r="R34" i="125"/>
  <c r="S34" i="125"/>
  <c r="T34" i="125"/>
  <c r="U34" i="125"/>
  <c r="V34" i="125"/>
  <c r="W34" i="125"/>
  <c r="X34" i="125"/>
  <c r="Y34" i="125"/>
  <c r="Z34" i="125"/>
  <c r="AA34" i="125"/>
  <c r="AB34" i="125"/>
  <c r="AC34" i="125"/>
  <c r="AD34" i="125"/>
  <c r="AE34" i="125"/>
  <c r="M36" i="125"/>
  <c r="N36" i="125"/>
  <c r="O36" i="125"/>
  <c r="P36" i="125"/>
  <c r="Q36" i="125"/>
  <c r="R36" i="125"/>
  <c r="S36" i="125"/>
  <c r="T36" i="125"/>
  <c r="U36" i="125"/>
  <c r="V36" i="125"/>
  <c r="W36" i="125"/>
  <c r="X36" i="125"/>
  <c r="Y36" i="125"/>
  <c r="Z36" i="125"/>
  <c r="AA36" i="125"/>
  <c r="AB36" i="125"/>
  <c r="AC36" i="125"/>
  <c r="AD36" i="125"/>
  <c r="AE36" i="125"/>
  <c r="M39" i="125"/>
  <c r="N39" i="125"/>
  <c r="O39" i="125"/>
  <c r="P39" i="125"/>
  <c r="Q39" i="125"/>
  <c r="R39" i="125"/>
  <c r="S39" i="125"/>
  <c r="T39" i="125"/>
  <c r="U39" i="125"/>
  <c r="V39" i="125"/>
  <c r="W39" i="125"/>
  <c r="X39" i="125"/>
  <c r="Y39" i="125"/>
  <c r="Z39" i="125"/>
  <c r="AA39" i="125"/>
  <c r="AB39" i="125"/>
  <c r="AC39" i="125"/>
  <c r="AD39" i="125"/>
  <c r="AE39" i="125"/>
  <c r="M41" i="125"/>
  <c r="N41" i="125"/>
  <c r="O41" i="125"/>
  <c r="P41" i="125"/>
  <c r="Q41" i="125"/>
  <c r="R41" i="125"/>
  <c r="S41" i="125"/>
  <c r="T41" i="125"/>
  <c r="U41" i="125"/>
  <c r="V41" i="125"/>
  <c r="W41" i="125"/>
  <c r="X41" i="125"/>
  <c r="Y41" i="125"/>
  <c r="Z41" i="125"/>
  <c r="AA41" i="125"/>
  <c r="AB41" i="125"/>
  <c r="AC41" i="125"/>
  <c r="AD41" i="125"/>
  <c r="AE41" i="125"/>
  <c r="M42" i="125"/>
  <c r="N42" i="125"/>
  <c r="O42" i="125"/>
  <c r="P42" i="125"/>
  <c r="Q42" i="125"/>
  <c r="R42" i="125"/>
  <c r="S42" i="125"/>
  <c r="T42" i="125"/>
  <c r="U42" i="125"/>
  <c r="V42" i="125"/>
  <c r="W42" i="125"/>
  <c r="X42" i="125"/>
  <c r="Y42" i="125"/>
  <c r="Z42" i="125"/>
  <c r="AA42" i="125"/>
  <c r="AB42" i="125"/>
  <c r="AC42" i="125"/>
  <c r="AD42" i="125"/>
  <c r="AE42" i="125"/>
  <c r="M51" i="125"/>
  <c r="N51" i="125"/>
  <c r="O51" i="125"/>
  <c r="P51" i="125"/>
  <c r="Q51" i="125"/>
  <c r="R51" i="125"/>
  <c r="S51" i="125"/>
  <c r="T51" i="125"/>
  <c r="U51" i="125"/>
  <c r="V51" i="125"/>
  <c r="W51" i="125"/>
  <c r="X51" i="125"/>
  <c r="Y51" i="125"/>
  <c r="Z51" i="125"/>
  <c r="AA51" i="125"/>
  <c r="AB51" i="125"/>
  <c r="AC51" i="125"/>
  <c r="AD51" i="125"/>
  <c r="AE51" i="125"/>
  <c r="M52" i="125"/>
  <c r="N52" i="125"/>
  <c r="O52" i="125"/>
  <c r="P52" i="125"/>
  <c r="Q52" i="125"/>
  <c r="R52" i="125"/>
  <c r="S52" i="125"/>
  <c r="T52" i="125"/>
  <c r="U52" i="125"/>
  <c r="V52" i="125"/>
  <c r="W52" i="125"/>
  <c r="X52" i="125"/>
  <c r="Y52" i="125"/>
  <c r="Z52" i="125"/>
  <c r="AA52" i="125"/>
  <c r="AB52" i="125"/>
  <c r="AC52" i="125"/>
  <c r="AD52" i="125"/>
  <c r="AE52" i="125"/>
  <c r="M53" i="125"/>
  <c r="N53" i="125"/>
  <c r="O53" i="125"/>
  <c r="P53" i="125"/>
  <c r="Q53" i="125"/>
  <c r="R53" i="125"/>
  <c r="S53" i="125"/>
  <c r="T53" i="125"/>
  <c r="U53" i="125"/>
  <c r="V53" i="125"/>
  <c r="W53" i="125"/>
  <c r="X53" i="125"/>
  <c r="Y53" i="125"/>
  <c r="Z53" i="125"/>
  <c r="AA53" i="125"/>
  <c r="AB53" i="125"/>
  <c r="AC53" i="125"/>
  <c r="AD53" i="125"/>
  <c r="AE53" i="125"/>
  <c r="M54" i="125"/>
  <c r="N54" i="125"/>
  <c r="O54" i="125"/>
  <c r="P54" i="125"/>
  <c r="Q54" i="125"/>
  <c r="R54" i="125"/>
  <c r="S54" i="125"/>
  <c r="T54" i="125"/>
  <c r="U54" i="125"/>
  <c r="V54" i="125"/>
  <c r="W54" i="125"/>
  <c r="X54" i="125"/>
  <c r="Y54" i="125"/>
  <c r="Z54" i="125"/>
  <c r="AA54" i="125"/>
  <c r="AB54" i="125"/>
  <c r="AC54" i="125"/>
  <c r="AD54" i="125"/>
  <c r="AE54" i="125"/>
  <c r="M58" i="125"/>
  <c r="N58" i="125"/>
  <c r="O58" i="125"/>
  <c r="P58" i="125"/>
  <c r="Q58" i="125"/>
  <c r="R58" i="125"/>
  <c r="S58" i="125"/>
  <c r="T58" i="125"/>
  <c r="U58" i="125"/>
  <c r="V58" i="125"/>
  <c r="W58" i="125"/>
  <c r="X58" i="125"/>
  <c r="Y58" i="125"/>
  <c r="Z58" i="125"/>
  <c r="AA58" i="125"/>
  <c r="AB58" i="125"/>
  <c r="AC58" i="125"/>
  <c r="AD58" i="125"/>
  <c r="AE58" i="125"/>
  <c r="M61" i="125"/>
  <c r="N61" i="125"/>
  <c r="O61" i="125"/>
  <c r="P61" i="125"/>
  <c r="Q61" i="125"/>
  <c r="R61" i="125"/>
  <c r="S61" i="125"/>
  <c r="T61" i="125"/>
  <c r="U61" i="125"/>
  <c r="V61" i="125"/>
  <c r="W61" i="125"/>
  <c r="X61" i="125"/>
  <c r="Y61" i="125"/>
  <c r="Z61" i="125"/>
  <c r="AA61" i="125"/>
  <c r="AB61" i="125"/>
  <c r="AC61" i="125"/>
  <c r="AD61" i="125"/>
  <c r="AE61" i="125"/>
  <c r="M62" i="125"/>
  <c r="N62" i="125"/>
  <c r="O62" i="125"/>
  <c r="P62" i="125"/>
  <c r="Q62" i="125"/>
  <c r="R62" i="125"/>
  <c r="S62" i="125"/>
  <c r="T62" i="125"/>
  <c r="U62" i="125"/>
  <c r="V62" i="125"/>
  <c r="W62" i="125"/>
  <c r="X62" i="125"/>
  <c r="Y62" i="125"/>
  <c r="Z62" i="125"/>
  <c r="AA62" i="125"/>
  <c r="AB62" i="125"/>
  <c r="AC62" i="125"/>
  <c r="AD62" i="125"/>
  <c r="AE62" i="125"/>
  <c r="M63" i="125"/>
  <c r="N63" i="125"/>
  <c r="O63" i="125"/>
  <c r="P63" i="125"/>
  <c r="Q63" i="125"/>
  <c r="R63" i="125"/>
  <c r="S63" i="125"/>
  <c r="T63" i="125"/>
  <c r="U63" i="125"/>
  <c r="V63" i="125"/>
  <c r="W63" i="125"/>
  <c r="X63" i="125"/>
  <c r="Y63" i="125"/>
  <c r="Z63" i="125"/>
  <c r="AA63" i="125"/>
  <c r="AB63" i="125"/>
  <c r="AC63" i="125"/>
  <c r="AD63" i="125"/>
  <c r="AE63" i="125"/>
  <c r="M64" i="125"/>
  <c r="N64" i="125"/>
  <c r="O64" i="125"/>
  <c r="P64" i="125"/>
  <c r="Q64" i="125"/>
  <c r="R64" i="125"/>
  <c r="S64" i="125"/>
  <c r="T64" i="125"/>
  <c r="U64" i="125"/>
  <c r="V64" i="125"/>
  <c r="W64" i="125"/>
  <c r="X64" i="125"/>
  <c r="Y64" i="125"/>
  <c r="Z64" i="125"/>
  <c r="AA64" i="125"/>
  <c r="AB64" i="125"/>
  <c r="AC64" i="125"/>
  <c r="AD64" i="125"/>
  <c r="AE64" i="125"/>
  <c r="M65" i="125"/>
  <c r="N65" i="125"/>
  <c r="O65" i="125"/>
  <c r="P65" i="125"/>
  <c r="Q65" i="125"/>
  <c r="R65" i="125"/>
  <c r="S65" i="125"/>
  <c r="T65" i="125"/>
  <c r="U65" i="125"/>
  <c r="V65" i="125"/>
  <c r="W65" i="125"/>
  <c r="X65" i="125"/>
  <c r="Y65" i="125"/>
  <c r="Z65" i="125"/>
  <c r="AA65" i="125"/>
  <c r="AB65" i="125"/>
  <c r="AC65" i="125"/>
  <c r="AD65" i="125"/>
  <c r="AE65" i="125"/>
  <c r="M67" i="125"/>
  <c r="N67" i="125"/>
  <c r="O67" i="125"/>
  <c r="P67" i="125"/>
  <c r="Q67" i="125"/>
  <c r="R67" i="125"/>
  <c r="S67" i="125"/>
  <c r="T67" i="125"/>
  <c r="U67" i="125"/>
  <c r="V67" i="125"/>
  <c r="W67" i="125"/>
  <c r="X67" i="125"/>
  <c r="Y67" i="125"/>
  <c r="Z67" i="125"/>
  <c r="AA67" i="125"/>
  <c r="AB67" i="125"/>
  <c r="AC67" i="125"/>
  <c r="AD67" i="125"/>
  <c r="AE67" i="125"/>
  <c r="M68" i="125"/>
  <c r="N68" i="125"/>
  <c r="O68" i="125"/>
  <c r="P68" i="125"/>
  <c r="Q68" i="125"/>
  <c r="R68" i="125"/>
  <c r="S68" i="125"/>
  <c r="T68" i="125"/>
  <c r="U68" i="125"/>
  <c r="V68" i="125"/>
  <c r="W68" i="125"/>
  <c r="X68" i="125"/>
  <c r="Y68" i="125"/>
  <c r="Z68" i="125"/>
  <c r="AA68" i="125"/>
  <c r="AB68" i="125"/>
  <c r="AC68" i="125"/>
  <c r="AD68" i="125"/>
  <c r="AE68" i="125"/>
  <c r="M69" i="125"/>
  <c r="N69" i="125"/>
  <c r="O69" i="125"/>
  <c r="P69" i="125"/>
  <c r="Q69" i="125"/>
  <c r="R69" i="125"/>
  <c r="S69" i="125"/>
  <c r="T69" i="125"/>
  <c r="U69" i="125"/>
  <c r="V69" i="125"/>
  <c r="W69" i="125"/>
  <c r="X69" i="125"/>
  <c r="Y69" i="125"/>
  <c r="Z69" i="125"/>
  <c r="AA69" i="125"/>
  <c r="AB69" i="125"/>
  <c r="AC69" i="125"/>
  <c r="AD69" i="125"/>
  <c r="AE69" i="125"/>
  <c r="M70" i="125"/>
  <c r="N70" i="125"/>
  <c r="O70" i="125"/>
  <c r="P70" i="125"/>
  <c r="Q70" i="125"/>
  <c r="R70" i="125"/>
  <c r="S70" i="125"/>
  <c r="T70" i="125"/>
  <c r="U70" i="125"/>
  <c r="V70" i="125"/>
  <c r="W70" i="125"/>
  <c r="X70" i="125"/>
  <c r="Y70" i="125"/>
  <c r="Z70" i="125"/>
  <c r="AA70" i="125"/>
  <c r="AB70" i="125"/>
  <c r="AC70" i="125"/>
  <c r="AD70" i="125"/>
  <c r="AE70" i="125"/>
  <c r="L18" i="125"/>
  <c r="L19" i="125"/>
  <c r="L20" i="125"/>
  <c r="L28" i="125"/>
  <c r="L32" i="125"/>
  <c r="L33" i="125"/>
  <c r="L34" i="125"/>
  <c r="L36" i="125"/>
  <c r="L38" i="125"/>
  <c r="L39" i="125"/>
  <c r="L41" i="125"/>
  <c r="L42" i="125"/>
  <c r="L51" i="125"/>
  <c r="L52" i="125"/>
  <c r="L53" i="125"/>
  <c r="L54" i="125"/>
  <c r="L58" i="125"/>
  <c r="L61" i="125"/>
  <c r="L62" i="125"/>
  <c r="L63" i="125"/>
  <c r="L64" i="125"/>
  <c r="L65" i="125"/>
  <c r="L67" i="125"/>
  <c r="L68" i="125"/>
  <c r="L69" i="125"/>
  <c r="L70" i="125"/>
  <c r="L17" i="125"/>
  <c r="J134" i="113"/>
  <c r="E135" i="113"/>
  <c r="E134" i="113"/>
  <c r="F127" i="113"/>
  <c r="J127" i="113"/>
  <c r="O127" i="113"/>
  <c r="T127" i="113"/>
  <c r="E127" i="113"/>
  <c r="E128" i="113"/>
  <c r="E131" i="113"/>
  <c r="E126" i="113"/>
  <c r="K175" i="125"/>
  <c r="M173" i="125"/>
  <c r="M175" i="125"/>
  <c r="K173" i="125"/>
  <c r="L173" i="125"/>
  <c r="L175" i="125"/>
  <c r="M151" i="125"/>
  <c r="L151" i="125"/>
  <c r="K148" i="125"/>
  <c r="L142" i="125"/>
  <c r="L141" i="125"/>
  <c r="K141" i="125"/>
  <c r="L139" i="125"/>
  <c r="K139" i="125"/>
  <c r="C139" i="125"/>
  <c r="F138" i="125"/>
  <c r="E138" i="125"/>
  <c r="D138" i="125"/>
  <c r="F137" i="125"/>
  <c r="E137" i="125"/>
  <c r="D137" i="125"/>
  <c r="F136" i="125"/>
  <c r="E136" i="125"/>
  <c r="D136" i="125"/>
  <c r="F135" i="125"/>
  <c r="E135" i="125"/>
  <c r="D135" i="125"/>
  <c r="F134" i="125"/>
  <c r="D134" i="125"/>
  <c r="L126" i="125"/>
  <c r="K126" i="125"/>
  <c r="L125" i="125"/>
  <c r="L124" i="125"/>
  <c r="K124" i="125"/>
  <c r="L122" i="125"/>
  <c r="L128" i="125"/>
  <c r="K122" i="125"/>
  <c r="C122" i="125"/>
  <c r="F121" i="125"/>
  <c r="E121" i="125"/>
  <c r="D121" i="125"/>
  <c r="F120" i="125"/>
  <c r="E120" i="125"/>
  <c r="E122" i="125"/>
  <c r="D120" i="125"/>
  <c r="F119" i="125"/>
  <c r="D119" i="125"/>
  <c r="E133" i="114"/>
  <c r="L97" i="125"/>
  <c r="K82" i="125"/>
  <c r="K88" i="125"/>
  <c r="K80" i="125"/>
  <c r="K78" i="125"/>
  <c r="K111" i="125"/>
  <c r="K161" i="125"/>
  <c r="C78" i="125"/>
  <c r="E78" i="125"/>
  <c r="F77" i="125"/>
  <c r="G77" i="125"/>
  <c r="D77" i="125"/>
  <c r="F76" i="125"/>
  <c r="D76" i="125"/>
  <c r="K70" i="125"/>
  <c r="K69" i="125"/>
  <c r="K68" i="125"/>
  <c r="AF65" i="125"/>
  <c r="K65" i="125"/>
  <c r="AF64" i="125"/>
  <c r="K64" i="125"/>
  <c r="K63" i="125"/>
  <c r="K62" i="125"/>
  <c r="K61" i="125"/>
  <c r="A60" i="125"/>
  <c r="K58" i="125"/>
  <c r="K56" i="125"/>
  <c r="K54" i="125"/>
  <c r="K53" i="125"/>
  <c r="K52" i="125"/>
  <c r="K51" i="125"/>
  <c r="K49" i="125"/>
  <c r="K48" i="125"/>
  <c r="K47" i="125"/>
  <c r="K44" i="125"/>
  <c r="K42" i="125"/>
  <c r="K41" i="125"/>
  <c r="K40" i="125"/>
  <c r="K39" i="125"/>
  <c r="K38" i="125"/>
  <c r="K36" i="125"/>
  <c r="K35" i="125"/>
  <c r="K34" i="125"/>
  <c r="K33" i="125"/>
  <c r="K32" i="125"/>
  <c r="K28" i="125"/>
  <c r="A28" i="125"/>
  <c r="A27" i="125"/>
  <c r="A25" i="125"/>
  <c r="A24" i="125"/>
  <c r="A23" i="125"/>
  <c r="A19" i="125"/>
  <c r="A18" i="125"/>
  <c r="A17" i="125"/>
  <c r="L11" i="125"/>
  <c r="K11" i="125"/>
  <c r="E4" i="125"/>
  <c r="A3" i="125"/>
  <c r="A2" i="125"/>
  <c r="A1" i="125"/>
  <c r="L17" i="124"/>
  <c r="L18" i="124"/>
  <c r="L19" i="124"/>
  <c r="L20" i="124"/>
  <c r="K28" i="124"/>
  <c r="L28" i="124"/>
  <c r="M28" i="124"/>
  <c r="N28" i="124"/>
  <c r="O28" i="124"/>
  <c r="P28" i="124"/>
  <c r="Q28" i="124"/>
  <c r="R28" i="124"/>
  <c r="S28" i="124"/>
  <c r="T28" i="124"/>
  <c r="U28" i="124"/>
  <c r="V28" i="124"/>
  <c r="W28" i="124"/>
  <c r="X28" i="124"/>
  <c r="Y28" i="124"/>
  <c r="Z28" i="124"/>
  <c r="AA28" i="124"/>
  <c r="AB28" i="124"/>
  <c r="AC28" i="124"/>
  <c r="AD28" i="124"/>
  <c r="AE28" i="124"/>
  <c r="K32" i="124"/>
  <c r="K33" i="124"/>
  <c r="L33" i="124"/>
  <c r="K34" i="124"/>
  <c r="L34" i="124"/>
  <c r="M34" i="124"/>
  <c r="N34" i="124"/>
  <c r="O34" i="124"/>
  <c r="P34" i="124"/>
  <c r="Q34" i="124"/>
  <c r="R34" i="124"/>
  <c r="S34" i="124"/>
  <c r="T34" i="124"/>
  <c r="U34" i="124"/>
  <c r="V34" i="124"/>
  <c r="W34" i="124"/>
  <c r="X34" i="124"/>
  <c r="Y34" i="124"/>
  <c r="Z34" i="124"/>
  <c r="AA34" i="124"/>
  <c r="AB34" i="124"/>
  <c r="AC34" i="124"/>
  <c r="AD34" i="124"/>
  <c r="AE34" i="124"/>
  <c r="K35" i="124"/>
  <c r="K36" i="124"/>
  <c r="L36" i="124"/>
  <c r="M36" i="124"/>
  <c r="N36" i="124"/>
  <c r="O36" i="124"/>
  <c r="P36" i="124"/>
  <c r="Q36" i="124"/>
  <c r="R36" i="124"/>
  <c r="S36" i="124"/>
  <c r="T36" i="124"/>
  <c r="U36" i="124"/>
  <c r="V36" i="124"/>
  <c r="W36" i="124"/>
  <c r="X36" i="124"/>
  <c r="Y36" i="124"/>
  <c r="Z36" i="124"/>
  <c r="AA36" i="124"/>
  <c r="AB36" i="124"/>
  <c r="AC36" i="124"/>
  <c r="AD36" i="124"/>
  <c r="AE36" i="124"/>
  <c r="K38" i="124"/>
  <c r="L38" i="124"/>
  <c r="K39" i="124"/>
  <c r="L39" i="124"/>
  <c r="M39" i="124"/>
  <c r="N39" i="124"/>
  <c r="O39" i="124"/>
  <c r="P39" i="124"/>
  <c r="Q39" i="124"/>
  <c r="R39" i="124"/>
  <c r="S39" i="124"/>
  <c r="T39" i="124"/>
  <c r="U39" i="124"/>
  <c r="V39" i="124"/>
  <c r="W39" i="124"/>
  <c r="X39" i="124"/>
  <c r="Y39" i="124"/>
  <c r="Z39" i="124"/>
  <c r="AA39" i="124"/>
  <c r="AB39" i="124"/>
  <c r="AC39" i="124"/>
  <c r="AD39" i="124"/>
  <c r="AE39" i="124"/>
  <c r="K40" i="124"/>
  <c r="K41" i="124"/>
  <c r="L41" i="124"/>
  <c r="M41" i="124"/>
  <c r="N41" i="124"/>
  <c r="O41" i="124"/>
  <c r="P41" i="124"/>
  <c r="Q41" i="124"/>
  <c r="R41" i="124"/>
  <c r="S41" i="124"/>
  <c r="T41" i="124"/>
  <c r="U41" i="124"/>
  <c r="V41" i="124"/>
  <c r="W41" i="124"/>
  <c r="X41" i="124"/>
  <c r="Y41" i="124"/>
  <c r="Z41" i="124"/>
  <c r="AA41" i="124"/>
  <c r="AB41" i="124"/>
  <c r="AC41" i="124"/>
  <c r="AD41" i="124"/>
  <c r="AE41" i="124"/>
  <c r="K42" i="124"/>
  <c r="L42" i="124"/>
  <c r="M42" i="124"/>
  <c r="N42" i="124"/>
  <c r="O42" i="124"/>
  <c r="P42" i="124"/>
  <c r="Q42" i="124"/>
  <c r="R42" i="124"/>
  <c r="S42" i="124"/>
  <c r="T42" i="124"/>
  <c r="U42" i="124"/>
  <c r="V42" i="124"/>
  <c r="W42" i="124"/>
  <c r="X42" i="124"/>
  <c r="Y42" i="124"/>
  <c r="Z42" i="124"/>
  <c r="AA42" i="124"/>
  <c r="AB42" i="124"/>
  <c r="AC42" i="124"/>
  <c r="AD42" i="124"/>
  <c r="AE42" i="124"/>
  <c r="K44" i="124"/>
  <c r="K47" i="124"/>
  <c r="K48" i="124"/>
  <c r="K49" i="124"/>
  <c r="K51" i="124"/>
  <c r="L51" i="124"/>
  <c r="M51" i="124"/>
  <c r="N51" i="124"/>
  <c r="O51" i="124"/>
  <c r="P51" i="124"/>
  <c r="Q51" i="124"/>
  <c r="R51" i="124"/>
  <c r="S51" i="124"/>
  <c r="T51" i="124"/>
  <c r="U51" i="124"/>
  <c r="V51" i="124"/>
  <c r="W51" i="124"/>
  <c r="X51" i="124"/>
  <c r="Y51" i="124"/>
  <c r="Z51" i="124"/>
  <c r="AA51" i="124"/>
  <c r="AB51" i="124"/>
  <c r="AC51" i="124"/>
  <c r="AD51" i="124"/>
  <c r="AE51" i="124"/>
  <c r="K52" i="124"/>
  <c r="L52" i="124"/>
  <c r="M52" i="124"/>
  <c r="N52" i="124"/>
  <c r="O52" i="124"/>
  <c r="P52" i="124"/>
  <c r="Q52" i="124"/>
  <c r="R52" i="124"/>
  <c r="S52" i="124"/>
  <c r="T52" i="124"/>
  <c r="U52" i="124"/>
  <c r="V52" i="124"/>
  <c r="W52" i="124"/>
  <c r="X52" i="124"/>
  <c r="Y52" i="124"/>
  <c r="Z52" i="124"/>
  <c r="AA52" i="124"/>
  <c r="AB52" i="124"/>
  <c r="AC52" i="124"/>
  <c r="AD52" i="124"/>
  <c r="AE52" i="124"/>
  <c r="K53" i="124"/>
  <c r="L53" i="124"/>
  <c r="M53" i="124"/>
  <c r="N53" i="124"/>
  <c r="O53" i="124"/>
  <c r="P53" i="124"/>
  <c r="Q53" i="124"/>
  <c r="R53" i="124"/>
  <c r="S53" i="124"/>
  <c r="T53" i="124"/>
  <c r="U53" i="124"/>
  <c r="V53" i="124"/>
  <c r="W53" i="124"/>
  <c r="X53" i="124"/>
  <c r="Y53" i="124"/>
  <c r="Z53" i="124"/>
  <c r="AA53" i="124"/>
  <c r="AB53" i="124"/>
  <c r="AC53" i="124"/>
  <c r="AD53" i="124"/>
  <c r="AE53" i="124"/>
  <c r="K54" i="124"/>
  <c r="L54" i="124"/>
  <c r="M54" i="124"/>
  <c r="N54" i="124"/>
  <c r="O54" i="124"/>
  <c r="P54" i="124"/>
  <c r="Q54" i="124"/>
  <c r="R54" i="124"/>
  <c r="S54" i="124"/>
  <c r="T54" i="124"/>
  <c r="U54" i="124"/>
  <c r="V54" i="124"/>
  <c r="W54" i="124"/>
  <c r="X54" i="124"/>
  <c r="Y54" i="124"/>
  <c r="Z54" i="124"/>
  <c r="AA54" i="124"/>
  <c r="AB54" i="124"/>
  <c r="AC54" i="124"/>
  <c r="AD54" i="124"/>
  <c r="AE54" i="124"/>
  <c r="K55" i="124"/>
  <c r="L55" i="124"/>
  <c r="M55" i="124"/>
  <c r="N55" i="124"/>
  <c r="O55" i="124"/>
  <c r="P55" i="124"/>
  <c r="Q55" i="124"/>
  <c r="R55" i="124"/>
  <c r="S55" i="124"/>
  <c r="T55" i="124"/>
  <c r="U55" i="124"/>
  <c r="V55" i="124"/>
  <c r="W55" i="124"/>
  <c r="X55" i="124"/>
  <c r="Y55" i="124"/>
  <c r="Z55" i="124"/>
  <c r="AA55" i="124"/>
  <c r="AB55" i="124"/>
  <c r="AC55" i="124"/>
  <c r="AD55" i="124"/>
  <c r="AE55" i="124"/>
  <c r="K56" i="124"/>
  <c r="K58" i="124"/>
  <c r="L58" i="124"/>
  <c r="M58" i="124"/>
  <c r="N58" i="124"/>
  <c r="O58" i="124"/>
  <c r="P58" i="124"/>
  <c r="Q58" i="124"/>
  <c r="R58" i="124"/>
  <c r="S58" i="124"/>
  <c r="T58" i="124"/>
  <c r="U58" i="124"/>
  <c r="V58" i="124"/>
  <c r="W58" i="124"/>
  <c r="X58" i="124"/>
  <c r="Y58" i="124"/>
  <c r="Z58" i="124"/>
  <c r="AA58" i="124"/>
  <c r="AB58" i="124"/>
  <c r="AC58" i="124"/>
  <c r="AD58" i="124"/>
  <c r="AE58" i="124"/>
  <c r="K59" i="124"/>
  <c r="K60" i="124"/>
  <c r="K61" i="124"/>
  <c r="L61" i="124"/>
  <c r="M61" i="124"/>
  <c r="N61" i="124"/>
  <c r="O61" i="124"/>
  <c r="P61" i="124"/>
  <c r="Q61" i="124"/>
  <c r="R61" i="124"/>
  <c r="S61" i="124"/>
  <c r="T61" i="124"/>
  <c r="U61" i="124"/>
  <c r="V61" i="124"/>
  <c r="W61" i="124"/>
  <c r="X61" i="124"/>
  <c r="Y61" i="124"/>
  <c r="Z61" i="124"/>
  <c r="AA61" i="124"/>
  <c r="AB61" i="124"/>
  <c r="AC61" i="124"/>
  <c r="AD61" i="124"/>
  <c r="AE61" i="124"/>
  <c r="K62" i="124"/>
  <c r="L62" i="124"/>
  <c r="M62" i="124"/>
  <c r="N62" i="124"/>
  <c r="O62" i="124"/>
  <c r="P62" i="124"/>
  <c r="Q62" i="124"/>
  <c r="R62" i="124"/>
  <c r="S62" i="124"/>
  <c r="T62" i="124"/>
  <c r="U62" i="124"/>
  <c r="V62" i="124"/>
  <c r="W62" i="124"/>
  <c r="X62" i="124"/>
  <c r="Y62" i="124"/>
  <c r="Z62" i="124"/>
  <c r="AA62" i="124"/>
  <c r="AB62" i="124"/>
  <c r="AC62" i="124"/>
  <c r="AD62" i="124"/>
  <c r="AE62" i="124"/>
  <c r="K63" i="124"/>
  <c r="L63" i="124"/>
  <c r="M63" i="124"/>
  <c r="N63" i="124"/>
  <c r="O63" i="124"/>
  <c r="P63" i="124"/>
  <c r="Q63" i="124"/>
  <c r="R63" i="124"/>
  <c r="S63" i="124"/>
  <c r="T63" i="124"/>
  <c r="U63" i="124"/>
  <c r="V63" i="124"/>
  <c r="W63" i="124"/>
  <c r="X63" i="124"/>
  <c r="Y63" i="124"/>
  <c r="Z63" i="124"/>
  <c r="AA63" i="124"/>
  <c r="AB63" i="124"/>
  <c r="AC63" i="124"/>
  <c r="AD63" i="124"/>
  <c r="AE63" i="124"/>
  <c r="K64" i="124"/>
  <c r="L64" i="124"/>
  <c r="M64" i="124"/>
  <c r="N64" i="124"/>
  <c r="O64" i="124"/>
  <c r="P64" i="124"/>
  <c r="Q64" i="124"/>
  <c r="R64" i="124"/>
  <c r="S64" i="124"/>
  <c r="T64" i="124"/>
  <c r="U64" i="124"/>
  <c r="V64" i="124"/>
  <c r="W64" i="124"/>
  <c r="X64" i="124"/>
  <c r="Y64" i="124"/>
  <c r="Z64" i="124"/>
  <c r="AA64" i="124"/>
  <c r="AB64" i="124"/>
  <c r="AC64" i="124"/>
  <c r="AD64" i="124"/>
  <c r="AE64" i="124"/>
  <c r="AF64" i="124"/>
  <c r="K65" i="124"/>
  <c r="L65" i="124"/>
  <c r="M65" i="124"/>
  <c r="N65" i="124"/>
  <c r="O65" i="124"/>
  <c r="P65" i="124"/>
  <c r="Q65" i="124"/>
  <c r="R65" i="124"/>
  <c r="S65" i="124"/>
  <c r="T65" i="124"/>
  <c r="U65" i="124"/>
  <c r="V65" i="124"/>
  <c r="W65" i="124"/>
  <c r="X65" i="124"/>
  <c r="Y65" i="124"/>
  <c r="Z65" i="124"/>
  <c r="AA65" i="124"/>
  <c r="AB65" i="124"/>
  <c r="AC65" i="124"/>
  <c r="AD65" i="124"/>
  <c r="AE65" i="124"/>
  <c r="AF65" i="124"/>
  <c r="K68" i="124"/>
  <c r="L68" i="124"/>
  <c r="M68" i="124"/>
  <c r="N68" i="124"/>
  <c r="O68" i="124"/>
  <c r="P68" i="124"/>
  <c r="Q68" i="124"/>
  <c r="R68" i="124"/>
  <c r="S68" i="124"/>
  <c r="T68" i="124"/>
  <c r="U68" i="124"/>
  <c r="V68" i="124"/>
  <c r="W68" i="124"/>
  <c r="X68" i="124"/>
  <c r="Y68" i="124"/>
  <c r="Z68" i="124"/>
  <c r="AA68" i="124"/>
  <c r="AB68" i="124"/>
  <c r="AC68" i="124"/>
  <c r="AD68" i="124"/>
  <c r="AE68" i="124"/>
  <c r="K69" i="124"/>
  <c r="L69" i="124"/>
  <c r="M69" i="124"/>
  <c r="N69" i="124"/>
  <c r="O69" i="124"/>
  <c r="P69" i="124"/>
  <c r="Q69" i="124"/>
  <c r="R69" i="124"/>
  <c r="S69" i="124"/>
  <c r="T69" i="124"/>
  <c r="U69" i="124"/>
  <c r="V69" i="124"/>
  <c r="W69" i="124"/>
  <c r="X69" i="124"/>
  <c r="Y69" i="124"/>
  <c r="Z69" i="124"/>
  <c r="AA69" i="124"/>
  <c r="AB69" i="124"/>
  <c r="AC69" i="124"/>
  <c r="AD69" i="124"/>
  <c r="AE69" i="124"/>
  <c r="K70" i="124"/>
  <c r="L70" i="124"/>
  <c r="M70" i="124"/>
  <c r="N70" i="124"/>
  <c r="O70" i="124"/>
  <c r="P70" i="124"/>
  <c r="Q70" i="124"/>
  <c r="R70" i="124"/>
  <c r="S70" i="124"/>
  <c r="T70" i="124"/>
  <c r="U70" i="124"/>
  <c r="V70" i="124"/>
  <c r="W70" i="124"/>
  <c r="X70" i="124"/>
  <c r="Y70" i="124"/>
  <c r="Z70" i="124"/>
  <c r="AA70" i="124"/>
  <c r="AB70" i="124"/>
  <c r="AC70" i="124"/>
  <c r="AD70" i="124"/>
  <c r="AE70" i="124"/>
  <c r="A17" i="124"/>
  <c r="A18" i="124"/>
  <c r="A19" i="124"/>
  <c r="A23" i="124"/>
  <c r="A24" i="124"/>
  <c r="A25" i="124"/>
  <c r="A27" i="124"/>
  <c r="A28" i="124"/>
  <c r="A60" i="124"/>
  <c r="G27" i="113"/>
  <c r="N32" i="124"/>
  <c r="H27" i="113"/>
  <c r="O32" i="124"/>
  <c r="I27" i="113"/>
  <c r="P32" i="124"/>
  <c r="J27" i="113"/>
  <c r="Q32" i="124"/>
  <c r="K27" i="113"/>
  <c r="R32" i="124"/>
  <c r="L27" i="113"/>
  <c r="S32" i="124"/>
  <c r="M27" i="113"/>
  <c r="T32" i="124"/>
  <c r="N27" i="113"/>
  <c r="U32" i="124"/>
  <c r="O27" i="113"/>
  <c r="V32" i="124"/>
  <c r="P27" i="113"/>
  <c r="W32" i="124"/>
  <c r="Q27" i="113"/>
  <c r="X32" i="124"/>
  <c r="R27" i="113"/>
  <c r="Y32" i="124"/>
  <c r="S27" i="113"/>
  <c r="Z32" i="124"/>
  <c r="T27" i="113"/>
  <c r="AA32" i="124"/>
  <c r="U27" i="113"/>
  <c r="AB32" i="124"/>
  <c r="V27" i="113"/>
  <c r="AC32" i="124"/>
  <c r="W27" i="113"/>
  <c r="AD32" i="124"/>
  <c r="X27" i="113"/>
  <c r="AE32" i="124"/>
  <c r="E27" i="113"/>
  <c r="L32" i="124"/>
  <c r="K175" i="124"/>
  <c r="N173" i="124"/>
  <c r="N175" i="124"/>
  <c r="M173" i="124"/>
  <c r="M175" i="124"/>
  <c r="K173" i="124"/>
  <c r="L173" i="124"/>
  <c r="L175" i="124"/>
  <c r="M151" i="124"/>
  <c r="L151" i="124"/>
  <c r="K148" i="124"/>
  <c r="L142" i="124"/>
  <c r="L141" i="124"/>
  <c r="K141" i="124"/>
  <c r="L139" i="124"/>
  <c r="K139" i="124"/>
  <c r="C139" i="124"/>
  <c r="F138" i="124"/>
  <c r="E138" i="124"/>
  <c r="D138" i="124"/>
  <c r="F137" i="124"/>
  <c r="E137" i="124"/>
  <c r="D137" i="124"/>
  <c r="F136" i="124"/>
  <c r="E136" i="124"/>
  <c r="D136" i="124"/>
  <c r="F135" i="124"/>
  <c r="E135" i="124"/>
  <c r="D135" i="124"/>
  <c r="F134" i="124"/>
  <c r="G134" i="124"/>
  <c r="D134" i="124"/>
  <c r="L126" i="124"/>
  <c r="K126" i="124"/>
  <c r="L125" i="124"/>
  <c r="L124" i="124"/>
  <c r="K124" i="124"/>
  <c r="L122" i="124"/>
  <c r="K122" i="124"/>
  <c r="C122" i="124"/>
  <c r="F121" i="124"/>
  <c r="E121" i="124"/>
  <c r="E122" i="124"/>
  <c r="D121" i="124"/>
  <c r="F120" i="124"/>
  <c r="E120" i="124"/>
  <c r="D120" i="124"/>
  <c r="F119" i="124"/>
  <c r="D119" i="124"/>
  <c r="E133" i="113"/>
  <c r="L97" i="124"/>
  <c r="K82" i="124"/>
  <c r="K80" i="124"/>
  <c r="K78" i="124"/>
  <c r="K111" i="124"/>
  <c r="K161" i="124"/>
  <c r="C78" i="124"/>
  <c r="F77" i="124"/>
  <c r="G77" i="124"/>
  <c r="M77" i="124"/>
  <c r="D77" i="124"/>
  <c r="F76" i="124"/>
  <c r="G76" i="124"/>
  <c r="D76" i="124"/>
  <c r="K11" i="124"/>
  <c r="E4" i="124"/>
  <c r="A3" i="124"/>
  <c r="A2" i="124"/>
  <c r="A1" i="124"/>
  <c r="L17" i="123"/>
  <c r="M17" i="123"/>
  <c r="N17" i="123"/>
  <c r="O17" i="123"/>
  <c r="P17" i="123"/>
  <c r="Q17" i="123"/>
  <c r="R17" i="123"/>
  <c r="S17" i="123"/>
  <c r="T17" i="123"/>
  <c r="U17" i="123"/>
  <c r="V17" i="123"/>
  <c r="W17" i="123"/>
  <c r="X17" i="123"/>
  <c r="Y17" i="123"/>
  <c r="Z17" i="123"/>
  <c r="AA17" i="123"/>
  <c r="AB17" i="123"/>
  <c r="AC17" i="123"/>
  <c r="AD17" i="123"/>
  <c r="AE17" i="123"/>
  <c r="L18" i="123"/>
  <c r="M18" i="123"/>
  <c r="N18" i="123"/>
  <c r="O18" i="123"/>
  <c r="P18" i="123"/>
  <c r="Q18" i="123"/>
  <c r="R18" i="123"/>
  <c r="S18" i="123"/>
  <c r="T18" i="123"/>
  <c r="U18" i="123"/>
  <c r="V18" i="123"/>
  <c r="W18" i="123"/>
  <c r="X18" i="123"/>
  <c r="Y18" i="123"/>
  <c r="Z18" i="123"/>
  <c r="AA18" i="123"/>
  <c r="AB18" i="123"/>
  <c r="AC18" i="123"/>
  <c r="AD18" i="123"/>
  <c r="AE18" i="123"/>
  <c r="L19" i="123"/>
  <c r="M19" i="123"/>
  <c r="N19" i="123"/>
  <c r="O19" i="123"/>
  <c r="P19" i="123"/>
  <c r="Q19" i="123"/>
  <c r="R19" i="123"/>
  <c r="S19" i="123"/>
  <c r="T19" i="123"/>
  <c r="U19" i="123"/>
  <c r="V19" i="123"/>
  <c r="W19" i="123"/>
  <c r="X19" i="123"/>
  <c r="Y19" i="123"/>
  <c r="Z19" i="123"/>
  <c r="AA19" i="123"/>
  <c r="AB19" i="123"/>
  <c r="AC19" i="123"/>
  <c r="AD19" i="123"/>
  <c r="AE19" i="123"/>
  <c r="K13" i="98"/>
  <c r="M15" i="108"/>
  <c r="T20" i="123"/>
  <c r="O13" i="98"/>
  <c r="Q15" i="108"/>
  <c r="X20" i="123"/>
  <c r="K28" i="123"/>
  <c r="L28" i="123"/>
  <c r="M28" i="123"/>
  <c r="N28" i="123"/>
  <c r="O28" i="123"/>
  <c r="P28" i="123"/>
  <c r="Q28" i="123"/>
  <c r="R28" i="123"/>
  <c r="S28" i="123"/>
  <c r="T28" i="123"/>
  <c r="U28" i="123"/>
  <c r="V28" i="123"/>
  <c r="W28" i="123"/>
  <c r="X28" i="123"/>
  <c r="Y28" i="123"/>
  <c r="Z28" i="123"/>
  <c r="AA28" i="123"/>
  <c r="AB28" i="123"/>
  <c r="AC28" i="123"/>
  <c r="AD28" i="123"/>
  <c r="AE28" i="123"/>
  <c r="K32" i="123"/>
  <c r="J27" i="108"/>
  <c r="Q32" i="123"/>
  <c r="V27" i="108"/>
  <c r="AC32" i="123"/>
  <c r="K33" i="123"/>
  <c r="L33" i="123"/>
  <c r="K34" i="123"/>
  <c r="L34" i="123"/>
  <c r="M34" i="123"/>
  <c r="N34" i="123"/>
  <c r="O34" i="123"/>
  <c r="P34" i="123"/>
  <c r="Q34" i="123"/>
  <c r="R34" i="123"/>
  <c r="S34" i="123"/>
  <c r="T34" i="123"/>
  <c r="U34" i="123"/>
  <c r="V34" i="123"/>
  <c r="W34" i="123"/>
  <c r="X34" i="123"/>
  <c r="Y34" i="123"/>
  <c r="Z34" i="123"/>
  <c r="AA34" i="123"/>
  <c r="AB34" i="123"/>
  <c r="AC34" i="123"/>
  <c r="AD34" i="123"/>
  <c r="AE34" i="123"/>
  <c r="K35" i="123"/>
  <c r="K36" i="123"/>
  <c r="L36" i="123"/>
  <c r="M36" i="123"/>
  <c r="N36" i="123"/>
  <c r="O36" i="123"/>
  <c r="P36" i="123"/>
  <c r="Q36" i="123"/>
  <c r="R36" i="123"/>
  <c r="S36" i="123"/>
  <c r="T36" i="123"/>
  <c r="U36" i="123"/>
  <c r="V36" i="123"/>
  <c r="W36" i="123"/>
  <c r="X36" i="123"/>
  <c r="Y36" i="123"/>
  <c r="Z36" i="123"/>
  <c r="AA36" i="123"/>
  <c r="AB36" i="123"/>
  <c r="AC36" i="123"/>
  <c r="AD36" i="123"/>
  <c r="AE36" i="123"/>
  <c r="K38" i="123"/>
  <c r="L38" i="123"/>
  <c r="K39" i="123"/>
  <c r="L39" i="123"/>
  <c r="M39" i="123"/>
  <c r="N39" i="123"/>
  <c r="O39" i="123"/>
  <c r="P39" i="123"/>
  <c r="Q39" i="123"/>
  <c r="R39" i="123"/>
  <c r="S39" i="123"/>
  <c r="T39" i="123"/>
  <c r="U39" i="123"/>
  <c r="V39" i="123"/>
  <c r="W39" i="123"/>
  <c r="X39" i="123"/>
  <c r="Y39" i="123"/>
  <c r="Z39" i="123"/>
  <c r="AA39" i="123"/>
  <c r="AB39" i="123"/>
  <c r="AC39" i="123"/>
  <c r="AD39" i="123"/>
  <c r="AE39" i="123"/>
  <c r="K40" i="123"/>
  <c r="K41" i="123"/>
  <c r="L41" i="123"/>
  <c r="M41" i="123"/>
  <c r="N41" i="123"/>
  <c r="O41" i="123"/>
  <c r="P41" i="123"/>
  <c r="Q41" i="123"/>
  <c r="R41" i="123"/>
  <c r="S41" i="123"/>
  <c r="T41" i="123"/>
  <c r="U41" i="123"/>
  <c r="V41" i="123"/>
  <c r="W41" i="123"/>
  <c r="X41" i="123"/>
  <c r="Y41" i="123"/>
  <c r="Z41" i="123"/>
  <c r="AA41" i="123"/>
  <c r="AB41" i="123"/>
  <c r="AC41" i="123"/>
  <c r="AD41" i="123"/>
  <c r="AE41" i="123"/>
  <c r="K42" i="123"/>
  <c r="L42" i="123"/>
  <c r="M42" i="123"/>
  <c r="N42" i="123"/>
  <c r="O42" i="123"/>
  <c r="P42" i="123"/>
  <c r="Q42" i="123"/>
  <c r="R42" i="123"/>
  <c r="S42" i="123"/>
  <c r="T42" i="123"/>
  <c r="U42" i="123"/>
  <c r="V42" i="123"/>
  <c r="W42" i="123"/>
  <c r="X42" i="123"/>
  <c r="Y42" i="123"/>
  <c r="Z42" i="123"/>
  <c r="AA42" i="123"/>
  <c r="AB42" i="123"/>
  <c r="AC42" i="123"/>
  <c r="AD42" i="123"/>
  <c r="AE42" i="123"/>
  <c r="K44" i="123"/>
  <c r="K47" i="123"/>
  <c r="K48" i="123"/>
  <c r="K49" i="123"/>
  <c r="K51" i="123"/>
  <c r="L51" i="123"/>
  <c r="M51" i="123"/>
  <c r="N51" i="123"/>
  <c r="O51" i="123"/>
  <c r="P51" i="123"/>
  <c r="Q51" i="123"/>
  <c r="R51" i="123"/>
  <c r="S51" i="123"/>
  <c r="T51" i="123"/>
  <c r="U51" i="123"/>
  <c r="V51" i="123"/>
  <c r="W51" i="123"/>
  <c r="X51" i="123"/>
  <c r="Y51" i="123"/>
  <c r="Z51" i="123"/>
  <c r="AA51" i="123"/>
  <c r="AB51" i="123"/>
  <c r="AC51" i="123"/>
  <c r="AD51" i="123"/>
  <c r="AE51" i="123"/>
  <c r="K52" i="123"/>
  <c r="L52" i="123"/>
  <c r="M52" i="123"/>
  <c r="N52" i="123"/>
  <c r="O52" i="123"/>
  <c r="P52" i="123"/>
  <c r="Q52" i="123"/>
  <c r="R52" i="123"/>
  <c r="S52" i="123"/>
  <c r="T52" i="123"/>
  <c r="U52" i="123"/>
  <c r="V52" i="123"/>
  <c r="W52" i="123"/>
  <c r="X52" i="123"/>
  <c r="Y52" i="123"/>
  <c r="Z52" i="123"/>
  <c r="AA52" i="123"/>
  <c r="AB52" i="123"/>
  <c r="AC52" i="123"/>
  <c r="AD52" i="123"/>
  <c r="AE52" i="123"/>
  <c r="K53" i="123"/>
  <c r="L53" i="123"/>
  <c r="M53" i="123"/>
  <c r="N53" i="123"/>
  <c r="O53" i="123"/>
  <c r="P53" i="123"/>
  <c r="Q53" i="123"/>
  <c r="R53" i="123"/>
  <c r="S53" i="123"/>
  <c r="T53" i="123"/>
  <c r="U53" i="123"/>
  <c r="V53" i="123"/>
  <c r="W53" i="123"/>
  <c r="X53" i="123"/>
  <c r="Y53" i="123"/>
  <c r="Z53" i="123"/>
  <c r="AA53" i="123"/>
  <c r="AB53" i="123"/>
  <c r="AC53" i="123"/>
  <c r="AD53" i="123"/>
  <c r="AE53" i="123"/>
  <c r="K54" i="123"/>
  <c r="L54" i="123"/>
  <c r="M54" i="123"/>
  <c r="N54" i="123"/>
  <c r="O54" i="123"/>
  <c r="P54" i="123"/>
  <c r="Q54" i="123"/>
  <c r="R54" i="123"/>
  <c r="S54" i="123"/>
  <c r="T54" i="123"/>
  <c r="U54" i="123"/>
  <c r="V54" i="123"/>
  <c r="W54" i="123"/>
  <c r="X54" i="123"/>
  <c r="Y54" i="123"/>
  <c r="Z54" i="123"/>
  <c r="AA54" i="123"/>
  <c r="AB54" i="123"/>
  <c r="AC54" i="123"/>
  <c r="AD54" i="123"/>
  <c r="AE54" i="123"/>
  <c r="K55" i="123"/>
  <c r="L55" i="123"/>
  <c r="M55" i="123"/>
  <c r="N55" i="123"/>
  <c r="O55" i="123"/>
  <c r="P55" i="123"/>
  <c r="Q55" i="123"/>
  <c r="R55" i="123"/>
  <c r="S55" i="123"/>
  <c r="T55" i="123"/>
  <c r="U55" i="123"/>
  <c r="V55" i="123"/>
  <c r="W55" i="123"/>
  <c r="X55" i="123"/>
  <c r="Y55" i="123"/>
  <c r="Z55" i="123"/>
  <c r="AA55" i="123"/>
  <c r="AB55" i="123"/>
  <c r="AC55" i="123"/>
  <c r="AD55" i="123"/>
  <c r="AE55" i="123"/>
  <c r="K56" i="123"/>
  <c r="K58" i="123"/>
  <c r="L58" i="123"/>
  <c r="M58" i="123"/>
  <c r="N58" i="123"/>
  <c r="O58" i="123"/>
  <c r="P58" i="123"/>
  <c r="Q58" i="123"/>
  <c r="R58" i="123"/>
  <c r="S58" i="123"/>
  <c r="T58" i="123"/>
  <c r="U58" i="123"/>
  <c r="V58" i="123"/>
  <c r="W58" i="123"/>
  <c r="X58" i="123"/>
  <c r="Y58" i="123"/>
  <c r="Z58" i="123"/>
  <c r="AA58" i="123"/>
  <c r="AB58" i="123"/>
  <c r="AC58" i="123"/>
  <c r="AD58" i="123"/>
  <c r="AE58" i="123"/>
  <c r="K61" i="123"/>
  <c r="L61" i="123"/>
  <c r="K62" i="123"/>
  <c r="L62" i="123"/>
  <c r="K63" i="123"/>
  <c r="L63" i="123"/>
  <c r="K64" i="123"/>
  <c r="L64" i="123"/>
  <c r="M64" i="123"/>
  <c r="N64" i="123"/>
  <c r="O64" i="123"/>
  <c r="P64" i="123"/>
  <c r="Q64" i="123"/>
  <c r="R64" i="123"/>
  <c r="S64" i="123"/>
  <c r="T64" i="123"/>
  <c r="U64" i="123"/>
  <c r="V64" i="123"/>
  <c r="W64" i="123"/>
  <c r="X64" i="123"/>
  <c r="Y64" i="123"/>
  <c r="Z64" i="123"/>
  <c r="AA64" i="123"/>
  <c r="AB64" i="123"/>
  <c r="AC64" i="123"/>
  <c r="AD64" i="123"/>
  <c r="AE64" i="123"/>
  <c r="AF64" i="123"/>
  <c r="K65" i="123"/>
  <c r="L65" i="123"/>
  <c r="M65" i="123"/>
  <c r="N65" i="123"/>
  <c r="O65" i="123"/>
  <c r="P65" i="123"/>
  <c r="Q65" i="123"/>
  <c r="R65" i="123"/>
  <c r="S65" i="123"/>
  <c r="T65" i="123"/>
  <c r="U65" i="123"/>
  <c r="V65" i="123"/>
  <c r="W65" i="123"/>
  <c r="X65" i="123"/>
  <c r="Y65" i="123"/>
  <c r="Z65" i="123"/>
  <c r="AA65" i="123"/>
  <c r="AB65" i="123"/>
  <c r="AC65" i="123"/>
  <c r="AD65" i="123"/>
  <c r="AE65" i="123"/>
  <c r="AF65" i="123"/>
  <c r="K68" i="123"/>
  <c r="L68" i="123"/>
  <c r="M68" i="123"/>
  <c r="N68" i="123"/>
  <c r="O68" i="123"/>
  <c r="P68" i="123"/>
  <c r="Q68" i="123"/>
  <c r="R68" i="123"/>
  <c r="S68" i="123"/>
  <c r="T68" i="123"/>
  <c r="U68" i="123"/>
  <c r="V68" i="123"/>
  <c r="W68" i="123"/>
  <c r="X68" i="123"/>
  <c r="Y68" i="123"/>
  <c r="Z68" i="123"/>
  <c r="AA68" i="123"/>
  <c r="AB68" i="123"/>
  <c r="AC68" i="123"/>
  <c r="AD68" i="123"/>
  <c r="AE68" i="123"/>
  <c r="K69" i="123"/>
  <c r="L69" i="123"/>
  <c r="M69" i="123"/>
  <c r="N69" i="123"/>
  <c r="O69" i="123"/>
  <c r="P69" i="123"/>
  <c r="Q69" i="123"/>
  <c r="R69" i="123"/>
  <c r="S69" i="123"/>
  <c r="T69" i="123"/>
  <c r="U69" i="123"/>
  <c r="V69" i="123"/>
  <c r="W69" i="123"/>
  <c r="X69" i="123"/>
  <c r="Y69" i="123"/>
  <c r="Z69" i="123"/>
  <c r="AA69" i="123"/>
  <c r="AB69" i="123"/>
  <c r="AC69" i="123"/>
  <c r="AD69" i="123"/>
  <c r="AE69" i="123"/>
  <c r="K70" i="123"/>
  <c r="L70" i="123"/>
  <c r="M70" i="123"/>
  <c r="N70" i="123"/>
  <c r="O70" i="123"/>
  <c r="P70" i="123"/>
  <c r="Q70" i="123"/>
  <c r="R70" i="123"/>
  <c r="S70" i="123"/>
  <c r="T70" i="123"/>
  <c r="U70" i="123"/>
  <c r="V70" i="123"/>
  <c r="W70" i="123"/>
  <c r="X70" i="123"/>
  <c r="Y70" i="123"/>
  <c r="Z70" i="123"/>
  <c r="AA70" i="123"/>
  <c r="AB70" i="123"/>
  <c r="AC70" i="123"/>
  <c r="AD70" i="123"/>
  <c r="AE70" i="123"/>
  <c r="K11" i="123"/>
  <c r="V13" i="98"/>
  <c r="X15" i="108"/>
  <c r="AE20" i="123"/>
  <c r="U13" i="98"/>
  <c r="W15" i="108"/>
  <c r="AD20" i="123"/>
  <c r="T13" i="98"/>
  <c r="V15" i="108"/>
  <c r="AC20" i="123"/>
  <c r="S13" i="98"/>
  <c r="U15" i="108"/>
  <c r="AB20" i="123"/>
  <c r="R13" i="98"/>
  <c r="T15" i="108"/>
  <c r="AA20" i="123"/>
  <c r="Q13" i="98"/>
  <c r="S15" i="108"/>
  <c r="Z20" i="123"/>
  <c r="P13" i="98"/>
  <c r="R15" i="108"/>
  <c r="Y20" i="123"/>
  <c r="N13" i="98"/>
  <c r="P15" i="108"/>
  <c r="W20" i="123"/>
  <c r="M13" i="98"/>
  <c r="O15" i="108"/>
  <c r="V20" i="123"/>
  <c r="L13" i="98"/>
  <c r="N15" i="108"/>
  <c r="U20" i="123"/>
  <c r="J13" i="98"/>
  <c r="L15" i="108"/>
  <c r="S20" i="123"/>
  <c r="I13" i="98"/>
  <c r="K15" i="108"/>
  <c r="R20" i="123"/>
  <c r="H13" i="98"/>
  <c r="J15" i="108"/>
  <c r="Q20" i="123"/>
  <c r="G13" i="98"/>
  <c r="I15" i="108"/>
  <c r="P20" i="123"/>
  <c r="F13" i="98"/>
  <c r="H15" i="108"/>
  <c r="O20" i="123"/>
  <c r="E13" i="98"/>
  <c r="G15" i="108"/>
  <c r="N20" i="123"/>
  <c r="D13" i="98"/>
  <c r="F15" i="108"/>
  <c r="M20" i="123"/>
  <c r="A17" i="123"/>
  <c r="A18" i="123"/>
  <c r="A19" i="123"/>
  <c r="A23" i="123"/>
  <c r="A24" i="123"/>
  <c r="A25" i="123"/>
  <c r="A27" i="123"/>
  <c r="A28" i="123"/>
  <c r="A60" i="123"/>
  <c r="F15" i="97"/>
  <c r="G15" i="97"/>
  <c r="H15" i="97"/>
  <c r="I15" i="97"/>
  <c r="J15" i="97"/>
  <c r="K15" i="97"/>
  <c r="L15" i="97"/>
  <c r="M15" i="97"/>
  <c r="N15" i="97"/>
  <c r="O15" i="97"/>
  <c r="P15" i="97"/>
  <c r="Q15" i="97"/>
  <c r="R15" i="97"/>
  <c r="S15" i="97"/>
  <c r="T15" i="97"/>
  <c r="U15" i="97"/>
  <c r="V15" i="97"/>
  <c r="W15" i="97"/>
  <c r="X15" i="97"/>
  <c r="G27" i="108"/>
  <c r="N32" i="123"/>
  <c r="H27" i="108"/>
  <c r="O32" i="123"/>
  <c r="I27" i="108"/>
  <c r="P32" i="123"/>
  <c r="K27" i="108"/>
  <c r="R32" i="123"/>
  <c r="L27" i="108"/>
  <c r="S32" i="123"/>
  <c r="M27" i="108"/>
  <c r="T32" i="123"/>
  <c r="N27" i="108"/>
  <c r="U32" i="123"/>
  <c r="O27" i="108"/>
  <c r="V32" i="123"/>
  <c r="P27" i="108"/>
  <c r="W32" i="123"/>
  <c r="Q27" i="108"/>
  <c r="X32" i="123"/>
  <c r="R27" i="108"/>
  <c r="Y32" i="123"/>
  <c r="S27" i="108"/>
  <c r="Z32" i="123"/>
  <c r="T27" i="108"/>
  <c r="AA32" i="123"/>
  <c r="U27" i="108"/>
  <c r="AB32" i="123"/>
  <c r="W27" i="108"/>
  <c r="AD32" i="123"/>
  <c r="X27" i="108"/>
  <c r="AE32" i="123"/>
  <c r="E27" i="108"/>
  <c r="L32" i="123"/>
  <c r="K177" i="123"/>
  <c r="M175" i="123"/>
  <c r="M177" i="123"/>
  <c r="K175" i="123"/>
  <c r="L175" i="123"/>
  <c r="L177" i="123"/>
  <c r="M153" i="123"/>
  <c r="L153" i="123"/>
  <c r="K150" i="123"/>
  <c r="L144" i="123"/>
  <c r="L143" i="123"/>
  <c r="K143" i="123"/>
  <c r="L141" i="123"/>
  <c r="L155" i="123"/>
  <c r="K141" i="123"/>
  <c r="C141" i="123"/>
  <c r="F140" i="123"/>
  <c r="E140" i="123"/>
  <c r="D140" i="123"/>
  <c r="F139" i="123"/>
  <c r="E139" i="123"/>
  <c r="D139" i="123"/>
  <c r="F138" i="123"/>
  <c r="E138" i="123"/>
  <c r="D138" i="123"/>
  <c r="F137" i="123"/>
  <c r="E137" i="123"/>
  <c r="D137" i="123"/>
  <c r="F136" i="123"/>
  <c r="D136" i="123"/>
  <c r="L128" i="123"/>
  <c r="K128" i="123"/>
  <c r="L127" i="123"/>
  <c r="L126" i="123"/>
  <c r="K126" i="123"/>
  <c r="L124" i="123"/>
  <c r="K124" i="123"/>
  <c r="C124" i="123"/>
  <c r="F123" i="123"/>
  <c r="E123" i="123"/>
  <c r="D123" i="123"/>
  <c r="F122" i="123"/>
  <c r="E122" i="123"/>
  <c r="D122" i="123"/>
  <c r="F121" i="123"/>
  <c r="D121" i="123"/>
  <c r="L99" i="123"/>
  <c r="K84" i="123"/>
  <c r="K90" i="123"/>
  <c r="L83" i="123"/>
  <c r="K82" i="123"/>
  <c r="K80" i="123"/>
  <c r="K113" i="123"/>
  <c r="K163" i="123"/>
  <c r="C80" i="123"/>
  <c r="F79" i="123"/>
  <c r="E79" i="123"/>
  <c r="D79" i="123"/>
  <c r="F78" i="123"/>
  <c r="E78" i="123"/>
  <c r="D78" i="123"/>
  <c r="F77" i="123"/>
  <c r="G77" i="123"/>
  <c r="D77" i="123"/>
  <c r="F76" i="123"/>
  <c r="G76" i="123"/>
  <c r="D76" i="123"/>
  <c r="E4" i="123"/>
  <c r="A3" i="123"/>
  <c r="A2" i="123"/>
  <c r="A1" i="123"/>
  <c r="XFD54" i="131"/>
  <c r="M175" i="142"/>
  <c r="M177" i="142"/>
  <c r="M175" i="141"/>
  <c r="M177" i="141"/>
  <c r="M80" i="140"/>
  <c r="M84" i="140"/>
  <c r="M175" i="143"/>
  <c r="M177" i="143"/>
  <c r="H123" i="137"/>
  <c r="M174" i="139"/>
  <c r="M176" i="139"/>
  <c r="M174" i="138"/>
  <c r="M176" i="138"/>
  <c r="M174" i="137"/>
  <c r="M176" i="137"/>
  <c r="L159" i="135"/>
  <c r="E140" i="102"/>
  <c r="L159" i="134"/>
  <c r="G124" i="134"/>
  <c r="H121" i="134"/>
  <c r="N153" i="133"/>
  <c r="L159" i="133"/>
  <c r="K88" i="129"/>
  <c r="F124" i="129"/>
  <c r="E80" i="129"/>
  <c r="K83" i="129"/>
  <c r="K89" i="129"/>
  <c r="G121" i="129"/>
  <c r="H121" i="129"/>
  <c r="H124" i="129"/>
  <c r="N175" i="129"/>
  <c r="N177" i="129"/>
  <c r="G123" i="129"/>
  <c r="H123" i="129"/>
  <c r="F141" i="129"/>
  <c r="G140" i="129"/>
  <c r="H140" i="129"/>
  <c r="L155" i="129"/>
  <c r="F140" i="132"/>
  <c r="K82" i="132"/>
  <c r="G121" i="132"/>
  <c r="H121" i="132"/>
  <c r="M121" i="132"/>
  <c r="G136" i="132"/>
  <c r="H136" i="132"/>
  <c r="L144" i="132"/>
  <c r="L146" i="131"/>
  <c r="G122" i="131"/>
  <c r="H122" i="131"/>
  <c r="G137" i="131"/>
  <c r="H137" i="131"/>
  <c r="E140" i="131"/>
  <c r="M77" i="130"/>
  <c r="L77" i="130"/>
  <c r="F140" i="130"/>
  <c r="F79" i="130"/>
  <c r="E123" i="130"/>
  <c r="XFD54" i="130"/>
  <c r="F123" i="128"/>
  <c r="F140" i="128"/>
  <c r="G78" i="128"/>
  <c r="L144" i="128"/>
  <c r="N77" i="127"/>
  <c r="E122" i="127"/>
  <c r="L143" i="126"/>
  <c r="K125" i="125"/>
  <c r="G136" i="125"/>
  <c r="H136" i="125"/>
  <c r="L143" i="125"/>
  <c r="G136" i="124"/>
  <c r="H136" i="124"/>
  <c r="N175" i="123"/>
  <c r="N177" i="123"/>
  <c r="G78" i="123"/>
  <c r="R97" i="123"/>
  <c r="M88" i="123"/>
  <c r="M97" i="123"/>
  <c r="R97" i="129"/>
  <c r="M88" i="129"/>
  <c r="M97" i="129"/>
  <c r="M91" i="126"/>
  <c r="F131" i="115"/>
  <c r="R95" i="126"/>
  <c r="M95" i="126"/>
  <c r="N86" i="126"/>
  <c r="M87" i="132"/>
  <c r="R96" i="132"/>
  <c r="K134" i="112"/>
  <c r="M96" i="132"/>
  <c r="F134" i="112"/>
  <c r="R96" i="128"/>
  <c r="M87" i="128"/>
  <c r="M96" i="128"/>
  <c r="R96" i="130"/>
  <c r="M96" i="130"/>
  <c r="M87" i="130"/>
  <c r="R95" i="124"/>
  <c r="N86" i="124"/>
  <c r="M95" i="124"/>
  <c r="F134" i="113"/>
  <c r="N86" i="125"/>
  <c r="R95" i="125"/>
  <c r="M95" i="125"/>
  <c r="N86" i="127"/>
  <c r="M95" i="127"/>
  <c r="R95" i="127"/>
  <c r="R96" i="131"/>
  <c r="M96" i="131"/>
  <c r="M87" i="131"/>
  <c r="N84" i="141"/>
  <c r="F134" i="102"/>
  <c r="M92" i="143"/>
  <c r="F131" i="105"/>
  <c r="M91" i="143"/>
  <c r="F130" i="105"/>
  <c r="L94" i="143"/>
  <c r="L101" i="143"/>
  <c r="L113" i="143"/>
  <c r="L163" i="143"/>
  <c r="N145" i="143"/>
  <c r="N143" i="143"/>
  <c r="M128" i="143"/>
  <c r="M126" i="143"/>
  <c r="M124" i="143"/>
  <c r="N144" i="143"/>
  <c r="F142" i="105"/>
  <c r="N144" i="142"/>
  <c r="L91" i="142"/>
  <c r="L92" i="142"/>
  <c r="M92" i="142"/>
  <c r="M91" i="142"/>
  <c r="N145" i="142"/>
  <c r="M91" i="141"/>
  <c r="M92" i="141"/>
  <c r="N144" i="141"/>
  <c r="N145" i="141"/>
  <c r="N143" i="141"/>
  <c r="L92" i="141"/>
  <c r="L91" i="141"/>
  <c r="N80" i="141"/>
  <c r="M92" i="140"/>
  <c r="M91" i="140"/>
  <c r="N145" i="140"/>
  <c r="N143" i="140"/>
  <c r="L94" i="140"/>
  <c r="L101" i="140"/>
  <c r="L113" i="140"/>
  <c r="L163" i="140"/>
  <c r="N144" i="140"/>
  <c r="H124" i="140"/>
  <c r="L98" i="128"/>
  <c r="L97" i="138"/>
  <c r="L98" i="138"/>
  <c r="L100" i="138"/>
  <c r="L112" i="138"/>
  <c r="L162" i="138"/>
  <c r="L98" i="137"/>
  <c r="L98" i="136"/>
  <c r="L97" i="139"/>
  <c r="L98" i="139"/>
  <c r="L98" i="131"/>
  <c r="L98" i="132"/>
  <c r="XFD54" i="132"/>
  <c r="N143" i="139"/>
  <c r="M144" i="139"/>
  <c r="M142" i="139"/>
  <c r="N83" i="139"/>
  <c r="L79" i="139"/>
  <c r="E126" i="120"/>
  <c r="L81" i="139"/>
  <c r="L83" i="139"/>
  <c r="M125" i="139"/>
  <c r="M123" i="139"/>
  <c r="M127" i="139"/>
  <c r="M79" i="139"/>
  <c r="F126" i="120"/>
  <c r="M81" i="139"/>
  <c r="M83" i="139"/>
  <c r="M81" i="138"/>
  <c r="M83" i="138"/>
  <c r="M79" i="138"/>
  <c r="M144" i="138"/>
  <c r="M142" i="138"/>
  <c r="N81" i="138"/>
  <c r="N83" i="138"/>
  <c r="N79" i="138"/>
  <c r="N143" i="137"/>
  <c r="L91" i="137"/>
  <c r="L90" i="137"/>
  <c r="M79" i="137"/>
  <c r="M81" i="137"/>
  <c r="M83" i="137"/>
  <c r="N79" i="137"/>
  <c r="N81" i="137"/>
  <c r="N83" i="137"/>
  <c r="N144" i="137"/>
  <c r="N142" i="137"/>
  <c r="M79" i="136"/>
  <c r="M81" i="136"/>
  <c r="M83" i="136"/>
  <c r="L90" i="136"/>
  <c r="L91" i="136"/>
  <c r="M127" i="136"/>
  <c r="M125" i="136"/>
  <c r="N81" i="136"/>
  <c r="N83" i="136"/>
  <c r="N79" i="136"/>
  <c r="H140" i="136"/>
  <c r="N82" i="135"/>
  <c r="N84" i="135"/>
  <c r="N80" i="135"/>
  <c r="G125" i="102"/>
  <c r="N153" i="135"/>
  <c r="L80" i="135"/>
  <c r="E125" i="102"/>
  <c r="L82" i="135"/>
  <c r="L84" i="135"/>
  <c r="H141" i="135"/>
  <c r="M121" i="135"/>
  <c r="H124" i="135"/>
  <c r="G80" i="135"/>
  <c r="M127" i="135"/>
  <c r="Q175" i="135"/>
  <c r="Q177" i="135"/>
  <c r="M144" i="135"/>
  <c r="N144" i="135"/>
  <c r="M82" i="135"/>
  <c r="M84" i="135"/>
  <c r="M80" i="135"/>
  <c r="F125" i="102"/>
  <c r="H141" i="134"/>
  <c r="N153" i="134"/>
  <c r="N76" i="134"/>
  <c r="M76" i="134"/>
  <c r="G80" i="134"/>
  <c r="M127" i="134"/>
  <c r="Q177" i="134"/>
  <c r="N144" i="134"/>
  <c r="L82" i="134"/>
  <c r="L84" i="134"/>
  <c r="L80" i="134"/>
  <c r="K94" i="133"/>
  <c r="M144" i="133"/>
  <c r="N144" i="133"/>
  <c r="M78" i="133"/>
  <c r="M83" i="133"/>
  <c r="N78" i="133"/>
  <c r="N83" i="133"/>
  <c r="H141" i="133"/>
  <c r="M128" i="133"/>
  <c r="M126" i="133"/>
  <c r="M80" i="133"/>
  <c r="M82" i="133"/>
  <c r="M127" i="133"/>
  <c r="L82" i="133"/>
  <c r="L84" i="133"/>
  <c r="L80" i="133"/>
  <c r="N82" i="133"/>
  <c r="N80" i="133"/>
  <c r="N76" i="132"/>
  <c r="M76" i="132"/>
  <c r="E79" i="132"/>
  <c r="G78" i="132"/>
  <c r="N77" i="132"/>
  <c r="H120" i="132"/>
  <c r="N149" i="132"/>
  <c r="N150" i="132"/>
  <c r="K87" i="132"/>
  <c r="K88" i="132"/>
  <c r="M92" i="132"/>
  <c r="F131" i="112"/>
  <c r="M122" i="132"/>
  <c r="L77" i="132"/>
  <c r="M89" i="132"/>
  <c r="F128" i="112"/>
  <c r="H135" i="132"/>
  <c r="F133" i="112"/>
  <c r="L129" i="132"/>
  <c r="L131" i="132"/>
  <c r="G139" i="132"/>
  <c r="H139" i="132"/>
  <c r="L154" i="132"/>
  <c r="E141" i="112"/>
  <c r="L146" i="132"/>
  <c r="F123" i="131"/>
  <c r="N77" i="131"/>
  <c r="M77" i="131"/>
  <c r="N78" i="131"/>
  <c r="N82" i="131"/>
  <c r="H120" i="131"/>
  <c r="F79" i="131"/>
  <c r="G76" i="131"/>
  <c r="L91" i="131"/>
  <c r="L90" i="131"/>
  <c r="L79" i="131"/>
  <c r="M143" i="131"/>
  <c r="K82" i="131"/>
  <c r="L129" i="131"/>
  <c r="L131" i="131"/>
  <c r="F140" i="131"/>
  <c r="G135" i="131"/>
  <c r="N149" i="131"/>
  <c r="N150" i="131"/>
  <c r="K87" i="131"/>
  <c r="K88" i="131"/>
  <c r="M92" i="131"/>
  <c r="G121" i="131"/>
  <c r="H121" i="131"/>
  <c r="G136" i="131"/>
  <c r="H136" i="131"/>
  <c r="M76" i="130"/>
  <c r="G78" i="130"/>
  <c r="G79" i="130"/>
  <c r="E79" i="130"/>
  <c r="M126" i="130"/>
  <c r="H123" i="130"/>
  <c r="N76" i="130"/>
  <c r="G123" i="130"/>
  <c r="N149" i="130"/>
  <c r="N150" i="130"/>
  <c r="M92" i="130"/>
  <c r="M89" i="130"/>
  <c r="F123" i="130"/>
  <c r="N77" i="130"/>
  <c r="K87" i="130"/>
  <c r="K88" i="130"/>
  <c r="L129" i="130"/>
  <c r="L131" i="130"/>
  <c r="G138" i="130"/>
  <c r="H138" i="130"/>
  <c r="G139" i="130"/>
  <c r="H139" i="130"/>
  <c r="L154" i="130"/>
  <c r="L146" i="130"/>
  <c r="E79" i="128"/>
  <c r="K87" i="128"/>
  <c r="G135" i="128"/>
  <c r="K82" i="128"/>
  <c r="K88" i="128"/>
  <c r="G138" i="128"/>
  <c r="H138" i="128"/>
  <c r="L146" i="128"/>
  <c r="XFD54" i="128"/>
  <c r="G121" i="128"/>
  <c r="H121" i="128"/>
  <c r="G137" i="128"/>
  <c r="H137" i="128"/>
  <c r="F80" i="129"/>
  <c r="L82" i="129"/>
  <c r="L84" i="129"/>
  <c r="N76" i="129"/>
  <c r="M76" i="129"/>
  <c r="N77" i="129"/>
  <c r="M77" i="129"/>
  <c r="K94" i="129"/>
  <c r="N150" i="129"/>
  <c r="N151" i="129"/>
  <c r="M93" i="129"/>
  <c r="G78" i="129"/>
  <c r="M90" i="129"/>
  <c r="E124" i="129"/>
  <c r="E141" i="129"/>
  <c r="G137" i="129"/>
  <c r="H137" i="129"/>
  <c r="H136" i="129"/>
  <c r="L147" i="129"/>
  <c r="K86" i="127"/>
  <c r="G121" i="127"/>
  <c r="H121" i="127"/>
  <c r="M121" i="127"/>
  <c r="K125" i="127"/>
  <c r="G136" i="127"/>
  <c r="H136" i="127"/>
  <c r="N76" i="127"/>
  <c r="N80" i="127"/>
  <c r="K81" i="127"/>
  <c r="K87" i="127"/>
  <c r="G120" i="127"/>
  <c r="H120" i="127"/>
  <c r="F139" i="127"/>
  <c r="G137" i="127"/>
  <c r="H137" i="127"/>
  <c r="F133" i="115"/>
  <c r="F122" i="126"/>
  <c r="L157" i="126"/>
  <c r="G136" i="126"/>
  <c r="H136" i="126"/>
  <c r="XFD54" i="126"/>
  <c r="K81" i="126"/>
  <c r="K86" i="126"/>
  <c r="K86" i="125"/>
  <c r="G135" i="125"/>
  <c r="H135" i="125"/>
  <c r="K81" i="125"/>
  <c r="K87" i="125"/>
  <c r="F139" i="125"/>
  <c r="XFD54" i="125"/>
  <c r="L130" i="125"/>
  <c r="E140" i="114"/>
  <c r="G120" i="125"/>
  <c r="H120" i="125"/>
  <c r="G121" i="125"/>
  <c r="H121" i="125"/>
  <c r="M121" i="125"/>
  <c r="G134" i="125"/>
  <c r="G137" i="125"/>
  <c r="H137" i="125"/>
  <c r="M77" i="128"/>
  <c r="L77" i="128"/>
  <c r="N77" i="128"/>
  <c r="M76" i="128"/>
  <c r="N76" i="128"/>
  <c r="N149" i="128"/>
  <c r="N150" i="128"/>
  <c r="M89" i="128"/>
  <c r="M92" i="128"/>
  <c r="N78" i="128"/>
  <c r="N82" i="128"/>
  <c r="M78" i="128"/>
  <c r="M82" i="128"/>
  <c r="G79" i="128"/>
  <c r="F79" i="128"/>
  <c r="L129" i="128"/>
  <c r="L131" i="128"/>
  <c r="G120" i="128"/>
  <c r="H135" i="128"/>
  <c r="E140" i="128"/>
  <c r="F122" i="127"/>
  <c r="G119" i="127"/>
  <c r="E78" i="127"/>
  <c r="M77" i="127"/>
  <c r="M80" i="127"/>
  <c r="L77" i="127"/>
  <c r="F78" i="127"/>
  <c r="M78" i="127"/>
  <c r="F125" i="116"/>
  <c r="XFD54" i="127"/>
  <c r="N148" i="127"/>
  <c r="N149" i="127"/>
  <c r="M91" i="127"/>
  <c r="F131" i="116"/>
  <c r="E139" i="127"/>
  <c r="G135" i="127"/>
  <c r="H135" i="127"/>
  <c r="G78" i="127"/>
  <c r="M120" i="127"/>
  <c r="H134" i="127"/>
  <c r="L130" i="127"/>
  <c r="E140" i="116"/>
  <c r="F133" i="116"/>
  <c r="G138" i="127"/>
  <c r="H138" i="127"/>
  <c r="L153" i="127"/>
  <c r="E141" i="116"/>
  <c r="L145" i="127"/>
  <c r="L77" i="126"/>
  <c r="N77" i="126"/>
  <c r="M77" i="126"/>
  <c r="F78" i="126"/>
  <c r="E78" i="126"/>
  <c r="F139" i="126"/>
  <c r="G134" i="126"/>
  <c r="N76" i="126"/>
  <c r="M76" i="126"/>
  <c r="K87" i="126"/>
  <c r="K88" i="126"/>
  <c r="G135" i="126"/>
  <c r="H135" i="126"/>
  <c r="E139" i="126"/>
  <c r="N148" i="126"/>
  <c r="N149" i="126"/>
  <c r="M88" i="126"/>
  <c r="F128" i="115"/>
  <c r="H119" i="126"/>
  <c r="G120" i="126"/>
  <c r="H120" i="126"/>
  <c r="M120" i="126"/>
  <c r="G121" i="126"/>
  <c r="H121" i="126"/>
  <c r="M121" i="126"/>
  <c r="L145" i="126"/>
  <c r="G120" i="124"/>
  <c r="H120" i="124"/>
  <c r="M120" i="124"/>
  <c r="M121" i="124"/>
  <c r="M125" i="124"/>
  <c r="K125" i="124"/>
  <c r="E139" i="124"/>
  <c r="XFD54" i="124"/>
  <c r="L153" i="124"/>
  <c r="E141" i="113"/>
  <c r="N77" i="125"/>
  <c r="M77" i="125"/>
  <c r="F78" i="125"/>
  <c r="G76" i="125"/>
  <c r="L77" i="125"/>
  <c r="F133" i="114"/>
  <c r="M120" i="125"/>
  <c r="M91" i="125"/>
  <c r="F131" i="114"/>
  <c r="F122" i="125"/>
  <c r="G119" i="125"/>
  <c r="N148" i="125"/>
  <c r="N149" i="125"/>
  <c r="M88" i="125"/>
  <c r="F128" i="114"/>
  <c r="E139" i="125"/>
  <c r="H134" i="125"/>
  <c r="G138" i="125"/>
  <c r="H138" i="125"/>
  <c r="L153" i="125"/>
  <c r="L145" i="125"/>
  <c r="G135" i="124"/>
  <c r="H135" i="124"/>
  <c r="G138" i="124"/>
  <c r="H138" i="124"/>
  <c r="G137" i="124"/>
  <c r="H137" i="124"/>
  <c r="G121" i="124"/>
  <c r="H121" i="124"/>
  <c r="F139" i="124"/>
  <c r="F78" i="124"/>
  <c r="L145" i="124"/>
  <c r="E78" i="124"/>
  <c r="K81" i="124"/>
  <c r="K88" i="124"/>
  <c r="K87" i="124"/>
  <c r="K86" i="124"/>
  <c r="N148" i="124"/>
  <c r="N149" i="124"/>
  <c r="M88" i="124"/>
  <c r="F128" i="113"/>
  <c r="M91" i="124"/>
  <c r="F131" i="113"/>
  <c r="N76" i="124"/>
  <c r="M76" i="124"/>
  <c r="G78" i="124"/>
  <c r="N77" i="124"/>
  <c r="F122" i="124"/>
  <c r="G119" i="124"/>
  <c r="L77" i="124"/>
  <c r="L143" i="124"/>
  <c r="H134" i="124"/>
  <c r="F133" i="113"/>
  <c r="L128" i="124"/>
  <c r="L130" i="124"/>
  <c r="E124" i="123"/>
  <c r="G123" i="123"/>
  <c r="H123" i="123"/>
  <c r="K127" i="123"/>
  <c r="K83" i="123"/>
  <c r="G140" i="123"/>
  <c r="H140" i="123"/>
  <c r="XFD54" i="123"/>
  <c r="G79" i="123"/>
  <c r="G137" i="123"/>
  <c r="H137" i="123"/>
  <c r="F124" i="123"/>
  <c r="F141" i="123"/>
  <c r="N76" i="123"/>
  <c r="G138" i="123"/>
  <c r="H138" i="123"/>
  <c r="L145" i="123"/>
  <c r="G136" i="123"/>
  <c r="H136" i="123"/>
  <c r="G122" i="123"/>
  <c r="H122" i="123"/>
  <c r="L77" i="123"/>
  <c r="N150" i="123"/>
  <c r="N151" i="123"/>
  <c r="M93" i="123"/>
  <c r="N78" i="123"/>
  <c r="N83" i="123"/>
  <c r="E80" i="123"/>
  <c r="G139" i="123"/>
  <c r="H139" i="123"/>
  <c r="E141" i="123"/>
  <c r="N77" i="123"/>
  <c r="M77" i="123"/>
  <c r="M76" i="123"/>
  <c r="G80" i="123"/>
  <c r="M78" i="123"/>
  <c r="F80" i="123"/>
  <c r="M90" i="123"/>
  <c r="L130" i="123"/>
  <c r="L132" i="123"/>
  <c r="K88" i="123"/>
  <c r="K89" i="123"/>
  <c r="G121" i="123"/>
  <c r="L147" i="123"/>
  <c r="E121" i="122"/>
  <c r="E122" i="122"/>
  <c r="M32" i="122"/>
  <c r="N32" i="122"/>
  <c r="O32" i="122"/>
  <c r="P32" i="122"/>
  <c r="Q32" i="122"/>
  <c r="R32" i="122"/>
  <c r="S32" i="122"/>
  <c r="L27" i="97"/>
  <c r="T32" i="122"/>
  <c r="M27" i="97"/>
  <c r="U32" i="122"/>
  <c r="N27" i="97"/>
  <c r="V32" i="122"/>
  <c r="W32" i="122"/>
  <c r="P27" i="97"/>
  <c r="X32" i="122"/>
  <c r="Q27" i="97"/>
  <c r="Y32" i="122"/>
  <c r="R27" i="97"/>
  <c r="Z32" i="122"/>
  <c r="AA32" i="122"/>
  <c r="T27" i="97"/>
  <c r="AB32" i="122"/>
  <c r="AC32" i="122"/>
  <c r="V27" i="97"/>
  <c r="AD32" i="122"/>
  <c r="AE32" i="122"/>
  <c r="X27" i="97"/>
  <c r="L32" i="122"/>
  <c r="E27" i="97"/>
  <c r="F27" i="97"/>
  <c r="G27" i="97"/>
  <c r="H27" i="97"/>
  <c r="I27" i="97"/>
  <c r="J27" i="97"/>
  <c r="K27" i="97"/>
  <c r="O27" i="97"/>
  <c r="S27" i="97"/>
  <c r="U27" i="97"/>
  <c r="W27" i="97"/>
  <c r="M159" i="142"/>
  <c r="L94" i="142"/>
  <c r="L101" i="142"/>
  <c r="L113" i="142"/>
  <c r="L163" i="142"/>
  <c r="M159" i="141"/>
  <c r="M127" i="137"/>
  <c r="M125" i="137"/>
  <c r="H124" i="134"/>
  <c r="M84" i="133"/>
  <c r="L159" i="129"/>
  <c r="N175" i="134"/>
  <c r="N177" i="134"/>
  <c r="G141" i="129"/>
  <c r="N175" i="133"/>
  <c r="N177" i="133"/>
  <c r="G124" i="129"/>
  <c r="N175" i="135"/>
  <c r="N177" i="135"/>
  <c r="G123" i="132"/>
  <c r="L158" i="132"/>
  <c r="E140" i="112"/>
  <c r="L158" i="131"/>
  <c r="L93" i="131"/>
  <c r="L100" i="131"/>
  <c r="L79" i="130"/>
  <c r="L81" i="130"/>
  <c r="L83" i="130"/>
  <c r="L158" i="130"/>
  <c r="N174" i="130"/>
  <c r="N176" i="130"/>
  <c r="L158" i="128"/>
  <c r="N174" i="132"/>
  <c r="N176" i="132"/>
  <c r="N174" i="131"/>
  <c r="N176" i="131"/>
  <c r="L157" i="125"/>
  <c r="E141" i="114"/>
  <c r="N173" i="126"/>
  <c r="N175" i="126"/>
  <c r="N173" i="127"/>
  <c r="N175" i="127"/>
  <c r="N173" i="125"/>
  <c r="N175" i="125"/>
  <c r="L157" i="124"/>
  <c r="E140" i="113"/>
  <c r="L159" i="123"/>
  <c r="N153" i="129"/>
  <c r="N84" i="133"/>
  <c r="F134" i="116"/>
  <c r="F134" i="115"/>
  <c r="M94" i="140"/>
  <c r="M94" i="141"/>
  <c r="M94" i="142"/>
  <c r="F134" i="114"/>
  <c r="G142" i="105"/>
  <c r="M94" i="143"/>
  <c r="M130" i="143"/>
  <c r="M132" i="143"/>
  <c r="L94" i="141"/>
  <c r="L101" i="141"/>
  <c r="L113" i="141"/>
  <c r="L163" i="141"/>
  <c r="M127" i="140"/>
  <c r="M128" i="140"/>
  <c r="M91" i="139"/>
  <c r="F131" i="120"/>
  <c r="M90" i="139"/>
  <c r="F130" i="120"/>
  <c r="L91" i="139"/>
  <c r="E131" i="120"/>
  <c r="L90" i="139"/>
  <c r="M129" i="139"/>
  <c r="M131" i="139"/>
  <c r="F141" i="120"/>
  <c r="N144" i="139"/>
  <c r="N142" i="139"/>
  <c r="F142" i="120"/>
  <c r="N144" i="138"/>
  <c r="N142" i="138"/>
  <c r="M91" i="138"/>
  <c r="M90" i="138"/>
  <c r="M90" i="137"/>
  <c r="M91" i="137"/>
  <c r="L93" i="137"/>
  <c r="L100" i="137"/>
  <c r="L112" i="137"/>
  <c r="L162" i="137"/>
  <c r="M142" i="136"/>
  <c r="M144" i="136"/>
  <c r="M90" i="136"/>
  <c r="M91" i="136"/>
  <c r="L93" i="136"/>
  <c r="L100" i="136"/>
  <c r="L112" i="136"/>
  <c r="L162" i="136"/>
  <c r="M91" i="135"/>
  <c r="M92" i="135"/>
  <c r="F130" i="102"/>
  <c r="M128" i="135"/>
  <c r="M126" i="135"/>
  <c r="M124" i="135"/>
  <c r="M145" i="135"/>
  <c r="M143" i="135"/>
  <c r="L92" i="135"/>
  <c r="E130" i="102"/>
  <c r="L91" i="135"/>
  <c r="M80" i="134"/>
  <c r="M82" i="134"/>
  <c r="M84" i="134"/>
  <c r="M145" i="134"/>
  <c r="M143" i="134"/>
  <c r="L92" i="134"/>
  <c r="L91" i="134"/>
  <c r="N82" i="134"/>
  <c r="N84" i="134"/>
  <c r="N80" i="134"/>
  <c r="L92" i="133"/>
  <c r="L91" i="133"/>
  <c r="M145" i="133"/>
  <c r="M143" i="133"/>
  <c r="M92" i="133"/>
  <c r="M91" i="133"/>
  <c r="H140" i="132"/>
  <c r="L79" i="132"/>
  <c r="E125" i="112"/>
  <c r="L81" i="132"/>
  <c r="L83" i="132"/>
  <c r="N152" i="132"/>
  <c r="M81" i="132"/>
  <c r="M83" i="132"/>
  <c r="M78" i="132"/>
  <c r="M82" i="132"/>
  <c r="N78" i="132"/>
  <c r="N82" i="132"/>
  <c r="N143" i="132"/>
  <c r="G140" i="132"/>
  <c r="K93" i="132"/>
  <c r="H123" i="132"/>
  <c r="M120" i="132"/>
  <c r="G79" i="132"/>
  <c r="M126" i="132"/>
  <c r="N81" i="132"/>
  <c r="M143" i="132"/>
  <c r="N76" i="131"/>
  <c r="G79" i="131"/>
  <c r="M76" i="131"/>
  <c r="K93" i="131"/>
  <c r="G140" i="131"/>
  <c r="H135" i="131"/>
  <c r="N143" i="131"/>
  <c r="L112" i="131"/>
  <c r="L162" i="131"/>
  <c r="G123" i="131"/>
  <c r="M126" i="131"/>
  <c r="N152" i="131"/>
  <c r="H123" i="131"/>
  <c r="M143" i="130"/>
  <c r="H140" i="130"/>
  <c r="G140" i="130"/>
  <c r="K93" i="130"/>
  <c r="N152" i="130"/>
  <c r="M144" i="130"/>
  <c r="M142" i="130"/>
  <c r="N81" i="130"/>
  <c r="M127" i="130"/>
  <c r="M125" i="130"/>
  <c r="M78" i="130"/>
  <c r="M82" i="130"/>
  <c r="N78" i="130"/>
  <c r="N82" i="130"/>
  <c r="M81" i="130"/>
  <c r="M79" i="130"/>
  <c r="G140" i="128"/>
  <c r="K93" i="128"/>
  <c r="M126" i="129"/>
  <c r="M128" i="129"/>
  <c r="N78" i="129"/>
  <c r="N83" i="129"/>
  <c r="M78" i="129"/>
  <c r="M83" i="129"/>
  <c r="M82" i="129"/>
  <c r="M127" i="129"/>
  <c r="M144" i="129"/>
  <c r="N82" i="129"/>
  <c r="L92" i="129"/>
  <c r="L91" i="129"/>
  <c r="H141" i="129"/>
  <c r="G80" i="129"/>
  <c r="M82" i="127"/>
  <c r="M89" i="127"/>
  <c r="F129" i="116"/>
  <c r="G139" i="127"/>
  <c r="N151" i="127"/>
  <c r="K92" i="127"/>
  <c r="K92" i="126"/>
  <c r="K92" i="125"/>
  <c r="N152" i="128"/>
  <c r="M126" i="128"/>
  <c r="N79" i="128"/>
  <c r="N81" i="128"/>
  <c r="N83" i="128"/>
  <c r="H120" i="128"/>
  <c r="G123" i="128"/>
  <c r="L81" i="128"/>
  <c r="L83" i="128"/>
  <c r="L79" i="128"/>
  <c r="H140" i="128"/>
  <c r="M143" i="128"/>
  <c r="M81" i="128"/>
  <c r="M83" i="128"/>
  <c r="M79" i="128"/>
  <c r="L157" i="127"/>
  <c r="M125" i="127"/>
  <c r="H119" i="127"/>
  <c r="G122" i="127"/>
  <c r="M90" i="127"/>
  <c r="F130" i="116"/>
  <c r="F126" i="116"/>
  <c r="N142" i="127"/>
  <c r="L80" i="127"/>
  <c r="L82" i="127"/>
  <c r="L78" i="127"/>
  <c r="E125" i="116"/>
  <c r="N82" i="127"/>
  <c r="H139" i="127"/>
  <c r="M142" i="127"/>
  <c r="N78" i="127"/>
  <c r="G125" i="116"/>
  <c r="M125" i="126"/>
  <c r="H122" i="126"/>
  <c r="M119" i="126"/>
  <c r="N80" i="126"/>
  <c r="N82" i="126"/>
  <c r="N78" i="126"/>
  <c r="G125" i="115"/>
  <c r="M142" i="126"/>
  <c r="N142" i="126"/>
  <c r="G122" i="126"/>
  <c r="N151" i="126"/>
  <c r="M78" i="126"/>
  <c r="F125" i="115"/>
  <c r="M80" i="126"/>
  <c r="G139" i="126"/>
  <c r="H134" i="126"/>
  <c r="G78" i="126"/>
  <c r="L80" i="126"/>
  <c r="L82" i="126"/>
  <c r="L78" i="126"/>
  <c r="E125" i="115"/>
  <c r="G139" i="124"/>
  <c r="G122" i="125"/>
  <c r="H119" i="125"/>
  <c r="M125" i="125"/>
  <c r="M142" i="125"/>
  <c r="N76" i="125"/>
  <c r="M76" i="125"/>
  <c r="G78" i="125"/>
  <c r="H139" i="125"/>
  <c r="G139" i="125"/>
  <c r="N151" i="125"/>
  <c r="L78" i="125"/>
  <c r="E125" i="114"/>
  <c r="L80" i="125"/>
  <c r="L82" i="125"/>
  <c r="N151" i="124"/>
  <c r="M142" i="124"/>
  <c r="H139" i="124"/>
  <c r="H119" i="124"/>
  <c r="G122" i="124"/>
  <c r="M80" i="124"/>
  <c r="K92" i="124"/>
  <c r="L80" i="124"/>
  <c r="L82" i="124"/>
  <c r="L78" i="124"/>
  <c r="E125" i="113"/>
  <c r="N80" i="124"/>
  <c r="M127" i="123"/>
  <c r="N82" i="123"/>
  <c r="N84" i="123"/>
  <c r="N80" i="123"/>
  <c r="G141" i="123"/>
  <c r="H121" i="123"/>
  <c r="G124" i="123"/>
  <c r="M83" i="123"/>
  <c r="M144" i="123"/>
  <c r="N144" i="123"/>
  <c r="K94" i="123"/>
  <c r="H141" i="123"/>
  <c r="M82" i="123"/>
  <c r="M80" i="123"/>
  <c r="N153" i="123"/>
  <c r="L80" i="123"/>
  <c r="L82" i="123"/>
  <c r="L84" i="123"/>
  <c r="L143" i="122"/>
  <c r="L142" i="122"/>
  <c r="F136" i="122"/>
  <c r="F137" i="122"/>
  <c r="F138" i="122"/>
  <c r="F139" i="122"/>
  <c r="D137" i="122"/>
  <c r="E137" i="122"/>
  <c r="F135" i="122"/>
  <c r="G135" i="122"/>
  <c r="D135" i="122"/>
  <c r="F121" i="122"/>
  <c r="F122" i="122"/>
  <c r="F120" i="122"/>
  <c r="D120" i="122"/>
  <c r="L82" i="122"/>
  <c r="F78" i="122"/>
  <c r="D78" i="122"/>
  <c r="E78" i="122"/>
  <c r="N174" i="122"/>
  <c r="N176" i="122"/>
  <c r="F77" i="122"/>
  <c r="G77" i="122"/>
  <c r="F76" i="122"/>
  <c r="G76" i="122"/>
  <c r="F150" i="97"/>
  <c r="G150" i="97"/>
  <c r="H150" i="97"/>
  <c r="I150" i="97"/>
  <c r="J150" i="97"/>
  <c r="K150" i="97"/>
  <c r="L150" i="97"/>
  <c r="M150" i="97"/>
  <c r="N150" i="97"/>
  <c r="O150" i="97"/>
  <c r="P150" i="97"/>
  <c r="Q150" i="97"/>
  <c r="R150" i="97"/>
  <c r="S150" i="97"/>
  <c r="T150" i="97"/>
  <c r="U150" i="97"/>
  <c r="V150" i="97"/>
  <c r="W150" i="97"/>
  <c r="X150" i="97"/>
  <c r="E150" i="97"/>
  <c r="D76" i="122"/>
  <c r="D77" i="122"/>
  <c r="M174" i="122"/>
  <c r="M176" i="122"/>
  <c r="L174" i="122"/>
  <c r="L176" i="122"/>
  <c r="AE68" i="122"/>
  <c r="AD68" i="122"/>
  <c r="AC68" i="122"/>
  <c r="AB68" i="122"/>
  <c r="AA68" i="122"/>
  <c r="Z68" i="122"/>
  <c r="Y68" i="122"/>
  <c r="X68" i="122"/>
  <c r="W68" i="122"/>
  <c r="V68" i="122"/>
  <c r="U68" i="122"/>
  <c r="T68" i="122"/>
  <c r="S68" i="122"/>
  <c r="R68" i="122"/>
  <c r="Q68" i="122"/>
  <c r="P68" i="122"/>
  <c r="O68" i="122"/>
  <c r="N68" i="122"/>
  <c r="AE63" i="122"/>
  <c r="AD63" i="122"/>
  <c r="AC63" i="122"/>
  <c r="AB63" i="122"/>
  <c r="AA63" i="122"/>
  <c r="Z63" i="122"/>
  <c r="Y63" i="122"/>
  <c r="X63" i="122"/>
  <c r="W63" i="122"/>
  <c r="V63" i="122"/>
  <c r="U63" i="122"/>
  <c r="T63" i="122"/>
  <c r="S63" i="122"/>
  <c r="R63" i="122"/>
  <c r="Q63" i="122"/>
  <c r="P63" i="122"/>
  <c r="O63" i="122"/>
  <c r="N63" i="122"/>
  <c r="M63" i="122"/>
  <c r="AE62" i="122"/>
  <c r="AD62" i="122"/>
  <c r="AC62" i="122"/>
  <c r="AB62" i="122"/>
  <c r="AA62" i="122"/>
  <c r="Z62" i="122"/>
  <c r="Y62" i="122"/>
  <c r="X62" i="122"/>
  <c r="W62" i="122"/>
  <c r="V62" i="122"/>
  <c r="U62" i="122"/>
  <c r="T62" i="122"/>
  <c r="S62" i="122"/>
  <c r="R62" i="122"/>
  <c r="Q62" i="122"/>
  <c r="P62" i="122"/>
  <c r="O62" i="122"/>
  <c r="N62" i="122"/>
  <c r="M62" i="122"/>
  <c r="AE61" i="122"/>
  <c r="AD61" i="122"/>
  <c r="AC61" i="122"/>
  <c r="AB61" i="122"/>
  <c r="AA61" i="122"/>
  <c r="Z61" i="122"/>
  <c r="Y61" i="122"/>
  <c r="X61" i="122"/>
  <c r="W61" i="122"/>
  <c r="V61" i="122"/>
  <c r="U61" i="122"/>
  <c r="T61" i="122"/>
  <c r="S61" i="122"/>
  <c r="R61" i="122"/>
  <c r="Q61" i="122"/>
  <c r="P61" i="122"/>
  <c r="O61" i="122"/>
  <c r="N61" i="122"/>
  <c r="M61" i="122"/>
  <c r="A60" i="122"/>
  <c r="AE54" i="122"/>
  <c r="AD54" i="122"/>
  <c r="AC54" i="122"/>
  <c r="AB54" i="122"/>
  <c r="AA54" i="122"/>
  <c r="Z54" i="122"/>
  <c r="Y54" i="122"/>
  <c r="X54" i="122"/>
  <c r="W54" i="122"/>
  <c r="V54" i="122"/>
  <c r="U54" i="122"/>
  <c r="T54" i="122"/>
  <c r="S54" i="122"/>
  <c r="R54" i="122"/>
  <c r="Q54" i="122"/>
  <c r="P54" i="122"/>
  <c r="O54" i="122"/>
  <c r="N54" i="122"/>
  <c r="M54" i="122"/>
  <c r="L54" i="122"/>
  <c r="AE42" i="122"/>
  <c r="AD42" i="122"/>
  <c r="AC42" i="122"/>
  <c r="AB42" i="122"/>
  <c r="AA42" i="122"/>
  <c r="Z42" i="122"/>
  <c r="Y42" i="122"/>
  <c r="X42" i="122"/>
  <c r="W42" i="122"/>
  <c r="V42" i="122"/>
  <c r="U42" i="122"/>
  <c r="T42" i="122"/>
  <c r="S42" i="122"/>
  <c r="R42" i="122"/>
  <c r="Q42" i="122"/>
  <c r="P42" i="122"/>
  <c r="O42" i="122"/>
  <c r="N42" i="122"/>
  <c r="M42" i="122"/>
  <c r="L42" i="122"/>
  <c r="M34" i="122"/>
  <c r="N34" i="122"/>
  <c r="O34" i="122"/>
  <c r="P34" i="122"/>
  <c r="V11" i="13"/>
  <c r="W11" i="13"/>
  <c r="X11" i="13"/>
  <c r="Y11" i="13"/>
  <c r="Z11" i="13"/>
  <c r="AA11" i="13"/>
  <c r="AB11" i="13"/>
  <c r="AC11" i="13"/>
  <c r="AD11" i="13"/>
  <c r="AE11" i="13"/>
  <c r="AF11" i="13"/>
  <c r="AG11" i="13"/>
  <c r="AH11" i="13"/>
  <c r="AI11" i="13"/>
  <c r="AJ11" i="13"/>
  <c r="AK11" i="13"/>
  <c r="AL11" i="13"/>
  <c r="AM11" i="13"/>
  <c r="AN11" i="13"/>
  <c r="T38" i="13"/>
  <c r="T11" i="13"/>
  <c r="T39" i="13"/>
  <c r="T12" i="13"/>
  <c r="T13" i="13"/>
  <c r="U13" i="13"/>
  <c r="B38" i="13"/>
  <c r="B11" i="13"/>
  <c r="B39" i="13"/>
  <c r="B12" i="13"/>
  <c r="B13" i="13"/>
  <c r="C38" i="13"/>
  <c r="C11" i="13"/>
  <c r="C39" i="13"/>
  <c r="C12" i="13"/>
  <c r="C13" i="13"/>
  <c r="D38" i="13"/>
  <c r="D11" i="13"/>
  <c r="D39" i="13"/>
  <c r="D12" i="13"/>
  <c r="D13" i="13"/>
  <c r="E38" i="13"/>
  <c r="E11" i="13"/>
  <c r="E39" i="13"/>
  <c r="E12" i="13"/>
  <c r="E13" i="13"/>
  <c r="F38" i="13"/>
  <c r="F11" i="13"/>
  <c r="F39" i="13"/>
  <c r="F12" i="13"/>
  <c r="F13" i="13"/>
  <c r="G38" i="13"/>
  <c r="G11" i="13"/>
  <c r="G39" i="13"/>
  <c r="G12" i="13"/>
  <c r="G13" i="13"/>
  <c r="H38" i="13"/>
  <c r="H11" i="13"/>
  <c r="H39" i="13"/>
  <c r="H12" i="13"/>
  <c r="H13" i="13"/>
  <c r="I38" i="13"/>
  <c r="I11" i="13"/>
  <c r="I39" i="13"/>
  <c r="I12" i="13"/>
  <c r="I13" i="13"/>
  <c r="J38" i="13"/>
  <c r="J11" i="13"/>
  <c r="J39" i="13"/>
  <c r="J12" i="13"/>
  <c r="J13" i="13"/>
  <c r="K38" i="13"/>
  <c r="K11" i="13"/>
  <c r="K39" i="13"/>
  <c r="K12" i="13"/>
  <c r="K13" i="13"/>
  <c r="L38" i="13"/>
  <c r="L11" i="13"/>
  <c r="L39" i="13"/>
  <c r="L12" i="13"/>
  <c r="L13" i="13"/>
  <c r="M38" i="13"/>
  <c r="M11" i="13"/>
  <c r="M39" i="13"/>
  <c r="M12" i="13"/>
  <c r="M13" i="13"/>
  <c r="N38" i="13"/>
  <c r="N11" i="13"/>
  <c r="N39" i="13"/>
  <c r="N12" i="13"/>
  <c r="N13" i="13"/>
  <c r="O38" i="13"/>
  <c r="O11" i="13"/>
  <c r="O39" i="13"/>
  <c r="O12" i="13"/>
  <c r="O13" i="13"/>
  <c r="P38" i="13"/>
  <c r="P11" i="13"/>
  <c r="P39" i="13"/>
  <c r="P12" i="13"/>
  <c r="P13" i="13"/>
  <c r="Q38" i="13"/>
  <c r="Q11" i="13"/>
  <c r="Q39" i="13"/>
  <c r="Q12" i="13"/>
  <c r="Q13" i="13"/>
  <c r="R38" i="13"/>
  <c r="R11" i="13"/>
  <c r="R39" i="13"/>
  <c r="R12" i="13"/>
  <c r="R13" i="13"/>
  <c r="S38" i="13"/>
  <c r="S11" i="13"/>
  <c r="S39" i="13"/>
  <c r="S12" i="13"/>
  <c r="S13" i="13"/>
  <c r="V13" i="13"/>
  <c r="W13" i="13"/>
  <c r="X13" i="13"/>
  <c r="Y13" i="13"/>
  <c r="Z13" i="13"/>
  <c r="AA13" i="13"/>
  <c r="AB13" i="13"/>
  <c r="AC13" i="13"/>
  <c r="AD13" i="13"/>
  <c r="AE13" i="13"/>
  <c r="AF13" i="13"/>
  <c r="AG13" i="13"/>
  <c r="AH13" i="13"/>
  <c r="AI13" i="13"/>
  <c r="AJ13" i="13"/>
  <c r="AK13" i="13"/>
  <c r="AL13" i="13"/>
  <c r="AM13" i="13"/>
  <c r="AN13" i="13"/>
  <c r="AN12" i="13"/>
  <c r="T27" i="13"/>
  <c r="T28" i="13"/>
  <c r="U27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AG28" i="13"/>
  <c r="AH28" i="13"/>
  <c r="AI28" i="13"/>
  <c r="AJ28" i="13"/>
  <c r="AK28" i="13"/>
  <c r="AL28" i="13"/>
  <c r="AM28" i="13"/>
  <c r="AN28" i="13"/>
  <c r="AN27" i="13"/>
  <c r="AE33" i="122"/>
  <c r="AM12" i="13"/>
  <c r="AM27" i="13"/>
  <c r="AD33" i="122"/>
  <c r="AL12" i="13"/>
  <c r="AL27" i="13"/>
  <c r="AC33" i="122"/>
  <c r="AK12" i="13"/>
  <c r="AK27" i="13"/>
  <c r="AB33" i="122"/>
  <c r="AJ12" i="13"/>
  <c r="AJ27" i="13"/>
  <c r="AA33" i="122"/>
  <c r="AI12" i="13"/>
  <c r="AI27" i="13"/>
  <c r="Z33" i="122"/>
  <c r="AH12" i="13"/>
  <c r="AH27" i="13"/>
  <c r="Y33" i="122"/>
  <c r="AG12" i="13"/>
  <c r="AG27" i="13"/>
  <c r="X33" i="122"/>
  <c r="AF12" i="13"/>
  <c r="AF27" i="13"/>
  <c r="W33" i="122"/>
  <c r="AE12" i="13"/>
  <c r="AE27" i="13"/>
  <c r="V33" i="122"/>
  <c r="AD12" i="13"/>
  <c r="AD27" i="13"/>
  <c r="U33" i="122"/>
  <c r="AC12" i="13"/>
  <c r="AC27" i="13"/>
  <c r="T33" i="122"/>
  <c r="AB12" i="13"/>
  <c r="AB27" i="13"/>
  <c r="S33" i="122"/>
  <c r="AA12" i="13"/>
  <c r="AA27" i="13"/>
  <c r="R33" i="122"/>
  <c r="Z12" i="13"/>
  <c r="Z27" i="13"/>
  <c r="Q33" i="122"/>
  <c r="Y12" i="13"/>
  <c r="Y27" i="13"/>
  <c r="P33" i="122"/>
  <c r="X12" i="13"/>
  <c r="X27" i="13"/>
  <c r="O33" i="122"/>
  <c r="W12" i="13"/>
  <c r="W27" i="13"/>
  <c r="N33" i="122"/>
  <c r="V12" i="13"/>
  <c r="V27" i="13"/>
  <c r="M33" i="122"/>
  <c r="A28" i="122"/>
  <c r="A27" i="122"/>
  <c r="AE25" i="122"/>
  <c r="AD25" i="122"/>
  <c r="AC25" i="122"/>
  <c r="AB25" i="122"/>
  <c r="AA25" i="122"/>
  <c r="Z25" i="122"/>
  <c r="Y25" i="122"/>
  <c r="X25" i="122"/>
  <c r="W25" i="122"/>
  <c r="V25" i="122"/>
  <c r="U25" i="122"/>
  <c r="T25" i="122"/>
  <c r="S25" i="122"/>
  <c r="R25" i="122"/>
  <c r="Q25" i="122"/>
  <c r="P25" i="122"/>
  <c r="O25" i="122"/>
  <c r="N25" i="122"/>
  <c r="M25" i="122"/>
  <c r="L25" i="122"/>
  <c r="K25" i="122"/>
  <c r="A25" i="122"/>
  <c r="AE24" i="122"/>
  <c r="AD24" i="122"/>
  <c r="AC24" i="122"/>
  <c r="AB24" i="122"/>
  <c r="AA24" i="122"/>
  <c r="Z24" i="122"/>
  <c r="Y24" i="122"/>
  <c r="X24" i="122"/>
  <c r="W24" i="122"/>
  <c r="V24" i="122"/>
  <c r="U24" i="122"/>
  <c r="T24" i="122"/>
  <c r="S24" i="122"/>
  <c r="R24" i="122"/>
  <c r="Q24" i="122"/>
  <c r="P24" i="122"/>
  <c r="O24" i="122"/>
  <c r="N24" i="122"/>
  <c r="M24" i="122"/>
  <c r="L24" i="122"/>
  <c r="K24" i="122"/>
  <c r="A24" i="122"/>
  <c r="AE23" i="122"/>
  <c r="AD23" i="122"/>
  <c r="AC23" i="122"/>
  <c r="AB23" i="122"/>
  <c r="AA23" i="122"/>
  <c r="Z23" i="122"/>
  <c r="Y23" i="122"/>
  <c r="X23" i="122"/>
  <c r="W23" i="122"/>
  <c r="V23" i="122"/>
  <c r="U23" i="122"/>
  <c r="T23" i="122"/>
  <c r="S23" i="122"/>
  <c r="R23" i="122"/>
  <c r="Q23" i="122"/>
  <c r="P23" i="122"/>
  <c r="O23" i="122"/>
  <c r="N23" i="122"/>
  <c r="M23" i="122"/>
  <c r="L23" i="122"/>
  <c r="L40" i="122"/>
  <c r="K23" i="122"/>
  <c r="A23" i="122"/>
  <c r="AE20" i="122"/>
  <c r="AD20" i="122"/>
  <c r="AC20" i="122"/>
  <c r="AB20" i="122"/>
  <c r="AA20" i="122"/>
  <c r="Z20" i="122"/>
  <c r="Y20" i="122"/>
  <c r="X20" i="122"/>
  <c r="W20" i="122"/>
  <c r="V20" i="122"/>
  <c r="U20" i="122"/>
  <c r="T20" i="122"/>
  <c r="S20" i="122"/>
  <c r="R20" i="122"/>
  <c r="Q20" i="122"/>
  <c r="P20" i="122"/>
  <c r="O20" i="122"/>
  <c r="N20" i="122"/>
  <c r="M20" i="122"/>
  <c r="C13" i="98"/>
  <c r="L20" i="122"/>
  <c r="K20" i="122"/>
  <c r="T25" i="13"/>
  <c r="T26" i="13"/>
  <c r="U25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AG26" i="13"/>
  <c r="AH26" i="13"/>
  <c r="AI26" i="13"/>
  <c r="AJ26" i="13"/>
  <c r="AK26" i="13"/>
  <c r="AL26" i="13"/>
  <c r="AM26" i="13"/>
  <c r="AN26" i="13"/>
  <c r="AN25" i="13"/>
  <c r="AN67" i="13"/>
  <c r="AN68" i="13"/>
  <c r="AN69" i="13"/>
  <c r="AE19" i="122"/>
  <c r="AM25" i="13"/>
  <c r="AM67" i="13"/>
  <c r="AM68" i="13"/>
  <c r="AM69" i="13"/>
  <c r="AD19" i="122"/>
  <c r="AL25" i="13"/>
  <c r="AL67" i="13"/>
  <c r="AL68" i="13"/>
  <c r="AL69" i="13"/>
  <c r="AC19" i="122"/>
  <c r="AK25" i="13"/>
  <c r="AK67" i="13"/>
  <c r="AK68" i="13"/>
  <c r="AK69" i="13"/>
  <c r="AB19" i="122"/>
  <c r="AJ25" i="13"/>
  <c r="AJ67" i="13"/>
  <c r="AJ68" i="13"/>
  <c r="AJ69" i="13"/>
  <c r="AA19" i="122"/>
  <c r="AI25" i="13"/>
  <c r="AI67" i="13"/>
  <c r="AI68" i="13"/>
  <c r="AI69" i="13"/>
  <c r="Z19" i="122"/>
  <c r="AH25" i="13"/>
  <c r="AH67" i="13"/>
  <c r="AH68" i="13"/>
  <c r="AH69" i="13"/>
  <c r="Y19" i="122"/>
  <c r="AG25" i="13"/>
  <c r="AG67" i="13"/>
  <c r="AG68" i="13"/>
  <c r="AG69" i="13"/>
  <c r="X19" i="122"/>
  <c r="AF25" i="13"/>
  <c r="AF67" i="13"/>
  <c r="AF68" i="13"/>
  <c r="AF69" i="13"/>
  <c r="W19" i="122"/>
  <c r="AE25" i="13"/>
  <c r="AE67" i="13"/>
  <c r="AE68" i="13"/>
  <c r="AE69" i="13"/>
  <c r="V19" i="122"/>
  <c r="AD25" i="13"/>
  <c r="AD67" i="13"/>
  <c r="AD68" i="13"/>
  <c r="AD69" i="13"/>
  <c r="U19" i="122"/>
  <c r="AC25" i="13"/>
  <c r="AC67" i="13"/>
  <c r="AC68" i="13"/>
  <c r="AC69" i="13"/>
  <c r="T19" i="122"/>
  <c r="AB25" i="13"/>
  <c r="AB67" i="13"/>
  <c r="AB68" i="13"/>
  <c r="AB69" i="13"/>
  <c r="S19" i="122"/>
  <c r="AA25" i="13"/>
  <c r="AA67" i="13"/>
  <c r="AA68" i="13"/>
  <c r="AA69" i="13"/>
  <c r="R19" i="122"/>
  <c r="Z25" i="13"/>
  <c r="Z67" i="13"/>
  <c r="Z68" i="13"/>
  <c r="Z69" i="13"/>
  <c r="Q19" i="122"/>
  <c r="Y25" i="13"/>
  <c r="Y67" i="13"/>
  <c r="Y68" i="13"/>
  <c r="Y69" i="13"/>
  <c r="P19" i="122"/>
  <c r="X25" i="13"/>
  <c r="X67" i="13"/>
  <c r="X68" i="13"/>
  <c r="X69" i="13"/>
  <c r="O19" i="122"/>
  <c r="W25" i="13"/>
  <c r="W67" i="13"/>
  <c r="W68" i="13"/>
  <c r="W69" i="13"/>
  <c r="N19" i="122"/>
  <c r="V25" i="13"/>
  <c r="V67" i="13"/>
  <c r="V68" i="13"/>
  <c r="V69" i="13"/>
  <c r="M19" i="122"/>
  <c r="K19" i="122"/>
  <c r="A19" i="122"/>
  <c r="AE18" i="122"/>
  <c r="AD18" i="122"/>
  <c r="AC18" i="122"/>
  <c r="AB18" i="122"/>
  <c r="AA18" i="122"/>
  <c r="Z18" i="122"/>
  <c r="Y18" i="122"/>
  <c r="X18" i="122"/>
  <c r="W18" i="122"/>
  <c r="V18" i="122"/>
  <c r="U18" i="122"/>
  <c r="T18" i="122"/>
  <c r="S18" i="122"/>
  <c r="R18" i="122"/>
  <c r="Q18" i="122"/>
  <c r="P18" i="122"/>
  <c r="O18" i="122"/>
  <c r="N18" i="122"/>
  <c r="M18" i="122"/>
  <c r="K18" i="122"/>
  <c r="A18" i="122"/>
  <c r="AE17" i="122"/>
  <c r="AD17" i="122"/>
  <c r="AC17" i="122"/>
  <c r="AB17" i="122"/>
  <c r="AA17" i="122"/>
  <c r="Z17" i="122"/>
  <c r="Y17" i="122"/>
  <c r="X17" i="122"/>
  <c r="W17" i="122"/>
  <c r="V17" i="122"/>
  <c r="U17" i="122"/>
  <c r="T17" i="122"/>
  <c r="S17" i="122"/>
  <c r="R17" i="122"/>
  <c r="Q17" i="122"/>
  <c r="P17" i="122"/>
  <c r="O17" i="122"/>
  <c r="N17" i="122"/>
  <c r="M17" i="122"/>
  <c r="K17" i="122"/>
  <c r="A17" i="122"/>
  <c r="K176" i="122"/>
  <c r="K174" i="122"/>
  <c r="L152" i="122"/>
  <c r="K149" i="122"/>
  <c r="K142" i="122"/>
  <c r="K140" i="122"/>
  <c r="C140" i="122"/>
  <c r="E139" i="122"/>
  <c r="D139" i="122"/>
  <c r="E138" i="122"/>
  <c r="D138" i="122"/>
  <c r="E136" i="122"/>
  <c r="D136" i="122"/>
  <c r="K127" i="122"/>
  <c r="K125" i="122"/>
  <c r="K123" i="122"/>
  <c r="C123" i="122"/>
  <c r="D122" i="122"/>
  <c r="D121" i="122"/>
  <c r="L107" i="122"/>
  <c r="M107" i="122"/>
  <c r="N107" i="122"/>
  <c r="O107" i="122"/>
  <c r="P107" i="122"/>
  <c r="Q107" i="122"/>
  <c r="R107" i="122"/>
  <c r="S107" i="122"/>
  <c r="T107" i="122"/>
  <c r="U107" i="122"/>
  <c r="V107" i="122"/>
  <c r="W107" i="122"/>
  <c r="X107" i="122"/>
  <c r="Y107" i="122"/>
  <c r="Z107" i="122"/>
  <c r="AA107" i="122"/>
  <c r="AB107" i="122"/>
  <c r="AC107" i="122"/>
  <c r="AD107" i="122"/>
  <c r="AE107" i="122"/>
  <c r="L106" i="122"/>
  <c r="M106" i="122"/>
  <c r="N106" i="122"/>
  <c r="O106" i="122"/>
  <c r="P106" i="122"/>
  <c r="Q106" i="122"/>
  <c r="R106" i="122"/>
  <c r="S106" i="122"/>
  <c r="T106" i="122"/>
  <c r="U106" i="122"/>
  <c r="V106" i="122"/>
  <c r="W106" i="122"/>
  <c r="X106" i="122"/>
  <c r="Y106" i="122"/>
  <c r="Z106" i="122"/>
  <c r="AA106" i="122"/>
  <c r="AB106" i="122"/>
  <c r="AC106" i="122"/>
  <c r="AD106" i="122"/>
  <c r="AE106" i="122"/>
  <c r="K83" i="122"/>
  <c r="K88" i="122"/>
  <c r="K81" i="122"/>
  <c r="K79" i="122"/>
  <c r="C79" i="122"/>
  <c r="E4" i="122"/>
  <c r="A3" i="122"/>
  <c r="A2" i="122"/>
  <c r="A1" i="122"/>
  <c r="N142" i="125"/>
  <c r="M159" i="143"/>
  <c r="F141" i="105"/>
  <c r="L93" i="139"/>
  <c r="L100" i="139"/>
  <c r="L112" i="139"/>
  <c r="L162" i="139"/>
  <c r="E130" i="120"/>
  <c r="M158" i="138"/>
  <c r="L94" i="135"/>
  <c r="L101" i="135"/>
  <c r="L113" i="135"/>
  <c r="L163" i="135"/>
  <c r="E129" i="102"/>
  <c r="L94" i="134"/>
  <c r="L101" i="134"/>
  <c r="L113" i="134"/>
  <c r="L163" i="134"/>
  <c r="M128" i="134"/>
  <c r="M126" i="134"/>
  <c r="N84" i="129"/>
  <c r="M83" i="130"/>
  <c r="L91" i="130"/>
  <c r="L90" i="130"/>
  <c r="M94" i="135"/>
  <c r="F129" i="102"/>
  <c r="M93" i="136"/>
  <c r="R96" i="122"/>
  <c r="M96" i="122"/>
  <c r="M87" i="122"/>
  <c r="N76" i="122"/>
  <c r="N80" i="129"/>
  <c r="N79" i="130"/>
  <c r="N143" i="128"/>
  <c r="M93" i="139"/>
  <c r="M158" i="139"/>
  <c r="G142" i="120"/>
  <c r="M93" i="138"/>
  <c r="M93" i="137"/>
  <c r="N144" i="136"/>
  <c r="N142" i="136"/>
  <c r="N145" i="135"/>
  <c r="N143" i="135"/>
  <c r="M130" i="135"/>
  <c r="M132" i="135"/>
  <c r="F140" i="102"/>
  <c r="F141" i="102"/>
  <c r="N145" i="134"/>
  <c r="N143" i="134"/>
  <c r="M91" i="134"/>
  <c r="M92" i="134"/>
  <c r="L94" i="133"/>
  <c r="L101" i="133"/>
  <c r="L113" i="133"/>
  <c r="L163" i="133"/>
  <c r="N143" i="133"/>
  <c r="N145" i="133"/>
  <c r="M94" i="133"/>
  <c r="N79" i="132"/>
  <c r="G125" i="112"/>
  <c r="M144" i="132"/>
  <c r="M142" i="132"/>
  <c r="N83" i="132"/>
  <c r="M127" i="132"/>
  <c r="M125" i="132"/>
  <c r="M123" i="132"/>
  <c r="L91" i="132"/>
  <c r="E130" i="112"/>
  <c r="L90" i="132"/>
  <c r="M91" i="132"/>
  <c r="F130" i="112"/>
  <c r="M90" i="132"/>
  <c r="F129" i="112"/>
  <c r="F126" i="112"/>
  <c r="M79" i="132"/>
  <c r="F125" i="112"/>
  <c r="M125" i="131"/>
  <c r="M127" i="131"/>
  <c r="M81" i="131"/>
  <c r="M83" i="131"/>
  <c r="M79" i="131"/>
  <c r="H140" i="131"/>
  <c r="N81" i="131"/>
  <c r="N83" i="131"/>
  <c r="N79" i="131"/>
  <c r="M91" i="130"/>
  <c r="M90" i="130"/>
  <c r="N83" i="130"/>
  <c r="N142" i="130"/>
  <c r="N144" i="130"/>
  <c r="N143" i="130"/>
  <c r="N144" i="129"/>
  <c r="M80" i="129"/>
  <c r="M145" i="129"/>
  <c r="M143" i="129"/>
  <c r="L94" i="129"/>
  <c r="L101" i="129"/>
  <c r="L113" i="129"/>
  <c r="L163" i="129"/>
  <c r="M84" i="129"/>
  <c r="M92" i="127"/>
  <c r="L91" i="128"/>
  <c r="L90" i="128"/>
  <c r="H123" i="128"/>
  <c r="M91" i="128"/>
  <c r="M90" i="128"/>
  <c r="M144" i="128"/>
  <c r="M142" i="128"/>
  <c r="H122" i="127"/>
  <c r="M119" i="127"/>
  <c r="M143" i="127"/>
  <c r="M141" i="127"/>
  <c r="L90" i="127"/>
  <c r="E130" i="116"/>
  <c r="L89" i="127"/>
  <c r="M124" i="126"/>
  <c r="M122" i="126"/>
  <c r="M126" i="126"/>
  <c r="H139" i="126"/>
  <c r="L90" i="126"/>
  <c r="E130" i="115"/>
  <c r="L89" i="126"/>
  <c r="M82" i="126"/>
  <c r="L90" i="125"/>
  <c r="E130" i="114"/>
  <c r="L89" i="125"/>
  <c r="E129" i="114"/>
  <c r="M143" i="125"/>
  <c r="M141" i="125"/>
  <c r="M78" i="125"/>
  <c r="F125" i="114"/>
  <c r="M80" i="125"/>
  <c r="M82" i="125"/>
  <c r="N80" i="125"/>
  <c r="N82" i="125"/>
  <c r="N78" i="125"/>
  <c r="G125" i="114"/>
  <c r="H122" i="125"/>
  <c r="M119" i="125"/>
  <c r="N78" i="124"/>
  <c r="G125" i="113"/>
  <c r="M82" i="124"/>
  <c r="M90" i="124"/>
  <c r="F130" i="113"/>
  <c r="N82" i="124"/>
  <c r="M78" i="124"/>
  <c r="F125" i="113"/>
  <c r="M143" i="124"/>
  <c r="M141" i="124"/>
  <c r="L90" i="124"/>
  <c r="E130" i="113"/>
  <c r="L89" i="124"/>
  <c r="H122" i="124"/>
  <c r="M119" i="124"/>
  <c r="N142" i="124"/>
  <c r="L77" i="122"/>
  <c r="L81" i="122"/>
  <c r="L83" i="122"/>
  <c r="N77" i="122"/>
  <c r="M77" i="122"/>
  <c r="L144" i="122"/>
  <c r="M145" i="123"/>
  <c r="M143" i="123"/>
  <c r="L92" i="123"/>
  <c r="L91" i="123"/>
  <c r="H124" i="123"/>
  <c r="M84" i="123"/>
  <c r="N150" i="122"/>
  <c r="G137" i="122"/>
  <c r="H137" i="122"/>
  <c r="M137" i="122"/>
  <c r="N149" i="122"/>
  <c r="G78" i="122"/>
  <c r="N78" i="122"/>
  <c r="M89" i="122"/>
  <c r="L98" i="122"/>
  <c r="M92" i="122"/>
  <c r="M108" i="122"/>
  <c r="P38" i="122"/>
  <c r="T38" i="122"/>
  <c r="X38" i="122"/>
  <c r="AB38" i="122"/>
  <c r="XFD54" i="122"/>
  <c r="K126" i="122"/>
  <c r="K82" i="122"/>
  <c r="M38" i="122"/>
  <c r="Q38" i="122"/>
  <c r="U38" i="122"/>
  <c r="Y38" i="122"/>
  <c r="AC38" i="122"/>
  <c r="G136" i="122"/>
  <c r="H136" i="122"/>
  <c r="M136" i="122"/>
  <c r="N136" i="122"/>
  <c r="N40" i="122"/>
  <c r="N38" i="122"/>
  <c r="R38" i="122"/>
  <c r="V38" i="122"/>
  <c r="Z38" i="122"/>
  <c r="AD38" i="122"/>
  <c r="M44" i="122"/>
  <c r="O38" i="122"/>
  <c r="S38" i="122"/>
  <c r="W38" i="122"/>
  <c r="AA38" i="122"/>
  <c r="AE38" i="122"/>
  <c r="L44" i="122"/>
  <c r="P44" i="122"/>
  <c r="N44" i="122"/>
  <c r="M40" i="122"/>
  <c r="G122" i="122"/>
  <c r="H122" i="122"/>
  <c r="M122" i="122"/>
  <c r="O40" i="122"/>
  <c r="P40" i="122"/>
  <c r="Q34" i="122"/>
  <c r="O44" i="122"/>
  <c r="G138" i="122"/>
  <c r="H138" i="122"/>
  <c r="M138" i="122"/>
  <c r="M152" i="122"/>
  <c r="G139" i="122"/>
  <c r="H139" i="122"/>
  <c r="M139" i="122"/>
  <c r="F79" i="122"/>
  <c r="K87" i="122"/>
  <c r="M76" i="122"/>
  <c r="F123" i="122"/>
  <c r="G120" i="122"/>
  <c r="E79" i="122"/>
  <c r="G121" i="122"/>
  <c r="H121" i="122"/>
  <c r="M121" i="122"/>
  <c r="E123" i="122"/>
  <c r="H135" i="122"/>
  <c r="M135" i="122"/>
  <c r="K89" i="122"/>
  <c r="E140" i="122"/>
  <c r="F140" i="122"/>
  <c r="M159" i="140"/>
  <c r="M158" i="137"/>
  <c r="L93" i="132"/>
  <c r="L100" i="132"/>
  <c r="L112" i="132"/>
  <c r="L162" i="132"/>
  <c r="E129" i="112"/>
  <c r="L93" i="130"/>
  <c r="L100" i="130"/>
  <c r="L112" i="130"/>
  <c r="L162" i="130"/>
  <c r="L92" i="127"/>
  <c r="L99" i="127"/>
  <c r="L111" i="127"/>
  <c r="L161" i="127"/>
  <c r="E129" i="116"/>
  <c r="L92" i="126"/>
  <c r="L99" i="126"/>
  <c r="L111" i="126"/>
  <c r="L161" i="126"/>
  <c r="E129" i="115"/>
  <c r="L92" i="124"/>
  <c r="L99" i="124"/>
  <c r="L111" i="124"/>
  <c r="L161" i="124"/>
  <c r="E129" i="113"/>
  <c r="N152" i="122"/>
  <c r="M158" i="136"/>
  <c r="M159" i="135"/>
  <c r="G141" i="102"/>
  <c r="M94" i="134"/>
  <c r="M159" i="133"/>
  <c r="M93" i="130"/>
  <c r="F141" i="112"/>
  <c r="M93" i="132"/>
  <c r="M129" i="132"/>
  <c r="M131" i="132"/>
  <c r="N142" i="132"/>
  <c r="N144" i="132"/>
  <c r="M90" i="131"/>
  <c r="M91" i="131"/>
  <c r="M144" i="131"/>
  <c r="M142" i="131"/>
  <c r="M158" i="130"/>
  <c r="N145" i="129"/>
  <c r="N143" i="129"/>
  <c r="M92" i="129"/>
  <c r="M91" i="129"/>
  <c r="N144" i="128"/>
  <c r="N142" i="128"/>
  <c r="M93" i="128"/>
  <c r="M125" i="128"/>
  <c r="M127" i="128"/>
  <c r="L93" i="128"/>
  <c r="L100" i="128"/>
  <c r="L112" i="128"/>
  <c r="L162" i="128"/>
  <c r="F141" i="116"/>
  <c r="N141" i="127"/>
  <c r="N143" i="127"/>
  <c r="M124" i="127"/>
  <c r="M122" i="127"/>
  <c r="M126" i="127"/>
  <c r="M90" i="126"/>
  <c r="F130" i="115"/>
  <c r="M89" i="126"/>
  <c r="F129" i="115"/>
  <c r="F126" i="115"/>
  <c r="M143" i="126"/>
  <c r="M141" i="126"/>
  <c r="M128" i="126"/>
  <c r="M130" i="126"/>
  <c r="F140" i="115"/>
  <c r="F126" i="113"/>
  <c r="M89" i="124"/>
  <c r="F129" i="113"/>
  <c r="N141" i="125"/>
  <c r="N143" i="125"/>
  <c r="M124" i="125"/>
  <c r="M126" i="125"/>
  <c r="M122" i="125"/>
  <c r="L92" i="125"/>
  <c r="L99" i="125"/>
  <c r="L111" i="125"/>
  <c r="L161" i="125"/>
  <c r="M90" i="125"/>
  <c r="F130" i="114"/>
  <c r="M89" i="125"/>
  <c r="F129" i="114"/>
  <c r="F126" i="114"/>
  <c r="F141" i="114"/>
  <c r="M126" i="124"/>
  <c r="M124" i="124"/>
  <c r="M122" i="124"/>
  <c r="F141" i="113"/>
  <c r="N143" i="124"/>
  <c r="N141" i="124"/>
  <c r="M92" i="123"/>
  <c r="M91" i="123"/>
  <c r="L94" i="123"/>
  <c r="L101" i="123"/>
  <c r="L113" i="123"/>
  <c r="L163" i="123"/>
  <c r="M126" i="123"/>
  <c r="M128" i="123"/>
  <c r="N143" i="123"/>
  <c r="N145" i="123"/>
  <c r="M78" i="122"/>
  <c r="N139" i="122"/>
  <c r="N137" i="122"/>
  <c r="M143" i="122"/>
  <c r="N138" i="122"/>
  <c r="M142" i="122"/>
  <c r="N135" i="122"/>
  <c r="L126" i="122"/>
  <c r="M81" i="122"/>
  <c r="N81" i="122"/>
  <c r="N82" i="122"/>
  <c r="L79" i="122"/>
  <c r="Q44" i="122"/>
  <c r="R34" i="122"/>
  <c r="Q40" i="122"/>
  <c r="K93" i="122"/>
  <c r="K112" i="122"/>
  <c r="K162" i="122"/>
  <c r="G140" i="122"/>
  <c r="G79" i="122"/>
  <c r="G123" i="122"/>
  <c r="H120" i="122"/>
  <c r="M120" i="122"/>
  <c r="H140" i="122"/>
  <c r="O61" i="139"/>
  <c r="P61" i="139"/>
  <c r="Q61" i="139"/>
  <c r="R61" i="139"/>
  <c r="S61" i="139"/>
  <c r="T61" i="139"/>
  <c r="U61" i="139"/>
  <c r="V61" i="139"/>
  <c r="W61" i="139"/>
  <c r="X61" i="139"/>
  <c r="Y61" i="139"/>
  <c r="Z61" i="139"/>
  <c r="AA61" i="139"/>
  <c r="AB61" i="139"/>
  <c r="AC61" i="139"/>
  <c r="AD61" i="139"/>
  <c r="AE61" i="139"/>
  <c r="H57" i="120"/>
  <c r="O62" i="139"/>
  <c r="I57" i="120"/>
  <c r="P62" i="139"/>
  <c r="J57" i="120"/>
  <c r="Q62" i="139"/>
  <c r="K57" i="120"/>
  <c r="R62" i="139"/>
  <c r="L57" i="120"/>
  <c r="S62" i="139"/>
  <c r="M57" i="120"/>
  <c r="T62" i="139"/>
  <c r="N57" i="120"/>
  <c r="U62" i="139"/>
  <c r="O57" i="120"/>
  <c r="V62" i="139"/>
  <c r="P57" i="120"/>
  <c r="W62" i="139"/>
  <c r="Q57" i="120"/>
  <c r="X62" i="139"/>
  <c r="R57" i="120"/>
  <c r="Y62" i="139"/>
  <c r="S57" i="120"/>
  <c r="Z62" i="139"/>
  <c r="T57" i="120"/>
  <c r="AA62" i="139"/>
  <c r="U57" i="120"/>
  <c r="AB62" i="139"/>
  <c r="V57" i="120"/>
  <c r="AC62" i="139"/>
  <c r="W57" i="120"/>
  <c r="AD62" i="139"/>
  <c r="X57" i="120"/>
  <c r="AE62" i="139"/>
  <c r="H58" i="120"/>
  <c r="O63" i="139"/>
  <c r="I58" i="120"/>
  <c r="P63" i="139"/>
  <c r="J58" i="120"/>
  <c r="Q63" i="139"/>
  <c r="K58" i="120"/>
  <c r="R63" i="139"/>
  <c r="L58" i="120"/>
  <c r="S63" i="139"/>
  <c r="M58" i="120"/>
  <c r="T63" i="139"/>
  <c r="N58" i="120"/>
  <c r="U63" i="139"/>
  <c r="O58" i="120"/>
  <c r="V63" i="139"/>
  <c r="P58" i="120"/>
  <c r="W63" i="139"/>
  <c r="Q58" i="120"/>
  <c r="X63" i="139"/>
  <c r="R58" i="120"/>
  <c r="Y63" i="139"/>
  <c r="S58" i="120"/>
  <c r="Z63" i="139"/>
  <c r="T58" i="120"/>
  <c r="AA63" i="139"/>
  <c r="U58" i="120"/>
  <c r="AB63" i="139"/>
  <c r="V58" i="120"/>
  <c r="AC63" i="139"/>
  <c r="W58" i="120"/>
  <c r="AD63" i="139"/>
  <c r="X58" i="120"/>
  <c r="AE63" i="139"/>
  <c r="G58" i="120"/>
  <c r="N63" i="139"/>
  <c r="G57" i="120"/>
  <c r="N62" i="139"/>
  <c r="N61" i="139"/>
  <c r="O61" i="138"/>
  <c r="P61" i="138"/>
  <c r="Q61" i="138"/>
  <c r="R61" i="138"/>
  <c r="S61" i="138"/>
  <c r="T61" i="138"/>
  <c r="U61" i="138"/>
  <c r="V61" i="138"/>
  <c r="W61" i="138"/>
  <c r="X61" i="138"/>
  <c r="Y61" i="138"/>
  <c r="Z61" i="138"/>
  <c r="AA61" i="138"/>
  <c r="AB61" i="138"/>
  <c r="AC61" i="138"/>
  <c r="AD61" i="138"/>
  <c r="AE61" i="138"/>
  <c r="O62" i="138"/>
  <c r="P62" i="138"/>
  <c r="Q62" i="138"/>
  <c r="R62" i="138"/>
  <c r="S62" i="138"/>
  <c r="T62" i="138"/>
  <c r="U62" i="138"/>
  <c r="V62" i="138"/>
  <c r="W62" i="138"/>
  <c r="X62" i="138"/>
  <c r="Y62" i="138"/>
  <c r="Z62" i="138"/>
  <c r="AA62" i="138"/>
  <c r="AB62" i="138"/>
  <c r="AC62" i="138"/>
  <c r="AD62" i="138"/>
  <c r="AE62" i="138"/>
  <c r="O63" i="138"/>
  <c r="P63" i="138"/>
  <c r="Q63" i="138"/>
  <c r="R63" i="138"/>
  <c r="S63" i="138"/>
  <c r="T63" i="138"/>
  <c r="U63" i="138"/>
  <c r="V63" i="138"/>
  <c r="W63" i="138"/>
  <c r="X63" i="138"/>
  <c r="Y63" i="138"/>
  <c r="Z63" i="138"/>
  <c r="AA63" i="138"/>
  <c r="AB63" i="138"/>
  <c r="AC63" i="138"/>
  <c r="AD63" i="138"/>
  <c r="AE63" i="138"/>
  <c r="N63" i="138"/>
  <c r="N62" i="138"/>
  <c r="N61" i="138"/>
  <c r="O61" i="137"/>
  <c r="P61" i="137"/>
  <c r="Q61" i="137"/>
  <c r="R61" i="137"/>
  <c r="S61" i="137"/>
  <c r="T61" i="137"/>
  <c r="U61" i="137"/>
  <c r="V61" i="137"/>
  <c r="W61" i="137"/>
  <c r="X61" i="137"/>
  <c r="Y61" i="137"/>
  <c r="Z61" i="137"/>
  <c r="AA61" i="137"/>
  <c r="AB61" i="137"/>
  <c r="AC61" i="137"/>
  <c r="AD61" i="137"/>
  <c r="AE61" i="137"/>
  <c r="O62" i="137"/>
  <c r="P62" i="137"/>
  <c r="Q62" i="137"/>
  <c r="R62" i="137"/>
  <c r="S62" i="137"/>
  <c r="T62" i="137"/>
  <c r="U62" i="137"/>
  <c r="V62" i="137"/>
  <c r="W62" i="137"/>
  <c r="X62" i="137"/>
  <c r="Y62" i="137"/>
  <c r="Z62" i="137"/>
  <c r="AA62" i="137"/>
  <c r="AB62" i="137"/>
  <c r="AC62" i="137"/>
  <c r="AD62" i="137"/>
  <c r="AE62" i="137"/>
  <c r="O63" i="137"/>
  <c r="P63" i="137"/>
  <c r="Q63" i="137"/>
  <c r="R63" i="137"/>
  <c r="S63" i="137"/>
  <c r="T63" i="137"/>
  <c r="U63" i="137"/>
  <c r="V63" i="137"/>
  <c r="W63" i="137"/>
  <c r="X63" i="137"/>
  <c r="Y63" i="137"/>
  <c r="Z63" i="137"/>
  <c r="AA63" i="137"/>
  <c r="AB63" i="137"/>
  <c r="AC63" i="137"/>
  <c r="AD63" i="137"/>
  <c r="AE63" i="137"/>
  <c r="N63" i="137"/>
  <c r="N62" i="137"/>
  <c r="N61" i="137"/>
  <c r="O63" i="136"/>
  <c r="P63" i="136"/>
  <c r="Q63" i="136"/>
  <c r="R63" i="136"/>
  <c r="S63" i="136"/>
  <c r="T63" i="136"/>
  <c r="U63" i="136"/>
  <c r="V63" i="136"/>
  <c r="W63" i="136"/>
  <c r="X63" i="136"/>
  <c r="Y63" i="136"/>
  <c r="Z63" i="136"/>
  <c r="AA63" i="136"/>
  <c r="AB63" i="136"/>
  <c r="AC63" i="136"/>
  <c r="AD63" i="136"/>
  <c r="AE63" i="136"/>
  <c r="N63" i="136"/>
  <c r="O62" i="136"/>
  <c r="P62" i="136"/>
  <c r="Q62" i="136"/>
  <c r="R62" i="136"/>
  <c r="S62" i="136"/>
  <c r="T62" i="136"/>
  <c r="U62" i="136"/>
  <c r="V62" i="136"/>
  <c r="W62" i="136"/>
  <c r="X62" i="136"/>
  <c r="Y62" i="136"/>
  <c r="Z62" i="136"/>
  <c r="AA62" i="136"/>
  <c r="AB62" i="136"/>
  <c r="AC62" i="136"/>
  <c r="AD62" i="136"/>
  <c r="AE62" i="136"/>
  <c r="N62" i="136"/>
  <c r="O61" i="136"/>
  <c r="P61" i="136"/>
  <c r="Q61" i="136"/>
  <c r="R61" i="136"/>
  <c r="S61" i="136"/>
  <c r="T61" i="136"/>
  <c r="U61" i="136"/>
  <c r="V61" i="136"/>
  <c r="W61" i="136"/>
  <c r="X61" i="136"/>
  <c r="Y61" i="136"/>
  <c r="Z61" i="136"/>
  <c r="AA61" i="136"/>
  <c r="AB61" i="136"/>
  <c r="AC61" i="136"/>
  <c r="AD61" i="136"/>
  <c r="AE61" i="136"/>
  <c r="N61" i="136"/>
  <c r="D169" i="120"/>
  <c r="F169" i="120"/>
  <c r="E169" i="120"/>
  <c r="X151" i="120"/>
  <c r="W151" i="120"/>
  <c r="V151" i="120"/>
  <c r="U151" i="120"/>
  <c r="T151" i="120"/>
  <c r="S151" i="120"/>
  <c r="R151" i="120"/>
  <c r="Q151" i="120"/>
  <c r="P151" i="120"/>
  <c r="O151" i="120"/>
  <c r="N151" i="120"/>
  <c r="M151" i="120"/>
  <c r="L151" i="120"/>
  <c r="K151" i="120"/>
  <c r="J151" i="120"/>
  <c r="I151" i="120"/>
  <c r="H151" i="120"/>
  <c r="G151" i="120"/>
  <c r="F151" i="120"/>
  <c r="E151" i="120"/>
  <c r="D151" i="120"/>
  <c r="D143" i="120"/>
  <c r="E143" i="120"/>
  <c r="D137" i="120"/>
  <c r="D145" i="120"/>
  <c r="D153" i="120"/>
  <c r="D116" i="120"/>
  <c r="X115" i="120"/>
  <c r="W115" i="120"/>
  <c r="V115" i="120"/>
  <c r="U115" i="120"/>
  <c r="T115" i="120"/>
  <c r="S115" i="120"/>
  <c r="R115" i="120"/>
  <c r="Q115" i="120"/>
  <c r="P115" i="120"/>
  <c r="O115" i="120"/>
  <c r="N115" i="120"/>
  <c r="M115" i="120"/>
  <c r="L115" i="120"/>
  <c r="K115" i="120"/>
  <c r="J115" i="120"/>
  <c r="I115" i="120"/>
  <c r="H115" i="120"/>
  <c r="G115" i="120"/>
  <c r="F115" i="120"/>
  <c r="E115" i="120"/>
  <c r="D106" i="120"/>
  <c r="D120" i="120"/>
  <c r="X105" i="120"/>
  <c r="W105" i="120"/>
  <c r="V105" i="120"/>
  <c r="U105" i="120"/>
  <c r="T105" i="120"/>
  <c r="S105" i="120"/>
  <c r="R105" i="120"/>
  <c r="Q105" i="120"/>
  <c r="P105" i="120"/>
  <c r="O105" i="120"/>
  <c r="N105" i="120"/>
  <c r="M105" i="120"/>
  <c r="L105" i="120"/>
  <c r="K105" i="120"/>
  <c r="J105" i="120"/>
  <c r="I105" i="120"/>
  <c r="H105" i="120"/>
  <c r="G105" i="120"/>
  <c r="F105" i="120"/>
  <c r="A104" i="120"/>
  <c r="E102" i="120"/>
  <c r="A102" i="120"/>
  <c r="A94" i="120"/>
  <c r="A93" i="120"/>
  <c r="F92" i="120"/>
  <c r="A91" i="120"/>
  <c r="A90" i="120"/>
  <c r="A88" i="120"/>
  <c r="A84" i="120"/>
  <c r="A83" i="120"/>
  <c r="A82" i="120"/>
  <c r="E81" i="120"/>
  <c r="A81" i="120"/>
  <c r="A78" i="120"/>
  <c r="A77" i="120"/>
  <c r="A72" i="120"/>
  <c r="X63" i="120"/>
  <c r="W63" i="120"/>
  <c r="V63" i="120"/>
  <c r="U63" i="120"/>
  <c r="T63" i="120"/>
  <c r="S63" i="120"/>
  <c r="R63" i="120"/>
  <c r="Q63" i="120"/>
  <c r="P63" i="120"/>
  <c r="O63" i="120"/>
  <c r="N63" i="120"/>
  <c r="M63" i="120"/>
  <c r="L63" i="120"/>
  <c r="K63" i="120"/>
  <c r="J63" i="120"/>
  <c r="I63" i="120"/>
  <c r="H63" i="120"/>
  <c r="G63" i="120"/>
  <c r="A55" i="120"/>
  <c r="X51" i="120"/>
  <c r="AE56" i="139"/>
  <c r="W51" i="120"/>
  <c r="AD56" i="139"/>
  <c r="V51" i="120"/>
  <c r="AC56" i="139"/>
  <c r="U51" i="120"/>
  <c r="AB56" i="139"/>
  <c r="T51" i="120"/>
  <c r="AA56" i="139"/>
  <c r="S51" i="120"/>
  <c r="Z56" i="139"/>
  <c r="R51" i="120"/>
  <c r="Y56" i="139"/>
  <c r="Q51" i="120"/>
  <c r="X56" i="139"/>
  <c r="P51" i="120"/>
  <c r="W56" i="139"/>
  <c r="O51" i="120"/>
  <c r="V56" i="139"/>
  <c r="N51" i="120"/>
  <c r="U56" i="139"/>
  <c r="M51" i="120"/>
  <c r="T56" i="139"/>
  <c r="L51" i="120"/>
  <c r="S56" i="139"/>
  <c r="K51" i="120"/>
  <c r="R56" i="139"/>
  <c r="J51" i="120"/>
  <c r="Q56" i="139"/>
  <c r="I51" i="120"/>
  <c r="P56" i="139"/>
  <c r="H51" i="120"/>
  <c r="O56" i="139"/>
  <c r="G51" i="120"/>
  <c r="N56" i="139"/>
  <c r="F51" i="120"/>
  <c r="M56" i="139"/>
  <c r="E51" i="120"/>
  <c r="L56" i="139"/>
  <c r="X49" i="120"/>
  <c r="W49" i="120"/>
  <c r="V49" i="120"/>
  <c r="U49" i="120"/>
  <c r="T49" i="120"/>
  <c r="S49" i="120"/>
  <c r="R49" i="120"/>
  <c r="Q49" i="120"/>
  <c r="P49" i="120"/>
  <c r="O49" i="120"/>
  <c r="N49" i="120"/>
  <c r="M49" i="120"/>
  <c r="L49" i="120"/>
  <c r="K49" i="120"/>
  <c r="J49" i="120"/>
  <c r="I49" i="120"/>
  <c r="H49" i="120"/>
  <c r="G49" i="120"/>
  <c r="F49" i="120"/>
  <c r="E49" i="120"/>
  <c r="X37" i="120"/>
  <c r="W37" i="120"/>
  <c r="V37" i="120"/>
  <c r="U37" i="120"/>
  <c r="T37" i="120"/>
  <c r="S37" i="120"/>
  <c r="R37" i="120"/>
  <c r="Q37" i="120"/>
  <c r="P37" i="120"/>
  <c r="O37" i="120"/>
  <c r="N37" i="120"/>
  <c r="M37" i="120"/>
  <c r="L37" i="120"/>
  <c r="K37" i="120"/>
  <c r="J37" i="120"/>
  <c r="I37" i="120"/>
  <c r="H37" i="120"/>
  <c r="G37" i="120"/>
  <c r="F37" i="120"/>
  <c r="E37" i="120"/>
  <c r="E30" i="120"/>
  <c r="H29" i="120"/>
  <c r="F29" i="120"/>
  <c r="G29" i="120"/>
  <c r="X28" i="120"/>
  <c r="AE33" i="139"/>
  <c r="W28" i="120"/>
  <c r="AD33" i="139"/>
  <c r="V28" i="120"/>
  <c r="AC33" i="139"/>
  <c r="U28" i="120"/>
  <c r="AB33" i="139"/>
  <c r="T28" i="120"/>
  <c r="AA33" i="139"/>
  <c r="S28" i="120"/>
  <c r="Z33" i="139"/>
  <c r="R28" i="120"/>
  <c r="Y33" i="139"/>
  <c r="Q28" i="120"/>
  <c r="X33" i="139"/>
  <c r="P28" i="120"/>
  <c r="W33" i="139"/>
  <c r="O28" i="120"/>
  <c r="V33" i="139"/>
  <c r="N28" i="120"/>
  <c r="U33" i="139"/>
  <c r="M28" i="120"/>
  <c r="T33" i="139"/>
  <c r="L28" i="120"/>
  <c r="S33" i="139"/>
  <c r="K28" i="120"/>
  <c r="R33" i="139"/>
  <c r="J28" i="120"/>
  <c r="Q33" i="139"/>
  <c r="I28" i="120"/>
  <c r="P33" i="139"/>
  <c r="H28" i="120"/>
  <c r="O33" i="139"/>
  <c r="G28" i="120"/>
  <c r="F28" i="120"/>
  <c r="M33" i="139"/>
  <c r="A23" i="120"/>
  <c r="A22" i="120"/>
  <c r="X20" i="120"/>
  <c r="AE25" i="139"/>
  <c r="W20" i="120"/>
  <c r="AD25" i="139"/>
  <c r="V20" i="120"/>
  <c r="AC25" i="139"/>
  <c r="U20" i="120"/>
  <c r="AB25" i="139"/>
  <c r="T20" i="120"/>
  <c r="AA25" i="139"/>
  <c r="S20" i="120"/>
  <c r="Z25" i="139"/>
  <c r="R20" i="120"/>
  <c r="Y25" i="139"/>
  <c r="Q20" i="120"/>
  <c r="X25" i="139"/>
  <c r="P20" i="120"/>
  <c r="W25" i="139"/>
  <c r="O20" i="120"/>
  <c r="V25" i="139"/>
  <c r="N20" i="120"/>
  <c r="U25" i="139"/>
  <c r="M20" i="120"/>
  <c r="T25" i="139"/>
  <c r="L20" i="120"/>
  <c r="S25" i="139"/>
  <c r="K20" i="120"/>
  <c r="R25" i="139"/>
  <c r="J20" i="120"/>
  <c r="Q25" i="139"/>
  <c r="I20" i="120"/>
  <c r="P25" i="139"/>
  <c r="H20" i="120"/>
  <c r="O25" i="139"/>
  <c r="G20" i="120"/>
  <c r="N25" i="139"/>
  <c r="F20" i="120"/>
  <c r="M25" i="139"/>
  <c r="E20" i="120"/>
  <c r="D20" i="120"/>
  <c r="K25" i="139"/>
  <c r="A20" i="120"/>
  <c r="X19" i="120"/>
  <c r="AE24" i="139"/>
  <c r="W19" i="120"/>
  <c r="AD24" i="139"/>
  <c r="V19" i="120"/>
  <c r="AC24" i="139"/>
  <c r="U19" i="120"/>
  <c r="AB24" i="139"/>
  <c r="T19" i="120"/>
  <c r="AA24" i="139"/>
  <c r="S19" i="120"/>
  <c r="Z24" i="139"/>
  <c r="R19" i="120"/>
  <c r="Y24" i="139"/>
  <c r="Q19" i="120"/>
  <c r="X24" i="139"/>
  <c r="P19" i="120"/>
  <c r="W24" i="139"/>
  <c r="O19" i="120"/>
  <c r="V24" i="139"/>
  <c r="N19" i="120"/>
  <c r="U24" i="139"/>
  <c r="M19" i="120"/>
  <c r="T24" i="139"/>
  <c r="L19" i="120"/>
  <c r="S24" i="139"/>
  <c r="K19" i="120"/>
  <c r="R24" i="139"/>
  <c r="J19" i="120"/>
  <c r="Q24" i="139"/>
  <c r="I19" i="120"/>
  <c r="P24" i="139"/>
  <c r="H19" i="120"/>
  <c r="O24" i="139"/>
  <c r="G19" i="120"/>
  <c r="N24" i="139"/>
  <c r="F19" i="120"/>
  <c r="E19" i="120"/>
  <c r="D19" i="120"/>
  <c r="K24" i="139"/>
  <c r="A19" i="120"/>
  <c r="X18" i="120"/>
  <c r="AE23" i="139"/>
  <c r="W18" i="120"/>
  <c r="AD23" i="139"/>
  <c r="V18" i="120"/>
  <c r="AC23" i="139"/>
  <c r="U18" i="120"/>
  <c r="AB23" i="139"/>
  <c r="T18" i="120"/>
  <c r="AA23" i="139"/>
  <c r="S18" i="120"/>
  <c r="Z23" i="139"/>
  <c r="R18" i="120"/>
  <c r="Y23" i="139"/>
  <c r="Q18" i="120"/>
  <c r="X23" i="139"/>
  <c r="P18" i="120"/>
  <c r="W23" i="139"/>
  <c r="O18" i="120"/>
  <c r="V23" i="139"/>
  <c r="N18" i="120"/>
  <c r="U23" i="139"/>
  <c r="M18" i="120"/>
  <c r="T23" i="139"/>
  <c r="L18" i="120"/>
  <c r="S23" i="139"/>
  <c r="K18" i="120"/>
  <c r="R23" i="139"/>
  <c r="J18" i="120"/>
  <c r="Q23" i="139"/>
  <c r="I18" i="120"/>
  <c r="P23" i="139"/>
  <c r="H18" i="120"/>
  <c r="O23" i="139"/>
  <c r="G18" i="120"/>
  <c r="F18" i="120"/>
  <c r="E18" i="120"/>
  <c r="D18" i="120"/>
  <c r="K23" i="139"/>
  <c r="A18" i="120"/>
  <c r="V35" i="98"/>
  <c r="X15" i="120"/>
  <c r="AE20" i="139"/>
  <c r="U35" i="98"/>
  <c r="W15" i="120"/>
  <c r="AD20" i="139"/>
  <c r="T35" i="98"/>
  <c r="V15" i="120"/>
  <c r="AC20" i="139"/>
  <c r="S35" i="98"/>
  <c r="U15" i="120"/>
  <c r="AB20" i="139"/>
  <c r="R35" i="98"/>
  <c r="T15" i="120"/>
  <c r="AA20" i="139"/>
  <c r="Q35" i="98"/>
  <c r="S15" i="120"/>
  <c r="Z20" i="139"/>
  <c r="P35" i="98"/>
  <c r="R15" i="120"/>
  <c r="Y20" i="139"/>
  <c r="O35" i="98"/>
  <c r="Q15" i="120"/>
  <c r="X20" i="139"/>
  <c r="N35" i="98"/>
  <c r="P15" i="120"/>
  <c r="W20" i="139"/>
  <c r="M35" i="98"/>
  <c r="O15" i="120"/>
  <c r="V20" i="139"/>
  <c r="L35" i="98"/>
  <c r="N15" i="120"/>
  <c r="U20" i="139"/>
  <c r="K35" i="98"/>
  <c r="M15" i="120"/>
  <c r="T20" i="139"/>
  <c r="J35" i="98"/>
  <c r="L15" i="120"/>
  <c r="S20" i="139"/>
  <c r="I35" i="98"/>
  <c r="K15" i="120"/>
  <c r="R20" i="139"/>
  <c r="H35" i="98"/>
  <c r="J15" i="120"/>
  <c r="Q20" i="139"/>
  <c r="G35" i="98"/>
  <c r="I15" i="120"/>
  <c r="P20" i="139"/>
  <c r="F35" i="98"/>
  <c r="H15" i="120"/>
  <c r="O20" i="139"/>
  <c r="E35" i="98"/>
  <c r="G15" i="120"/>
  <c r="N20" i="139"/>
  <c r="D35" i="98"/>
  <c r="F15" i="120"/>
  <c r="M20" i="139"/>
  <c r="D15" i="120"/>
  <c r="K20" i="139"/>
  <c r="AN100" i="13"/>
  <c r="X14" i="120"/>
  <c r="AE19" i="139"/>
  <c r="AM100" i="13"/>
  <c r="W14" i="120"/>
  <c r="AD19" i="139"/>
  <c r="AL100" i="13"/>
  <c r="V14" i="120"/>
  <c r="AC19" i="139"/>
  <c r="AK100" i="13"/>
  <c r="U14" i="120"/>
  <c r="AB19" i="139"/>
  <c r="AJ100" i="13"/>
  <c r="T14" i="120"/>
  <c r="AA19" i="139"/>
  <c r="AI100" i="13"/>
  <c r="S14" i="120"/>
  <c r="Z19" i="139"/>
  <c r="AH100" i="13"/>
  <c r="R14" i="120"/>
  <c r="Y19" i="139"/>
  <c r="AG100" i="13"/>
  <c r="Q14" i="120"/>
  <c r="X19" i="139"/>
  <c r="AF100" i="13"/>
  <c r="P14" i="120"/>
  <c r="W19" i="139"/>
  <c r="AE100" i="13"/>
  <c r="O14" i="120"/>
  <c r="V19" i="139"/>
  <c r="AD100" i="13"/>
  <c r="N14" i="120"/>
  <c r="U19" i="139"/>
  <c r="AC100" i="13"/>
  <c r="M14" i="120"/>
  <c r="T19" i="139"/>
  <c r="AB100" i="13"/>
  <c r="L14" i="120"/>
  <c r="S19" i="139"/>
  <c r="AA100" i="13"/>
  <c r="K14" i="120"/>
  <c r="R19" i="139"/>
  <c r="Z100" i="13"/>
  <c r="J14" i="120"/>
  <c r="Q19" i="139"/>
  <c r="Y100" i="13"/>
  <c r="I14" i="120"/>
  <c r="P19" i="139"/>
  <c r="X100" i="13"/>
  <c r="H14" i="120"/>
  <c r="O19" i="139"/>
  <c r="W100" i="13"/>
  <c r="G14" i="120"/>
  <c r="N19" i="139"/>
  <c r="V100" i="13"/>
  <c r="F14" i="120"/>
  <c r="M19" i="139"/>
  <c r="D14" i="120"/>
  <c r="K19" i="139"/>
  <c r="A14" i="120"/>
  <c r="X13" i="120"/>
  <c r="AE18" i="139"/>
  <c r="W13" i="120"/>
  <c r="AD18" i="139"/>
  <c r="V13" i="120"/>
  <c r="AC18" i="139"/>
  <c r="U13" i="120"/>
  <c r="AB18" i="139"/>
  <c r="T13" i="120"/>
  <c r="AA18" i="139"/>
  <c r="S13" i="120"/>
  <c r="Z18" i="139"/>
  <c r="R13" i="120"/>
  <c r="Y18" i="139"/>
  <c r="Q13" i="120"/>
  <c r="X18" i="139"/>
  <c r="P13" i="120"/>
  <c r="W18" i="139"/>
  <c r="O13" i="120"/>
  <c r="V18" i="139"/>
  <c r="N13" i="120"/>
  <c r="U18" i="139"/>
  <c r="M13" i="120"/>
  <c r="T18" i="139"/>
  <c r="L13" i="120"/>
  <c r="S18" i="139"/>
  <c r="K13" i="120"/>
  <c r="R18" i="139"/>
  <c r="J13" i="120"/>
  <c r="Q18" i="139"/>
  <c r="I13" i="120"/>
  <c r="P18" i="139"/>
  <c r="H13" i="120"/>
  <c r="O18" i="139"/>
  <c r="G13" i="120"/>
  <c r="N18" i="139"/>
  <c r="F13" i="120"/>
  <c r="M18" i="139"/>
  <c r="D13" i="120"/>
  <c r="K18" i="139"/>
  <c r="A13" i="120"/>
  <c r="X12" i="120"/>
  <c r="W12" i="120"/>
  <c r="AD17" i="139"/>
  <c r="V12" i="120"/>
  <c r="AC17" i="139"/>
  <c r="U12" i="120"/>
  <c r="T12" i="120"/>
  <c r="S12" i="120"/>
  <c r="Z17" i="139"/>
  <c r="R12" i="120"/>
  <c r="Y17" i="139"/>
  <c r="Q12" i="120"/>
  <c r="P12" i="120"/>
  <c r="O12" i="120"/>
  <c r="V17" i="139"/>
  <c r="N12" i="120"/>
  <c r="U17" i="139"/>
  <c r="M12" i="120"/>
  <c r="L12" i="120"/>
  <c r="K12" i="120"/>
  <c r="R17" i="139"/>
  <c r="J12" i="120"/>
  <c r="Q17" i="139"/>
  <c r="I12" i="120"/>
  <c r="H12" i="120"/>
  <c r="G12" i="120"/>
  <c r="N17" i="139"/>
  <c r="F12" i="120"/>
  <c r="D12" i="120"/>
  <c r="K17" i="139"/>
  <c r="A12" i="120"/>
  <c r="B9" i="120"/>
  <c r="X7" i="120"/>
  <c r="W7" i="120"/>
  <c r="V7" i="120"/>
  <c r="U7" i="120"/>
  <c r="T7" i="120"/>
  <c r="S7" i="120"/>
  <c r="R7" i="120"/>
  <c r="Q7" i="120"/>
  <c r="P7" i="120"/>
  <c r="O7" i="120"/>
  <c r="N7" i="120"/>
  <c r="M7" i="120"/>
  <c r="L7" i="120"/>
  <c r="K7" i="120"/>
  <c r="J7" i="120"/>
  <c r="I7" i="120"/>
  <c r="H7" i="120"/>
  <c r="G7" i="120"/>
  <c r="F7" i="120"/>
  <c r="E7" i="120"/>
  <c r="D7" i="120"/>
  <c r="C4" i="120"/>
  <c r="A3" i="120"/>
  <c r="A2" i="120"/>
  <c r="A1" i="120"/>
  <c r="D169" i="119"/>
  <c r="X151" i="119"/>
  <c r="W151" i="119"/>
  <c r="V151" i="119"/>
  <c r="U151" i="119"/>
  <c r="T151" i="119"/>
  <c r="S151" i="119"/>
  <c r="R151" i="119"/>
  <c r="Q151" i="119"/>
  <c r="P151" i="119"/>
  <c r="O151" i="119"/>
  <c r="N151" i="119"/>
  <c r="M151" i="119"/>
  <c r="L151" i="119"/>
  <c r="K151" i="119"/>
  <c r="J151" i="119"/>
  <c r="I151" i="119"/>
  <c r="H151" i="119"/>
  <c r="G151" i="119"/>
  <c r="F151" i="119"/>
  <c r="E151" i="119"/>
  <c r="D151" i="119"/>
  <c r="D145" i="119"/>
  <c r="D153" i="119"/>
  <c r="D143" i="119"/>
  <c r="D137" i="119"/>
  <c r="D116" i="119"/>
  <c r="X115" i="119"/>
  <c r="W115" i="119"/>
  <c r="V115" i="119"/>
  <c r="U115" i="119"/>
  <c r="T115" i="119"/>
  <c r="S115" i="119"/>
  <c r="R115" i="119"/>
  <c r="Q115" i="119"/>
  <c r="P115" i="119"/>
  <c r="O115" i="119"/>
  <c r="N115" i="119"/>
  <c r="M115" i="119"/>
  <c r="L115" i="119"/>
  <c r="K115" i="119"/>
  <c r="J115" i="119"/>
  <c r="I115" i="119"/>
  <c r="H115" i="119"/>
  <c r="G115" i="119"/>
  <c r="F115" i="119"/>
  <c r="E115" i="119"/>
  <c r="A104" i="119"/>
  <c r="A102" i="119"/>
  <c r="A94" i="119"/>
  <c r="A93" i="119"/>
  <c r="A91" i="119"/>
  <c r="A90" i="119"/>
  <c r="A88" i="119"/>
  <c r="A84" i="119"/>
  <c r="A83" i="119"/>
  <c r="A82" i="119"/>
  <c r="A81" i="119"/>
  <c r="A78" i="119"/>
  <c r="A77" i="119"/>
  <c r="A76" i="119"/>
  <c r="A72" i="119"/>
  <c r="X63" i="119"/>
  <c r="W63" i="119"/>
  <c r="V63" i="119"/>
  <c r="U63" i="119"/>
  <c r="T63" i="119"/>
  <c r="S63" i="119"/>
  <c r="R63" i="119"/>
  <c r="Q63" i="119"/>
  <c r="P63" i="119"/>
  <c r="O63" i="119"/>
  <c r="N63" i="119"/>
  <c r="M63" i="119"/>
  <c r="L63" i="119"/>
  <c r="K63" i="119"/>
  <c r="J63" i="119"/>
  <c r="I63" i="119"/>
  <c r="H63" i="119"/>
  <c r="G63" i="119"/>
  <c r="A55" i="119"/>
  <c r="X51" i="119"/>
  <c r="AE56" i="138"/>
  <c r="W51" i="119"/>
  <c r="AD56" i="138"/>
  <c r="V51" i="119"/>
  <c r="AC56" i="138"/>
  <c r="U51" i="119"/>
  <c r="AB56" i="138"/>
  <c r="T51" i="119"/>
  <c r="AA56" i="138"/>
  <c r="S51" i="119"/>
  <c r="Z56" i="138"/>
  <c r="R51" i="119"/>
  <c r="Y56" i="138"/>
  <c r="Q51" i="119"/>
  <c r="X56" i="138"/>
  <c r="P51" i="119"/>
  <c r="W56" i="138"/>
  <c r="O51" i="119"/>
  <c r="V56" i="138"/>
  <c r="N51" i="119"/>
  <c r="U56" i="138"/>
  <c r="M51" i="119"/>
  <c r="T56" i="138"/>
  <c r="L51" i="119"/>
  <c r="S56" i="138"/>
  <c r="K51" i="119"/>
  <c r="R56" i="138"/>
  <c r="J51" i="119"/>
  <c r="Q56" i="138"/>
  <c r="I51" i="119"/>
  <c r="P56" i="138"/>
  <c r="H51" i="119"/>
  <c r="O56" i="138"/>
  <c r="G51" i="119"/>
  <c r="N56" i="138"/>
  <c r="F51" i="119"/>
  <c r="M56" i="138"/>
  <c r="E51" i="119"/>
  <c r="L56" i="138"/>
  <c r="X49" i="119"/>
  <c r="W49" i="119"/>
  <c r="V49" i="119"/>
  <c r="U49" i="119"/>
  <c r="T49" i="119"/>
  <c r="S49" i="119"/>
  <c r="R49" i="119"/>
  <c r="Q49" i="119"/>
  <c r="P49" i="119"/>
  <c r="O49" i="119"/>
  <c r="N49" i="119"/>
  <c r="M49" i="119"/>
  <c r="L49" i="119"/>
  <c r="K49" i="119"/>
  <c r="J49" i="119"/>
  <c r="I49" i="119"/>
  <c r="H49" i="119"/>
  <c r="G49" i="119"/>
  <c r="F49" i="119"/>
  <c r="E49" i="119"/>
  <c r="X37" i="119"/>
  <c r="W37" i="119"/>
  <c r="V37" i="119"/>
  <c r="U37" i="119"/>
  <c r="T37" i="119"/>
  <c r="S37" i="119"/>
  <c r="R37" i="119"/>
  <c r="Q37" i="119"/>
  <c r="P37" i="119"/>
  <c r="O37" i="119"/>
  <c r="N37" i="119"/>
  <c r="M37" i="119"/>
  <c r="L37" i="119"/>
  <c r="K37" i="119"/>
  <c r="J37" i="119"/>
  <c r="I37" i="119"/>
  <c r="H37" i="119"/>
  <c r="G37" i="119"/>
  <c r="F37" i="119"/>
  <c r="E37" i="119"/>
  <c r="E30" i="119"/>
  <c r="F29" i="119"/>
  <c r="G29" i="119"/>
  <c r="A23" i="119"/>
  <c r="A22" i="119"/>
  <c r="AE25" i="138"/>
  <c r="AD25" i="138"/>
  <c r="AC25" i="138"/>
  <c r="AB25" i="138"/>
  <c r="AA25" i="138"/>
  <c r="Z25" i="138"/>
  <c r="Y25" i="138"/>
  <c r="X25" i="138"/>
  <c r="W25" i="138"/>
  <c r="V25" i="138"/>
  <c r="U25" i="138"/>
  <c r="T25" i="138"/>
  <c r="S25" i="138"/>
  <c r="R25" i="138"/>
  <c r="Q25" i="138"/>
  <c r="P25" i="138"/>
  <c r="O25" i="138"/>
  <c r="N25" i="138"/>
  <c r="M25" i="138"/>
  <c r="D20" i="119"/>
  <c r="K25" i="138"/>
  <c r="A20" i="119"/>
  <c r="AE24" i="138"/>
  <c r="AD24" i="138"/>
  <c r="AC24" i="138"/>
  <c r="AB24" i="138"/>
  <c r="AA24" i="138"/>
  <c r="Z24" i="138"/>
  <c r="Y24" i="138"/>
  <c r="X24" i="138"/>
  <c r="W24" i="138"/>
  <c r="V24" i="138"/>
  <c r="U24" i="138"/>
  <c r="T24" i="138"/>
  <c r="S24" i="138"/>
  <c r="R24" i="138"/>
  <c r="Q24" i="138"/>
  <c r="P24" i="138"/>
  <c r="O24" i="138"/>
  <c r="N24" i="138"/>
  <c r="L24" i="138"/>
  <c r="D19" i="119"/>
  <c r="K24" i="138"/>
  <c r="A19" i="119"/>
  <c r="AE23" i="138"/>
  <c r="AD23" i="138"/>
  <c r="AC23" i="138"/>
  <c r="AB23" i="138"/>
  <c r="AA23" i="138"/>
  <c r="Z23" i="138"/>
  <c r="Y23" i="138"/>
  <c r="X23" i="138"/>
  <c r="W23" i="138"/>
  <c r="V23" i="138"/>
  <c r="U23" i="138"/>
  <c r="T23" i="138"/>
  <c r="S23" i="138"/>
  <c r="R23" i="138"/>
  <c r="Q23" i="138"/>
  <c r="P23" i="138"/>
  <c r="O23" i="138"/>
  <c r="D18" i="119"/>
  <c r="K23" i="138"/>
  <c r="A18" i="119"/>
  <c r="X15" i="119"/>
  <c r="AE20" i="138"/>
  <c r="W15" i="119"/>
  <c r="AD20" i="138"/>
  <c r="V15" i="119"/>
  <c r="AC20" i="138"/>
  <c r="U15" i="119"/>
  <c r="AB20" i="138"/>
  <c r="T15" i="119"/>
  <c r="AA20" i="138"/>
  <c r="S15" i="119"/>
  <c r="Z20" i="138"/>
  <c r="R15" i="119"/>
  <c r="Y20" i="138"/>
  <c r="Q15" i="119"/>
  <c r="X20" i="138"/>
  <c r="P15" i="119"/>
  <c r="W20" i="138"/>
  <c r="O15" i="119"/>
  <c r="V20" i="138"/>
  <c r="N15" i="119"/>
  <c r="U20" i="138"/>
  <c r="M15" i="119"/>
  <c r="T20" i="138"/>
  <c r="L15" i="119"/>
  <c r="S20" i="138"/>
  <c r="K15" i="119"/>
  <c r="R20" i="138"/>
  <c r="J15" i="119"/>
  <c r="Q20" i="138"/>
  <c r="I15" i="119"/>
  <c r="P20" i="138"/>
  <c r="H15" i="119"/>
  <c r="O20" i="138"/>
  <c r="G15" i="119"/>
  <c r="N20" i="138"/>
  <c r="F15" i="119"/>
  <c r="M20" i="138"/>
  <c r="D15" i="119"/>
  <c r="K20" i="138"/>
  <c r="D14" i="119"/>
  <c r="K19" i="138"/>
  <c r="A14" i="119"/>
  <c r="D13" i="119"/>
  <c r="K18" i="138"/>
  <c r="A13" i="119"/>
  <c r="D12" i="119"/>
  <c r="K17" i="138"/>
  <c r="A12" i="119"/>
  <c r="B9" i="119"/>
  <c r="B9" i="138"/>
  <c r="B9" i="142"/>
  <c r="X7" i="119"/>
  <c r="W7" i="119"/>
  <c r="V7" i="119"/>
  <c r="U7" i="119"/>
  <c r="T7" i="119"/>
  <c r="S7" i="119"/>
  <c r="R7" i="119"/>
  <c r="Q7" i="119"/>
  <c r="P7" i="119"/>
  <c r="O7" i="119"/>
  <c r="N7" i="119"/>
  <c r="M7" i="119"/>
  <c r="L7" i="119"/>
  <c r="K7" i="119"/>
  <c r="J7" i="119"/>
  <c r="I7" i="119"/>
  <c r="H7" i="119"/>
  <c r="G7" i="119"/>
  <c r="F7" i="119"/>
  <c r="E7" i="119"/>
  <c r="D7" i="119"/>
  <c r="C4" i="119"/>
  <c r="A3" i="119"/>
  <c r="A2" i="119"/>
  <c r="A1" i="119"/>
  <c r="D169" i="118"/>
  <c r="X151" i="118"/>
  <c r="W151" i="118"/>
  <c r="V151" i="118"/>
  <c r="U151" i="118"/>
  <c r="T151" i="118"/>
  <c r="S151" i="118"/>
  <c r="R151" i="118"/>
  <c r="Q151" i="118"/>
  <c r="P151" i="118"/>
  <c r="O151" i="118"/>
  <c r="N151" i="118"/>
  <c r="M151" i="118"/>
  <c r="L151" i="118"/>
  <c r="K151" i="118"/>
  <c r="I151" i="118"/>
  <c r="H151" i="118"/>
  <c r="G151" i="118"/>
  <c r="F151" i="118"/>
  <c r="E151" i="118"/>
  <c r="D151" i="118"/>
  <c r="D137" i="118"/>
  <c r="D143" i="118"/>
  <c r="D145" i="118"/>
  <c r="D153" i="118"/>
  <c r="A104" i="118"/>
  <c r="A102" i="118"/>
  <c r="A94" i="118"/>
  <c r="A93" i="118"/>
  <c r="A91" i="118"/>
  <c r="A90" i="118"/>
  <c r="A88" i="118"/>
  <c r="A84" i="118"/>
  <c r="A83" i="118"/>
  <c r="A82" i="118"/>
  <c r="A81" i="118"/>
  <c r="A78" i="118"/>
  <c r="A77" i="118"/>
  <c r="A76" i="118"/>
  <c r="A72" i="118"/>
  <c r="A55" i="118"/>
  <c r="X51" i="118"/>
  <c r="AE56" i="137"/>
  <c r="W51" i="118"/>
  <c r="AD56" i="137"/>
  <c r="V51" i="118"/>
  <c r="AC56" i="137"/>
  <c r="U51" i="118"/>
  <c r="AB56" i="137"/>
  <c r="T51" i="118"/>
  <c r="AA56" i="137"/>
  <c r="S51" i="118"/>
  <c r="Z56" i="137"/>
  <c r="R51" i="118"/>
  <c r="Y56" i="137"/>
  <c r="Q51" i="118"/>
  <c r="X56" i="137"/>
  <c r="P51" i="118"/>
  <c r="W56" i="137"/>
  <c r="O51" i="118"/>
  <c r="V56" i="137"/>
  <c r="N51" i="118"/>
  <c r="U56" i="137"/>
  <c r="M51" i="118"/>
  <c r="T56" i="137"/>
  <c r="L51" i="118"/>
  <c r="S56" i="137"/>
  <c r="K51" i="118"/>
  <c r="R56" i="137"/>
  <c r="J51" i="118"/>
  <c r="Q56" i="137"/>
  <c r="I51" i="118"/>
  <c r="P56" i="137"/>
  <c r="H51" i="118"/>
  <c r="O56" i="137"/>
  <c r="G51" i="118"/>
  <c r="N56" i="137"/>
  <c r="F51" i="118"/>
  <c r="M56" i="137"/>
  <c r="E51" i="118"/>
  <c r="L56" i="137"/>
  <c r="A23" i="118"/>
  <c r="A22" i="118"/>
  <c r="AE25" i="137"/>
  <c r="AD25" i="137"/>
  <c r="AC25" i="137"/>
  <c r="AB25" i="137"/>
  <c r="AA25" i="137"/>
  <c r="Z25" i="137"/>
  <c r="Y25" i="137"/>
  <c r="X25" i="137"/>
  <c r="W25" i="137"/>
  <c r="V25" i="137"/>
  <c r="U25" i="137"/>
  <c r="T25" i="137"/>
  <c r="S25" i="137"/>
  <c r="R25" i="137"/>
  <c r="Q25" i="137"/>
  <c r="P25" i="137"/>
  <c r="O25" i="137"/>
  <c r="N25" i="137"/>
  <c r="M25" i="137"/>
  <c r="D20" i="118"/>
  <c r="K25" i="137"/>
  <c r="A20" i="118"/>
  <c r="AE24" i="137"/>
  <c r="AD24" i="137"/>
  <c r="AC24" i="137"/>
  <c r="AB24" i="137"/>
  <c r="AA24" i="137"/>
  <c r="Z24" i="137"/>
  <c r="Y24" i="137"/>
  <c r="X24" i="137"/>
  <c r="W24" i="137"/>
  <c r="V24" i="137"/>
  <c r="U24" i="137"/>
  <c r="T24" i="137"/>
  <c r="S24" i="137"/>
  <c r="R24" i="137"/>
  <c r="Q24" i="137"/>
  <c r="P24" i="137"/>
  <c r="O24" i="137"/>
  <c r="N24" i="137"/>
  <c r="D19" i="118"/>
  <c r="K24" i="137"/>
  <c r="A19" i="118"/>
  <c r="AE23" i="137"/>
  <c r="AD23" i="137"/>
  <c r="AC23" i="137"/>
  <c r="AB23" i="137"/>
  <c r="AA23" i="137"/>
  <c r="Z23" i="137"/>
  <c r="Y23" i="137"/>
  <c r="X23" i="137"/>
  <c r="W23" i="137"/>
  <c r="V23" i="137"/>
  <c r="U23" i="137"/>
  <c r="T23" i="137"/>
  <c r="S23" i="137"/>
  <c r="R23" i="137"/>
  <c r="Q23" i="137"/>
  <c r="P23" i="137"/>
  <c r="O23" i="137"/>
  <c r="N23" i="137"/>
  <c r="D18" i="118"/>
  <c r="K23" i="137"/>
  <c r="A18" i="118"/>
  <c r="X15" i="118"/>
  <c r="AE20" i="137"/>
  <c r="W15" i="118"/>
  <c r="AD20" i="137"/>
  <c r="V15" i="118"/>
  <c r="AC20" i="137"/>
  <c r="U15" i="118"/>
  <c r="AB20" i="137"/>
  <c r="T15" i="118"/>
  <c r="AA20" i="137"/>
  <c r="S15" i="118"/>
  <c r="Z20" i="137"/>
  <c r="R15" i="118"/>
  <c r="Y20" i="137"/>
  <c r="Q15" i="118"/>
  <c r="X20" i="137"/>
  <c r="P15" i="118"/>
  <c r="W20" i="137"/>
  <c r="O15" i="118"/>
  <c r="V20" i="137"/>
  <c r="N15" i="118"/>
  <c r="U20" i="137"/>
  <c r="M15" i="118"/>
  <c r="T20" i="137"/>
  <c r="L15" i="118"/>
  <c r="S20" i="137"/>
  <c r="K15" i="118"/>
  <c r="R20" i="137"/>
  <c r="J15" i="118"/>
  <c r="Q20" i="137"/>
  <c r="I15" i="118"/>
  <c r="P20" i="137"/>
  <c r="H15" i="118"/>
  <c r="O20" i="137"/>
  <c r="G15" i="118"/>
  <c r="N20" i="137"/>
  <c r="F15" i="118"/>
  <c r="M20" i="137"/>
  <c r="D15" i="118"/>
  <c r="K20" i="137"/>
  <c r="D14" i="118"/>
  <c r="K19" i="137"/>
  <c r="A14" i="118"/>
  <c r="D13" i="118"/>
  <c r="K18" i="137"/>
  <c r="A13" i="118"/>
  <c r="D12" i="118"/>
  <c r="K17" i="137"/>
  <c r="A12" i="118"/>
  <c r="B9" i="118"/>
  <c r="X7" i="118"/>
  <c r="W7" i="118"/>
  <c r="V7" i="118"/>
  <c r="U7" i="118"/>
  <c r="T7" i="118"/>
  <c r="S7" i="118"/>
  <c r="R7" i="118"/>
  <c r="Q7" i="118"/>
  <c r="P7" i="118"/>
  <c r="O7" i="118"/>
  <c r="N7" i="118"/>
  <c r="M7" i="118"/>
  <c r="L7" i="118"/>
  <c r="K7" i="118"/>
  <c r="J7" i="118"/>
  <c r="I7" i="118"/>
  <c r="H7" i="118"/>
  <c r="G7" i="118"/>
  <c r="F7" i="118"/>
  <c r="E7" i="118"/>
  <c r="D7" i="118"/>
  <c r="C4" i="118"/>
  <c r="A3" i="118"/>
  <c r="A2" i="118"/>
  <c r="A1" i="118"/>
  <c r="D169" i="117"/>
  <c r="X151" i="117"/>
  <c r="W151" i="117"/>
  <c r="V151" i="117"/>
  <c r="U151" i="117"/>
  <c r="T151" i="117"/>
  <c r="S151" i="117"/>
  <c r="R151" i="117"/>
  <c r="Q151" i="117"/>
  <c r="P151" i="117"/>
  <c r="O151" i="117"/>
  <c r="N151" i="117"/>
  <c r="M151" i="117"/>
  <c r="L151" i="117"/>
  <c r="K151" i="117"/>
  <c r="J151" i="117"/>
  <c r="I151" i="117"/>
  <c r="H151" i="117"/>
  <c r="G151" i="117"/>
  <c r="F151" i="117"/>
  <c r="E151" i="117"/>
  <c r="D151" i="117"/>
  <c r="D143" i="117"/>
  <c r="D137" i="117"/>
  <c r="D145" i="117"/>
  <c r="D153" i="117"/>
  <c r="D116" i="117"/>
  <c r="X115" i="117"/>
  <c r="W115" i="117"/>
  <c r="V115" i="117"/>
  <c r="U115" i="117"/>
  <c r="T115" i="117"/>
  <c r="S115" i="117"/>
  <c r="R115" i="117"/>
  <c r="Q115" i="117"/>
  <c r="P115" i="117"/>
  <c r="O115" i="117"/>
  <c r="N115" i="117"/>
  <c r="M115" i="117"/>
  <c r="L115" i="117"/>
  <c r="K115" i="117"/>
  <c r="J115" i="117"/>
  <c r="I115" i="117"/>
  <c r="H115" i="117"/>
  <c r="G115" i="117"/>
  <c r="F115" i="117"/>
  <c r="E115" i="117"/>
  <c r="A104" i="117"/>
  <c r="A102" i="117"/>
  <c r="A94" i="117"/>
  <c r="A93" i="117"/>
  <c r="A91" i="117"/>
  <c r="A90" i="117"/>
  <c r="A88" i="117"/>
  <c r="A84" i="117"/>
  <c r="A83" i="117"/>
  <c r="A82" i="117"/>
  <c r="A81" i="117"/>
  <c r="A78" i="117"/>
  <c r="A77" i="117"/>
  <c r="A76" i="117"/>
  <c r="A72" i="117"/>
  <c r="X63" i="117"/>
  <c r="W63" i="117"/>
  <c r="V63" i="117"/>
  <c r="U63" i="117"/>
  <c r="T63" i="117"/>
  <c r="S63" i="117"/>
  <c r="R63" i="117"/>
  <c r="Q63" i="117"/>
  <c r="P63" i="117"/>
  <c r="O63" i="117"/>
  <c r="N63" i="117"/>
  <c r="M63" i="117"/>
  <c r="L63" i="117"/>
  <c r="K63" i="117"/>
  <c r="J63" i="117"/>
  <c r="I63" i="117"/>
  <c r="H63" i="117"/>
  <c r="G63" i="117"/>
  <c r="A55" i="117"/>
  <c r="X51" i="117"/>
  <c r="AE56" i="136"/>
  <c r="W51" i="117"/>
  <c r="AD56" i="136"/>
  <c r="V51" i="117"/>
  <c r="AC56" i="136"/>
  <c r="U51" i="117"/>
  <c r="AB56" i="136"/>
  <c r="T51" i="117"/>
  <c r="AA56" i="136"/>
  <c r="S51" i="117"/>
  <c r="Z56" i="136"/>
  <c r="R51" i="117"/>
  <c r="Y56" i="136"/>
  <c r="Q51" i="117"/>
  <c r="X56" i="136"/>
  <c r="P51" i="117"/>
  <c r="W56" i="136"/>
  <c r="O51" i="117"/>
  <c r="V56" i="136"/>
  <c r="N51" i="117"/>
  <c r="U56" i="136"/>
  <c r="M51" i="117"/>
  <c r="T56" i="136"/>
  <c r="L51" i="117"/>
  <c r="S56" i="136"/>
  <c r="K51" i="117"/>
  <c r="R56" i="136"/>
  <c r="J51" i="117"/>
  <c r="Q56" i="136"/>
  <c r="I51" i="117"/>
  <c r="P56" i="136"/>
  <c r="H51" i="117"/>
  <c r="O56" i="136"/>
  <c r="G51" i="117"/>
  <c r="N56" i="136"/>
  <c r="F51" i="117"/>
  <c r="M56" i="136"/>
  <c r="E51" i="117"/>
  <c r="L56" i="136"/>
  <c r="X49" i="117"/>
  <c r="W49" i="117"/>
  <c r="V49" i="117"/>
  <c r="U49" i="117"/>
  <c r="T49" i="117"/>
  <c r="S49" i="117"/>
  <c r="R49" i="117"/>
  <c r="Q49" i="117"/>
  <c r="P49" i="117"/>
  <c r="O49" i="117"/>
  <c r="N49" i="117"/>
  <c r="M49" i="117"/>
  <c r="L49" i="117"/>
  <c r="K49" i="117"/>
  <c r="J49" i="117"/>
  <c r="I49" i="117"/>
  <c r="H49" i="117"/>
  <c r="G49" i="117"/>
  <c r="F49" i="117"/>
  <c r="E49" i="117"/>
  <c r="X37" i="117"/>
  <c r="W37" i="117"/>
  <c r="V37" i="117"/>
  <c r="U37" i="117"/>
  <c r="T37" i="117"/>
  <c r="S37" i="117"/>
  <c r="R37" i="117"/>
  <c r="Q37" i="117"/>
  <c r="P37" i="117"/>
  <c r="O37" i="117"/>
  <c r="N37" i="117"/>
  <c r="M37" i="117"/>
  <c r="L37" i="117"/>
  <c r="K37" i="117"/>
  <c r="J37" i="117"/>
  <c r="I37" i="117"/>
  <c r="H37" i="117"/>
  <c r="G37" i="117"/>
  <c r="F37" i="117"/>
  <c r="E37" i="117"/>
  <c r="E30" i="117"/>
  <c r="G29" i="117"/>
  <c r="H29" i="117"/>
  <c r="I29" i="117"/>
  <c r="F29" i="117"/>
  <c r="A23" i="117"/>
  <c r="A22" i="117"/>
  <c r="AE25" i="136"/>
  <c r="AD25" i="136"/>
  <c r="AC25" i="136"/>
  <c r="AB25" i="136"/>
  <c r="AA25" i="136"/>
  <c r="Z25" i="136"/>
  <c r="Y25" i="136"/>
  <c r="X25" i="136"/>
  <c r="W25" i="136"/>
  <c r="V25" i="136"/>
  <c r="U25" i="136"/>
  <c r="T25" i="136"/>
  <c r="S25" i="136"/>
  <c r="R25" i="136"/>
  <c r="Q25" i="136"/>
  <c r="P25" i="136"/>
  <c r="O25" i="136"/>
  <c r="N25" i="136"/>
  <c r="M25" i="136"/>
  <c r="D20" i="117"/>
  <c r="K25" i="136"/>
  <c r="A20" i="117"/>
  <c r="AE24" i="136"/>
  <c r="AD24" i="136"/>
  <c r="AC24" i="136"/>
  <c r="AB24" i="136"/>
  <c r="AA24" i="136"/>
  <c r="Z24" i="136"/>
  <c r="Y24" i="136"/>
  <c r="X24" i="136"/>
  <c r="W24" i="136"/>
  <c r="V24" i="136"/>
  <c r="U24" i="136"/>
  <c r="T24" i="136"/>
  <c r="S24" i="136"/>
  <c r="R24" i="136"/>
  <c r="Q24" i="136"/>
  <c r="P24" i="136"/>
  <c r="O24" i="136"/>
  <c r="L24" i="136"/>
  <c r="D19" i="117"/>
  <c r="K24" i="136"/>
  <c r="A19" i="117"/>
  <c r="AE23" i="136"/>
  <c r="AD23" i="136"/>
  <c r="AC23" i="136"/>
  <c r="AB23" i="136"/>
  <c r="AA23" i="136"/>
  <c r="Z23" i="136"/>
  <c r="Y23" i="136"/>
  <c r="X23" i="136"/>
  <c r="W23" i="136"/>
  <c r="V23" i="136"/>
  <c r="U23" i="136"/>
  <c r="T23" i="136"/>
  <c r="S23" i="136"/>
  <c r="R23" i="136"/>
  <c r="Q23" i="136"/>
  <c r="O23" i="136"/>
  <c r="D18" i="117"/>
  <c r="K23" i="136"/>
  <c r="A18" i="117"/>
  <c r="X15" i="117"/>
  <c r="AE20" i="136"/>
  <c r="W15" i="117"/>
  <c r="AD20" i="136"/>
  <c r="V15" i="117"/>
  <c r="AC20" i="136"/>
  <c r="U15" i="117"/>
  <c r="AB20" i="136"/>
  <c r="T15" i="117"/>
  <c r="AA20" i="136"/>
  <c r="S15" i="117"/>
  <c r="Z20" i="136"/>
  <c r="R15" i="117"/>
  <c r="Y20" i="136"/>
  <c r="Q15" i="117"/>
  <c r="X20" i="136"/>
  <c r="P15" i="117"/>
  <c r="W20" i="136"/>
  <c r="O15" i="117"/>
  <c r="V20" i="136"/>
  <c r="N15" i="117"/>
  <c r="U20" i="136"/>
  <c r="M15" i="117"/>
  <c r="T20" i="136"/>
  <c r="L15" i="117"/>
  <c r="S20" i="136"/>
  <c r="K15" i="117"/>
  <c r="R20" i="136"/>
  <c r="J15" i="117"/>
  <c r="Q20" i="136"/>
  <c r="I15" i="117"/>
  <c r="P20" i="136"/>
  <c r="H15" i="117"/>
  <c r="O20" i="136"/>
  <c r="G15" i="117"/>
  <c r="N20" i="136"/>
  <c r="F15" i="117"/>
  <c r="M20" i="136"/>
  <c r="D15" i="117"/>
  <c r="K20" i="136"/>
  <c r="D14" i="117"/>
  <c r="K19" i="136"/>
  <c r="A14" i="117"/>
  <c r="D13" i="117"/>
  <c r="K18" i="136"/>
  <c r="A13" i="117"/>
  <c r="D12" i="117"/>
  <c r="K17" i="136"/>
  <c r="A12" i="117"/>
  <c r="B9" i="117"/>
  <c r="X7" i="117"/>
  <c r="W7" i="117"/>
  <c r="V7" i="117"/>
  <c r="U7" i="117"/>
  <c r="T7" i="117"/>
  <c r="S7" i="117"/>
  <c r="R7" i="117"/>
  <c r="Q7" i="117"/>
  <c r="P7" i="117"/>
  <c r="O7" i="117"/>
  <c r="N7" i="117"/>
  <c r="M7" i="117"/>
  <c r="L7" i="117"/>
  <c r="K7" i="117"/>
  <c r="J7" i="117"/>
  <c r="I7" i="117"/>
  <c r="H7" i="117"/>
  <c r="G7" i="117"/>
  <c r="F7" i="117"/>
  <c r="E7" i="117"/>
  <c r="D7" i="117"/>
  <c r="C4" i="117"/>
  <c r="A3" i="117"/>
  <c r="A2" i="117"/>
  <c r="A1" i="117"/>
  <c r="D168" i="116"/>
  <c r="E110" i="71"/>
  <c r="D110" i="71"/>
  <c r="C110" i="71"/>
  <c r="X150" i="116"/>
  <c r="W150" i="116"/>
  <c r="V150" i="116"/>
  <c r="U150" i="116"/>
  <c r="T150" i="116"/>
  <c r="S150" i="116"/>
  <c r="R150" i="116"/>
  <c r="Q150" i="116"/>
  <c r="P150" i="116"/>
  <c r="O150" i="116"/>
  <c r="N150" i="116"/>
  <c r="M150" i="116"/>
  <c r="L150" i="116"/>
  <c r="K150" i="116"/>
  <c r="J150" i="116"/>
  <c r="I150" i="116"/>
  <c r="H150" i="116"/>
  <c r="G150" i="116"/>
  <c r="F150" i="116"/>
  <c r="E150" i="116"/>
  <c r="D150" i="116"/>
  <c r="D144" i="116"/>
  <c r="D152" i="116"/>
  <c r="E142" i="116"/>
  <c r="D142" i="116"/>
  <c r="D136" i="116"/>
  <c r="E136" i="116"/>
  <c r="E144" i="116"/>
  <c r="E152" i="116"/>
  <c r="C107" i="71"/>
  <c r="D115" i="116"/>
  <c r="X114" i="116"/>
  <c r="W114" i="116"/>
  <c r="V114" i="116"/>
  <c r="U114" i="116"/>
  <c r="T114" i="116"/>
  <c r="S114" i="116"/>
  <c r="R114" i="116"/>
  <c r="Q114" i="116"/>
  <c r="P114" i="116"/>
  <c r="O114" i="116"/>
  <c r="N114" i="116"/>
  <c r="M114" i="116"/>
  <c r="L114" i="116"/>
  <c r="K114" i="116"/>
  <c r="J114" i="116"/>
  <c r="I114" i="116"/>
  <c r="H114" i="116"/>
  <c r="G114" i="116"/>
  <c r="D105" i="116"/>
  <c r="D119" i="116"/>
  <c r="X104" i="116"/>
  <c r="W104" i="116"/>
  <c r="V104" i="116"/>
  <c r="U104" i="116"/>
  <c r="T104" i="116"/>
  <c r="S104" i="116"/>
  <c r="R104" i="116"/>
  <c r="Q104" i="116"/>
  <c r="P104" i="116"/>
  <c r="O104" i="116"/>
  <c r="N104" i="116"/>
  <c r="M104" i="116"/>
  <c r="L104" i="116"/>
  <c r="K104" i="116"/>
  <c r="J104" i="116"/>
  <c r="I104" i="116"/>
  <c r="H104" i="116"/>
  <c r="G104" i="116"/>
  <c r="F104" i="116"/>
  <c r="A103" i="116"/>
  <c r="E101" i="116"/>
  <c r="A101" i="116"/>
  <c r="A93" i="116"/>
  <c r="A92" i="116"/>
  <c r="F91" i="116"/>
  <c r="A90" i="116"/>
  <c r="A89" i="116"/>
  <c r="A87" i="116"/>
  <c r="A84" i="116"/>
  <c r="A83" i="116"/>
  <c r="A82" i="116"/>
  <c r="A81" i="116"/>
  <c r="A78" i="116"/>
  <c r="A77" i="116"/>
  <c r="A72" i="116"/>
  <c r="X63" i="116"/>
  <c r="W63" i="116"/>
  <c r="V63" i="116"/>
  <c r="U63" i="116"/>
  <c r="T63" i="116"/>
  <c r="S63" i="116"/>
  <c r="R63" i="116"/>
  <c r="Q63" i="116"/>
  <c r="P63" i="116"/>
  <c r="O63" i="116"/>
  <c r="N63" i="116"/>
  <c r="M63" i="116"/>
  <c r="L63" i="116"/>
  <c r="K63" i="116"/>
  <c r="J63" i="116"/>
  <c r="I63" i="116"/>
  <c r="H63" i="116"/>
  <c r="G63" i="116"/>
  <c r="A55" i="116"/>
  <c r="X51" i="116"/>
  <c r="AE56" i="127"/>
  <c r="W51" i="116"/>
  <c r="AD56" i="127"/>
  <c r="V51" i="116"/>
  <c r="AC56" i="127"/>
  <c r="U51" i="116"/>
  <c r="AB56" i="127"/>
  <c r="T51" i="116"/>
  <c r="AA56" i="127"/>
  <c r="S51" i="116"/>
  <c r="Z56" i="127"/>
  <c r="R51" i="116"/>
  <c r="Y56" i="127"/>
  <c r="Q51" i="116"/>
  <c r="X56" i="127"/>
  <c r="P51" i="116"/>
  <c r="W56" i="127"/>
  <c r="O51" i="116"/>
  <c r="V56" i="127"/>
  <c r="N51" i="116"/>
  <c r="U56" i="127"/>
  <c r="M51" i="116"/>
  <c r="T56" i="127"/>
  <c r="L51" i="116"/>
  <c r="S56" i="127"/>
  <c r="K51" i="116"/>
  <c r="R56" i="127"/>
  <c r="J51" i="116"/>
  <c r="Q56" i="127"/>
  <c r="I51" i="116"/>
  <c r="P56" i="127"/>
  <c r="H51" i="116"/>
  <c r="O56" i="127"/>
  <c r="G51" i="116"/>
  <c r="N56" i="127"/>
  <c r="F51" i="116"/>
  <c r="M56" i="127"/>
  <c r="E51" i="116"/>
  <c r="L56" i="127"/>
  <c r="X49" i="116"/>
  <c r="W49" i="116"/>
  <c r="V49" i="116"/>
  <c r="U49" i="116"/>
  <c r="T49" i="116"/>
  <c r="S49" i="116"/>
  <c r="R49" i="116"/>
  <c r="Q49" i="116"/>
  <c r="P49" i="116"/>
  <c r="O49" i="116"/>
  <c r="N49" i="116"/>
  <c r="M49" i="116"/>
  <c r="L49" i="116"/>
  <c r="K49" i="116"/>
  <c r="J49" i="116"/>
  <c r="I49" i="116"/>
  <c r="H49" i="116"/>
  <c r="G49" i="116"/>
  <c r="F49" i="116"/>
  <c r="E49" i="116"/>
  <c r="XFD49" i="116"/>
  <c r="X37" i="116"/>
  <c r="W37" i="116"/>
  <c r="V37" i="116"/>
  <c r="U37" i="116"/>
  <c r="T37" i="116"/>
  <c r="S37" i="116"/>
  <c r="R37" i="116"/>
  <c r="Q37" i="116"/>
  <c r="P37" i="116"/>
  <c r="O37" i="116"/>
  <c r="N37" i="116"/>
  <c r="M37" i="116"/>
  <c r="L37" i="116"/>
  <c r="K37" i="116"/>
  <c r="J37" i="116"/>
  <c r="I37" i="116"/>
  <c r="H37" i="116"/>
  <c r="G37" i="116"/>
  <c r="F37" i="116"/>
  <c r="E37" i="116"/>
  <c r="E30" i="116"/>
  <c r="F29" i="116"/>
  <c r="X28" i="116"/>
  <c r="AE33" i="127"/>
  <c r="W28" i="116"/>
  <c r="AD33" i="127"/>
  <c r="V28" i="116"/>
  <c r="AC33" i="127"/>
  <c r="U28" i="116"/>
  <c r="AB33" i="127"/>
  <c r="T28" i="116"/>
  <c r="AA33" i="127"/>
  <c r="S28" i="116"/>
  <c r="Z33" i="127"/>
  <c r="R28" i="116"/>
  <c r="Y33" i="127"/>
  <c r="Q28" i="116"/>
  <c r="X33" i="127"/>
  <c r="P28" i="116"/>
  <c r="W33" i="127"/>
  <c r="O28" i="116"/>
  <c r="V33" i="127"/>
  <c r="N28" i="116"/>
  <c r="U33" i="127"/>
  <c r="M28" i="116"/>
  <c r="T33" i="127"/>
  <c r="L28" i="116"/>
  <c r="S33" i="127"/>
  <c r="K28" i="116"/>
  <c r="R33" i="127"/>
  <c r="J28" i="116"/>
  <c r="Q33" i="127"/>
  <c r="I28" i="116"/>
  <c r="P33" i="127"/>
  <c r="H28" i="116"/>
  <c r="O33" i="127"/>
  <c r="G28" i="116"/>
  <c r="N33" i="127"/>
  <c r="F28" i="116"/>
  <c r="M33" i="127"/>
  <c r="A23" i="116"/>
  <c r="A22" i="116"/>
  <c r="X20" i="116"/>
  <c r="AE25" i="127"/>
  <c r="W20" i="116"/>
  <c r="AD25" i="127"/>
  <c r="V20" i="116"/>
  <c r="AC25" i="127"/>
  <c r="U20" i="116"/>
  <c r="AB25" i="127"/>
  <c r="T20" i="116"/>
  <c r="AA25" i="127"/>
  <c r="S20" i="116"/>
  <c r="Z25" i="127"/>
  <c r="R20" i="116"/>
  <c r="Y25" i="127"/>
  <c r="Q20" i="116"/>
  <c r="X25" i="127"/>
  <c r="P20" i="116"/>
  <c r="W25" i="127"/>
  <c r="O20" i="116"/>
  <c r="V25" i="127"/>
  <c r="N20" i="116"/>
  <c r="U25" i="127"/>
  <c r="M20" i="116"/>
  <c r="T25" i="127"/>
  <c r="L20" i="116"/>
  <c r="S25" i="127"/>
  <c r="K20" i="116"/>
  <c r="R25" i="127"/>
  <c r="J20" i="116"/>
  <c r="Q25" i="127"/>
  <c r="I20" i="116"/>
  <c r="P25" i="127"/>
  <c r="H20" i="116"/>
  <c r="O25" i="127"/>
  <c r="G20" i="116"/>
  <c r="N25" i="127"/>
  <c r="F20" i="116"/>
  <c r="M25" i="127"/>
  <c r="E20" i="116"/>
  <c r="D20" i="116"/>
  <c r="K25" i="127"/>
  <c r="A20" i="116"/>
  <c r="X19" i="116"/>
  <c r="AE24" i="127"/>
  <c r="W19" i="116"/>
  <c r="AD24" i="127"/>
  <c r="V19" i="116"/>
  <c r="AC24" i="127"/>
  <c r="U19" i="116"/>
  <c r="AB24" i="127"/>
  <c r="T19" i="116"/>
  <c r="AA24" i="127"/>
  <c r="S19" i="116"/>
  <c r="Z24" i="127"/>
  <c r="R19" i="116"/>
  <c r="Y24" i="127"/>
  <c r="Q19" i="116"/>
  <c r="X24" i="127"/>
  <c r="P19" i="116"/>
  <c r="W24" i="127"/>
  <c r="O19" i="116"/>
  <c r="V24" i="127"/>
  <c r="N19" i="116"/>
  <c r="U24" i="127"/>
  <c r="M19" i="116"/>
  <c r="T24" i="127"/>
  <c r="L19" i="116"/>
  <c r="S24" i="127"/>
  <c r="K19" i="116"/>
  <c r="R24" i="127"/>
  <c r="J19" i="116"/>
  <c r="Q24" i="127"/>
  <c r="I19" i="116"/>
  <c r="P24" i="127"/>
  <c r="H19" i="116"/>
  <c r="O24" i="127"/>
  <c r="G19" i="116"/>
  <c r="N24" i="127"/>
  <c r="F19" i="116"/>
  <c r="M24" i="127"/>
  <c r="E19" i="116"/>
  <c r="L24" i="127"/>
  <c r="D19" i="116"/>
  <c r="K24" i="127"/>
  <c r="A19" i="116"/>
  <c r="X18" i="116"/>
  <c r="AE23" i="127"/>
  <c r="W18" i="116"/>
  <c r="AD23" i="127"/>
  <c r="V18" i="116"/>
  <c r="AC23" i="127"/>
  <c r="U18" i="116"/>
  <c r="AB23" i="127"/>
  <c r="T18" i="116"/>
  <c r="AA23" i="127"/>
  <c r="S18" i="116"/>
  <c r="Z23" i="127"/>
  <c r="R18" i="116"/>
  <c r="Y23" i="127"/>
  <c r="Q18" i="116"/>
  <c r="X23" i="127"/>
  <c r="P18" i="116"/>
  <c r="W23" i="127"/>
  <c r="O18" i="116"/>
  <c r="V23" i="127"/>
  <c r="N18" i="116"/>
  <c r="U23" i="127"/>
  <c r="M18" i="116"/>
  <c r="T23" i="127"/>
  <c r="L18" i="116"/>
  <c r="S23" i="127"/>
  <c r="K18" i="116"/>
  <c r="R23" i="127"/>
  <c r="J18" i="116"/>
  <c r="Q23" i="127"/>
  <c r="I18" i="116"/>
  <c r="P23" i="127"/>
  <c r="H18" i="116"/>
  <c r="O23" i="127"/>
  <c r="G18" i="116"/>
  <c r="N23" i="127"/>
  <c r="F18" i="116"/>
  <c r="E18" i="116"/>
  <c r="D18" i="116"/>
  <c r="K23" i="127"/>
  <c r="A18" i="116"/>
  <c r="V24" i="98"/>
  <c r="X15" i="116"/>
  <c r="AE20" i="127"/>
  <c r="U24" i="98"/>
  <c r="W15" i="116"/>
  <c r="AD20" i="127"/>
  <c r="T24" i="98"/>
  <c r="V15" i="116"/>
  <c r="AC20" i="127"/>
  <c r="S24" i="98"/>
  <c r="U15" i="116"/>
  <c r="AB20" i="127"/>
  <c r="R24" i="98"/>
  <c r="T15" i="116"/>
  <c r="AA20" i="127"/>
  <c r="Q24" i="98"/>
  <c r="S15" i="116"/>
  <c r="Z20" i="127"/>
  <c r="P24" i="98"/>
  <c r="R15" i="116"/>
  <c r="Y20" i="127"/>
  <c r="O24" i="98"/>
  <c r="Q15" i="116"/>
  <c r="X20" i="127"/>
  <c r="N24" i="98"/>
  <c r="P15" i="116"/>
  <c r="W20" i="127"/>
  <c r="M24" i="98"/>
  <c r="O15" i="116"/>
  <c r="V20" i="127"/>
  <c r="L24" i="98"/>
  <c r="N15" i="116"/>
  <c r="U20" i="127"/>
  <c r="K24" i="98"/>
  <c r="M15" i="116"/>
  <c r="T20" i="127"/>
  <c r="J24" i="98"/>
  <c r="L15" i="116"/>
  <c r="S20" i="127"/>
  <c r="I24" i="98"/>
  <c r="K15" i="116"/>
  <c r="R20" i="127"/>
  <c r="H24" i="98"/>
  <c r="J15" i="116"/>
  <c r="Q20" i="127"/>
  <c r="G24" i="98"/>
  <c r="I15" i="116"/>
  <c r="P20" i="127"/>
  <c r="F24" i="98"/>
  <c r="H15" i="116"/>
  <c r="O20" i="127"/>
  <c r="E24" i="98"/>
  <c r="G15" i="116"/>
  <c r="N20" i="127"/>
  <c r="D24" i="98"/>
  <c r="F15" i="116"/>
  <c r="M20" i="127"/>
  <c r="D15" i="116"/>
  <c r="K20" i="127"/>
  <c r="X14" i="116"/>
  <c r="AE19" i="127"/>
  <c r="W14" i="116"/>
  <c r="AD19" i="127"/>
  <c r="V14" i="116"/>
  <c r="AC19" i="127"/>
  <c r="U14" i="116"/>
  <c r="AB19" i="127"/>
  <c r="T14" i="116"/>
  <c r="AA19" i="127"/>
  <c r="S14" i="116"/>
  <c r="Z19" i="127"/>
  <c r="R14" i="116"/>
  <c r="Y19" i="127"/>
  <c r="Q14" i="116"/>
  <c r="X19" i="127"/>
  <c r="P14" i="116"/>
  <c r="W19" i="127"/>
  <c r="O14" i="116"/>
  <c r="V19" i="127"/>
  <c r="N14" i="116"/>
  <c r="U19" i="127"/>
  <c r="M14" i="116"/>
  <c r="T19" i="127"/>
  <c r="L14" i="116"/>
  <c r="S19" i="127"/>
  <c r="K14" i="116"/>
  <c r="R19" i="127"/>
  <c r="J14" i="116"/>
  <c r="Q19" i="127"/>
  <c r="I14" i="116"/>
  <c r="P19" i="127"/>
  <c r="H14" i="116"/>
  <c r="O19" i="127"/>
  <c r="G14" i="116"/>
  <c r="N19" i="127"/>
  <c r="F14" i="116"/>
  <c r="M19" i="127"/>
  <c r="D14" i="116"/>
  <c r="K19" i="127"/>
  <c r="A14" i="116"/>
  <c r="X13" i="116"/>
  <c r="AE18" i="127"/>
  <c r="W13" i="116"/>
  <c r="AD18" i="127"/>
  <c r="V13" i="116"/>
  <c r="AC18" i="127"/>
  <c r="U13" i="116"/>
  <c r="AB18" i="127"/>
  <c r="T13" i="116"/>
  <c r="AA18" i="127"/>
  <c r="S13" i="116"/>
  <c r="Z18" i="127"/>
  <c r="R13" i="116"/>
  <c r="Y18" i="127"/>
  <c r="Q13" i="116"/>
  <c r="X18" i="127"/>
  <c r="P13" i="116"/>
  <c r="W18" i="127"/>
  <c r="O13" i="116"/>
  <c r="V18" i="127"/>
  <c r="N13" i="116"/>
  <c r="U18" i="127"/>
  <c r="M13" i="116"/>
  <c r="T18" i="127"/>
  <c r="L13" i="116"/>
  <c r="S18" i="127"/>
  <c r="K13" i="116"/>
  <c r="R18" i="127"/>
  <c r="J13" i="116"/>
  <c r="Q18" i="127"/>
  <c r="I13" i="116"/>
  <c r="P18" i="127"/>
  <c r="H13" i="116"/>
  <c r="O18" i="127"/>
  <c r="G13" i="116"/>
  <c r="N18" i="127"/>
  <c r="F13" i="116"/>
  <c r="M18" i="127"/>
  <c r="D13" i="116"/>
  <c r="K18" i="127"/>
  <c r="A13" i="116"/>
  <c r="X12" i="116"/>
  <c r="AE17" i="127"/>
  <c r="W12" i="116"/>
  <c r="V12" i="116"/>
  <c r="U12" i="116"/>
  <c r="AB17" i="127"/>
  <c r="T12" i="116"/>
  <c r="AA17" i="127"/>
  <c r="S12" i="116"/>
  <c r="R12" i="116"/>
  <c r="Q12" i="116"/>
  <c r="X17" i="127"/>
  <c r="P12" i="116"/>
  <c r="W17" i="127"/>
  <c r="O12" i="116"/>
  <c r="V17" i="127"/>
  <c r="N12" i="116"/>
  <c r="M12" i="116"/>
  <c r="T17" i="127"/>
  <c r="L12" i="116"/>
  <c r="S17" i="127"/>
  <c r="K12" i="116"/>
  <c r="R17" i="127"/>
  <c r="J12" i="116"/>
  <c r="I12" i="116"/>
  <c r="P17" i="127"/>
  <c r="H12" i="116"/>
  <c r="O17" i="127"/>
  <c r="G12" i="116"/>
  <c r="F12" i="116"/>
  <c r="F76" i="116"/>
  <c r="D12" i="116"/>
  <c r="K17" i="127"/>
  <c r="A12" i="116"/>
  <c r="B9" i="116"/>
  <c r="X7" i="116"/>
  <c r="W7" i="116"/>
  <c r="V7" i="116"/>
  <c r="U7" i="116"/>
  <c r="T7" i="116"/>
  <c r="S7" i="116"/>
  <c r="R7" i="116"/>
  <c r="Q7" i="116"/>
  <c r="P7" i="116"/>
  <c r="O7" i="116"/>
  <c r="N7" i="116"/>
  <c r="M7" i="116"/>
  <c r="L7" i="116"/>
  <c r="K7" i="116"/>
  <c r="J7" i="116"/>
  <c r="I7" i="116"/>
  <c r="H7" i="116"/>
  <c r="G7" i="116"/>
  <c r="F7" i="116"/>
  <c r="E7" i="116"/>
  <c r="D7" i="116"/>
  <c r="C4" i="116"/>
  <c r="A3" i="116"/>
  <c r="A2" i="116"/>
  <c r="A1" i="116"/>
  <c r="D168" i="115"/>
  <c r="X150" i="115"/>
  <c r="W150" i="115"/>
  <c r="V150" i="115"/>
  <c r="U150" i="115"/>
  <c r="T150" i="115"/>
  <c r="S150" i="115"/>
  <c r="R150" i="115"/>
  <c r="Q150" i="115"/>
  <c r="P150" i="115"/>
  <c r="O150" i="115"/>
  <c r="N150" i="115"/>
  <c r="M150" i="115"/>
  <c r="L150" i="115"/>
  <c r="K150" i="115"/>
  <c r="J150" i="115"/>
  <c r="I150" i="115"/>
  <c r="H150" i="115"/>
  <c r="G150" i="115"/>
  <c r="F150" i="115"/>
  <c r="E150" i="115"/>
  <c r="D150" i="115"/>
  <c r="E142" i="115"/>
  <c r="D142" i="115"/>
  <c r="D136" i="115"/>
  <c r="D144" i="115"/>
  <c r="D152" i="115"/>
  <c r="D105" i="115"/>
  <c r="D119" i="115"/>
  <c r="D115" i="115"/>
  <c r="X114" i="115"/>
  <c r="W114" i="115"/>
  <c r="V114" i="115"/>
  <c r="U114" i="115"/>
  <c r="T114" i="115"/>
  <c r="S114" i="115"/>
  <c r="R114" i="115"/>
  <c r="Q114" i="115"/>
  <c r="P114" i="115"/>
  <c r="O114" i="115"/>
  <c r="N114" i="115"/>
  <c r="M114" i="115"/>
  <c r="L114" i="115"/>
  <c r="K114" i="115"/>
  <c r="J114" i="115"/>
  <c r="I114" i="115"/>
  <c r="H114" i="115"/>
  <c r="G114" i="115"/>
  <c r="X104" i="115"/>
  <c r="W104" i="115"/>
  <c r="V104" i="115"/>
  <c r="U104" i="115"/>
  <c r="T104" i="115"/>
  <c r="S104" i="115"/>
  <c r="R104" i="115"/>
  <c r="Q104" i="115"/>
  <c r="P104" i="115"/>
  <c r="O104" i="115"/>
  <c r="N104" i="115"/>
  <c r="M104" i="115"/>
  <c r="L104" i="115"/>
  <c r="K104" i="115"/>
  <c r="J104" i="115"/>
  <c r="I104" i="115"/>
  <c r="H104" i="115"/>
  <c r="G104" i="115"/>
  <c r="F104" i="115"/>
  <c r="A103" i="115"/>
  <c r="E101" i="115"/>
  <c r="A101" i="115"/>
  <c r="A93" i="115"/>
  <c r="A92" i="115"/>
  <c r="F91" i="115"/>
  <c r="A90" i="115"/>
  <c r="A89" i="115"/>
  <c r="A87" i="115"/>
  <c r="A84" i="115"/>
  <c r="A83" i="115"/>
  <c r="A82" i="115"/>
  <c r="A81" i="115"/>
  <c r="A78" i="115"/>
  <c r="A77" i="115"/>
  <c r="E76" i="115"/>
  <c r="A76" i="115"/>
  <c r="A72" i="115"/>
  <c r="X63" i="115"/>
  <c r="W63" i="115"/>
  <c r="V63" i="115"/>
  <c r="U63" i="115"/>
  <c r="T63" i="115"/>
  <c r="S63" i="115"/>
  <c r="R63" i="115"/>
  <c r="Q63" i="115"/>
  <c r="P63" i="115"/>
  <c r="O63" i="115"/>
  <c r="N63" i="115"/>
  <c r="M63" i="115"/>
  <c r="L63" i="115"/>
  <c r="K63" i="115"/>
  <c r="J63" i="115"/>
  <c r="I63" i="115"/>
  <c r="H63" i="115"/>
  <c r="G63" i="115"/>
  <c r="A55" i="115"/>
  <c r="X51" i="115"/>
  <c r="AE56" i="126"/>
  <c r="W51" i="115"/>
  <c r="AD56" i="126"/>
  <c r="V51" i="115"/>
  <c r="AC56" i="126"/>
  <c r="U51" i="115"/>
  <c r="AB56" i="126"/>
  <c r="T51" i="115"/>
  <c r="AA56" i="126"/>
  <c r="S51" i="115"/>
  <c r="Z56" i="126"/>
  <c r="R51" i="115"/>
  <c r="Y56" i="126"/>
  <c r="Q51" i="115"/>
  <c r="X56" i="126"/>
  <c r="P51" i="115"/>
  <c r="W56" i="126"/>
  <c r="O51" i="115"/>
  <c r="V56" i="126"/>
  <c r="N51" i="115"/>
  <c r="U56" i="126"/>
  <c r="M51" i="115"/>
  <c r="T56" i="126"/>
  <c r="L51" i="115"/>
  <c r="S56" i="126"/>
  <c r="K51" i="115"/>
  <c r="R56" i="126"/>
  <c r="J51" i="115"/>
  <c r="Q56" i="126"/>
  <c r="I51" i="115"/>
  <c r="P56" i="126"/>
  <c r="H51" i="115"/>
  <c r="O56" i="126"/>
  <c r="G51" i="115"/>
  <c r="N56" i="126"/>
  <c r="F51" i="115"/>
  <c r="M56" i="126"/>
  <c r="E51" i="115"/>
  <c r="L56" i="126"/>
  <c r="X49" i="115"/>
  <c r="W49" i="115"/>
  <c r="V49" i="115"/>
  <c r="U49" i="115"/>
  <c r="T49" i="115"/>
  <c r="S49" i="115"/>
  <c r="R49" i="115"/>
  <c r="Q49" i="115"/>
  <c r="P49" i="115"/>
  <c r="O49" i="115"/>
  <c r="N49" i="115"/>
  <c r="M49" i="115"/>
  <c r="L49" i="115"/>
  <c r="K49" i="115"/>
  <c r="J49" i="115"/>
  <c r="I49" i="115"/>
  <c r="H49" i="115"/>
  <c r="G49" i="115"/>
  <c r="F49" i="115"/>
  <c r="E49" i="115"/>
  <c r="XFD49" i="115"/>
  <c r="X37" i="115"/>
  <c r="W37" i="115"/>
  <c r="V37" i="115"/>
  <c r="U37" i="115"/>
  <c r="T37" i="115"/>
  <c r="S37" i="115"/>
  <c r="R37" i="115"/>
  <c r="Q37" i="115"/>
  <c r="P37" i="115"/>
  <c r="O37" i="115"/>
  <c r="N37" i="115"/>
  <c r="M37" i="115"/>
  <c r="L37" i="115"/>
  <c r="K37" i="115"/>
  <c r="J37" i="115"/>
  <c r="I37" i="115"/>
  <c r="H37" i="115"/>
  <c r="G37" i="115"/>
  <c r="F37" i="115"/>
  <c r="E37" i="115"/>
  <c r="E30" i="115"/>
  <c r="G29" i="115"/>
  <c r="H29" i="115"/>
  <c r="F29" i="115"/>
  <c r="A23" i="115"/>
  <c r="A22" i="115"/>
  <c r="X20" i="115"/>
  <c r="AE25" i="126"/>
  <c r="W20" i="115"/>
  <c r="AD25" i="126"/>
  <c r="V20" i="115"/>
  <c r="AC25" i="126"/>
  <c r="U20" i="115"/>
  <c r="AB25" i="126"/>
  <c r="T20" i="115"/>
  <c r="AA25" i="126"/>
  <c r="S20" i="115"/>
  <c r="Z25" i="126"/>
  <c r="R20" i="115"/>
  <c r="Y25" i="126"/>
  <c r="Q20" i="115"/>
  <c r="X25" i="126"/>
  <c r="P20" i="115"/>
  <c r="W25" i="126"/>
  <c r="O20" i="115"/>
  <c r="V25" i="126"/>
  <c r="N20" i="115"/>
  <c r="U25" i="126"/>
  <c r="M20" i="115"/>
  <c r="T25" i="126"/>
  <c r="L20" i="115"/>
  <c r="S25" i="126"/>
  <c r="K20" i="115"/>
  <c r="R25" i="126"/>
  <c r="J20" i="115"/>
  <c r="Q25" i="126"/>
  <c r="I20" i="115"/>
  <c r="P25" i="126"/>
  <c r="H20" i="115"/>
  <c r="O25" i="126"/>
  <c r="G20" i="115"/>
  <c r="N25" i="126"/>
  <c r="F20" i="115"/>
  <c r="M25" i="126"/>
  <c r="E20" i="115"/>
  <c r="L25" i="126"/>
  <c r="D20" i="115"/>
  <c r="K25" i="126"/>
  <c r="A20" i="115"/>
  <c r="X19" i="115"/>
  <c r="AE24" i="126"/>
  <c r="W19" i="115"/>
  <c r="AD24" i="126"/>
  <c r="V19" i="115"/>
  <c r="AC24" i="126"/>
  <c r="U19" i="115"/>
  <c r="AB24" i="126"/>
  <c r="T19" i="115"/>
  <c r="AA24" i="126"/>
  <c r="S19" i="115"/>
  <c r="Z24" i="126"/>
  <c r="R19" i="115"/>
  <c r="Y24" i="126"/>
  <c r="Q19" i="115"/>
  <c r="X24" i="126"/>
  <c r="P19" i="115"/>
  <c r="W24" i="126"/>
  <c r="O19" i="115"/>
  <c r="V24" i="126"/>
  <c r="N19" i="115"/>
  <c r="U24" i="126"/>
  <c r="M19" i="115"/>
  <c r="T24" i="126"/>
  <c r="L19" i="115"/>
  <c r="S24" i="126"/>
  <c r="K19" i="115"/>
  <c r="R24" i="126"/>
  <c r="J19" i="115"/>
  <c r="Q24" i="126"/>
  <c r="I19" i="115"/>
  <c r="P24" i="126"/>
  <c r="H19" i="115"/>
  <c r="O24" i="126"/>
  <c r="G19" i="115"/>
  <c r="N24" i="126"/>
  <c r="F19" i="115"/>
  <c r="M24" i="126"/>
  <c r="E19" i="115"/>
  <c r="D19" i="115"/>
  <c r="K24" i="126"/>
  <c r="A19" i="115"/>
  <c r="X18" i="115"/>
  <c r="AE23" i="126"/>
  <c r="W18" i="115"/>
  <c r="AD23" i="126"/>
  <c r="V18" i="115"/>
  <c r="AC23" i="126"/>
  <c r="U18" i="115"/>
  <c r="AB23" i="126"/>
  <c r="T18" i="115"/>
  <c r="AA23" i="126"/>
  <c r="S18" i="115"/>
  <c r="Z23" i="126"/>
  <c r="R18" i="115"/>
  <c r="Y23" i="126"/>
  <c r="Q18" i="115"/>
  <c r="X23" i="126"/>
  <c r="P18" i="115"/>
  <c r="W23" i="126"/>
  <c r="O18" i="115"/>
  <c r="V23" i="126"/>
  <c r="N18" i="115"/>
  <c r="U23" i="126"/>
  <c r="M18" i="115"/>
  <c r="T23" i="126"/>
  <c r="L18" i="115"/>
  <c r="S23" i="126"/>
  <c r="K18" i="115"/>
  <c r="R23" i="126"/>
  <c r="J18" i="115"/>
  <c r="Q23" i="126"/>
  <c r="I18" i="115"/>
  <c r="P23" i="126"/>
  <c r="H18" i="115"/>
  <c r="O23" i="126"/>
  <c r="G18" i="115"/>
  <c r="F18" i="115"/>
  <c r="E18" i="115"/>
  <c r="D18" i="115"/>
  <c r="K23" i="126"/>
  <c r="A18" i="115"/>
  <c r="X15" i="115"/>
  <c r="AE20" i="126"/>
  <c r="W15" i="115"/>
  <c r="AD20" i="126"/>
  <c r="V15" i="115"/>
  <c r="AC20" i="126"/>
  <c r="U15" i="115"/>
  <c r="AB20" i="126"/>
  <c r="T15" i="115"/>
  <c r="AA20" i="126"/>
  <c r="S15" i="115"/>
  <c r="Z20" i="126"/>
  <c r="R15" i="115"/>
  <c r="Y20" i="126"/>
  <c r="Q15" i="115"/>
  <c r="X20" i="126"/>
  <c r="P15" i="115"/>
  <c r="W20" i="126"/>
  <c r="O15" i="115"/>
  <c r="V20" i="126"/>
  <c r="N15" i="115"/>
  <c r="U20" i="126"/>
  <c r="M15" i="115"/>
  <c r="T20" i="126"/>
  <c r="L15" i="115"/>
  <c r="S20" i="126"/>
  <c r="K15" i="115"/>
  <c r="R20" i="126"/>
  <c r="J15" i="115"/>
  <c r="Q20" i="126"/>
  <c r="I15" i="115"/>
  <c r="P20" i="126"/>
  <c r="H15" i="115"/>
  <c r="O20" i="126"/>
  <c r="G15" i="115"/>
  <c r="N20" i="126"/>
  <c r="F15" i="115"/>
  <c r="M20" i="126"/>
  <c r="D15" i="115"/>
  <c r="K20" i="126"/>
  <c r="D14" i="115"/>
  <c r="K19" i="126"/>
  <c r="A14" i="115"/>
  <c r="D13" i="115"/>
  <c r="K18" i="126"/>
  <c r="A13" i="115"/>
  <c r="D12" i="115"/>
  <c r="K17" i="126"/>
  <c r="A12" i="115"/>
  <c r="B9" i="115"/>
  <c r="B9" i="126"/>
  <c r="X7" i="115"/>
  <c r="W7" i="115"/>
  <c r="V7" i="115"/>
  <c r="U7" i="115"/>
  <c r="T7" i="115"/>
  <c r="S7" i="115"/>
  <c r="R7" i="115"/>
  <c r="Q7" i="115"/>
  <c r="P7" i="115"/>
  <c r="O7" i="115"/>
  <c r="N7" i="115"/>
  <c r="M7" i="115"/>
  <c r="L7" i="115"/>
  <c r="K7" i="115"/>
  <c r="J7" i="115"/>
  <c r="I7" i="115"/>
  <c r="H7" i="115"/>
  <c r="G7" i="115"/>
  <c r="F7" i="115"/>
  <c r="E7" i="115"/>
  <c r="D7" i="115"/>
  <c r="C4" i="115"/>
  <c r="A3" i="115"/>
  <c r="A2" i="115"/>
  <c r="A1" i="115"/>
  <c r="D168" i="114"/>
  <c r="D72" i="71"/>
  <c r="X150" i="114"/>
  <c r="W150" i="114"/>
  <c r="V150" i="114"/>
  <c r="U150" i="114"/>
  <c r="T150" i="114"/>
  <c r="S150" i="114"/>
  <c r="R150" i="114"/>
  <c r="Q150" i="114"/>
  <c r="P150" i="114"/>
  <c r="O150" i="114"/>
  <c r="N150" i="114"/>
  <c r="M150" i="114"/>
  <c r="L150" i="114"/>
  <c r="K150" i="114"/>
  <c r="J150" i="114"/>
  <c r="I150" i="114"/>
  <c r="H150" i="114"/>
  <c r="G150" i="114"/>
  <c r="F150" i="114"/>
  <c r="E150" i="114"/>
  <c r="D150" i="114"/>
  <c r="D142" i="114"/>
  <c r="E142" i="114"/>
  <c r="D136" i="114"/>
  <c r="E136" i="114"/>
  <c r="D115" i="114"/>
  <c r="X114" i="114"/>
  <c r="W114" i="114"/>
  <c r="V114" i="114"/>
  <c r="U114" i="114"/>
  <c r="T114" i="114"/>
  <c r="S114" i="114"/>
  <c r="R114" i="114"/>
  <c r="Q114" i="114"/>
  <c r="P114" i="114"/>
  <c r="O114" i="114"/>
  <c r="N114" i="114"/>
  <c r="M114" i="114"/>
  <c r="L114" i="114"/>
  <c r="K114" i="114"/>
  <c r="J114" i="114"/>
  <c r="I114" i="114"/>
  <c r="H114" i="114"/>
  <c r="G114" i="114"/>
  <c r="D105" i="114"/>
  <c r="D119" i="114"/>
  <c r="X104" i="114"/>
  <c r="W104" i="114"/>
  <c r="V104" i="114"/>
  <c r="U104" i="114"/>
  <c r="T104" i="114"/>
  <c r="S104" i="114"/>
  <c r="R104" i="114"/>
  <c r="Q104" i="114"/>
  <c r="P104" i="114"/>
  <c r="O104" i="114"/>
  <c r="N104" i="114"/>
  <c r="M104" i="114"/>
  <c r="L104" i="114"/>
  <c r="K104" i="114"/>
  <c r="J104" i="114"/>
  <c r="I104" i="114"/>
  <c r="H104" i="114"/>
  <c r="G104" i="114"/>
  <c r="F104" i="114"/>
  <c r="A103" i="114"/>
  <c r="E101" i="114"/>
  <c r="A101" i="114"/>
  <c r="A93" i="114"/>
  <c r="A92" i="114"/>
  <c r="F91" i="114"/>
  <c r="A90" i="114"/>
  <c r="A89" i="114"/>
  <c r="A87" i="114"/>
  <c r="A84" i="114"/>
  <c r="A83" i="114"/>
  <c r="A82" i="114"/>
  <c r="A81" i="114"/>
  <c r="A78" i="114"/>
  <c r="A77" i="114"/>
  <c r="E76" i="114"/>
  <c r="A76" i="114"/>
  <c r="A72" i="114"/>
  <c r="X63" i="114"/>
  <c r="W63" i="114"/>
  <c r="V63" i="114"/>
  <c r="U63" i="114"/>
  <c r="T63" i="114"/>
  <c r="S63" i="114"/>
  <c r="R63" i="114"/>
  <c r="Q63" i="114"/>
  <c r="P63" i="114"/>
  <c r="O63" i="114"/>
  <c r="N63" i="114"/>
  <c r="M63" i="114"/>
  <c r="L63" i="114"/>
  <c r="K63" i="114"/>
  <c r="J63" i="114"/>
  <c r="I63" i="114"/>
  <c r="H63" i="114"/>
  <c r="G63" i="114"/>
  <c r="A55" i="114"/>
  <c r="X51" i="114"/>
  <c r="AE56" i="125"/>
  <c r="W51" i="114"/>
  <c r="AD56" i="125"/>
  <c r="V51" i="114"/>
  <c r="AC56" i="125"/>
  <c r="U51" i="114"/>
  <c r="AB56" i="125"/>
  <c r="T51" i="114"/>
  <c r="AA56" i="125"/>
  <c r="S51" i="114"/>
  <c r="Z56" i="125"/>
  <c r="R51" i="114"/>
  <c r="Y56" i="125"/>
  <c r="Q51" i="114"/>
  <c r="X56" i="125"/>
  <c r="P51" i="114"/>
  <c r="W56" i="125"/>
  <c r="O51" i="114"/>
  <c r="V56" i="125"/>
  <c r="N51" i="114"/>
  <c r="U56" i="125"/>
  <c r="M51" i="114"/>
  <c r="T56" i="125"/>
  <c r="L51" i="114"/>
  <c r="S56" i="125"/>
  <c r="K51" i="114"/>
  <c r="R56" i="125"/>
  <c r="J51" i="114"/>
  <c r="Q56" i="125"/>
  <c r="I51" i="114"/>
  <c r="P56" i="125"/>
  <c r="H51" i="114"/>
  <c r="O56" i="125"/>
  <c r="G51" i="114"/>
  <c r="N56" i="125"/>
  <c r="F51" i="114"/>
  <c r="M56" i="125"/>
  <c r="E51" i="114"/>
  <c r="L56" i="125"/>
  <c r="X49" i="114"/>
  <c r="W49" i="114"/>
  <c r="V49" i="114"/>
  <c r="U49" i="114"/>
  <c r="T49" i="114"/>
  <c r="S49" i="114"/>
  <c r="R49" i="114"/>
  <c r="Q49" i="114"/>
  <c r="P49" i="114"/>
  <c r="O49" i="114"/>
  <c r="N49" i="114"/>
  <c r="M49" i="114"/>
  <c r="L49" i="114"/>
  <c r="K49" i="114"/>
  <c r="J49" i="114"/>
  <c r="I49" i="114"/>
  <c r="H49" i="114"/>
  <c r="G49" i="114"/>
  <c r="F49" i="114"/>
  <c r="E49" i="114"/>
  <c r="XFD49" i="114"/>
  <c r="X37" i="114"/>
  <c r="W37" i="114"/>
  <c r="V37" i="114"/>
  <c r="U37" i="114"/>
  <c r="T37" i="114"/>
  <c r="S37" i="114"/>
  <c r="R37" i="114"/>
  <c r="Q37" i="114"/>
  <c r="P37" i="114"/>
  <c r="O37" i="114"/>
  <c r="N37" i="114"/>
  <c r="M37" i="114"/>
  <c r="L37" i="114"/>
  <c r="K37" i="114"/>
  <c r="J37" i="114"/>
  <c r="I37" i="114"/>
  <c r="H37" i="114"/>
  <c r="G37" i="114"/>
  <c r="F37" i="114"/>
  <c r="E37" i="114"/>
  <c r="E30" i="114"/>
  <c r="F29" i="114"/>
  <c r="G29" i="114"/>
  <c r="A23" i="114"/>
  <c r="A22" i="114"/>
  <c r="X20" i="114"/>
  <c r="AE25" i="125"/>
  <c r="W20" i="114"/>
  <c r="AD25" i="125"/>
  <c r="V20" i="114"/>
  <c r="AC25" i="125"/>
  <c r="U20" i="114"/>
  <c r="AB25" i="125"/>
  <c r="T20" i="114"/>
  <c r="AA25" i="125"/>
  <c r="S20" i="114"/>
  <c r="Z25" i="125"/>
  <c r="R20" i="114"/>
  <c r="Y25" i="125"/>
  <c r="Q20" i="114"/>
  <c r="X25" i="125"/>
  <c r="P20" i="114"/>
  <c r="W25" i="125"/>
  <c r="O20" i="114"/>
  <c r="V25" i="125"/>
  <c r="N20" i="114"/>
  <c r="U25" i="125"/>
  <c r="M20" i="114"/>
  <c r="T25" i="125"/>
  <c r="L20" i="114"/>
  <c r="S25" i="125"/>
  <c r="K20" i="114"/>
  <c r="R25" i="125"/>
  <c r="J20" i="114"/>
  <c r="Q25" i="125"/>
  <c r="I20" i="114"/>
  <c r="P25" i="125"/>
  <c r="H20" i="114"/>
  <c r="O25" i="125"/>
  <c r="G20" i="114"/>
  <c r="N25" i="125"/>
  <c r="F20" i="114"/>
  <c r="M25" i="125"/>
  <c r="E20" i="114"/>
  <c r="L25" i="125"/>
  <c r="D20" i="114"/>
  <c r="A20" i="114"/>
  <c r="X19" i="114"/>
  <c r="AE24" i="125"/>
  <c r="W19" i="114"/>
  <c r="AD24" i="125"/>
  <c r="V19" i="114"/>
  <c r="AC24" i="125"/>
  <c r="U19" i="114"/>
  <c r="AB24" i="125"/>
  <c r="T19" i="114"/>
  <c r="AA24" i="125"/>
  <c r="S19" i="114"/>
  <c r="Z24" i="125"/>
  <c r="R19" i="114"/>
  <c r="Y24" i="125"/>
  <c r="Q19" i="114"/>
  <c r="X24" i="125"/>
  <c r="P19" i="114"/>
  <c r="W24" i="125"/>
  <c r="O19" i="114"/>
  <c r="V24" i="125"/>
  <c r="N19" i="114"/>
  <c r="U24" i="125"/>
  <c r="M19" i="114"/>
  <c r="T24" i="125"/>
  <c r="L19" i="114"/>
  <c r="S24" i="125"/>
  <c r="K19" i="114"/>
  <c r="R24" i="125"/>
  <c r="J19" i="114"/>
  <c r="Q24" i="125"/>
  <c r="I19" i="114"/>
  <c r="P24" i="125"/>
  <c r="H19" i="114"/>
  <c r="O24" i="125"/>
  <c r="G19" i="114"/>
  <c r="N24" i="125"/>
  <c r="F19" i="114"/>
  <c r="E19" i="114"/>
  <c r="D19" i="114"/>
  <c r="A19" i="114"/>
  <c r="X18" i="114"/>
  <c r="AE23" i="125"/>
  <c r="W18" i="114"/>
  <c r="AD23" i="125"/>
  <c r="V18" i="114"/>
  <c r="AC23" i="125"/>
  <c r="U18" i="114"/>
  <c r="AB23" i="125"/>
  <c r="T18" i="114"/>
  <c r="AA23" i="125"/>
  <c r="S18" i="114"/>
  <c r="Z23" i="125"/>
  <c r="R18" i="114"/>
  <c r="Y23" i="125"/>
  <c r="Q18" i="114"/>
  <c r="X23" i="125"/>
  <c r="P18" i="114"/>
  <c r="W23" i="125"/>
  <c r="O18" i="114"/>
  <c r="V23" i="125"/>
  <c r="N18" i="114"/>
  <c r="U23" i="125"/>
  <c r="M18" i="114"/>
  <c r="T23" i="125"/>
  <c r="L18" i="114"/>
  <c r="S23" i="125"/>
  <c r="K18" i="114"/>
  <c r="R23" i="125"/>
  <c r="J18" i="114"/>
  <c r="Q23" i="125"/>
  <c r="I18" i="114"/>
  <c r="P23" i="125"/>
  <c r="H18" i="114"/>
  <c r="O23" i="125"/>
  <c r="G18" i="114"/>
  <c r="N23" i="125"/>
  <c r="F18" i="114"/>
  <c r="E18" i="114"/>
  <c r="D18" i="114"/>
  <c r="A18" i="114"/>
  <c r="X15" i="114"/>
  <c r="AE20" i="125"/>
  <c r="W15" i="114"/>
  <c r="AD20" i="125"/>
  <c r="V15" i="114"/>
  <c r="AC20" i="125"/>
  <c r="U15" i="114"/>
  <c r="AB20" i="125"/>
  <c r="T15" i="114"/>
  <c r="AA20" i="125"/>
  <c r="S15" i="114"/>
  <c r="Z20" i="125"/>
  <c r="R15" i="114"/>
  <c r="Y20" i="125"/>
  <c r="Q15" i="114"/>
  <c r="X20" i="125"/>
  <c r="P15" i="114"/>
  <c r="W20" i="125"/>
  <c r="O15" i="114"/>
  <c r="V20" i="125"/>
  <c r="N15" i="114"/>
  <c r="U20" i="125"/>
  <c r="M15" i="114"/>
  <c r="T20" i="125"/>
  <c r="L15" i="114"/>
  <c r="S20" i="125"/>
  <c r="K15" i="114"/>
  <c r="R20" i="125"/>
  <c r="J15" i="114"/>
  <c r="Q20" i="125"/>
  <c r="I15" i="114"/>
  <c r="P20" i="125"/>
  <c r="H15" i="114"/>
  <c r="O20" i="125"/>
  <c r="G15" i="114"/>
  <c r="N20" i="125"/>
  <c r="F15" i="114"/>
  <c r="M20" i="125"/>
  <c r="D15" i="114"/>
  <c r="D14" i="114"/>
  <c r="A14" i="114"/>
  <c r="D13" i="114"/>
  <c r="A13" i="114"/>
  <c r="D12" i="114"/>
  <c r="A12" i="114"/>
  <c r="B9" i="114"/>
  <c r="B9" i="125"/>
  <c r="X7" i="114"/>
  <c r="W7" i="114"/>
  <c r="V7" i="114"/>
  <c r="U7" i="114"/>
  <c r="T7" i="114"/>
  <c r="S7" i="114"/>
  <c r="R7" i="114"/>
  <c r="Q7" i="114"/>
  <c r="P7" i="114"/>
  <c r="O7" i="114"/>
  <c r="N7" i="114"/>
  <c r="M7" i="114"/>
  <c r="L7" i="114"/>
  <c r="K7" i="114"/>
  <c r="J7" i="114"/>
  <c r="I7" i="114"/>
  <c r="H7" i="114"/>
  <c r="G7" i="114"/>
  <c r="F7" i="114"/>
  <c r="E7" i="114"/>
  <c r="D7" i="114"/>
  <c r="C4" i="114"/>
  <c r="A3" i="114"/>
  <c r="A2" i="114"/>
  <c r="A1" i="114"/>
  <c r="D168" i="113"/>
  <c r="G168" i="113"/>
  <c r="F168" i="113"/>
  <c r="E168" i="113"/>
  <c r="X150" i="113"/>
  <c r="W150" i="113"/>
  <c r="V150" i="113"/>
  <c r="U150" i="113"/>
  <c r="T150" i="113"/>
  <c r="S150" i="113"/>
  <c r="R150" i="113"/>
  <c r="Q150" i="113"/>
  <c r="P150" i="113"/>
  <c r="O150" i="113"/>
  <c r="N150" i="113"/>
  <c r="M150" i="113"/>
  <c r="L150" i="113"/>
  <c r="K150" i="113"/>
  <c r="J150" i="113"/>
  <c r="I150" i="113"/>
  <c r="H150" i="113"/>
  <c r="G150" i="113"/>
  <c r="F150" i="113"/>
  <c r="E150" i="113"/>
  <c r="D150" i="113"/>
  <c r="D142" i="113"/>
  <c r="E142" i="113"/>
  <c r="D136" i="113"/>
  <c r="D144" i="113"/>
  <c r="D115" i="113"/>
  <c r="X114" i="113"/>
  <c r="W114" i="113"/>
  <c r="V114" i="113"/>
  <c r="U114" i="113"/>
  <c r="T114" i="113"/>
  <c r="S114" i="113"/>
  <c r="R114" i="113"/>
  <c r="Q114" i="113"/>
  <c r="P114" i="113"/>
  <c r="O114" i="113"/>
  <c r="N114" i="113"/>
  <c r="M114" i="113"/>
  <c r="L114" i="113"/>
  <c r="K114" i="113"/>
  <c r="J114" i="113"/>
  <c r="I114" i="113"/>
  <c r="H114" i="113"/>
  <c r="G114" i="113"/>
  <c r="D105" i="113"/>
  <c r="D119" i="113"/>
  <c r="X104" i="113"/>
  <c r="W104" i="113"/>
  <c r="V104" i="113"/>
  <c r="U104" i="113"/>
  <c r="T104" i="113"/>
  <c r="S104" i="113"/>
  <c r="R104" i="113"/>
  <c r="Q104" i="113"/>
  <c r="P104" i="113"/>
  <c r="O104" i="113"/>
  <c r="N104" i="113"/>
  <c r="M104" i="113"/>
  <c r="L104" i="113"/>
  <c r="K104" i="113"/>
  <c r="J104" i="113"/>
  <c r="I104" i="113"/>
  <c r="H104" i="113"/>
  <c r="G104" i="113"/>
  <c r="F104" i="113"/>
  <c r="A103" i="113"/>
  <c r="E101" i="113"/>
  <c r="A101" i="113"/>
  <c r="A93" i="113"/>
  <c r="A92" i="113"/>
  <c r="F91" i="113"/>
  <c r="A90" i="113"/>
  <c r="A89" i="113"/>
  <c r="A87" i="113"/>
  <c r="A84" i="113"/>
  <c r="A83" i="113"/>
  <c r="A82" i="113"/>
  <c r="A81" i="113"/>
  <c r="A78" i="113"/>
  <c r="A77" i="113"/>
  <c r="E76" i="113"/>
  <c r="A76" i="113"/>
  <c r="A72" i="113"/>
  <c r="X63" i="113"/>
  <c r="W63" i="113"/>
  <c r="V63" i="113"/>
  <c r="U63" i="113"/>
  <c r="T63" i="113"/>
  <c r="S63" i="113"/>
  <c r="R63" i="113"/>
  <c r="Q63" i="113"/>
  <c r="P63" i="113"/>
  <c r="O63" i="113"/>
  <c r="N63" i="113"/>
  <c r="M63" i="113"/>
  <c r="L63" i="113"/>
  <c r="K63" i="113"/>
  <c r="J63" i="113"/>
  <c r="I63" i="113"/>
  <c r="H63" i="113"/>
  <c r="G63" i="113"/>
  <c r="A55" i="113"/>
  <c r="X51" i="113"/>
  <c r="AE56" i="124"/>
  <c r="W51" i="113"/>
  <c r="AD56" i="124"/>
  <c r="V51" i="113"/>
  <c r="AC56" i="124"/>
  <c r="U51" i="113"/>
  <c r="AB56" i="124"/>
  <c r="T51" i="113"/>
  <c r="AA56" i="124"/>
  <c r="S51" i="113"/>
  <c r="Z56" i="124"/>
  <c r="R51" i="113"/>
  <c r="Y56" i="124"/>
  <c r="Q51" i="113"/>
  <c r="X56" i="124"/>
  <c r="P51" i="113"/>
  <c r="W56" i="124"/>
  <c r="O51" i="113"/>
  <c r="V56" i="124"/>
  <c r="N51" i="113"/>
  <c r="U56" i="124"/>
  <c r="M51" i="113"/>
  <c r="T56" i="124"/>
  <c r="L51" i="113"/>
  <c r="S56" i="124"/>
  <c r="K51" i="113"/>
  <c r="R56" i="124"/>
  <c r="J51" i="113"/>
  <c r="Q56" i="124"/>
  <c r="I51" i="113"/>
  <c r="P56" i="124"/>
  <c r="H51" i="113"/>
  <c r="O56" i="124"/>
  <c r="G51" i="113"/>
  <c r="N56" i="124"/>
  <c r="F51" i="113"/>
  <c r="M56" i="124"/>
  <c r="E51" i="113"/>
  <c r="L56" i="124"/>
  <c r="X49" i="113"/>
  <c r="W49" i="113"/>
  <c r="V49" i="113"/>
  <c r="U49" i="113"/>
  <c r="T49" i="113"/>
  <c r="S49" i="113"/>
  <c r="R49" i="113"/>
  <c r="Q49" i="113"/>
  <c r="P49" i="113"/>
  <c r="O49" i="113"/>
  <c r="N49" i="113"/>
  <c r="M49" i="113"/>
  <c r="L49" i="113"/>
  <c r="K49" i="113"/>
  <c r="J49" i="113"/>
  <c r="I49" i="113"/>
  <c r="H49" i="113"/>
  <c r="G49" i="113"/>
  <c r="F49" i="113"/>
  <c r="E49" i="113"/>
  <c r="X37" i="113"/>
  <c r="W37" i="113"/>
  <c r="V37" i="113"/>
  <c r="U37" i="113"/>
  <c r="T37" i="113"/>
  <c r="S37" i="113"/>
  <c r="R37" i="113"/>
  <c r="Q37" i="113"/>
  <c r="P37" i="113"/>
  <c r="O37" i="113"/>
  <c r="N37" i="113"/>
  <c r="M37" i="113"/>
  <c r="L37" i="113"/>
  <c r="K37" i="113"/>
  <c r="J37" i="113"/>
  <c r="I37" i="113"/>
  <c r="H37" i="113"/>
  <c r="G37" i="113"/>
  <c r="F37" i="113"/>
  <c r="E37" i="113"/>
  <c r="E30" i="113"/>
  <c r="F29" i="113"/>
  <c r="G29" i="113"/>
  <c r="H29" i="113"/>
  <c r="A23" i="113"/>
  <c r="A22" i="113"/>
  <c r="X20" i="113"/>
  <c r="AE25" i="124"/>
  <c r="W20" i="113"/>
  <c r="AD25" i="124"/>
  <c r="V20" i="113"/>
  <c r="AC25" i="124"/>
  <c r="U20" i="113"/>
  <c r="AB25" i="124"/>
  <c r="T20" i="113"/>
  <c r="AA25" i="124"/>
  <c r="S20" i="113"/>
  <c r="Z25" i="124"/>
  <c r="R20" i="113"/>
  <c r="Y25" i="124"/>
  <c r="Q20" i="113"/>
  <c r="X25" i="124"/>
  <c r="P20" i="113"/>
  <c r="W25" i="124"/>
  <c r="O20" i="113"/>
  <c r="V25" i="124"/>
  <c r="N20" i="113"/>
  <c r="U25" i="124"/>
  <c r="M20" i="113"/>
  <c r="T25" i="124"/>
  <c r="L20" i="113"/>
  <c r="S25" i="124"/>
  <c r="K20" i="113"/>
  <c r="R25" i="124"/>
  <c r="J20" i="113"/>
  <c r="Q25" i="124"/>
  <c r="I20" i="113"/>
  <c r="P25" i="124"/>
  <c r="H20" i="113"/>
  <c r="O25" i="124"/>
  <c r="G20" i="113"/>
  <c r="N25" i="124"/>
  <c r="F20" i="113"/>
  <c r="M25" i="124"/>
  <c r="E20" i="113"/>
  <c r="L25" i="124"/>
  <c r="D20" i="113"/>
  <c r="A20" i="113"/>
  <c r="X19" i="113"/>
  <c r="AE24" i="124"/>
  <c r="W19" i="113"/>
  <c r="AD24" i="124"/>
  <c r="V19" i="113"/>
  <c r="AC24" i="124"/>
  <c r="U19" i="113"/>
  <c r="AB24" i="124"/>
  <c r="T19" i="113"/>
  <c r="AA24" i="124"/>
  <c r="S19" i="113"/>
  <c r="Z24" i="124"/>
  <c r="R19" i="113"/>
  <c r="Y24" i="124"/>
  <c r="Q19" i="113"/>
  <c r="X24" i="124"/>
  <c r="P19" i="113"/>
  <c r="W24" i="124"/>
  <c r="O19" i="113"/>
  <c r="V24" i="124"/>
  <c r="N19" i="113"/>
  <c r="U24" i="124"/>
  <c r="M19" i="113"/>
  <c r="T24" i="124"/>
  <c r="L19" i="113"/>
  <c r="S24" i="124"/>
  <c r="K19" i="113"/>
  <c r="R24" i="124"/>
  <c r="J19" i="113"/>
  <c r="Q24" i="124"/>
  <c r="I19" i="113"/>
  <c r="P24" i="124"/>
  <c r="H19" i="113"/>
  <c r="O24" i="124"/>
  <c r="G19" i="113"/>
  <c r="N24" i="124"/>
  <c r="F19" i="113"/>
  <c r="E19" i="113"/>
  <c r="L24" i="124"/>
  <c r="D19" i="113"/>
  <c r="A19" i="113"/>
  <c r="X18" i="113"/>
  <c r="AE23" i="124"/>
  <c r="W18" i="113"/>
  <c r="AD23" i="124"/>
  <c r="V18" i="113"/>
  <c r="AC23" i="124"/>
  <c r="U18" i="113"/>
  <c r="AB23" i="124"/>
  <c r="T18" i="113"/>
  <c r="AA23" i="124"/>
  <c r="S18" i="113"/>
  <c r="Z23" i="124"/>
  <c r="R18" i="113"/>
  <c r="Y23" i="124"/>
  <c r="Q18" i="113"/>
  <c r="X23" i="124"/>
  <c r="P18" i="113"/>
  <c r="W23" i="124"/>
  <c r="O18" i="113"/>
  <c r="V23" i="124"/>
  <c r="N18" i="113"/>
  <c r="U23" i="124"/>
  <c r="M18" i="113"/>
  <c r="T23" i="124"/>
  <c r="L18" i="113"/>
  <c r="S23" i="124"/>
  <c r="K18" i="113"/>
  <c r="R23" i="124"/>
  <c r="J18" i="113"/>
  <c r="Q23" i="124"/>
  <c r="I18" i="113"/>
  <c r="P23" i="124"/>
  <c r="H18" i="113"/>
  <c r="O23" i="124"/>
  <c r="G18" i="113"/>
  <c r="N23" i="124"/>
  <c r="F18" i="113"/>
  <c r="E18" i="113"/>
  <c r="D18" i="113"/>
  <c r="A18" i="113"/>
  <c r="X15" i="113"/>
  <c r="AE20" i="124"/>
  <c r="W15" i="113"/>
  <c r="AD20" i="124"/>
  <c r="V15" i="113"/>
  <c r="AC20" i="124"/>
  <c r="U15" i="113"/>
  <c r="AB20" i="124"/>
  <c r="T15" i="113"/>
  <c r="AA20" i="124"/>
  <c r="S15" i="113"/>
  <c r="Z20" i="124"/>
  <c r="R15" i="113"/>
  <c r="Y20" i="124"/>
  <c r="Q15" i="113"/>
  <c r="X20" i="124"/>
  <c r="P15" i="113"/>
  <c r="W20" i="124"/>
  <c r="O15" i="113"/>
  <c r="V20" i="124"/>
  <c r="N15" i="113"/>
  <c r="U20" i="124"/>
  <c r="M15" i="113"/>
  <c r="T20" i="124"/>
  <c r="L15" i="113"/>
  <c r="S20" i="124"/>
  <c r="K15" i="113"/>
  <c r="R20" i="124"/>
  <c r="J15" i="113"/>
  <c r="Q20" i="124"/>
  <c r="I15" i="113"/>
  <c r="P20" i="124"/>
  <c r="H15" i="113"/>
  <c r="O20" i="124"/>
  <c r="G15" i="113"/>
  <c r="N20" i="124"/>
  <c r="F15" i="113"/>
  <c r="M20" i="124"/>
  <c r="D15" i="113"/>
  <c r="D14" i="113"/>
  <c r="A14" i="113"/>
  <c r="D13" i="113"/>
  <c r="A13" i="113"/>
  <c r="D12" i="113"/>
  <c r="A12" i="113"/>
  <c r="B9" i="113"/>
  <c r="B9" i="124"/>
  <c r="X7" i="113"/>
  <c r="W7" i="113"/>
  <c r="V7" i="113"/>
  <c r="U7" i="113"/>
  <c r="T7" i="113"/>
  <c r="S7" i="113"/>
  <c r="R7" i="113"/>
  <c r="Q7" i="113"/>
  <c r="P7" i="113"/>
  <c r="O7" i="113"/>
  <c r="N7" i="113"/>
  <c r="M7" i="113"/>
  <c r="L7" i="113"/>
  <c r="K7" i="113"/>
  <c r="J7" i="113"/>
  <c r="I7" i="113"/>
  <c r="H7" i="113"/>
  <c r="G7" i="113"/>
  <c r="F7" i="113"/>
  <c r="E7" i="113"/>
  <c r="D7" i="113"/>
  <c r="C4" i="113"/>
  <c r="A3" i="113"/>
  <c r="A2" i="113"/>
  <c r="A1" i="113"/>
  <c r="O61" i="132"/>
  <c r="P61" i="132"/>
  <c r="Q61" i="132"/>
  <c r="R61" i="132"/>
  <c r="S61" i="132"/>
  <c r="T61" i="132"/>
  <c r="U61" i="132"/>
  <c r="V61" i="132"/>
  <c r="W61" i="132"/>
  <c r="X61" i="132"/>
  <c r="Y61" i="132"/>
  <c r="Z61" i="132"/>
  <c r="AA61" i="132"/>
  <c r="AB61" i="132"/>
  <c r="AC61" i="132"/>
  <c r="AD61" i="132"/>
  <c r="AE61" i="132"/>
  <c r="H57" i="112"/>
  <c r="O62" i="132"/>
  <c r="I57" i="112"/>
  <c r="P62" i="132"/>
  <c r="J57" i="112"/>
  <c r="Q62" i="132"/>
  <c r="K57" i="112"/>
  <c r="R62" i="132"/>
  <c r="L57" i="112"/>
  <c r="S62" i="132"/>
  <c r="M57" i="112"/>
  <c r="T62" i="132"/>
  <c r="N57" i="112"/>
  <c r="U62" i="132"/>
  <c r="O57" i="112"/>
  <c r="V62" i="132"/>
  <c r="P57" i="112"/>
  <c r="W62" i="132"/>
  <c r="Q57" i="112"/>
  <c r="X62" i="132"/>
  <c r="R57" i="112"/>
  <c r="Y62" i="132"/>
  <c r="S57" i="112"/>
  <c r="Z62" i="132"/>
  <c r="T57" i="112"/>
  <c r="AA62" i="132"/>
  <c r="U57" i="112"/>
  <c r="AB62" i="132"/>
  <c r="V57" i="112"/>
  <c r="AC62" i="132"/>
  <c r="W57" i="112"/>
  <c r="AD62" i="132"/>
  <c r="X57" i="112"/>
  <c r="AE62" i="132"/>
  <c r="H58" i="112"/>
  <c r="O63" i="132"/>
  <c r="I58" i="112"/>
  <c r="P63" i="132"/>
  <c r="J58" i="112"/>
  <c r="Q63" i="132"/>
  <c r="K58" i="112"/>
  <c r="R63" i="132"/>
  <c r="L58" i="112"/>
  <c r="S63" i="132"/>
  <c r="M58" i="112"/>
  <c r="T63" i="132"/>
  <c r="N58" i="112"/>
  <c r="U63" i="132"/>
  <c r="O58" i="112"/>
  <c r="V63" i="132"/>
  <c r="P58" i="112"/>
  <c r="W63" i="132"/>
  <c r="Q58" i="112"/>
  <c r="X63" i="132"/>
  <c r="R58" i="112"/>
  <c r="Y63" i="132"/>
  <c r="S58" i="112"/>
  <c r="Z63" i="132"/>
  <c r="T58" i="112"/>
  <c r="AA63" i="132"/>
  <c r="U58" i="112"/>
  <c r="AB63" i="132"/>
  <c r="V58" i="112"/>
  <c r="AC63" i="132"/>
  <c r="W58" i="112"/>
  <c r="AD63" i="132"/>
  <c r="X58" i="112"/>
  <c r="AE63" i="132"/>
  <c r="G58" i="112"/>
  <c r="N63" i="132"/>
  <c r="G57" i="112"/>
  <c r="N62" i="132"/>
  <c r="N61" i="132"/>
  <c r="D168" i="112"/>
  <c r="E186" i="71"/>
  <c r="X150" i="112"/>
  <c r="W150" i="112"/>
  <c r="V150" i="112"/>
  <c r="U150" i="112"/>
  <c r="T150" i="112"/>
  <c r="S150" i="112"/>
  <c r="R150" i="112"/>
  <c r="Q150" i="112"/>
  <c r="P150" i="112"/>
  <c r="O150" i="112"/>
  <c r="N150" i="112"/>
  <c r="M150" i="112"/>
  <c r="L150" i="112"/>
  <c r="K150" i="112"/>
  <c r="J150" i="112"/>
  <c r="I150" i="112"/>
  <c r="H150" i="112"/>
  <c r="G150" i="112"/>
  <c r="F150" i="112"/>
  <c r="E150" i="112"/>
  <c r="D150" i="112"/>
  <c r="D136" i="112"/>
  <c r="D142" i="112"/>
  <c r="D144" i="112"/>
  <c r="E142" i="112"/>
  <c r="E136" i="112"/>
  <c r="D115" i="112"/>
  <c r="D105" i="112"/>
  <c r="D119" i="112"/>
  <c r="X104" i="112"/>
  <c r="W104" i="112"/>
  <c r="V104" i="112"/>
  <c r="U104" i="112"/>
  <c r="T104" i="112"/>
  <c r="S104" i="112"/>
  <c r="R104" i="112"/>
  <c r="Q104" i="112"/>
  <c r="P104" i="112"/>
  <c r="O104" i="112"/>
  <c r="N104" i="112"/>
  <c r="M104" i="112"/>
  <c r="L104" i="112"/>
  <c r="K104" i="112"/>
  <c r="J104" i="112"/>
  <c r="I104" i="112"/>
  <c r="H104" i="112"/>
  <c r="G104" i="112"/>
  <c r="F104" i="112"/>
  <c r="A103" i="112"/>
  <c r="E101" i="112"/>
  <c r="A101" i="112"/>
  <c r="A93" i="112"/>
  <c r="A92" i="112"/>
  <c r="F91" i="112"/>
  <c r="A90" i="112"/>
  <c r="A89" i="112"/>
  <c r="A87" i="112"/>
  <c r="A84" i="112"/>
  <c r="A83" i="112"/>
  <c r="A82" i="112"/>
  <c r="A81" i="112"/>
  <c r="A78" i="112"/>
  <c r="A77" i="112"/>
  <c r="A72" i="112"/>
  <c r="A55" i="112"/>
  <c r="X51" i="112"/>
  <c r="AE56" i="132"/>
  <c r="W51" i="112"/>
  <c r="AD56" i="132"/>
  <c r="V51" i="112"/>
  <c r="AC56" i="132"/>
  <c r="U51" i="112"/>
  <c r="AB56" i="132"/>
  <c r="T51" i="112"/>
  <c r="AA56" i="132"/>
  <c r="S51" i="112"/>
  <c r="Z56" i="132"/>
  <c r="R51" i="112"/>
  <c r="Y56" i="132"/>
  <c r="Q51" i="112"/>
  <c r="X56" i="132"/>
  <c r="P51" i="112"/>
  <c r="W56" i="132"/>
  <c r="O51" i="112"/>
  <c r="V56" i="132"/>
  <c r="N51" i="112"/>
  <c r="U56" i="132"/>
  <c r="M51" i="112"/>
  <c r="T56" i="132"/>
  <c r="L51" i="112"/>
  <c r="S56" i="132"/>
  <c r="K51" i="112"/>
  <c r="R56" i="132"/>
  <c r="J51" i="112"/>
  <c r="Q56" i="132"/>
  <c r="I51" i="112"/>
  <c r="P56" i="132"/>
  <c r="H51" i="112"/>
  <c r="O56" i="132"/>
  <c r="G51" i="112"/>
  <c r="N56" i="132"/>
  <c r="F51" i="112"/>
  <c r="M56" i="132"/>
  <c r="E51" i="112"/>
  <c r="L56" i="132"/>
  <c r="XFD49" i="112"/>
  <c r="E30" i="112"/>
  <c r="X28" i="112"/>
  <c r="AE33" i="132"/>
  <c r="W28" i="112"/>
  <c r="AD33" i="132"/>
  <c r="V28" i="112"/>
  <c r="AC33" i="132"/>
  <c r="U28" i="112"/>
  <c r="AB33" i="132"/>
  <c r="T28" i="112"/>
  <c r="AA33" i="132"/>
  <c r="S28" i="112"/>
  <c r="Z33" i="132"/>
  <c r="R28" i="112"/>
  <c r="Y33" i="132"/>
  <c r="Q28" i="112"/>
  <c r="X33" i="132"/>
  <c r="P28" i="112"/>
  <c r="W33" i="132"/>
  <c r="O28" i="112"/>
  <c r="V33" i="132"/>
  <c r="N28" i="112"/>
  <c r="U33" i="132"/>
  <c r="M28" i="112"/>
  <c r="T33" i="132"/>
  <c r="L28" i="112"/>
  <c r="S33" i="132"/>
  <c r="K28" i="112"/>
  <c r="R33" i="132"/>
  <c r="J28" i="112"/>
  <c r="Q33" i="132"/>
  <c r="I28" i="112"/>
  <c r="P33" i="132"/>
  <c r="H28" i="112"/>
  <c r="O33" i="132"/>
  <c r="G28" i="112"/>
  <c r="N33" i="132"/>
  <c r="F28" i="112"/>
  <c r="A23" i="112"/>
  <c r="A22" i="112"/>
  <c r="X20" i="112"/>
  <c r="AE25" i="132"/>
  <c r="W20" i="112"/>
  <c r="AD25" i="132"/>
  <c r="V20" i="112"/>
  <c r="AC25" i="132"/>
  <c r="U20" i="112"/>
  <c r="AB25" i="132"/>
  <c r="T20" i="112"/>
  <c r="AA25" i="132"/>
  <c r="S20" i="112"/>
  <c r="Z25" i="132"/>
  <c r="R20" i="112"/>
  <c r="Y25" i="132"/>
  <c r="Q20" i="112"/>
  <c r="X25" i="132"/>
  <c r="P20" i="112"/>
  <c r="W25" i="132"/>
  <c r="O20" i="112"/>
  <c r="V25" i="132"/>
  <c r="N20" i="112"/>
  <c r="U25" i="132"/>
  <c r="M20" i="112"/>
  <c r="T25" i="132"/>
  <c r="L20" i="112"/>
  <c r="S25" i="132"/>
  <c r="K20" i="112"/>
  <c r="R25" i="132"/>
  <c r="J20" i="112"/>
  <c r="Q25" i="132"/>
  <c r="I20" i="112"/>
  <c r="P25" i="132"/>
  <c r="H20" i="112"/>
  <c r="O25" i="132"/>
  <c r="G20" i="112"/>
  <c r="N25" i="132"/>
  <c r="F20" i="112"/>
  <c r="M25" i="132"/>
  <c r="E20" i="112"/>
  <c r="D20" i="112"/>
  <c r="K25" i="132"/>
  <c r="A20" i="112"/>
  <c r="X19" i="112"/>
  <c r="AE24" i="132"/>
  <c r="W19" i="112"/>
  <c r="AD24" i="132"/>
  <c r="V19" i="112"/>
  <c r="AC24" i="132"/>
  <c r="U19" i="112"/>
  <c r="AB24" i="132"/>
  <c r="T19" i="112"/>
  <c r="AA24" i="132"/>
  <c r="S19" i="112"/>
  <c r="Z24" i="132"/>
  <c r="R19" i="112"/>
  <c r="Y24" i="132"/>
  <c r="Q19" i="112"/>
  <c r="X24" i="132"/>
  <c r="P19" i="112"/>
  <c r="W24" i="132"/>
  <c r="O19" i="112"/>
  <c r="V24" i="132"/>
  <c r="N19" i="112"/>
  <c r="U24" i="132"/>
  <c r="M19" i="112"/>
  <c r="T24" i="132"/>
  <c r="L19" i="112"/>
  <c r="S24" i="132"/>
  <c r="K19" i="112"/>
  <c r="R24" i="132"/>
  <c r="J19" i="112"/>
  <c r="Q24" i="132"/>
  <c r="I19" i="112"/>
  <c r="P24" i="132"/>
  <c r="H19" i="112"/>
  <c r="O24" i="132"/>
  <c r="G19" i="112"/>
  <c r="F19" i="112"/>
  <c r="E19" i="112"/>
  <c r="L24" i="132"/>
  <c r="D19" i="112"/>
  <c r="K24" i="132"/>
  <c r="A19" i="112"/>
  <c r="X18" i="112"/>
  <c r="AE23" i="132"/>
  <c r="W18" i="112"/>
  <c r="AD23" i="132"/>
  <c r="V18" i="112"/>
  <c r="AC23" i="132"/>
  <c r="U18" i="112"/>
  <c r="AB23" i="132"/>
  <c r="T18" i="112"/>
  <c r="AA23" i="132"/>
  <c r="S18" i="112"/>
  <c r="Z23" i="132"/>
  <c r="R18" i="112"/>
  <c r="Y23" i="132"/>
  <c r="Q18" i="112"/>
  <c r="X23" i="132"/>
  <c r="P18" i="112"/>
  <c r="W23" i="132"/>
  <c r="O18" i="112"/>
  <c r="V23" i="132"/>
  <c r="N18" i="112"/>
  <c r="U23" i="132"/>
  <c r="M18" i="112"/>
  <c r="T23" i="132"/>
  <c r="L18" i="112"/>
  <c r="S23" i="132"/>
  <c r="K18" i="112"/>
  <c r="R23" i="132"/>
  <c r="J18" i="112"/>
  <c r="Q23" i="132"/>
  <c r="I18" i="112"/>
  <c r="P23" i="132"/>
  <c r="H18" i="112"/>
  <c r="O23" i="132"/>
  <c r="G18" i="112"/>
  <c r="F18" i="112"/>
  <c r="E18" i="112"/>
  <c r="D18" i="112"/>
  <c r="K23" i="132"/>
  <c r="A18" i="112"/>
  <c r="X15" i="112"/>
  <c r="AE20" i="132"/>
  <c r="W15" i="112"/>
  <c r="AD20" i="132"/>
  <c r="V15" i="112"/>
  <c r="AC20" i="132"/>
  <c r="U15" i="112"/>
  <c r="AB20" i="132"/>
  <c r="T15" i="112"/>
  <c r="AA20" i="132"/>
  <c r="S15" i="112"/>
  <c r="Z20" i="132"/>
  <c r="R15" i="112"/>
  <c r="Y20" i="132"/>
  <c r="Q15" i="112"/>
  <c r="X20" i="132"/>
  <c r="P15" i="112"/>
  <c r="W20" i="132"/>
  <c r="O15" i="112"/>
  <c r="V20" i="132"/>
  <c r="N15" i="112"/>
  <c r="U20" i="132"/>
  <c r="M15" i="112"/>
  <c r="T20" i="132"/>
  <c r="L15" i="112"/>
  <c r="S20" i="132"/>
  <c r="K15" i="112"/>
  <c r="R20" i="132"/>
  <c r="J15" i="112"/>
  <c r="Q20" i="132"/>
  <c r="I15" i="112"/>
  <c r="P20" i="132"/>
  <c r="H15" i="112"/>
  <c r="O20" i="132"/>
  <c r="G15" i="112"/>
  <c r="N20" i="132"/>
  <c r="F15" i="112"/>
  <c r="M20" i="132"/>
  <c r="D15" i="112"/>
  <c r="K20" i="132"/>
  <c r="X14" i="112"/>
  <c r="AE19" i="132"/>
  <c r="W14" i="112"/>
  <c r="AD19" i="132"/>
  <c r="V14" i="112"/>
  <c r="AC19" i="132"/>
  <c r="U14" i="112"/>
  <c r="AB19" i="132"/>
  <c r="T14" i="112"/>
  <c r="AA19" i="132"/>
  <c r="S14" i="112"/>
  <c r="Z19" i="132"/>
  <c r="R14" i="112"/>
  <c r="Y19" i="132"/>
  <c r="Q14" i="112"/>
  <c r="X19" i="132"/>
  <c r="P14" i="112"/>
  <c r="W19" i="132"/>
  <c r="O14" i="112"/>
  <c r="V19" i="132"/>
  <c r="N14" i="112"/>
  <c r="U19" i="132"/>
  <c r="M14" i="112"/>
  <c r="T19" i="132"/>
  <c r="L14" i="112"/>
  <c r="S19" i="132"/>
  <c r="K14" i="112"/>
  <c r="R19" i="132"/>
  <c r="J14" i="112"/>
  <c r="Q19" i="132"/>
  <c r="I14" i="112"/>
  <c r="P19" i="132"/>
  <c r="H14" i="112"/>
  <c r="O19" i="132"/>
  <c r="G14" i="112"/>
  <c r="N19" i="132"/>
  <c r="F14" i="112"/>
  <c r="M19" i="132"/>
  <c r="D14" i="112"/>
  <c r="K19" i="132"/>
  <c r="A14" i="112"/>
  <c r="X13" i="112"/>
  <c r="AE18" i="132"/>
  <c r="W13" i="112"/>
  <c r="AD18" i="132"/>
  <c r="V13" i="112"/>
  <c r="AC18" i="132"/>
  <c r="U13" i="112"/>
  <c r="AB18" i="132"/>
  <c r="T13" i="112"/>
  <c r="AA18" i="132"/>
  <c r="S13" i="112"/>
  <c r="Z18" i="132"/>
  <c r="R13" i="112"/>
  <c r="Y18" i="132"/>
  <c r="Q13" i="112"/>
  <c r="X18" i="132"/>
  <c r="P13" i="112"/>
  <c r="W18" i="132"/>
  <c r="O13" i="112"/>
  <c r="V18" i="132"/>
  <c r="N13" i="112"/>
  <c r="U18" i="132"/>
  <c r="M13" i="112"/>
  <c r="T18" i="132"/>
  <c r="L13" i="112"/>
  <c r="S18" i="132"/>
  <c r="K13" i="112"/>
  <c r="R18" i="132"/>
  <c r="J13" i="112"/>
  <c r="Q18" i="132"/>
  <c r="I13" i="112"/>
  <c r="P18" i="132"/>
  <c r="H13" i="112"/>
  <c r="O18" i="132"/>
  <c r="G13" i="112"/>
  <c r="N18" i="132"/>
  <c r="F13" i="112"/>
  <c r="M18" i="132"/>
  <c r="D13" i="112"/>
  <c r="K18" i="132"/>
  <c r="A13" i="112"/>
  <c r="X12" i="112"/>
  <c r="AE17" i="132"/>
  <c r="W12" i="112"/>
  <c r="AD17" i="132"/>
  <c r="V12" i="112"/>
  <c r="U12" i="112"/>
  <c r="T12" i="112"/>
  <c r="AA17" i="132"/>
  <c r="S12" i="112"/>
  <c r="Z17" i="132"/>
  <c r="R12" i="112"/>
  <c r="Q12" i="112"/>
  <c r="P12" i="112"/>
  <c r="W17" i="132"/>
  <c r="O12" i="112"/>
  <c r="V17" i="132"/>
  <c r="N12" i="112"/>
  <c r="M12" i="112"/>
  <c r="L12" i="112"/>
  <c r="S17" i="132"/>
  <c r="K12" i="112"/>
  <c r="R17" i="132"/>
  <c r="J12" i="112"/>
  <c r="I12" i="112"/>
  <c r="H12" i="112"/>
  <c r="O17" i="132"/>
  <c r="G12" i="112"/>
  <c r="N17" i="132"/>
  <c r="F12" i="112"/>
  <c r="F76" i="112"/>
  <c r="D12" i="112"/>
  <c r="K17" i="132"/>
  <c r="A12" i="112"/>
  <c r="B9" i="112"/>
  <c r="X7" i="112"/>
  <c r="W7" i="112"/>
  <c r="V7" i="112"/>
  <c r="U7" i="112"/>
  <c r="T7" i="112"/>
  <c r="S7" i="112"/>
  <c r="R7" i="112"/>
  <c r="Q7" i="112"/>
  <c r="P7" i="112"/>
  <c r="O7" i="112"/>
  <c r="N7" i="112"/>
  <c r="M7" i="112"/>
  <c r="L7" i="112"/>
  <c r="K7" i="112"/>
  <c r="J7" i="112"/>
  <c r="I7" i="112"/>
  <c r="H7" i="112"/>
  <c r="G7" i="112"/>
  <c r="F7" i="112"/>
  <c r="E7" i="112"/>
  <c r="D7" i="112"/>
  <c r="C4" i="112"/>
  <c r="A3" i="112"/>
  <c r="A2" i="112"/>
  <c r="A1" i="112"/>
  <c r="O61" i="131"/>
  <c r="P61" i="131"/>
  <c r="Q61" i="131"/>
  <c r="R61" i="131"/>
  <c r="S61" i="131"/>
  <c r="T61" i="131"/>
  <c r="U61" i="131"/>
  <c r="V61" i="131"/>
  <c r="W61" i="131"/>
  <c r="X61" i="131"/>
  <c r="Y61" i="131"/>
  <c r="Z61" i="131"/>
  <c r="AA61" i="131"/>
  <c r="AB61" i="131"/>
  <c r="AC61" i="131"/>
  <c r="AD61" i="131"/>
  <c r="AE61" i="131"/>
  <c r="O62" i="131"/>
  <c r="P62" i="131"/>
  <c r="Q62" i="131"/>
  <c r="R62" i="131"/>
  <c r="S62" i="131"/>
  <c r="T62" i="131"/>
  <c r="U62" i="131"/>
  <c r="V62" i="131"/>
  <c r="W62" i="131"/>
  <c r="X62" i="131"/>
  <c r="Y62" i="131"/>
  <c r="Z62" i="131"/>
  <c r="AA62" i="131"/>
  <c r="AB62" i="131"/>
  <c r="AC62" i="131"/>
  <c r="AD62" i="131"/>
  <c r="AE62" i="131"/>
  <c r="O63" i="131"/>
  <c r="P63" i="131"/>
  <c r="Q63" i="131"/>
  <c r="R63" i="131"/>
  <c r="S63" i="131"/>
  <c r="T63" i="131"/>
  <c r="U63" i="131"/>
  <c r="V63" i="131"/>
  <c r="W63" i="131"/>
  <c r="X63" i="131"/>
  <c r="Y63" i="131"/>
  <c r="Z63" i="131"/>
  <c r="AA63" i="131"/>
  <c r="AB63" i="131"/>
  <c r="AC63" i="131"/>
  <c r="AD63" i="131"/>
  <c r="AE63" i="131"/>
  <c r="N63" i="131"/>
  <c r="N62" i="131"/>
  <c r="N61" i="131"/>
  <c r="D168" i="111"/>
  <c r="X150" i="111"/>
  <c r="W150" i="111"/>
  <c r="V150" i="111"/>
  <c r="U150" i="111"/>
  <c r="T150" i="111"/>
  <c r="S150" i="111"/>
  <c r="R150" i="111"/>
  <c r="Q150" i="111"/>
  <c r="P150" i="111"/>
  <c r="O150" i="111"/>
  <c r="N150" i="111"/>
  <c r="M150" i="111"/>
  <c r="L150" i="111"/>
  <c r="K150" i="111"/>
  <c r="J150" i="111"/>
  <c r="I150" i="111"/>
  <c r="H150" i="111"/>
  <c r="G150" i="111"/>
  <c r="F150" i="111"/>
  <c r="E150" i="111"/>
  <c r="D150" i="111"/>
  <c r="D142" i="111"/>
  <c r="D136" i="111"/>
  <c r="D144" i="111"/>
  <c r="D115" i="111"/>
  <c r="X114" i="111"/>
  <c r="W114" i="111"/>
  <c r="V114" i="111"/>
  <c r="U114" i="111"/>
  <c r="T114" i="111"/>
  <c r="S114" i="111"/>
  <c r="R114" i="111"/>
  <c r="Q114" i="111"/>
  <c r="P114" i="111"/>
  <c r="O114" i="111"/>
  <c r="N114" i="111"/>
  <c r="M114" i="111"/>
  <c r="L114" i="111"/>
  <c r="K114" i="111"/>
  <c r="J114" i="111"/>
  <c r="I114" i="111"/>
  <c r="H114" i="111"/>
  <c r="G114" i="111"/>
  <c r="A103" i="111"/>
  <c r="A101" i="111"/>
  <c r="A93" i="111"/>
  <c r="A92" i="111"/>
  <c r="A90" i="111"/>
  <c r="A89" i="111"/>
  <c r="A87" i="111"/>
  <c r="A84" i="111"/>
  <c r="A83" i="111"/>
  <c r="A82" i="111"/>
  <c r="A81" i="111"/>
  <c r="A78" i="111"/>
  <c r="A77" i="111"/>
  <c r="A76" i="111"/>
  <c r="A72" i="111"/>
  <c r="X63" i="111"/>
  <c r="W63" i="111"/>
  <c r="V63" i="111"/>
  <c r="U63" i="111"/>
  <c r="T63" i="111"/>
  <c r="S63" i="111"/>
  <c r="R63" i="111"/>
  <c r="Q63" i="111"/>
  <c r="P63" i="111"/>
  <c r="O63" i="111"/>
  <c r="N63" i="111"/>
  <c r="M63" i="111"/>
  <c r="L63" i="111"/>
  <c r="K63" i="111"/>
  <c r="J63" i="111"/>
  <c r="I63" i="111"/>
  <c r="H63" i="111"/>
  <c r="G63" i="111"/>
  <c r="A55" i="111"/>
  <c r="X51" i="111"/>
  <c r="AE56" i="131"/>
  <c r="W51" i="111"/>
  <c r="AD56" i="131"/>
  <c r="V51" i="111"/>
  <c r="AC56" i="131"/>
  <c r="U51" i="111"/>
  <c r="AB56" i="131"/>
  <c r="T51" i="111"/>
  <c r="AA56" i="131"/>
  <c r="S51" i="111"/>
  <c r="Z56" i="131"/>
  <c r="R51" i="111"/>
  <c r="Y56" i="131"/>
  <c r="Q51" i="111"/>
  <c r="X56" i="131"/>
  <c r="P51" i="111"/>
  <c r="W56" i="131"/>
  <c r="O51" i="111"/>
  <c r="V56" i="131"/>
  <c r="N51" i="111"/>
  <c r="U56" i="131"/>
  <c r="M51" i="111"/>
  <c r="T56" i="131"/>
  <c r="L51" i="111"/>
  <c r="S56" i="131"/>
  <c r="K51" i="111"/>
  <c r="R56" i="131"/>
  <c r="J51" i="111"/>
  <c r="Q56" i="131"/>
  <c r="I51" i="111"/>
  <c r="P56" i="131"/>
  <c r="H51" i="111"/>
  <c r="O56" i="131"/>
  <c r="G51" i="111"/>
  <c r="N56" i="131"/>
  <c r="F51" i="111"/>
  <c r="M56" i="131"/>
  <c r="E51" i="111"/>
  <c r="L56" i="131"/>
  <c r="X49" i="111"/>
  <c r="W49" i="111"/>
  <c r="V49" i="111"/>
  <c r="U49" i="111"/>
  <c r="T49" i="111"/>
  <c r="S49" i="111"/>
  <c r="R49" i="111"/>
  <c r="Q49" i="111"/>
  <c r="P49" i="111"/>
  <c r="O49" i="111"/>
  <c r="N49" i="111"/>
  <c r="M49" i="111"/>
  <c r="L49" i="111"/>
  <c r="K49" i="111"/>
  <c r="J49" i="111"/>
  <c r="I49" i="111"/>
  <c r="H49" i="111"/>
  <c r="G49" i="111"/>
  <c r="F49" i="111"/>
  <c r="E49" i="111"/>
  <c r="XFD49" i="111"/>
  <c r="X37" i="111"/>
  <c r="W37" i="111"/>
  <c r="V37" i="111"/>
  <c r="U37" i="111"/>
  <c r="T37" i="111"/>
  <c r="S37" i="111"/>
  <c r="R37" i="111"/>
  <c r="Q37" i="111"/>
  <c r="P37" i="111"/>
  <c r="O37" i="111"/>
  <c r="N37" i="111"/>
  <c r="M37" i="111"/>
  <c r="L37" i="111"/>
  <c r="K37" i="111"/>
  <c r="J37" i="111"/>
  <c r="I37" i="111"/>
  <c r="H37" i="111"/>
  <c r="G37" i="111"/>
  <c r="F37" i="111"/>
  <c r="E37" i="111"/>
  <c r="E30" i="111"/>
  <c r="F29" i="111"/>
  <c r="G29" i="111"/>
  <c r="H29" i="111"/>
  <c r="I29" i="111"/>
  <c r="A23" i="111"/>
  <c r="A22" i="111"/>
  <c r="X20" i="111"/>
  <c r="AE25" i="131"/>
  <c r="W20" i="111"/>
  <c r="AD25" i="131"/>
  <c r="V20" i="111"/>
  <c r="AC25" i="131"/>
  <c r="U20" i="111"/>
  <c r="AB25" i="131"/>
  <c r="T20" i="111"/>
  <c r="AA25" i="131"/>
  <c r="S20" i="111"/>
  <c r="Z25" i="131"/>
  <c r="R20" i="111"/>
  <c r="Y25" i="131"/>
  <c r="Q20" i="111"/>
  <c r="X25" i="131"/>
  <c r="P20" i="111"/>
  <c r="W25" i="131"/>
  <c r="O20" i="111"/>
  <c r="V25" i="131"/>
  <c r="N20" i="111"/>
  <c r="U25" i="131"/>
  <c r="M20" i="111"/>
  <c r="T25" i="131"/>
  <c r="L20" i="111"/>
  <c r="S25" i="131"/>
  <c r="K20" i="111"/>
  <c r="R25" i="131"/>
  <c r="J20" i="111"/>
  <c r="Q25" i="131"/>
  <c r="I20" i="111"/>
  <c r="P25" i="131"/>
  <c r="H20" i="111"/>
  <c r="O25" i="131"/>
  <c r="G20" i="111"/>
  <c r="N25" i="131"/>
  <c r="F20" i="111"/>
  <c r="M25" i="131"/>
  <c r="E20" i="111"/>
  <c r="D20" i="111"/>
  <c r="K25" i="131"/>
  <c r="A20" i="111"/>
  <c r="X19" i="111"/>
  <c r="AE24" i="131"/>
  <c r="W19" i="111"/>
  <c r="AD24" i="131"/>
  <c r="V19" i="111"/>
  <c r="AC24" i="131"/>
  <c r="U19" i="111"/>
  <c r="AB24" i="131"/>
  <c r="T19" i="111"/>
  <c r="AA24" i="131"/>
  <c r="S19" i="111"/>
  <c r="Z24" i="131"/>
  <c r="R19" i="111"/>
  <c r="Y24" i="131"/>
  <c r="Q19" i="111"/>
  <c r="X24" i="131"/>
  <c r="P19" i="111"/>
  <c r="W24" i="131"/>
  <c r="O19" i="111"/>
  <c r="V24" i="131"/>
  <c r="N19" i="111"/>
  <c r="U24" i="131"/>
  <c r="M19" i="111"/>
  <c r="T24" i="131"/>
  <c r="L19" i="111"/>
  <c r="S24" i="131"/>
  <c r="K19" i="111"/>
  <c r="R24" i="131"/>
  <c r="J19" i="111"/>
  <c r="Q24" i="131"/>
  <c r="I19" i="111"/>
  <c r="P24" i="131"/>
  <c r="H19" i="111"/>
  <c r="O24" i="131"/>
  <c r="G19" i="111"/>
  <c r="N24" i="131"/>
  <c r="F19" i="111"/>
  <c r="M24" i="131"/>
  <c r="E19" i="111"/>
  <c r="L24" i="131"/>
  <c r="D19" i="111"/>
  <c r="K24" i="131"/>
  <c r="A19" i="111"/>
  <c r="X18" i="111"/>
  <c r="AE23" i="131"/>
  <c r="W18" i="111"/>
  <c r="AD23" i="131"/>
  <c r="V18" i="111"/>
  <c r="AC23" i="131"/>
  <c r="U18" i="111"/>
  <c r="AB23" i="131"/>
  <c r="T18" i="111"/>
  <c r="AA23" i="131"/>
  <c r="S18" i="111"/>
  <c r="Z23" i="131"/>
  <c r="R18" i="111"/>
  <c r="Y23" i="131"/>
  <c r="Q18" i="111"/>
  <c r="X23" i="131"/>
  <c r="P18" i="111"/>
  <c r="W23" i="131"/>
  <c r="O18" i="111"/>
  <c r="V23" i="131"/>
  <c r="N18" i="111"/>
  <c r="U23" i="131"/>
  <c r="M18" i="111"/>
  <c r="T23" i="131"/>
  <c r="L18" i="111"/>
  <c r="S23" i="131"/>
  <c r="K18" i="111"/>
  <c r="R23" i="131"/>
  <c r="J18" i="111"/>
  <c r="Q23" i="131"/>
  <c r="I18" i="111"/>
  <c r="H18" i="111"/>
  <c r="O23" i="131"/>
  <c r="G18" i="111"/>
  <c r="N23" i="131"/>
  <c r="F18" i="111"/>
  <c r="M23" i="131"/>
  <c r="E18" i="111"/>
  <c r="D18" i="111"/>
  <c r="K23" i="131"/>
  <c r="A18" i="111"/>
  <c r="X15" i="111"/>
  <c r="AE20" i="131"/>
  <c r="W15" i="111"/>
  <c r="AD20" i="131"/>
  <c r="V15" i="111"/>
  <c r="AC20" i="131"/>
  <c r="U15" i="111"/>
  <c r="AB20" i="131"/>
  <c r="T15" i="111"/>
  <c r="AA20" i="131"/>
  <c r="S15" i="111"/>
  <c r="Z20" i="131"/>
  <c r="R15" i="111"/>
  <c r="Y20" i="131"/>
  <c r="Q15" i="111"/>
  <c r="X20" i="131"/>
  <c r="P15" i="111"/>
  <c r="W20" i="131"/>
  <c r="O15" i="111"/>
  <c r="V20" i="131"/>
  <c r="N15" i="111"/>
  <c r="U20" i="131"/>
  <c r="M15" i="111"/>
  <c r="T20" i="131"/>
  <c r="L15" i="111"/>
  <c r="S20" i="131"/>
  <c r="K15" i="111"/>
  <c r="R20" i="131"/>
  <c r="J15" i="111"/>
  <c r="Q20" i="131"/>
  <c r="I15" i="111"/>
  <c r="P20" i="131"/>
  <c r="H15" i="111"/>
  <c r="O20" i="131"/>
  <c r="G15" i="111"/>
  <c r="N20" i="131"/>
  <c r="F15" i="111"/>
  <c r="M20" i="131"/>
  <c r="D15" i="111"/>
  <c r="K20" i="131"/>
  <c r="D14" i="111"/>
  <c r="K19" i="131"/>
  <c r="A14" i="111"/>
  <c r="D13" i="111"/>
  <c r="K18" i="131"/>
  <c r="A13" i="111"/>
  <c r="D12" i="111"/>
  <c r="K17" i="131"/>
  <c r="A12" i="111"/>
  <c r="B9" i="111"/>
  <c r="X7" i="111"/>
  <c r="W7" i="111"/>
  <c r="V7" i="111"/>
  <c r="U7" i="111"/>
  <c r="T7" i="111"/>
  <c r="S7" i="111"/>
  <c r="R7" i="111"/>
  <c r="Q7" i="111"/>
  <c r="P7" i="111"/>
  <c r="O7" i="111"/>
  <c r="N7" i="111"/>
  <c r="M7" i="111"/>
  <c r="L7" i="111"/>
  <c r="K7" i="111"/>
  <c r="J7" i="111"/>
  <c r="I7" i="111"/>
  <c r="H7" i="111"/>
  <c r="G7" i="111"/>
  <c r="F7" i="111"/>
  <c r="E7" i="111"/>
  <c r="D7" i="111"/>
  <c r="C4" i="111"/>
  <c r="A3" i="111"/>
  <c r="A2" i="111"/>
  <c r="A1" i="111"/>
  <c r="O61" i="130"/>
  <c r="P61" i="130"/>
  <c r="Q61" i="130"/>
  <c r="R61" i="130"/>
  <c r="S61" i="130"/>
  <c r="T61" i="130"/>
  <c r="U61" i="130"/>
  <c r="V61" i="130"/>
  <c r="W61" i="130"/>
  <c r="X61" i="130"/>
  <c r="Y61" i="130"/>
  <c r="Z61" i="130"/>
  <c r="AA61" i="130"/>
  <c r="AB61" i="130"/>
  <c r="AC61" i="130"/>
  <c r="AD61" i="130"/>
  <c r="AE61" i="130"/>
  <c r="O62" i="130"/>
  <c r="P62" i="130"/>
  <c r="Q62" i="130"/>
  <c r="R62" i="130"/>
  <c r="S62" i="130"/>
  <c r="T62" i="130"/>
  <c r="U62" i="130"/>
  <c r="V62" i="130"/>
  <c r="W62" i="130"/>
  <c r="X62" i="130"/>
  <c r="Y62" i="130"/>
  <c r="Z62" i="130"/>
  <c r="AA62" i="130"/>
  <c r="AB62" i="130"/>
  <c r="AC62" i="130"/>
  <c r="AD62" i="130"/>
  <c r="AE62" i="130"/>
  <c r="O63" i="130"/>
  <c r="P63" i="130"/>
  <c r="Q63" i="130"/>
  <c r="R63" i="130"/>
  <c r="S63" i="130"/>
  <c r="T63" i="130"/>
  <c r="U63" i="130"/>
  <c r="V63" i="130"/>
  <c r="W63" i="130"/>
  <c r="X63" i="130"/>
  <c r="Y63" i="130"/>
  <c r="Z63" i="130"/>
  <c r="AA63" i="130"/>
  <c r="AB63" i="130"/>
  <c r="AC63" i="130"/>
  <c r="AD63" i="130"/>
  <c r="AE63" i="130"/>
  <c r="N63" i="130"/>
  <c r="N62" i="130"/>
  <c r="N61" i="130"/>
  <c r="D168" i="110"/>
  <c r="X150" i="110"/>
  <c r="W150" i="110"/>
  <c r="V150" i="110"/>
  <c r="U150" i="110"/>
  <c r="T150" i="110"/>
  <c r="S150" i="110"/>
  <c r="R150" i="110"/>
  <c r="Q150" i="110"/>
  <c r="P150" i="110"/>
  <c r="O150" i="110"/>
  <c r="N150" i="110"/>
  <c r="M150" i="110"/>
  <c r="L150" i="110"/>
  <c r="K150" i="110"/>
  <c r="J150" i="110"/>
  <c r="I150" i="110"/>
  <c r="H150" i="110"/>
  <c r="G150" i="110"/>
  <c r="F150" i="110"/>
  <c r="E150" i="110"/>
  <c r="D150" i="110"/>
  <c r="D142" i="110"/>
  <c r="D136" i="110"/>
  <c r="D144" i="110"/>
  <c r="D115" i="110"/>
  <c r="X114" i="110"/>
  <c r="W114" i="110"/>
  <c r="V114" i="110"/>
  <c r="U114" i="110"/>
  <c r="T114" i="110"/>
  <c r="S114" i="110"/>
  <c r="R114" i="110"/>
  <c r="Q114" i="110"/>
  <c r="P114" i="110"/>
  <c r="O114" i="110"/>
  <c r="N114" i="110"/>
  <c r="M114" i="110"/>
  <c r="L114" i="110"/>
  <c r="K114" i="110"/>
  <c r="J114" i="110"/>
  <c r="I114" i="110"/>
  <c r="H114" i="110"/>
  <c r="G114" i="110"/>
  <c r="A103" i="110"/>
  <c r="A101" i="110"/>
  <c r="A93" i="110"/>
  <c r="A92" i="110"/>
  <c r="A90" i="110"/>
  <c r="A89" i="110"/>
  <c r="A87" i="110"/>
  <c r="A84" i="110"/>
  <c r="A83" i="110"/>
  <c r="A82" i="110"/>
  <c r="A81" i="110"/>
  <c r="A78" i="110"/>
  <c r="A77" i="110"/>
  <c r="A76" i="110"/>
  <c r="A72" i="110"/>
  <c r="X63" i="110"/>
  <c r="W63" i="110"/>
  <c r="V63" i="110"/>
  <c r="U63" i="110"/>
  <c r="T63" i="110"/>
  <c r="S63" i="110"/>
  <c r="R63" i="110"/>
  <c r="Q63" i="110"/>
  <c r="P63" i="110"/>
  <c r="O63" i="110"/>
  <c r="N63" i="110"/>
  <c r="M63" i="110"/>
  <c r="L63" i="110"/>
  <c r="K63" i="110"/>
  <c r="J63" i="110"/>
  <c r="I63" i="110"/>
  <c r="H63" i="110"/>
  <c r="G63" i="110"/>
  <c r="A55" i="110"/>
  <c r="X51" i="110"/>
  <c r="AE56" i="130"/>
  <c r="W51" i="110"/>
  <c r="AD56" i="130"/>
  <c r="V51" i="110"/>
  <c r="AC56" i="130"/>
  <c r="U51" i="110"/>
  <c r="AB56" i="130"/>
  <c r="T51" i="110"/>
  <c r="AA56" i="130"/>
  <c r="S51" i="110"/>
  <c r="Z56" i="130"/>
  <c r="R51" i="110"/>
  <c r="Y56" i="130"/>
  <c r="Q51" i="110"/>
  <c r="X56" i="130"/>
  <c r="P51" i="110"/>
  <c r="W56" i="130"/>
  <c r="O51" i="110"/>
  <c r="V56" i="130"/>
  <c r="N51" i="110"/>
  <c r="U56" i="130"/>
  <c r="M51" i="110"/>
  <c r="T56" i="130"/>
  <c r="L51" i="110"/>
  <c r="S56" i="130"/>
  <c r="K51" i="110"/>
  <c r="R56" i="130"/>
  <c r="J51" i="110"/>
  <c r="Q56" i="130"/>
  <c r="I51" i="110"/>
  <c r="P56" i="130"/>
  <c r="H51" i="110"/>
  <c r="O56" i="130"/>
  <c r="G51" i="110"/>
  <c r="N56" i="130"/>
  <c r="F51" i="110"/>
  <c r="M56" i="130"/>
  <c r="E51" i="110"/>
  <c r="L56" i="130"/>
  <c r="X49" i="110"/>
  <c r="W49" i="110"/>
  <c r="V49" i="110"/>
  <c r="U49" i="110"/>
  <c r="T49" i="110"/>
  <c r="S49" i="110"/>
  <c r="R49" i="110"/>
  <c r="Q49" i="110"/>
  <c r="P49" i="110"/>
  <c r="O49" i="110"/>
  <c r="N49" i="110"/>
  <c r="M49" i="110"/>
  <c r="L49" i="110"/>
  <c r="K49" i="110"/>
  <c r="J49" i="110"/>
  <c r="I49" i="110"/>
  <c r="H49" i="110"/>
  <c r="G49" i="110"/>
  <c r="F49" i="110"/>
  <c r="E49" i="110"/>
  <c r="XFD49" i="110"/>
  <c r="X37" i="110"/>
  <c r="W37" i="110"/>
  <c r="V37" i="110"/>
  <c r="U37" i="110"/>
  <c r="T37" i="110"/>
  <c r="S37" i="110"/>
  <c r="R37" i="110"/>
  <c r="Q37" i="110"/>
  <c r="P37" i="110"/>
  <c r="O37" i="110"/>
  <c r="N37" i="110"/>
  <c r="M37" i="110"/>
  <c r="L37" i="110"/>
  <c r="K37" i="110"/>
  <c r="J37" i="110"/>
  <c r="I37" i="110"/>
  <c r="H37" i="110"/>
  <c r="G37" i="110"/>
  <c r="F37" i="110"/>
  <c r="E37" i="110"/>
  <c r="E30" i="110"/>
  <c r="F29" i="110"/>
  <c r="A23" i="110"/>
  <c r="A22" i="110"/>
  <c r="X20" i="110"/>
  <c r="AE25" i="130"/>
  <c r="W20" i="110"/>
  <c r="AD25" i="130"/>
  <c r="V20" i="110"/>
  <c r="AC25" i="130"/>
  <c r="U20" i="110"/>
  <c r="AB25" i="130"/>
  <c r="T20" i="110"/>
  <c r="AA25" i="130"/>
  <c r="S20" i="110"/>
  <c r="Z25" i="130"/>
  <c r="R20" i="110"/>
  <c r="Y25" i="130"/>
  <c r="Q20" i="110"/>
  <c r="X25" i="130"/>
  <c r="P20" i="110"/>
  <c r="W25" i="130"/>
  <c r="O20" i="110"/>
  <c r="V25" i="130"/>
  <c r="N20" i="110"/>
  <c r="U25" i="130"/>
  <c r="M20" i="110"/>
  <c r="T25" i="130"/>
  <c r="L20" i="110"/>
  <c r="S25" i="130"/>
  <c r="K20" i="110"/>
  <c r="R25" i="130"/>
  <c r="J20" i="110"/>
  <c r="Q25" i="130"/>
  <c r="I20" i="110"/>
  <c r="P25" i="130"/>
  <c r="H20" i="110"/>
  <c r="O25" i="130"/>
  <c r="G20" i="110"/>
  <c r="N25" i="130"/>
  <c r="F20" i="110"/>
  <c r="M25" i="130"/>
  <c r="E20" i="110"/>
  <c r="L25" i="130"/>
  <c r="D20" i="110"/>
  <c r="K25" i="130"/>
  <c r="A20" i="110"/>
  <c r="X19" i="110"/>
  <c r="AE24" i="130"/>
  <c r="W19" i="110"/>
  <c r="AD24" i="130"/>
  <c r="V19" i="110"/>
  <c r="AC24" i="130"/>
  <c r="U19" i="110"/>
  <c r="AB24" i="130"/>
  <c r="T19" i="110"/>
  <c r="AA24" i="130"/>
  <c r="S19" i="110"/>
  <c r="Z24" i="130"/>
  <c r="R19" i="110"/>
  <c r="Y24" i="130"/>
  <c r="Q19" i="110"/>
  <c r="X24" i="130"/>
  <c r="P19" i="110"/>
  <c r="W24" i="130"/>
  <c r="O19" i="110"/>
  <c r="V24" i="130"/>
  <c r="N19" i="110"/>
  <c r="U24" i="130"/>
  <c r="M19" i="110"/>
  <c r="T24" i="130"/>
  <c r="L19" i="110"/>
  <c r="S24" i="130"/>
  <c r="K19" i="110"/>
  <c r="R24" i="130"/>
  <c r="J19" i="110"/>
  <c r="Q24" i="130"/>
  <c r="I19" i="110"/>
  <c r="P24" i="130"/>
  <c r="H19" i="110"/>
  <c r="O24" i="130"/>
  <c r="G19" i="110"/>
  <c r="N24" i="130"/>
  <c r="F19" i="110"/>
  <c r="E19" i="110"/>
  <c r="D19" i="110"/>
  <c r="K24" i="130"/>
  <c r="A19" i="110"/>
  <c r="X18" i="110"/>
  <c r="AE23" i="130"/>
  <c r="W18" i="110"/>
  <c r="AD23" i="130"/>
  <c r="V18" i="110"/>
  <c r="AC23" i="130"/>
  <c r="U18" i="110"/>
  <c r="AB23" i="130"/>
  <c r="T18" i="110"/>
  <c r="AA23" i="130"/>
  <c r="S18" i="110"/>
  <c r="Z23" i="130"/>
  <c r="R18" i="110"/>
  <c r="Y23" i="130"/>
  <c r="Q18" i="110"/>
  <c r="X23" i="130"/>
  <c r="P18" i="110"/>
  <c r="W23" i="130"/>
  <c r="O18" i="110"/>
  <c r="V23" i="130"/>
  <c r="N18" i="110"/>
  <c r="U23" i="130"/>
  <c r="M18" i="110"/>
  <c r="T23" i="130"/>
  <c r="L18" i="110"/>
  <c r="S23" i="130"/>
  <c r="K18" i="110"/>
  <c r="R23" i="130"/>
  <c r="J18" i="110"/>
  <c r="Q23" i="130"/>
  <c r="I18" i="110"/>
  <c r="P23" i="130"/>
  <c r="H18" i="110"/>
  <c r="O23" i="130"/>
  <c r="G18" i="110"/>
  <c r="N23" i="130"/>
  <c r="F18" i="110"/>
  <c r="E18" i="110"/>
  <c r="D18" i="110"/>
  <c r="K23" i="130"/>
  <c r="A18" i="110"/>
  <c r="X15" i="110"/>
  <c r="AE20" i="130"/>
  <c r="W15" i="110"/>
  <c r="AD20" i="130"/>
  <c r="V15" i="110"/>
  <c r="AC20" i="130"/>
  <c r="U15" i="110"/>
  <c r="AB20" i="130"/>
  <c r="T15" i="110"/>
  <c r="AA20" i="130"/>
  <c r="S15" i="110"/>
  <c r="Z20" i="130"/>
  <c r="R15" i="110"/>
  <c r="Y20" i="130"/>
  <c r="Q15" i="110"/>
  <c r="X20" i="130"/>
  <c r="P15" i="110"/>
  <c r="W20" i="130"/>
  <c r="O15" i="110"/>
  <c r="V20" i="130"/>
  <c r="N15" i="110"/>
  <c r="U20" i="130"/>
  <c r="M15" i="110"/>
  <c r="T20" i="130"/>
  <c r="L15" i="110"/>
  <c r="S20" i="130"/>
  <c r="K15" i="110"/>
  <c r="R20" i="130"/>
  <c r="J15" i="110"/>
  <c r="Q20" i="130"/>
  <c r="I15" i="110"/>
  <c r="P20" i="130"/>
  <c r="H15" i="110"/>
  <c r="O20" i="130"/>
  <c r="G15" i="110"/>
  <c r="N20" i="130"/>
  <c r="F15" i="110"/>
  <c r="M20" i="130"/>
  <c r="D15" i="110"/>
  <c r="K20" i="130"/>
  <c r="D14" i="110"/>
  <c r="K19" i="130"/>
  <c r="A14" i="110"/>
  <c r="D13" i="110"/>
  <c r="K18" i="130"/>
  <c r="A13" i="110"/>
  <c r="D12" i="110"/>
  <c r="K17" i="130"/>
  <c r="A12" i="110"/>
  <c r="B9" i="110"/>
  <c r="X7" i="110"/>
  <c r="W7" i="110"/>
  <c r="V7" i="110"/>
  <c r="U7" i="110"/>
  <c r="T7" i="110"/>
  <c r="S7" i="110"/>
  <c r="R7" i="110"/>
  <c r="Q7" i="110"/>
  <c r="P7" i="110"/>
  <c r="O7" i="110"/>
  <c r="N7" i="110"/>
  <c r="M7" i="110"/>
  <c r="L7" i="110"/>
  <c r="K7" i="110"/>
  <c r="J7" i="110"/>
  <c r="I7" i="110"/>
  <c r="H7" i="110"/>
  <c r="G7" i="110"/>
  <c r="F7" i="110"/>
  <c r="E7" i="110"/>
  <c r="D7" i="110"/>
  <c r="C4" i="110"/>
  <c r="A3" i="110"/>
  <c r="A2" i="110"/>
  <c r="A1" i="110"/>
  <c r="O61" i="128"/>
  <c r="P61" i="128"/>
  <c r="Q61" i="128"/>
  <c r="R61" i="128"/>
  <c r="S61" i="128"/>
  <c r="T61" i="128"/>
  <c r="U61" i="128"/>
  <c r="V61" i="128"/>
  <c r="W61" i="128"/>
  <c r="X61" i="128"/>
  <c r="Y61" i="128"/>
  <c r="Z61" i="128"/>
  <c r="AA61" i="128"/>
  <c r="AB61" i="128"/>
  <c r="AC61" i="128"/>
  <c r="AD61" i="128"/>
  <c r="AE61" i="128"/>
  <c r="O62" i="128"/>
  <c r="P62" i="128"/>
  <c r="Q62" i="128"/>
  <c r="R62" i="128"/>
  <c r="S62" i="128"/>
  <c r="T62" i="128"/>
  <c r="U62" i="128"/>
  <c r="V62" i="128"/>
  <c r="W62" i="128"/>
  <c r="X62" i="128"/>
  <c r="Y62" i="128"/>
  <c r="Z62" i="128"/>
  <c r="AA62" i="128"/>
  <c r="AB62" i="128"/>
  <c r="AC62" i="128"/>
  <c r="AD62" i="128"/>
  <c r="AE62" i="128"/>
  <c r="O63" i="128"/>
  <c r="P63" i="128"/>
  <c r="Q63" i="128"/>
  <c r="R63" i="128"/>
  <c r="S63" i="128"/>
  <c r="T63" i="128"/>
  <c r="U63" i="128"/>
  <c r="V63" i="128"/>
  <c r="W63" i="128"/>
  <c r="X63" i="128"/>
  <c r="Y63" i="128"/>
  <c r="Z63" i="128"/>
  <c r="AA63" i="128"/>
  <c r="AB63" i="128"/>
  <c r="AC63" i="128"/>
  <c r="AD63" i="128"/>
  <c r="AE63" i="128"/>
  <c r="N62" i="128"/>
  <c r="N63" i="128"/>
  <c r="N61" i="128"/>
  <c r="D168" i="109"/>
  <c r="X150" i="109"/>
  <c r="W150" i="109"/>
  <c r="V150" i="109"/>
  <c r="U150" i="109"/>
  <c r="T150" i="109"/>
  <c r="S150" i="109"/>
  <c r="R150" i="109"/>
  <c r="Q150" i="109"/>
  <c r="P150" i="109"/>
  <c r="O150" i="109"/>
  <c r="N150" i="109"/>
  <c r="M150" i="109"/>
  <c r="L150" i="109"/>
  <c r="K150" i="109"/>
  <c r="J150" i="109"/>
  <c r="I150" i="109"/>
  <c r="H150" i="109"/>
  <c r="G150" i="109"/>
  <c r="F150" i="109"/>
  <c r="E150" i="109"/>
  <c r="D150" i="109"/>
  <c r="D142" i="109"/>
  <c r="D136" i="109"/>
  <c r="D144" i="109"/>
  <c r="D152" i="109"/>
  <c r="D115" i="109"/>
  <c r="X114" i="109"/>
  <c r="W114" i="109"/>
  <c r="V114" i="109"/>
  <c r="U114" i="109"/>
  <c r="T114" i="109"/>
  <c r="S114" i="109"/>
  <c r="R114" i="109"/>
  <c r="Q114" i="109"/>
  <c r="P114" i="109"/>
  <c r="O114" i="109"/>
  <c r="N114" i="109"/>
  <c r="M114" i="109"/>
  <c r="L114" i="109"/>
  <c r="K114" i="109"/>
  <c r="J114" i="109"/>
  <c r="I114" i="109"/>
  <c r="H114" i="109"/>
  <c r="G114" i="109"/>
  <c r="A103" i="109"/>
  <c r="A101" i="109"/>
  <c r="A93" i="109"/>
  <c r="A92" i="109"/>
  <c r="A90" i="109"/>
  <c r="A89" i="109"/>
  <c r="A87" i="109"/>
  <c r="A84" i="109"/>
  <c r="A83" i="109"/>
  <c r="A82" i="109"/>
  <c r="A81" i="109"/>
  <c r="A78" i="109"/>
  <c r="A77" i="109"/>
  <c r="A76" i="109"/>
  <c r="A72" i="109"/>
  <c r="X63" i="109"/>
  <c r="W63" i="109"/>
  <c r="V63" i="109"/>
  <c r="U63" i="109"/>
  <c r="T63" i="109"/>
  <c r="S63" i="109"/>
  <c r="R63" i="109"/>
  <c r="Q63" i="109"/>
  <c r="P63" i="109"/>
  <c r="O63" i="109"/>
  <c r="N63" i="109"/>
  <c r="M63" i="109"/>
  <c r="L63" i="109"/>
  <c r="K63" i="109"/>
  <c r="J63" i="109"/>
  <c r="I63" i="109"/>
  <c r="H63" i="109"/>
  <c r="G63" i="109"/>
  <c r="A55" i="109"/>
  <c r="X51" i="109"/>
  <c r="AE56" i="128"/>
  <c r="W51" i="109"/>
  <c r="AD56" i="128"/>
  <c r="V51" i="109"/>
  <c r="AC56" i="128"/>
  <c r="U51" i="109"/>
  <c r="AB56" i="128"/>
  <c r="T51" i="109"/>
  <c r="AA56" i="128"/>
  <c r="S51" i="109"/>
  <c r="Z56" i="128"/>
  <c r="R51" i="109"/>
  <c r="Y56" i="128"/>
  <c r="Q51" i="109"/>
  <c r="X56" i="128"/>
  <c r="P51" i="109"/>
  <c r="W56" i="128"/>
  <c r="O51" i="109"/>
  <c r="V56" i="128"/>
  <c r="N51" i="109"/>
  <c r="U56" i="128"/>
  <c r="M51" i="109"/>
  <c r="T56" i="128"/>
  <c r="L51" i="109"/>
  <c r="S56" i="128"/>
  <c r="K51" i="109"/>
  <c r="R56" i="128"/>
  <c r="J51" i="109"/>
  <c r="Q56" i="128"/>
  <c r="I51" i="109"/>
  <c r="P56" i="128"/>
  <c r="H51" i="109"/>
  <c r="O56" i="128"/>
  <c r="G51" i="109"/>
  <c r="N56" i="128"/>
  <c r="F51" i="109"/>
  <c r="M56" i="128"/>
  <c r="E51" i="109"/>
  <c r="L56" i="128"/>
  <c r="X49" i="109"/>
  <c r="W49" i="109"/>
  <c r="V49" i="109"/>
  <c r="U49" i="109"/>
  <c r="T49" i="109"/>
  <c r="S49" i="109"/>
  <c r="R49" i="109"/>
  <c r="Q49" i="109"/>
  <c r="P49" i="109"/>
  <c r="O49" i="109"/>
  <c r="N49" i="109"/>
  <c r="M49" i="109"/>
  <c r="L49" i="109"/>
  <c r="K49" i="109"/>
  <c r="J49" i="109"/>
  <c r="I49" i="109"/>
  <c r="H49" i="109"/>
  <c r="G49" i="109"/>
  <c r="F49" i="109"/>
  <c r="E49" i="109"/>
  <c r="XFD49" i="109"/>
  <c r="X37" i="109"/>
  <c r="W37" i="109"/>
  <c r="V37" i="109"/>
  <c r="U37" i="109"/>
  <c r="T37" i="109"/>
  <c r="S37" i="109"/>
  <c r="R37" i="109"/>
  <c r="Q37" i="109"/>
  <c r="P37" i="109"/>
  <c r="O37" i="109"/>
  <c r="N37" i="109"/>
  <c r="M37" i="109"/>
  <c r="L37" i="109"/>
  <c r="K37" i="109"/>
  <c r="J37" i="109"/>
  <c r="I37" i="109"/>
  <c r="H37" i="109"/>
  <c r="G37" i="109"/>
  <c r="F37" i="109"/>
  <c r="E37" i="109"/>
  <c r="E30" i="109"/>
  <c r="G29" i="109"/>
  <c r="H29" i="109"/>
  <c r="I29" i="109"/>
  <c r="F29" i="109"/>
  <c r="A23" i="109"/>
  <c r="A22" i="109"/>
  <c r="X20" i="109"/>
  <c r="AE25" i="128"/>
  <c r="W20" i="109"/>
  <c r="AD25" i="128"/>
  <c r="V20" i="109"/>
  <c r="AC25" i="128"/>
  <c r="U20" i="109"/>
  <c r="AB25" i="128"/>
  <c r="T20" i="109"/>
  <c r="AA25" i="128"/>
  <c r="S20" i="109"/>
  <c r="Z25" i="128"/>
  <c r="R20" i="109"/>
  <c r="Y25" i="128"/>
  <c r="Q20" i="109"/>
  <c r="X25" i="128"/>
  <c r="P20" i="109"/>
  <c r="W25" i="128"/>
  <c r="O20" i="109"/>
  <c r="V25" i="128"/>
  <c r="N20" i="109"/>
  <c r="U25" i="128"/>
  <c r="M20" i="109"/>
  <c r="T25" i="128"/>
  <c r="L20" i="109"/>
  <c r="S25" i="128"/>
  <c r="K20" i="109"/>
  <c r="R25" i="128"/>
  <c r="J20" i="109"/>
  <c r="Q25" i="128"/>
  <c r="I20" i="109"/>
  <c r="P25" i="128"/>
  <c r="H20" i="109"/>
  <c r="O25" i="128"/>
  <c r="G20" i="109"/>
  <c r="N25" i="128"/>
  <c r="F20" i="109"/>
  <c r="M25" i="128"/>
  <c r="E20" i="109"/>
  <c r="L25" i="128"/>
  <c r="D20" i="109"/>
  <c r="K25" i="128"/>
  <c r="A20" i="109"/>
  <c r="X19" i="109"/>
  <c r="AE24" i="128"/>
  <c r="W19" i="109"/>
  <c r="AD24" i="128"/>
  <c r="V19" i="109"/>
  <c r="AC24" i="128"/>
  <c r="U19" i="109"/>
  <c r="AB24" i="128"/>
  <c r="T19" i="109"/>
  <c r="AA24" i="128"/>
  <c r="S19" i="109"/>
  <c r="Z24" i="128"/>
  <c r="R19" i="109"/>
  <c r="Y24" i="128"/>
  <c r="Q19" i="109"/>
  <c r="X24" i="128"/>
  <c r="P19" i="109"/>
  <c r="W24" i="128"/>
  <c r="O19" i="109"/>
  <c r="V24" i="128"/>
  <c r="N19" i="109"/>
  <c r="U24" i="128"/>
  <c r="M19" i="109"/>
  <c r="T24" i="128"/>
  <c r="L19" i="109"/>
  <c r="S24" i="128"/>
  <c r="K19" i="109"/>
  <c r="R24" i="128"/>
  <c r="J19" i="109"/>
  <c r="Q24" i="128"/>
  <c r="I19" i="109"/>
  <c r="H19" i="109"/>
  <c r="O24" i="128"/>
  <c r="G19" i="109"/>
  <c r="F19" i="109"/>
  <c r="E19" i="109"/>
  <c r="D19" i="109"/>
  <c r="K24" i="128"/>
  <c r="A19" i="109"/>
  <c r="X18" i="109"/>
  <c r="AE23" i="128"/>
  <c r="W18" i="109"/>
  <c r="AD23" i="128"/>
  <c r="V18" i="109"/>
  <c r="AC23" i="128"/>
  <c r="U18" i="109"/>
  <c r="AB23" i="128"/>
  <c r="T18" i="109"/>
  <c r="AA23" i="128"/>
  <c r="S18" i="109"/>
  <c r="Z23" i="128"/>
  <c r="R18" i="109"/>
  <c r="Y23" i="128"/>
  <c r="Q18" i="109"/>
  <c r="X23" i="128"/>
  <c r="P18" i="109"/>
  <c r="W23" i="128"/>
  <c r="O18" i="109"/>
  <c r="V23" i="128"/>
  <c r="N18" i="109"/>
  <c r="U23" i="128"/>
  <c r="M18" i="109"/>
  <c r="T23" i="128"/>
  <c r="L18" i="109"/>
  <c r="S23" i="128"/>
  <c r="K18" i="109"/>
  <c r="R23" i="128"/>
  <c r="J18" i="109"/>
  <c r="Q23" i="128"/>
  <c r="I18" i="109"/>
  <c r="P23" i="128"/>
  <c r="H18" i="109"/>
  <c r="O23" i="128"/>
  <c r="G18" i="109"/>
  <c r="F18" i="109"/>
  <c r="E18" i="109"/>
  <c r="D18" i="109"/>
  <c r="K23" i="128"/>
  <c r="A18" i="109"/>
  <c r="X15" i="109"/>
  <c r="AE20" i="128"/>
  <c r="W15" i="109"/>
  <c r="AD20" i="128"/>
  <c r="V15" i="109"/>
  <c r="AC20" i="128"/>
  <c r="U15" i="109"/>
  <c r="AB20" i="128"/>
  <c r="T15" i="109"/>
  <c r="AA20" i="128"/>
  <c r="S15" i="109"/>
  <c r="Z20" i="128"/>
  <c r="R15" i="109"/>
  <c r="Y20" i="128"/>
  <c r="Q15" i="109"/>
  <c r="X20" i="128"/>
  <c r="P15" i="109"/>
  <c r="W20" i="128"/>
  <c r="O15" i="109"/>
  <c r="V20" i="128"/>
  <c r="N15" i="109"/>
  <c r="U20" i="128"/>
  <c r="M15" i="109"/>
  <c r="T20" i="128"/>
  <c r="L15" i="109"/>
  <c r="S20" i="128"/>
  <c r="K15" i="109"/>
  <c r="R20" i="128"/>
  <c r="J15" i="109"/>
  <c r="Q20" i="128"/>
  <c r="I15" i="109"/>
  <c r="P20" i="128"/>
  <c r="H15" i="109"/>
  <c r="O20" i="128"/>
  <c r="G15" i="109"/>
  <c r="N20" i="128"/>
  <c r="F15" i="109"/>
  <c r="M20" i="128"/>
  <c r="D15" i="109"/>
  <c r="K20" i="128"/>
  <c r="D14" i="109"/>
  <c r="K19" i="128"/>
  <c r="A14" i="109"/>
  <c r="D13" i="109"/>
  <c r="K18" i="128"/>
  <c r="A13" i="109"/>
  <c r="D12" i="109"/>
  <c r="K17" i="128"/>
  <c r="A12" i="109"/>
  <c r="B9" i="109"/>
  <c r="X7" i="109"/>
  <c r="W7" i="109"/>
  <c r="V7" i="109"/>
  <c r="U7" i="109"/>
  <c r="T7" i="109"/>
  <c r="S7" i="109"/>
  <c r="R7" i="109"/>
  <c r="Q7" i="109"/>
  <c r="P7" i="109"/>
  <c r="O7" i="109"/>
  <c r="N7" i="109"/>
  <c r="M7" i="109"/>
  <c r="L7" i="109"/>
  <c r="K7" i="109"/>
  <c r="J7" i="109"/>
  <c r="I7" i="109"/>
  <c r="H7" i="109"/>
  <c r="G7" i="109"/>
  <c r="F7" i="109"/>
  <c r="E7" i="109"/>
  <c r="D7" i="109"/>
  <c r="C4" i="109"/>
  <c r="A3" i="109"/>
  <c r="A2" i="109"/>
  <c r="A1" i="109"/>
  <c r="I132" i="94"/>
  <c r="J132" i="94"/>
  <c r="K132" i="94"/>
  <c r="L132" i="94"/>
  <c r="M132" i="94"/>
  <c r="N132" i="94"/>
  <c r="O132" i="94"/>
  <c r="P132" i="94"/>
  <c r="Q132" i="94"/>
  <c r="R132" i="94"/>
  <c r="S132" i="94"/>
  <c r="T132" i="94"/>
  <c r="U132" i="94"/>
  <c r="V132" i="94"/>
  <c r="I133" i="94"/>
  <c r="J133" i="94"/>
  <c r="K133" i="94"/>
  <c r="L133" i="94"/>
  <c r="M133" i="94"/>
  <c r="N133" i="94"/>
  <c r="O133" i="94"/>
  <c r="P133" i="94"/>
  <c r="Q133" i="94"/>
  <c r="R133" i="94"/>
  <c r="S133" i="94"/>
  <c r="T133" i="94"/>
  <c r="U133" i="94"/>
  <c r="V133" i="94"/>
  <c r="I134" i="94"/>
  <c r="J134" i="94"/>
  <c r="K134" i="94"/>
  <c r="L134" i="94"/>
  <c r="M134" i="94"/>
  <c r="N134" i="94"/>
  <c r="O134" i="94"/>
  <c r="P134" i="94"/>
  <c r="Q134" i="94"/>
  <c r="R134" i="94"/>
  <c r="S134" i="94"/>
  <c r="T134" i="94"/>
  <c r="U134" i="94"/>
  <c r="V134" i="94"/>
  <c r="I135" i="94"/>
  <c r="J135" i="94"/>
  <c r="K135" i="94"/>
  <c r="L135" i="94"/>
  <c r="M135" i="94"/>
  <c r="N135" i="94"/>
  <c r="O135" i="94"/>
  <c r="P135" i="94"/>
  <c r="Q135" i="94"/>
  <c r="R135" i="94"/>
  <c r="S135" i="94"/>
  <c r="T135" i="94"/>
  <c r="U135" i="94"/>
  <c r="V135" i="94"/>
  <c r="H135" i="94"/>
  <c r="H134" i="94"/>
  <c r="H133" i="94"/>
  <c r="H132" i="94"/>
  <c r="I96" i="94"/>
  <c r="J96" i="94"/>
  <c r="K96" i="94"/>
  <c r="L96" i="94"/>
  <c r="M96" i="94"/>
  <c r="N96" i="94"/>
  <c r="O96" i="94"/>
  <c r="P96" i="94"/>
  <c r="Q96" i="94"/>
  <c r="R96" i="94"/>
  <c r="S96" i="94"/>
  <c r="T96" i="94"/>
  <c r="U96" i="94"/>
  <c r="V96" i="94"/>
  <c r="I97" i="94"/>
  <c r="J97" i="94"/>
  <c r="K97" i="94"/>
  <c r="L97" i="94"/>
  <c r="M97" i="94"/>
  <c r="N97" i="94"/>
  <c r="O97" i="94"/>
  <c r="P97" i="94"/>
  <c r="Q97" i="94"/>
  <c r="R97" i="94"/>
  <c r="S97" i="94"/>
  <c r="T97" i="94"/>
  <c r="U97" i="94"/>
  <c r="V97" i="94"/>
  <c r="I98" i="94"/>
  <c r="J98" i="94"/>
  <c r="K98" i="94"/>
  <c r="L98" i="94"/>
  <c r="M98" i="94"/>
  <c r="N98" i="94"/>
  <c r="O98" i="94"/>
  <c r="P98" i="94"/>
  <c r="Q98" i="94"/>
  <c r="R98" i="94"/>
  <c r="S98" i="94"/>
  <c r="T98" i="94"/>
  <c r="U98" i="94"/>
  <c r="V98" i="94"/>
  <c r="I99" i="94"/>
  <c r="J99" i="94"/>
  <c r="K99" i="94"/>
  <c r="L99" i="94"/>
  <c r="M99" i="94"/>
  <c r="N99" i="94"/>
  <c r="O99" i="94"/>
  <c r="P99" i="94"/>
  <c r="Q99" i="94"/>
  <c r="R99" i="94"/>
  <c r="S99" i="94"/>
  <c r="T99" i="94"/>
  <c r="U99" i="94"/>
  <c r="V99" i="94"/>
  <c r="H99" i="94"/>
  <c r="H98" i="94"/>
  <c r="H97" i="94"/>
  <c r="H96" i="94"/>
  <c r="I42" i="94"/>
  <c r="J42" i="94"/>
  <c r="K42" i="94"/>
  <c r="L42" i="94"/>
  <c r="M42" i="94"/>
  <c r="N42" i="94"/>
  <c r="O42" i="94"/>
  <c r="P42" i="94"/>
  <c r="Q42" i="94"/>
  <c r="R42" i="94"/>
  <c r="S42" i="94"/>
  <c r="T42" i="94"/>
  <c r="U42" i="94"/>
  <c r="V42" i="94"/>
  <c r="I43" i="94"/>
  <c r="J43" i="94"/>
  <c r="K43" i="94"/>
  <c r="L43" i="94"/>
  <c r="M43" i="94"/>
  <c r="N43" i="94"/>
  <c r="O43" i="94"/>
  <c r="P43" i="94"/>
  <c r="Q43" i="94"/>
  <c r="R43" i="94"/>
  <c r="S43" i="94"/>
  <c r="T43" i="94"/>
  <c r="U43" i="94"/>
  <c r="V43" i="94"/>
  <c r="I44" i="94"/>
  <c r="J44" i="94"/>
  <c r="K44" i="94"/>
  <c r="L44" i="94"/>
  <c r="M44" i="94"/>
  <c r="N44" i="94"/>
  <c r="O44" i="94"/>
  <c r="P44" i="94"/>
  <c r="Q44" i="94"/>
  <c r="R44" i="94"/>
  <c r="S44" i="94"/>
  <c r="T44" i="94"/>
  <c r="U44" i="94"/>
  <c r="V44" i="94"/>
  <c r="I45" i="94"/>
  <c r="J45" i="94"/>
  <c r="K45" i="94"/>
  <c r="L45" i="94"/>
  <c r="M45" i="94"/>
  <c r="N45" i="94"/>
  <c r="O45" i="94"/>
  <c r="P45" i="94"/>
  <c r="Q45" i="94"/>
  <c r="R45" i="94"/>
  <c r="S45" i="94"/>
  <c r="T45" i="94"/>
  <c r="U45" i="94"/>
  <c r="V45" i="94"/>
  <c r="H45" i="94"/>
  <c r="H44" i="94"/>
  <c r="H43" i="94"/>
  <c r="H42" i="94"/>
  <c r="G28" i="105"/>
  <c r="N33" i="143"/>
  <c r="H28" i="105"/>
  <c r="O33" i="143"/>
  <c r="I28" i="105"/>
  <c r="P33" i="143"/>
  <c r="J28" i="105"/>
  <c r="Q33" i="143"/>
  <c r="K28" i="105"/>
  <c r="R33" i="143"/>
  <c r="L28" i="105"/>
  <c r="S33" i="143"/>
  <c r="M28" i="105"/>
  <c r="T33" i="143"/>
  <c r="N28" i="105"/>
  <c r="U33" i="143"/>
  <c r="O28" i="105"/>
  <c r="V33" i="143"/>
  <c r="P28" i="105"/>
  <c r="W33" i="143"/>
  <c r="Q28" i="105"/>
  <c r="X33" i="143"/>
  <c r="R28" i="105"/>
  <c r="Y33" i="143"/>
  <c r="S28" i="105"/>
  <c r="Z33" i="143"/>
  <c r="T28" i="105"/>
  <c r="AA33" i="143"/>
  <c r="U28" i="105"/>
  <c r="AB33" i="143"/>
  <c r="V28" i="105"/>
  <c r="AC33" i="143"/>
  <c r="W28" i="105"/>
  <c r="AD33" i="143"/>
  <c r="X28" i="105"/>
  <c r="AE33" i="143"/>
  <c r="F28" i="105"/>
  <c r="M33" i="143"/>
  <c r="G28" i="102"/>
  <c r="N33" i="135"/>
  <c r="H28" i="102"/>
  <c r="O33" i="135"/>
  <c r="I28" i="102"/>
  <c r="P33" i="135"/>
  <c r="J28" i="102"/>
  <c r="Q33" i="135"/>
  <c r="K28" i="102"/>
  <c r="R33" i="135"/>
  <c r="L28" i="102"/>
  <c r="S33" i="135"/>
  <c r="M28" i="102"/>
  <c r="T33" i="135"/>
  <c r="N28" i="102"/>
  <c r="U33" i="135"/>
  <c r="O28" i="102"/>
  <c r="V33" i="135"/>
  <c r="P28" i="102"/>
  <c r="W33" i="135"/>
  <c r="Q28" i="102"/>
  <c r="X33" i="135"/>
  <c r="R28" i="102"/>
  <c r="Y33" i="135"/>
  <c r="S28" i="102"/>
  <c r="Z33" i="135"/>
  <c r="T28" i="102"/>
  <c r="AA33" i="135"/>
  <c r="U28" i="102"/>
  <c r="AB33" i="135"/>
  <c r="V28" i="102"/>
  <c r="AC33" i="135"/>
  <c r="W28" i="102"/>
  <c r="AD33" i="135"/>
  <c r="X28" i="102"/>
  <c r="AE33" i="135"/>
  <c r="F28" i="102"/>
  <c r="M33" i="135"/>
  <c r="H33" i="120"/>
  <c r="O38" i="139"/>
  <c r="O17" i="139"/>
  <c r="L33" i="120"/>
  <c r="S38" i="139"/>
  <c r="S17" i="139"/>
  <c r="P33" i="120"/>
  <c r="W38" i="139"/>
  <c r="W17" i="139"/>
  <c r="T33" i="120"/>
  <c r="AA38" i="139"/>
  <c r="AA17" i="139"/>
  <c r="X33" i="120"/>
  <c r="AE38" i="139"/>
  <c r="AE17" i="139"/>
  <c r="F39" i="120"/>
  <c r="M44" i="139"/>
  <c r="M24" i="139"/>
  <c r="G30" i="120"/>
  <c r="N35" i="139"/>
  <c r="N33" i="139"/>
  <c r="I33" i="120"/>
  <c r="P38" i="139"/>
  <c r="P17" i="139"/>
  <c r="M33" i="120"/>
  <c r="T38" i="139"/>
  <c r="T17" i="139"/>
  <c r="Q33" i="120"/>
  <c r="X38" i="139"/>
  <c r="X17" i="139"/>
  <c r="U33" i="120"/>
  <c r="AB38" i="139"/>
  <c r="AB17" i="139"/>
  <c r="E82" i="120"/>
  <c r="L23" i="139"/>
  <c r="E84" i="120"/>
  <c r="L25" i="139"/>
  <c r="F76" i="120"/>
  <c r="M17" i="139"/>
  <c r="F35" i="120"/>
  <c r="M40" i="139"/>
  <c r="M23" i="139"/>
  <c r="G35" i="120"/>
  <c r="N40" i="139"/>
  <c r="N23" i="139"/>
  <c r="E83" i="120"/>
  <c r="L24" i="139"/>
  <c r="E35" i="119"/>
  <c r="L40" i="138"/>
  <c r="L23" i="138"/>
  <c r="L25" i="138"/>
  <c r="F35" i="119"/>
  <c r="M40" i="138"/>
  <c r="M23" i="138"/>
  <c r="F39" i="119"/>
  <c r="M44" i="138"/>
  <c r="M24" i="138"/>
  <c r="G35" i="119"/>
  <c r="N40" i="138"/>
  <c r="N23" i="138"/>
  <c r="M159" i="134"/>
  <c r="N142" i="122"/>
  <c r="K17" i="125"/>
  <c r="K17" i="124"/>
  <c r="K19" i="124"/>
  <c r="K19" i="125"/>
  <c r="F35" i="113"/>
  <c r="M40" i="124"/>
  <c r="M23" i="124"/>
  <c r="K24" i="125"/>
  <c r="K24" i="124"/>
  <c r="K20" i="125"/>
  <c r="K20" i="124"/>
  <c r="E35" i="113"/>
  <c r="L40" i="124"/>
  <c r="L23" i="124"/>
  <c r="K18" i="125"/>
  <c r="K18" i="124"/>
  <c r="K23" i="124"/>
  <c r="K23" i="125"/>
  <c r="F39" i="113"/>
  <c r="M44" i="124"/>
  <c r="M24" i="124"/>
  <c r="K25" i="124"/>
  <c r="K25" i="125"/>
  <c r="F35" i="114"/>
  <c r="M40" i="125"/>
  <c r="M23" i="125"/>
  <c r="F39" i="114"/>
  <c r="M44" i="125"/>
  <c r="M24" i="125"/>
  <c r="E35" i="114"/>
  <c r="L40" i="125"/>
  <c r="L23" i="125"/>
  <c r="E39" i="114"/>
  <c r="L44" i="125"/>
  <c r="L24" i="125"/>
  <c r="E39" i="115"/>
  <c r="L44" i="126"/>
  <c r="L24" i="126"/>
  <c r="E35" i="115"/>
  <c r="L40" i="126"/>
  <c r="L23" i="126"/>
  <c r="G35" i="115"/>
  <c r="N40" i="126"/>
  <c r="N23" i="126"/>
  <c r="F35" i="115"/>
  <c r="M40" i="126"/>
  <c r="M23" i="126"/>
  <c r="F39" i="115"/>
  <c r="M44" i="126"/>
  <c r="E35" i="116"/>
  <c r="L40" i="127"/>
  <c r="L23" i="127"/>
  <c r="E39" i="116"/>
  <c r="L44" i="127"/>
  <c r="L25" i="127"/>
  <c r="O33" i="116"/>
  <c r="V38" i="127"/>
  <c r="F33" i="116"/>
  <c r="M38" i="127"/>
  <c r="M17" i="127"/>
  <c r="J33" i="116"/>
  <c r="Q38" i="127"/>
  <c r="Q17" i="127"/>
  <c r="N33" i="116"/>
  <c r="U38" i="127"/>
  <c r="U17" i="127"/>
  <c r="R33" i="116"/>
  <c r="Y38" i="127"/>
  <c r="Y17" i="127"/>
  <c r="V33" i="116"/>
  <c r="AC38" i="127"/>
  <c r="AC17" i="127"/>
  <c r="F35" i="116"/>
  <c r="M40" i="127"/>
  <c r="M23" i="127"/>
  <c r="F30" i="116"/>
  <c r="K33" i="116"/>
  <c r="R38" i="127"/>
  <c r="G33" i="116"/>
  <c r="N38" i="127"/>
  <c r="N17" i="127"/>
  <c r="S33" i="116"/>
  <c r="Z38" i="127"/>
  <c r="Z17" i="127"/>
  <c r="W33" i="116"/>
  <c r="AD38" i="127"/>
  <c r="AD17" i="127"/>
  <c r="F35" i="109"/>
  <c r="M40" i="128"/>
  <c r="M23" i="128"/>
  <c r="G35" i="109"/>
  <c r="N40" i="128"/>
  <c r="N23" i="128"/>
  <c r="B9" i="136"/>
  <c r="B9" i="128"/>
  <c r="F39" i="109"/>
  <c r="M44" i="128"/>
  <c r="M24" i="128"/>
  <c r="E39" i="109"/>
  <c r="L44" i="128"/>
  <c r="L24" i="128"/>
  <c r="I39" i="109"/>
  <c r="P44" i="128"/>
  <c r="P24" i="128"/>
  <c r="E35" i="109"/>
  <c r="L40" i="128"/>
  <c r="L23" i="128"/>
  <c r="G39" i="109"/>
  <c r="N44" i="128"/>
  <c r="N24" i="128"/>
  <c r="F35" i="110"/>
  <c r="M40" i="130"/>
  <c r="M23" i="130"/>
  <c r="F39" i="110"/>
  <c r="M44" i="130"/>
  <c r="M24" i="130"/>
  <c r="E39" i="110"/>
  <c r="L44" i="130"/>
  <c r="L24" i="130"/>
  <c r="E35" i="110"/>
  <c r="L40" i="130"/>
  <c r="L23" i="130"/>
  <c r="E35" i="111"/>
  <c r="L40" i="131"/>
  <c r="L23" i="131"/>
  <c r="I35" i="111"/>
  <c r="P40" i="131"/>
  <c r="P23" i="131"/>
  <c r="E39" i="111"/>
  <c r="L44" i="131"/>
  <c r="L25" i="131"/>
  <c r="F35" i="111"/>
  <c r="M40" i="131"/>
  <c r="M158" i="132"/>
  <c r="F140" i="112"/>
  <c r="M33" i="112"/>
  <c r="T38" i="132"/>
  <c r="T17" i="132"/>
  <c r="U33" i="112"/>
  <c r="AB38" i="132"/>
  <c r="AB17" i="132"/>
  <c r="G39" i="112"/>
  <c r="N44" i="132"/>
  <c r="N24" i="132"/>
  <c r="F33" i="112"/>
  <c r="M38" i="132"/>
  <c r="M17" i="132"/>
  <c r="J33" i="112"/>
  <c r="Q38" i="132"/>
  <c r="Q17" i="132"/>
  <c r="N33" i="112"/>
  <c r="U38" i="132"/>
  <c r="U17" i="132"/>
  <c r="R33" i="112"/>
  <c r="Y38" i="132"/>
  <c r="Y17" i="132"/>
  <c r="V33" i="112"/>
  <c r="AC38" i="132"/>
  <c r="AC17" i="132"/>
  <c r="F35" i="112"/>
  <c r="M40" i="132"/>
  <c r="M23" i="132"/>
  <c r="W187" i="71"/>
  <c r="F39" i="112"/>
  <c r="M44" i="132"/>
  <c r="M24" i="132"/>
  <c r="I33" i="112"/>
  <c r="P38" i="132"/>
  <c r="P17" i="132"/>
  <c r="Q33" i="112"/>
  <c r="X38" i="132"/>
  <c r="X17" i="132"/>
  <c r="E35" i="112"/>
  <c r="L40" i="132"/>
  <c r="L23" i="132"/>
  <c r="E39" i="112"/>
  <c r="L44" i="132"/>
  <c r="L25" i="132"/>
  <c r="B9" i="139"/>
  <c r="B9" i="143"/>
  <c r="B9" i="135"/>
  <c r="B9" i="132"/>
  <c r="G35" i="112"/>
  <c r="N40" i="132"/>
  <c r="N23" i="132"/>
  <c r="F30" i="112"/>
  <c r="M33" i="132"/>
  <c r="M159" i="129"/>
  <c r="G39" i="120"/>
  <c r="N44" i="139"/>
  <c r="F33" i="120"/>
  <c r="M38" i="139"/>
  <c r="J33" i="120"/>
  <c r="Q38" i="139"/>
  <c r="N33" i="120"/>
  <c r="U38" i="139"/>
  <c r="R33" i="120"/>
  <c r="Y38" i="139"/>
  <c r="V33" i="120"/>
  <c r="AC38" i="139"/>
  <c r="E35" i="120"/>
  <c r="L40" i="139"/>
  <c r="E39" i="120"/>
  <c r="L44" i="139"/>
  <c r="G33" i="120"/>
  <c r="N38" i="139"/>
  <c r="K33" i="120"/>
  <c r="R38" i="139"/>
  <c r="O33" i="120"/>
  <c r="V38" i="139"/>
  <c r="S33" i="120"/>
  <c r="Z38" i="139"/>
  <c r="W33" i="120"/>
  <c r="AD38" i="139"/>
  <c r="W339" i="71"/>
  <c r="G39" i="119"/>
  <c r="N44" i="138"/>
  <c r="L23" i="137"/>
  <c r="F35" i="118"/>
  <c r="M40" i="137"/>
  <c r="M23" i="137"/>
  <c r="L25" i="137"/>
  <c r="L24" i="137"/>
  <c r="F39" i="118"/>
  <c r="M44" i="137"/>
  <c r="M24" i="137"/>
  <c r="F35" i="117"/>
  <c r="M40" i="136"/>
  <c r="M23" i="136"/>
  <c r="G35" i="117"/>
  <c r="N40" i="136"/>
  <c r="N23" i="136"/>
  <c r="F39" i="117"/>
  <c r="M44" i="136"/>
  <c r="M24" i="136"/>
  <c r="E35" i="117"/>
  <c r="L40" i="136"/>
  <c r="L23" i="136"/>
  <c r="I35" i="117"/>
  <c r="P40" i="136"/>
  <c r="P23" i="136"/>
  <c r="G39" i="117"/>
  <c r="N44" i="136"/>
  <c r="N24" i="136"/>
  <c r="L25" i="136"/>
  <c r="E35" i="118"/>
  <c r="L40" i="137"/>
  <c r="E39" i="118"/>
  <c r="L44" i="137"/>
  <c r="I39" i="117"/>
  <c r="P44" i="136"/>
  <c r="M92" i="124"/>
  <c r="E144" i="112"/>
  <c r="E152" i="112"/>
  <c r="G141" i="112"/>
  <c r="G33" i="112"/>
  <c r="N38" i="132"/>
  <c r="K33" i="112"/>
  <c r="R38" i="132"/>
  <c r="O33" i="112"/>
  <c r="V38" i="132"/>
  <c r="S33" i="112"/>
  <c r="Z38" i="132"/>
  <c r="W33" i="112"/>
  <c r="AD38" i="132"/>
  <c r="H33" i="112"/>
  <c r="O38" i="132"/>
  <c r="L33" i="112"/>
  <c r="S38" i="132"/>
  <c r="P33" i="112"/>
  <c r="W38" i="132"/>
  <c r="T33" i="112"/>
  <c r="AA38" i="132"/>
  <c r="X33" i="112"/>
  <c r="AE38" i="132"/>
  <c r="F39" i="111"/>
  <c r="M44" i="131"/>
  <c r="N144" i="131"/>
  <c r="N142" i="131"/>
  <c r="M93" i="131"/>
  <c r="M94" i="129"/>
  <c r="H33" i="116"/>
  <c r="O38" i="127"/>
  <c r="L33" i="116"/>
  <c r="S38" i="127"/>
  <c r="P33" i="116"/>
  <c r="W38" i="127"/>
  <c r="T33" i="116"/>
  <c r="AA38" i="127"/>
  <c r="X33" i="116"/>
  <c r="AE38" i="127"/>
  <c r="F39" i="116"/>
  <c r="M44" i="127"/>
  <c r="M92" i="126"/>
  <c r="H39" i="115"/>
  <c r="O44" i="126"/>
  <c r="G39" i="115"/>
  <c r="N44" i="126"/>
  <c r="E144" i="114"/>
  <c r="E152" i="114"/>
  <c r="C69" i="71"/>
  <c r="M128" i="127"/>
  <c r="M130" i="127"/>
  <c r="G141" i="116"/>
  <c r="N141" i="126"/>
  <c r="N143" i="126"/>
  <c r="G35" i="114"/>
  <c r="N40" i="125"/>
  <c r="G141" i="114"/>
  <c r="M92" i="125"/>
  <c r="M128" i="125"/>
  <c r="M130" i="125"/>
  <c r="E39" i="113"/>
  <c r="L44" i="124"/>
  <c r="M128" i="124"/>
  <c r="M130" i="124"/>
  <c r="G141" i="113"/>
  <c r="M94" i="123"/>
  <c r="N143" i="122"/>
  <c r="E168" i="114"/>
  <c r="C72" i="71"/>
  <c r="G168" i="115"/>
  <c r="F168" i="116"/>
  <c r="E168" i="112"/>
  <c r="C186" i="71"/>
  <c r="F168" i="114"/>
  <c r="G168" i="116"/>
  <c r="F168" i="112"/>
  <c r="D186" i="71"/>
  <c r="G168" i="112"/>
  <c r="G168" i="114"/>
  <c r="E72" i="71"/>
  <c r="F168" i="115"/>
  <c r="E168" i="115"/>
  <c r="E168" i="116"/>
  <c r="D338" i="71"/>
  <c r="C338" i="71"/>
  <c r="L123" i="122"/>
  <c r="L125" i="122"/>
  <c r="M126" i="122"/>
  <c r="N83" i="122"/>
  <c r="M82" i="122"/>
  <c r="M83" i="122"/>
  <c r="M79" i="122"/>
  <c r="N79" i="122"/>
  <c r="S34" i="122"/>
  <c r="R44" i="122"/>
  <c r="R40" i="122"/>
  <c r="L140" i="122"/>
  <c r="L154" i="122"/>
  <c r="H123" i="122"/>
  <c r="W54" i="71"/>
  <c r="W111" i="71"/>
  <c r="W73" i="71"/>
  <c r="G35" i="113"/>
  <c r="N40" i="124"/>
  <c r="C53" i="71"/>
  <c r="E53" i="71"/>
  <c r="G39" i="113"/>
  <c r="N44" i="124"/>
  <c r="D53" i="71"/>
  <c r="XFD49" i="113"/>
  <c r="E136" i="113"/>
  <c r="E144" i="113"/>
  <c r="E152" i="113"/>
  <c r="C50" i="71"/>
  <c r="D152" i="113"/>
  <c r="H39" i="117"/>
  <c r="O44" i="136"/>
  <c r="D157" i="117"/>
  <c r="E39" i="117"/>
  <c r="L44" i="136"/>
  <c r="J29" i="117"/>
  <c r="H35" i="117"/>
  <c r="O40" i="136"/>
  <c r="D157" i="118"/>
  <c r="H29" i="119"/>
  <c r="E39" i="119"/>
  <c r="L44" i="138"/>
  <c r="D157" i="119"/>
  <c r="I29" i="120"/>
  <c r="H30" i="120"/>
  <c r="O35" i="139"/>
  <c r="H35" i="120"/>
  <c r="O40" i="139"/>
  <c r="H39" i="120"/>
  <c r="O44" i="139"/>
  <c r="D157" i="120"/>
  <c r="F30" i="120"/>
  <c r="M35" i="139"/>
  <c r="E137" i="120"/>
  <c r="E145" i="120"/>
  <c r="E153" i="120"/>
  <c r="C335" i="71"/>
  <c r="H39" i="113"/>
  <c r="O44" i="124"/>
  <c r="H35" i="113"/>
  <c r="O40" i="124"/>
  <c r="D156" i="113"/>
  <c r="I29" i="113"/>
  <c r="H29" i="114"/>
  <c r="G39" i="114"/>
  <c r="N44" i="125"/>
  <c r="H35" i="114"/>
  <c r="O40" i="125"/>
  <c r="D156" i="114"/>
  <c r="H39" i="114"/>
  <c r="O44" i="125"/>
  <c r="D144" i="114"/>
  <c r="D152" i="114"/>
  <c r="I29" i="115"/>
  <c r="I35" i="115"/>
  <c r="P40" i="126"/>
  <c r="H35" i="115"/>
  <c r="O40" i="126"/>
  <c r="I39" i="115"/>
  <c r="P44" i="126"/>
  <c r="E136" i="115"/>
  <c r="E144" i="115"/>
  <c r="E152" i="115"/>
  <c r="C88" i="71"/>
  <c r="D156" i="115"/>
  <c r="G29" i="116"/>
  <c r="G30" i="116"/>
  <c r="I33" i="116"/>
  <c r="P38" i="127"/>
  <c r="M33" i="116"/>
  <c r="T38" i="127"/>
  <c r="Q33" i="116"/>
  <c r="X38" i="127"/>
  <c r="U33" i="116"/>
  <c r="AB38" i="127"/>
  <c r="D156" i="116"/>
  <c r="H30" i="112"/>
  <c r="H39" i="112"/>
  <c r="O44" i="132"/>
  <c r="D156" i="112"/>
  <c r="H35" i="112"/>
  <c r="O40" i="132"/>
  <c r="G30" i="112"/>
  <c r="D152" i="112"/>
  <c r="H39" i="111"/>
  <c r="O44" i="131"/>
  <c r="G35" i="111"/>
  <c r="N40" i="131"/>
  <c r="J29" i="111"/>
  <c r="H35" i="111"/>
  <c r="O40" i="131"/>
  <c r="J39" i="111"/>
  <c r="Q44" i="131"/>
  <c r="I39" i="111"/>
  <c r="P44" i="131"/>
  <c r="D156" i="111"/>
  <c r="G39" i="111"/>
  <c r="N44" i="131"/>
  <c r="D152" i="111"/>
  <c r="G29" i="110"/>
  <c r="G39" i="110"/>
  <c r="N44" i="130"/>
  <c r="D156" i="110"/>
  <c r="D152" i="110"/>
  <c r="H35" i="109"/>
  <c r="O40" i="128"/>
  <c r="J29" i="109"/>
  <c r="I35" i="109"/>
  <c r="P40" i="128"/>
  <c r="D156" i="109"/>
  <c r="H39" i="109"/>
  <c r="O44" i="128"/>
  <c r="J39" i="109"/>
  <c r="Q44" i="128"/>
  <c r="D168" i="108"/>
  <c r="X150" i="108"/>
  <c r="W150" i="108"/>
  <c r="V150" i="108"/>
  <c r="U150" i="108"/>
  <c r="T150" i="108"/>
  <c r="S150" i="108"/>
  <c r="R150" i="108"/>
  <c r="Q150" i="108"/>
  <c r="P150" i="108"/>
  <c r="O150" i="108"/>
  <c r="N150" i="108"/>
  <c r="M150" i="108"/>
  <c r="L150" i="108"/>
  <c r="K150" i="108"/>
  <c r="J150" i="108"/>
  <c r="I150" i="108"/>
  <c r="H150" i="108"/>
  <c r="G150" i="108"/>
  <c r="F150" i="108"/>
  <c r="E150" i="108"/>
  <c r="D150" i="108"/>
  <c r="D142" i="108"/>
  <c r="D136" i="108"/>
  <c r="D144" i="108"/>
  <c r="D152" i="108"/>
  <c r="D115" i="108"/>
  <c r="X114" i="108"/>
  <c r="W114" i="108"/>
  <c r="V114" i="108"/>
  <c r="U114" i="108"/>
  <c r="T114" i="108"/>
  <c r="S114" i="108"/>
  <c r="R114" i="108"/>
  <c r="Q114" i="108"/>
  <c r="P114" i="108"/>
  <c r="O114" i="108"/>
  <c r="N114" i="108"/>
  <c r="M114" i="108"/>
  <c r="L114" i="108"/>
  <c r="K114" i="108"/>
  <c r="J114" i="108"/>
  <c r="I114" i="108"/>
  <c r="H114" i="108"/>
  <c r="G114" i="108"/>
  <c r="F114" i="108"/>
  <c r="E114" i="108"/>
  <c r="D105" i="108"/>
  <c r="A103" i="108"/>
  <c r="A101" i="108"/>
  <c r="A93" i="108"/>
  <c r="A92" i="108"/>
  <c r="A90" i="108"/>
  <c r="A89" i="108"/>
  <c r="A87" i="108"/>
  <c r="A84" i="108"/>
  <c r="A83" i="108"/>
  <c r="A82" i="108"/>
  <c r="A81" i="108"/>
  <c r="A78" i="108"/>
  <c r="A77" i="108"/>
  <c r="A76" i="108"/>
  <c r="A72" i="108"/>
  <c r="X63" i="108"/>
  <c r="W63" i="108"/>
  <c r="V63" i="108"/>
  <c r="U63" i="108"/>
  <c r="T63" i="108"/>
  <c r="S63" i="108"/>
  <c r="R63" i="108"/>
  <c r="Q63" i="108"/>
  <c r="P63" i="108"/>
  <c r="O63" i="108"/>
  <c r="N63" i="108"/>
  <c r="M63" i="108"/>
  <c r="L63" i="108"/>
  <c r="K63" i="108"/>
  <c r="J63" i="108"/>
  <c r="I63" i="108"/>
  <c r="H63" i="108"/>
  <c r="G63" i="108"/>
  <c r="A55" i="108"/>
  <c r="V12" i="98"/>
  <c r="U12" i="98"/>
  <c r="T12" i="98"/>
  <c r="S12" i="98"/>
  <c r="R12" i="98"/>
  <c r="Q12" i="98"/>
  <c r="P12" i="98"/>
  <c r="O12" i="98"/>
  <c r="N12" i="98"/>
  <c r="M12" i="98"/>
  <c r="L12" i="98"/>
  <c r="K12" i="98"/>
  <c r="J12" i="98"/>
  <c r="I12" i="98"/>
  <c r="H12" i="98"/>
  <c r="G12" i="98"/>
  <c r="F12" i="98"/>
  <c r="E12" i="98"/>
  <c r="D12" i="98"/>
  <c r="C12" i="98"/>
  <c r="X49" i="108"/>
  <c r="W49" i="108"/>
  <c r="V49" i="108"/>
  <c r="U49" i="108"/>
  <c r="T49" i="108"/>
  <c r="S49" i="108"/>
  <c r="R49" i="108"/>
  <c r="Q49" i="108"/>
  <c r="P49" i="108"/>
  <c r="O49" i="108"/>
  <c r="N49" i="108"/>
  <c r="M49" i="108"/>
  <c r="L49" i="108"/>
  <c r="K49" i="108"/>
  <c r="J49" i="108"/>
  <c r="I49" i="108"/>
  <c r="H49" i="108"/>
  <c r="G49" i="108"/>
  <c r="F49" i="108"/>
  <c r="E49" i="108"/>
  <c r="X37" i="108"/>
  <c r="W37" i="108"/>
  <c r="V37" i="108"/>
  <c r="U37" i="108"/>
  <c r="T37" i="108"/>
  <c r="S37" i="108"/>
  <c r="R37" i="108"/>
  <c r="Q37" i="108"/>
  <c r="P37" i="108"/>
  <c r="O37" i="108"/>
  <c r="N37" i="108"/>
  <c r="M37" i="108"/>
  <c r="L37" i="108"/>
  <c r="K37" i="108"/>
  <c r="J37" i="108"/>
  <c r="I37" i="108"/>
  <c r="H37" i="108"/>
  <c r="G37" i="108"/>
  <c r="F37" i="108"/>
  <c r="E37" i="108"/>
  <c r="E30" i="108"/>
  <c r="G29" i="108"/>
  <c r="F29" i="108"/>
  <c r="A23" i="108"/>
  <c r="A22" i="108"/>
  <c r="X20" i="108"/>
  <c r="AE25" i="123"/>
  <c r="W20" i="108"/>
  <c r="AD25" i="123"/>
  <c r="V20" i="108"/>
  <c r="AC25" i="123"/>
  <c r="U20" i="108"/>
  <c r="AB25" i="123"/>
  <c r="T20" i="108"/>
  <c r="AA25" i="123"/>
  <c r="S20" i="108"/>
  <c r="Z25" i="123"/>
  <c r="R20" i="108"/>
  <c r="Y25" i="123"/>
  <c r="Q20" i="108"/>
  <c r="X25" i="123"/>
  <c r="P20" i="108"/>
  <c r="W25" i="123"/>
  <c r="O20" i="108"/>
  <c r="V25" i="123"/>
  <c r="N20" i="108"/>
  <c r="U25" i="123"/>
  <c r="M20" i="108"/>
  <c r="T25" i="123"/>
  <c r="L20" i="108"/>
  <c r="S25" i="123"/>
  <c r="K20" i="108"/>
  <c r="R25" i="123"/>
  <c r="J20" i="108"/>
  <c r="Q25" i="123"/>
  <c r="I20" i="108"/>
  <c r="P25" i="123"/>
  <c r="H20" i="108"/>
  <c r="O25" i="123"/>
  <c r="G20" i="108"/>
  <c r="N25" i="123"/>
  <c r="F20" i="108"/>
  <c r="M25" i="123"/>
  <c r="E20" i="108"/>
  <c r="L25" i="123"/>
  <c r="D20" i="108"/>
  <c r="K25" i="123"/>
  <c r="A20" i="108"/>
  <c r="X19" i="108"/>
  <c r="AE24" i="123"/>
  <c r="W19" i="108"/>
  <c r="AD24" i="123"/>
  <c r="V19" i="108"/>
  <c r="AC24" i="123"/>
  <c r="U19" i="108"/>
  <c r="AB24" i="123"/>
  <c r="T19" i="108"/>
  <c r="AA24" i="123"/>
  <c r="S19" i="108"/>
  <c r="Z24" i="123"/>
  <c r="R19" i="108"/>
  <c r="Y24" i="123"/>
  <c r="Q19" i="108"/>
  <c r="X24" i="123"/>
  <c r="P19" i="108"/>
  <c r="W24" i="123"/>
  <c r="O19" i="108"/>
  <c r="V24" i="123"/>
  <c r="N19" i="108"/>
  <c r="U24" i="123"/>
  <c r="M19" i="108"/>
  <c r="T24" i="123"/>
  <c r="L19" i="108"/>
  <c r="S24" i="123"/>
  <c r="K19" i="108"/>
  <c r="R24" i="123"/>
  <c r="J19" i="108"/>
  <c r="Q24" i="123"/>
  <c r="I19" i="108"/>
  <c r="P24" i="123"/>
  <c r="H19" i="108"/>
  <c r="O24" i="123"/>
  <c r="G19" i="108"/>
  <c r="N24" i="123"/>
  <c r="F19" i="108"/>
  <c r="E19" i="108"/>
  <c r="L24" i="123"/>
  <c r="D19" i="108"/>
  <c r="K24" i="123"/>
  <c r="A19" i="108"/>
  <c r="X18" i="108"/>
  <c r="AE23" i="123"/>
  <c r="W18" i="108"/>
  <c r="AD23" i="123"/>
  <c r="V18" i="108"/>
  <c r="AC23" i="123"/>
  <c r="U18" i="108"/>
  <c r="AB23" i="123"/>
  <c r="T18" i="108"/>
  <c r="AA23" i="123"/>
  <c r="S18" i="108"/>
  <c r="Z23" i="123"/>
  <c r="R18" i="108"/>
  <c r="Y23" i="123"/>
  <c r="Q18" i="108"/>
  <c r="X23" i="123"/>
  <c r="P18" i="108"/>
  <c r="W23" i="123"/>
  <c r="O18" i="108"/>
  <c r="V23" i="123"/>
  <c r="N18" i="108"/>
  <c r="U23" i="123"/>
  <c r="M18" i="108"/>
  <c r="T23" i="123"/>
  <c r="L18" i="108"/>
  <c r="S23" i="123"/>
  <c r="K18" i="108"/>
  <c r="R23" i="123"/>
  <c r="J18" i="108"/>
  <c r="Q23" i="123"/>
  <c r="I18" i="108"/>
  <c r="P23" i="123"/>
  <c r="H18" i="108"/>
  <c r="O23" i="123"/>
  <c r="G18" i="108"/>
  <c r="N23" i="123"/>
  <c r="F18" i="108"/>
  <c r="E18" i="108"/>
  <c r="D18" i="108"/>
  <c r="K23" i="123"/>
  <c r="A18" i="108"/>
  <c r="E15" i="108"/>
  <c r="L20" i="123"/>
  <c r="D15" i="108"/>
  <c r="K20" i="123"/>
  <c r="D14" i="108"/>
  <c r="K19" i="123"/>
  <c r="A14" i="108"/>
  <c r="D13" i="108"/>
  <c r="K18" i="123"/>
  <c r="A13" i="108"/>
  <c r="D12" i="108"/>
  <c r="K17" i="123"/>
  <c r="A12" i="108"/>
  <c r="X7" i="108"/>
  <c r="W7" i="108"/>
  <c r="V7" i="108"/>
  <c r="U7" i="108"/>
  <c r="T7" i="108"/>
  <c r="S7" i="108"/>
  <c r="R7" i="108"/>
  <c r="Q7" i="108"/>
  <c r="P7" i="108"/>
  <c r="O7" i="108"/>
  <c r="N7" i="108"/>
  <c r="M7" i="108"/>
  <c r="L7" i="108"/>
  <c r="K7" i="108"/>
  <c r="J7" i="108"/>
  <c r="I7" i="108"/>
  <c r="H7" i="108"/>
  <c r="G7" i="108"/>
  <c r="F7" i="108"/>
  <c r="E7" i="108"/>
  <c r="D7" i="108"/>
  <c r="C4" i="108"/>
  <c r="A3" i="108"/>
  <c r="A2" i="108"/>
  <c r="A1" i="108"/>
  <c r="D25" i="107"/>
  <c r="D16" i="107"/>
  <c r="B16" i="107"/>
  <c r="B7" i="107"/>
  <c r="D13" i="95"/>
  <c r="D17" i="95"/>
  <c r="E13" i="95"/>
  <c r="E17" i="95"/>
  <c r="E18" i="95"/>
  <c r="F13" i="95"/>
  <c r="F14" i="95"/>
  <c r="G13" i="95"/>
  <c r="G17" i="95"/>
  <c r="H13" i="95"/>
  <c r="H17" i="95"/>
  <c r="I13" i="95"/>
  <c r="I17" i="95"/>
  <c r="I18" i="95"/>
  <c r="J13" i="95"/>
  <c r="J14" i="95"/>
  <c r="K13" i="95"/>
  <c r="K17" i="95"/>
  <c r="L13" i="95"/>
  <c r="L17" i="95"/>
  <c r="M13" i="95"/>
  <c r="M14" i="95"/>
  <c r="N13" i="95"/>
  <c r="N14" i="95"/>
  <c r="O13" i="95"/>
  <c r="O17" i="95"/>
  <c r="P13" i="95"/>
  <c r="P17" i="95"/>
  <c r="P18" i="95"/>
  <c r="Q13" i="95"/>
  <c r="Q17" i="95"/>
  <c r="Q18" i="95"/>
  <c r="R13" i="95"/>
  <c r="R14" i="95"/>
  <c r="S13" i="95"/>
  <c r="S17" i="95"/>
  <c r="T13" i="95"/>
  <c r="T17" i="95"/>
  <c r="T18" i="95"/>
  <c r="U13" i="95"/>
  <c r="U17" i="95"/>
  <c r="U18" i="95"/>
  <c r="V13" i="95"/>
  <c r="V14" i="95"/>
  <c r="C13" i="95"/>
  <c r="C17" i="95"/>
  <c r="C18" i="95"/>
  <c r="D11" i="95"/>
  <c r="E11" i="95"/>
  <c r="F11" i="95"/>
  <c r="G11" i="95"/>
  <c r="G10" i="95"/>
  <c r="H11" i="95"/>
  <c r="I11" i="95"/>
  <c r="J11" i="95"/>
  <c r="K11" i="95"/>
  <c r="L11" i="95"/>
  <c r="M11" i="95"/>
  <c r="N11" i="95"/>
  <c r="O11" i="95"/>
  <c r="P11" i="95"/>
  <c r="Q11" i="95"/>
  <c r="R11" i="95"/>
  <c r="S11" i="95"/>
  <c r="T11" i="95"/>
  <c r="U11" i="95"/>
  <c r="V11" i="95"/>
  <c r="C11" i="95"/>
  <c r="T14" i="95"/>
  <c r="S14" i="95"/>
  <c r="P14" i="95"/>
  <c r="O14" i="95"/>
  <c r="L14" i="95"/>
  <c r="K14" i="95"/>
  <c r="I14" i="95"/>
  <c r="H14" i="95"/>
  <c r="G14" i="95"/>
  <c r="D14" i="95"/>
  <c r="C14" i="95"/>
  <c r="L10" i="95"/>
  <c r="H10" i="95"/>
  <c r="D10" i="95"/>
  <c r="J10" i="95"/>
  <c r="I10" i="95"/>
  <c r="D24" i="95"/>
  <c r="E24" i="95"/>
  <c r="F24" i="95"/>
  <c r="G24" i="95"/>
  <c r="H24" i="95"/>
  <c r="I24" i="95"/>
  <c r="J24" i="95"/>
  <c r="K24" i="95"/>
  <c r="L24" i="95"/>
  <c r="M24" i="95"/>
  <c r="N24" i="95"/>
  <c r="O24" i="95"/>
  <c r="P24" i="95"/>
  <c r="Q24" i="95"/>
  <c r="R24" i="95"/>
  <c r="S24" i="95"/>
  <c r="T24" i="95"/>
  <c r="U24" i="95"/>
  <c r="V24" i="95"/>
  <c r="C24" i="95"/>
  <c r="D39" i="95"/>
  <c r="D40" i="95"/>
  <c r="E39" i="95"/>
  <c r="E40" i="95"/>
  <c r="F39" i="95"/>
  <c r="F40" i="95"/>
  <c r="G39" i="95"/>
  <c r="H39" i="95"/>
  <c r="H40" i="95"/>
  <c r="I39" i="95"/>
  <c r="I40" i="95"/>
  <c r="J39" i="95"/>
  <c r="K39" i="95"/>
  <c r="L39" i="95"/>
  <c r="L40" i="95"/>
  <c r="M39" i="95"/>
  <c r="N39" i="95"/>
  <c r="O39" i="95"/>
  <c r="P39" i="95"/>
  <c r="P40" i="95"/>
  <c r="Q39" i="95"/>
  <c r="Q40" i="95"/>
  <c r="R39" i="95"/>
  <c r="S39" i="95"/>
  <c r="S40" i="95"/>
  <c r="T39" i="95"/>
  <c r="T40" i="95"/>
  <c r="U39" i="95"/>
  <c r="V39" i="95"/>
  <c r="C39" i="95"/>
  <c r="D37" i="95"/>
  <c r="D36" i="95"/>
  <c r="E37" i="95"/>
  <c r="E43" i="95"/>
  <c r="E44" i="95"/>
  <c r="F37" i="95"/>
  <c r="F43" i="95"/>
  <c r="F44" i="95"/>
  <c r="G37" i="95"/>
  <c r="G43" i="95"/>
  <c r="H37" i="95"/>
  <c r="H36" i="95"/>
  <c r="I37" i="95"/>
  <c r="I43" i="95"/>
  <c r="I44" i="95"/>
  <c r="J37" i="95"/>
  <c r="J43" i="95"/>
  <c r="J44" i="95"/>
  <c r="K37" i="95"/>
  <c r="K43" i="95"/>
  <c r="L37" i="95"/>
  <c r="L43" i="95"/>
  <c r="L44" i="95"/>
  <c r="M37" i="95"/>
  <c r="M43" i="95"/>
  <c r="M44" i="95"/>
  <c r="N37" i="95"/>
  <c r="N43" i="95"/>
  <c r="N44" i="95"/>
  <c r="O37" i="95"/>
  <c r="O43" i="95"/>
  <c r="O44" i="95"/>
  <c r="P37" i="95"/>
  <c r="P43" i="95"/>
  <c r="P44" i="95"/>
  <c r="Q37" i="95"/>
  <c r="Q43" i="95"/>
  <c r="Q44" i="95"/>
  <c r="R37" i="95"/>
  <c r="R43" i="95"/>
  <c r="R44" i="95"/>
  <c r="S37" i="95"/>
  <c r="S43" i="95"/>
  <c r="S44" i="95"/>
  <c r="T37" i="95"/>
  <c r="T43" i="95"/>
  <c r="T44" i="95"/>
  <c r="U37" i="95"/>
  <c r="U43" i="95"/>
  <c r="U44" i="95"/>
  <c r="V37" i="95"/>
  <c r="V43" i="95"/>
  <c r="V44" i="95"/>
  <c r="C37" i="95"/>
  <c r="C43" i="95"/>
  <c r="C44" i="95"/>
  <c r="V40" i="95"/>
  <c r="U40" i="95"/>
  <c r="R40" i="95"/>
  <c r="O40" i="95"/>
  <c r="N40" i="95"/>
  <c r="M40" i="95"/>
  <c r="K40" i="95"/>
  <c r="J40" i="95"/>
  <c r="G40" i="95"/>
  <c r="C40" i="95"/>
  <c r="K36" i="95"/>
  <c r="G36" i="95"/>
  <c r="J36" i="95"/>
  <c r="I36" i="95"/>
  <c r="F36" i="95"/>
  <c r="D52" i="95"/>
  <c r="D53" i="95"/>
  <c r="E52" i="95"/>
  <c r="E53" i="95"/>
  <c r="F52" i="95"/>
  <c r="G52" i="95"/>
  <c r="H52" i="95"/>
  <c r="H53" i="95"/>
  <c r="I52" i="95"/>
  <c r="I53" i="95"/>
  <c r="J52" i="95"/>
  <c r="K52" i="95"/>
  <c r="L52" i="95"/>
  <c r="L53" i="95"/>
  <c r="M52" i="95"/>
  <c r="N52" i="95"/>
  <c r="N53" i="95"/>
  <c r="O52" i="95"/>
  <c r="O53" i="95"/>
  <c r="P52" i="95"/>
  <c r="P53" i="95"/>
  <c r="Q52" i="95"/>
  <c r="Q53" i="95"/>
  <c r="R52" i="95"/>
  <c r="S52" i="95"/>
  <c r="S53" i="95"/>
  <c r="T52" i="95"/>
  <c r="T53" i="95"/>
  <c r="U52" i="95"/>
  <c r="V52" i="95"/>
  <c r="C52" i="95"/>
  <c r="C53" i="95"/>
  <c r="D50" i="95"/>
  <c r="D56" i="95"/>
  <c r="D57" i="95"/>
  <c r="E50" i="95"/>
  <c r="E56" i="95"/>
  <c r="E57" i="95"/>
  <c r="F50" i="95"/>
  <c r="G50" i="95"/>
  <c r="G56" i="95"/>
  <c r="H50" i="95"/>
  <c r="H56" i="95"/>
  <c r="H57" i="95"/>
  <c r="I50" i="95"/>
  <c r="I56" i="95"/>
  <c r="I57" i="95"/>
  <c r="J50" i="95"/>
  <c r="K50" i="95"/>
  <c r="K56" i="95"/>
  <c r="K57" i="95"/>
  <c r="L50" i="95"/>
  <c r="L56" i="95"/>
  <c r="L57" i="95"/>
  <c r="M50" i="95"/>
  <c r="M56" i="95"/>
  <c r="M57" i="95"/>
  <c r="N50" i="95"/>
  <c r="O50" i="95"/>
  <c r="O56" i="95"/>
  <c r="P50" i="95"/>
  <c r="P56" i="95"/>
  <c r="P57" i="95"/>
  <c r="Q50" i="95"/>
  <c r="Q56" i="95"/>
  <c r="Q57" i="95"/>
  <c r="R50" i="95"/>
  <c r="S50" i="95"/>
  <c r="S56" i="95"/>
  <c r="T50" i="95"/>
  <c r="T56" i="95"/>
  <c r="T57" i="95"/>
  <c r="U50" i="95"/>
  <c r="U56" i="95"/>
  <c r="U57" i="95"/>
  <c r="V50" i="95"/>
  <c r="C50" i="95"/>
  <c r="C56" i="95"/>
  <c r="V53" i="95"/>
  <c r="U53" i="95"/>
  <c r="R53" i="95"/>
  <c r="M53" i="95"/>
  <c r="K53" i="95"/>
  <c r="J53" i="95"/>
  <c r="G53" i="95"/>
  <c r="F53" i="95"/>
  <c r="D78" i="95"/>
  <c r="E78" i="95"/>
  <c r="F78" i="95"/>
  <c r="G78" i="95"/>
  <c r="H78" i="95"/>
  <c r="I78" i="95"/>
  <c r="J78" i="95"/>
  <c r="K78" i="95"/>
  <c r="L78" i="95"/>
  <c r="M78" i="95"/>
  <c r="N78" i="95"/>
  <c r="O78" i="95"/>
  <c r="P78" i="95"/>
  <c r="Q78" i="95"/>
  <c r="R78" i="95"/>
  <c r="S78" i="95"/>
  <c r="T78" i="95"/>
  <c r="U78" i="95"/>
  <c r="V78" i="95"/>
  <c r="C78" i="95"/>
  <c r="D63" i="95"/>
  <c r="E63" i="95"/>
  <c r="F63" i="95"/>
  <c r="G63" i="95"/>
  <c r="H63" i="95"/>
  <c r="I63" i="95"/>
  <c r="J63" i="95"/>
  <c r="K63" i="95"/>
  <c r="L63" i="95"/>
  <c r="M63" i="95"/>
  <c r="N63" i="95"/>
  <c r="O63" i="95"/>
  <c r="P63" i="95"/>
  <c r="Q63" i="95"/>
  <c r="R63" i="95"/>
  <c r="S63" i="95"/>
  <c r="T63" i="95"/>
  <c r="U63" i="95"/>
  <c r="V63" i="95"/>
  <c r="C63" i="95"/>
  <c r="D76" i="95"/>
  <c r="D82" i="95"/>
  <c r="E76" i="95"/>
  <c r="E82" i="95"/>
  <c r="F76" i="95"/>
  <c r="F82" i="95"/>
  <c r="G76" i="95"/>
  <c r="G82" i="95"/>
  <c r="H76" i="95"/>
  <c r="H82" i="95"/>
  <c r="I76" i="95"/>
  <c r="I82" i="95"/>
  <c r="J76" i="95"/>
  <c r="J82" i="95"/>
  <c r="K76" i="95"/>
  <c r="K82" i="95"/>
  <c r="L76" i="95"/>
  <c r="L82" i="95"/>
  <c r="M76" i="95"/>
  <c r="M82" i="95"/>
  <c r="N76" i="95"/>
  <c r="N82" i="95"/>
  <c r="O76" i="95"/>
  <c r="O82" i="95"/>
  <c r="P76" i="95"/>
  <c r="P82" i="95"/>
  <c r="Q76" i="95"/>
  <c r="Q82" i="95"/>
  <c r="R76" i="95"/>
  <c r="R82" i="95"/>
  <c r="S76" i="95"/>
  <c r="S82" i="95"/>
  <c r="T76" i="95"/>
  <c r="T82" i="95"/>
  <c r="U76" i="95"/>
  <c r="U82" i="95"/>
  <c r="V76" i="95"/>
  <c r="V82" i="95"/>
  <c r="C76" i="95"/>
  <c r="C82" i="95"/>
  <c r="D89" i="95"/>
  <c r="E89" i="95"/>
  <c r="F89" i="95"/>
  <c r="G89" i="95"/>
  <c r="H89" i="95"/>
  <c r="I89" i="95"/>
  <c r="J89" i="95"/>
  <c r="K89" i="95"/>
  <c r="L89" i="95"/>
  <c r="M89" i="95"/>
  <c r="N89" i="95"/>
  <c r="O89" i="95"/>
  <c r="P89" i="95"/>
  <c r="Q89" i="95"/>
  <c r="R89" i="95"/>
  <c r="S89" i="95"/>
  <c r="T89" i="95"/>
  <c r="U89" i="95"/>
  <c r="V89" i="95"/>
  <c r="C89" i="95"/>
  <c r="I4" i="106"/>
  <c r="I5" i="106"/>
  <c r="I6" i="106"/>
  <c r="I7" i="106"/>
  <c r="I8" i="106"/>
  <c r="I9" i="106"/>
  <c r="I3" i="106"/>
  <c r="F5" i="106"/>
  <c r="F6" i="106"/>
  <c r="F7" i="106"/>
  <c r="F8" i="106"/>
  <c r="F9" i="106"/>
  <c r="F3" i="106"/>
  <c r="D4" i="106"/>
  <c r="D5" i="106"/>
  <c r="D6" i="106"/>
  <c r="D7" i="106"/>
  <c r="D8" i="106"/>
  <c r="D9" i="106"/>
  <c r="D3" i="106"/>
  <c r="J5" i="106"/>
  <c r="J6" i="106"/>
  <c r="J9" i="106"/>
  <c r="B25" i="107"/>
  <c r="F16" i="107"/>
  <c r="D7" i="107"/>
  <c r="F4" i="106"/>
  <c r="J4" i="106"/>
  <c r="F39" i="108"/>
  <c r="M44" i="123"/>
  <c r="M24" i="123"/>
  <c r="E35" i="108"/>
  <c r="L40" i="123"/>
  <c r="L23" i="123"/>
  <c r="M159" i="123"/>
  <c r="F35" i="108"/>
  <c r="M40" i="123"/>
  <c r="M23" i="123"/>
  <c r="M157" i="124"/>
  <c r="F140" i="113"/>
  <c r="M157" i="125"/>
  <c r="F140" i="114"/>
  <c r="M157" i="126"/>
  <c r="F141" i="115"/>
  <c r="M157" i="127"/>
  <c r="F140" i="116"/>
  <c r="M158" i="128"/>
  <c r="M158" i="131"/>
  <c r="C183" i="71"/>
  <c r="G141" i="115"/>
  <c r="D119" i="108"/>
  <c r="G35" i="108"/>
  <c r="N40" i="123"/>
  <c r="E14" i="95"/>
  <c r="U14" i="95"/>
  <c r="Q14" i="95"/>
  <c r="O18" i="95"/>
  <c r="K18" i="95"/>
  <c r="M17" i="95"/>
  <c r="M18" i="95"/>
  <c r="V17" i="95"/>
  <c r="R17" i="95"/>
  <c r="R18" i="95"/>
  <c r="N17" i="95"/>
  <c r="N18" i="95"/>
  <c r="J17" i="95"/>
  <c r="F17" i="95"/>
  <c r="M125" i="122"/>
  <c r="M123" i="122"/>
  <c r="M90" i="122"/>
  <c r="M91" i="122"/>
  <c r="L91" i="122"/>
  <c r="L90" i="122"/>
  <c r="T34" i="122"/>
  <c r="S44" i="122"/>
  <c r="S40" i="122"/>
  <c r="L146" i="122"/>
  <c r="L127" i="122"/>
  <c r="E39" i="108"/>
  <c r="L44" i="123"/>
  <c r="J29" i="120"/>
  <c r="I39" i="120"/>
  <c r="P44" i="139"/>
  <c r="I35" i="120"/>
  <c r="P40" i="139"/>
  <c r="I30" i="120"/>
  <c r="P35" i="139"/>
  <c r="I29" i="119"/>
  <c r="H35" i="119"/>
  <c r="O40" i="138"/>
  <c r="G39" i="118"/>
  <c r="N44" i="137"/>
  <c r="G35" i="118"/>
  <c r="N40" i="137"/>
  <c r="H39" i="119"/>
  <c r="O44" i="138"/>
  <c r="J39" i="117"/>
  <c r="Q44" i="136"/>
  <c r="J35" i="117"/>
  <c r="Q40" i="136"/>
  <c r="K29" i="117"/>
  <c r="J29" i="115"/>
  <c r="J29" i="113"/>
  <c r="I29" i="114"/>
  <c r="I39" i="113"/>
  <c r="P44" i="124"/>
  <c r="G39" i="116"/>
  <c r="N44" i="127"/>
  <c r="G35" i="116"/>
  <c r="N40" i="127"/>
  <c r="H29" i="116"/>
  <c r="I35" i="113"/>
  <c r="P40" i="124"/>
  <c r="I39" i="112"/>
  <c r="P44" i="132"/>
  <c r="I35" i="112"/>
  <c r="P40" i="132"/>
  <c r="I30" i="112"/>
  <c r="J35" i="111"/>
  <c r="Q40" i="131"/>
  <c r="K29" i="111"/>
  <c r="G35" i="110"/>
  <c r="N40" i="130"/>
  <c r="H29" i="110"/>
  <c r="K29" i="109"/>
  <c r="J35" i="109"/>
  <c r="Q40" i="128"/>
  <c r="D156" i="108"/>
  <c r="H29" i="108"/>
  <c r="G39" i="108"/>
  <c r="N44" i="123"/>
  <c r="XFD49" i="108"/>
  <c r="J18" i="95"/>
  <c r="F18" i="95"/>
  <c r="V18" i="95"/>
  <c r="E36" i="95"/>
  <c r="E10" i="95"/>
  <c r="S18" i="95"/>
  <c r="H43" i="95"/>
  <c r="H44" i="95"/>
  <c r="D43" i="95"/>
  <c r="D44" i="95"/>
  <c r="F10" i="95"/>
  <c r="G18" i="95"/>
  <c r="H18" i="95"/>
  <c r="C10" i="95"/>
  <c r="K10" i="95"/>
  <c r="D18" i="95"/>
  <c r="L18" i="95"/>
  <c r="D49" i="95"/>
  <c r="L36" i="95"/>
  <c r="H49" i="95"/>
  <c r="C57" i="95"/>
  <c r="O57" i="95"/>
  <c r="G57" i="95"/>
  <c r="L49" i="95"/>
  <c r="V56" i="95"/>
  <c r="V57" i="95"/>
  <c r="R56" i="95"/>
  <c r="R57" i="95"/>
  <c r="N56" i="95"/>
  <c r="N57" i="95"/>
  <c r="J56" i="95"/>
  <c r="J57" i="95"/>
  <c r="F56" i="95"/>
  <c r="F57" i="95"/>
  <c r="K44" i="95"/>
  <c r="G44" i="95"/>
  <c r="C36" i="95"/>
  <c r="S57" i="95"/>
  <c r="G49" i="95"/>
  <c r="C49" i="95"/>
  <c r="K49" i="95"/>
  <c r="E49" i="95"/>
  <c r="I49" i="95"/>
  <c r="F49" i="95"/>
  <c r="J49" i="95"/>
  <c r="J8" i="106"/>
  <c r="J3" i="106"/>
  <c r="J7" i="106"/>
  <c r="E65" i="5"/>
  <c r="E66" i="5"/>
  <c r="M93" i="122"/>
  <c r="L93" i="122"/>
  <c r="L100" i="122"/>
  <c r="L112" i="122"/>
  <c r="U34" i="122"/>
  <c r="T40" i="122"/>
  <c r="T44" i="122"/>
  <c r="L129" i="122"/>
  <c r="L131" i="122"/>
  <c r="L29" i="117"/>
  <c r="K35" i="117"/>
  <c r="R40" i="136"/>
  <c r="K39" i="117"/>
  <c r="R44" i="136"/>
  <c r="H39" i="118"/>
  <c r="O44" i="137"/>
  <c r="H35" i="118"/>
  <c r="O40" i="137"/>
  <c r="J29" i="119"/>
  <c r="I35" i="119"/>
  <c r="P40" i="138"/>
  <c r="I39" i="119"/>
  <c r="P44" i="138"/>
  <c r="K29" i="120"/>
  <c r="J30" i="120"/>
  <c r="Q35" i="139"/>
  <c r="J39" i="120"/>
  <c r="Q44" i="139"/>
  <c r="J35" i="120"/>
  <c r="Q40" i="139"/>
  <c r="I35" i="114"/>
  <c r="P40" i="125"/>
  <c r="I39" i="114"/>
  <c r="P44" i="125"/>
  <c r="J29" i="114"/>
  <c r="J35" i="115"/>
  <c r="Q40" i="126"/>
  <c r="K29" i="115"/>
  <c r="J39" i="115"/>
  <c r="Q44" i="126"/>
  <c r="J39" i="113"/>
  <c r="Q44" i="124"/>
  <c r="J35" i="113"/>
  <c r="Q40" i="124"/>
  <c r="K29" i="113"/>
  <c r="I29" i="116"/>
  <c r="H30" i="116"/>
  <c r="H35" i="116"/>
  <c r="O40" i="127"/>
  <c r="H39" i="116"/>
  <c r="O44" i="127"/>
  <c r="J30" i="112"/>
  <c r="J39" i="112"/>
  <c r="Q44" i="132"/>
  <c r="J35" i="112"/>
  <c r="Q40" i="132"/>
  <c r="L29" i="111"/>
  <c r="K39" i="111"/>
  <c r="R44" i="131"/>
  <c r="K35" i="111"/>
  <c r="R40" i="131"/>
  <c r="I29" i="110"/>
  <c r="H39" i="110"/>
  <c r="O44" i="130"/>
  <c r="H35" i="110"/>
  <c r="O40" i="130"/>
  <c r="L29" i="109"/>
  <c r="K35" i="109"/>
  <c r="R40" i="128"/>
  <c r="K39" i="109"/>
  <c r="R44" i="128"/>
  <c r="I29" i="108"/>
  <c r="H39" i="108"/>
  <c r="O44" i="123"/>
  <c r="H35" i="108"/>
  <c r="O40" i="123"/>
  <c r="V83" i="95"/>
  <c r="U83" i="95"/>
  <c r="T83" i="95"/>
  <c r="S83" i="95"/>
  <c r="R83" i="95"/>
  <c r="Q83" i="95"/>
  <c r="P83" i="95"/>
  <c r="O83" i="95"/>
  <c r="N83" i="95"/>
  <c r="M83" i="95"/>
  <c r="L83" i="95"/>
  <c r="K83" i="95"/>
  <c r="J83" i="95"/>
  <c r="I83" i="95"/>
  <c r="H83" i="95"/>
  <c r="G83" i="95"/>
  <c r="F83" i="95"/>
  <c r="E83" i="95"/>
  <c r="D83" i="95"/>
  <c r="C83" i="95"/>
  <c r="V79" i="95"/>
  <c r="U79" i="95"/>
  <c r="T79" i="95"/>
  <c r="S79" i="95"/>
  <c r="R79" i="95"/>
  <c r="Q79" i="95"/>
  <c r="P79" i="95"/>
  <c r="O79" i="95"/>
  <c r="N79" i="95"/>
  <c r="M79" i="95"/>
  <c r="L79" i="95"/>
  <c r="K79" i="95"/>
  <c r="J79" i="95"/>
  <c r="I79" i="95"/>
  <c r="H79" i="95"/>
  <c r="G79" i="95"/>
  <c r="F79" i="95"/>
  <c r="E79" i="95"/>
  <c r="D79" i="95"/>
  <c r="C79" i="95"/>
  <c r="K75" i="95"/>
  <c r="I75" i="95"/>
  <c r="G75" i="95"/>
  <c r="E75" i="95"/>
  <c r="C75" i="95"/>
  <c r="L75" i="95"/>
  <c r="J75" i="95"/>
  <c r="H75" i="95"/>
  <c r="F75" i="95"/>
  <c r="D75" i="95"/>
  <c r="D105" i="94"/>
  <c r="E105" i="94"/>
  <c r="F105" i="94"/>
  <c r="G105" i="94"/>
  <c r="H105" i="94"/>
  <c r="I105" i="94"/>
  <c r="J105" i="94"/>
  <c r="K105" i="94"/>
  <c r="L105" i="94"/>
  <c r="M105" i="94"/>
  <c r="N105" i="94"/>
  <c r="O105" i="94"/>
  <c r="P105" i="94"/>
  <c r="Q105" i="94"/>
  <c r="R105" i="94"/>
  <c r="S105" i="94"/>
  <c r="S107" i="94"/>
  <c r="S108" i="94"/>
  <c r="T105" i="94"/>
  <c r="U105" i="94"/>
  <c r="V105" i="94"/>
  <c r="C105" i="94"/>
  <c r="V112" i="94"/>
  <c r="U112" i="94"/>
  <c r="T112" i="94"/>
  <c r="S112" i="94"/>
  <c r="R112" i="94"/>
  <c r="Q112" i="94"/>
  <c r="P112" i="94"/>
  <c r="O112" i="94"/>
  <c r="N112" i="94"/>
  <c r="M112" i="94"/>
  <c r="L112" i="94"/>
  <c r="K112" i="94"/>
  <c r="J112" i="94"/>
  <c r="I112" i="94"/>
  <c r="H112" i="94"/>
  <c r="G112" i="94"/>
  <c r="F112" i="94"/>
  <c r="E112" i="94"/>
  <c r="D112" i="94"/>
  <c r="C112" i="94"/>
  <c r="C109" i="94"/>
  <c r="V107" i="94"/>
  <c r="V108" i="94"/>
  <c r="U107" i="94"/>
  <c r="U108" i="94"/>
  <c r="T107" i="94"/>
  <c r="T108" i="94"/>
  <c r="R107" i="94"/>
  <c r="R108" i="94"/>
  <c r="Q107" i="94"/>
  <c r="Q108" i="94"/>
  <c r="P107" i="94"/>
  <c r="P108" i="94"/>
  <c r="O106" i="94"/>
  <c r="O111" i="94"/>
  <c r="N107" i="94"/>
  <c r="N108" i="94"/>
  <c r="M107" i="94"/>
  <c r="M108" i="94"/>
  <c r="L107" i="94"/>
  <c r="L108" i="94"/>
  <c r="K107" i="94"/>
  <c r="K108" i="94"/>
  <c r="J107" i="94"/>
  <c r="J108" i="94"/>
  <c r="I107" i="94"/>
  <c r="I108" i="94"/>
  <c r="H107" i="94"/>
  <c r="H108" i="94"/>
  <c r="G107" i="94"/>
  <c r="G108" i="94"/>
  <c r="F107" i="94"/>
  <c r="F108" i="94"/>
  <c r="E107" i="94"/>
  <c r="E108" i="94"/>
  <c r="D107" i="94"/>
  <c r="D108" i="94"/>
  <c r="C107" i="94"/>
  <c r="C108" i="94"/>
  <c r="V103" i="94"/>
  <c r="U103" i="94"/>
  <c r="T103" i="94"/>
  <c r="S103" i="94"/>
  <c r="R103" i="94"/>
  <c r="Q103" i="94"/>
  <c r="P103" i="94"/>
  <c r="O103" i="94"/>
  <c r="N103" i="94"/>
  <c r="M103" i="94"/>
  <c r="L103" i="94"/>
  <c r="K103" i="94"/>
  <c r="J103" i="94"/>
  <c r="I103" i="94"/>
  <c r="H103" i="94"/>
  <c r="G103" i="94"/>
  <c r="F103" i="94"/>
  <c r="E103" i="94"/>
  <c r="D103" i="94"/>
  <c r="C103" i="94"/>
  <c r="C49" i="94"/>
  <c r="D69" i="94"/>
  <c r="D71" i="94"/>
  <c r="D72" i="94"/>
  <c r="E69" i="94"/>
  <c r="F69" i="94"/>
  <c r="G69" i="94"/>
  <c r="H69" i="94"/>
  <c r="H71" i="94"/>
  <c r="H72" i="94"/>
  <c r="I69" i="94"/>
  <c r="J69" i="94"/>
  <c r="K69" i="94"/>
  <c r="L69" i="94"/>
  <c r="L71" i="94"/>
  <c r="L72" i="94"/>
  <c r="M69" i="94"/>
  <c r="N69" i="94"/>
  <c r="O69" i="94"/>
  <c r="P69" i="94"/>
  <c r="P71" i="94"/>
  <c r="P72" i="94"/>
  <c r="Q69" i="94"/>
  <c r="R69" i="94"/>
  <c r="S69" i="94"/>
  <c r="T69" i="94"/>
  <c r="T71" i="94"/>
  <c r="T72" i="94"/>
  <c r="U69" i="94"/>
  <c r="V69" i="94"/>
  <c r="C69" i="94"/>
  <c r="V71" i="94"/>
  <c r="V72" i="94"/>
  <c r="U71" i="94"/>
  <c r="U72" i="94"/>
  <c r="S70" i="94"/>
  <c r="S75" i="94"/>
  <c r="R71" i="94"/>
  <c r="R72" i="94"/>
  <c r="Q71" i="94"/>
  <c r="Q72" i="94"/>
  <c r="O71" i="94"/>
  <c r="O72" i="94"/>
  <c r="N71" i="94"/>
  <c r="N72" i="94"/>
  <c r="M71" i="94"/>
  <c r="M72" i="94"/>
  <c r="K71" i="94"/>
  <c r="K72" i="94"/>
  <c r="J71" i="94"/>
  <c r="J72" i="94"/>
  <c r="I71" i="94"/>
  <c r="I72" i="94"/>
  <c r="G70" i="94"/>
  <c r="G75" i="94"/>
  <c r="F71" i="94"/>
  <c r="F72" i="94"/>
  <c r="E71" i="94"/>
  <c r="E72" i="94"/>
  <c r="C71" i="94"/>
  <c r="C72" i="94"/>
  <c r="V67" i="94"/>
  <c r="U67" i="94"/>
  <c r="T67" i="94"/>
  <c r="S67" i="94"/>
  <c r="R67" i="94"/>
  <c r="Q67" i="94"/>
  <c r="P67" i="94"/>
  <c r="O67" i="94"/>
  <c r="N67" i="94"/>
  <c r="M67" i="94"/>
  <c r="L67" i="94"/>
  <c r="K67" i="94"/>
  <c r="J67" i="94"/>
  <c r="I67" i="94"/>
  <c r="H67" i="94"/>
  <c r="G67" i="94"/>
  <c r="F67" i="94"/>
  <c r="E67" i="94"/>
  <c r="D67" i="94"/>
  <c r="C67" i="94"/>
  <c r="V51" i="94"/>
  <c r="V53" i="94"/>
  <c r="V54" i="94"/>
  <c r="U51" i="94"/>
  <c r="U53" i="94"/>
  <c r="U54" i="94"/>
  <c r="T51" i="94"/>
  <c r="T53" i="94"/>
  <c r="T54" i="94"/>
  <c r="S51" i="94"/>
  <c r="S53" i="94"/>
  <c r="S54" i="94"/>
  <c r="R51" i="94"/>
  <c r="R52" i="94"/>
  <c r="R57" i="94"/>
  <c r="Q51" i="94"/>
  <c r="Q52" i="94"/>
  <c r="Q57" i="94"/>
  <c r="P51" i="94"/>
  <c r="P53" i="94"/>
  <c r="P54" i="94"/>
  <c r="O51" i="94"/>
  <c r="O53" i="94"/>
  <c r="O54" i="94"/>
  <c r="N51" i="94"/>
  <c r="N53" i="94"/>
  <c r="N54" i="94"/>
  <c r="M51" i="94"/>
  <c r="M53" i="94"/>
  <c r="M54" i="94"/>
  <c r="L51" i="94"/>
  <c r="L53" i="94"/>
  <c r="L54" i="94"/>
  <c r="K51" i="94"/>
  <c r="K53" i="94"/>
  <c r="K54" i="94"/>
  <c r="J51" i="94"/>
  <c r="J52" i="94"/>
  <c r="J57" i="94"/>
  <c r="I51" i="94"/>
  <c r="I52" i="94"/>
  <c r="I57" i="94"/>
  <c r="H51" i="94"/>
  <c r="H53" i="94"/>
  <c r="H54" i="94"/>
  <c r="G51" i="94"/>
  <c r="G53" i="94"/>
  <c r="G54" i="94"/>
  <c r="F51" i="94"/>
  <c r="F53" i="94"/>
  <c r="F54" i="94"/>
  <c r="E51" i="94"/>
  <c r="E53" i="94"/>
  <c r="E54" i="94"/>
  <c r="D51" i="94"/>
  <c r="D53" i="94"/>
  <c r="D54" i="94"/>
  <c r="C51" i="94"/>
  <c r="C53" i="94"/>
  <c r="C54" i="94"/>
  <c r="V49" i="94"/>
  <c r="U49" i="94"/>
  <c r="T49" i="94"/>
  <c r="S49" i="94"/>
  <c r="R49" i="94"/>
  <c r="Q49" i="94"/>
  <c r="P49" i="94"/>
  <c r="O49" i="94"/>
  <c r="N49" i="94"/>
  <c r="M49" i="94"/>
  <c r="L49" i="94"/>
  <c r="K49" i="94"/>
  <c r="J49" i="94"/>
  <c r="I49" i="94"/>
  <c r="H49" i="94"/>
  <c r="G49" i="94"/>
  <c r="F49" i="94"/>
  <c r="E49" i="94"/>
  <c r="D49" i="94"/>
  <c r="D15" i="94"/>
  <c r="E15" i="94"/>
  <c r="E17" i="94"/>
  <c r="E18" i="94"/>
  <c r="F15" i="94"/>
  <c r="G15" i="94"/>
  <c r="H15" i="94"/>
  <c r="I15" i="94"/>
  <c r="I17" i="94"/>
  <c r="I18" i="94"/>
  <c r="J15" i="94"/>
  <c r="K15" i="94"/>
  <c r="L15" i="94"/>
  <c r="M15" i="94"/>
  <c r="M17" i="94"/>
  <c r="M18" i="94"/>
  <c r="N15" i="94"/>
  <c r="O15" i="94"/>
  <c r="P15" i="94"/>
  <c r="Q15" i="94"/>
  <c r="Q17" i="94"/>
  <c r="Q18" i="94"/>
  <c r="R15" i="94"/>
  <c r="S15" i="94"/>
  <c r="T15" i="94"/>
  <c r="U15" i="94"/>
  <c r="U17" i="94"/>
  <c r="U18" i="94"/>
  <c r="V15" i="94"/>
  <c r="C15" i="94"/>
  <c r="C17" i="94"/>
  <c r="C18" i="94"/>
  <c r="C13" i="94"/>
  <c r="D13" i="94"/>
  <c r="V17" i="94"/>
  <c r="V18" i="94"/>
  <c r="T17" i="94"/>
  <c r="T18" i="94"/>
  <c r="S17" i="94"/>
  <c r="S18" i="94"/>
  <c r="R17" i="94"/>
  <c r="R18" i="94"/>
  <c r="P17" i="94"/>
  <c r="P18" i="94"/>
  <c r="O17" i="94"/>
  <c r="O18" i="94"/>
  <c r="N17" i="94"/>
  <c r="N18" i="94"/>
  <c r="L17" i="94"/>
  <c r="L18" i="94"/>
  <c r="K16" i="94"/>
  <c r="K21" i="94"/>
  <c r="J17" i="94"/>
  <c r="J18" i="94"/>
  <c r="H17" i="94"/>
  <c r="H18" i="94"/>
  <c r="G17" i="94"/>
  <c r="G18" i="94"/>
  <c r="F17" i="94"/>
  <c r="F18" i="94"/>
  <c r="D17" i="94"/>
  <c r="D18" i="94"/>
  <c r="V13" i="94"/>
  <c r="U13" i="94"/>
  <c r="T13" i="94"/>
  <c r="S13" i="94"/>
  <c r="R13" i="94"/>
  <c r="Q13" i="94"/>
  <c r="P13" i="94"/>
  <c r="O13" i="94"/>
  <c r="N13" i="94"/>
  <c r="M13" i="94"/>
  <c r="L13" i="94"/>
  <c r="K13" i="94"/>
  <c r="J13" i="94"/>
  <c r="I13" i="94"/>
  <c r="H13" i="94"/>
  <c r="G13" i="94"/>
  <c r="F13" i="94"/>
  <c r="E13" i="94"/>
  <c r="L158" i="122"/>
  <c r="L162" i="122"/>
  <c r="U40" i="122"/>
  <c r="V34" i="122"/>
  <c r="U44" i="122"/>
  <c r="L29" i="120"/>
  <c r="K30" i="120"/>
  <c r="R35" i="139"/>
  <c r="K39" i="120"/>
  <c r="R44" i="139"/>
  <c r="K35" i="120"/>
  <c r="R40" i="139"/>
  <c r="K29" i="119"/>
  <c r="J35" i="119"/>
  <c r="Q40" i="138"/>
  <c r="J39" i="119"/>
  <c r="Q44" i="138"/>
  <c r="I35" i="118"/>
  <c r="P40" i="137"/>
  <c r="I39" i="118"/>
  <c r="P44" i="137"/>
  <c r="M29" i="117"/>
  <c r="L39" i="117"/>
  <c r="S44" i="136"/>
  <c r="L35" i="117"/>
  <c r="S40" i="136"/>
  <c r="L29" i="115"/>
  <c r="K39" i="115"/>
  <c r="R44" i="126"/>
  <c r="K35" i="115"/>
  <c r="R40" i="126"/>
  <c r="J29" i="116"/>
  <c r="I39" i="116"/>
  <c r="P44" i="127"/>
  <c r="I35" i="116"/>
  <c r="P40" i="127"/>
  <c r="I30" i="116"/>
  <c r="L29" i="113"/>
  <c r="K39" i="113"/>
  <c r="R44" i="124"/>
  <c r="K35" i="113"/>
  <c r="R40" i="124"/>
  <c r="K29" i="114"/>
  <c r="J39" i="114"/>
  <c r="Q44" i="125"/>
  <c r="J35" i="114"/>
  <c r="Q40" i="125"/>
  <c r="K39" i="112"/>
  <c r="R44" i="132"/>
  <c r="K35" i="112"/>
  <c r="R40" i="132"/>
  <c r="K30" i="112"/>
  <c r="M29" i="111"/>
  <c r="L39" i="111"/>
  <c r="S44" i="131"/>
  <c r="L35" i="111"/>
  <c r="S40" i="131"/>
  <c r="I39" i="110"/>
  <c r="P44" i="130"/>
  <c r="J29" i="110"/>
  <c r="I35" i="110"/>
  <c r="P40" i="130"/>
  <c r="M29" i="109"/>
  <c r="L39" i="109"/>
  <c r="S44" i="128"/>
  <c r="L35" i="109"/>
  <c r="S40" i="128"/>
  <c r="J29" i="108"/>
  <c r="I39" i="108"/>
  <c r="P44" i="123"/>
  <c r="I35" i="108"/>
  <c r="P40" i="123"/>
  <c r="O113" i="94"/>
  <c r="C110" i="94"/>
  <c r="G106" i="94"/>
  <c r="G111" i="94"/>
  <c r="G113" i="94"/>
  <c r="S106" i="94"/>
  <c r="S111" i="94"/>
  <c r="S113" i="94"/>
  <c r="O107" i="94"/>
  <c r="O108" i="94"/>
  <c r="D106" i="94"/>
  <c r="D111" i="94"/>
  <c r="D113" i="94"/>
  <c r="H106" i="94"/>
  <c r="H111" i="94"/>
  <c r="H113" i="94"/>
  <c r="L106" i="94"/>
  <c r="L111" i="94"/>
  <c r="L113" i="94"/>
  <c r="P106" i="94"/>
  <c r="P111" i="94"/>
  <c r="P113" i="94"/>
  <c r="T106" i="94"/>
  <c r="T111" i="94"/>
  <c r="T113" i="94"/>
  <c r="E106" i="94"/>
  <c r="E111" i="94"/>
  <c r="E113" i="94"/>
  <c r="I106" i="94"/>
  <c r="I111" i="94"/>
  <c r="I113" i="94"/>
  <c r="M106" i="94"/>
  <c r="M111" i="94"/>
  <c r="M113" i="94"/>
  <c r="Q106" i="94"/>
  <c r="Q111" i="94"/>
  <c r="Q113" i="94"/>
  <c r="U106" i="94"/>
  <c r="U111" i="94"/>
  <c r="U113" i="94"/>
  <c r="C106" i="94"/>
  <c r="C111" i="94"/>
  <c r="C113" i="94"/>
  <c r="K106" i="94"/>
  <c r="K111" i="94"/>
  <c r="K113" i="94"/>
  <c r="F106" i="94"/>
  <c r="F111" i="94"/>
  <c r="F113" i="94"/>
  <c r="J106" i="94"/>
  <c r="J111" i="94"/>
  <c r="J113" i="94"/>
  <c r="N106" i="94"/>
  <c r="N111" i="94"/>
  <c r="N113" i="94"/>
  <c r="R106" i="94"/>
  <c r="R111" i="94"/>
  <c r="R113" i="94"/>
  <c r="V106" i="94"/>
  <c r="V111" i="94"/>
  <c r="V113" i="94"/>
  <c r="M52" i="94"/>
  <c r="M57" i="94"/>
  <c r="U52" i="94"/>
  <c r="U57" i="94"/>
  <c r="I53" i="94"/>
  <c r="I54" i="94"/>
  <c r="E52" i="94"/>
  <c r="E57" i="94"/>
  <c r="Q53" i="94"/>
  <c r="Q54" i="94"/>
  <c r="C70" i="94"/>
  <c r="C75" i="94"/>
  <c r="O70" i="94"/>
  <c r="O75" i="94"/>
  <c r="G71" i="94"/>
  <c r="G72" i="94"/>
  <c r="S71" i="94"/>
  <c r="S72" i="94"/>
  <c r="D70" i="94"/>
  <c r="D75" i="94"/>
  <c r="H70" i="94"/>
  <c r="H75" i="94"/>
  <c r="L70" i="94"/>
  <c r="L75" i="94"/>
  <c r="P70" i="94"/>
  <c r="P75" i="94"/>
  <c r="T70" i="94"/>
  <c r="T75" i="94"/>
  <c r="K70" i="94"/>
  <c r="K75" i="94"/>
  <c r="E70" i="94"/>
  <c r="E75" i="94"/>
  <c r="I70" i="94"/>
  <c r="I75" i="94"/>
  <c r="M70" i="94"/>
  <c r="M75" i="94"/>
  <c r="Q70" i="94"/>
  <c r="Q75" i="94"/>
  <c r="U70" i="94"/>
  <c r="U75" i="94"/>
  <c r="F70" i="94"/>
  <c r="F75" i="94"/>
  <c r="J70" i="94"/>
  <c r="J75" i="94"/>
  <c r="N70" i="94"/>
  <c r="N75" i="94"/>
  <c r="R70" i="94"/>
  <c r="R75" i="94"/>
  <c r="V70" i="94"/>
  <c r="V75" i="94"/>
  <c r="F52" i="94"/>
  <c r="F57" i="94"/>
  <c r="N52" i="94"/>
  <c r="N57" i="94"/>
  <c r="V52" i="94"/>
  <c r="V57" i="94"/>
  <c r="J53" i="94"/>
  <c r="J54" i="94"/>
  <c r="R53" i="94"/>
  <c r="R54" i="94"/>
  <c r="C52" i="94"/>
  <c r="C57" i="94"/>
  <c r="G52" i="94"/>
  <c r="G57" i="94"/>
  <c r="K52" i="94"/>
  <c r="K57" i="94"/>
  <c r="O52" i="94"/>
  <c r="O57" i="94"/>
  <c r="S52" i="94"/>
  <c r="S57" i="94"/>
  <c r="D52" i="94"/>
  <c r="D57" i="94"/>
  <c r="H52" i="94"/>
  <c r="H57" i="94"/>
  <c r="L52" i="94"/>
  <c r="L57" i="94"/>
  <c r="P52" i="94"/>
  <c r="P57" i="94"/>
  <c r="T52" i="94"/>
  <c r="T57" i="94"/>
  <c r="G16" i="94"/>
  <c r="G21" i="94"/>
  <c r="S16" i="94"/>
  <c r="S21" i="94"/>
  <c r="K17" i="94"/>
  <c r="K18" i="94"/>
  <c r="D16" i="94"/>
  <c r="D21" i="94"/>
  <c r="H16" i="94"/>
  <c r="H21" i="94"/>
  <c r="L16" i="94"/>
  <c r="L21" i="94"/>
  <c r="P16" i="94"/>
  <c r="P21" i="94"/>
  <c r="T16" i="94"/>
  <c r="T21" i="94"/>
  <c r="C16" i="94"/>
  <c r="C21" i="94"/>
  <c r="O16" i="94"/>
  <c r="O21" i="94"/>
  <c r="E16" i="94"/>
  <c r="E21" i="94"/>
  <c r="I16" i="94"/>
  <c r="I21" i="94"/>
  <c r="M16" i="94"/>
  <c r="M21" i="94"/>
  <c r="Q16" i="94"/>
  <c r="Q21" i="94"/>
  <c r="U16" i="94"/>
  <c r="U21" i="94"/>
  <c r="F16" i="94"/>
  <c r="F21" i="94"/>
  <c r="J16" i="94"/>
  <c r="J21" i="94"/>
  <c r="N16" i="94"/>
  <c r="N21" i="94"/>
  <c r="R16" i="94"/>
  <c r="R21" i="94"/>
  <c r="V16" i="94"/>
  <c r="V21" i="94"/>
  <c r="F51" i="105"/>
  <c r="M56" i="143"/>
  <c r="G51" i="105"/>
  <c r="N56" i="143"/>
  <c r="H51" i="105"/>
  <c r="O56" i="143"/>
  <c r="I51" i="105"/>
  <c r="P56" i="143"/>
  <c r="J51" i="105"/>
  <c r="Q56" i="143"/>
  <c r="K51" i="105"/>
  <c r="R56" i="143"/>
  <c r="L51" i="105"/>
  <c r="S56" i="143"/>
  <c r="M51" i="105"/>
  <c r="T56" i="143"/>
  <c r="N51" i="105"/>
  <c r="U56" i="143"/>
  <c r="O51" i="105"/>
  <c r="V56" i="143"/>
  <c r="P51" i="105"/>
  <c r="W56" i="143"/>
  <c r="Q51" i="105"/>
  <c r="X56" i="143"/>
  <c r="R51" i="105"/>
  <c r="Y56" i="143"/>
  <c r="S51" i="105"/>
  <c r="Z56" i="143"/>
  <c r="T51" i="105"/>
  <c r="AA56" i="143"/>
  <c r="U51" i="105"/>
  <c r="AB56" i="143"/>
  <c r="V51" i="105"/>
  <c r="AC56" i="143"/>
  <c r="W51" i="105"/>
  <c r="AD56" i="143"/>
  <c r="X51" i="105"/>
  <c r="AE56" i="143"/>
  <c r="E51" i="105"/>
  <c r="L56" i="143"/>
  <c r="F51" i="104"/>
  <c r="M56" i="142"/>
  <c r="G51" i="104"/>
  <c r="N56" i="142"/>
  <c r="H51" i="104"/>
  <c r="O56" i="142"/>
  <c r="I51" i="104"/>
  <c r="P56" i="142"/>
  <c r="J51" i="104"/>
  <c r="Q56" i="142"/>
  <c r="K51" i="104"/>
  <c r="R56" i="142"/>
  <c r="L51" i="104"/>
  <c r="S56" i="142"/>
  <c r="M51" i="104"/>
  <c r="T56" i="142"/>
  <c r="N51" i="104"/>
  <c r="U56" i="142"/>
  <c r="O51" i="104"/>
  <c r="V56" i="142"/>
  <c r="P51" i="104"/>
  <c r="W56" i="142"/>
  <c r="Q51" i="104"/>
  <c r="X56" i="142"/>
  <c r="R51" i="104"/>
  <c r="Y56" i="142"/>
  <c r="S51" i="104"/>
  <c r="Z56" i="142"/>
  <c r="T51" i="104"/>
  <c r="AA56" i="142"/>
  <c r="U51" i="104"/>
  <c r="AB56" i="142"/>
  <c r="V51" i="104"/>
  <c r="AC56" i="142"/>
  <c r="W51" i="104"/>
  <c r="AD56" i="142"/>
  <c r="X51" i="104"/>
  <c r="AE56" i="142"/>
  <c r="E51" i="104"/>
  <c r="L56" i="142"/>
  <c r="F51" i="103"/>
  <c r="M56" i="141"/>
  <c r="G51" i="103"/>
  <c r="N56" i="141"/>
  <c r="H51" i="103"/>
  <c r="O56" i="141"/>
  <c r="I51" i="103"/>
  <c r="P56" i="141"/>
  <c r="J51" i="103"/>
  <c r="Q56" i="141"/>
  <c r="K51" i="103"/>
  <c r="R56" i="141"/>
  <c r="L51" i="103"/>
  <c r="S56" i="141"/>
  <c r="M51" i="103"/>
  <c r="T56" i="141"/>
  <c r="N51" i="103"/>
  <c r="U56" i="141"/>
  <c r="O51" i="103"/>
  <c r="V56" i="141"/>
  <c r="P51" i="103"/>
  <c r="W56" i="141"/>
  <c r="Q51" i="103"/>
  <c r="X56" i="141"/>
  <c r="R51" i="103"/>
  <c r="Y56" i="141"/>
  <c r="S51" i="103"/>
  <c r="Z56" i="141"/>
  <c r="T51" i="103"/>
  <c r="AA56" i="141"/>
  <c r="U51" i="103"/>
  <c r="AB56" i="141"/>
  <c r="V51" i="103"/>
  <c r="AC56" i="141"/>
  <c r="W51" i="103"/>
  <c r="AD56" i="141"/>
  <c r="X51" i="103"/>
  <c r="AE56" i="141"/>
  <c r="E51" i="103"/>
  <c r="L56" i="141"/>
  <c r="F51" i="93"/>
  <c r="M56" i="140"/>
  <c r="G51" i="93"/>
  <c r="N56" i="140"/>
  <c r="H51" i="93"/>
  <c r="O56" i="140"/>
  <c r="I51" i="93"/>
  <c r="P56" i="140"/>
  <c r="J51" i="93"/>
  <c r="Q56" i="140"/>
  <c r="K51" i="93"/>
  <c r="R56" i="140"/>
  <c r="L51" i="93"/>
  <c r="S56" i="140"/>
  <c r="M51" i="93"/>
  <c r="T56" i="140"/>
  <c r="N51" i="93"/>
  <c r="U56" i="140"/>
  <c r="O51" i="93"/>
  <c r="V56" i="140"/>
  <c r="P51" i="93"/>
  <c r="W56" i="140"/>
  <c r="Q51" i="93"/>
  <c r="X56" i="140"/>
  <c r="R51" i="93"/>
  <c r="Y56" i="140"/>
  <c r="S51" i="93"/>
  <c r="Z56" i="140"/>
  <c r="T51" i="93"/>
  <c r="AA56" i="140"/>
  <c r="U51" i="93"/>
  <c r="AB56" i="140"/>
  <c r="V51" i="93"/>
  <c r="AC56" i="140"/>
  <c r="W51" i="93"/>
  <c r="AD56" i="140"/>
  <c r="X51" i="93"/>
  <c r="AE56" i="140"/>
  <c r="E51" i="93"/>
  <c r="L56" i="140"/>
  <c r="E51" i="102"/>
  <c r="L56" i="135"/>
  <c r="F51" i="102"/>
  <c r="M56" i="135"/>
  <c r="G51" i="102"/>
  <c r="N56" i="135"/>
  <c r="H51" i="102"/>
  <c r="O56" i="135"/>
  <c r="I51" i="102"/>
  <c r="P56" i="135"/>
  <c r="J51" i="102"/>
  <c r="Q56" i="135"/>
  <c r="K51" i="102"/>
  <c r="R56" i="135"/>
  <c r="L51" i="102"/>
  <c r="S56" i="135"/>
  <c r="M51" i="102"/>
  <c r="T56" i="135"/>
  <c r="N51" i="102"/>
  <c r="U56" i="135"/>
  <c r="O51" i="102"/>
  <c r="V56" i="135"/>
  <c r="P51" i="102"/>
  <c r="W56" i="135"/>
  <c r="Q51" i="102"/>
  <c r="X56" i="135"/>
  <c r="R51" i="102"/>
  <c r="Y56" i="135"/>
  <c r="S51" i="102"/>
  <c r="Z56" i="135"/>
  <c r="T51" i="102"/>
  <c r="AA56" i="135"/>
  <c r="U51" i="102"/>
  <c r="AB56" i="135"/>
  <c r="V51" i="102"/>
  <c r="AC56" i="135"/>
  <c r="W51" i="102"/>
  <c r="AD56" i="135"/>
  <c r="X51" i="102"/>
  <c r="AE56" i="135"/>
  <c r="E51" i="101"/>
  <c r="L56" i="134"/>
  <c r="F51" i="101"/>
  <c r="M56" i="134"/>
  <c r="G51" i="101"/>
  <c r="N56" i="134"/>
  <c r="H51" i="101"/>
  <c r="O56" i="134"/>
  <c r="I51" i="101"/>
  <c r="P56" i="134"/>
  <c r="J51" i="101"/>
  <c r="Q56" i="134"/>
  <c r="K51" i="101"/>
  <c r="R56" i="134"/>
  <c r="L51" i="101"/>
  <c r="S56" i="134"/>
  <c r="M51" i="101"/>
  <c r="T56" i="134"/>
  <c r="N51" i="101"/>
  <c r="U56" i="134"/>
  <c r="O51" i="101"/>
  <c r="V56" i="134"/>
  <c r="P51" i="101"/>
  <c r="W56" i="134"/>
  <c r="Q51" i="101"/>
  <c r="X56" i="134"/>
  <c r="R51" i="101"/>
  <c r="Y56" i="134"/>
  <c r="S51" i="101"/>
  <c r="Z56" i="134"/>
  <c r="T51" i="101"/>
  <c r="AA56" i="134"/>
  <c r="U51" i="101"/>
  <c r="AB56" i="134"/>
  <c r="V51" i="101"/>
  <c r="AC56" i="134"/>
  <c r="W51" i="101"/>
  <c r="AD56" i="134"/>
  <c r="X51" i="101"/>
  <c r="AE56" i="134"/>
  <c r="E51" i="99"/>
  <c r="L56" i="133"/>
  <c r="F51" i="99"/>
  <c r="M56" i="133"/>
  <c r="G51" i="99"/>
  <c r="N56" i="133"/>
  <c r="H51" i="99"/>
  <c r="O56" i="133"/>
  <c r="I51" i="99"/>
  <c r="P56" i="133"/>
  <c r="J51" i="99"/>
  <c r="Q56" i="133"/>
  <c r="K51" i="99"/>
  <c r="R56" i="133"/>
  <c r="L51" i="99"/>
  <c r="S56" i="133"/>
  <c r="M51" i="99"/>
  <c r="T56" i="133"/>
  <c r="N51" i="99"/>
  <c r="U56" i="133"/>
  <c r="O51" i="99"/>
  <c r="V56" i="133"/>
  <c r="P51" i="99"/>
  <c r="W56" i="133"/>
  <c r="Q51" i="99"/>
  <c r="X56" i="133"/>
  <c r="R51" i="99"/>
  <c r="Y56" i="133"/>
  <c r="S51" i="99"/>
  <c r="Z56" i="133"/>
  <c r="T51" i="99"/>
  <c r="AA56" i="133"/>
  <c r="U51" i="99"/>
  <c r="AB56" i="133"/>
  <c r="V51" i="99"/>
  <c r="AC56" i="133"/>
  <c r="W51" i="99"/>
  <c r="AD56" i="133"/>
  <c r="X51" i="99"/>
  <c r="AE56" i="133"/>
  <c r="E51" i="96"/>
  <c r="L56" i="129"/>
  <c r="H51" i="96"/>
  <c r="O56" i="129"/>
  <c r="I51" i="96"/>
  <c r="P56" i="129"/>
  <c r="J51" i="96"/>
  <c r="Q56" i="129"/>
  <c r="K51" i="96"/>
  <c r="R56" i="129"/>
  <c r="L51" i="96"/>
  <c r="S56" i="129"/>
  <c r="M51" i="96"/>
  <c r="T56" i="129"/>
  <c r="N51" i="96"/>
  <c r="U56" i="129"/>
  <c r="O51" i="96"/>
  <c r="V56" i="129"/>
  <c r="P51" i="96"/>
  <c r="W56" i="129"/>
  <c r="Q51" i="96"/>
  <c r="X56" i="129"/>
  <c r="R51" i="96"/>
  <c r="Y56" i="129"/>
  <c r="S51" i="96"/>
  <c r="Z56" i="129"/>
  <c r="T51" i="96"/>
  <c r="AA56" i="129"/>
  <c r="U51" i="96"/>
  <c r="AB56" i="129"/>
  <c r="V51" i="96"/>
  <c r="AC56" i="129"/>
  <c r="W51" i="96"/>
  <c r="AD56" i="129"/>
  <c r="X51" i="96"/>
  <c r="AE56" i="129"/>
  <c r="F51" i="96"/>
  <c r="M56" i="129"/>
  <c r="G51" i="96"/>
  <c r="N56" i="129"/>
  <c r="F13" i="105"/>
  <c r="M18" i="143"/>
  <c r="G13" i="105"/>
  <c r="N18" i="143"/>
  <c r="H13" i="105"/>
  <c r="O18" i="143"/>
  <c r="I13" i="105"/>
  <c r="P18" i="143"/>
  <c r="J13" i="105"/>
  <c r="Q18" i="143"/>
  <c r="K13" i="105"/>
  <c r="R18" i="143"/>
  <c r="L13" i="105"/>
  <c r="S18" i="143"/>
  <c r="M13" i="105"/>
  <c r="T18" i="143"/>
  <c r="N13" i="105"/>
  <c r="U18" i="143"/>
  <c r="O13" i="105"/>
  <c r="V18" i="143"/>
  <c r="P13" i="105"/>
  <c r="W18" i="143"/>
  <c r="Q13" i="105"/>
  <c r="X18" i="143"/>
  <c r="R13" i="105"/>
  <c r="Y18" i="143"/>
  <c r="S13" i="105"/>
  <c r="Z18" i="143"/>
  <c r="T13" i="105"/>
  <c r="AA18" i="143"/>
  <c r="U13" i="105"/>
  <c r="AB18" i="143"/>
  <c r="V13" i="105"/>
  <c r="AC18" i="143"/>
  <c r="W13" i="105"/>
  <c r="AD18" i="143"/>
  <c r="X13" i="105"/>
  <c r="AE18" i="143"/>
  <c r="B9" i="105"/>
  <c r="D169" i="105"/>
  <c r="J169" i="105"/>
  <c r="F169" i="105"/>
  <c r="E169" i="105"/>
  <c r="X151" i="105"/>
  <c r="W151" i="105"/>
  <c r="V151" i="105"/>
  <c r="U151" i="105"/>
  <c r="T151" i="105"/>
  <c r="S151" i="105"/>
  <c r="R151" i="105"/>
  <c r="Q151" i="105"/>
  <c r="P151" i="105"/>
  <c r="O151" i="105"/>
  <c r="N151" i="105"/>
  <c r="M151" i="105"/>
  <c r="L151" i="105"/>
  <c r="K151" i="105"/>
  <c r="J151" i="105"/>
  <c r="I151" i="105"/>
  <c r="H151" i="105"/>
  <c r="G151" i="105"/>
  <c r="F151" i="105"/>
  <c r="E151" i="105"/>
  <c r="D151" i="105"/>
  <c r="D143" i="105"/>
  <c r="E143" i="105"/>
  <c r="D137" i="105"/>
  <c r="D145" i="105"/>
  <c r="E137" i="105"/>
  <c r="E145" i="105"/>
  <c r="E153" i="105"/>
  <c r="C411" i="71"/>
  <c r="D116" i="105"/>
  <c r="X115" i="105"/>
  <c r="W115" i="105"/>
  <c r="V115" i="105"/>
  <c r="U115" i="105"/>
  <c r="T115" i="105"/>
  <c r="S115" i="105"/>
  <c r="R115" i="105"/>
  <c r="Q115" i="105"/>
  <c r="P115" i="105"/>
  <c r="O115" i="105"/>
  <c r="N115" i="105"/>
  <c r="M115" i="105"/>
  <c r="L115" i="105"/>
  <c r="K115" i="105"/>
  <c r="J115" i="105"/>
  <c r="I115" i="105"/>
  <c r="H115" i="105"/>
  <c r="G115" i="105"/>
  <c r="F115" i="105"/>
  <c r="E115" i="105"/>
  <c r="D106" i="105"/>
  <c r="D120" i="105"/>
  <c r="X105" i="105"/>
  <c r="W105" i="105"/>
  <c r="V105" i="105"/>
  <c r="U105" i="105"/>
  <c r="T105" i="105"/>
  <c r="S105" i="105"/>
  <c r="R105" i="105"/>
  <c r="Q105" i="105"/>
  <c r="P105" i="105"/>
  <c r="O105" i="105"/>
  <c r="N105" i="105"/>
  <c r="M105" i="105"/>
  <c r="L105" i="105"/>
  <c r="K105" i="105"/>
  <c r="J105" i="105"/>
  <c r="I105" i="105"/>
  <c r="H105" i="105"/>
  <c r="G105" i="105"/>
  <c r="F105" i="105"/>
  <c r="A104" i="105"/>
  <c r="E102" i="105"/>
  <c r="A102" i="105"/>
  <c r="A94" i="105"/>
  <c r="A93" i="105"/>
  <c r="A91" i="105"/>
  <c r="A90" i="105"/>
  <c r="A88" i="105"/>
  <c r="A84" i="105"/>
  <c r="A83" i="105"/>
  <c r="A82" i="105"/>
  <c r="E81" i="105"/>
  <c r="A81" i="105"/>
  <c r="A78" i="105"/>
  <c r="A77" i="105"/>
  <c r="A72" i="105"/>
  <c r="X63" i="105"/>
  <c r="W63" i="105"/>
  <c r="V63" i="105"/>
  <c r="U63" i="105"/>
  <c r="T63" i="105"/>
  <c r="S63" i="105"/>
  <c r="R63" i="105"/>
  <c r="Q63" i="105"/>
  <c r="P63" i="105"/>
  <c r="O63" i="105"/>
  <c r="N63" i="105"/>
  <c r="M63" i="105"/>
  <c r="L63" i="105"/>
  <c r="K63" i="105"/>
  <c r="J63" i="105"/>
  <c r="I63" i="105"/>
  <c r="H63" i="105"/>
  <c r="G63" i="105"/>
  <c r="F92" i="105"/>
  <c r="A55" i="105"/>
  <c r="X49" i="105"/>
  <c r="W49" i="105"/>
  <c r="V49" i="105"/>
  <c r="U49" i="105"/>
  <c r="T49" i="105"/>
  <c r="S49" i="105"/>
  <c r="R49" i="105"/>
  <c r="Q49" i="105"/>
  <c r="P49" i="105"/>
  <c r="O49" i="105"/>
  <c r="N49" i="105"/>
  <c r="M49" i="105"/>
  <c r="L49" i="105"/>
  <c r="K49" i="105"/>
  <c r="J49" i="105"/>
  <c r="I49" i="105"/>
  <c r="H49" i="105"/>
  <c r="G49" i="105"/>
  <c r="F49" i="105"/>
  <c r="E49" i="105"/>
  <c r="X37" i="105"/>
  <c r="W37" i="105"/>
  <c r="V37" i="105"/>
  <c r="U37" i="105"/>
  <c r="T37" i="105"/>
  <c r="S37" i="105"/>
  <c r="R37" i="105"/>
  <c r="Q37" i="105"/>
  <c r="P37" i="105"/>
  <c r="O37" i="105"/>
  <c r="N37" i="105"/>
  <c r="M37" i="105"/>
  <c r="L37" i="105"/>
  <c r="K37" i="105"/>
  <c r="J37" i="105"/>
  <c r="I37" i="105"/>
  <c r="H37" i="105"/>
  <c r="G37" i="105"/>
  <c r="F37" i="105"/>
  <c r="E37" i="105"/>
  <c r="E30" i="105"/>
  <c r="F29" i="105"/>
  <c r="G29" i="105"/>
  <c r="H29" i="105"/>
  <c r="G30" i="105"/>
  <c r="N35" i="143"/>
  <c r="F30" i="105"/>
  <c r="M35" i="143"/>
  <c r="A23" i="105"/>
  <c r="A22" i="105"/>
  <c r="X20" i="105"/>
  <c r="AE25" i="143"/>
  <c r="W20" i="105"/>
  <c r="AD25" i="143"/>
  <c r="V20" i="105"/>
  <c r="AC25" i="143"/>
  <c r="U20" i="105"/>
  <c r="AB25" i="143"/>
  <c r="T20" i="105"/>
  <c r="AA25" i="143"/>
  <c r="S20" i="105"/>
  <c r="Z25" i="143"/>
  <c r="R20" i="105"/>
  <c r="Y25" i="143"/>
  <c r="Q20" i="105"/>
  <c r="X25" i="143"/>
  <c r="P20" i="105"/>
  <c r="W25" i="143"/>
  <c r="O20" i="105"/>
  <c r="V25" i="143"/>
  <c r="N20" i="105"/>
  <c r="U25" i="143"/>
  <c r="M20" i="105"/>
  <c r="T25" i="143"/>
  <c r="L20" i="105"/>
  <c r="S25" i="143"/>
  <c r="K20" i="105"/>
  <c r="R25" i="143"/>
  <c r="J20" i="105"/>
  <c r="Q25" i="143"/>
  <c r="I20" i="105"/>
  <c r="P25" i="143"/>
  <c r="H20" i="105"/>
  <c r="O25" i="143"/>
  <c r="G20" i="105"/>
  <c r="N25" i="143"/>
  <c r="F20" i="105"/>
  <c r="M25" i="143"/>
  <c r="E20" i="105"/>
  <c r="D20" i="105"/>
  <c r="K25" i="143"/>
  <c r="A20" i="105"/>
  <c r="X19" i="105"/>
  <c r="AE24" i="143"/>
  <c r="W19" i="105"/>
  <c r="AD24" i="143"/>
  <c r="V19" i="105"/>
  <c r="AC24" i="143"/>
  <c r="U19" i="105"/>
  <c r="AB24" i="143"/>
  <c r="T19" i="105"/>
  <c r="AA24" i="143"/>
  <c r="S19" i="105"/>
  <c r="Z24" i="143"/>
  <c r="R19" i="105"/>
  <c r="Y24" i="143"/>
  <c r="Q19" i="105"/>
  <c r="X24" i="143"/>
  <c r="P19" i="105"/>
  <c r="W24" i="143"/>
  <c r="O19" i="105"/>
  <c r="V24" i="143"/>
  <c r="N19" i="105"/>
  <c r="U24" i="143"/>
  <c r="M19" i="105"/>
  <c r="T24" i="143"/>
  <c r="L19" i="105"/>
  <c r="S24" i="143"/>
  <c r="K19" i="105"/>
  <c r="R24" i="143"/>
  <c r="J19" i="105"/>
  <c r="Q24" i="143"/>
  <c r="I19" i="105"/>
  <c r="P24" i="143"/>
  <c r="H19" i="105"/>
  <c r="O24" i="143"/>
  <c r="G19" i="105"/>
  <c r="F19" i="105"/>
  <c r="M24" i="143"/>
  <c r="E19" i="105"/>
  <c r="L24" i="143"/>
  <c r="D19" i="105"/>
  <c r="K24" i="143"/>
  <c r="A19" i="105"/>
  <c r="X18" i="105"/>
  <c r="AE23" i="143"/>
  <c r="W18" i="105"/>
  <c r="AD23" i="143"/>
  <c r="V18" i="105"/>
  <c r="AC23" i="143"/>
  <c r="U18" i="105"/>
  <c r="AB23" i="143"/>
  <c r="T18" i="105"/>
  <c r="AA23" i="143"/>
  <c r="S18" i="105"/>
  <c r="Z23" i="143"/>
  <c r="R18" i="105"/>
  <c r="Y23" i="143"/>
  <c r="Q18" i="105"/>
  <c r="X23" i="143"/>
  <c r="P18" i="105"/>
  <c r="W23" i="143"/>
  <c r="O18" i="105"/>
  <c r="V23" i="143"/>
  <c r="N18" i="105"/>
  <c r="U23" i="143"/>
  <c r="M18" i="105"/>
  <c r="T23" i="143"/>
  <c r="L18" i="105"/>
  <c r="S23" i="143"/>
  <c r="K18" i="105"/>
  <c r="R23" i="143"/>
  <c r="J18" i="105"/>
  <c r="Q23" i="143"/>
  <c r="I18" i="105"/>
  <c r="P23" i="143"/>
  <c r="H18" i="105"/>
  <c r="G18" i="105"/>
  <c r="F18" i="105"/>
  <c r="E18" i="105"/>
  <c r="D18" i="105"/>
  <c r="K23" i="143"/>
  <c r="A18" i="105"/>
  <c r="X15" i="105"/>
  <c r="AE20" i="143"/>
  <c r="W15" i="105"/>
  <c r="AD20" i="143"/>
  <c r="V15" i="105"/>
  <c r="AC20" i="143"/>
  <c r="U15" i="105"/>
  <c r="AB20" i="143"/>
  <c r="T15" i="105"/>
  <c r="AA20" i="143"/>
  <c r="S15" i="105"/>
  <c r="Z20" i="143"/>
  <c r="R15" i="105"/>
  <c r="Y20" i="143"/>
  <c r="Q15" i="105"/>
  <c r="X20" i="143"/>
  <c r="P15" i="105"/>
  <c r="W20" i="143"/>
  <c r="O15" i="105"/>
  <c r="V20" i="143"/>
  <c r="N15" i="105"/>
  <c r="U20" i="143"/>
  <c r="M15" i="105"/>
  <c r="T20" i="143"/>
  <c r="L15" i="105"/>
  <c r="S20" i="143"/>
  <c r="K15" i="105"/>
  <c r="R20" i="143"/>
  <c r="J15" i="105"/>
  <c r="Q20" i="143"/>
  <c r="I15" i="105"/>
  <c r="P20" i="143"/>
  <c r="H15" i="105"/>
  <c r="O20" i="143"/>
  <c r="G15" i="105"/>
  <c r="N20" i="143"/>
  <c r="F15" i="105"/>
  <c r="M20" i="143"/>
  <c r="D15" i="105"/>
  <c r="K20" i="143"/>
  <c r="D14" i="105"/>
  <c r="K19" i="143"/>
  <c r="A14" i="105"/>
  <c r="D13" i="105"/>
  <c r="K18" i="143"/>
  <c r="A13" i="105"/>
  <c r="D12" i="105"/>
  <c r="K17" i="143"/>
  <c r="A12" i="105"/>
  <c r="X7" i="105"/>
  <c r="W7" i="105"/>
  <c r="V7" i="105"/>
  <c r="U7" i="105"/>
  <c r="T7" i="105"/>
  <c r="S7" i="105"/>
  <c r="R7" i="105"/>
  <c r="Q7" i="105"/>
  <c r="P7" i="105"/>
  <c r="O7" i="105"/>
  <c r="N7" i="105"/>
  <c r="M7" i="105"/>
  <c r="L7" i="105"/>
  <c r="K7" i="105"/>
  <c r="J7" i="105"/>
  <c r="I7" i="105"/>
  <c r="H7" i="105"/>
  <c r="G7" i="105"/>
  <c r="F7" i="105"/>
  <c r="E7" i="105"/>
  <c r="D7" i="105"/>
  <c r="C4" i="105"/>
  <c r="A3" i="105"/>
  <c r="A2" i="105"/>
  <c r="A1" i="105"/>
  <c r="B9" i="104"/>
  <c r="D169" i="104"/>
  <c r="X151" i="104"/>
  <c r="W151" i="104"/>
  <c r="V151" i="104"/>
  <c r="U151" i="104"/>
  <c r="T151" i="104"/>
  <c r="S151" i="104"/>
  <c r="R151" i="104"/>
  <c r="Q151" i="104"/>
  <c r="P151" i="104"/>
  <c r="O151" i="104"/>
  <c r="N151" i="104"/>
  <c r="M151" i="104"/>
  <c r="L151" i="104"/>
  <c r="K151" i="104"/>
  <c r="J151" i="104"/>
  <c r="I151" i="104"/>
  <c r="H151" i="104"/>
  <c r="G151" i="104"/>
  <c r="F151" i="104"/>
  <c r="E151" i="104"/>
  <c r="D151" i="104"/>
  <c r="D143" i="104"/>
  <c r="D137" i="104"/>
  <c r="D145" i="104"/>
  <c r="D153" i="104"/>
  <c r="D116" i="104"/>
  <c r="X115" i="104"/>
  <c r="W115" i="104"/>
  <c r="V115" i="104"/>
  <c r="U115" i="104"/>
  <c r="T115" i="104"/>
  <c r="S115" i="104"/>
  <c r="R115" i="104"/>
  <c r="Q115" i="104"/>
  <c r="P115" i="104"/>
  <c r="O115" i="104"/>
  <c r="N115" i="104"/>
  <c r="M115" i="104"/>
  <c r="L115" i="104"/>
  <c r="K115" i="104"/>
  <c r="J115" i="104"/>
  <c r="I115" i="104"/>
  <c r="H115" i="104"/>
  <c r="G115" i="104"/>
  <c r="F115" i="104"/>
  <c r="E115" i="104"/>
  <c r="A104" i="104"/>
  <c r="A102" i="104"/>
  <c r="A94" i="104"/>
  <c r="A93" i="104"/>
  <c r="A91" i="104"/>
  <c r="A90" i="104"/>
  <c r="A88" i="104"/>
  <c r="A84" i="104"/>
  <c r="A83" i="104"/>
  <c r="A82" i="104"/>
  <c r="A81" i="104"/>
  <c r="A78" i="104"/>
  <c r="A77" i="104"/>
  <c r="A76" i="104"/>
  <c r="A72" i="104"/>
  <c r="X63" i="104"/>
  <c r="W63" i="104"/>
  <c r="V63" i="104"/>
  <c r="U63" i="104"/>
  <c r="T63" i="104"/>
  <c r="S63" i="104"/>
  <c r="R63" i="104"/>
  <c r="Q63" i="104"/>
  <c r="P63" i="104"/>
  <c r="O63" i="104"/>
  <c r="N63" i="104"/>
  <c r="M63" i="104"/>
  <c r="L63" i="104"/>
  <c r="K63" i="104"/>
  <c r="J63" i="104"/>
  <c r="I63" i="104"/>
  <c r="H63" i="104"/>
  <c r="G63" i="104"/>
  <c r="A55" i="104"/>
  <c r="X49" i="104"/>
  <c r="W49" i="104"/>
  <c r="V49" i="104"/>
  <c r="U49" i="104"/>
  <c r="T49" i="104"/>
  <c r="S49" i="104"/>
  <c r="R49" i="104"/>
  <c r="Q49" i="104"/>
  <c r="P49" i="104"/>
  <c r="O49" i="104"/>
  <c r="N49" i="104"/>
  <c r="M49" i="104"/>
  <c r="L49" i="104"/>
  <c r="K49" i="104"/>
  <c r="J49" i="104"/>
  <c r="I49" i="104"/>
  <c r="H49" i="104"/>
  <c r="G49" i="104"/>
  <c r="F49" i="104"/>
  <c r="E49" i="104"/>
  <c r="X37" i="104"/>
  <c r="W37" i="104"/>
  <c r="V37" i="104"/>
  <c r="U37" i="104"/>
  <c r="T37" i="104"/>
  <c r="S37" i="104"/>
  <c r="R37" i="104"/>
  <c r="Q37" i="104"/>
  <c r="P37" i="104"/>
  <c r="O37" i="104"/>
  <c r="N37" i="104"/>
  <c r="M37" i="104"/>
  <c r="L37" i="104"/>
  <c r="K37" i="104"/>
  <c r="J37" i="104"/>
  <c r="I37" i="104"/>
  <c r="H37" i="104"/>
  <c r="G37" i="104"/>
  <c r="F37" i="104"/>
  <c r="E37" i="104"/>
  <c r="E30" i="104"/>
  <c r="F29" i="104"/>
  <c r="G29" i="104"/>
  <c r="A23" i="104"/>
  <c r="A22" i="104"/>
  <c r="AE25" i="142"/>
  <c r="AD25" i="142"/>
  <c r="AC25" i="142"/>
  <c r="AB25" i="142"/>
  <c r="AA25" i="142"/>
  <c r="Z25" i="142"/>
  <c r="Y25" i="142"/>
  <c r="X25" i="142"/>
  <c r="W25" i="142"/>
  <c r="V25" i="142"/>
  <c r="U25" i="142"/>
  <c r="T25" i="142"/>
  <c r="S25" i="142"/>
  <c r="R25" i="142"/>
  <c r="Q25" i="142"/>
  <c r="P25" i="142"/>
  <c r="O25" i="142"/>
  <c r="N25" i="142"/>
  <c r="M25" i="142"/>
  <c r="D20" i="104"/>
  <c r="K25" i="142"/>
  <c r="A20" i="104"/>
  <c r="AE24" i="142"/>
  <c r="AD24" i="142"/>
  <c r="AC24" i="142"/>
  <c r="AB24" i="142"/>
  <c r="AA24" i="142"/>
  <c r="Z24" i="142"/>
  <c r="Y24" i="142"/>
  <c r="X24" i="142"/>
  <c r="W24" i="142"/>
  <c r="V24" i="142"/>
  <c r="U24" i="142"/>
  <c r="T24" i="142"/>
  <c r="S24" i="142"/>
  <c r="R24" i="142"/>
  <c r="Q24" i="142"/>
  <c r="P24" i="142"/>
  <c r="O24" i="142"/>
  <c r="N24" i="142"/>
  <c r="M24" i="142"/>
  <c r="L24" i="142"/>
  <c r="D19" i="104"/>
  <c r="K24" i="142"/>
  <c r="A19" i="104"/>
  <c r="AE23" i="142"/>
  <c r="AD23" i="142"/>
  <c r="AC23" i="142"/>
  <c r="AB23" i="142"/>
  <c r="AA23" i="142"/>
  <c r="Z23" i="142"/>
  <c r="Y23" i="142"/>
  <c r="X23" i="142"/>
  <c r="W23" i="142"/>
  <c r="V23" i="142"/>
  <c r="U23" i="142"/>
  <c r="T23" i="142"/>
  <c r="S23" i="142"/>
  <c r="R23" i="142"/>
  <c r="Q23" i="142"/>
  <c r="P23" i="142"/>
  <c r="O23" i="142"/>
  <c r="N23" i="142"/>
  <c r="D18" i="104"/>
  <c r="K23" i="142"/>
  <c r="A18" i="104"/>
  <c r="X15" i="104"/>
  <c r="AE20" i="142"/>
  <c r="W15" i="104"/>
  <c r="AD20" i="142"/>
  <c r="V15" i="104"/>
  <c r="AC20" i="142"/>
  <c r="U15" i="104"/>
  <c r="AB20" i="142"/>
  <c r="T15" i="104"/>
  <c r="AA20" i="142"/>
  <c r="S15" i="104"/>
  <c r="Z20" i="142"/>
  <c r="R15" i="104"/>
  <c r="Y20" i="142"/>
  <c r="Q15" i="104"/>
  <c r="X20" i="142"/>
  <c r="P15" i="104"/>
  <c r="W20" i="142"/>
  <c r="O15" i="104"/>
  <c r="V20" i="142"/>
  <c r="N15" i="104"/>
  <c r="U20" i="142"/>
  <c r="M15" i="104"/>
  <c r="T20" i="142"/>
  <c r="L15" i="104"/>
  <c r="S20" i="142"/>
  <c r="K15" i="104"/>
  <c r="R20" i="142"/>
  <c r="J15" i="104"/>
  <c r="Q20" i="142"/>
  <c r="I15" i="104"/>
  <c r="P20" i="142"/>
  <c r="H15" i="104"/>
  <c r="O20" i="142"/>
  <c r="G15" i="104"/>
  <c r="N20" i="142"/>
  <c r="F15" i="104"/>
  <c r="M20" i="142"/>
  <c r="D15" i="104"/>
  <c r="K20" i="142"/>
  <c r="D14" i="104"/>
  <c r="K19" i="142"/>
  <c r="A14" i="104"/>
  <c r="D13" i="104"/>
  <c r="K18" i="142"/>
  <c r="A13" i="104"/>
  <c r="D12" i="104"/>
  <c r="K17" i="142"/>
  <c r="A12" i="104"/>
  <c r="X7" i="104"/>
  <c r="W7" i="104"/>
  <c r="V7" i="104"/>
  <c r="U7" i="104"/>
  <c r="T7" i="104"/>
  <c r="S7" i="104"/>
  <c r="R7" i="104"/>
  <c r="Q7" i="104"/>
  <c r="P7" i="104"/>
  <c r="O7" i="104"/>
  <c r="N7" i="104"/>
  <c r="M7" i="104"/>
  <c r="L7" i="104"/>
  <c r="K7" i="104"/>
  <c r="J7" i="104"/>
  <c r="I7" i="104"/>
  <c r="H7" i="104"/>
  <c r="G7" i="104"/>
  <c r="F7" i="104"/>
  <c r="E7" i="104"/>
  <c r="D7" i="104"/>
  <c r="C4" i="104"/>
  <c r="A3" i="104"/>
  <c r="A2" i="104"/>
  <c r="A1" i="104"/>
  <c r="B9" i="103"/>
  <c r="D169" i="103"/>
  <c r="X151" i="103"/>
  <c r="W151" i="103"/>
  <c r="V151" i="103"/>
  <c r="U151" i="103"/>
  <c r="T151" i="103"/>
  <c r="S151" i="103"/>
  <c r="R151" i="103"/>
  <c r="Q151" i="103"/>
  <c r="P151" i="103"/>
  <c r="O151" i="103"/>
  <c r="N151" i="103"/>
  <c r="M151" i="103"/>
  <c r="L151" i="103"/>
  <c r="K151" i="103"/>
  <c r="J151" i="103"/>
  <c r="I151" i="103"/>
  <c r="H151" i="103"/>
  <c r="G151" i="103"/>
  <c r="F151" i="103"/>
  <c r="E151" i="103"/>
  <c r="D151" i="103"/>
  <c r="D143" i="103"/>
  <c r="D137" i="103"/>
  <c r="D145" i="103"/>
  <c r="D153" i="103"/>
  <c r="D157" i="103"/>
  <c r="A104" i="103"/>
  <c r="A102" i="103"/>
  <c r="A94" i="103"/>
  <c r="A93" i="103"/>
  <c r="A91" i="103"/>
  <c r="A90" i="103"/>
  <c r="A88" i="103"/>
  <c r="A84" i="103"/>
  <c r="A83" i="103"/>
  <c r="A82" i="103"/>
  <c r="A81" i="103"/>
  <c r="A78" i="103"/>
  <c r="A77" i="103"/>
  <c r="A76" i="103"/>
  <c r="A72" i="103"/>
  <c r="A55" i="103"/>
  <c r="A23" i="103"/>
  <c r="A22" i="103"/>
  <c r="AE25" i="141"/>
  <c r="AD25" i="141"/>
  <c r="AC25" i="141"/>
  <c r="AB25" i="141"/>
  <c r="AA25" i="141"/>
  <c r="Z25" i="141"/>
  <c r="Y25" i="141"/>
  <c r="X25" i="141"/>
  <c r="W25" i="141"/>
  <c r="V25" i="141"/>
  <c r="U25" i="141"/>
  <c r="T25" i="141"/>
  <c r="S25" i="141"/>
  <c r="R25" i="141"/>
  <c r="Q25" i="141"/>
  <c r="P25" i="141"/>
  <c r="O25" i="141"/>
  <c r="N25" i="141"/>
  <c r="M25" i="141"/>
  <c r="D20" i="103"/>
  <c r="K25" i="141"/>
  <c r="A20" i="103"/>
  <c r="AE24" i="141"/>
  <c r="AD24" i="141"/>
  <c r="AC24" i="141"/>
  <c r="AB24" i="141"/>
  <c r="AA24" i="141"/>
  <c r="Z24" i="141"/>
  <c r="Y24" i="141"/>
  <c r="X24" i="141"/>
  <c r="W24" i="141"/>
  <c r="V24" i="141"/>
  <c r="U24" i="141"/>
  <c r="T24" i="141"/>
  <c r="S24" i="141"/>
  <c r="R24" i="141"/>
  <c r="Q24" i="141"/>
  <c r="P24" i="141"/>
  <c r="M24" i="141"/>
  <c r="D19" i="103"/>
  <c r="K24" i="141"/>
  <c r="A19" i="103"/>
  <c r="AE23" i="141"/>
  <c r="AD23" i="141"/>
  <c r="AC23" i="141"/>
  <c r="AB23" i="141"/>
  <c r="AA23" i="141"/>
  <c r="Z23" i="141"/>
  <c r="Y23" i="141"/>
  <c r="X23" i="141"/>
  <c r="W23" i="141"/>
  <c r="V23" i="141"/>
  <c r="U23" i="141"/>
  <c r="T23" i="141"/>
  <c r="S23" i="141"/>
  <c r="R23" i="141"/>
  <c r="Q23" i="141"/>
  <c r="P23" i="141"/>
  <c r="O23" i="141"/>
  <c r="N23" i="141"/>
  <c r="D18" i="103"/>
  <c r="K23" i="141"/>
  <c r="A18" i="103"/>
  <c r="X15" i="103"/>
  <c r="AE20" i="141"/>
  <c r="W15" i="103"/>
  <c r="AD20" i="141"/>
  <c r="V15" i="103"/>
  <c r="AC20" i="141"/>
  <c r="U15" i="103"/>
  <c r="AB20" i="141"/>
  <c r="T15" i="103"/>
  <c r="AA20" i="141"/>
  <c r="S15" i="103"/>
  <c r="Z20" i="141"/>
  <c r="R15" i="103"/>
  <c r="Y20" i="141"/>
  <c r="Q15" i="103"/>
  <c r="X20" i="141"/>
  <c r="P15" i="103"/>
  <c r="W20" i="141"/>
  <c r="O15" i="103"/>
  <c r="V20" i="141"/>
  <c r="N15" i="103"/>
  <c r="U20" i="141"/>
  <c r="M15" i="103"/>
  <c r="T20" i="141"/>
  <c r="L15" i="103"/>
  <c r="S20" i="141"/>
  <c r="K15" i="103"/>
  <c r="R20" i="141"/>
  <c r="J15" i="103"/>
  <c r="Q20" i="141"/>
  <c r="I15" i="103"/>
  <c r="P20" i="141"/>
  <c r="H15" i="103"/>
  <c r="O20" i="141"/>
  <c r="G15" i="103"/>
  <c r="N20" i="141"/>
  <c r="F15" i="103"/>
  <c r="M20" i="141"/>
  <c r="D15" i="103"/>
  <c r="K20" i="141"/>
  <c r="D14" i="103"/>
  <c r="K19" i="141"/>
  <c r="A14" i="103"/>
  <c r="D13" i="103"/>
  <c r="K18" i="141"/>
  <c r="A13" i="103"/>
  <c r="D12" i="103"/>
  <c r="K17" i="141"/>
  <c r="A12" i="103"/>
  <c r="X7" i="103"/>
  <c r="W7" i="103"/>
  <c r="V7" i="103"/>
  <c r="U7" i="103"/>
  <c r="T7" i="103"/>
  <c r="S7" i="103"/>
  <c r="R7" i="103"/>
  <c r="Q7" i="103"/>
  <c r="P7" i="103"/>
  <c r="O7" i="103"/>
  <c r="N7" i="103"/>
  <c r="M7" i="103"/>
  <c r="L7" i="103"/>
  <c r="K7" i="103"/>
  <c r="J7" i="103"/>
  <c r="I7" i="103"/>
  <c r="H7" i="103"/>
  <c r="G7" i="103"/>
  <c r="F7" i="103"/>
  <c r="E7" i="103"/>
  <c r="D7" i="103"/>
  <c r="C4" i="103"/>
  <c r="A3" i="103"/>
  <c r="A2" i="103"/>
  <c r="A1" i="103"/>
  <c r="B9" i="93"/>
  <c r="B9" i="102"/>
  <c r="F13" i="102"/>
  <c r="M18" i="135"/>
  <c r="G13" i="102"/>
  <c r="N18" i="135"/>
  <c r="H13" i="102"/>
  <c r="O18" i="135"/>
  <c r="I13" i="102"/>
  <c r="P18" i="135"/>
  <c r="J13" i="102"/>
  <c r="Q18" i="135"/>
  <c r="K13" i="102"/>
  <c r="R18" i="135"/>
  <c r="L13" i="102"/>
  <c r="S18" i="135"/>
  <c r="M13" i="102"/>
  <c r="T18" i="135"/>
  <c r="N13" i="102"/>
  <c r="U18" i="135"/>
  <c r="O13" i="102"/>
  <c r="V18" i="135"/>
  <c r="P13" i="102"/>
  <c r="W18" i="135"/>
  <c r="Q13" i="102"/>
  <c r="X18" i="135"/>
  <c r="R13" i="102"/>
  <c r="Y18" i="135"/>
  <c r="S13" i="102"/>
  <c r="Z18" i="135"/>
  <c r="T13" i="102"/>
  <c r="AA18" i="135"/>
  <c r="U13" i="102"/>
  <c r="AB18" i="135"/>
  <c r="V13" i="102"/>
  <c r="AC18" i="135"/>
  <c r="W13" i="102"/>
  <c r="AD18" i="135"/>
  <c r="X13" i="102"/>
  <c r="AE18" i="135"/>
  <c r="D168" i="102"/>
  <c r="J168" i="102"/>
  <c r="G168" i="102"/>
  <c r="F168" i="102"/>
  <c r="E168" i="102"/>
  <c r="X150" i="102"/>
  <c r="W150" i="102"/>
  <c r="V150" i="102"/>
  <c r="U150" i="102"/>
  <c r="T150" i="102"/>
  <c r="S150" i="102"/>
  <c r="R150" i="102"/>
  <c r="Q150" i="102"/>
  <c r="P150" i="102"/>
  <c r="O150" i="102"/>
  <c r="N150" i="102"/>
  <c r="M150" i="102"/>
  <c r="L150" i="102"/>
  <c r="K150" i="102"/>
  <c r="J150" i="102"/>
  <c r="I150" i="102"/>
  <c r="H150" i="102"/>
  <c r="G150" i="102"/>
  <c r="F150" i="102"/>
  <c r="E150" i="102"/>
  <c r="D150" i="102"/>
  <c r="D142" i="102"/>
  <c r="E142" i="102"/>
  <c r="D136" i="102"/>
  <c r="D144" i="102"/>
  <c r="D152" i="102"/>
  <c r="E136" i="102"/>
  <c r="E144" i="102"/>
  <c r="E152" i="102"/>
  <c r="C259" i="71"/>
  <c r="D115" i="102"/>
  <c r="X114" i="102"/>
  <c r="W114" i="102"/>
  <c r="V114" i="102"/>
  <c r="U114" i="102"/>
  <c r="T114" i="102"/>
  <c r="S114" i="102"/>
  <c r="R114" i="102"/>
  <c r="Q114" i="102"/>
  <c r="P114" i="102"/>
  <c r="O114" i="102"/>
  <c r="N114" i="102"/>
  <c r="M114" i="102"/>
  <c r="L114" i="102"/>
  <c r="K114" i="102"/>
  <c r="J114" i="102"/>
  <c r="I114" i="102"/>
  <c r="H114" i="102"/>
  <c r="G114" i="102"/>
  <c r="D105" i="102"/>
  <c r="D119" i="102"/>
  <c r="X104" i="102"/>
  <c r="W104" i="102"/>
  <c r="V104" i="102"/>
  <c r="U104" i="102"/>
  <c r="T104" i="102"/>
  <c r="S104" i="102"/>
  <c r="R104" i="102"/>
  <c r="Q104" i="102"/>
  <c r="P104" i="102"/>
  <c r="O104" i="102"/>
  <c r="N104" i="102"/>
  <c r="M104" i="102"/>
  <c r="L104" i="102"/>
  <c r="K104" i="102"/>
  <c r="J104" i="102"/>
  <c r="I104" i="102"/>
  <c r="H104" i="102"/>
  <c r="G104" i="102"/>
  <c r="F104" i="102"/>
  <c r="A103" i="102"/>
  <c r="E101" i="102"/>
  <c r="A101" i="102"/>
  <c r="A93" i="102"/>
  <c r="A92" i="102"/>
  <c r="A90" i="102"/>
  <c r="A89" i="102"/>
  <c r="A87" i="102"/>
  <c r="A84" i="102"/>
  <c r="A83" i="102"/>
  <c r="A82" i="102"/>
  <c r="A81" i="102"/>
  <c r="A78" i="102"/>
  <c r="A77" i="102"/>
  <c r="A72" i="102"/>
  <c r="X63" i="102"/>
  <c r="W63" i="102"/>
  <c r="V63" i="102"/>
  <c r="U63" i="102"/>
  <c r="T63" i="102"/>
  <c r="S63" i="102"/>
  <c r="R63" i="102"/>
  <c r="Q63" i="102"/>
  <c r="P63" i="102"/>
  <c r="O63" i="102"/>
  <c r="N63" i="102"/>
  <c r="M63" i="102"/>
  <c r="L63" i="102"/>
  <c r="K63" i="102"/>
  <c r="J63" i="102"/>
  <c r="I63" i="102"/>
  <c r="H63" i="102"/>
  <c r="G63" i="102"/>
  <c r="F91" i="102"/>
  <c r="A55" i="102"/>
  <c r="X49" i="102"/>
  <c r="W49" i="102"/>
  <c r="V49" i="102"/>
  <c r="U49" i="102"/>
  <c r="T49" i="102"/>
  <c r="S49" i="102"/>
  <c r="R49" i="102"/>
  <c r="Q49" i="102"/>
  <c r="P49" i="102"/>
  <c r="O49" i="102"/>
  <c r="N49" i="102"/>
  <c r="M49" i="102"/>
  <c r="L49" i="102"/>
  <c r="K49" i="102"/>
  <c r="J49" i="102"/>
  <c r="I49" i="102"/>
  <c r="H49" i="102"/>
  <c r="G49" i="102"/>
  <c r="F49" i="102"/>
  <c r="E49" i="102"/>
  <c r="XFD49" i="102"/>
  <c r="X37" i="102"/>
  <c r="W37" i="102"/>
  <c r="V37" i="102"/>
  <c r="U37" i="102"/>
  <c r="T37" i="102"/>
  <c r="S37" i="102"/>
  <c r="R37" i="102"/>
  <c r="Q37" i="102"/>
  <c r="P37" i="102"/>
  <c r="O37" i="102"/>
  <c r="N37" i="102"/>
  <c r="M37" i="102"/>
  <c r="L37" i="102"/>
  <c r="K37" i="102"/>
  <c r="J37" i="102"/>
  <c r="I37" i="102"/>
  <c r="H37" i="102"/>
  <c r="G37" i="102"/>
  <c r="F37" i="102"/>
  <c r="E37" i="102"/>
  <c r="E30" i="102"/>
  <c r="G29" i="102"/>
  <c r="H29" i="102"/>
  <c r="F29" i="102"/>
  <c r="H30" i="102"/>
  <c r="O35" i="135"/>
  <c r="F30" i="102"/>
  <c r="M35" i="135"/>
  <c r="A23" i="102"/>
  <c r="A22" i="102"/>
  <c r="X20" i="102"/>
  <c r="AE25" i="135"/>
  <c r="W20" i="102"/>
  <c r="AD25" i="135"/>
  <c r="V20" i="102"/>
  <c r="AC25" i="135"/>
  <c r="U20" i="102"/>
  <c r="AB25" i="135"/>
  <c r="T20" i="102"/>
  <c r="AA25" i="135"/>
  <c r="S20" i="102"/>
  <c r="Z25" i="135"/>
  <c r="R20" i="102"/>
  <c r="Y25" i="135"/>
  <c r="Q20" i="102"/>
  <c r="X25" i="135"/>
  <c r="P20" i="102"/>
  <c r="W25" i="135"/>
  <c r="O20" i="102"/>
  <c r="V25" i="135"/>
  <c r="N20" i="102"/>
  <c r="U25" i="135"/>
  <c r="M20" i="102"/>
  <c r="T25" i="135"/>
  <c r="L20" i="102"/>
  <c r="S25" i="135"/>
  <c r="K20" i="102"/>
  <c r="R25" i="135"/>
  <c r="J20" i="102"/>
  <c r="Q25" i="135"/>
  <c r="I20" i="102"/>
  <c r="P25" i="135"/>
  <c r="H20" i="102"/>
  <c r="O25" i="135"/>
  <c r="G20" i="102"/>
  <c r="N25" i="135"/>
  <c r="F20" i="102"/>
  <c r="M25" i="135"/>
  <c r="E20" i="102"/>
  <c r="L25" i="135"/>
  <c r="D20" i="102"/>
  <c r="K25" i="135"/>
  <c r="A20" i="102"/>
  <c r="X19" i="102"/>
  <c r="AE24" i="135"/>
  <c r="W19" i="102"/>
  <c r="AD24" i="135"/>
  <c r="V19" i="102"/>
  <c r="AC24" i="135"/>
  <c r="U19" i="102"/>
  <c r="AB24" i="135"/>
  <c r="T19" i="102"/>
  <c r="AA24" i="135"/>
  <c r="S19" i="102"/>
  <c r="Z24" i="135"/>
  <c r="R19" i="102"/>
  <c r="Y24" i="135"/>
  <c r="Q19" i="102"/>
  <c r="X24" i="135"/>
  <c r="P19" i="102"/>
  <c r="W24" i="135"/>
  <c r="O19" i="102"/>
  <c r="V24" i="135"/>
  <c r="N19" i="102"/>
  <c r="U24" i="135"/>
  <c r="M19" i="102"/>
  <c r="T24" i="135"/>
  <c r="L19" i="102"/>
  <c r="S24" i="135"/>
  <c r="K19" i="102"/>
  <c r="R24" i="135"/>
  <c r="J19" i="102"/>
  <c r="Q24" i="135"/>
  <c r="I19" i="102"/>
  <c r="P24" i="135"/>
  <c r="H19" i="102"/>
  <c r="O24" i="135"/>
  <c r="G19" i="102"/>
  <c r="N24" i="135"/>
  <c r="F19" i="102"/>
  <c r="E19" i="102"/>
  <c r="D19" i="102"/>
  <c r="K24" i="135"/>
  <c r="A19" i="102"/>
  <c r="X18" i="102"/>
  <c r="AE23" i="135"/>
  <c r="W18" i="102"/>
  <c r="AD23" i="135"/>
  <c r="V18" i="102"/>
  <c r="AC23" i="135"/>
  <c r="U18" i="102"/>
  <c r="AB23" i="135"/>
  <c r="T18" i="102"/>
  <c r="AA23" i="135"/>
  <c r="S18" i="102"/>
  <c r="Z23" i="135"/>
  <c r="R18" i="102"/>
  <c r="Y23" i="135"/>
  <c r="Q18" i="102"/>
  <c r="X23" i="135"/>
  <c r="P18" i="102"/>
  <c r="W23" i="135"/>
  <c r="O18" i="102"/>
  <c r="V23" i="135"/>
  <c r="N18" i="102"/>
  <c r="U23" i="135"/>
  <c r="M18" i="102"/>
  <c r="T23" i="135"/>
  <c r="L18" i="102"/>
  <c r="S23" i="135"/>
  <c r="K18" i="102"/>
  <c r="R23" i="135"/>
  <c r="J18" i="102"/>
  <c r="Q23" i="135"/>
  <c r="I18" i="102"/>
  <c r="P23" i="135"/>
  <c r="H18" i="102"/>
  <c r="O23" i="135"/>
  <c r="G18" i="102"/>
  <c r="F18" i="102"/>
  <c r="E18" i="102"/>
  <c r="D18" i="102"/>
  <c r="K23" i="135"/>
  <c r="A18" i="102"/>
  <c r="X15" i="102"/>
  <c r="AE20" i="135"/>
  <c r="W15" i="102"/>
  <c r="AD20" i="135"/>
  <c r="V15" i="102"/>
  <c r="AC20" i="135"/>
  <c r="U15" i="102"/>
  <c r="AB20" i="135"/>
  <c r="T15" i="102"/>
  <c r="AA20" i="135"/>
  <c r="S15" i="102"/>
  <c r="Z20" i="135"/>
  <c r="R15" i="102"/>
  <c r="Y20" i="135"/>
  <c r="Q15" i="102"/>
  <c r="X20" i="135"/>
  <c r="P15" i="102"/>
  <c r="W20" i="135"/>
  <c r="O15" i="102"/>
  <c r="V20" i="135"/>
  <c r="N15" i="102"/>
  <c r="U20" i="135"/>
  <c r="M15" i="102"/>
  <c r="T20" i="135"/>
  <c r="L15" i="102"/>
  <c r="S20" i="135"/>
  <c r="K15" i="102"/>
  <c r="R20" i="135"/>
  <c r="J15" i="102"/>
  <c r="Q20" i="135"/>
  <c r="I15" i="102"/>
  <c r="P20" i="135"/>
  <c r="H15" i="102"/>
  <c r="O20" i="135"/>
  <c r="G15" i="102"/>
  <c r="N20" i="135"/>
  <c r="F15" i="102"/>
  <c r="M20" i="135"/>
  <c r="D15" i="102"/>
  <c r="K20" i="135"/>
  <c r="D14" i="102"/>
  <c r="K19" i="135"/>
  <c r="A14" i="102"/>
  <c r="D13" i="102"/>
  <c r="K18" i="135"/>
  <c r="A13" i="102"/>
  <c r="D12" i="102"/>
  <c r="K17" i="135"/>
  <c r="A12" i="102"/>
  <c r="X7" i="102"/>
  <c r="W7" i="102"/>
  <c r="V7" i="102"/>
  <c r="U7" i="102"/>
  <c r="T7" i="102"/>
  <c r="S7" i="102"/>
  <c r="R7" i="102"/>
  <c r="Q7" i="102"/>
  <c r="P7" i="102"/>
  <c r="O7" i="102"/>
  <c r="N7" i="102"/>
  <c r="M7" i="102"/>
  <c r="L7" i="102"/>
  <c r="K7" i="102"/>
  <c r="J7" i="102"/>
  <c r="I7" i="102"/>
  <c r="H7" i="102"/>
  <c r="G7" i="102"/>
  <c r="F7" i="102"/>
  <c r="E7" i="102"/>
  <c r="D7" i="102"/>
  <c r="C4" i="102"/>
  <c r="A3" i="102"/>
  <c r="A2" i="102"/>
  <c r="A1" i="102"/>
  <c r="B9" i="101"/>
  <c r="D168" i="101"/>
  <c r="X150" i="101"/>
  <c r="W150" i="101"/>
  <c r="V150" i="101"/>
  <c r="U150" i="101"/>
  <c r="T150" i="101"/>
  <c r="S150" i="101"/>
  <c r="R150" i="101"/>
  <c r="Q150" i="101"/>
  <c r="P150" i="101"/>
  <c r="O150" i="101"/>
  <c r="N150" i="101"/>
  <c r="M150" i="101"/>
  <c r="L150" i="101"/>
  <c r="K150" i="101"/>
  <c r="J150" i="101"/>
  <c r="I150" i="101"/>
  <c r="H150" i="101"/>
  <c r="G150" i="101"/>
  <c r="F150" i="101"/>
  <c r="E150" i="101"/>
  <c r="D150" i="101"/>
  <c r="D142" i="101"/>
  <c r="D136" i="101"/>
  <c r="D144" i="101"/>
  <c r="D152" i="101"/>
  <c r="D115" i="101"/>
  <c r="X114" i="101"/>
  <c r="W114" i="101"/>
  <c r="V114" i="101"/>
  <c r="U114" i="101"/>
  <c r="T114" i="101"/>
  <c r="S114" i="101"/>
  <c r="R114" i="101"/>
  <c r="Q114" i="101"/>
  <c r="P114" i="101"/>
  <c r="O114" i="101"/>
  <c r="N114" i="101"/>
  <c r="M114" i="101"/>
  <c r="L114" i="101"/>
  <c r="K114" i="101"/>
  <c r="J114" i="101"/>
  <c r="I114" i="101"/>
  <c r="H114" i="101"/>
  <c r="G114" i="101"/>
  <c r="A103" i="101"/>
  <c r="A101" i="101"/>
  <c r="A93" i="101"/>
  <c r="A92" i="101"/>
  <c r="A90" i="101"/>
  <c r="A89" i="101"/>
  <c r="A87" i="101"/>
  <c r="A84" i="101"/>
  <c r="A83" i="101"/>
  <c r="A82" i="101"/>
  <c r="A81" i="101"/>
  <c r="A78" i="101"/>
  <c r="A77" i="101"/>
  <c r="A76" i="101"/>
  <c r="A72" i="101"/>
  <c r="X63" i="101"/>
  <c r="W63" i="101"/>
  <c r="V63" i="101"/>
  <c r="U63" i="101"/>
  <c r="T63" i="101"/>
  <c r="S63" i="101"/>
  <c r="R63" i="101"/>
  <c r="Q63" i="101"/>
  <c r="P63" i="101"/>
  <c r="O63" i="101"/>
  <c r="N63" i="101"/>
  <c r="M63" i="101"/>
  <c r="L63" i="101"/>
  <c r="K63" i="101"/>
  <c r="J63" i="101"/>
  <c r="I63" i="101"/>
  <c r="H63" i="101"/>
  <c r="G63" i="101"/>
  <c r="A55" i="101"/>
  <c r="X49" i="101"/>
  <c r="W49" i="101"/>
  <c r="V49" i="101"/>
  <c r="U49" i="101"/>
  <c r="T49" i="101"/>
  <c r="S49" i="101"/>
  <c r="R49" i="101"/>
  <c r="Q49" i="101"/>
  <c r="P49" i="101"/>
  <c r="O49" i="101"/>
  <c r="N49" i="101"/>
  <c r="M49" i="101"/>
  <c r="L49" i="101"/>
  <c r="K49" i="101"/>
  <c r="J49" i="101"/>
  <c r="I49" i="101"/>
  <c r="H49" i="101"/>
  <c r="G49" i="101"/>
  <c r="F49" i="101"/>
  <c r="E49" i="101"/>
  <c r="XFD49" i="101"/>
  <c r="X37" i="101"/>
  <c r="W37" i="101"/>
  <c r="V37" i="101"/>
  <c r="U37" i="101"/>
  <c r="T37" i="101"/>
  <c r="S37" i="101"/>
  <c r="R37" i="101"/>
  <c r="Q37" i="101"/>
  <c r="P37" i="101"/>
  <c r="O37" i="101"/>
  <c r="N37" i="101"/>
  <c r="M37" i="101"/>
  <c r="L37" i="101"/>
  <c r="K37" i="101"/>
  <c r="J37" i="101"/>
  <c r="I37" i="101"/>
  <c r="H37" i="101"/>
  <c r="G37" i="101"/>
  <c r="F37" i="101"/>
  <c r="E37" i="101"/>
  <c r="E30" i="101"/>
  <c r="F29" i="101"/>
  <c r="G29" i="101"/>
  <c r="H29" i="101"/>
  <c r="I29" i="101"/>
  <c r="A23" i="101"/>
  <c r="A22" i="101"/>
  <c r="X20" i="101"/>
  <c r="AE25" i="134"/>
  <c r="W20" i="101"/>
  <c r="AD25" i="134"/>
  <c r="V20" i="101"/>
  <c r="AC25" i="134"/>
  <c r="U20" i="101"/>
  <c r="AB25" i="134"/>
  <c r="T20" i="101"/>
  <c r="AA25" i="134"/>
  <c r="S20" i="101"/>
  <c r="Z25" i="134"/>
  <c r="R20" i="101"/>
  <c r="Y25" i="134"/>
  <c r="Q20" i="101"/>
  <c r="X25" i="134"/>
  <c r="P20" i="101"/>
  <c r="W25" i="134"/>
  <c r="O20" i="101"/>
  <c r="V25" i="134"/>
  <c r="N20" i="101"/>
  <c r="U25" i="134"/>
  <c r="M20" i="101"/>
  <c r="T25" i="134"/>
  <c r="L20" i="101"/>
  <c r="S25" i="134"/>
  <c r="K20" i="101"/>
  <c r="R25" i="134"/>
  <c r="J20" i="101"/>
  <c r="Q25" i="134"/>
  <c r="I20" i="101"/>
  <c r="P25" i="134"/>
  <c r="H20" i="101"/>
  <c r="O25" i="134"/>
  <c r="G20" i="101"/>
  <c r="N25" i="134"/>
  <c r="F20" i="101"/>
  <c r="M25" i="134"/>
  <c r="E20" i="101"/>
  <c r="L25" i="134"/>
  <c r="D20" i="101"/>
  <c r="K25" i="134"/>
  <c r="A20" i="101"/>
  <c r="X19" i="101"/>
  <c r="AE24" i="134"/>
  <c r="W19" i="101"/>
  <c r="AD24" i="134"/>
  <c r="V19" i="101"/>
  <c r="AC24" i="134"/>
  <c r="U19" i="101"/>
  <c r="AB24" i="134"/>
  <c r="T19" i="101"/>
  <c r="AA24" i="134"/>
  <c r="S19" i="101"/>
  <c r="Z24" i="134"/>
  <c r="R19" i="101"/>
  <c r="Y24" i="134"/>
  <c r="Q19" i="101"/>
  <c r="X24" i="134"/>
  <c r="P19" i="101"/>
  <c r="W24" i="134"/>
  <c r="O19" i="101"/>
  <c r="V24" i="134"/>
  <c r="N19" i="101"/>
  <c r="U24" i="134"/>
  <c r="M19" i="101"/>
  <c r="T24" i="134"/>
  <c r="L19" i="101"/>
  <c r="S24" i="134"/>
  <c r="K19" i="101"/>
  <c r="R24" i="134"/>
  <c r="J19" i="101"/>
  <c r="Q24" i="134"/>
  <c r="I19" i="101"/>
  <c r="P24" i="134"/>
  <c r="H19" i="101"/>
  <c r="G19" i="101"/>
  <c r="N24" i="134"/>
  <c r="F19" i="101"/>
  <c r="E19" i="101"/>
  <c r="L24" i="134"/>
  <c r="D19" i="101"/>
  <c r="K24" i="134"/>
  <c r="A19" i="101"/>
  <c r="X18" i="101"/>
  <c r="AE23" i="134"/>
  <c r="W18" i="101"/>
  <c r="AD23" i="134"/>
  <c r="V18" i="101"/>
  <c r="AC23" i="134"/>
  <c r="U18" i="101"/>
  <c r="AB23" i="134"/>
  <c r="T18" i="101"/>
  <c r="AA23" i="134"/>
  <c r="S18" i="101"/>
  <c r="Z23" i="134"/>
  <c r="R18" i="101"/>
  <c r="Y23" i="134"/>
  <c r="Q18" i="101"/>
  <c r="X23" i="134"/>
  <c r="P18" i="101"/>
  <c r="W23" i="134"/>
  <c r="O18" i="101"/>
  <c r="V23" i="134"/>
  <c r="N18" i="101"/>
  <c r="U23" i="134"/>
  <c r="M18" i="101"/>
  <c r="T23" i="134"/>
  <c r="L18" i="101"/>
  <c r="S23" i="134"/>
  <c r="K18" i="101"/>
  <c r="R23" i="134"/>
  <c r="J18" i="101"/>
  <c r="Q23" i="134"/>
  <c r="I18" i="101"/>
  <c r="P23" i="134"/>
  <c r="H18" i="101"/>
  <c r="O23" i="134"/>
  <c r="G18" i="101"/>
  <c r="N23" i="134"/>
  <c r="F18" i="101"/>
  <c r="M23" i="134"/>
  <c r="E18" i="101"/>
  <c r="D18" i="101"/>
  <c r="K23" i="134"/>
  <c r="A18" i="101"/>
  <c r="X15" i="101"/>
  <c r="AE20" i="134"/>
  <c r="W15" i="101"/>
  <c r="AD20" i="134"/>
  <c r="V15" i="101"/>
  <c r="AC20" i="134"/>
  <c r="U15" i="101"/>
  <c r="AB20" i="134"/>
  <c r="T15" i="101"/>
  <c r="AA20" i="134"/>
  <c r="S15" i="101"/>
  <c r="Z20" i="134"/>
  <c r="R15" i="101"/>
  <c r="Y20" i="134"/>
  <c r="Q15" i="101"/>
  <c r="X20" i="134"/>
  <c r="P15" i="101"/>
  <c r="W20" i="134"/>
  <c r="O15" i="101"/>
  <c r="V20" i="134"/>
  <c r="N15" i="101"/>
  <c r="U20" i="134"/>
  <c r="M15" i="101"/>
  <c r="T20" i="134"/>
  <c r="L15" i="101"/>
  <c r="S20" i="134"/>
  <c r="K15" i="101"/>
  <c r="R20" i="134"/>
  <c r="J15" i="101"/>
  <c r="Q20" i="134"/>
  <c r="I15" i="101"/>
  <c r="P20" i="134"/>
  <c r="H15" i="101"/>
  <c r="O20" i="134"/>
  <c r="G15" i="101"/>
  <c r="N20" i="134"/>
  <c r="F15" i="101"/>
  <c r="M20" i="134"/>
  <c r="D15" i="101"/>
  <c r="K20" i="134"/>
  <c r="D14" i="101"/>
  <c r="K19" i="134"/>
  <c r="A14" i="101"/>
  <c r="D13" i="101"/>
  <c r="K18" i="134"/>
  <c r="A13" i="101"/>
  <c r="D12" i="101"/>
  <c r="K17" i="134"/>
  <c r="A12" i="101"/>
  <c r="X7" i="101"/>
  <c r="W7" i="101"/>
  <c r="V7" i="101"/>
  <c r="U7" i="101"/>
  <c r="T7" i="101"/>
  <c r="S7" i="101"/>
  <c r="R7" i="101"/>
  <c r="Q7" i="101"/>
  <c r="P7" i="101"/>
  <c r="O7" i="101"/>
  <c r="N7" i="101"/>
  <c r="M7" i="101"/>
  <c r="L7" i="101"/>
  <c r="K7" i="101"/>
  <c r="J7" i="101"/>
  <c r="I7" i="101"/>
  <c r="H7" i="101"/>
  <c r="G7" i="101"/>
  <c r="F7" i="101"/>
  <c r="E7" i="101"/>
  <c r="D7" i="101"/>
  <c r="C4" i="101"/>
  <c r="A3" i="101"/>
  <c r="A2" i="101"/>
  <c r="A1" i="101"/>
  <c r="B9" i="99"/>
  <c r="B9" i="96"/>
  <c r="V98" i="13"/>
  <c r="W98" i="13"/>
  <c r="X98" i="13"/>
  <c r="Y98" i="13"/>
  <c r="Z98" i="13"/>
  <c r="AA98" i="13"/>
  <c r="AB98" i="13"/>
  <c r="AC98" i="13"/>
  <c r="AD98" i="13"/>
  <c r="AE98" i="13"/>
  <c r="AF98" i="13"/>
  <c r="AG98" i="13"/>
  <c r="AH98" i="13"/>
  <c r="AI98" i="13"/>
  <c r="AJ98" i="13"/>
  <c r="AK98" i="13"/>
  <c r="AL98" i="13"/>
  <c r="AM98" i="13"/>
  <c r="AN98" i="13"/>
  <c r="U98" i="13"/>
  <c r="B92" i="13"/>
  <c r="W92" i="13"/>
  <c r="B86" i="13"/>
  <c r="V86" i="13"/>
  <c r="B80" i="13"/>
  <c r="Y80" i="13"/>
  <c r="F35" i="105"/>
  <c r="M40" i="143"/>
  <c r="M23" i="143"/>
  <c r="G35" i="105"/>
  <c r="N40" i="143"/>
  <c r="N23" i="143"/>
  <c r="H35" i="105"/>
  <c r="O40" i="143"/>
  <c r="O23" i="143"/>
  <c r="E82" i="105"/>
  <c r="L23" i="143"/>
  <c r="G39" i="105"/>
  <c r="N44" i="143"/>
  <c r="N24" i="143"/>
  <c r="E84" i="105"/>
  <c r="L25" i="143"/>
  <c r="F35" i="104"/>
  <c r="M40" i="142"/>
  <c r="M23" i="142"/>
  <c r="L23" i="142"/>
  <c r="L25" i="142"/>
  <c r="E39" i="103"/>
  <c r="L44" i="141"/>
  <c r="L24" i="141"/>
  <c r="L23" i="141"/>
  <c r="G39" i="103"/>
  <c r="N44" i="141"/>
  <c r="N24" i="141"/>
  <c r="L25" i="141"/>
  <c r="F35" i="103"/>
  <c r="M40" i="141"/>
  <c r="M23" i="141"/>
  <c r="H39" i="103"/>
  <c r="O44" i="141"/>
  <c r="O24" i="141"/>
  <c r="F35" i="101"/>
  <c r="M40" i="134"/>
  <c r="B9" i="129"/>
  <c r="B9" i="140"/>
  <c r="H39" i="105"/>
  <c r="O44" i="143"/>
  <c r="E39" i="105"/>
  <c r="L44" i="143"/>
  <c r="E39" i="104"/>
  <c r="L44" i="142"/>
  <c r="W415" i="71"/>
  <c r="E35" i="105"/>
  <c r="L40" i="143"/>
  <c r="E83" i="105"/>
  <c r="F39" i="105"/>
  <c r="M44" i="143"/>
  <c r="E35" i="101"/>
  <c r="L40" i="134"/>
  <c r="L23" i="134"/>
  <c r="H39" i="101"/>
  <c r="O44" i="134"/>
  <c r="O24" i="134"/>
  <c r="F39" i="101"/>
  <c r="M44" i="134"/>
  <c r="M24" i="134"/>
  <c r="E35" i="102"/>
  <c r="L40" i="135"/>
  <c r="L23" i="135"/>
  <c r="F35" i="102"/>
  <c r="M40" i="135"/>
  <c r="M23" i="135"/>
  <c r="F39" i="102"/>
  <c r="M44" i="135"/>
  <c r="M24" i="135"/>
  <c r="G35" i="102"/>
  <c r="N40" i="135"/>
  <c r="N23" i="135"/>
  <c r="E39" i="102"/>
  <c r="L44" i="135"/>
  <c r="L24" i="135"/>
  <c r="E39" i="101"/>
  <c r="L44" i="134"/>
  <c r="C262" i="71"/>
  <c r="E262" i="71"/>
  <c r="H414" i="71"/>
  <c r="D414" i="71"/>
  <c r="H262" i="71"/>
  <c r="D262" i="71"/>
  <c r="C414" i="71"/>
  <c r="F28" i="118"/>
  <c r="F13" i="118"/>
  <c r="M18" i="137"/>
  <c r="F28" i="114"/>
  <c r="M33" i="125"/>
  <c r="F13" i="114"/>
  <c r="M18" i="125"/>
  <c r="F28" i="110"/>
  <c r="F13" i="110"/>
  <c r="M18" i="130"/>
  <c r="G13" i="115"/>
  <c r="N18" i="126"/>
  <c r="G28" i="119"/>
  <c r="G13" i="119"/>
  <c r="N18" i="138"/>
  <c r="H28" i="115"/>
  <c r="H28" i="111"/>
  <c r="G13" i="111"/>
  <c r="N18" i="131"/>
  <c r="AN80" i="13"/>
  <c r="X28" i="96"/>
  <c r="AE33" i="129"/>
  <c r="I28" i="117"/>
  <c r="I13" i="117"/>
  <c r="P18" i="136"/>
  <c r="I28" i="113"/>
  <c r="I13" i="113"/>
  <c r="P18" i="124"/>
  <c r="I28" i="109"/>
  <c r="I13" i="109"/>
  <c r="P18" i="128"/>
  <c r="W34" i="122"/>
  <c r="V40" i="122"/>
  <c r="V44" i="122"/>
  <c r="W263" i="71"/>
  <c r="J35" i="118"/>
  <c r="Q40" i="137"/>
  <c r="J39" i="118"/>
  <c r="Q44" i="137"/>
  <c r="N29" i="117"/>
  <c r="M35" i="117"/>
  <c r="T40" i="136"/>
  <c r="M39" i="117"/>
  <c r="T44" i="136"/>
  <c r="L29" i="119"/>
  <c r="K39" i="119"/>
  <c r="R44" i="138"/>
  <c r="K35" i="119"/>
  <c r="R40" i="138"/>
  <c r="M29" i="120"/>
  <c r="L30" i="120"/>
  <c r="S35" i="139"/>
  <c r="L35" i="120"/>
  <c r="S40" i="139"/>
  <c r="L39" i="120"/>
  <c r="S44" i="139"/>
  <c r="K39" i="114"/>
  <c r="R44" i="125"/>
  <c r="L29" i="114"/>
  <c r="K35" i="114"/>
  <c r="R40" i="125"/>
  <c r="L39" i="113"/>
  <c r="S44" i="124"/>
  <c r="L35" i="113"/>
  <c r="S40" i="124"/>
  <c r="M29" i="113"/>
  <c r="J30" i="116"/>
  <c r="K29" i="116"/>
  <c r="J39" i="116"/>
  <c r="Q44" i="127"/>
  <c r="J35" i="116"/>
  <c r="Q40" i="127"/>
  <c r="L35" i="115"/>
  <c r="S40" i="126"/>
  <c r="M29" i="115"/>
  <c r="L39" i="115"/>
  <c r="S44" i="126"/>
  <c r="L30" i="112"/>
  <c r="L39" i="112"/>
  <c r="S44" i="132"/>
  <c r="L35" i="112"/>
  <c r="S40" i="132"/>
  <c r="N29" i="111"/>
  <c r="M35" i="111"/>
  <c r="T40" i="131"/>
  <c r="M39" i="111"/>
  <c r="T44" i="131"/>
  <c r="K29" i="110"/>
  <c r="J35" i="110"/>
  <c r="Q40" i="130"/>
  <c r="J39" i="110"/>
  <c r="Q44" i="130"/>
  <c r="N29" i="109"/>
  <c r="M39" i="109"/>
  <c r="T44" i="128"/>
  <c r="M35" i="109"/>
  <c r="T40" i="128"/>
  <c r="AD92" i="13"/>
  <c r="X80" i="13"/>
  <c r="H28" i="93"/>
  <c r="O33" i="140"/>
  <c r="Y86" i="13"/>
  <c r="X28" i="93"/>
  <c r="AE33" i="140"/>
  <c r="X13" i="93"/>
  <c r="AE18" i="140"/>
  <c r="H28" i="96"/>
  <c r="O33" i="129"/>
  <c r="I28" i="93"/>
  <c r="P33" i="140"/>
  <c r="I28" i="96"/>
  <c r="P33" i="129"/>
  <c r="I13" i="93"/>
  <c r="P18" i="140"/>
  <c r="AJ80" i="13"/>
  <c r="AK86" i="13"/>
  <c r="U92" i="13"/>
  <c r="Z92" i="13"/>
  <c r="I13" i="103"/>
  <c r="P18" i="141"/>
  <c r="X13" i="96"/>
  <c r="AE18" i="129"/>
  <c r="F28" i="99"/>
  <c r="M33" i="133"/>
  <c r="F28" i="103"/>
  <c r="F13" i="103"/>
  <c r="M18" i="141"/>
  <c r="F13" i="99"/>
  <c r="M18" i="133"/>
  <c r="AF80" i="13"/>
  <c r="AG86" i="13"/>
  <c r="AL92" i="13"/>
  <c r="V92" i="13"/>
  <c r="N28" i="104"/>
  <c r="U33" i="142"/>
  <c r="O28" i="101"/>
  <c r="V33" i="134"/>
  <c r="N13" i="101"/>
  <c r="U18" i="134"/>
  <c r="N13" i="104"/>
  <c r="U18" i="142"/>
  <c r="H28" i="101"/>
  <c r="G28" i="104"/>
  <c r="G13" i="101"/>
  <c r="N18" i="134"/>
  <c r="G13" i="104"/>
  <c r="N18" i="142"/>
  <c r="AB80" i="13"/>
  <c r="AC86" i="13"/>
  <c r="AH92" i="13"/>
  <c r="I13" i="96"/>
  <c r="P18" i="129"/>
  <c r="K29" i="108"/>
  <c r="J35" i="108"/>
  <c r="Q40" i="123"/>
  <c r="J39" i="108"/>
  <c r="Q44" i="123"/>
  <c r="O104" i="94"/>
  <c r="J104" i="94"/>
  <c r="U104" i="94"/>
  <c r="V104" i="94"/>
  <c r="F104" i="94"/>
  <c r="Q104" i="94"/>
  <c r="C104" i="94"/>
  <c r="L104" i="94"/>
  <c r="S104" i="94"/>
  <c r="P104" i="94"/>
  <c r="R104" i="94"/>
  <c r="G104" i="94"/>
  <c r="M104" i="94"/>
  <c r="H104" i="94"/>
  <c r="E104" i="94"/>
  <c r="N104" i="94"/>
  <c r="I104" i="94"/>
  <c r="T104" i="94"/>
  <c r="D104" i="94"/>
  <c r="K104" i="94"/>
  <c r="H30" i="105"/>
  <c r="O35" i="143"/>
  <c r="I29" i="105"/>
  <c r="D157" i="105"/>
  <c r="D153" i="105"/>
  <c r="H29" i="104"/>
  <c r="G39" i="104"/>
  <c r="N44" i="142"/>
  <c r="G35" i="104"/>
  <c r="N40" i="142"/>
  <c r="H39" i="104"/>
  <c r="O44" i="142"/>
  <c r="F39" i="104"/>
  <c r="M44" i="142"/>
  <c r="D157" i="104"/>
  <c r="E35" i="104"/>
  <c r="L40" i="142"/>
  <c r="H35" i="103"/>
  <c r="O40" i="141"/>
  <c r="F39" i="103"/>
  <c r="M44" i="141"/>
  <c r="J39" i="103"/>
  <c r="Q44" i="141"/>
  <c r="G35" i="103"/>
  <c r="N40" i="141"/>
  <c r="E35" i="103"/>
  <c r="L40" i="141"/>
  <c r="I29" i="102"/>
  <c r="H35" i="102"/>
  <c r="O40" i="135"/>
  <c r="G30" i="102"/>
  <c r="N35" i="135"/>
  <c r="D156" i="102"/>
  <c r="G39" i="102"/>
  <c r="N44" i="135"/>
  <c r="H39" i="102"/>
  <c r="O44" i="135"/>
  <c r="I39" i="101"/>
  <c r="P44" i="134"/>
  <c r="G35" i="101"/>
  <c r="N40" i="134"/>
  <c r="H35" i="101"/>
  <c r="O40" i="134"/>
  <c r="J29" i="101"/>
  <c r="I35" i="101"/>
  <c r="P40" i="134"/>
  <c r="G39" i="101"/>
  <c r="N44" i="134"/>
  <c r="D156" i="101"/>
  <c r="U80" i="13"/>
  <c r="AM80" i="13"/>
  <c r="AI80" i="13"/>
  <c r="AE80" i="13"/>
  <c r="AA80" i="13"/>
  <c r="W80" i="13"/>
  <c r="AN86" i="13"/>
  <c r="AJ86" i="13"/>
  <c r="AF86" i="13"/>
  <c r="AB86" i="13"/>
  <c r="X86" i="13"/>
  <c r="AK92" i="13"/>
  <c r="AG92" i="13"/>
  <c r="AC92" i="13"/>
  <c r="Y92" i="13"/>
  <c r="AL80" i="13"/>
  <c r="AH80" i="13"/>
  <c r="AD80" i="13"/>
  <c r="Z80" i="13"/>
  <c r="V80" i="13"/>
  <c r="AM86" i="13"/>
  <c r="AI86" i="13"/>
  <c r="AE86" i="13"/>
  <c r="AA86" i="13"/>
  <c r="W86" i="13"/>
  <c r="AN92" i="13"/>
  <c r="AJ92" i="13"/>
  <c r="AF92" i="13"/>
  <c r="AB92" i="13"/>
  <c r="X92" i="13"/>
  <c r="AK80" i="13"/>
  <c r="AG80" i="13"/>
  <c r="AC80" i="13"/>
  <c r="U86" i="13"/>
  <c r="AL86" i="13"/>
  <c r="AH86" i="13"/>
  <c r="AD86" i="13"/>
  <c r="Z86" i="13"/>
  <c r="AM92" i="13"/>
  <c r="AI92" i="13"/>
  <c r="AE92" i="13"/>
  <c r="AA92" i="13"/>
  <c r="G30" i="104"/>
  <c r="N35" i="142"/>
  <c r="N33" i="142"/>
  <c r="F30" i="103"/>
  <c r="M35" i="141"/>
  <c r="M33" i="141"/>
  <c r="G30" i="119"/>
  <c r="N35" i="138"/>
  <c r="N33" i="138"/>
  <c r="I30" i="113"/>
  <c r="P33" i="124"/>
  <c r="H30" i="115"/>
  <c r="O33" i="126"/>
  <c r="I30" i="109"/>
  <c r="P35" i="128"/>
  <c r="P33" i="128"/>
  <c r="F30" i="110"/>
  <c r="M33" i="130"/>
  <c r="H30" i="111"/>
  <c r="O33" i="131"/>
  <c r="H30" i="101"/>
  <c r="O35" i="134"/>
  <c r="O33" i="134"/>
  <c r="F30" i="118"/>
  <c r="M35" i="137"/>
  <c r="M33" i="137"/>
  <c r="I30" i="117"/>
  <c r="P33" i="136"/>
  <c r="P35" i="136"/>
  <c r="F30" i="114"/>
  <c r="S13" i="115"/>
  <c r="Z18" i="126"/>
  <c r="S28" i="119"/>
  <c r="Z33" i="138"/>
  <c r="S13" i="119"/>
  <c r="Z18" i="138"/>
  <c r="T28" i="111"/>
  <c r="AA33" i="131"/>
  <c r="T28" i="115"/>
  <c r="AA33" i="126"/>
  <c r="S13" i="111"/>
  <c r="Z18" i="131"/>
  <c r="K28" i="118"/>
  <c r="R33" i="137"/>
  <c r="K13" i="118"/>
  <c r="R18" i="137"/>
  <c r="K28" i="114"/>
  <c r="R33" i="125"/>
  <c r="K13" i="114"/>
  <c r="R18" i="125"/>
  <c r="K13" i="110"/>
  <c r="R18" i="130"/>
  <c r="K28" i="110"/>
  <c r="R33" i="130"/>
  <c r="T28" i="118"/>
  <c r="AA33" i="137"/>
  <c r="T13" i="118"/>
  <c r="AA18" i="137"/>
  <c r="T13" i="114"/>
  <c r="AA18" i="125"/>
  <c r="T28" i="114"/>
  <c r="AA33" i="125"/>
  <c r="T28" i="110"/>
  <c r="AA33" i="130"/>
  <c r="T13" i="110"/>
  <c r="AA18" i="130"/>
  <c r="W13" i="115"/>
  <c r="AD18" i="126"/>
  <c r="W28" i="119"/>
  <c r="AD33" i="138"/>
  <c r="W13" i="119"/>
  <c r="AD18" i="138"/>
  <c r="X28" i="115"/>
  <c r="AE33" i="126"/>
  <c r="X28" i="111"/>
  <c r="AE33" i="131"/>
  <c r="W13" i="111"/>
  <c r="AD18" i="131"/>
  <c r="V28" i="118"/>
  <c r="AC33" i="137"/>
  <c r="V13" i="118"/>
  <c r="AC18" i="137"/>
  <c r="V28" i="114"/>
  <c r="AC33" i="125"/>
  <c r="V28" i="110"/>
  <c r="AC33" i="130"/>
  <c r="V13" i="114"/>
  <c r="AC18" i="125"/>
  <c r="V13" i="110"/>
  <c r="AC18" i="130"/>
  <c r="U28" i="117"/>
  <c r="AB33" i="136"/>
  <c r="AB35" i="136"/>
  <c r="U13" i="117"/>
  <c r="AB18" i="136"/>
  <c r="U28" i="113"/>
  <c r="AB33" i="124"/>
  <c r="U13" i="113"/>
  <c r="AB18" i="124"/>
  <c r="U28" i="109"/>
  <c r="AB33" i="128"/>
  <c r="U13" i="109"/>
  <c r="AB18" i="128"/>
  <c r="T28" i="119"/>
  <c r="AA33" i="138"/>
  <c r="T13" i="119"/>
  <c r="AA18" i="138"/>
  <c r="U28" i="115"/>
  <c r="AB33" i="126"/>
  <c r="U28" i="111"/>
  <c r="AB33" i="131"/>
  <c r="T13" i="111"/>
  <c r="AA18" i="131"/>
  <c r="T13" i="115"/>
  <c r="AA18" i="126"/>
  <c r="O28" i="114"/>
  <c r="V33" i="125"/>
  <c r="O28" i="118"/>
  <c r="V33" i="137"/>
  <c r="O13" i="118"/>
  <c r="V18" i="137"/>
  <c r="O13" i="114"/>
  <c r="V18" i="125"/>
  <c r="O13" i="110"/>
  <c r="V18" i="130"/>
  <c r="O28" i="110"/>
  <c r="V33" i="130"/>
  <c r="J28" i="117"/>
  <c r="J13" i="117"/>
  <c r="Q18" i="136"/>
  <c r="J13" i="113"/>
  <c r="Q18" i="124"/>
  <c r="J28" i="113"/>
  <c r="J28" i="109"/>
  <c r="J13" i="109"/>
  <c r="Q18" i="128"/>
  <c r="J28" i="115"/>
  <c r="Q33" i="126"/>
  <c r="I13" i="115"/>
  <c r="P18" i="126"/>
  <c r="I28" i="119"/>
  <c r="J28" i="111"/>
  <c r="I13" i="111"/>
  <c r="P18" i="131"/>
  <c r="I13" i="119"/>
  <c r="P18" i="138"/>
  <c r="H28" i="118"/>
  <c r="H13" i="118"/>
  <c r="O18" i="137"/>
  <c r="H28" i="114"/>
  <c r="O33" i="125"/>
  <c r="H13" i="114"/>
  <c r="O18" i="125"/>
  <c r="H28" i="110"/>
  <c r="H13" i="110"/>
  <c r="O18" i="130"/>
  <c r="X28" i="118"/>
  <c r="AE33" i="137"/>
  <c r="X13" i="118"/>
  <c r="AE18" i="137"/>
  <c r="X13" i="114"/>
  <c r="AE18" i="125"/>
  <c r="X28" i="114"/>
  <c r="AE33" i="125"/>
  <c r="X28" i="110"/>
  <c r="AE33" i="130"/>
  <c r="X13" i="110"/>
  <c r="AE18" i="130"/>
  <c r="S28" i="117"/>
  <c r="Z33" i="136"/>
  <c r="Z35" i="136"/>
  <c r="S13" i="117"/>
  <c r="Z18" i="136"/>
  <c r="S28" i="113"/>
  <c r="Z33" i="124"/>
  <c r="S13" i="113"/>
  <c r="Z18" i="124"/>
  <c r="S28" i="109"/>
  <c r="Z33" i="128"/>
  <c r="S13" i="109"/>
  <c r="Z18" i="128"/>
  <c r="H13" i="96"/>
  <c r="O18" i="129"/>
  <c r="P28" i="117"/>
  <c r="W33" i="136"/>
  <c r="W35" i="136"/>
  <c r="P13" i="117"/>
  <c r="W18" i="136"/>
  <c r="P28" i="113"/>
  <c r="W33" i="124"/>
  <c r="P13" i="113"/>
  <c r="W18" i="124"/>
  <c r="P28" i="109"/>
  <c r="W33" i="128"/>
  <c r="P13" i="109"/>
  <c r="W18" i="128"/>
  <c r="F28" i="101"/>
  <c r="F28" i="115"/>
  <c r="F28" i="111"/>
  <c r="I13" i="99"/>
  <c r="P18" i="133"/>
  <c r="I28" i="118"/>
  <c r="I13" i="118"/>
  <c r="P18" i="137"/>
  <c r="I13" i="114"/>
  <c r="P18" i="125"/>
  <c r="I28" i="114"/>
  <c r="P33" i="125"/>
  <c r="I28" i="110"/>
  <c r="I13" i="110"/>
  <c r="P18" i="130"/>
  <c r="P28" i="119"/>
  <c r="W33" i="138"/>
  <c r="P13" i="119"/>
  <c r="W18" i="138"/>
  <c r="Q28" i="115"/>
  <c r="X33" i="126"/>
  <c r="P13" i="115"/>
  <c r="W18" i="126"/>
  <c r="Q28" i="111"/>
  <c r="X33" i="131"/>
  <c r="P13" i="111"/>
  <c r="W18" i="131"/>
  <c r="J28" i="118"/>
  <c r="J13" i="118"/>
  <c r="Q18" i="137"/>
  <c r="J28" i="110"/>
  <c r="J28" i="114"/>
  <c r="Q33" i="125"/>
  <c r="J13" i="114"/>
  <c r="Q18" i="125"/>
  <c r="J13" i="110"/>
  <c r="Q18" i="130"/>
  <c r="H28" i="119"/>
  <c r="H13" i="119"/>
  <c r="O18" i="138"/>
  <c r="I28" i="115"/>
  <c r="I28" i="111"/>
  <c r="H13" i="115"/>
  <c r="O18" i="126"/>
  <c r="H13" i="111"/>
  <c r="O18" i="131"/>
  <c r="S28" i="114"/>
  <c r="Z33" i="125"/>
  <c r="S13" i="114"/>
  <c r="Z18" i="125"/>
  <c r="S13" i="110"/>
  <c r="Z18" i="130"/>
  <c r="S28" i="118"/>
  <c r="Z33" i="137"/>
  <c r="S28" i="110"/>
  <c r="Z33" i="130"/>
  <c r="S13" i="118"/>
  <c r="Z18" i="137"/>
  <c r="N28" i="115"/>
  <c r="U33" i="126"/>
  <c r="M13" i="115"/>
  <c r="T18" i="126"/>
  <c r="N28" i="111"/>
  <c r="U33" i="131"/>
  <c r="M13" i="111"/>
  <c r="T18" i="131"/>
  <c r="M13" i="119"/>
  <c r="T18" i="138"/>
  <c r="M28" i="119"/>
  <c r="T33" i="138"/>
  <c r="W28" i="117"/>
  <c r="AD33" i="136"/>
  <c r="AD35" i="136"/>
  <c r="W13" i="117"/>
  <c r="AD18" i="136"/>
  <c r="W28" i="113"/>
  <c r="AD33" i="124"/>
  <c r="W13" i="113"/>
  <c r="AD18" i="124"/>
  <c r="W28" i="109"/>
  <c r="AD33" i="128"/>
  <c r="W13" i="109"/>
  <c r="AD18" i="128"/>
  <c r="S28" i="115"/>
  <c r="Z33" i="126"/>
  <c r="R13" i="115"/>
  <c r="Y18" i="126"/>
  <c r="R28" i="119"/>
  <c r="Y33" i="138"/>
  <c r="R13" i="119"/>
  <c r="Y18" i="138"/>
  <c r="R13" i="111"/>
  <c r="Y18" i="131"/>
  <c r="S28" i="111"/>
  <c r="Z33" i="131"/>
  <c r="G28" i="115"/>
  <c r="F13" i="115"/>
  <c r="M18" i="126"/>
  <c r="F28" i="119"/>
  <c r="F13" i="119"/>
  <c r="M18" i="138"/>
  <c r="F13" i="111"/>
  <c r="M18" i="131"/>
  <c r="G28" i="111"/>
  <c r="U28" i="118"/>
  <c r="AB33" i="137"/>
  <c r="U13" i="118"/>
  <c r="AB18" i="137"/>
  <c r="U28" i="114"/>
  <c r="AB33" i="125"/>
  <c r="U28" i="110"/>
  <c r="AB33" i="130"/>
  <c r="U13" i="114"/>
  <c r="AB18" i="125"/>
  <c r="U13" i="110"/>
  <c r="AB18" i="130"/>
  <c r="H28" i="113"/>
  <c r="H13" i="113"/>
  <c r="O18" i="124"/>
  <c r="H13" i="117"/>
  <c r="O18" i="136"/>
  <c r="H13" i="109"/>
  <c r="O18" i="128"/>
  <c r="H28" i="109"/>
  <c r="H28" i="117"/>
  <c r="Q28" i="117"/>
  <c r="X33" i="136"/>
  <c r="X35" i="136"/>
  <c r="Q13" i="117"/>
  <c r="X18" i="136"/>
  <c r="Q28" i="113"/>
  <c r="X33" i="124"/>
  <c r="Q13" i="113"/>
  <c r="X18" i="124"/>
  <c r="Q28" i="109"/>
  <c r="X33" i="128"/>
  <c r="Q13" i="109"/>
  <c r="X18" i="128"/>
  <c r="K13" i="115"/>
  <c r="R18" i="126"/>
  <c r="K28" i="119"/>
  <c r="K13" i="119"/>
  <c r="R18" i="138"/>
  <c r="L28" i="115"/>
  <c r="L28" i="111"/>
  <c r="K13" i="111"/>
  <c r="R18" i="131"/>
  <c r="X28" i="119"/>
  <c r="AE33" i="138"/>
  <c r="X13" i="119"/>
  <c r="AE18" i="138"/>
  <c r="X13" i="115"/>
  <c r="AE18" i="126"/>
  <c r="X13" i="111"/>
  <c r="AE18" i="131"/>
  <c r="N28" i="117"/>
  <c r="U33" i="136"/>
  <c r="U35" i="136"/>
  <c r="N13" i="117"/>
  <c r="U18" i="136"/>
  <c r="N28" i="113"/>
  <c r="U33" i="124"/>
  <c r="N28" i="109"/>
  <c r="N13" i="109"/>
  <c r="U18" i="128"/>
  <c r="N13" i="113"/>
  <c r="U18" i="124"/>
  <c r="L28" i="118"/>
  <c r="S33" i="137"/>
  <c r="L13" i="118"/>
  <c r="S18" i="137"/>
  <c r="L28" i="114"/>
  <c r="S33" i="125"/>
  <c r="L13" i="114"/>
  <c r="S18" i="125"/>
  <c r="L28" i="110"/>
  <c r="S33" i="130"/>
  <c r="L13" i="110"/>
  <c r="S18" i="130"/>
  <c r="G28" i="117"/>
  <c r="G13" i="117"/>
  <c r="N18" i="136"/>
  <c r="G28" i="113"/>
  <c r="G13" i="113"/>
  <c r="N18" i="124"/>
  <c r="G28" i="109"/>
  <c r="G13" i="109"/>
  <c r="N18" i="128"/>
  <c r="O13" i="115"/>
  <c r="V18" i="126"/>
  <c r="O28" i="119"/>
  <c r="V33" i="138"/>
  <c r="O13" i="119"/>
  <c r="V18" i="138"/>
  <c r="P28" i="115"/>
  <c r="W33" i="126"/>
  <c r="P28" i="111"/>
  <c r="W33" i="131"/>
  <c r="O13" i="111"/>
  <c r="V18" i="131"/>
  <c r="N28" i="118"/>
  <c r="U33" i="137"/>
  <c r="N13" i="118"/>
  <c r="U18" i="137"/>
  <c r="N28" i="114"/>
  <c r="U33" i="125"/>
  <c r="N28" i="110"/>
  <c r="U33" i="130"/>
  <c r="N13" i="114"/>
  <c r="U18" i="125"/>
  <c r="N13" i="110"/>
  <c r="U18" i="130"/>
  <c r="M28" i="117"/>
  <c r="M13" i="117"/>
  <c r="T18" i="136"/>
  <c r="M28" i="113"/>
  <c r="M13" i="113"/>
  <c r="T18" i="124"/>
  <c r="M28" i="109"/>
  <c r="M13" i="109"/>
  <c r="T18" i="128"/>
  <c r="L28" i="119"/>
  <c r="L13" i="119"/>
  <c r="S18" i="138"/>
  <c r="M28" i="115"/>
  <c r="T33" i="126"/>
  <c r="L13" i="115"/>
  <c r="S18" i="126"/>
  <c r="M28" i="111"/>
  <c r="L13" i="111"/>
  <c r="S18" i="131"/>
  <c r="G28" i="114"/>
  <c r="N33" i="125"/>
  <c r="G13" i="114"/>
  <c r="N18" i="125"/>
  <c r="G28" i="118"/>
  <c r="G13" i="118"/>
  <c r="N18" i="137"/>
  <c r="G28" i="110"/>
  <c r="G13" i="110"/>
  <c r="N18" i="130"/>
  <c r="W28" i="114"/>
  <c r="AD33" i="125"/>
  <c r="W13" i="114"/>
  <c r="AD18" i="125"/>
  <c r="W28" i="118"/>
  <c r="AD33" i="137"/>
  <c r="W13" i="118"/>
  <c r="AD18" i="137"/>
  <c r="W28" i="110"/>
  <c r="AD33" i="130"/>
  <c r="W13" i="110"/>
  <c r="AD18" i="130"/>
  <c r="R28" i="117"/>
  <c r="Y33" i="136"/>
  <c r="Y35" i="136"/>
  <c r="R13" i="117"/>
  <c r="Y18" i="136"/>
  <c r="R28" i="109"/>
  <c r="Y33" i="128"/>
  <c r="R13" i="109"/>
  <c r="Y18" i="128"/>
  <c r="R28" i="113"/>
  <c r="Y33" i="124"/>
  <c r="R13" i="113"/>
  <c r="Y18" i="124"/>
  <c r="R28" i="115"/>
  <c r="Y33" i="126"/>
  <c r="Q13" i="115"/>
  <c r="X18" i="126"/>
  <c r="R28" i="111"/>
  <c r="Y33" i="131"/>
  <c r="Q13" i="119"/>
  <c r="X18" i="138"/>
  <c r="Q13" i="111"/>
  <c r="X18" i="131"/>
  <c r="Q28" i="119"/>
  <c r="X33" i="138"/>
  <c r="P28" i="118"/>
  <c r="W33" i="137"/>
  <c r="P13" i="118"/>
  <c r="W18" i="137"/>
  <c r="P13" i="114"/>
  <c r="W18" i="125"/>
  <c r="P28" i="110"/>
  <c r="W33" i="130"/>
  <c r="P28" i="114"/>
  <c r="W33" i="125"/>
  <c r="P13" i="110"/>
  <c r="W18" i="130"/>
  <c r="K28" i="117"/>
  <c r="K13" i="117"/>
  <c r="R18" i="136"/>
  <c r="K28" i="113"/>
  <c r="K13" i="113"/>
  <c r="R18" i="124"/>
  <c r="K28" i="109"/>
  <c r="K13" i="109"/>
  <c r="R18" i="128"/>
  <c r="M28" i="118"/>
  <c r="T33" i="137"/>
  <c r="M13" i="118"/>
  <c r="T18" i="137"/>
  <c r="M28" i="114"/>
  <c r="T33" i="125"/>
  <c r="M13" i="114"/>
  <c r="T18" i="125"/>
  <c r="M28" i="110"/>
  <c r="T33" i="130"/>
  <c r="M13" i="110"/>
  <c r="T18" i="130"/>
  <c r="W28" i="115"/>
  <c r="AD33" i="126"/>
  <c r="V13" i="115"/>
  <c r="AC18" i="126"/>
  <c r="V28" i="119"/>
  <c r="AC33" i="138"/>
  <c r="V13" i="119"/>
  <c r="AC18" i="138"/>
  <c r="V13" i="111"/>
  <c r="AC18" i="131"/>
  <c r="W28" i="111"/>
  <c r="AD33" i="131"/>
  <c r="T28" i="117"/>
  <c r="AA33" i="136"/>
  <c r="AA35" i="136"/>
  <c r="T13" i="117"/>
  <c r="AA18" i="136"/>
  <c r="T28" i="113"/>
  <c r="AA33" i="124"/>
  <c r="T13" i="113"/>
  <c r="AA18" i="124"/>
  <c r="T28" i="109"/>
  <c r="AA33" i="128"/>
  <c r="T13" i="109"/>
  <c r="AA18" i="128"/>
  <c r="H13" i="93"/>
  <c r="O18" i="140"/>
  <c r="O28" i="115"/>
  <c r="V33" i="126"/>
  <c r="N13" i="115"/>
  <c r="U18" i="126"/>
  <c r="N28" i="119"/>
  <c r="U33" i="138"/>
  <c r="N13" i="119"/>
  <c r="U18" i="138"/>
  <c r="N13" i="111"/>
  <c r="U18" i="131"/>
  <c r="O28" i="111"/>
  <c r="V33" i="131"/>
  <c r="R28" i="118"/>
  <c r="Y33" i="137"/>
  <c r="R13" i="118"/>
  <c r="Y18" i="137"/>
  <c r="R28" i="114"/>
  <c r="Y33" i="125"/>
  <c r="R28" i="110"/>
  <c r="Y33" i="130"/>
  <c r="R13" i="114"/>
  <c r="Y18" i="125"/>
  <c r="R13" i="110"/>
  <c r="Y18" i="130"/>
  <c r="F28" i="117"/>
  <c r="F13" i="117"/>
  <c r="M18" i="136"/>
  <c r="F13" i="113"/>
  <c r="M18" i="124"/>
  <c r="F28" i="109"/>
  <c r="F13" i="109"/>
  <c r="M18" i="128"/>
  <c r="F28" i="113"/>
  <c r="V28" i="117"/>
  <c r="AC33" i="136"/>
  <c r="AC35" i="136"/>
  <c r="V13" i="117"/>
  <c r="AC18" i="136"/>
  <c r="V13" i="113"/>
  <c r="AC18" i="124"/>
  <c r="V28" i="109"/>
  <c r="AC33" i="128"/>
  <c r="V13" i="109"/>
  <c r="AC18" i="128"/>
  <c r="V28" i="113"/>
  <c r="AC33" i="124"/>
  <c r="V28" i="115"/>
  <c r="AC33" i="126"/>
  <c r="U13" i="115"/>
  <c r="AB18" i="126"/>
  <c r="U13" i="119"/>
  <c r="AB18" i="138"/>
  <c r="V28" i="111"/>
  <c r="AC33" i="131"/>
  <c r="U28" i="119"/>
  <c r="AB33" i="138"/>
  <c r="U13" i="111"/>
  <c r="AB18" i="131"/>
  <c r="O28" i="117"/>
  <c r="V33" i="136"/>
  <c r="V35" i="136"/>
  <c r="O13" i="117"/>
  <c r="V18" i="136"/>
  <c r="O28" i="113"/>
  <c r="V33" i="124"/>
  <c r="O13" i="113"/>
  <c r="V18" i="124"/>
  <c r="O28" i="109"/>
  <c r="V33" i="128"/>
  <c r="O13" i="109"/>
  <c r="V18" i="128"/>
  <c r="L28" i="113"/>
  <c r="L13" i="113"/>
  <c r="S18" i="124"/>
  <c r="L28" i="117"/>
  <c r="L13" i="117"/>
  <c r="S18" i="136"/>
  <c r="L28" i="109"/>
  <c r="L13" i="109"/>
  <c r="S18" i="128"/>
  <c r="Q28" i="118"/>
  <c r="X33" i="137"/>
  <c r="Q13" i="118"/>
  <c r="X18" i="137"/>
  <c r="Q28" i="114"/>
  <c r="X33" i="125"/>
  <c r="Q28" i="110"/>
  <c r="X33" i="130"/>
  <c r="Q13" i="114"/>
  <c r="X18" i="125"/>
  <c r="Q13" i="110"/>
  <c r="X18" i="130"/>
  <c r="K28" i="115"/>
  <c r="J13" i="115"/>
  <c r="Q18" i="126"/>
  <c r="J28" i="119"/>
  <c r="J13" i="119"/>
  <c r="Q18" i="138"/>
  <c r="J13" i="111"/>
  <c r="Q18" i="131"/>
  <c r="K28" i="111"/>
  <c r="X28" i="113"/>
  <c r="AE33" i="124"/>
  <c r="X13" i="113"/>
  <c r="AE18" i="124"/>
  <c r="X13" i="109"/>
  <c r="AE18" i="128"/>
  <c r="X28" i="117"/>
  <c r="AE33" i="136"/>
  <c r="AE35" i="136"/>
  <c r="X13" i="117"/>
  <c r="AE18" i="136"/>
  <c r="X28" i="109"/>
  <c r="AE33" i="128"/>
  <c r="X34" i="122"/>
  <c r="W40" i="122"/>
  <c r="W44" i="122"/>
  <c r="K35" i="118"/>
  <c r="R40" i="137"/>
  <c r="K39" i="118"/>
  <c r="R44" i="137"/>
  <c r="K30" i="118"/>
  <c r="R35" i="137"/>
  <c r="N29" i="120"/>
  <c r="M39" i="120"/>
  <c r="T44" i="139"/>
  <c r="M35" i="120"/>
  <c r="T40" i="139"/>
  <c r="M30" i="120"/>
  <c r="T35" i="139"/>
  <c r="M29" i="119"/>
  <c r="L35" i="119"/>
  <c r="S40" i="138"/>
  <c r="L39" i="119"/>
  <c r="S44" i="138"/>
  <c r="N39" i="117"/>
  <c r="U44" i="136"/>
  <c r="N35" i="117"/>
  <c r="U40" i="136"/>
  <c r="O29" i="117"/>
  <c r="N30" i="117"/>
  <c r="N29" i="113"/>
  <c r="M39" i="113"/>
  <c r="T44" i="124"/>
  <c r="M35" i="113"/>
  <c r="T40" i="124"/>
  <c r="N29" i="115"/>
  <c r="M35" i="115"/>
  <c r="T40" i="126"/>
  <c r="M39" i="115"/>
  <c r="T44" i="126"/>
  <c r="K39" i="116"/>
  <c r="R44" i="127"/>
  <c r="K35" i="116"/>
  <c r="R40" i="127"/>
  <c r="L29" i="116"/>
  <c r="K30" i="116"/>
  <c r="M29" i="114"/>
  <c r="L39" i="114"/>
  <c r="S44" i="125"/>
  <c r="L35" i="114"/>
  <c r="S40" i="125"/>
  <c r="M35" i="112"/>
  <c r="T40" i="132"/>
  <c r="M39" i="112"/>
  <c r="T44" i="132"/>
  <c r="M30" i="112"/>
  <c r="N35" i="111"/>
  <c r="U40" i="131"/>
  <c r="O29" i="111"/>
  <c r="N30" i="111"/>
  <c r="N39" i="111"/>
  <c r="U44" i="131"/>
  <c r="L29" i="110"/>
  <c r="K35" i="110"/>
  <c r="R40" i="130"/>
  <c r="K30" i="110"/>
  <c r="K39" i="110"/>
  <c r="R44" i="130"/>
  <c r="O29" i="109"/>
  <c r="N35" i="109"/>
  <c r="U40" i="128"/>
  <c r="N39" i="109"/>
  <c r="U44" i="128"/>
  <c r="I28" i="103"/>
  <c r="P33" i="141"/>
  <c r="I28" i="99"/>
  <c r="P33" i="133"/>
  <c r="L28" i="101"/>
  <c r="S33" i="134"/>
  <c r="K28" i="104"/>
  <c r="R33" i="142"/>
  <c r="K13" i="101"/>
  <c r="R18" i="134"/>
  <c r="K13" i="104"/>
  <c r="R18" i="142"/>
  <c r="X28" i="104"/>
  <c r="AE33" i="142"/>
  <c r="X13" i="101"/>
  <c r="AE18" i="134"/>
  <c r="X13" i="104"/>
  <c r="AE18" i="142"/>
  <c r="M28" i="104"/>
  <c r="T33" i="142"/>
  <c r="N28" i="101"/>
  <c r="U33" i="134"/>
  <c r="M13" i="104"/>
  <c r="T18" i="142"/>
  <c r="M13" i="101"/>
  <c r="T18" i="134"/>
  <c r="P28" i="101"/>
  <c r="W33" i="134"/>
  <c r="O28" i="104"/>
  <c r="V33" i="142"/>
  <c r="O13" i="101"/>
  <c r="V18" i="134"/>
  <c r="O13" i="104"/>
  <c r="V18" i="142"/>
  <c r="W28" i="103"/>
  <c r="AD33" i="141"/>
  <c r="W28" i="99"/>
  <c r="AD33" i="133"/>
  <c r="W13" i="103"/>
  <c r="AD18" i="141"/>
  <c r="W13" i="99"/>
  <c r="AD18" i="133"/>
  <c r="P28" i="93"/>
  <c r="W33" i="140"/>
  <c r="P28" i="96"/>
  <c r="W33" i="129"/>
  <c r="P13" i="93"/>
  <c r="W18" i="140"/>
  <c r="P13" i="96"/>
  <c r="W18" i="129"/>
  <c r="U28" i="99"/>
  <c r="AB33" i="133"/>
  <c r="U28" i="103"/>
  <c r="AB33" i="141"/>
  <c r="U13" i="103"/>
  <c r="AB18" i="141"/>
  <c r="U13" i="99"/>
  <c r="AB18" i="133"/>
  <c r="J28" i="103"/>
  <c r="J28" i="99"/>
  <c r="Q33" i="133"/>
  <c r="J13" i="103"/>
  <c r="Q18" i="141"/>
  <c r="J13" i="99"/>
  <c r="Q18" i="133"/>
  <c r="I28" i="101"/>
  <c r="H28" i="104"/>
  <c r="H13" i="101"/>
  <c r="O18" i="134"/>
  <c r="H13" i="104"/>
  <c r="O18" i="142"/>
  <c r="S28" i="99"/>
  <c r="Z33" i="133"/>
  <c r="S28" i="103"/>
  <c r="Z33" i="141"/>
  <c r="S13" i="103"/>
  <c r="Z18" i="141"/>
  <c r="S13" i="99"/>
  <c r="Z18" i="133"/>
  <c r="L28" i="99"/>
  <c r="S33" i="133"/>
  <c r="L28" i="103"/>
  <c r="S33" i="141"/>
  <c r="L13" i="99"/>
  <c r="S18" i="133"/>
  <c r="L13" i="103"/>
  <c r="S18" i="141"/>
  <c r="W28" i="96"/>
  <c r="AD33" i="129"/>
  <c r="W28" i="93"/>
  <c r="AD33" i="140"/>
  <c r="W13" i="93"/>
  <c r="AD18" i="140"/>
  <c r="W13" i="96"/>
  <c r="AD18" i="129"/>
  <c r="L28" i="93"/>
  <c r="S33" i="140"/>
  <c r="L28" i="96"/>
  <c r="S33" i="129"/>
  <c r="L13" i="93"/>
  <c r="S18" i="140"/>
  <c r="L13" i="96"/>
  <c r="S18" i="129"/>
  <c r="M28" i="93"/>
  <c r="T33" i="140"/>
  <c r="M28" i="96"/>
  <c r="T33" i="129"/>
  <c r="M13" i="93"/>
  <c r="T18" i="140"/>
  <c r="M13" i="96"/>
  <c r="T18" i="129"/>
  <c r="G28" i="99"/>
  <c r="N33" i="133"/>
  <c r="G28" i="103"/>
  <c r="G13" i="103"/>
  <c r="N18" i="141"/>
  <c r="G13" i="99"/>
  <c r="N18" i="133"/>
  <c r="R28" i="101"/>
  <c r="Y33" i="134"/>
  <c r="Q28" i="104"/>
  <c r="X33" i="142"/>
  <c r="Q13" i="104"/>
  <c r="X18" i="142"/>
  <c r="Q13" i="101"/>
  <c r="X18" i="134"/>
  <c r="P28" i="99"/>
  <c r="W33" i="133"/>
  <c r="P28" i="103"/>
  <c r="W33" i="141"/>
  <c r="P13" i="99"/>
  <c r="W18" i="133"/>
  <c r="P13" i="103"/>
  <c r="W18" i="141"/>
  <c r="T28" i="101"/>
  <c r="AA33" i="134"/>
  <c r="S28" i="104"/>
  <c r="Z33" i="142"/>
  <c r="S13" i="101"/>
  <c r="Z18" i="134"/>
  <c r="S13" i="104"/>
  <c r="Z18" i="142"/>
  <c r="R28" i="103"/>
  <c r="Y33" i="141"/>
  <c r="R28" i="99"/>
  <c r="Y33" i="133"/>
  <c r="R13" i="103"/>
  <c r="Y18" i="141"/>
  <c r="R13" i="99"/>
  <c r="Y18" i="133"/>
  <c r="Q28" i="93"/>
  <c r="X33" i="140"/>
  <c r="Q28" i="96"/>
  <c r="X33" i="129"/>
  <c r="Q13" i="93"/>
  <c r="X18" i="140"/>
  <c r="Q13" i="96"/>
  <c r="X18" i="129"/>
  <c r="Q28" i="101"/>
  <c r="X33" i="134"/>
  <c r="P28" i="104"/>
  <c r="W33" i="142"/>
  <c r="P13" i="101"/>
  <c r="W18" i="134"/>
  <c r="P13" i="104"/>
  <c r="W18" i="142"/>
  <c r="K28" i="103"/>
  <c r="R33" i="141"/>
  <c r="K28" i="99"/>
  <c r="R33" i="133"/>
  <c r="K13" i="103"/>
  <c r="R18" i="141"/>
  <c r="K13" i="99"/>
  <c r="R18" i="133"/>
  <c r="F28" i="93"/>
  <c r="M33" i="140"/>
  <c r="F28" i="96"/>
  <c r="M33" i="129"/>
  <c r="F13" i="93"/>
  <c r="M18" i="140"/>
  <c r="F13" i="96"/>
  <c r="M18" i="129"/>
  <c r="V28" i="93"/>
  <c r="AC33" i="140"/>
  <c r="V28" i="96"/>
  <c r="AC33" i="129"/>
  <c r="V13" i="93"/>
  <c r="AC18" i="140"/>
  <c r="V13" i="96"/>
  <c r="AC18" i="129"/>
  <c r="U28" i="104"/>
  <c r="AB33" i="142"/>
  <c r="V28" i="101"/>
  <c r="AC33" i="134"/>
  <c r="U13" i="104"/>
  <c r="AB18" i="142"/>
  <c r="U13" i="101"/>
  <c r="AB18" i="134"/>
  <c r="T28" i="99"/>
  <c r="AA33" i="133"/>
  <c r="T28" i="103"/>
  <c r="AA33" i="141"/>
  <c r="T13" i="99"/>
  <c r="AA18" i="133"/>
  <c r="T13" i="103"/>
  <c r="AA18" i="141"/>
  <c r="O28" i="96"/>
  <c r="V33" i="129"/>
  <c r="O28" i="93"/>
  <c r="V33" i="140"/>
  <c r="O13" i="93"/>
  <c r="V18" i="140"/>
  <c r="O13" i="96"/>
  <c r="V18" i="129"/>
  <c r="R28" i="104"/>
  <c r="Y33" i="142"/>
  <c r="S28" i="101"/>
  <c r="Z33" i="134"/>
  <c r="R13" i="101"/>
  <c r="Y18" i="134"/>
  <c r="R13" i="104"/>
  <c r="Y18" i="142"/>
  <c r="G28" i="101"/>
  <c r="F28" i="104"/>
  <c r="F13" i="101"/>
  <c r="M18" i="134"/>
  <c r="F13" i="104"/>
  <c r="M18" i="142"/>
  <c r="T28" i="93"/>
  <c r="AA33" i="140"/>
  <c r="T28" i="96"/>
  <c r="AA33" i="129"/>
  <c r="T13" i="93"/>
  <c r="AA18" i="140"/>
  <c r="T13" i="96"/>
  <c r="AA18" i="129"/>
  <c r="N28" i="96"/>
  <c r="U33" i="129"/>
  <c r="N28" i="93"/>
  <c r="U33" i="140"/>
  <c r="N13" i="96"/>
  <c r="U18" i="129"/>
  <c r="N13" i="93"/>
  <c r="U18" i="140"/>
  <c r="G28" i="96"/>
  <c r="N33" i="129"/>
  <c r="G28" i="93"/>
  <c r="N33" i="140"/>
  <c r="G13" i="93"/>
  <c r="N18" i="140"/>
  <c r="G13" i="96"/>
  <c r="N18" i="129"/>
  <c r="Q28" i="99"/>
  <c r="X33" i="133"/>
  <c r="Q28" i="103"/>
  <c r="X33" i="141"/>
  <c r="Q13" i="103"/>
  <c r="X18" i="141"/>
  <c r="Q13" i="99"/>
  <c r="X18" i="133"/>
  <c r="N28" i="103"/>
  <c r="U33" i="141"/>
  <c r="N28" i="99"/>
  <c r="U33" i="133"/>
  <c r="N13" i="103"/>
  <c r="U18" i="141"/>
  <c r="N13" i="99"/>
  <c r="U18" i="133"/>
  <c r="M28" i="101"/>
  <c r="T33" i="134"/>
  <c r="L28" i="104"/>
  <c r="S33" i="142"/>
  <c r="L13" i="101"/>
  <c r="S18" i="134"/>
  <c r="L13" i="104"/>
  <c r="S18" i="142"/>
  <c r="R28" i="96"/>
  <c r="Y33" i="129"/>
  <c r="R28" i="93"/>
  <c r="Y33" i="140"/>
  <c r="R13" i="96"/>
  <c r="Y18" i="129"/>
  <c r="R13" i="93"/>
  <c r="Y18" i="140"/>
  <c r="K28" i="96"/>
  <c r="R33" i="129"/>
  <c r="K28" i="93"/>
  <c r="R33" i="140"/>
  <c r="K13" i="93"/>
  <c r="R18" i="140"/>
  <c r="K13" i="96"/>
  <c r="R18" i="129"/>
  <c r="X28" i="101"/>
  <c r="AE33" i="134"/>
  <c r="W28" i="104"/>
  <c r="AD33" i="142"/>
  <c r="W13" i="101"/>
  <c r="AD18" i="134"/>
  <c r="W13" i="104"/>
  <c r="AD18" i="142"/>
  <c r="V28" i="103"/>
  <c r="AC33" i="141"/>
  <c r="V28" i="99"/>
  <c r="AC33" i="133"/>
  <c r="V13" i="103"/>
  <c r="AC18" i="141"/>
  <c r="V13" i="99"/>
  <c r="AC18" i="133"/>
  <c r="U28" i="93"/>
  <c r="AB33" i="140"/>
  <c r="U28" i="96"/>
  <c r="AB33" i="129"/>
  <c r="U13" i="93"/>
  <c r="AB18" i="140"/>
  <c r="U13" i="96"/>
  <c r="AB18" i="129"/>
  <c r="U28" i="101"/>
  <c r="AB33" i="134"/>
  <c r="T28" i="104"/>
  <c r="AA33" i="142"/>
  <c r="T13" i="101"/>
  <c r="AA18" i="134"/>
  <c r="T13" i="104"/>
  <c r="AA18" i="142"/>
  <c r="O28" i="103"/>
  <c r="V33" i="141"/>
  <c r="O28" i="99"/>
  <c r="V33" i="133"/>
  <c r="O13" i="103"/>
  <c r="V18" i="141"/>
  <c r="O13" i="99"/>
  <c r="V18" i="133"/>
  <c r="J28" i="93"/>
  <c r="Q33" i="140"/>
  <c r="J28" i="96"/>
  <c r="Q33" i="129"/>
  <c r="J13" i="93"/>
  <c r="Q18" i="140"/>
  <c r="J13" i="96"/>
  <c r="Q18" i="129"/>
  <c r="J28" i="101"/>
  <c r="Q33" i="134"/>
  <c r="I28" i="104"/>
  <c r="P33" i="142"/>
  <c r="I13" i="104"/>
  <c r="P18" i="142"/>
  <c r="I13" i="101"/>
  <c r="P18" i="134"/>
  <c r="H28" i="99"/>
  <c r="O33" i="133"/>
  <c r="H28" i="103"/>
  <c r="H13" i="99"/>
  <c r="O18" i="133"/>
  <c r="H13" i="103"/>
  <c r="O18" i="141"/>
  <c r="X28" i="99"/>
  <c r="AE33" i="133"/>
  <c r="X28" i="103"/>
  <c r="AE33" i="141"/>
  <c r="X13" i="99"/>
  <c r="AE18" i="133"/>
  <c r="X13" i="103"/>
  <c r="AE18" i="141"/>
  <c r="S28" i="96"/>
  <c r="Z33" i="129"/>
  <c r="S28" i="93"/>
  <c r="Z33" i="140"/>
  <c r="S13" i="93"/>
  <c r="Z18" i="140"/>
  <c r="S13" i="96"/>
  <c r="Z18" i="129"/>
  <c r="J30" i="101"/>
  <c r="Q35" i="134"/>
  <c r="M28" i="99"/>
  <c r="T33" i="133"/>
  <c r="M28" i="103"/>
  <c r="T33" i="141"/>
  <c r="M13" i="103"/>
  <c r="T18" i="141"/>
  <c r="M13" i="99"/>
  <c r="T18" i="133"/>
  <c r="V28" i="104"/>
  <c r="AC33" i="142"/>
  <c r="W28" i="101"/>
  <c r="AD33" i="134"/>
  <c r="V13" i="101"/>
  <c r="AC18" i="134"/>
  <c r="V13" i="104"/>
  <c r="AC18" i="142"/>
  <c r="J28" i="104"/>
  <c r="Q33" i="142"/>
  <c r="K28" i="101"/>
  <c r="R33" i="134"/>
  <c r="J13" i="101"/>
  <c r="Q18" i="134"/>
  <c r="J13" i="104"/>
  <c r="Q18" i="142"/>
  <c r="L29" i="108"/>
  <c r="K35" i="108"/>
  <c r="R40" i="123"/>
  <c r="K39" i="108"/>
  <c r="R44" i="123"/>
  <c r="I35" i="105"/>
  <c r="P40" i="143"/>
  <c r="J29" i="105"/>
  <c r="I39" i="105"/>
  <c r="P44" i="143"/>
  <c r="I30" i="105"/>
  <c r="P35" i="143"/>
  <c r="I29" i="104"/>
  <c r="H35" i="104"/>
  <c r="O40" i="142"/>
  <c r="I39" i="103"/>
  <c r="P44" i="141"/>
  <c r="J35" i="103"/>
  <c r="Q40" i="141"/>
  <c r="I35" i="103"/>
  <c r="P40" i="141"/>
  <c r="J29" i="102"/>
  <c r="I30" i="102"/>
  <c r="P35" i="135"/>
  <c r="I39" i="102"/>
  <c r="P44" i="135"/>
  <c r="I35" i="102"/>
  <c r="P40" i="135"/>
  <c r="K29" i="101"/>
  <c r="J35" i="101"/>
  <c r="Q40" i="134"/>
  <c r="J39" i="101"/>
  <c r="Q44" i="134"/>
  <c r="F30" i="104"/>
  <c r="M35" i="142"/>
  <c r="M33" i="142"/>
  <c r="H30" i="104"/>
  <c r="O35" i="142"/>
  <c r="O33" i="142"/>
  <c r="H30" i="103"/>
  <c r="O35" i="141"/>
  <c r="O33" i="141"/>
  <c r="G30" i="103"/>
  <c r="N35" i="141"/>
  <c r="N33" i="141"/>
  <c r="I30" i="103"/>
  <c r="P35" i="141"/>
  <c r="J30" i="103"/>
  <c r="Q35" i="141"/>
  <c r="Q33" i="141"/>
  <c r="L30" i="119"/>
  <c r="S35" i="138"/>
  <c r="S33" i="138"/>
  <c r="F30" i="119"/>
  <c r="M35" i="138"/>
  <c r="M33" i="138"/>
  <c r="H30" i="119"/>
  <c r="O35" i="138"/>
  <c r="O33" i="138"/>
  <c r="J30" i="119"/>
  <c r="Q35" i="138"/>
  <c r="Q33" i="138"/>
  <c r="K30" i="119"/>
  <c r="R35" i="138"/>
  <c r="R33" i="138"/>
  <c r="I30" i="119"/>
  <c r="P35" i="138"/>
  <c r="P33" i="138"/>
  <c r="M30" i="115"/>
  <c r="J30" i="113"/>
  <c r="Q33" i="124"/>
  <c r="L30" i="113"/>
  <c r="S33" i="124"/>
  <c r="M30" i="113"/>
  <c r="T33" i="124"/>
  <c r="F30" i="113"/>
  <c r="M33" i="124"/>
  <c r="K30" i="113"/>
  <c r="R33" i="124"/>
  <c r="G30" i="113"/>
  <c r="N33" i="124"/>
  <c r="H30" i="113"/>
  <c r="O33" i="124"/>
  <c r="F30" i="115"/>
  <c r="M33" i="126"/>
  <c r="G30" i="115"/>
  <c r="N33" i="126"/>
  <c r="I30" i="115"/>
  <c r="P33" i="126"/>
  <c r="K30" i="115"/>
  <c r="R33" i="126"/>
  <c r="L30" i="115"/>
  <c r="S33" i="126"/>
  <c r="F30" i="109"/>
  <c r="M35" i="128"/>
  <c r="M33" i="128"/>
  <c r="K30" i="109"/>
  <c r="R35" i="128"/>
  <c r="R33" i="128"/>
  <c r="G30" i="109"/>
  <c r="N35" i="128"/>
  <c r="N33" i="128"/>
  <c r="J30" i="109"/>
  <c r="Q35" i="128"/>
  <c r="Q33" i="128"/>
  <c r="N30" i="109"/>
  <c r="U35" i="128"/>
  <c r="U33" i="128"/>
  <c r="L30" i="109"/>
  <c r="S35" i="128"/>
  <c r="S33" i="128"/>
  <c r="M30" i="109"/>
  <c r="T35" i="128"/>
  <c r="T33" i="128"/>
  <c r="H30" i="109"/>
  <c r="O35" i="128"/>
  <c r="O33" i="128"/>
  <c r="G30" i="110"/>
  <c r="N33" i="130"/>
  <c r="I30" i="110"/>
  <c r="P33" i="130"/>
  <c r="H30" i="110"/>
  <c r="O33" i="130"/>
  <c r="J30" i="110"/>
  <c r="Q33" i="130"/>
  <c r="M30" i="111"/>
  <c r="T33" i="131"/>
  <c r="F30" i="111"/>
  <c r="M33" i="131"/>
  <c r="G30" i="111"/>
  <c r="N33" i="131"/>
  <c r="I30" i="111"/>
  <c r="P33" i="131"/>
  <c r="K30" i="111"/>
  <c r="R33" i="131"/>
  <c r="L30" i="111"/>
  <c r="S33" i="131"/>
  <c r="J30" i="111"/>
  <c r="Q33" i="131"/>
  <c r="F30" i="101"/>
  <c r="M35" i="134"/>
  <c r="M33" i="134"/>
  <c r="G30" i="101"/>
  <c r="N35" i="134"/>
  <c r="N33" i="134"/>
  <c r="I30" i="101"/>
  <c r="P35" i="134"/>
  <c r="P33" i="134"/>
  <c r="G30" i="118"/>
  <c r="N35" i="137"/>
  <c r="N33" i="137"/>
  <c r="H30" i="118"/>
  <c r="O35" i="137"/>
  <c r="O33" i="137"/>
  <c r="J30" i="118"/>
  <c r="Q35" i="137"/>
  <c r="Q33" i="137"/>
  <c r="I30" i="118"/>
  <c r="P35" i="137"/>
  <c r="P33" i="137"/>
  <c r="H30" i="117"/>
  <c r="O33" i="136"/>
  <c r="O35" i="136"/>
  <c r="M30" i="117"/>
  <c r="T33" i="136"/>
  <c r="T35" i="136"/>
  <c r="F30" i="117"/>
  <c r="M33" i="136"/>
  <c r="M35" i="136"/>
  <c r="J30" i="117"/>
  <c r="Q33" i="136"/>
  <c r="Q35" i="136"/>
  <c r="L30" i="117"/>
  <c r="S33" i="136"/>
  <c r="S35" i="136"/>
  <c r="K30" i="117"/>
  <c r="R33" i="136"/>
  <c r="R35" i="136"/>
  <c r="G30" i="117"/>
  <c r="N33" i="136"/>
  <c r="N35" i="136"/>
  <c r="H30" i="114"/>
  <c r="G30" i="114"/>
  <c r="L30" i="114"/>
  <c r="J30" i="114"/>
  <c r="K30" i="114"/>
  <c r="J30" i="115"/>
  <c r="I30" i="114"/>
  <c r="Y34" i="122"/>
  <c r="X40" i="122"/>
  <c r="X44" i="122"/>
  <c r="P29" i="117"/>
  <c r="O30" i="117"/>
  <c r="O39" i="117"/>
  <c r="V44" i="136"/>
  <c r="O35" i="117"/>
  <c r="V40" i="136"/>
  <c r="N29" i="119"/>
  <c r="M35" i="119"/>
  <c r="T40" i="138"/>
  <c r="M30" i="119"/>
  <c r="T35" i="138"/>
  <c r="M39" i="119"/>
  <c r="T44" i="138"/>
  <c r="O29" i="120"/>
  <c r="N30" i="120"/>
  <c r="U35" i="139"/>
  <c r="N39" i="120"/>
  <c r="U44" i="139"/>
  <c r="N35" i="120"/>
  <c r="U40" i="139"/>
  <c r="L30" i="118"/>
  <c r="S35" i="137"/>
  <c r="L35" i="118"/>
  <c r="S40" i="137"/>
  <c r="L39" i="118"/>
  <c r="S44" i="137"/>
  <c r="M29" i="116"/>
  <c r="L30" i="116"/>
  <c r="L39" i="116"/>
  <c r="S44" i="127"/>
  <c r="L35" i="116"/>
  <c r="S40" i="127"/>
  <c r="M39" i="114"/>
  <c r="T44" i="125"/>
  <c r="N29" i="114"/>
  <c r="M35" i="114"/>
  <c r="T40" i="125"/>
  <c r="M30" i="114"/>
  <c r="N39" i="115"/>
  <c r="U44" i="126"/>
  <c r="O29" i="115"/>
  <c r="N35" i="115"/>
  <c r="U40" i="126"/>
  <c r="N30" i="115"/>
  <c r="N39" i="113"/>
  <c r="U44" i="124"/>
  <c r="N35" i="113"/>
  <c r="U40" i="124"/>
  <c r="O29" i="113"/>
  <c r="N30" i="113"/>
  <c r="N35" i="112"/>
  <c r="U40" i="132"/>
  <c r="N30" i="112"/>
  <c r="N39" i="112"/>
  <c r="U44" i="132"/>
  <c r="P29" i="111"/>
  <c r="O35" i="111"/>
  <c r="V40" i="131"/>
  <c r="O39" i="111"/>
  <c r="V44" i="131"/>
  <c r="O30" i="111"/>
  <c r="M29" i="110"/>
  <c r="L30" i="110"/>
  <c r="L35" i="110"/>
  <c r="S40" i="130"/>
  <c r="L39" i="110"/>
  <c r="S44" i="130"/>
  <c r="P29" i="109"/>
  <c r="O30" i="109"/>
  <c r="V35" i="128"/>
  <c r="O35" i="109"/>
  <c r="V40" i="128"/>
  <c r="O39" i="109"/>
  <c r="V44" i="128"/>
  <c r="M29" i="108"/>
  <c r="L35" i="108"/>
  <c r="S40" i="123"/>
  <c r="L39" i="108"/>
  <c r="S44" i="123"/>
  <c r="K29" i="105"/>
  <c r="J30" i="105"/>
  <c r="Q35" i="143"/>
  <c r="J39" i="105"/>
  <c r="Q44" i="143"/>
  <c r="J35" i="105"/>
  <c r="Q40" i="143"/>
  <c r="J29" i="104"/>
  <c r="I30" i="104"/>
  <c r="P35" i="142"/>
  <c r="I39" i="104"/>
  <c r="P44" i="142"/>
  <c r="I35" i="104"/>
  <c r="P40" i="142"/>
  <c r="K35" i="103"/>
  <c r="R40" i="141"/>
  <c r="K39" i="103"/>
  <c r="R44" i="141"/>
  <c r="K30" i="103"/>
  <c r="R35" i="141"/>
  <c r="K29" i="102"/>
  <c r="J39" i="102"/>
  <c r="Q44" i="135"/>
  <c r="J35" i="102"/>
  <c r="Q40" i="135"/>
  <c r="J30" i="102"/>
  <c r="Q35" i="135"/>
  <c r="L29" i="101"/>
  <c r="K35" i="101"/>
  <c r="R40" i="134"/>
  <c r="K30" i="101"/>
  <c r="R35" i="134"/>
  <c r="K39" i="101"/>
  <c r="R44" i="134"/>
  <c r="Y44" i="122"/>
  <c r="Z34" i="122"/>
  <c r="Y40" i="122"/>
  <c r="M35" i="118"/>
  <c r="T40" i="137"/>
  <c r="M39" i="118"/>
  <c r="T44" i="137"/>
  <c r="M30" i="118"/>
  <c r="T35" i="137"/>
  <c r="P29" i="120"/>
  <c r="O35" i="120"/>
  <c r="V40" i="139"/>
  <c r="O30" i="120"/>
  <c r="V35" i="139"/>
  <c r="O39" i="120"/>
  <c r="V44" i="139"/>
  <c r="O29" i="119"/>
  <c r="N30" i="119"/>
  <c r="U35" i="138"/>
  <c r="N35" i="119"/>
  <c r="U40" i="138"/>
  <c r="N39" i="119"/>
  <c r="U44" i="138"/>
  <c r="Q29" i="117"/>
  <c r="P39" i="117"/>
  <c r="W44" i="136"/>
  <c r="P35" i="117"/>
  <c r="W40" i="136"/>
  <c r="P30" i="117"/>
  <c r="P29" i="115"/>
  <c r="O30" i="115"/>
  <c r="O39" i="115"/>
  <c r="V44" i="126"/>
  <c r="O35" i="115"/>
  <c r="V40" i="126"/>
  <c r="N29" i="116"/>
  <c r="M39" i="116"/>
  <c r="T44" i="127"/>
  <c r="M35" i="116"/>
  <c r="T40" i="127"/>
  <c r="M30" i="116"/>
  <c r="O29" i="114"/>
  <c r="N30" i="114"/>
  <c r="N35" i="114"/>
  <c r="U40" i="125"/>
  <c r="N39" i="114"/>
  <c r="U44" i="125"/>
  <c r="P29" i="113"/>
  <c r="O30" i="113"/>
  <c r="O39" i="113"/>
  <c r="V44" i="124"/>
  <c r="O35" i="113"/>
  <c r="V40" i="124"/>
  <c r="O35" i="112"/>
  <c r="V40" i="132"/>
  <c r="O39" i="112"/>
  <c r="V44" i="132"/>
  <c r="O30" i="112"/>
  <c r="Q29" i="111"/>
  <c r="P35" i="111"/>
  <c r="W40" i="131"/>
  <c r="P30" i="111"/>
  <c r="P39" i="111"/>
  <c r="W44" i="131"/>
  <c r="N29" i="110"/>
  <c r="M30" i="110"/>
  <c r="M39" i="110"/>
  <c r="T44" i="130"/>
  <c r="M35" i="110"/>
  <c r="T40" i="130"/>
  <c r="Q29" i="109"/>
  <c r="P35" i="109"/>
  <c r="W40" i="128"/>
  <c r="P30" i="109"/>
  <c r="W35" i="128"/>
  <c r="P39" i="109"/>
  <c r="W44" i="128"/>
  <c r="N29" i="108"/>
  <c r="M35" i="108"/>
  <c r="T40" i="123"/>
  <c r="M39" i="108"/>
  <c r="T44" i="123"/>
  <c r="L29" i="105"/>
  <c r="K35" i="105"/>
  <c r="R40" i="143"/>
  <c r="K30" i="105"/>
  <c r="R35" i="143"/>
  <c r="K39" i="105"/>
  <c r="R44" i="143"/>
  <c r="K29" i="104"/>
  <c r="J35" i="104"/>
  <c r="Q40" i="142"/>
  <c r="J30" i="104"/>
  <c r="Q35" i="142"/>
  <c r="J39" i="104"/>
  <c r="Q44" i="142"/>
  <c r="L30" i="103"/>
  <c r="S35" i="141"/>
  <c r="L39" i="103"/>
  <c r="S44" i="141"/>
  <c r="L35" i="103"/>
  <c r="S40" i="141"/>
  <c r="K30" i="102"/>
  <c r="R35" i="135"/>
  <c r="L29" i="102"/>
  <c r="K35" i="102"/>
  <c r="R40" i="135"/>
  <c r="K39" i="102"/>
  <c r="R44" i="135"/>
  <c r="M29" i="101"/>
  <c r="L39" i="101"/>
  <c r="S44" i="134"/>
  <c r="L35" i="101"/>
  <c r="S40" i="134"/>
  <c r="L30" i="101"/>
  <c r="S35" i="134"/>
  <c r="AA34" i="122"/>
  <c r="Z44" i="122"/>
  <c r="Z40" i="122"/>
  <c r="N30" i="118"/>
  <c r="U35" i="137"/>
  <c r="N35" i="118"/>
  <c r="U40" i="137"/>
  <c r="N39" i="118"/>
  <c r="U44" i="137"/>
  <c r="R29" i="117"/>
  <c r="Q30" i="117"/>
  <c r="Q39" i="117"/>
  <c r="X44" i="136"/>
  <c r="Q35" i="117"/>
  <c r="X40" i="136"/>
  <c r="P29" i="119"/>
  <c r="O30" i="119"/>
  <c r="V35" i="138"/>
  <c r="O39" i="119"/>
  <c r="V44" i="138"/>
  <c r="O35" i="119"/>
  <c r="V40" i="138"/>
  <c r="Q29" i="120"/>
  <c r="P30" i="120"/>
  <c r="W35" i="139"/>
  <c r="P35" i="120"/>
  <c r="W40" i="139"/>
  <c r="P39" i="120"/>
  <c r="W44" i="139"/>
  <c r="O35" i="114"/>
  <c r="V40" i="125"/>
  <c r="O39" i="114"/>
  <c r="V44" i="125"/>
  <c r="P29" i="114"/>
  <c r="O30" i="114"/>
  <c r="P39" i="115"/>
  <c r="W44" i="126"/>
  <c r="P35" i="115"/>
  <c r="W40" i="126"/>
  <c r="Q29" i="115"/>
  <c r="P30" i="115"/>
  <c r="P39" i="113"/>
  <c r="W44" i="124"/>
  <c r="P35" i="113"/>
  <c r="W40" i="124"/>
  <c r="Q29" i="113"/>
  <c r="P30" i="113"/>
  <c r="N30" i="116"/>
  <c r="O29" i="116"/>
  <c r="N39" i="116"/>
  <c r="U44" i="127"/>
  <c r="N35" i="116"/>
  <c r="U40" i="127"/>
  <c r="P30" i="112"/>
  <c r="P39" i="112"/>
  <c r="W44" i="132"/>
  <c r="P35" i="112"/>
  <c r="W40" i="132"/>
  <c r="Q30" i="111"/>
  <c r="R29" i="111"/>
  <c r="Q35" i="111"/>
  <c r="X40" i="131"/>
  <c r="Q39" i="111"/>
  <c r="X44" i="131"/>
  <c r="N30" i="110"/>
  <c r="O29" i="110"/>
  <c r="N35" i="110"/>
  <c r="U40" i="130"/>
  <c r="N39" i="110"/>
  <c r="U44" i="130"/>
  <c r="Q30" i="109"/>
  <c r="X35" i="128"/>
  <c r="R29" i="109"/>
  <c r="Q35" i="109"/>
  <c r="X40" i="128"/>
  <c r="Q39" i="109"/>
  <c r="X44" i="128"/>
  <c r="O29" i="108"/>
  <c r="N35" i="108"/>
  <c r="U40" i="123"/>
  <c r="N39" i="108"/>
  <c r="U44" i="123"/>
  <c r="M29" i="105"/>
  <c r="L30" i="105"/>
  <c r="S35" i="143"/>
  <c r="L39" i="105"/>
  <c r="S44" i="143"/>
  <c r="L35" i="105"/>
  <c r="S40" i="143"/>
  <c r="K30" i="104"/>
  <c r="R35" i="142"/>
  <c r="L29" i="104"/>
  <c r="K35" i="104"/>
  <c r="R40" i="142"/>
  <c r="K39" i="104"/>
  <c r="R44" i="142"/>
  <c r="M35" i="103"/>
  <c r="T40" i="141"/>
  <c r="M30" i="103"/>
  <c r="T35" i="141"/>
  <c r="M39" i="103"/>
  <c r="T44" i="141"/>
  <c r="L35" i="102"/>
  <c r="S40" i="135"/>
  <c r="M29" i="102"/>
  <c r="L39" i="102"/>
  <c r="S44" i="135"/>
  <c r="L30" i="102"/>
  <c r="S35" i="135"/>
  <c r="M30" i="101"/>
  <c r="T35" i="134"/>
  <c r="N29" i="101"/>
  <c r="M39" i="101"/>
  <c r="T44" i="134"/>
  <c r="M35" i="101"/>
  <c r="T40" i="134"/>
  <c r="AB34" i="122"/>
  <c r="AA44" i="122"/>
  <c r="AA40" i="122"/>
  <c r="R29" i="120"/>
  <c r="Q39" i="120"/>
  <c r="X44" i="139"/>
  <c r="Q35" i="120"/>
  <c r="X40" i="139"/>
  <c r="Q30" i="120"/>
  <c r="X35" i="139"/>
  <c r="Q29" i="119"/>
  <c r="P35" i="119"/>
  <c r="W40" i="138"/>
  <c r="P30" i="119"/>
  <c r="W35" i="138"/>
  <c r="P39" i="119"/>
  <c r="W44" i="138"/>
  <c r="R39" i="117"/>
  <c r="Y44" i="136"/>
  <c r="R35" i="117"/>
  <c r="Y40" i="136"/>
  <c r="S29" i="117"/>
  <c r="R30" i="117"/>
  <c r="O39" i="118"/>
  <c r="V44" i="137"/>
  <c r="O35" i="118"/>
  <c r="V40" i="137"/>
  <c r="O30" i="118"/>
  <c r="V35" i="137"/>
  <c r="O39" i="116"/>
  <c r="V44" i="127"/>
  <c r="O35" i="116"/>
  <c r="V40" i="127"/>
  <c r="P29" i="116"/>
  <c r="O30" i="116"/>
  <c r="R29" i="113"/>
  <c r="Q30" i="113"/>
  <c r="Q35" i="113"/>
  <c r="X40" i="124"/>
  <c r="Q39" i="113"/>
  <c r="X44" i="124"/>
  <c r="R29" i="115"/>
  <c r="Q30" i="115"/>
  <c r="Q39" i="115"/>
  <c r="X44" i="126"/>
  <c r="Q35" i="115"/>
  <c r="X40" i="126"/>
  <c r="Q29" i="114"/>
  <c r="P30" i="114"/>
  <c r="P39" i="114"/>
  <c r="W44" i="125"/>
  <c r="P35" i="114"/>
  <c r="W40" i="125"/>
  <c r="Q35" i="112"/>
  <c r="X40" i="132"/>
  <c r="Q39" i="112"/>
  <c r="X44" i="132"/>
  <c r="Q30" i="112"/>
  <c r="R35" i="111"/>
  <c r="Y40" i="131"/>
  <c r="S29" i="111"/>
  <c r="R30" i="111"/>
  <c r="R39" i="111"/>
  <c r="Y44" i="131"/>
  <c r="O35" i="110"/>
  <c r="V40" i="130"/>
  <c r="P29" i="110"/>
  <c r="O30" i="110"/>
  <c r="O39" i="110"/>
  <c r="V44" i="130"/>
  <c r="S29" i="109"/>
  <c r="R35" i="109"/>
  <c r="Y40" i="128"/>
  <c r="R30" i="109"/>
  <c r="Y35" i="128"/>
  <c r="R39" i="109"/>
  <c r="Y44" i="128"/>
  <c r="P29" i="108"/>
  <c r="O39" i="108"/>
  <c r="V44" i="123"/>
  <c r="O35" i="108"/>
  <c r="V40" i="123"/>
  <c r="N29" i="105"/>
  <c r="M39" i="105"/>
  <c r="T44" i="143"/>
  <c r="M35" i="105"/>
  <c r="T40" i="143"/>
  <c r="M30" i="105"/>
  <c r="T35" i="143"/>
  <c r="M29" i="104"/>
  <c r="L35" i="104"/>
  <c r="S40" i="142"/>
  <c r="L39" i="104"/>
  <c r="S44" i="142"/>
  <c r="L30" i="104"/>
  <c r="S35" i="142"/>
  <c r="N30" i="103"/>
  <c r="U35" i="141"/>
  <c r="N39" i="103"/>
  <c r="U44" i="141"/>
  <c r="N35" i="103"/>
  <c r="U40" i="141"/>
  <c r="N29" i="102"/>
  <c r="M30" i="102"/>
  <c r="T35" i="135"/>
  <c r="M35" i="102"/>
  <c r="T40" i="135"/>
  <c r="M39" i="102"/>
  <c r="T44" i="135"/>
  <c r="N39" i="101"/>
  <c r="U44" i="134"/>
  <c r="O29" i="101"/>
  <c r="N35" i="101"/>
  <c r="U40" i="134"/>
  <c r="N30" i="101"/>
  <c r="U35" i="134"/>
  <c r="AC34" i="122"/>
  <c r="AB40" i="122"/>
  <c r="AB44" i="122"/>
  <c r="T29" i="117"/>
  <c r="S30" i="117"/>
  <c r="S39" i="117"/>
  <c r="Z44" i="136"/>
  <c r="S35" i="117"/>
  <c r="Z40" i="136"/>
  <c r="P30" i="118"/>
  <c r="W35" i="137"/>
  <c r="P35" i="118"/>
  <c r="W40" i="137"/>
  <c r="P39" i="118"/>
  <c r="W44" i="137"/>
  <c r="R29" i="119"/>
  <c r="Q35" i="119"/>
  <c r="X40" i="138"/>
  <c r="Q30" i="119"/>
  <c r="X35" i="138"/>
  <c r="Q39" i="119"/>
  <c r="X44" i="138"/>
  <c r="S29" i="120"/>
  <c r="R30" i="120"/>
  <c r="Y35" i="139"/>
  <c r="R39" i="120"/>
  <c r="Y44" i="139"/>
  <c r="R35" i="120"/>
  <c r="Y40" i="139"/>
  <c r="R39" i="113"/>
  <c r="Y44" i="124"/>
  <c r="R35" i="113"/>
  <c r="Y40" i="124"/>
  <c r="S29" i="113"/>
  <c r="R30" i="113"/>
  <c r="Q35" i="114"/>
  <c r="X40" i="125"/>
  <c r="Q39" i="114"/>
  <c r="X44" i="125"/>
  <c r="R29" i="114"/>
  <c r="Q30" i="114"/>
  <c r="R39" i="115"/>
  <c r="Y44" i="126"/>
  <c r="R35" i="115"/>
  <c r="Y40" i="126"/>
  <c r="S29" i="115"/>
  <c r="R30" i="115"/>
  <c r="Q29" i="116"/>
  <c r="P30" i="116"/>
  <c r="P35" i="116"/>
  <c r="W40" i="127"/>
  <c r="P39" i="116"/>
  <c r="W44" i="127"/>
  <c r="R35" i="112"/>
  <c r="Y40" i="132"/>
  <c r="R30" i="112"/>
  <c r="R39" i="112"/>
  <c r="Y44" i="132"/>
  <c r="T29" i="111"/>
  <c r="S30" i="111"/>
  <c r="S35" i="111"/>
  <c r="Z40" i="131"/>
  <c r="S39" i="111"/>
  <c r="Z44" i="131"/>
  <c r="Q29" i="110"/>
  <c r="P30" i="110"/>
  <c r="P35" i="110"/>
  <c r="W40" i="130"/>
  <c r="P39" i="110"/>
  <c r="W44" i="130"/>
  <c r="T29" i="109"/>
  <c r="S30" i="109"/>
  <c r="Z35" i="128"/>
  <c r="S39" i="109"/>
  <c r="Z44" i="128"/>
  <c r="S35" i="109"/>
  <c r="Z40" i="128"/>
  <c r="Q29" i="108"/>
  <c r="P39" i="108"/>
  <c r="W44" i="123"/>
  <c r="P35" i="108"/>
  <c r="W40" i="123"/>
  <c r="O29" i="105"/>
  <c r="N30" i="105"/>
  <c r="U35" i="143"/>
  <c r="N39" i="105"/>
  <c r="U44" i="143"/>
  <c r="N35" i="105"/>
  <c r="U40" i="143"/>
  <c r="N29" i="104"/>
  <c r="M30" i="104"/>
  <c r="T35" i="142"/>
  <c r="M39" i="104"/>
  <c r="T44" i="142"/>
  <c r="M35" i="104"/>
  <c r="T40" i="142"/>
  <c r="O39" i="103"/>
  <c r="V44" i="141"/>
  <c r="O35" i="103"/>
  <c r="V40" i="141"/>
  <c r="O30" i="103"/>
  <c r="V35" i="141"/>
  <c r="O29" i="102"/>
  <c r="N39" i="102"/>
  <c r="U44" i="135"/>
  <c r="N35" i="102"/>
  <c r="U40" i="135"/>
  <c r="N30" i="102"/>
  <c r="U35" i="135"/>
  <c r="P29" i="101"/>
  <c r="O39" i="101"/>
  <c r="V44" i="134"/>
  <c r="O30" i="101"/>
  <c r="V35" i="134"/>
  <c r="O35" i="101"/>
  <c r="V40" i="134"/>
  <c r="AD34" i="122"/>
  <c r="AC44" i="122"/>
  <c r="AC40" i="122"/>
  <c r="T29" i="120"/>
  <c r="S35" i="120"/>
  <c r="Z40" i="139"/>
  <c r="S30" i="120"/>
  <c r="Z35" i="139"/>
  <c r="S39" i="120"/>
  <c r="Z44" i="139"/>
  <c r="S29" i="119"/>
  <c r="R30" i="119"/>
  <c r="Y35" i="138"/>
  <c r="R35" i="119"/>
  <c r="Y40" i="138"/>
  <c r="R39" i="119"/>
  <c r="Y44" i="138"/>
  <c r="Q35" i="118"/>
  <c r="X40" i="137"/>
  <c r="Q39" i="118"/>
  <c r="X44" i="137"/>
  <c r="Q30" i="118"/>
  <c r="X35" i="137"/>
  <c r="U29" i="117"/>
  <c r="T35" i="117"/>
  <c r="AA40" i="136"/>
  <c r="T39" i="117"/>
  <c r="AA44" i="136"/>
  <c r="T30" i="117"/>
  <c r="R29" i="116"/>
  <c r="Q39" i="116"/>
  <c r="X44" i="127"/>
  <c r="Q35" i="116"/>
  <c r="X40" i="127"/>
  <c r="Q30" i="116"/>
  <c r="T29" i="115"/>
  <c r="S30" i="115"/>
  <c r="S35" i="115"/>
  <c r="Z40" i="126"/>
  <c r="S39" i="115"/>
  <c r="Z44" i="126"/>
  <c r="S29" i="114"/>
  <c r="R30" i="114"/>
  <c r="R35" i="114"/>
  <c r="Y40" i="125"/>
  <c r="R39" i="114"/>
  <c r="Y44" i="125"/>
  <c r="T29" i="113"/>
  <c r="S30" i="113"/>
  <c r="S35" i="113"/>
  <c r="Z40" i="124"/>
  <c r="S39" i="113"/>
  <c r="Z44" i="124"/>
  <c r="S39" i="112"/>
  <c r="Z44" i="132"/>
  <c r="S30" i="112"/>
  <c r="S35" i="112"/>
  <c r="Z40" i="132"/>
  <c r="U29" i="111"/>
  <c r="T39" i="111"/>
  <c r="AA44" i="131"/>
  <c r="T35" i="111"/>
  <c r="AA40" i="131"/>
  <c r="T30" i="111"/>
  <c r="R29" i="110"/>
  <c r="Q30" i="110"/>
  <c r="Q39" i="110"/>
  <c r="X44" i="130"/>
  <c r="Q35" i="110"/>
  <c r="X40" i="130"/>
  <c r="U29" i="109"/>
  <c r="T35" i="109"/>
  <c r="AA40" i="128"/>
  <c r="T30" i="109"/>
  <c r="AA35" i="128"/>
  <c r="T39" i="109"/>
  <c r="AA44" i="128"/>
  <c r="R29" i="108"/>
  <c r="Q35" i="108"/>
  <c r="X40" i="123"/>
  <c r="Q39" i="108"/>
  <c r="X44" i="123"/>
  <c r="P29" i="105"/>
  <c r="O39" i="105"/>
  <c r="V44" i="143"/>
  <c r="O30" i="105"/>
  <c r="V35" i="143"/>
  <c r="O35" i="105"/>
  <c r="V40" i="143"/>
  <c r="O29" i="104"/>
  <c r="N30" i="104"/>
  <c r="U35" i="142"/>
  <c r="N39" i="104"/>
  <c r="U44" i="142"/>
  <c r="N35" i="104"/>
  <c r="U40" i="142"/>
  <c r="P30" i="103"/>
  <c r="W35" i="141"/>
  <c r="P35" i="103"/>
  <c r="W40" i="141"/>
  <c r="P39" i="103"/>
  <c r="W44" i="141"/>
  <c r="P29" i="102"/>
  <c r="O30" i="102"/>
  <c r="V35" i="135"/>
  <c r="O39" i="102"/>
  <c r="V44" i="135"/>
  <c r="O35" i="102"/>
  <c r="V40" i="135"/>
  <c r="Q29" i="101"/>
  <c r="P30" i="101"/>
  <c r="W35" i="134"/>
  <c r="P35" i="101"/>
  <c r="W40" i="134"/>
  <c r="P39" i="101"/>
  <c r="W44" i="134"/>
  <c r="AE34" i="122"/>
  <c r="AD44" i="122"/>
  <c r="AD40" i="122"/>
  <c r="R30" i="118"/>
  <c r="Y35" i="137"/>
  <c r="R35" i="118"/>
  <c r="Y40" i="137"/>
  <c r="R39" i="118"/>
  <c r="Y44" i="137"/>
  <c r="V29" i="117"/>
  <c r="U30" i="117"/>
  <c r="U35" i="117"/>
  <c r="AB40" i="136"/>
  <c r="U39" i="117"/>
  <c r="AB44" i="136"/>
  <c r="T29" i="119"/>
  <c r="S30" i="119"/>
  <c r="Z35" i="138"/>
  <c r="S39" i="119"/>
  <c r="Z44" i="138"/>
  <c r="S35" i="119"/>
  <c r="Z40" i="138"/>
  <c r="U29" i="120"/>
  <c r="T30" i="120"/>
  <c r="AA35" i="139"/>
  <c r="T39" i="120"/>
  <c r="AA44" i="139"/>
  <c r="T35" i="120"/>
  <c r="AA40" i="139"/>
  <c r="T39" i="115"/>
  <c r="AA44" i="126"/>
  <c r="T35" i="115"/>
  <c r="AA40" i="126"/>
  <c r="U29" i="115"/>
  <c r="T30" i="115"/>
  <c r="T39" i="113"/>
  <c r="AA44" i="124"/>
  <c r="T35" i="113"/>
  <c r="AA40" i="124"/>
  <c r="U29" i="113"/>
  <c r="T30" i="113"/>
  <c r="S39" i="114"/>
  <c r="Z44" i="125"/>
  <c r="T29" i="114"/>
  <c r="S35" i="114"/>
  <c r="Z40" i="125"/>
  <c r="S30" i="114"/>
  <c r="R30" i="116"/>
  <c r="S29" i="116"/>
  <c r="R39" i="116"/>
  <c r="Y44" i="127"/>
  <c r="R35" i="116"/>
  <c r="Y40" i="127"/>
  <c r="T30" i="112"/>
  <c r="T39" i="112"/>
  <c r="AA44" i="132"/>
  <c r="T35" i="112"/>
  <c r="AA40" i="132"/>
  <c r="U30" i="111"/>
  <c r="V29" i="111"/>
  <c r="U39" i="111"/>
  <c r="AB44" i="131"/>
  <c r="U35" i="111"/>
  <c r="AB40" i="131"/>
  <c r="R30" i="110"/>
  <c r="S29" i="110"/>
  <c r="R35" i="110"/>
  <c r="Y40" i="130"/>
  <c r="R39" i="110"/>
  <c r="Y44" i="130"/>
  <c r="U30" i="109"/>
  <c r="AB35" i="128"/>
  <c r="V29" i="109"/>
  <c r="U35" i="109"/>
  <c r="AB40" i="128"/>
  <c r="U39" i="109"/>
  <c r="AB44" i="128"/>
  <c r="R39" i="108"/>
  <c r="Y44" i="123"/>
  <c r="S29" i="108"/>
  <c r="R35" i="108"/>
  <c r="Y40" i="123"/>
  <c r="P30" i="105"/>
  <c r="W35" i="143"/>
  <c r="Q29" i="105"/>
  <c r="P35" i="105"/>
  <c r="W40" i="143"/>
  <c r="P39" i="105"/>
  <c r="W44" i="143"/>
  <c r="O30" i="104"/>
  <c r="V35" i="142"/>
  <c r="P29" i="104"/>
  <c r="O35" i="104"/>
  <c r="V40" i="142"/>
  <c r="O39" i="104"/>
  <c r="V44" i="142"/>
  <c r="Q39" i="103"/>
  <c r="X44" i="141"/>
  <c r="Q35" i="103"/>
  <c r="X40" i="141"/>
  <c r="Q30" i="103"/>
  <c r="X35" i="141"/>
  <c r="Q29" i="102"/>
  <c r="P39" i="102"/>
  <c r="W44" i="135"/>
  <c r="P30" i="102"/>
  <c r="W35" i="135"/>
  <c r="P35" i="102"/>
  <c r="W40" i="135"/>
  <c r="R29" i="101"/>
  <c r="Q30" i="101"/>
  <c r="X35" i="134"/>
  <c r="Q39" i="101"/>
  <c r="X44" i="134"/>
  <c r="Q35" i="101"/>
  <c r="X40" i="134"/>
  <c r="AE40" i="122"/>
  <c r="AE44" i="122"/>
  <c r="V29" i="120"/>
  <c r="U35" i="120"/>
  <c r="AB40" i="139"/>
  <c r="U39" i="120"/>
  <c r="AB44" i="139"/>
  <c r="U30" i="120"/>
  <c r="AB35" i="139"/>
  <c r="U29" i="119"/>
  <c r="T35" i="119"/>
  <c r="AA40" i="138"/>
  <c r="T39" i="119"/>
  <c r="AA44" i="138"/>
  <c r="T30" i="119"/>
  <c r="AA35" i="138"/>
  <c r="V39" i="117"/>
  <c r="AC44" i="136"/>
  <c r="V35" i="117"/>
  <c r="AC40" i="136"/>
  <c r="W29" i="117"/>
  <c r="V30" i="117"/>
  <c r="S35" i="118"/>
  <c r="Z40" i="137"/>
  <c r="S39" i="118"/>
  <c r="Z44" i="137"/>
  <c r="S30" i="118"/>
  <c r="Z35" i="137"/>
  <c r="S39" i="116"/>
  <c r="Z44" i="127"/>
  <c r="S35" i="116"/>
  <c r="Z40" i="127"/>
  <c r="T29" i="116"/>
  <c r="S30" i="116"/>
  <c r="U29" i="114"/>
  <c r="T30" i="114"/>
  <c r="T39" i="114"/>
  <c r="AA44" i="125"/>
  <c r="T35" i="114"/>
  <c r="AA40" i="125"/>
  <c r="V29" i="113"/>
  <c r="U30" i="113"/>
  <c r="U35" i="113"/>
  <c r="AB40" i="124"/>
  <c r="U39" i="113"/>
  <c r="AB44" i="124"/>
  <c r="V29" i="115"/>
  <c r="U30" i="115"/>
  <c r="U35" i="115"/>
  <c r="AB40" i="126"/>
  <c r="U39" i="115"/>
  <c r="AB44" i="126"/>
  <c r="U39" i="112"/>
  <c r="AB44" i="132"/>
  <c r="U35" i="112"/>
  <c r="AB40" i="132"/>
  <c r="U30" i="112"/>
  <c r="V35" i="111"/>
  <c r="AC40" i="131"/>
  <c r="W29" i="111"/>
  <c r="V39" i="111"/>
  <c r="AC44" i="131"/>
  <c r="V30" i="111"/>
  <c r="T29" i="110"/>
  <c r="S35" i="110"/>
  <c r="Z40" i="130"/>
  <c r="S30" i="110"/>
  <c r="S39" i="110"/>
  <c r="Z44" i="130"/>
  <c r="V35" i="109"/>
  <c r="AC40" i="128"/>
  <c r="W29" i="109"/>
  <c r="V30" i="109"/>
  <c r="AC35" i="128"/>
  <c r="V39" i="109"/>
  <c r="AC44" i="128"/>
  <c r="T29" i="108"/>
  <c r="S35" i="108"/>
  <c r="Z40" i="123"/>
  <c r="S39" i="108"/>
  <c r="Z44" i="123"/>
  <c r="Q39" i="105"/>
  <c r="X44" i="143"/>
  <c r="Q35" i="105"/>
  <c r="X40" i="143"/>
  <c r="R29" i="105"/>
  <c r="Q30" i="105"/>
  <c r="X35" i="143"/>
  <c r="Q29" i="104"/>
  <c r="P35" i="104"/>
  <c r="W40" i="142"/>
  <c r="P30" i="104"/>
  <c r="W35" i="142"/>
  <c r="P39" i="104"/>
  <c r="W44" i="142"/>
  <c r="R30" i="103"/>
  <c r="Y35" i="141"/>
  <c r="R39" i="103"/>
  <c r="Y44" i="141"/>
  <c r="R35" i="103"/>
  <c r="Y40" i="141"/>
  <c r="R29" i="102"/>
  <c r="Q30" i="102"/>
  <c r="X35" i="135"/>
  <c r="Q35" i="102"/>
  <c r="X40" i="135"/>
  <c r="Q39" i="102"/>
  <c r="X44" i="135"/>
  <c r="R35" i="101"/>
  <c r="Y40" i="134"/>
  <c r="S29" i="101"/>
  <c r="R39" i="101"/>
  <c r="Y44" i="134"/>
  <c r="R30" i="101"/>
  <c r="Y35" i="134"/>
  <c r="X29" i="117"/>
  <c r="W30" i="117"/>
  <c r="W35" i="117"/>
  <c r="AD40" i="136"/>
  <c r="W39" i="117"/>
  <c r="AD44" i="136"/>
  <c r="T30" i="118"/>
  <c r="AA35" i="137"/>
  <c r="T39" i="118"/>
  <c r="AA44" i="137"/>
  <c r="T35" i="118"/>
  <c r="AA40" i="137"/>
  <c r="V29" i="119"/>
  <c r="U30" i="119"/>
  <c r="AB35" i="138"/>
  <c r="U39" i="119"/>
  <c r="AB44" i="138"/>
  <c r="U35" i="119"/>
  <c r="AB40" i="138"/>
  <c r="W29" i="120"/>
  <c r="V30" i="120"/>
  <c r="AC35" i="139"/>
  <c r="V35" i="120"/>
  <c r="AC40" i="139"/>
  <c r="V39" i="120"/>
  <c r="AC44" i="139"/>
  <c r="V39" i="115"/>
  <c r="AC44" i="126"/>
  <c r="W29" i="115"/>
  <c r="V35" i="115"/>
  <c r="AC40" i="126"/>
  <c r="V30" i="115"/>
  <c r="U39" i="114"/>
  <c r="AB44" i="125"/>
  <c r="V29" i="114"/>
  <c r="U35" i="114"/>
  <c r="AB40" i="125"/>
  <c r="U30" i="114"/>
  <c r="V39" i="113"/>
  <c r="AC44" i="124"/>
  <c r="V35" i="113"/>
  <c r="AC40" i="124"/>
  <c r="W29" i="113"/>
  <c r="V30" i="113"/>
  <c r="U29" i="116"/>
  <c r="T30" i="116"/>
  <c r="T35" i="116"/>
  <c r="AA40" i="127"/>
  <c r="T39" i="116"/>
  <c r="AA44" i="127"/>
  <c r="V30" i="112"/>
  <c r="V39" i="112"/>
  <c r="AC44" i="132"/>
  <c r="V35" i="112"/>
  <c r="AC40" i="132"/>
  <c r="X29" i="111"/>
  <c r="W30" i="111"/>
  <c r="W35" i="111"/>
  <c r="AD40" i="131"/>
  <c r="W39" i="111"/>
  <c r="AD44" i="131"/>
  <c r="U29" i="110"/>
  <c r="T30" i="110"/>
  <c r="T39" i="110"/>
  <c r="AA44" i="130"/>
  <c r="T35" i="110"/>
  <c r="AA40" i="130"/>
  <c r="X29" i="109"/>
  <c r="W30" i="109"/>
  <c r="AD35" i="128"/>
  <c r="W39" i="109"/>
  <c r="AD44" i="128"/>
  <c r="W35" i="109"/>
  <c r="AD40" i="128"/>
  <c r="U29" i="108"/>
  <c r="T39" i="108"/>
  <c r="AA44" i="123"/>
  <c r="T35" i="108"/>
  <c r="AA40" i="123"/>
  <c r="S29" i="105"/>
  <c r="R35" i="105"/>
  <c r="Y40" i="143"/>
  <c r="R30" i="105"/>
  <c r="Y35" i="143"/>
  <c r="R39" i="105"/>
  <c r="Y44" i="143"/>
  <c r="R29" i="104"/>
  <c r="Q30" i="104"/>
  <c r="X35" i="142"/>
  <c r="Q39" i="104"/>
  <c r="X44" i="142"/>
  <c r="Q35" i="104"/>
  <c r="X40" i="142"/>
  <c r="S39" i="103"/>
  <c r="Z44" i="141"/>
  <c r="S35" i="103"/>
  <c r="Z40" i="141"/>
  <c r="S30" i="103"/>
  <c r="Z35" i="141"/>
  <c r="S29" i="102"/>
  <c r="R39" i="102"/>
  <c r="Y44" i="135"/>
  <c r="R35" i="102"/>
  <c r="Y40" i="135"/>
  <c r="R30" i="102"/>
  <c r="Y35" i="135"/>
  <c r="T29" i="101"/>
  <c r="S30" i="101"/>
  <c r="Z35" i="134"/>
  <c r="S39" i="101"/>
  <c r="Z44" i="134"/>
  <c r="S35" i="101"/>
  <c r="Z40" i="134"/>
  <c r="X29" i="120"/>
  <c r="W39" i="120"/>
  <c r="AD44" i="139"/>
  <c r="W35" i="120"/>
  <c r="AD40" i="139"/>
  <c r="W30" i="120"/>
  <c r="AD35" i="139"/>
  <c r="W29" i="119"/>
  <c r="V30" i="119"/>
  <c r="AC35" i="138"/>
  <c r="V39" i="119"/>
  <c r="AC44" i="138"/>
  <c r="V35" i="119"/>
  <c r="AC40" i="138"/>
  <c r="U35" i="118"/>
  <c r="AB40" i="137"/>
  <c r="U39" i="118"/>
  <c r="AB44" i="137"/>
  <c r="U30" i="118"/>
  <c r="AB35" i="137"/>
  <c r="X35" i="117"/>
  <c r="AE40" i="136"/>
  <c r="X39" i="117"/>
  <c r="AE44" i="136"/>
  <c r="X30" i="117"/>
  <c r="X29" i="113"/>
  <c r="W30" i="113"/>
  <c r="W39" i="113"/>
  <c r="AD44" i="124"/>
  <c r="W35" i="113"/>
  <c r="AD40" i="124"/>
  <c r="W29" i="114"/>
  <c r="V30" i="114"/>
  <c r="V39" i="114"/>
  <c r="AC44" i="125"/>
  <c r="V35" i="114"/>
  <c r="AC40" i="125"/>
  <c r="X29" i="115"/>
  <c r="W30" i="115"/>
  <c r="W39" i="115"/>
  <c r="AD44" i="126"/>
  <c r="W35" i="115"/>
  <c r="AD40" i="126"/>
  <c r="V29" i="116"/>
  <c r="U39" i="116"/>
  <c r="AB44" i="127"/>
  <c r="U35" i="116"/>
  <c r="AB40" i="127"/>
  <c r="U30" i="116"/>
  <c r="W35" i="112"/>
  <c r="AD40" i="132"/>
  <c r="W30" i="112"/>
  <c r="W39" i="112"/>
  <c r="AD44" i="132"/>
  <c r="X39" i="111"/>
  <c r="AE44" i="131"/>
  <c r="X35" i="111"/>
  <c r="AE40" i="131"/>
  <c r="X30" i="111"/>
  <c r="V29" i="110"/>
  <c r="U35" i="110"/>
  <c r="AB40" i="130"/>
  <c r="U30" i="110"/>
  <c r="U39" i="110"/>
  <c r="AB44" i="130"/>
  <c r="X35" i="109"/>
  <c r="AE40" i="128"/>
  <c r="X30" i="109"/>
  <c r="AE35" i="128"/>
  <c r="X39" i="109"/>
  <c r="AE44" i="128"/>
  <c r="V29" i="108"/>
  <c r="U39" i="108"/>
  <c r="AB44" i="123"/>
  <c r="U35" i="108"/>
  <c r="AB40" i="123"/>
  <c r="T29" i="105"/>
  <c r="S39" i="105"/>
  <c r="Z44" i="143"/>
  <c r="S30" i="105"/>
  <c r="Z35" i="143"/>
  <c r="S35" i="105"/>
  <c r="Z40" i="143"/>
  <c r="S29" i="104"/>
  <c r="R30" i="104"/>
  <c r="Y35" i="142"/>
  <c r="R39" i="104"/>
  <c r="Y44" i="142"/>
  <c r="R35" i="104"/>
  <c r="Y40" i="142"/>
  <c r="T30" i="103"/>
  <c r="AA35" i="141"/>
  <c r="T35" i="103"/>
  <c r="AA40" i="141"/>
  <c r="T39" i="103"/>
  <c r="AA44" i="141"/>
  <c r="S30" i="102"/>
  <c r="Z35" i="135"/>
  <c r="T29" i="102"/>
  <c r="S39" i="102"/>
  <c r="Z44" i="135"/>
  <c r="S35" i="102"/>
  <c r="Z40" i="135"/>
  <c r="U29" i="101"/>
  <c r="T39" i="101"/>
  <c r="AA44" i="134"/>
  <c r="T30" i="101"/>
  <c r="AA35" i="134"/>
  <c r="T35" i="101"/>
  <c r="AA40" i="134"/>
  <c r="V30" i="118"/>
  <c r="AC35" i="137"/>
  <c r="V35" i="118"/>
  <c r="AC40" i="137"/>
  <c r="V39" i="118"/>
  <c r="AC44" i="137"/>
  <c r="X29" i="119"/>
  <c r="W30" i="119"/>
  <c r="AD35" i="138"/>
  <c r="W39" i="119"/>
  <c r="AD44" i="138"/>
  <c r="W35" i="119"/>
  <c r="AD40" i="138"/>
  <c r="X30" i="120"/>
  <c r="AE35" i="139"/>
  <c r="X35" i="120"/>
  <c r="AE40" i="139"/>
  <c r="X39" i="120"/>
  <c r="AE44" i="139"/>
  <c r="V30" i="116"/>
  <c r="W29" i="116"/>
  <c r="V39" i="116"/>
  <c r="AC44" i="127"/>
  <c r="V35" i="116"/>
  <c r="AC40" i="127"/>
  <c r="W35" i="114"/>
  <c r="AD40" i="125"/>
  <c r="W39" i="114"/>
  <c r="AD44" i="125"/>
  <c r="X29" i="114"/>
  <c r="W30" i="114"/>
  <c r="X39" i="115"/>
  <c r="AE44" i="126"/>
  <c r="X35" i="115"/>
  <c r="AE40" i="126"/>
  <c r="X30" i="115"/>
  <c r="X39" i="113"/>
  <c r="AE44" i="124"/>
  <c r="X35" i="113"/>
  <c r="AE40" i="124"/>
  <c r="X30" i="113"/>
  <c r="X30" i="112"/>
  <c r="X35" i="112"/>
  <c r="AE40" i="132"/>
  <c r="X39" i="112"/>
  <c r="AE44" i="132"/>
  <c r="W29" i="110"/>
  <c r="V30" i="110"/>
  <c r="V35" i="110"/>
  <c r="AC40" i="130"/>
  <c r="V39" i="110"/>
  <c r="AC44" i="130"/>
  <c r="V35" i="108"/>
  <c r="AC40" i="123"/>
  <c r="W29" i="108"/>
  <c r="V39" i="108"/>
  <c r="AC44" i="123"/>
  <c r="T30" i="105"/>
  <c r="AA35" i="143"/>
  <c r="U29" i="105"/>
  <c r="T39" i="105"/>
  <c r="AA44" i="143"/>
  <c r="T35" i="105"/>
  <c r="AA40" i="143"/>
  <c r="S30" i="104"/>
  <c r="Z35" i="142"/>
  <c r="T29" i="104"/>
  <c r="S35" i="104"/>
  <c r="Z40" i="142"/>
  <c r="S39" i="104"/>
  <c r="Z44" i="142"/>
  <c r="U39" i="103"/>
  <c r="AB44" i="141"/>
  <c r="U35" i="103"/>
  <c r="AB40" i="141"/>
  <c r="U30" i="103"/>
  <c r="AB35" i="141"/>
  <c r="U29" i="102"/>
  <c r="T39" i="102"/>
  <c r="AA44" i="135"/>
  <c r="T30" i="102"/>
  <c r="AA35" i="135"/>
  <c r="T35" i="102"/>
  <c r="AA40" i="135"/>
  <c r="U30" i="101"/>
  <c r="AB35" i="134"/>
  <c r="V29" i="101"/>
  <c r="U39" i="101"/>
  <c r="AB44" i="134"/>
  <c r="U35" i="101"/>
  <c r="AB40" i="134"/>
  <c r="W39" i="118"/>
  <c r="AD44" i="137"/>
  <c r="W35" i="118"/>
  <c r="AD40" i="137"/>
  <c r="W30" i="118"/>
  <c r="AD35" i="137"/>
  <c r="X35" i="119"/>
  <c r="AE40" i="138"/>
  <c r="X30" i="119"/>
  <c r="AE35" i="138"/>
  <c r="X39" i="119"/>
  <c r="AE44" i="138"/>
  <c r="X30" i="114"/>
  <c r="X35" i="114"/>
  <c r="AE40" i="125"/>
  <c r="X39" i="114"/>
  <c r="AE44" i="125"/>
  <c r="W39" i="116"/>
  <c r="AD44" i="127"/>
  <c r="W35" i="116"/>
  <c r="AD40" i="127"/>
  <c r="X29" i="116"/>
  <c r="W30" i="116"/>
  <c r="W35" i="110"/>
  <c r="AD40" i="130"/>
  <c r="X29" i="110"/>
  <c r="W30" i="110"/>
  <c r="W39" i="110"/>
  <c r="AD44" i="130"/>
  <c r="X29" i="108"/>
  <c r="W35" i="108"/>
  <c r="AD40" i="123"/>
  <c r="W39" i="108"/>
  <c r="AD44" i="123"/>
  <c r="V29" i="105"/>
  <c r="U39" i="105"/>
  <c r="AB44" i="143"/>
  <c r="U35" i="105"/>
  <c r="AB40" i="143"/>
  <c r="U30" i="105"/>
  <c r="AB35" i="143"/>
  <c r="U29" i="104"/>
  <c r="T35" i="104"/>
  <c r="AA40" i="142"/>
  <c r="T39" i="104"/>
  <c r="AA44" i="142"/>
  <c r="T30" i="104"/>
  <c r="AA35" i="142"/>
  <c r="V30" i="103"/>
  <c r="AC35" i="141"/>
  <c r="V39" i="103"/>
  <c r="AC44" i="141"/>
  <c r="V35" i="103"/>
  <c r="AC40" i="141"/>
  <c r="V29" i="102"/>
  <c r="U30" i="102"/>
  <c r="AB35" i="135"/>
  <c r="U39" i="102"/>
  <c r="AB44" i="135"/>
  <c r="U35" i="102"/>
  <c r="AB40" i="135"/>
  <c r="W29" i="101"/>
  <c r="V35" i="101"/>
  <c r="AC40" i="134"/>
  <c r="V39" i="101"/>
  <c r="AC44" i="134"/>
  <c r="V30" i="101"/>
  <c r="AC35" i="134"/>
  <c r="X30" i="118"/>
  <c r="AE35" i="137"/>
  <c r="X39" i="118"/>
  <c r="AE44" i="137"/>
  <c r="X35" i="118"/>
  <c r="AE40" i="137"/>
  <c r="X30" i="116"/>
  <c r="X35" i="116"/>
  <c r="AE40" i="127"/>
  <c r="X39" i="116"/>
  <c r="AE44" i="127"/>
  <c r="X30" i="110"/>
  <c r="X35" i="110"/>
  <c r="AE40" i="130"/>
  <c r="X39" i="110"/>
  <c r="AE44" i="130"/>
  <c r="X39" i="108"/>
  <c r="AE44" i="123"/>
  <c r="X35" i="108"/>
  <c r="AE40" i="123"/>
  <c r="W29" i="105"/>
  <c r="V39" i="105"/>
  <c r="AC44" i="143"/>
  <c r="V35" i="105"/>
  <c r="AC40" i="143"/>
  <c r="V30" i="105"/>
  <c r="AC35" i="143"/>
  <c r="V29" i="104"/>
  <c r="U30" i="104"/>
  <c r="AB35" i="142"/>
  <c r="U39" i="104"/>
  <c r="AB44" i="142"/>
  <c r="U35" i="104"/>
  <c r="AB40" i="142"/>
  <c r="W35" i="103"/>
  <c r="AD40" i="141"/>
  <c r="W39" i="103"/>
  <c r="AD44" i="141"/>
  <c r="W30" i="103"/>
  <c r="AD35" i="141"/>
  <c r="W29" i="102"/>
  <c r="V35" i="102"/>
  <c r="AC40" i="135"/>
  <c r="V30" i="102"/>
  <c r="AC35" i="135"/>
  <c r="V39" i="102"/>
  <c r="AC44" i="135"/>
  <c r="X29" i="101"/>
  <c r="W35" i="101"/>
  <c r="AD40" i="134"/>
  <c r="W30" i="101"/>
  <c r="AD35" i="134"/>
  <c r="W39" i="101"/>
  <c r="AD44" i="134"/>
  <c r="X29" i="105"/>
  <c r="W30" i="105"/>
  <c r="AD35" i="143"/>
  <c r="W39" i="105"/>
  <c r="AD44" i="143"/>
  <c r="W35" i="105"/>
  <c r="AD40" i="143"/>
  <c r="W29" i="104"/>
  <c r="V30" i="104"/>
  <c r="AC35" i="142"/>
  <c r="V35" i="104"/>
  <c r="AC40" i="142"/>
  <c r="V39" i="104"/>
  <c r="AC44" i="142"/>
  <c r="X30" i="103"/>
  <c r="AE35" i="141"/>
  <c r="X39" i="103"/>
  <c r="AE44" i="141"/>
  <c r="X35" i="103"/>
  <c r="AE40" i="141"/>
  <c r="W30" i="102"/>
  <c r="AD35" i="135"/>
  <c r="X29" i="102"/>
  <c r="W35" i="102"/>
  <c r="AD40" i="135"/>
  <c r="W39" i="102"/>
  <c r="AD44" i="135"/>
  <c r="X35" i="101"/>
  <c r="AE40" i="134"/>
  <c r="X39" i="101"/>
  <c r="AE44" i="134"/>
  <c r="X30" i="101"/>
  <c r="AE35" i="134"/>
  <c r="X30" i="105"/>
  <c r="AE35" i="143"/>
  <c r="X35" i="105"/>
  <c r="AE40" i="143"/>
  <c r="X39" i="105"/>
  <c r="AE44" i="143"/>
  <c r="W30" i="104"/>
  <c r="AD35" i="142"/>
  <c r="X29" i="104"/>
  <c r="W39" i="104"/>
  <c r="AD44" i="142"/>
  <c r="W35" i="104"/>
  <c r="AD40" i="142"/>
  <c r="X30" i="102"/>
  <c r="AE35" i="135"/>
  <c r="X35" i="102"/>
  <c r="AE40" i="135"/>
  <c r="X39" i="102"/>
  <c r="AE44" i="135"/>
  <c r="X35" i="104"/>
  <c r="AE40" i="142"/>
  <c r="X39" i="104"/>
  <c r="AE44" i="142"/>
  <c r="X30" i="104"/>
  <c r="AE35" i="142"/>
  <c r="D168" i="99"/>
  <c r="X150" i="99"/>
  <c r="W150" i="99"/>
  <c r="V150" i="99"/>
  <c r="U150" i="99"/>
  <c r="T150" i="99"/>
  <c r="S150" i="99"/>
  <c r="R150" i="99"/>
  <c r="Q150" i="99"/>
  <c r="P150" i="99"/>
  <c r="O150" i="99"/>
  <c r="N150" i="99"/>
  <c r="M150" i="99"/>
  <c r="L150" i="99"/>
  <c r="K150" i="99"/>
  <c r="J150" i="99"/>
  <c r="I150" i="99"/>
  <c r="H150" i="99"/>
  <c r="G150" i="99"/>
  <c r="F150" i="99"/>
  <c r="E150" i="99"/>
  <c r="D150" i="99"/>
  <c r="D144" i="99"/>
  <c r="D142" i="99"/>
  <c r="D136" i="99"/>
  <c r="D115" i="99"/>
  <c r="X114" i="99"/>
  <c r="W114" i="99"/>
  <c r="V114" i="99"/>
  <c r="U114" i="99"/>
  <c r="T114" i="99"/>
  <c r="S114" i="99"/>
  <c r="R114" i="99"/>
  <c r="Q114" i="99"/>
  <c r="P114" i="99"/>
  <c r="O114" i="99"/>
  <c r="N114" i="99"/>
  <c r="M114" i="99"/>
  <c r="L114" i="99"/>
  <c r="K114" i="99"/>
  <c r="J114" i="99"/>
  <c r="I114" i="99"/>
  <c r="H114" i="99"/>
  <c r="G114" i="99"/>
  <c r="A103" i="99"/>
  <c r="A101" i="99"/>
  <c r="A93" i="99"/>
  <c r="A92" i="99"/>
  <c r="A90" i="99"/>
  <c r="A89" i="99"/>
  <c r="A87" i="99"/>
  <c r="A84" i="99"/>
  <c r="A83" i="99"/>
  <c r="A82" i="99"/>
  <c r="A81" i="99"/>
  <c r="A78" i="99"/>
  <c r="A77" i="99"/>
  <c r="A76" i="99"/>
  <c r="A72" i="99"/>
  <c r="X63" i="99"/>
  <c r="W63" i="99"/>
  <c r="V63" i="99"/>
  <c r="U63" i="99"/>
  <c r="T63" i="99"/>
  <c r="S63" i="99"/>
  <c r="R63" i="99"/>
  <c r="Q63" i="99"/>
  <c r="P63" i="99"/>
  <c r="O63" i="99"/>
  <c r="N63" i="99"/>
  <c r="M63" i="99"/>
  <c r="L63" i="99"/>
  <c r="K63" i="99"/>
  <c r="J63" i="99"/>
  <c r="I63" i="99"/>
  <c r="H63" i="99"/>
  <c r="G63" i="99"/>
  <c r="A55" i="99"/>
  <c r="X49" i="99"/>
  <c r="W49" i="99"/>
  <c r="V49" i="99"/>
  <c r="U49" i="99"/>
  <c r="T49" i="99"/>
  <c r="S49" i="99"/>
  <c r="R49" i="99"/>
  <c r="Q49" i="99"/>
  <c r="P49" i="99"/>
  <c r="O49" i="99"/>
  <c r="N49" i="99"/>
  <c r="M49" i="99"/>
  <c r="L49" i="99"/>
  <c r="K49" i="99"/>
  <c r="J49" i="99"/>
  <c r="I49" i="99"/>
  <c r="H49" i="99"/>
  <c r="G49" i="99"/>
  <c r="F49" i="99"/>
  <c r="E49" i="99"/>
  <c r="XFD49" i="99"/>
  <c r="X37" i="99"/>
  <c r="W37" i="99"/>
  <c r="V37" i="99"/>
  <c r="U37" i="99"/>
  <c r="T37" i="99"/>
  <c r="S37" i="99"/>
  <c r="R37" i="99"/>
  <c r="Q37" i="99"/>
  <c r="P37" i="99"/>
  <c r="O37" i="99"/>
  <c r="N37" i="99"/>
  <c r="M37" i="99"/>
  <c r="L37" i="99"/>
  <c r="K37" i="99"/>
  <c r="J37" i="99"/>
  <c r="I37" i="99"/>
  <c r="H37" i="99"/>
  <c r="G37" i="99"/>
  <c r="F37" i="99"/>
  <c r="E37" i="99"/>
  <c r="E30" i="99"/>
  <c r="F29" i="99"/>
  <c r="G29" i="99"/>
  <c r="H29" i="99"/>
  <c r="A23" i="99"/>
  <c r="A22" i="99"/>
  <c r="X20" i="99"/>
  <c r="AE25" i="133"/>
  <c r="W20" i="99"/>
  <c r="AD25" i="133"/>
  <c r="V20" i="99"/>
  <c r="AC25" i="133"/>
  <c r="U20" i="99"/>
  <c r="AB25" i="133"/>
  <c r="T20" i="99"/>
  <c r="AA25" i="133"/>
  <c r="S20" i="99"/>
  <c r="Z25" i="133"/>
  <c r="R20" i="99"/>
  <c r="Y25" i="133"/>
  <c r="Q20" i="99"/>
  <c r="X25" i="133"/>
  <c r="P20" i="99"/>
  <c r="W25" i="133"/>
  <c r="O20" i="99"/>
  <c r="V25" i="133"/>
  <c r="N20" i="99"/>
  <c r="U25" i="133"/>
  <c r="M20" i="99"/>
  <c r="T25" i="133"/>
  <c r="L20" i="99"/>
  <c r="S25" i="133"/>
  <c r="K20" i="99"/>
  <c r="R25" i="133"/>
  <c r="J20" i="99"/>
  <c r="Q25" i="133"/>
  <c r="I20" i="99"/>
  <c r="P25" i="133"/>
  <c r="H20" i="99"/>
  <c r="O25" i="133"/>
  <c r="G20" i="99"/>
  <c r="N25" i="133"/>
  <c r="F20" i="99"/>
  <c r="M25" i="133"/>
  <c r="E20" i="99"/>
  <c r="L25" i="133"/>
  <c r="D20" i="99"/>
  <c r="K25" i="133"/>
  <c r="A20" i="99"/>
  <c r="X19" i="99"/>
  <c r="AE24" i="133"/>
  <c r="W19" i="99"/>
  <c r="AD24" i="133"/>
  <c r="V19" i="99"/>
  <c r="AC24" i="133"/>
  <c r="U19" i="99"/>
  <c r="AB24" i="133"/>
  <c r="T19" i="99"/>
  <c r="AA24" i="133"/>
  <c r="S19" i="99"/>
  <c r="Z24" i="133"/>
  <c r="R19" i="99"/>
  <c r="Y24" i="133"/>
  <c r="Q19" i="99"/>
  <c r="X24" i="133"/>
  <c r="P19" i="99"/>
  <c r="W24" i="133"/>
  <c r="O19" i="99"/>
  <c r="V24" i="133"/>
  <c r="N19" i="99"/>
  <c r="U24" i="133"/>
  <c r="M19" i="99"/>
  <c r="T24" i="133"/>
  <c r="L19" i="99"/>
  <c r="S24" i="133"/>
  <c r="K19" i="99"/>
  <c r="R24" i="133"/>
  <c r="J19" i="99"/>
  <c r="Q24" i="133"/>
  <c r="I19" i="99"/>
  <c r="P24" i="133"/>
  <c r="H19" i="99"/>
  <c r="O24" i="133"/>
  <c r="G19" i="99"/>
  <c r="N24" i="133"/>
  <c r="F19" i="99"/>
  <c r="M24" i="133"/>
  <c r="E19" i="99"/>
  <c r="L24" i="133"/>
  <c r="D19" i="99"/>
  <c r="K24" i="133"/>
  <c r="A19" i="99"/>
  <c r="X18" i="99"/>
  <c r="AE23" i="133"/>
  <c r="W18" i="99"/>
  <c r="AD23" i="133"/>
  <c r="V18" i="99"/>
  <c r="AC23" i="133"/>
  <c r="U18" i="99"/>
  <c r="AB23" i="133"/>
  <c r="T18" i="99"/>
  <c r="AA23" i="133"/>
  <c r="S18" i="99"/>
  <c r="Z23" i="133"/>
  <c r="R18" i="99"/>
  <c r="Y23" i="133"/>
  <c r="Q18" i="99"/>
  <c r="X23" i="133"/>
  <c r="P18" i="99"/>
  <c r="W23" i="133"/>
  <c r="O18" i="99"/>
  <c r="V23" i="133"/>
  <c r="N18" i="99"/>
  <c r="U23" i="133"/>
  <c r="M18" i="99"/>
  <c r="T23" i="133"/>
  <c r="L18" i="99"/>
  <c r="S23" i="133"/>
  <c r="K18" i="99"/>
  <c r="R23" i="133"/>
  <c r="J18" i="99"/>
  <c r="Q23" i="133"/>
  <c r="I18" i="99"/>
  <c r="P23" i="133"/>
  <c r="H18" i="99"/>
  <c r="O23" i="133"/>
  <c r="G18" i="99"/>
  <c r="N23" i="133"/>
  <c r="F18" i="99"/>
  <c r="E18" i="99"/>
  <c r="D18" i="99"/>
  <c r="K23" i="133"/>
  <c r="A18" i="99"/>
  <c r="X15" i="99"/>
  <c r="AE20" i="133"/>
  <c r="W15" i="99"/>
  <c r="AD20" i="133"/>
  <c r="V15" i="99"/>
  <c r="AC20" i="133"/>
  <c r="U15" i="99"/>
  <c r="AB20" i="133"/>
  <c r="T15" i="99"/>
  <c r="AA20" i="133"/>
  <c r="S15" i="99"/>
  <c r="Z20" i="133"/>
  <c r="R15" i="99"/>
  <c r="Y20" i="133"/>
  <c r="Q15" i="99"/>
  <c r="X20" i="133"/>
  <c r="P15" i="99"/>
  <c r="W20" i="133"/>
  <c r="O15" i="99"/>
  <c r="V20" i="133"/>
  <c r="N15" i="99"/>
  <c r="U20" i="133"/>
  <c r="M15" i="99"/>
  <c r="T20" i="133"/>
  <c r="L15" i="99"/>
  <c r="S20" i="133"/>
  <c r="K15" i="99"/>
  <c r="R20" i="133"/>
  <c r="J15" i="99"/>
  <c r="Q20" i="133"/>
  <c r="I15" i="99"/>
  <c r="P20" i="133"/>
  <c r="H15" i="99"/>
  <c r="O20" i="133"/>
  <c r="G15" i="99"/>
  <c r="N20" i="133"/>
  <c r="F15" i="99"/>
  <c r="M20" i="133"/>
  <c r="D15" i="99"/>
  <c r="K20" i="133"/>
  <c r="D14" i="99"/>
  <c r="K19" i="133"/>
  <c r="A14" i="99"/>
  <c r="D13" i="99"/>
  <c r="K18" i="133"/>
  <c r="A13" i="99"/>
  <c r="D12" i="99"/>
  <c r="K17" i="133"/>
  <c r="A12" i="99"/>
  <c r="S7" i="99"/>
  <c r="R7" i="99"/>
  <c r="Q7" i="99"/>
  <c r="P7" i="99"/>
  <c r="O7" i="99"/>
  <c r="N7" i="99"/>
  <c r="M7" i="99"/>
  <c r="L7" i="99"/>
  <c r="K7" i="99"/>
  <c r="J7" i="99"/>
  <c r="I7" i="99"/>
  <c r="H7" i="99"/>
  <c r="G7" i="99"/>
  <c r="F7" i="99"/>
  <c r="E7" i="99"/>
  <c r="D7" i="99"/>
  <c r="C4" i="99"/>
  <c r="A3" i="99"/>
  <c r="A2" i="99"/>
  <c r="A1" i="99"/>
  <c r="S43" i="14"/>
  <c r="N43" i="14"/>
  <c r="F35" i="99"/>
  <c r="M40" i="133"/>
  <c r="M23" i="133"/>
  <c r="E35" i="99"/>
  <c r="L40" i="133"/>
  <c r="L23" i="133"/>
  <c r="E39" i="99"/>
  <c r="L44" i="133"/>
  <c r="G35" i="99"/>
  <c r="N40" i="133"/>
  <c r="I29" i="99"/>
  <c r="J29" i="99"/>
  <c r="G39" i="99"/>
  <c r="N44" i="133"/>
  <c r="H39" i="99"/>
  <c r="O44" i="133"/>
  <c r="H35" i="99"/>
  <c r="O40" i="133"/>
  <c r="F39" i="99"/>
  <c r="M44" i="133"/>
  <c r="J39" i="99"/>
  <c r="Q44" i="133"/>
  <c r="J35" i="99"/>
  <c r="Q40" i="133"/>
  <c r="I35" i="99"/>
  <c r="P40" i="133"/>
  <c r="D156" i="99"/>
  <c r="D152" i="99"/>
  <c r="I39" i="99"/>
  <c r="P44" i="133"/>
  <c r="K29" i="99"/>
  <c r="D71" i="98"/>
  <c r="D70" i="98"/>
  <c r="D69" i="98"/>
  <c r="C65" i="98"/>
  <c r="B65" i="98"/>
  <c r="E65" i="98"/>
  <c r="B64" i="98"/>
  <c r="E64" i="98"/>
  <c r="B63" i="98"/>
  <c r="E63" i="98"/>
  <c r="B62" i="98"/>
  <c r="E62" i="98"/>
  <c r="D55" i="98"/>
  <c r="D54" i="98"/>
  <c r="D52" i="98"/>
  <c r="D51" i="98"/>
  <c r="D50" i="98"/>
  <c r="D48" i="98"/>
  <c r="D47" i="98"/>
  <c r="D46" i="98"/>
  <c r="D15" i="93"/>
  <c r="K20" i="140"/>
  <c r="J15" i="96"/>
  <c r="Q20" i="129"/>
  <c r="N15" i="96"/>
  <c r="U20" i="129"/>
  <c r="D15" i="96"/>
  <c r="K20" i="129"/>
  <c r="C35" i="98"/>
  <c r="F15" i="93"/>
  <c r="M20" i="140"/>
  <c r="G15" i="93"/>
  <c r="N20" i="140"/>
  <c r="H15" i="93"/>
  <c r="O20" i="140"/>
  <c r="I15" i="93"/>
  <c r="P20" i="140"/>
  <c r="J15" i="93"/>
  <c r="Q20" i="140"/>
  <c r="K15" i="93"/>
  <c r="R20" i="140"/>
  <c r="L15" i="93"/>
  <c r="S20" i="140"/>
  <c r="M15" i="93"/>
  <c r="T20" i="140"/>
  <c r="N15" i="93"/>
  <c r="U20" i="140"/>
  <c r="O15" i="93"/>
  <c r="V20" i="140"/>
  <c r="P15" i="93"/>
  <c r="W20" i="140"/>
  <c r="Q15" i="93"/>
  <c r="X20" i="140"/>
  <c r="R15" i="93"/>
  <c r="Y20" i="140"/>
  <c r="S15" i="93"/>
  <c r="Z20" i="140"/>
  <c r="T15" i="93"/>
  <c r="AA20" i="140"/>
  <c r="U15" i="93"/>
  <c r="AB20" i="140"/>
  <c r="V15" i="93"/>
  <c r="AC20" i="140"/>
  <c r="W15" i="93"/>
  <c r="AD20" i="140"/>
  <c r="X15" i="93"/>
  <c r="AE20" i="140"/>
  <c r="D15" i="97"/>
  <c r="D34" i="98"/>
  <c r="E34" i="98"/>
  <c r="F34" i="98"/>
  <c r="G34" i="98"/>
  <c r="H34" i="98"/>
  <c r="I34" i="98"/>
  <c r="J34" i="98"/>
  <c r="K34" i="98"/>
  <c r="L34" i="98"/>
  <c r="M34" i="98"/>
  <c r="N34" i="98"/>
  <c r="O34" i="98"/>
  <c r="P34" i="98"/>
  <c r="Q34" i="98"/>
  <c r="R34" i="98"/>
  <c r="S34" i="98"/>
  <c r="T34" i="98"/>
  <c r="U34" i="98"/>
  <c r="V34" i="98"/>
  <c r="C34" i="98"/>
  <c r="D23" i="98"/>
  <c r="E23" i="98"/>
  <c r="F23" i="98"/>
  <c r="G23" i="98"/>
  <c r="H23" i="98"/>
  <c r="I23" i="98"/>
  <c r="J23" i="98"/>
  <c r="K23" i="98"/>
  <c r="L23" i="98"/>
  <c r="M23" i="98"/>
  <c r="N23" i="98"/>
  <c r="O23" i="98"/>
  <c r="P23" i="98"/>
  <c r="Q23" i="98"/>
  <c r="R23" i="98"/>
  <c r="S23" i="98"/>
  <c r="T23" i="98"/>
  <c r="U23" i="98"/>
  <c r="V23" i="98"/>
  <c r="F15" i="96"/>
  <c r="M20" i="129"/>
  <c r="G15" i="96"/>
  <c r="N20" i="129"/>
  <c r="H15" i="96"/>
  <c r="O20" i="129"/>
  <c r="I15" i="96"/>
  <c r="P20" i="129"/>
  <c r="K15" i="96"/>
  <c r="R20" i="129"/>
  <c r="L15" i="96"/>
  <c r="S20" i="129"/>
  <c r="M15" i="96"/>
  <c r="T20" i="129"/>
  <c r="O15" i="96"/>
  <c r="V20" i="129"/>
  <c r="P15" i="96"/>
  <c r="W20" i="129"/>
  <c r="Q15" i="96"/>
  <c r="X20" i="129"/>
  <c r="R15" i="96"/>
  <c r="Y20" i="129"/>
  <c r="S15" i="96"/>
  <c r="Z20" i="129"/>
  <c r="T15" i="96"/>
  <c r="AA20" i="129"/>
  <c r="U15" i="96"/>
  <c r="AB20" i="129"/>
  <c r="V15" i="96"/>
  <c r="AC20" i="129"/>
  <c r="W15" i="96"/>
  <c r="AD20" i="129"/>
  <c r="X15" i="96"/>
  <c r="AE20" i="129"/>
  <c r="C24" i="98"/>
  <c r="C23" i="98"/>
  <c r="D11" i="98"/>
  <c r="E11" i="98"/>
  <c r="F11" i="98"/>
  <c r="G11" i="98"/>
  <c r="H11" i="98"/>
  <c r="I11" i="98"/>
  <c r="J11" i="98"/>
  <c r="K11" i="98"/>
  <c r="L11" i="98"/>
  <c r="M11" i="98"/>
  <c r="N11" i="98"/>
  <c r="O11" i="98"/>
  <c r="P11" i="98"/>
  <c r="Q11" i="98"/>
  <c r="R11" i="98"/>
  <c r="S11" i="98"/>
  <c r="T11" i="98"/>
  <c r="U11" i="98"/>
  <c r="V11" i="98"/>
  <c r="C11" i="98"/>
  <c r="C17" i="98"/>
  <c r="C18" i="98"/>
  <c r="C40" i="98"/>
  <c r="V37" i="98"/>
  <c r="U37" i="98"/>
  <c r="T37" i="98"/>
  <c r="S37" i="98"/>
  <c r="R37" i="98"/>
  <c r="Q37" i="98"/>
  <c r="P37" i="98"/>
  <c r="O37" i="98"/>
  <c r="N37" i="98"/>
  <c r="M37" i="98"/>
  <c r="V26" i="98"/>
  <c r="U26" i="98"/>
  <c r="T26" i="98"/>
  <c r="S26" i="98"/>
  <c r="R26" i="98"/>
  <c r="Q26" i="98"/>
  <c r="P26" i="98"/>
  <c r="O26" i="98"/>
  <c r="N26" i="98"/>
  <c r="M26" i="98"/>
  <c r="N15" i="98"/>
  <c r="O15" i="98"/>
  <c r="P15" i="98"/>
  <c r="Q15" i="98"/>
  <c r="R15" i="98"/>
  <c r="S15" i="98"/>
  <c r="T15" i="98"/>
  <c r="U15" i="98"/>
  <c r="V15" i="98"/>
  <c r="M15" i="98"/>
  <c r="D16" i="98"/>
  <c r="D17" i="98"/>
  <c r="R7" i="98"/>
  <c r="S7" i="98"/>
  <c r="T7" i="98"/>
  <c r="U7" i="98"/>
  <c r="V7" i="98"/>
  <c r="A3" i="98"/>
  <c r="A2" i="98"/>
  <c r="A1" i="98"/>
  <c r="D18" i="98"/>
  <c r="K39" i="99"/>
  <c r="R44" i="133"/>
  <c r="L29" i="99"/>
  <c r="K35" i="99"/>
  <c r="R40" i="133"/>
  <c r="C29" i="98"/>
  <c r="C63" i="98"/>
  <c r="C75" i="98"/>
  <c r="D75" i="98"/>
  <c r="D29" i="98"/>
  <c r="C62" i="98"/>
  <c r="D62" i="98"/>
  <c r="C64" i="98"/>
  <c r="D64" i="98"/>
  <c r="C77" i="98"/>
  <c r="D77" i="98"/>
  <c r="D65" i="98"/>
  <c r="C73" i="98"/>
  <c r="D73" i="98"/>
  <c r="D40" i="98"/>
  <c r="M99" i="143"/>
  <c r="M101" i="143"/>
  <c r="M113" i="143"/>
  <c r="M163" i="143"/>
  <c r="M99" i="141"/>
  <c r="M101" i="141"/>
  <c r="M113" i="141"/>
  <c r="M163" i="141"/>
  <c r="M99" i="140"/>
  <c r="M101" i="140"/>
  <c r="M113" i="140"/>
  <c r="M163" i="140"/>
  <c r="M99" i="142"/>
  <c r="M101" i="142"/>
  <c r="M113" i="142"/>
  <c r="M163" i="142"/>
  <c r="M99" i="135"/>
  <c r="M101" i="135"/>
  <c r="M113" i="135"/>
  <c r="M163" i="135"/>
  <c r="M99" i="133"/>
  <c r="M101" i="133"/>
  <c r="M113" i="133"/>
  <c r="M163" i="133"/>
  <c r="M96" i="124"/>
  <c r="M99" i="129"/>
  <c r="M101" i="129"/>
  <c r="M113" i="129"/>
  <c r="M163" i="129"/>
  <c r="M96" i="126"/>
  <c r="M96" i="127"/>
  <c r="M99" i="134"/>
  <c r="M101" i="134"/>
  <c r="M113" i="134"/>
  <c r="M163" i="134"/>
  <c r="M96" i="125"/>
  <c r="F135" i="112"/>
  <c r="F135" i="102"/>
  <c r="F136" i="102"/>
  <c r="M98" i="122"/>
  <c r="M100" i="122"/>
  <c r="M112" i="122"/>
  <c r="M99" i="123"/>
  <c r="M101" i="123"/>
  <c r="M113" i="123"/>
  <c r="M163" i="123"/>
  <c r="M29" i="99"/>
  <c r="L39" i="99"/>
  <c r="S44" i="133"/>
  <c r="L35" i="99"/>
  <c r="S40" i="133"/>
  <c r="C74" i="98"/>
  <c r="D74" i="98"/>
  <c r="D63" i="98"/>
  <c r="C78" i="98"/>
  <c r="D78" i="98"/>
  <c r="F135" i="116"/>
  <c r="M97" i="127"/>
  <c r="M99" i="127"/>
  <c r="M111" i="127"/>
  <c r="M161" i="127"/>
  <c r="M97" i="138"/>
  <c r="M98" i="138"/>
  <c r="M100" i="138"/>
  <c r="M112" i="138"/>
  <c r="M162" i="138"/>
  <c r="M162" i="131"/>
  <c r="M98" i="128"/>
  <c r="M100" i="128"/>
  <c r="M112" i="128"/>
  <c r="M162" i="128"/>
  <c r="M97" i="139"/>
  <c r="M98" i="139"/>
  <c r="M100" i="139"/>
  <c r="M112" i="139"/>
  <c r="M162" i="139"/>
  <c r="M98" i="132"/>
  <c r="M100" i="132"/>
  <c r="M112" i="132"/>
  <c r="M162" i="132"/>
  <c r="M98" i="136"/>
  <c r="M100" i="136"/>
  <c r="M112" i="136"/>
  <c r="M162" i="136"/>
  <c r="M98" i="137"/>
  <c r="M100" i="137"/>
  <c r="M112" i="137"/>
  <c r="M162" i="137"/>
  <c r="M98" i="130"/>
  <c r="M100" i="130"/>
  <c r="M112" i="130"/>
  <c r="M162" i="130"/>
  <c r="F135" i="113"/>
  <c r="M97" i="124"/>
  <c r="M99" i="124"/>
  <c r="M111" i="124"/>
  <c r="M161" i="124"/>
  <c r="F135" i="115"/>
  <c r="M97" i="126"/>
  <c r="M99" i="126"/>
  <c r="M111" i="126"/>
  <c r="M161" i="126"/>
  <c r="F135" i="114"/>
  <c r="M97" i="125"/>
  <c r="M99" i="125"/>
  <c r="M111" i="125"/>
  <c r="M161" i="125"/>
  <c r="N29" i="99"/>
  <c r="M35" i="99"/>
  <c r="T40" i="133"/>
  <c r="M39" i="99"/>
  <c r="T44" i="133"/>
  <c r="D168" i="97"/>
  <c r="D150" i="97"/>
  <c r="D142" i="97"/>
  <c r="D136" i="97"/>
  <c r="D115" i="97"/>
  <c r="X114" i="97"/>
  <c r="X115" i="97"/>
  <c r="W114" i="97"/>
  <c r="W115" i="97"/>
  <c r="V114" i="97"/>
  <c r="V115" i="97"/>
  <c r="U114" i="97"/>
  <c r="U115" i="97"/>
  <c r="T114" i="97"/>
  <c r="T115" i="97"/>
  <c r="S114" i="97"/>
  <c r="S115" i="97"/>
  <c r="R114" i="97"/>
  <c r="R115" i="97"/>
  <c r="Q114" i="97"/>
  <c r="Q115" i="97"/>
  <c r="P114" i="97"/>
  <c r="P115" i="97"/>
  <c r="O114" i="97"/>
  <c r="O115" i="97"/>
  <c r="N114" i="97"/>
  <c r="N115" i="97"/>
  <c r="M114" i="97"/>
  <c r="M115" i="97"/>
  <c r="L114" i="97"/>
  <c r="L115" i="97"/>
  <c r="K114" i="97"/>
  <c r="K115" i="97"/>
  <c r="J114" i="97"/>
  <c r="J115" i="97"/>
  <c r="I114" i="97"/>
  <c r="I115" i="97"/>
  <c r="H114" i="97"/>
  <c r="H115" i="97"/>
  <c r="G114" i="97"/>
  <c r="G115" i="97"/>
  <c r="F114" i="97"/>
  <c r="F115" i="97"/>
  <c r="E114" i="97"/>
  <c r="E115" i="97"/>
  <c r="D105" i="97"/>
  <c r="A103" i="97"/>
  <c r="A101" i="97"/>
  <c r="A93" i="97"/>
  <c r="A92" i="97"/>
  <c r="A90" i="97"/>
  <c r="A89" i="97"/>
  <c r="A87" i="97"/>
  <c r="A84" i="97"/>
  <c r="A83" i="97"/>
  <c r="A82" i="97"/>
  <c r="A81" i="97"/>
  <c r="A77" i="97"/>
  <c r="A76" i="97"/>
  <c r="A72" i="97"/>
  <c r="X63" i="97"/>
  <c r="W63" i="97"/>
  <c r="V63" i="97"/>
  <c r="U63" i="97"/>
  <c r="T63" i="97"/>
  <c r="S63" i="97"/>
  <c r="R63" i="97"/>
  <c r="Q63" i="97"/>
  <c r="P63" i="97"/>
  <c r="O63" i="97"/>
  <c r="N63" i="97"/>
  <c r="M63" i="97"/>
  <c r="L63" i="97"/>
  <c r="K63" i="97"/>
  <c r="J63" i="97"/>
  <c r="I63" i="97"/>
  <c r="H63" i="97"/>
  <c r="G63" i="97"/>
  <c r="A55" i="97"/>
  <c r="X49" i="97"/>
  <c r="W49" i="97"/>
  <c r="V49" i="97"/>
  <c r="U49" i="97"/>
  <c r="T49" i="97"/>
  <c r="S49" i="97"/>
  <c r="R49" i="97"/>
  <c r="Q49" i="97"/>
  <c r="P49" i="97"/>
  <c r="O49" i="97"/>
  <c r="N49" i="97"/>
  <c r="M49" i="97"/>
  <c r="L49" i="97"/>
  <c r="K49" i="97"/>
  <c r="J49" i="97"/>
  <c r="I49" i="97"/>
  <c r="H49" i="97"/>
  <c r="G49" i="97"/>
  <c r="F49" i="97"/>
  <c r="E49" i="97"/>
  <c r="X37" i="97"/>
  <c r="W37" i="97"/>
  <c r="V37" i="97"/>
  <c r="U37" i="97"/>
  <c r="T37" i="97"/>
  <c r="S37" i="97"/>
  <c r="R37" i="97"/>
  <c r="Q37" i="97"/>
  <c r="P37" i="97"/>
  <c r="O37" i="97"/>
  <c r="N37" i="97"/>
  <c r="M37" i="97"/>
  <c r="L37" i="97"/>
  <c r="K37" i="97"/>
  <c r="J37" i="97"/>
  <c r="I37" i="97"/>
  <c r="H37" i="97"/>
  <c r="G37" i="97"/>
  <c r="F37" i="97"/>
  <c r="E37" i="97"/>
  <c r="F29" i="97"/>
  <c r="G29" i="97"/>
  <c r="H29" i="97"/>
  <c r="A23" i="97"/>
  <c r="A22" i="97"/>
  <c r="X20" i="97"/>
  <c r="W20" i="97"/>
  <c r="V20" i="97"/>
  <c r="U20" i="97"/>
  <c r="T20" i="97"/>
  <c r="S20" i="97"/>
  <c r="R20" i="97"/>
  <c r="Q20" i="97"/>
  <c r="P20" i="97"/>
  <c r="O20" i="97"/>
  <c r="N20" i="97"/>
  <c r="M20" i="97"/>
  <c r="L20" i="97"/>
  <c r="K20" i="97"/>
  <c r="J20" i="97"/>
  <c r="I20" i="97"/>
  <c r="H20" i="97"/>
  <c r="G20" i="97"/>
  <c r="F20" i="97"/>
  <c r="E20" i="97"/>
  <c r="D20" i="97"/>
  <c r="A20" i="97"/>
  <c r="X19" i="97"/>
  <c r="W19" i="97"/>
  <c r="V19" i="97"/>
  <c r="U19" i="97"/>
  <c r="T19" i="97"/>
  <c r="S19" i="97"/>
  <c r="R19" i="97"/>
  <c r="Q19" i="97"/>
  <c r="P19" i="97"/>
  <c r="O19" i="97"/>
  <c r="N19" i="97"/>
  <c r="M19" i="97"/>
  <c r="L19" i="97"/>
  <c r="K19" i="97"/>
  <c r="J19" i="97"/>
  <c r="I19" i="97"/>
  <c r="H19" i="97"/>
  <c r="G19" i="97"/>
  <c r="F19" i="97"/>
  <c r="E19" i="97"/>
  <c r="D19" i="97"/>
  <c r="A19" i="97"/>
  <c r="X18" i="97"/>
  <c r="W18" i="97"/>
  <c r="V18" i="97"/>
  <c r="U18" i="97"/>
  <c r="T18" i="97"/>
  <c r="S18" i="97"/>
  <c r="R18" i="97"/>
  <c r="Q18" i="97"/>
  <c r="P18" i="97"/>
  <c r="O18" i="97"/>
  <c r="N18" i="97"/>
  <c r="M18" i="97"/>
  <c r="L18" i="97"/>
  <c r="K18" i="97"/>
  <c r="J18" i="97"/>
  <c r="I18" i="97"/>
  <c r="H18" i="97"/>
  <c r="H35" i="97"/>
  <c r="G18" i="97"/>
  <c r="G35" i="97"/>
  <c r="F18" i="97"/>
  <c r="F35" i="97"/>
  <c r="E18" i="97"/>
  <c r="E35" i="97"/>
  <c r="D18" i="97"/>
  <c r="A18" i="97"/>
  <c r="D14" i="97"/>
  <c r="A14" i="97"/>
  <c r="D13" i="97"/>
  <c r="A13" i="97"/>
  <c r="D12" i="97"/>
  <c r="A12" i="97"/>
  <c r="S7" i="97"/>
  <c r="R7" i="97"/>
  <c r="Q7" i="97"/>
  <c r="P7" i="97"/>
  <c r="O7" i="97"/>
  <c r="N7" i="97"/>
  <c r="M7" i="97"/>
  <c r="L7" i="97"/>
  <c r="K7" i="97"/>
  <c r="J7" i="97"/>
  <c r="I7" i="97"/>
  <c r="H7" i="97"/>
  <c r="G7" i="97"/>
  <c r="F7" i="97"/>
  <c r="E7" i="97"/>
  <c r="D7" i="97"/>
  <c r="C4" i="97"/>
  <c r="A3" i="97"/>
  <c r="A2" i="97"/>
  <c r="A1" i="97"/>
  <c r="F115" i="93"/>
  <c r="G115" i="93"/>
  <c r="H115" i="93"/>
  <c r="I115" i="93"/>
  <c r="J115" i="93"/>
  <c r="K115" i="93"/>
  <c r="L115" i="93"/>
  <c r="M115" i="93"/>
  <c r="N115" i="93"/>
  <c r="O115" i="93"/>
  <c r="P115" i="93"/>
  <c r="Q115" i="93"/>
  <c r="R115" i="93"/>
  <c r="S115" i="93"/>
  <c r="T115" i="93"/>
  <c r="U115" i="93"/>
  <c r="V115" i="93"/>
  <c r="W115" i="93"/>
  <c r="X115" i="93"/>
  <c r="E115" i="93"/>
  <c r="D168" i="96"/>
  <c r="X150" i="96"/>
  <c r="W150" i="96"/>
  <c r="V150" i="96"/>
  <c r="U150" i="96"/>
  <c r="T150" i="96"/>
  <c r="S150" i="96"/>
  <c r="R150" i="96"/>
  <c r="Q150" i="96"/>
  <c r="P150" i="96"/>
  <c r="O150" i="96"/>
  <c r="N150" i="96"/>
  <c r="M150" i="96"/>
  <c r="L150" i="96"/>
  <c r="K150" i="96"/>
  <c r="I150" i="96"/>
  <c r="H150" i="96"/>
  <c r="G150" i="96"/>
  <c r="F150" i="96"/>
  <c r="E150" i="96"/>
  <c r="D150" i="96"/>
  <c r="D142" i="96"/>
  <c r="D136" i="96"/>
  <c r="D144" i="96"/>
  <c r="D152" i="96"/>
  <c r="A103" i="96"/>
  <c r="A101" i="96"/>
  <c r="A93" i="96"/>
  <c r="A92" i="96"/>
  <c r="A90" i="96"/>
  <c r="A89" i="96"/>
  <c r="A87" i="96"/>
  <c r="A84" i="96"/>
  <c r="A83" i="96"/>
  <c r="A82" i="96"/>
  <c r="A81" i="96"/>
  <c r="A78" i="96"/>
  <c r="A77" i="96"/>
  <c r="A76" i="96"/>
  <c r="A72" i="96"/>
  <c r="A55" i="96"/>
  <c r="E30" i="96"/>
  <c r="A23" i="96"/>
  <c r="A22" i="96"/>
  <c r="X20" i="96"/>
  <c r="AE25" i="129"/>
  <c r="W20" i="96"/>
  <c r="AD25" i="129"/>
  <c r="V20" i="96"/>
  <c r="AC25" i="129"/>
  <c r="U20" i="96"/>
  <c r="AB25" i="129"/>
  <c r="T20" i="96"/>
  <c r="AA25" i="129"/>
  <c r="S20" i="96"/>
  <c r="Z25" i="129"/>
  <c r="R20" i="96"/>
  <c r="Y25" i="129"/>
  <c r="Q20" i="96"/>
  <c r="X25" i="129"/>
  <c r="P20" i="96"/>
  <c r="W25" i="129"/>
  <c r="O20" i="96"/>
  <c r="V25" i="129"/>
  <c r="N20" i="96"/>
  <c r="U25" i="129"/>
  <c r="M20" i="96"/>
  <c r="T25" i="129"/>
  <c r="L20" i="96"/>
  <c r="S25" i="129"/>
  <c r="K20" i="96"/>
  <c r="R25" i="129"/>
  <c r="J20" i="96"/>
  <c r="Q25" i="129"/>
  <c r="I20" i="96"/>
  <c r="P25" i="129"/>
  <c r="H20" i="96"/>
  <c r="O25" i="129"/>
  <c r="G20" i="96"/>
  <c r="N25" i="129"/>
  <c r="F20" i="96"/>
  <c r="M25" i="129"/>
  <c r="E20" i="96"/>
  <c r="L25" i="129"/>
  <c r="D20" i="96"/>
  <c r="K25" i="129"/>
  <c r="A20" i="96"/>
  <c r="X19" i="96"/>
  <c r="AE24" i="129"/>
  <c r="W19" i="96"/>
  <c r="AD24" i="129"/>
  <c r="V19" i="96"/>
  <c r="AC24" i="129"/>
  <c r="U19" i="96"/>
  <c r="AB24" i="129"/>
  <c r="T19" i="96"/>
  <c r="AA24" i="129"/>
  <c r="S19" i="96"/>
  <c r="Z24" i="129"/>
  <c r="R19" i="96"/>
  <c r="Y24" i="129"/>
  <c r="Q19" i="96"/>
  <c r="X24" i="129"/>
  <c r="P19" i="96"/>
  <c r="W24" i="129"/>
  <c r="O19" i="96"/>
  <c r="V24" i="129"/>
  <c r="N19" i="96"/>
  <c r="U24" i="129"/>
  <c r="M19" i="96"/>
  <c r="T24" i="129"/>
  <c r="L19" i="96"/>
  <c r="S24" i="129"/>
  <c r="K19" i="96"/>
  <c r="R24" i="129"/>
  <c r="J19" i="96"/>
  <c r="Q24" i="129"/>
  <c r="I19" i="96"/>
  <c r="P24" i="129"/>
  <c r="H19" i="96"/>
  <c r="O24" i="129"/>
  <c r="G19" i="96"/>
  <c r="N24" i="129"/>
  <c r="F19" i="96"/>
  <c r="M24" i="129"/>
  <c r="E19" i="96"/>
  <c r="L24" i="129"/>
  <c r="D19" i="96"/>
  <c r="K24" i="129"/>
  <c r="A19" i="96"/>
  <c r="X18" i="96"/>
  <c r="AE23" i="129"/>
  <c r="W18" i="96"/>
  <c r="AD23" i="129"/>
  <c r="V18" i="96"/>
  <c r="AC23" i="129"/>
  <c r="U18" i="96"/>
  <c r="AB23" i="129"/>
  <c r="T18" i="96"/>
  <c r="AA23" i="129"/>
  <c r="S18" i="96"/>
  <c r="Z23" i="129"/>
  <c r="R18" i="96"/>
  <c r="Y23" i="129"/>
  <c r="Q18" i="96"/>
  <c r="X23" i="129"/>
  <c r="P18" i="96"/>
  <c r="W23" i="129"/>
  <c r="O18" i="96"/>
  <c r="V23" i="129"/>
  <c r="N18" i="96"/>
  <c r="U23" i="129"/>
  <c r="M18" i="96"/>
  <c r="T23" i="129"/>
  <c r="L18" i="96"/>
  <c r="S23" i="129"/>
  <c r="K18" i="96"/>
  <c r="R23" i="129"/>
  <c r="J18" i="96"/>
  <c r="Q23" i="129"/>
  <c r="I18" i="96"/>
  <c r="P23" i="129"/>
  <c r="H18" i="96"/>
  <c r="O23" i="129"/>
  <c r="G18" i="96"/>
  <c r="N23" i="129"/>
  <c r="F18" i="96"/>
  <c r="E18" i="96"/>
  <c r="L23" i="129"/>
  <c r="D18" i="96"/>
  <c r="K23" i="129"/>
  <c r="A18" i="96"/>
  <c r="D14" i="96"/>
  <c r="K19" i="129"/>
  <c r="A14" i="96"/>
  <c r="D13" i="96"/>
  <c r="K18" i="129"/>
  <c r="A13" i="96"/>
  <c r="D12" i="96"/>
  <c r="K17" i="129"/>
  <c r="A12" i="96"/>
  <c r="S7" i="96"/>
  <c r="R7" i="96"/>
  <c r="Q7" i="96"/>
  <c r="P7" i="96"/>
  <c r="O7" i="96"/>
  <c r="N7" i="96"/>
  <c r="M7" i="96"/>
  <c r="L7" i="96"/>
  <c r="K7" i="96"/>
  <c r="J7" i="96"/>
  <c r="I7" i="96"/>
  <c r="H7" i="96"/>
  <c r="G7" i="96"/>
  <c r="F7" i="96"/>
  <c r="E7" i="96"/>
  <c r="D7" i="96"/>
  <c r="C4" i="96"/>
  <c r="A3" i="96"/>
  <c r="A2" i="96"/>
  <c r="A1" i="96"/>
  <c r="G63" i="93"/>
  <c r="H63" i="93"/>
  <c r="I63" i="93"/>
  <c r="J63" i="93"/>
  <c r="K63" i="93"/>
  <c r="L63" i="93"/>
  <c r="M63" i="93"/>
  <c r="N63" i="93"/>
  <c r="O63" i="93"/>
  <c r="P63" i="93"/>
  <c r="Q63" i="93"/>
  <c r="R63" i="93"/>
  <c r="S63" i="93"/>
  <c r="T63" i="93"/>
  <c r="U63" i="93"/>
  <c r="V63" i="93"/>
  <c r="W63" i="93"/>
  <c r="X63" i="93"/>
  <c r="F49" i="93"/>
  <c r="G49" i="93"/>
  <c r="H49" i="93"/>
  <c r="I49" i="93"/>
  <c r="J49" i="93"/>
  <c r="K49" i="93"/>
  <c r="L49" i="93"/>
  <c r="M49" i="93"/>
  <c r="N49" i="93"/>
  <c r="O49" i="93"/>
  <c r="P49" i="93"/>
  <c r="Q49" i="93"/>
  <c r="R49" i="93"/>
  <c r="S49" i="93"/>
  <c r="T49" i="93"/>
  <c r="U49" i="93"/>
  <c r="V49" i="93"/>
  <c r="W49" i="93"/>
  <c r="X49" i="93"/>
  <c r="E49" i="93"/>
  <c r="B130" i="95"/>
  <c r="M94" i="94"/>
  <c r="I130" i="94"/>
  <c r="F35" i="96"/>
  <c r="M40" i="129"/>
  <c r="M23" i="129"/>
  <c r="R40" i="94"/>
  <c r="U94" i="94"/>
  <c r="J40" i="94"/>
  <c r="L130" i="94"/>
  <c r="V76" i="94"/>
  <c r="V77" i="94"/>
  <c r="R76" i="94"/>
  <c r="R77" i="94"/>
  <c r="N76" i="94"/>
  <c r="N77" i="94"/>
  <c r="J76" i="94"/>
  <c r="J77" i="94"/>
  <c r="F76" i="94"/>
  <c r="F77" i="94"/>
  <c r="V58" i="94"/>
  <c r="V59" i="94"/>
  <c r="R58" i="94"/>
  <c r="R59" i="94"/>
  <c r="N58" i="94"/>
  <c r="N59" i="94"/>
  <c r="J58" i="94"/>
  <c r="J59" i="94"/>
  <c r="F58" i="94"/>
  <c r="F59" i="94"/>
  <c r="U22" i="94"/>
  <c r="U23" i="94"/>
  <c r="Q22" i="94"/>
  <c r="Q23" i="94"/>
  <c r="M22" i="94"/>
  <c r="M23" i="94"/>
  <c r="I22" i="94"/>
  <c r="I23" i="94"/>
  <c r="E22" i="94"/>
  <c r="E23" i="94"/>
  <c r="U76" i="94"/>
  <c r="U77" i="94"/>
  <c r="Q76" i="94"/>
  <c r="Q77" i="94"/>
  <c r="M76" i="94"/>
  <c r="M77" i="94"/>
  <c r="I76" i="94"/>
  <c r="I77" i="94"/>
  <c r="E76" i="94"/>
  <c r="E77" i="94"/>
  <c r="U58" i="94"/>
  <c r="U59" i="94"/>
  <c r="Q58" i="94"/>
  <c r="Q59" i="94"/>
  <c r="M58" i="94"/>
  <c r="M59" i="94"/>
  <c r="I58" i="94"/>
  <c r="I59" i="94"/>
  <c r="E58" i="94"/>
  <c r="E59" i="94"/>
  <c r="T22" i="94"/>
  <c r="T23" i="94"/>
  <c r="P22" i="94"/>
  <c r="P23" i="94"/>
  <c r="L22" i="94"/>
  <c r="L23" i="94"/>
  <c r="H22" i="94"/>
  <c r="H23" i="94"/>
  <c r="D22" i="94"/>
  <c r="D23" i="94"/>
  <c r="T76" i="94"/>
  <c r="T77" i="94"/>
  <c r="P76" i="94"/>
  <c r="P77" i="94"/>
  <c r="L76" i="94"/>
  <c r="L77" i="94"/>
  <c r="H76" i="94"/>
  <c r="H77" i="94"/>
  <c r="D76" i="94"/>
  <c r="D77" i="94"/>
  <c r="T58" i="94"/>
  <c r="T59" i="94"/>
  <c r="P58" i="94"/>
  <c r="P59" i="94"/>
  <c r="L58" i="94"/>
  <c r="L59" i="94"/>
  <c r="H58" i="94"/>
  <c r="H59" i="94"/>
  <c r="D58" i="94"/>
  <c r="D59" i="94"/>
  <c r="S22" i="94"/>
  <c r="S23" i="94"/>
  <c r="O22" i="94"/>
  <c r="O23" i="94"/>
  <c r="K22" i="94"/>
  <c r="K23" i="94"/>
  <c r="G22" i="94"/>
  <c r="G23" i="94"/>
  <c r="C22" i="94"/>
  <c r="C23" i="94"/>
  <c r="S76" i="94"/>
  <c r="S77" i="94"/>
  <c r="O76" i="94"/>
  <c r="O77" i="94"/>
  <c r="K76" i="94"/>
  <c r="K77" i="94"/>
  <c r="G76" i="94"/>
  <c r="G77" i="94"/>
  <c r="C76" i="94"/>
  <c r="C77" i="94"/>
  <c r="S58" i="94"/>
  <c r="S59" i="94"/>
  <c r="O58" i="94"/>
  <c r="O59" i="94"/>
  <c r="K58" i="94"/>
  <c r="K59" i="94"/>
  <c r="G58" i="94"/>
  <c r="G59" i="94"/>
  <c r="C58" i="94"/>
  <c r="C59" i="94"/>
  <c r="V22" i="94"/>
  <c r="V23" i="94"/>
  <c r="R22" i="94"/>
  <c r="R23" i="94"/>
  <c r="N22" i="94"/>
  <c r="N23" i="94"/>
  <c r="J22" i="94"/>
  <c r="J23" i="94"/>
  <c r="F22" i="94"/>
  <c r="F23" i="94"/>
  <c r="Q130" i="94"/>
  <c r="O29" i="99"/>
  <c r="N39" i="99"/>
  <c r="U44" i="133"/>
  <c r="N35" i="99"/>
  <c r="U40" i="133"/>
  <c r="F39" i="96"/>
  <c r="M44" i="129"/>
  <c r="G39" i="96"/>
  <c r="N44" i="129"/>
  <c r="F39" i="97"/>
  <c r="E39" i="97"/>
  <c r="XFD49" i="97"/>
  <c r="H39" i="97"/>
  <c r="G39" i="97"/>
  <c r="D119" i="97"/>
  <c r="H39" i="96"/>
  <c r="O44" i="129"/>
  <c r="I29" i="97"/>
  <c r="D156" i="97"/>
  <c r="D144" i="97"/>
  <c r="D152" i="97"/>
  <c r="XFD49" i="96"/>
  <c r="E35" i="96"/>
  <c r="L40" i="129"/>
  <c r="I35" i="96"/>
  <c r="P40" i="129"/>
  <c r="E39" i="96"/>
  <c r="L44" i="129"/>
  <c r="I39" i="96"/>
  <c r="P44" i="129"/>
  <c r="H35" i="96"/>
  <c r="O40" i="129"/>
  <c r="G35" i="96"/>
  <c r="N40" i="129"/>
  <c r="D156" i="96"/>
  <c r="M40" i="94"/>
  <c r="H94" i="94"/>
  <c r="T130" i="94"/>
  <c r="T40" i="94"/>
  <c r="P94" i="94"/>
  <c r="S130" i="94"/>
  <c r="O130" i="94"/>
  <c r="K130" i="94"/>
  <c r="S94" i="94"/>
  <c r="O94" i="94"/>
  <c r="K94" i="94"/>
  <c r="K40" i="94"/>
  <c r="O40" i="94"/>
  <c r="S40" i="94"/>
  <c r="V130" i="94"/>
  <c r="R130" i="94"/>
  <c r="N130" i="94"/>
  <c r="J130" i="94"/>
  <c r="V94" i="94"/>
  <c r="R94" i="94"/>
  <c r="N94" i="94"/>
  <c r="J94" i="94"/>
  <c r="H40" i="94"/>
  <c r="L40" i="94"/>
  <c r="P40" i="94"/>
  <c r="V40" i="94"/>
  <c r="Q40" i="94"/>
  <c r="I40" i="94"/>
  <c r="I94" i="94"/>
  <c r="Q94" i="94"/>
  <c r="M130" i="94"/>
  <c r="U130" i="94"/>
  <c r="U40" i="94"/>
  <c r="N40" i="94"/>
  <c r="L94" i="94"/>
  <c r="T94" i="94"/>
  <c r="H130" i="94"/>
  <c r="P130" i="94"/>
  <c r="P29" i="99"/>
  <c r="O35" i="99"/>
  <c r="V40" i="133"/>
  <c r="O39" i="99"/>
  <c r="V44" i="133"/>
  <c r="I35" i="97"/>
  <c r="J29" i="97"/>
  <c r="I39" i="97"/>
  <c r="J35" i="96"/>
  <c r="Q40" i="129"/>
  <c r="J39" i="96"/>
  <c r="Q44" i="129"/>
  <c r="B115" i="95"/>
  <c r="R7" i="95"/>
  <c r="S7" i="95"/>
  <c r="T7" i="95"/>
  <c r="U7" i="95"/>
  <c r="V7" i="95"/>
  <c r="A3" i="95"/>
  <c r="A2" i="95"/>
  <c r="A1" i="95"/>
  <c r="H121" i="94"/>
  <c r="H91" i="95"/>
  <c r="I121" i="94"/>
  <c r="I91" i="95"/>
  <c r="J121" i="94"/>
  <c r="J91" i="95"/>
  <c r="K121" i="94"/>
  <c r="K91" i="95"/>
  <c r="L121" i="94"/>
  <c r="L91" i="95"/>
  <c r="M121" i="94"/>
  <c r="M91" i="95"/>
  <c r="N121" i="94"/>
  <c r="N91" i="95"/>
  <c r="O121" i="94"/>
  <c r="O91" i="95"/>
  <c r="P121" i="94"/>
  <c r="P91" i="95"/>
  <c r="Q121" i="94"/>
  <c r="Q91" i="95"/>
  <c r="R121" i="94"/>
  <c r="R91" i="95"/>
  <c r="S121" i="94"/>
  <c r="S91" i="95"/>
  <c r="T121" i="94"/>
  <c r="T91" i="95"/>
  <c r="U121" i="94"/>
  <c r="U91" i="95"/>
  <c r="V121" i="94"/>
  <c r="V91" i="95"/>
  <c r="H85" i="94"/>
  <c r="H65" i="95"/>
  <c r="H69" i="95"/>
  <c r="H70" i="95"/>
  <c r="I85" i="94"/>
  <c r="I65" i="95"/>
  <c r="I69" i="95"/>
  <c r="I70" i="95"/>
  <c r="J85" i="94"/>
  <c r="J65" i="95"/>
  <c r="J69" i="95"/>
  <c r="J70" i="95"/>
  <c r="K85" i="94"/>
  <c r="K65" i="95"/>
  <c r="K69" i="95"/>
  <c r="K70" i="95"/>
  <c r="L85" i="94"/>
  <c r="L65" i="95"/>
  <c r="L69" i="95"/>
  <c r="L70" i="95"/>
  <c r="M85" i="94"/>
  <c r="M65" i="95"/>
  <c r="M69" i="95"/>
  <c r="M70" i="95"/>
  <c r="N85" i="94"/>
  <c r="N65" i="95"/>
  <c r="N69" i="95"/>
  <c r="N70" i="95"/>
  <c r="O85" i="94"/>
  <c r="O65" i="95"/>
  <c r="O69" i="95"/>
  <c r="O70" i="95"/>
  <c r="P85" i="94"/>
  <c r="P65" i="95"/>
  <c r="P69" i="95"/>
  <c r="P70" i="95"/>
  <c r="Q85" i="94"/>
  <c r="Q65" i="95"/>
  <c r="Q69" i="95"/>
  <c r="Q70" i="95"/>
  <c r="R85" i="94"/>
  <c r="R65" i="95"/>
  <c r="R69" i="95"/>
  <c r="R70" i="95"/>
  <c r="S85" i="94"/>
  <c r="S65" i="95"/>
  <c r="S69" i="95"/>
  <c r="S70" i="95"/>
  <c r="T85" i="94"/>
  <c r="T65" i="95"/>
  <c r="T69" i="95"/>
  <c r="T70" i="95"/>
  <c r="U85" i="94"/>
  <c r="U65" i="95"/>
  <c r="U69" i="95"/>
  <c r="U70" i="95"/>
  <c r="V85" i="94"/>
  <c r="V65" i="95"/>
  <c r="V69" i="95"/>
  <c r="V70" i="95"/>
  <c r="H87" i="94"/>
  <c r="H89" i="94"/>
  <c r="H90" i="94"/>
  <c r="I87" i="94"/>
  <c r="I89" i="94"/>
  <c r="I90" i="94"/>
  <c r="J87" i="94"/>
  <c r="J89" i="94"/>
  <c r="J90" i="94"/>
  <c r="K87" i="94"/>
  <c r="K88" i="94"/>
  <c r="L87" i="94"/>
  <c r="L89" i="94"/>
  <c r="L90" i="94"/>
  <c r="M87" i="94"/>
  <c r="M88" i="94"/>
  <c r="N87" i="94"/>
  <c r="N89" i="94"/>
  <c r="N90" i="94"/>
  <c r="O87" i="94"/>
  <c r="O88" i="94"/>
  <c r="P87" i="94"/>
  <c r="P89" i="94"/>
  <c r="P90" i="94"/>
  <c r="Q87" i="94"/>
  <c r="Q89" i="94"/>
  <c r="Q90" i="94"/>
  <c r="R87" i="94"/>
  <c r="R89" i="94"/>
  <c r="R90" i="94"/>
  <c r="S87" i="94"/>
  <c r="S88" i="94"/>
  <c r="T87" i="94"/>
  <c r="T89" i="94"/>
  <c r="T90" i="94"/>
  <c r="U87" i="94"/>
  <c r="U88" i="94"/>
  <c r="V87" i="94"/>
  <c r="V89" i="94"/>
  <c r="V90" i="94"/>
  <c r="V123" i="94"/>
  <c r="V124" i="94"/>
  <c r="U123" i="94"/>
  <c r="U124" i="94"/>
  <c r="T123" i="94"/>
  <c r="T125" i="94"/>
  <c r="T126" i="94"/>
  <c r="S123" i="94"/>
  <c r="S124" i="94"/>
  <c r="R123" i="94"/>
  <c r="R124" i="94"/>
  <c r="Q123" i="94"/>
  <c r="Q125" i="94"/>
  <c r="Q126" i="94"/>
  <c r="P123" i="94"/>
  <c r="P125" i="94"/>
  <c r="P126" i="94"/>
  <c r="O123" i="94"/>
  <c r="O124" i="94"/>
  <c r="N123" i="94"/>
  <c r="N125" i="94"/>
  <c r="N126" i="94"/>
  <c r="M123" i="94"/>
  <c r="M124" i="94"/>
  <c r="L123" i="94"/>
  <c r="L125" i="94"/>
  <c r="L126" i="94"/>
  <c r="K123" i="94"/>
  <c r="K124" i="94"/>
  <c r="J123" i="94"/>
  <c r="J124" i="94"/>
  <c r="I123" i="94"/>
  <c r="I125" i="94"/>
  <c r="I126" i="94"/>
  <c r="H123" i="94"/>
  <c r="H125" i="94"/>
  <c r="H126" i="94"/>
  <c r="H33" i="94"/>
  <c r="H35" i="94"/>
  <c r="H36" i="94"/>
  <c r="I33" i="94"/>
  <c r="I35" i="94"/>
  <c r="I36" i="94"/>
  <c r="J33" i="94"/>
  <c r="J34" i="94"/>
  <c r="S63" i="123"/>
  <c r="K33" i="94"/>
  <c r="K34" i="94"/>
  <c r="T63" i="123"/>
  <c r="L33" i="94"/>
  <c r="L35" i="94"/>
  <c r="L36" i="94"/>
  <c r="M33" i="94"/>
  <c r="M34" i="94"/>
  <c r="V63" i="123"/>
  <c r="N33" i="94"/>
  <c r="N35" i="94"/>
  <c r="N36" i="94"/>
  <c r="O33" i="94"/>
  <c r="O34" i="94"/>
  <c r="X63" i="123"/>
  <c r="P33" i="94"/>
  <c r="P35" i="94"/>
  <c r="P36" i="94"/>
  <c r="Q33" i="94"/>
  <c r="Q35" i="94"/>
  <c r="Q36" i="94"/>
  <c r="R33" i="94"/>
  <c r="R34" i="94"/>
  <c r="AA63" i="123"/>
  <c r="S33" i="94"/>
  <c r="S34" i="94"/>
  <c r="AB63" i="123"/>
  <c r="T33" i="94"/>
  <c r="T35" i="94"/>
  <c r="T36" i="94"/>
  <c r="U33" i="94"/>
  <c r="U34" i="94"/>
  <c r="AD63" i="123"/>
  <c r="V33" i="94"/>
  <c r="V34" i="94"/>
  <c r="AE63" i="123"/>
  <c r="H31" i="94"/>
  <c r="I31" i="94"/>
  <c r="J31" i="94"/>
  <c r="K31" i="94"/>
  <c r="L31" i="94"/>
  <c r="M31" i="94"/>
  <c r="N31" i="94"/>
  <c r="O31" i="94"/>
  <c r="P31" i="94"/>
  <c r="Q31" i="94"/>
  <c r="R31" i="94"/>
  <c r="S31" i="94"/>
  <c r="T31" i="94"/>
  <c r="U31" i="94"/>
  <c r="V31" i="94"/>
  <c r="C26" i="95"/>
  <c r="C30" i="95"/>
  <c r="C31" i="95"/>
  <c r="X61" i="123"/>
  <c r="O26" i="95"/>
  <c r="O30" i="95"/>
  <c r="O31" i="95"/>
  <c r="N26" i="95"/>
  <c r="N30" i="95"/>
  <c r="N31" i="95"/>
  <c r="W61" i="123"/>
  <c r="T61" i="123"/>
  <c r="K26" i="95"/>
  <c r="K30" i="95"/>
  <c r="K31" i="95"/>
  <c r="Q26" i="95"/>
  <c r="Q30" i="95"/>
  <c r="Q31" i="95"/>
  <c r="Z61" i="123"/>
  <c r="AB61" i="123"/>
  <c r="S26" i="95"/>
  <c r="S30" i="95"/>
  <c r="S31" i="95"/>
  <c r="AE61" i="123"/>
  <c r="V26" i="95"/>
  <c r="V30" i="95"/>
  <c r="V31" i="95"/>
  <c r="AA61" i="123"/>
  <c r="R26" i="95"/>
  <c r="R30" i="95"/>
  <c r="R31" i="95"/>
  <c r="J26" i="95"/>
  <c r="J30" i="95"/>
  <c r="J31" i="95"/>
  <c r="S61" i="123"/>
  <c r="U26" i="95"/>
  <c r="U30" i="95"/>
  <c r="U31" i="95"/>
  <c r="AD61" i="123"/>
  <c r="M26" i="95"/>
  <c r="M30" i="95"/>
  <c r="M31" i="95"/>
  <c r="V61" i="123"/>
  <c r="AC61" i="123"/>
  <c r="T26" i="95"/>
  <c r="T30" i="95"/>
  <c r="T31" i="95"/>
  <c r="Y61" i="123"/>
  <c r="P26" i="95"/>
  <c r="P30" i="95"/>
  <c r="P31" i="95"/>
  <c r="L26" i="95"/>
  <c r="L30" i="95"/>
  <c r="L31" i="95"/>
  <c r="U61" i="123"/>
  <c r="R61" i="123"/>
  <c r="I26" i="95"/>
  <c r="I30" i="95"/>
  <c r="I31" i="95"/>
  <c r="Q61" i="123"/>
  <c r="H26" i="95"/>
  <c r="H30" i="95"/>
  <c r="H31" i="95"/>
  <c r="G26" i="95"/>
  <c r="G30" i="95"/>
  <c r="G31" i="95"/>
  <c r="F26" i="95"/>
  <c r="F30" i="95"/>
  <c r="F31" i="95"/>
  <c r="E26" i="95"/>
  <c r="E30" i="95"/>
  <c r="E31" i="95"/>
  <c r="D26" i="95"/>
  <c r="D30" i="95"/>
  <c r="D31" i="95"/>
  <c r="V19" i="95"/>
  <c r="V20" i="95"/>
  <c r="R19" i="95"/>
  <c r="R20" i="95"/>
  <c r="N19" i="95"/>
  <c r="N20" i="95"/>
  <c r="J19" i="95"/>
  <c r="J20" i="95"/>
  <c r="F19" i="95"/>
  <c r="F20" i="95"/>
  <c r="O19" i="95"/>
  <c r="O20" i="95"/>
  <c r="U19" i="95"/>
  <c r="U20" i="95"/>
  <c r="Q19" i="95"/>
  <c r="Q20" i="95"/>
  <c r="M19" i="95"/>
  <c r="M20" i="95"/>
  <c r="I19" i="95"/>
  <c r="I20" i="95"/>
  <c r="E19" i="95"/>
  <c r="E20" i="95"/>
  <c r="K19" i="95"/>
  <c r="K20" i="95"/>
  <c r="G19" i="95"/>
  <c r="G20" i="95"/>
  <c r="T19" i="95"/>
  <c r="T20" i="95"/>
  <c r="P19" i="95"/>
  <c r="P20" i="95"/>
  <c r="L19" i="95"/>
  <c r="L20" i="95"/>
  <c r="H19" i="95"/>
  <c r="H20" i="95"/>
  <c r="D19" i="95"/>
  <c r="D20" i="95"/>
  <c r="S19" i="95"/>
  <c r="S20" i="95"/>
  <c r="C19" i="95"/>
  <c r="C20" i="95"/>
  <c r="V45" i="95"/>
  <c r="V46" i="95"/>
  <c r="R45" i="95"/>
  <c r="R46" i="95"/>
  <c r="N45" i="95"/>
  <c r="N46" i="95"/>
  <c r="J45" i="95"/>
  <c r="J46" i="95"/>
  <c r="F45" i="95"/>
  <c r="F46" i="95"/>
  <c r="O45" i="95"/>
  <c r="O46" i="95"/>
  <c r="G45" i="95"/>
  <c r="G46" i="95"/>
  <c r="U45" i="95"/>
  <c r="U46" i="95"/>
  <c r="Q45" i="95"/>
  <c r="Q46" i="95"/>
  <c r="M45" i="95"/>
  <c r="M46" i="95"/>
  <c r="I45" i="95"/>
  <c r="I46" i="95"/>
  <c r="E45" i="95"/>
  <c r="E46" i="95"/>
  <c r="S45" i="95"/>
  <c r="S46" i="95"/>
  <c r="C45" i="95"/>
  <c r="C46" i="95"/>
  <c r="T45" i="95"/>
  <c r="T46" i="95"/>
  <c r="P45" i="95"/>
  <c r="P46" i="95"/>
  <c r="L45" i="95"/>
  <c r="L46" i="95"/>
  <c r="H45" i="95"/>
  <c r="H46" i="95"/>
  <c r="D45" i="95"/>
  <c r="D46" i="95"/>
  <c r="K45" i="95"/>
  <c r="K46" i="95"/>
  <c r="V58" i="95"/>
  <c r="V59" i="95"/>
  <c r="R58" i="95"/>
  <c r="R59" i="95"/>
  <c r="N58" i="95"/>
  <c r="N59" i="95"/>
  <c r="J58" i="95"/>
  <c r="J59" i="95"/>
  <c r="F58" i="95"/>
  <c r="F59" i="95"/>
  <c r="K58" i="95"/>
  <c r="K59" i="95"/>
  <c r="U58" i="95"/>
  <c r="U59" i="95"/>
  <c r="Q58" i="95"/>
  <c r="Q59" i="95"/>
  <c r="M58" i="95"/>
  <c r="M59" i="95"/>
  <c r="I58" i="95"/>
  <c r="I59" i="95"/>
  <c r="E58" i="95"/>
  <c r="E59" i="95"/>
  <c r="O58" i="95"/>
  <c r="O59" i="95"/>
  <c r="G58" i="95"/>
  <c r="G59" i="95"/>
  <c r="T58" i="95"/>
  <c r="T59" i="95"/>
  <c r="P58" i="95"/>
  <c r="P59" i="95"/>
  <c r="L58" i="95"/>
  <c r="L59" i="95"/>
  <c r="H58" i="95"/>
  <c r="H59" i="95"/>
  <c r="D58" i="95"/>
  <c r="D59" i="95"/>
  <c r="S58" i="95"/>
  <c r="S59" i="95"/>
  <c r="C58" i="95"/>
  <c r="C59" i="95"/>
  <c r="T84" i="95"/>
  <c r="T85" i="95"/>
  <c r="P84" i="95"/>
  <c r="P85" i="95"/>
  <c r="L84" i="95"/>
  <c r="L85" i="95"/>
  <c r="H84" i="95"/>
  <c r="H85" i="95"/>
  <c r="D84" i="95"/>
  <c r="D85" i="95"/>
  <c r="S84" i="95"/>
  <c r="S85" i="95"/>
  <c r="O84" i="95"/>
  <c r="O85" i="95"/>
  <c r="K84" i="95"/>
  <c r="K85" i="95"/>
  <c r="G84" i="95"/>
  <c r="G85" i="95"/>
  <c r="C84" i="95"/>
  <c r="C85" i="95"/>
  <c r="V84" i="95"/>
  <c r="V85" i="95"/>
  <c r="R84" i="95"/>
  <c r="R85" i="95"/>
  <c r="N84" i="95"/>
  <c r="N85" i="95"/>
  <c r="J84" i="95"/>
  <c r="J85" i="95"/>
  <c r="F84" i="95"/>
  <c r="F85" i="95"/>
  <c r="U84" i="95"/>
  <c r="U85" i="95"/>
  <c r="Q84" i="95"/>
  <c r="Q85" i="95"/>
  <c r="M84" i="95"/>
  <c r="M85" i="95"/>
  <c r="I84" i="95"/>
  <c r="I85" i="95"/>
  <c r="E84" i="95"/>
  <c r="E85" i="95"/>
  <c r="R39" i="94"/>
  <c r="R41" i="94"/>
  <c r="C27" i="95"/>
  <c r="X61" i="143"/>
  <c r="X61" i="142"/>
  <c r="X61" i="141"/>
  <c r="P61" i="143"/>
  <c r="P61" i="142"/>
  <c r="P61" i="141"/>
  <c r="J23" i="95"/>
  <c r="F23" i="95"/>
  <c r="V39" i="94"/>
  <c r="V41" i="94"/>
  <c r="J39" i="94"/>
  <c r="J41" i="94"/>
  <c r="P63" i="142"/>
  <c r="P63" i="141"/>
  <c r="I58" i="105"/>
  <c r="P63" i="143"/>
  <c r="P63" i="140"/>
  <c r="K129" i="94"/>
  <c r="K131" i="94"/>
  <c r="T63" i="142"/>
  <c r="T63" i="141"/>
  <c r="M58" i="105"/>
  <c r="T63" i="143"/>
  <c r="T63" i="140"/>
  <c r="O129" i="94"/>
  <c r="O131" i="94"/>
  <c r="X63" i="142"/>
  <c r="X63" i="141"/>
  <c r="Q58" i="105"/>
  <c r="X63" i="143"/>
  <c r="X63" i="140"/>
  <c r="S129" i="94"/>
  <c r="S131" i="94"/>
  <c r="AB63" i="142"/>
  <c r="AB63" i="141"/>
  <c r="U58" i="105"/>
  <c r="AB63" i="143"/>
  <c r="AB63" i="140"/>
  <c r="S93" i="94"/>
  <c r="S95" i="94"/>
  <c r="AB63" i="134"/>
  <c r="U58" i="102"/>
  <c r="AB63" i="135"/>
  <c r="AB63" i="133"/>
  <c r="AB63" i="129"/>
  <c r="O93" i="94"/>
  <c r="O95" i="94"/>
  <c r="X63" i="134"/>
  <c r="Q58" i="102"/>
  <c r="X63" i="135"/>
  <c r="X63" i="133"/>
  <c r="X63" i="129"/>
  <c r="K93" i="94"/>
  <c r="K95" i="94"/>
  <c r="M58" i="102"/>
  <c r="T63" i="135"/>
  <c r="T63" i="134"/>
  <c r="T63" i="133"/>
  <c r="T63" i="129"/>
  <c r="I58" i="102"/>
  <c r="P63" i="135"/>
  <c r="P63" i="134"/>
  <c r="P63" i="133"/>
  <c r="P63" i="129"/>
  <c r="V66" i="95"/>
  <c r="AE61" i="135"/>
  <c r="AE61" i="134"/>
  <c r="AE61" i="133"/>
  <c r="AE61" i="129"/>
  <c r="AA61" i="135"/>
  <c r="AA61" i="134"/>
  <c r="AA61" i="133"/>
  <c r="AA61" i="129"/>
  <c r="W61" i="135"/>
  <c r="W61" i="134"/>
  <c r="W61" i="133"/>
  <c r="W61" i="129"/>
  <c r="J66" i="95"/>
  <c r="S61" i="135"/>
  <c r="S61" i="134"/>
  <c r="S61" i="133"/>
  <c r="S61" i="129"/>
  <c r="O61" i="135"/>
  <c r="O61" i="134"/>
  <c r="O61" i="133"/>
  <c r="O61" i="129"/>
  <c r="AE61" i="142"/>
  <c r="AE61" i="141"/>
  <c r="AE61" i="143"/>
  <c r="AA61" i="142"/>
  <c r="AA61" i="141"/>
  <c r="AA61" i="143"/>
  <c r="W61" i="142"/>
  <c r="W61" i="141"/>
  <c r="W61" i="143"/>
  <c r="S61" i="142"/>
  <c r="S61" i="141"/>
  <c r="S61" i="143"/>
  <c r="O61" i="142"/>
  <c r="O61" i="141"/>
  <c r="O61" i="143"/>
  <c r="R35" i="94"/>
  <c r="R36" i="94"/>
  <c r="O39" i="94"/>
  <c r="O41" i="94"/>
  <c r="J129" i="94"/>
  <c r="J131" i="94"/>
  <c r="L58" i="105"/>
  <c r="S63" i="143"/>
  <c r="S63" i="142"/>
  <c r="S63" i="141"/>
  <c r="S63" i="140"/>
  <c r="R129" i="94"/>
  <c r="R131" i="94"/>
  <c r="T58" i="105"/>
  <c r="AA63" i="143"/>
  <c r="AA63" i="142"/>
  <c r="AA63" i="141"/>
  <c r="AA63" i="140"/>
  <c r="V68" i="94"/>
  <c r="R68" i="94"/>
  <c r="N68" i="94"/>
  <c r="J68" i="94"/>
  <c r="F68" i="94"/>
  <c r="V55" i="94"/>
  <c r="V56" i="94"/>
  <c r="V50" i="94"/>
  <c r="R55" i="94"/>
  <c r="R56" i="94"/>
  <c r="R50" i="94"/>
  <c r="N55" i="94"/>
  <c r="N56" i="94"/>
  <c r="N50" i="94"/>
  <c r="J55" i="94"/>
  <c r="J56" i="94"/>
  <c r="J50" i="94"/>
  <c r="F55" i="94"/>
  <c r="F56" i="94"/>
  <c r="F50" i="94"/>
  <c r="U14" i="94"/>
  <c r="Q14" i="94"/>
  <c r="M14" i="94"/>
  <c r="I14" i="94"/>
  <c r="E14" i="94"/>
  <c r="U68" i="94"/>
  <c r="Q68" i="94"/>
  <c r="M68" i="94"/>
  <c r="I68" i="94"/>
  <c r="E68" i="94"/>
  <c r="U55" i="94"/>
  <c r="U56" i="94"/>
  <c r="U50" i="94"/>
  <c r="Q55" i="94"/>
  <c r="Q56" i="94"/>
  <c r="Q50" i="94"/>
  <c r="M55" i="94"/>
  <c r="M56" i="94"/>
  <c r="M50" i="94"/>
  <c r="I55" i="94"/>
  <c r="I56" i="94"/>
  <c r="I50" i="94"/>
  <c r="E55" i="94"/>
  <c r="E56" i="94"/>
  <c r="E50" i="94"/>
  <c r="T14" i="94"/>
  <c r="P14" i="94"/>
  <c r="L14" i="94"/>
  <c r="H14" i="94"/>
  <c r="D14" i="94"/>
  <c r="T68" i="94"/>
  <c r="P68" i="94"/>
  <c r="L68" i="94"/>
  <c r="H68" i="94"/>
  <c r="D68" i="94"/>
  <c r="T55" i="94"/>
  <c r="T56" i="94"/>
  <c r="T50" i="94"/>
  <c r="P55" i="94"/>
  <c r="P56" i="94"/>
  <c r="P50" i="94"/>
  <c r="L55" i="94"/>
  <c r="L56" i="94"/>
  <c r="L50" i="94"/>
  <c r="H55" i="94"/>
  <c r="H56" i="94"/>
  <c r="H50" i="94"/>
  <c r="D55" i="94"/>
  <c r="D56" i="94"/>
  <c r="D50" i="94"/>
  <c r="S14" i="94"/>
  <c r="O14" i="94"/>
  <c r="K14" i="94"/>
  <c r="G14" i="94"/>
  <c r="C19" i="94"/>
  <c r="C20" i="94"/>
  <c r="C14" i="94"/>
  <c r="S68" i="94"/>
  <c r="O68" i="94"/>
  <c r="K68" i="94"/>
  <c r="G68" i="94"/>
  <c r="C73" i="94"/>
  <c r="C74" i="94"/>
  <c r="C68" i="94"/>
  <c r="S55" i="94"/>
  <c r="S56" i="94"/>
  <c r="S50" i="94"/>
  <c r="O55" i="94"/>
  <c r="O56" i="94"/>
  <c r="O50" i="94"/>
  <c r="K55" i="94"/>
  <c r="K56" i="94"/>
  <c r="K50" i="94"/>
  <c r="G55" i="94"/>
  <c r="G56" i="94"/>
  <c r="G50" i="94"/>
  <c r="C55" i="94"/>
  <c r="C56" i="94"/>
  <c r="C50" i="94"/>
  <c r="V14" i="94"/>
  <c r="R14" i="94"/>
  <c r="N14" i="94"/>
  <c r="J14" i="94"/>
  <c r="F14" i="94"/>
  <c r="M27" i="95"/>
  <c r="E23" i="95"/>
  <c r="U39" i="94"/>
  <c r="U41" i="94"/>
  <c r="M39" i="94"/>
  <c r="M41" i="94"/>
  <c r="H58" i="102"/>
  <c r="O63" i="135"/>
  <c r="O63" i="134"/>
  <c r="O63" i="133"/>
  <c r="O63" i="129"/>
  <c r="AD61" i="135"/>
  <c r="AD61" i="134"/>
  <c r="AD61" i="133"/>
  <c r="AD61" i="129"/>
  <c r="Z61" i="135"/>
  <c r="Z61" i="134"/>
  <c r="Z61" i="133"/>
  <c r="Z61" i="129"/>
  <c r="M66" i="95"/>
  <c r="V61" i="135"/>
  <c r="V61" i="134"/>
  <c r="V61" i="133"/>
  <c r="V61" i="129"/>
  <c r="I66" i="95"/>
  <c r="R61" i="135"/>
  <c r="R61" i="134"/>
  <c r="R61" i="133"/>
  <c r="R61" i="129"/>
  <c r="N61" i="135"/>
  <c r="N61" i="134"/>
  <c r="N61" i="133"/>
  <c r="N61" i="129"/>
  <c r="AD61" i="143"/>
  <c r="AD61" i="141"/>
  <c r="AD61" i="142"/>
  <c r="Z61" i="143"/>
  <c r="Z61" i="141"/>
  <c r="Z61" i="142"/>
  <c r="V61" i="143"/>
  <c r="V61" i="142"/>
  <c r="V61" i="141"/>
  <c r="R61" i="143"/>
  <c r="R61" i="142"/>
  <c r="R61" i="141"/>
  <c r="N61" i="143"/>
  <c r="N61" i="141"/>
  <c r="N61" i="142"/>
  <c r="J35" i="94"/>
  <c r="J36" i="94"/>
  <c r="S39" i="94"/>
  <c r="S41" i="94"/>
  <c r="K39" i="94"/>
  <c r="K41" i="94"/>
  <c r="H58" i="105"/>
  <c r="O63" i="143"/>
  <c r="O63" i="142"/>
  <c r="O63" i="141"/>
  <c r="O63" i="140"/>
  <c r="V129" i="94"/>
  <c r="V131" i="94"/>
  <c r="X58" i="105"/>
  <c r="AE63" i="143"/>
  <c r="AE63" i="142"/>
  <c r="AE63" i="141"/>
  <c r="AE63" i="140"/>
  <c r="AB61" i="135"/>
  <c r="AB61" i="134"/>
  <c r="AB61" i="133"/>
  <c r="AB61" i="129"/>
  <c r="O66" i="95"/>
  <c r="X61" i="135"/>
  <c r="X61" i="134"/>
  <c r="X61" i="133"/>
  <c r="X61" i="129"/>
  <c r="K66" i="95"/>
  <c r="T61" i="135"/>
  <c r="T61" i="134"/>
  <c r="T61" i="133"/>
  <c r="T61" i="129"/>
  <c r="G62" i="95"/>
  <c r="P61" i="135"/>
  <c r="P61" i="134"/>
  <c r="P61" i="133"/>
  <c r="P61" i="129"/>
  <c r="AB61" i="143"/>
  <c r="AB61" i="142"/>
  <c r="AB61" i="141"/>
  <c r="T61" i="143"/>
  <c r="T61" i="142"/>
  <c r="T61" i="141"/>
  <c r="L27" i="95"/>
  <c r="H27" i="95"/>
  <c r="D27" i="95"/>
  <c r="N63" i="142"/>
  <c r="N63" i="141"/>
  <c r="G58" i="105"/>
  <c r="N63" i="143"/>
  <c r="N63" i="140"/>
  <c r="M129" i="94"/>
  <c r="M131" i="94"/>
  <c r="V63" i="142"/>
  <c r="V63" i="141"/>
  <c r="O58" i="105"/>
  <c r="V63" i="143"/>
  <c r="V63" i="140"/>
  <c r="U129" i="94"/>
  <c r="U131" i="94"/>
  <c r="AD63" i="142"/>
  <c r="AD63" i="141"/>
  <c r="W58" i="105"/>
  <c r="AD63" i="143"/>
  <c r="AD63" i="140"/>
  <c r="U93" i="94"/>
  <c r="U95" i="94"/>
  <c r="AD63" i="134"/>
  <c r="W58" i="102"/>
  <c r="AD63" i="135"/>
  <c r="AD63" i="133"/>
  <c r="AD63" i="129"/>
  <c r="M93" i="94"/>
  <c r="M95" i="94"/>
  <c r="O58" i="102"/>
  <c r="V63" i="135"/>
  <c r="V63" i="134"/>
  <c r="V63" i="133"/>
  <c r="V63" i="129"/>
  <c r="AC61" i="135"/>
  <c r="AC61" i="134"/>
  <c r="AC61" i="133"/>
  <c r="AC61" i="129"/>
  <c r="P66" i="95"/>
  <c r="Y61" i="135"/>
  <c r="Y61" i="134"/>
  <c r="Y61" i="133"/>
  <c r="Y61" i="129"/>
  <c r="U61" i="135"/>
  <c r="U61" i="134"/>
  <c r="U61" i="133"/>
  <c r="U61" i="129"/>
  <c r="Q61" i="134"/>
  <c r="Q61" i="135"/>
  <c r="Q61" i="133"/>
  <c r="Q61" i="129"/>
  <c r="AC61" i="142"/>
  <c r="AC61" i="141"/>
  <c r="AC61" i="143"/>
  <c r="Y61" i="142"/>
  <c r="Y61" i="141"/>
  <c r="Y61" i="143"/>
  <c r="U61" i="142"/>
  <c r="U61" i="141"/>
  <c r="U61" i="143"/>
  <c r="Q61" i="142"/>
  <c r="Q61" i="141"/>
  <c r="Q61" i="143"/>
  <c r="Q29" i="99"/>
  <c r="P39" i="99"/>
  <c r="W44" i="133"/>
  <c r="P35" i="99"/>
  <c r="W40" i="133"/>
  <c r="K29" i="97"/>
  <c r="J39" i="97"/>
  <c r="J35" i="97"/>
  <c r="K35" i="96"/>
  <c r="R40" i="129"/>
  <c r="K39" i="96"/>
  <c r="R44" i="129"/>
  <c r="J125" i="94"/>
  <c r="J126" i="94"/>
  <c r="O35" i="94"/>
  <c r="O36" i="94"/>
  <c r="N34" i="94"/>
  <c r="W63" i="123"/>
  <c r="S89" i="94"/>
  <c r="S90" i="94"/>
  <c r="O125" i="94"/>
  <c r="O126" i="94"/>
  <c r="N124" i="94"/>
  <c r="V35" i="94"/>
  <c r="V36" i="94"/>
  <c r="O89" i="94"/>
  <c r="O90" i="94"/>
  <c r="V125" i="94"/>
  <c r="V126" i="94"/>
  <c r="R125" i="94"/>
  <c r="R126" i="94"/>
  <c r="S35" i="94"/>
  <c r="S36" i="94"/>
  <c r="K35" i="94"/>
  <c r="K36" i="94"/>
  <c r="K89" i="94"/>
  <c r="K90" i="94"/>
  <c r="S125" i="94"/>
  <c r="S126" i="94"/>
  <c r="K125" i="94"/>
  <c r="K126" i="94"/>
  <c r="U66" i="95"/>
  <c r="E62" i="95"/>
  <c r="Z61" i="140"/>
  <c r="R61" i="140"/>
  <c r="V88" i="94"/>
  <c r="N88" i="94"/>
  <c r="L62" i="95"/>
  <c r="L66" i="95"/>
  <c r="D62" i="95"/>
  <c r="Y61" i="140"/>
  <c r="Q61" i="140"/>
  <c r="Q34" i="94"/>
  <c r="Z63" i="123"/>
  <c r="I34" i="94"/>
  <c r="R63" i="123"/>
  <c r="Q88" i="94"/>
  <c r="I88" i="94"/>
  <c r="Q124" i="94"/>
  <c r="I124" i="94"/>
  <c r="S66" i="95"/>
  <c r="AB61" i="140"/>
  <c r="X61" i="140"/>
  <c r="T61" i="140"/>
  <c r="P61" i="140"/>
  <c r="Q62" i="123"/>
  <c r="U62" i="123"/>
  <c r="Y62" i="123"/>
  <c r="AC62" i="123"/>
  <c r="W62" i="123"/>
  <c r="AB62" i="123"/>
  <c r="R62" i="123"/>
  <c r="Z62" i="123"/>
  <c r="AA62" i="123"/>
  <c r="X62" i="123"/>
  <c r="U35" i="94"/>
  <c r="U36" i="94"/>
  <c r="M35" i="94"/>
  <c r="M36" i="94"/>
  <c r="T34" i="94"/>
  <c r="AC63" i="123"/>
  <c r="P34" i="94"/>
  <c r="Y63" i="123"/>
  <c r="L34" i="94"/>
  <c r="U63" i="123"/>
  <c r="H34" i="94"/>
  <c r="Q63" i="123"/>
  <c r="U89" i="94"/>
  <c r="U90" i="94"/>
  <c r="M89" i="94"/>
  <c r="M90" i="94"/>
  <c r="T88" i="94"/>
  <c r="P88" i="94"/>
  <c r="L88" i="94"/>
  <c r="H88" i="94"/>
  <c r="U125" i="94"/>
  <c r="U126" i="94"/>
  <c r="M125" i="94"/>
  <c r="M126" i="94"/>
  <c r="T124" i="94"/>
  <c r="P124" i="94"/>
  <c r="L124" i="94"/>
  <c r="H124" i="94"/>
  <c r="Q66" i="95"/>
  <c r="AD61" i="140"/>
  <c r="V61" i="140"/>
  <c r="N61" i="140"/>
  <c r="R88" i="94"/>
  <c r="J88" i="94"/>
  <c r="H66" i="95"/>
  <c r="H62" i="95"/>
  <c r="AC61" i="140"/>
  <c r="U61" i="140"/>
  <c r="C62" i="95"/>
  <c r="R66" i="95"/>
  <c r="N66" i="95"/>
  <c r="AE61" i="140"/>
  <c r="AA61" i="140"/>
  <c r="W61" i="140"/>
  <c r="S61" i="140"/>
  <c r="O61" i="140"/>
  <c r="D97" i="95"/>
  <c r="H97" i="95"/>
  <c r="L97" i="95"/>
  <c r="P97" i="95"/>
  <c r="T97" i="95"/>
  <c r="K97" i="95"/>
  <c r="C97" i="95"/>
  <c r="E97" i="95"/>
  <c r="I97" i="95"/>
  <c r="M97" i="95"/>
  <c r="Q97" i="95"/>
  <c r="U97" i="95"/>
  <c r="G97" i="95"/>
  <c r="O97" i="95"/>
  <c r="F97" i="95"/>
  <c r="J97" i="95"/>
  <c r="N97" i="95"/>
  <c r="R97" i="95"/>
  <c r="V97" i="95"/>
  <c r="S97" i="95"/>
  <c r="D71" i="95"/>
  <c r="H71" i="95"/>
  <c r="H72" i="95"/>
  <c r="L71" i="95"/>
  <c r="L72" i="95"/>
  <c r="P71" i="95"/>
  <c r="P72" i="95"/>
  <c r="T71" i="95"/>
  <c r="T72" i="95"/>
  <c r="D32" i="95"/>
  <c r="H32" i="95"/>
  <c r="L32" i="95"/>
  <c r="L33" i="95"/>
  <c r="P32" i="95"/>
  <c r="T32" i="95"/>
  <c r="E71" i="95"/>
  <c r="I71" i="95"/>
  <c r="I72" i="95"/>
  <c r="M71" i="95"/>
  <c r="M72" i="95"/>
  <c r="Q71" i="95"/>
  <c r="Q72" i="95"/>
  <c r="U71" i="95"/>
  <c r="U72" i="95"/>
  <c r="E32" i="95"/>
  <c r="E33" i="95"/>
  <c r="I32" i="95"/>
  <c r="M32" i="95"/>
  <c r="Q32" i="95"/>
  <c r="U32" i="95"/>
  <c r="U33" i="95"/>
  <c r="F71" i="95"/>
  <c r="J71" i="95"/>
  <c r="J72" i="95"/>
  <c r="N71" i="95"/>
  <c r="N72" i="95"/>
  <c r="R71" i="95"/>
  <c r="R72" i="95"/>
  <c r="V71" i="95"/>
  <c r="V72" i="95"/>
  <c r="F32" i="95"/>
  <c r="J32" i="95"/>
  <c r="N32" i="95"/>
  <c r="N33" i="95"/>
  <c r="R32" i="95"/>
  <c r="V32" i="95"/>
  <c r="G71" i="95"/>
  <c r="K71" i="95"/>
  <c r="K72" i="95"/>
  <c r="O71" i="95"/>
  <c r="O72" i="95"/>
  <c r="S71" i="95"/>
  <c r="S72" i="95"/>
  <c r="C71" i="95"/>
  <c r="G32" i="95"/>
  <c r="K32" i="95"/>
  <c r="O32" i="95"/>
  <c r="S32" i="95"/>
  <c r="S33" i="95"/>
  <c r="C32" i="95"/>
  <c r="C33" i="95"/>
  <c r="L48" i="123"/>
  <c r="R7" i="94"/>
  <c r="S7" i="94"/>
  <c r="T7" i="94"/>
  <c r="U7" i="94"/>
  <c r="V7" i="94"/>
  <c r="A3" i="94"/>
  <c r="A2" i="94"/>
  <c r="A1" i="94"/>
  <c r="I43" i="120"/>
  <c r="P48" i="139"/>
  <c r="I43" i="119"/>
  <c r="P48" i="138"/>
  <c r="I43" i="118"/>
  <c r="P48" i="137"/>
  <c r="I43" i="117"/>
  <c r="P48" i="136"/>
  <c r="J43" i="112"/>
  <c r="Q48" i="132"/>
  <c r="Q48" i="131"/>
  <c r="Q48" i="130"/>
  <c r="Q48" i="128"/>
  <c r="O43" i="112"/>
  <c r="V48" i="132"/>
  <c r="V48" i="131"/>
  <c r="V48" i="130"/>
  <c r="V48" i="128"/>
  <c r="N43" i="116"/>
  <c r="U48" i="127"/>
  <c r="N43" i="115"/>
  <c r="U48" i="126"/>
  <c r="N43" i="114"/>
  <c r="U48" i="125"/>
  <c r="N43" i="113"/>
  <c r="U48" i="124"/>
  <c r="S43" i="116"/>
  <c r="Z48" i="127"/>
  <c r="S43" i="115"/>
  <c r="Z48" i="126"/>
  <c r="S43" i="114"/>
  <c r="Z48" i="125"/>
  <c r="S43" i="113"/>
  <c r="Z48" i="124"/>
  <c r="X43" i="113"/>
  <c r="AE48" i="124"/>
  <c r="X43" i="116"/>
  <c r="AE48" i="127"/>
  <c r="X43" i="114"/>
  <c r="AE48" i="125"/>
  <c r="X43" i="115"/>
  <c r="AE48" i="126"/>
  <c r="V48" i="122"/>
  <c r="O48" i="122"/>
  <c r="J27" i="95"/>
  <c r="T43" i="120"/>
  <c r="AA48" i="139"/>
  <c r="T43" i="119"/>
  <c r="AA48" i="138"/>
  <c r="T43" i="118"/>
  <c r="AA48" i="137"/>
  <c r="T43" i="117"/>
  <c r="AA48" i="136"/>
  <c r="E43" i="112"/>
  <c r="L48" i="132"/>
  <c r="L48" i="131"/>
  <c r="L48" i="130"/>
  <c r="L48" i="128"/>
  <c r="L43" i="112"/>
  <c r="S48" i="132"/>
  <c r="S48" i="131"/>
  <c r="S48" i="130"/>
  <c r="S48" i="128"/>
  <c r="W43" i="116"/>
  <c r="AD48" i="127"/>
  <c r="W43" i="115"/>
  <c r="AD48" i="126"/>
  <c r="W43" i="114"/>
  <c r="AD48" i="125"/>
  <c r="W43" i="113"/>
  <c r="AD48" i="124"/>
  <c r="L48" i="122"/>
  <c r="Z48" i="122"/>
  <c r="P43" i="120"/>
  <c r="W48" i="139"/>
  <c r="P43" i="119"/>
  <c r="W48" i="138"/>
  <c r="P43" i="118"/>
  <c r="W48" i="137"/>
  <c r="P43" i="117"/>
  <c r="W48" i="136"/>
  <c r="V43" i="120"/>
  <c r="AC48" i="139"/>
  <c r="V43" i="119"/>
  <c r="AC48" i="138"/>
  <c r="V43" i="118"/>
  <c r="AC48" i="137"/>
  <c r="V43" i="117"/>
  <c r="AC48" i="136"/>
  <c r="I43" i="112"/>
  <c r="P48" i="132"/>
  <c r="P48" i="130"/>
  <c r="P48" i="131"/>
  <c r="P48" i="128"/>
  <c r="X43" i="112"/>
  <c r="AE48" i="132"/>
  <c r="AE48" i="131"/>
  <c r="AE48" i="130"/>
  <c r="AE48" i="128"/>
  <c r="U43" i="116"/>
  <c r="AB48" i="127"/>
  <c r="U43" i="115"/>
  <c r="AB48" i="126"/>
  <c r="U43" i="114"/>
  <c r="AB48" i="125"/>
  <c r="U43" i="113"/>
  <c r="AB48" i="124"/>
  <c r="H43" i="116"/>
  <c r="O48" i="127"/>
  <c r="H43" i="114"/>
  <c r="O48" i="125"/>
  <c r="H43" i="113"/>
  <c r="O48" i="124"/>
  <c r="H43" i="115"/>
  <c r="O48" i="126"/>
  <c r="Q48" i="122"/>
  <c r="P48" i="122"/>
  <c r="AE48" i="122"/>
  <c r="S62" i="123"/>
  <c r="G43" i="120"/>
  <c r="N48" i="139"/>
  <c r="G43" i="118"/>
  <c r="N48" i="137"/>
  <c r="G43" i="117"/>
  <c r="N48" i="136"/>
  <c r="G43" i="119"/>
  <c r="N48" i="138"/>
  <c r="M43" i="120"/>
  <c r="T48" i="139"/>
  <c r="M43" i="119"/>
  <c r="T48" i="138"/>
  <c r="M43" i="118"/>
  <c r="T48" i="137"/>
  <c r="M43" i="117"/>
  <c r="T48" i="136"/>
  <c r="N43" i="112"/>
  <c r="U48" i="132"/>
  <c r="U48" i="131"/>
  <c r="U48" i="130"/>
  <c r="U48" i="128"/>
  <c r="S43" i="112"/>
  <c r="Z48" i="132"/>
  <c r="Z48" i="131"/>
  <c r="Z48" i="130"/>
  <c r="Z48" i="128"/>
  <c r="M43" i="116"/>
  <c r="T48" i="127"/>
  <c r="M43" i="115"/>
  <c r="T48" i="126"/>
  <c r="M43" i="114"/>
  <c r="T48" i="125"/>
  <c r="M43" i="113"/>
  <c r="T48" i="124"/>
  <c r="R43" i="116"/>
  <c r="Y48" i="127"/>
  <c r="R43" i="115"/>
  <c r="Y48" i="126"/>
  <c r="R43" i="114"/>
  <c r="Y48" i="125"/>
  <c r="R43" i="113"/>
  <c r="Y48" i="124"/>
  <c r="G43" i="116"/>
  <c r="N48" i="127"/>
  <c r="G43" i="115"/>
  <c r="N48" i="126"/>
  <c r="G43" i="114"/>
  <c r="N48" i="125"/>
  <c r="G43" i="113"/>
  <c r="N48" i="124"/>
  <c r="L43" i="115"/>
  <c r="S48" i="126"/>
  <c r="L43" i="113"/>
  <c r="S48" i="124"/>
  <c r="L43" i="116"/>
  <c r="S48" i="127"/>
  <c r="L43" i="114"/>
  <c r="S48" i="125"/>
  <c r="U48" i="122"/>
  <c r="T48" i="122"/>
  <c r="S48" i="122"/>
  <c r="O33" i="95"/>
  <c r="S27" i="95"/>
  <c r="K27" i="95"/>
  <c r="K43" i="119"/>
  <c r="R48" i="138"/>
  <c r="K43" i="117"/>
  <c r="R48" i="136"/>
  <c r="K43" i="120"/>
  <c r="R48" i="139"/>
  <c r="K43" i="118"/>
  <c r="R48" i="137"/>
  <c r="H43" i="120"/>
  <c r="O48" i="139"/>
  <c r="H43" i="119"/>
  <c r="O48" i="138"/>
  <c r="H43" i="118"/>
  <c r="O48" i="137"/>
  <c r="H43" i="117"/>
  <c r="O48" i="136"/>
  <c r="X43" i="120"/>
  <c r="AE48" i="139"/>
  <c r="X43" i="119"/>
  <c r="AE48" i="138"/>
  <c r="X43" i="118"/>
  <c r="AE48" i="137"/>
  <c r="X43" i="117"/>
  <c r="AE48" i="136"/>
  <c r="Q43" i="120"/>
  <c r="X48" i="139"/>
  <c r="Q43" i="119"/>
  <c r="X48" i="138"/>
  <c r="Q43" i="118"/>
  <c r="X48" i="137"/>
  <c r="Q43" i="117"/>
  <c r="X48" i="136"/>
  <c r="N43" i="120"/>
  <c r="U48" i="139"/>
  <c r="N43" i="119"/>
  <c r="U48" i="138"/>
  <c r="N43" i="118"/>
  <c r="U48" i="137"/>
  <c r="N43" i="117"/>
  <c r="U48" i="136"/>
  <c r="U43" i="112"/>
  <c r="AB48" i="132"/>
  <c r="AB48" i="130"/>
  <c r="AB48" i="131"/>
  <c r="AB48" i="128"/>
  <c r="R43" i="112"/>
  <c r="Y48" i="132"/>
  <c r="Y48" i="131"/>
  <c r="Y48" i="130"/>
  <c r="Y48" i="128"/>
  <c r="G43" i="112"/>
  <c r="N48" i="132"/>
  <c r="N48" i="131"/>
  <c r="N48" i="130"/>
  <c r="N48" i="128"/>
  <c r="W43" i="112"/>
  <c r="AD48" i="132"/>
  <c r="AD48" i="131"/>
  <c r="AD48" i="130"/>
  <c r="AD48" i="128"/>
  <c r="P43" i="112"/>
  <c r="W48" i="132"/>
  <c r="W48" i="131"/>
  <c r="W48" i="130"/>
  <c r="W48" i="128"/>
  <c r="F43" i="116"/>
  <c r="M48" i="127"/>
  <c r="F43" i="115"/>
  <c r="M48" i="126"/>
  <c r="F43" i="114"/>
  <c r="M48" i="125"/>
  <c r="F43" i="113"/>
  <c r="M48" i="124"/>
  <c r="V43" i="116"/>
  <c r="AC48" i="127"/>
  <c r="V43" i="115"/>
  <c r="AC48" i="126"/>
  <c r="V43" i="114"/>
  <c r="AC48" i="125"/>
  <c r="V43" i="113"/>
  <c r="AC48" i="124"/>
  <c r="K43" i="116"/>
  <c r="R48" i="127"/>
  <c r="K43" i="115"/>
  <c r="R48" i="126"/>
  <c r="K43" i="114"/>
  <c r="R48" i="125"/>
  <c r="K43" i="113"/>
  <c r="R48" i="124"/>
  <c r="I43" i="116"/>
  <c r="P48" i="127"/>
  <c r="I43" i="115"/>
  <c r="P48" i="126"/>
  <c r="I43" i="114"/>
  <c r="P48" i="125"/>
  <c r="I43" i="113"/>
  <c r="P48" i="124"/>
  <c r="P43" i="114"/>
  <c r="W48" i="125"/>
  <c r="P43" i="115"/>
  <c r="W48" i="126"/>
  <c r="P43" i="113"/>
  <c r="W48" i="124"/>
  <c r="P43" i="116"/>
  <c r="W48" i="127"/>
  <c r="AB48" i="122"/>
  <c r="Y48" i="122"/>
  <c r="N48" i="122"/>
  <c r="AD48" i="122"/>
  <c r="W48" i="122"/>
  <c r="S43" i="120"/>
  <c r="Z48" i="139"/>
  <c r="S43" i="118"/>
  <c r="Z48" i="137"/>
  <c r="S43" i="119"/>
  <c r="Z48" i="138"/>
  <c r="S43" i="117"/>
  <c r="Z48" i="136"/>
  <c r="F43" i="120"/>
  <c r="M48" i="139"/>
  <c r="F43" i="119"/>
  <c r="M48" i="138"/>
  <c r="F43" i="118"/>
  <c r="M48" i="137"/>
  <c r="F43" i="117"/>
  <c r="M48" i="136"/>
  <c r="H43" i="112"/>
  <c r="O48" i="132"/>
  <c r="O48" i="131"/>
  <c r="O48" i="130"/>
  <c r="O48" i="128"/>
  <c r="J33" i="95"/>
  <c r="Q33" i="95"/>
  <c r="W43" i="120"/>
  <c r="AD48" i="139"/>
  <c r="W43" i="118"/>
  <c r="AD48" i="137"/>
  <c r="W43" i="119"/>
  <c r="AD48" i="138"/>
  <c r="W43" i="117"/>
  <c r="AD48" i="136"/>
  <c r="J43" i="120"/>
  <c r="Q48" i="139"/>
  <c r="J43" i="119"/>
  <c r="Q48" i="138"/>
  <c r="J43" i="118"/>
  <c r="Q48" i="137"/>
  <c r="J43" i="117"/>
  <c r="Q48" i="136"/>
  <c r="X48" i="131"/>
  <c r="X48" i="128"/>
  <c r="X48" i="130"/>
  <c r="Q43" i="112"/>
  <c r="X48" i="132"/>
  <c r="F33" i="95"/>
  <c r="M33" i="95"/>
  <c r="T33" i="95"/>
  <c r="AC48" i="123"/>
  <c r="N27" i="95"/>
  <c r="K33" i="95"/>
  <c r="T48" i="123"/>
  <c r="R33" i="95"/>
  <c r="T27" i="95"/>
  <c r="O27" i="95"/>
  <c r="O43" i="119"/>
  <c r="V48" i="138"/>
  <c r="O43" i="117"/>
  <c r="V48" i="136"/>
  <c r="O43" i="120"/>
  <c r="V48" i="139"/>
  <c r="O43" i="118"/>
  <c r="V48" i="137"/>
  <c r="L43" i="120"/>
  <c r="S48" i="139"/>
  <c r="L43" i="119"/>
  <c r="S48" i="138"/>
  <c r="L43" i="118"/>
  <c r="S48" i="137"/>
  <c r="L43" i="117"/>
  <c r="S48" i="136"/>
  <c r="E43" i="120"/>
  <c r="L48" i="139"/>
  <c r="E43" i="119"/>
  <c r="L48" i="138"/>
  <c r="E43" i="118"/>
  <c r="L48" i="137"/>
  <c r="E43" i="117"/>
  <c r="L48" i="136"/>
  <c r="U43" i="120"/>
  <c r="AB48" i="139"/>
  <c r="U43" i="119"/>
  <c r="AB48" i="138"/>
  <c r="U43" i="118"/>
  <c r="AB48" i="137"/>
  <c r="U43" i="117"/>
  <c r="AB48" i="136"/>
  <c r="R43" i="120"/>
  <c r="Y48" i="139"/>
  <c r="R43" i="119"/>
  <c r="Y48" i="138"/>
  <c r="R43" i="118"/>
  <c r="Y48" i="137"/>
  <c r="R43" i="117"/>
  <c r="Y48" i="136"/>
  <c r="F43" i="112"/>
  <c r="M48" i="132"/>
  <c r="M48" i="130"/>
  <c r="M48" i="128"/>
  <c r="M48" i="131"/>
  <c r="V43" i="112"/>
  <c r="AC48" i="132"/>
  <c r="AC48" i="131"/>
  <c r="AC48" i="130"/>
  <c r="AC48" i="128"/>
  <c r="K43" i="112"/>
  <c r="R48" i="132"/>
  <c r="R48" i="131"/>
  <c r="R48" i="130"/>
  <c r="R48" i="128"/>
  <c r="T48" i="131"/>
  <c r="T48" i="128"/>
  <c r="M43" i="112"/>
  <c r="T48" i="132"/>
  <c r="T48" i="130"/>
  <c r="T43" i="112"/>
  <c r="AA48" i="132"/>
  <c r="AA48" i="131"/>
  <c r="AA48" i="130"/>
  <c r="AA48" i="128"/>
  <c r="J43" i="116"/>
  <c r="Q48" i="127"/>
  <c r="J43" i="115"/>
  <c r="Q48" i="126"/>
  <c r="J43" i="114"/>
  <c r="Q48" i="125"/>
  <c r="J43" i="113"/>
  <c r="Q48" i="124"/>
  <c r="E43" i="116"/>
  <c r="L48" i="127"/>
  <c r="E43" i="115"/>
  <c r="L48" i="126"/>
  <c r="E43" i="114"/>
  <c r="L48" i="125"/>
  <c r="E43" i="113"/>
  <c r="L48" i="124"/>
  <c r="O43" i="116"/>
  <c r="V48" i="127"/>
  <c r="O43" i="115"/>
  <c r="V48" i="126"/>
  <c r="O43" i="114"/>
  <c r="V48" i="125"/>
  <c r="O43" i="113"/>
  <c r="V48" i="124"/>
  <c r="Q43" i="116"/>
  <c r="X48" i="127"/>
  <c r="Q43" i="115"/>
  <c r="X48" i="126"/>
  <c r="Q43" i="114"/>
  <c r="X48" i="125"/>
  <c r="Q43" i="113"/>
  <c r="X48" i="124"/>
  <c r="T43" i="116"/>
  <c r="AA48" i="127"/>
  <c r="T43" i="114"/>
  <c r="AA48" i="125"/>
  <c r="T43" i="115"/>
  <c r="AA48" i="126"/>
  <c r="T43" i="113"/>
  <c r="AA48" i="124"/>
  <c r="M48" i="122"/>
  <c r="AC48" i="122"/>
  <c r="R48" i="122"/>
  <c r="X48" i="122"/>
  <c r="AA48" i="122"/>
  <c r="AB62" i="141"/>
  <c r="AA62" i="142"/>
  <c r="T48" i="133"/>
  <c r="T48" i="129"/>
  <c r="Y48" i="133"/>
  <c r="Y48" i="129"/>
  <c r="W48" i="129"/>
  <c r="W48" i="133"/>
  <c r="AD48" i="133"/>
  <c r="AD48" i="129"/>
  <c r="U48" i="133"/>
  <c r="U48" i="129"/>
  <c r="Z48" i="133"/>
  <c r="Z48" i="129"/>
  <c r="AA48" i="133"/>
  <c r="AA48" i="129"/>
  <c r="R48" i="133"/>
  <c r="R48" i="129"/>
  <c r="AB48" i="133"/>
  <c r="AB48" i="129"/>
  <c r="S48" i="133"/>
  <c r="S48" i="129"/>
  <c r="X48" i="133"/>
  <c r="X48" i="129"/>
  <c r="AE48" i="133"/>
  <c r="AE48" i="129"/>
  <c r="V48" i="133"/>
  <c r="V48" i="129"/>
  <c r="AC48" i="133"/>
  <c r="AC48" i="129"/>
  <c r="Q48" i="133"/>
  <c r="Q48" i="129"/>
  <c r="N48" i="129"/>
  <c r="N48" i="133"/>
  <c r="P48" i="133"/>
  <c r="P48" i="129"/>
  <c r="O48" i="129"/>
  <c r="O48" i="133"/>
  <c r="M48" i="129"/>
  <c r="M48" i="133"/>
  <c r="L48" i="133"/>
  <c r="L48" i="129"/>
  <c r="E43" i="102"/>
  <c r="L48" i="135"/>
  <c r="L48" i="134"/>
  <c r="S48" i="123"/>
  <c r="V33" i="95"/>
  <c r="V48" i="123"/>
  <c r="I27" i="95"/>
  <c r="Z48" i="123"/>
  <c r="X48" i="123"/>
  <c r="AA48" i="123"/>
  <c r="I33" i="95"/>
  <c r="R48" i="123"/>
  <c r="P33" i="95"/>
  <c r="T62" i="123"/>
  <c r="P27" i="95"/>
  <c r="AB48" i="123"/>
  <c r="W48" i="123"/>
  <c r="AD48" i="123"/>
  <c r="U48" i="123"/>
  <c r="H33" i="95"/>
  <c r="Q48" i="123"/>
  <c r="G33" i="95"/>
  <c r="G27" i="95"/>
  <c r="O48" i="123"/>
  <c r="N48" i="123"/>
  <c r="D33" i="95"/>
  <c r="M48" i="123"/>
  <c r="V41" i="95"/>
  <c r="V42" i="95"/>
  <c r="R41" i="95"/>
  <c r="R42" i="95"/>
  <c r="N41" i="95"/>
  <c r="N42" i="95"/>
  <c r="J41" i="95"/>
  <c r="J42" i="95"/>
  <c r="F41" i="95"/>
  <c r="F42" i="95"/>
  <c r="S41" i="95"/>
  <c r="S42" i="95"/>
  <c r="G41" i="95"/>
  <c r="G42" i="95"/>
  <c r="U41" i="95"/>
  <c r="U42" i="95"/>
  <c r="Q41" i="95"/>
  <c r="Q42" i="95"/>
  <c r="M41" i="95"/>
  <c r="M42" i="95"/>
  <c r="I41" i="95"/>
  <c r="I42" i="95"/>
  <c r="E41" i="95"/>
  <c r="E42" i="95"/>
  <c r="K41" i="95"/>
  <c r="K42" i="95"/>
  <c r="T41" i="95"/>
  <c r="T42" i="95"/>
  <c r="P41" i="95"/>
  <c r="P42" i="95"/>
  <c r="L41" i="95"/>
  <c r="L42" i="95"/>
  <c r="H41" i="95"/>
  <c r="H42" i="95"/>
  <c r="D41" i="95"/>
  <c r="D42" i="95"/>
  <c r="O41" i="95"/>
  <c r="O42" i="95"/>
  <c r="C41" i="95"/>
  <c r="C42" i="95"/>
  <c r="I23" i="95"/>
  <c r="L23" i="95"/>
  <c r="L80" i="95"/>
  <c r="L81" i="95"/>
  <c r="O80" i="95"/>
  <c r="O81" i="95"/>
  <c r="V80" i="95"/>
  <c r="V81" i="95"/>
  <c r="F80" i="95"/>
  <c r="F81" i="95"/>
  <c r="I80" i="95"/>
  <c r="I81" i="95"/>
  <c r="H80" i="95"/>
  <c r="H81" i="95"/>
  <c r="K80" i="95"/>
  <c r="K81" i="95"/>
  <c r="R80" i="95"/>
  <c r="R81" i="95"/>
  <c r="U80" i="95"/>
  <c r="U81" i="95"/>
  <c r="E80" i="95"/>
  <c r="E81" i="95"/>
  <c r="T80" i="95"/>
  <c r="T81" i="95"/>
  <c r="D80" i="95"/>
  <c r="D81" i="95"/>
  <c r="G80" i="95"/>
  <c r="G81" i="95"/>
  <c r="N80" i="95"/>
  <c r="N81" i="95"/>
  <c r="Q80" i="95"/>
  <c r="Q81" i="95"/>
  <c r="P80" i="95"/>
  <c r="P81" i="95"/>
  <c r="S80" i="95"/>
  <c r="S81" i="95"/>
  <c r="C80" i="95"/>
  <c r="C81" i="95"/>
  <c r="J80" i="95"/>
  <c r="J81" i="95"/>
  <c r="M80" i="95"/>
  <c r="M81" i="95"/>
  <c r="R27" i="95"/>
  <c r="Q27" i="95"/>
  <c r="D23" i="95"/>
  <c r="K62" i="95"/>
  <c r="J62" i="95"/>
  <c r="T66" i="95"/>
  <c r="C23" i="95"/>
  <c r="E15" i="97"/>
  <c r="T48" i="134"/>
  <c r="M43" i="102"/>
  <c r="T48" i="135"/>
  <c r="T43" i="102"/>
  <c r="AA48" i="135"/>
  <c r="AA48" i="134"/>
  <c r="R48" i="134"/>
  <c r="K43" i="102"/>
  <c r="R48" i="135"/>
  <c r="Y48" i="134"/>
  <c r="R43" i="102"/>
  <c r="Y48" i="135"/>
  <c r="I43" i="102"/>
  <c r="P48" i="135"/>
  <c r="P48" i="134"/>
  <c r="P43" i="102"/>
  <c r="W48" i="135"/>
  <c r="W48" i="134"/>
  <c r="AD48" i="134"/>
  <c r="W43" i="102"/>
  <c r="AD48" i="135"/>
  <c r="N48" i="134"/>
  <c r="G43" i="102"/>
  <c r="N48" i="135"/>
  <c r="U48" i="134"/>
  <c r="N43" i="102"/>
  <c r="U48" i="135"/>
  <c r="E43" i="93"/>
  <c r="L48" i="140"/>
  <c r="E43" i="104"/>
  <c r="L48" i="142"/>
  <c r="E43" i="105"/>
  <c r="L48" i="143"/>
  <c r="E43" i="103"/>
  <c r="L48" i="141"/>
  <c r="U43" i="102"/>
  <c r="AB48" i="135"/>
  <c r="AB48" i="134"/>
  <c r="L43" i="102"/>
  <c r="S48" i="135"/>
  <c r="S48" i="134"/>
  <c r="Z48" i="134"/>
  <c r="S43" i="102"/>
  <c r="Z48" i="135"/>
  <c r="Q48" i="134"/>
  <c r="J43" i="102"/>
  <c r="Q48" i="135"/>
  <c r="Q43" i="102"/>
  <c r="X48" i="135"/>
  <c r="X48" i="134"/>
  <c r="X43" i="102"/>
  <c r="AE48" i="135"/>
  <c r="AE48" i="134"/>
  <c r="H43" i="102"/>
  <c r="O48" i="135"/>
  <c r="O48" i="134"/>
  <c r="V48" i="134"/>
  <c r="O43" i="102"/>
  <c r="V48" i="135"/>
  <c r="AC48" i="134"/>
  <c r="V43" i="102"/>
  <c r="AC48" i="135"/>
  <c r="M48" i="134"/>
  <c r="F43" i="102"/>
  <c r="M48" i="135"/>
  <c r="F62" i="95"/>
  <c r="V27" i="95"/>
  <c r="F27" i="95"/>
  <c r="G23" i="95"/>
  <c r="K23" i="95"/>
  <c r="E27" i="95"/>
  <c r="U27" i="95"/>
  <c r="H23" i="95"/>
  <c r="I62" i="95"/>
  <c r="M57" i="105"/>
  <c r="T62" i="143"/>
  <c r="T62" i="142"/>
  <c r="T62" i="141"/>
  <c r="S57" i="105"/>
  <c r="Z62" i="143"/>
  <c r="Z62" i="142"/>
  <c r="Z62" i="141"/>
  <c r="S32" i="94"/>
  <c r="L129" i="94"/>
  <c r="L131" i="94"/>
  <c r="N58" i="105"/>
  <c r="U63" i="143"/>
  <c r="U63" i="141"/>
  <c r="U63" i="142"/>
  <c r="U63" i="140"/>
  <c r="L93" i="94"/>
  <c r="L95" i="94"/>
  <c r="N58" i="102"/>
  <c r="U63" i="135"/>
  <c r="U63" i="134"/>
  <c r="U63" i="133"/>
  <c r="U63" i="129"/>
  <c r="P39" i="94"/>
  <c r="P41" i="94"/>
  <c r="P32" i="94"/>
  <c r="O86" i="94"/>
  <c r="Q57" i="102"/>
  <c r="X62" i="135"/>
  <c r="X62" i="134"/>
  <c r="X62" i="133"/>
  <c r="X62" i="129"/>
  <c r="I57" i="105"/>
  <c r="P62" i="143"/>
  <c r="P62" i="142"/>
  <c r="P62" i="141"/>
  <c r="K57" i="102"/>
  <c r="R62" i="135"/>
  <c r="R62" i="134"/>
  <c r="R62" i="133"/>
  <c r="R62" i="129"/>
  <c r="K32" i="94"/>
  <c r="I57" i="102"/>
  <c r="P62" i="135"/>
  <c r="P62" i="134"/>
  <c r="P62" i="133"/>
  <c r="P62" i="129"/>
  <c r="P57" i="102"/>
  <c r="W62" i="135"/>
  <c r="W62" i="134"/>
  <c r="W62" i="133"/>
  <c r="W62" i="129"/>
  <c r="W62" i="142"/>
  <c r="W62" i="141"/>
  <c r="P57" i="105"/>
  <c r="W62" i="143"/>
  <c r="V57" i="102"/>
  <c r="AC62" i="135"/>
  <c r="AC62" i="134"/>
  <c r="AC62" i="133"/>
  <c r="AC62" i="129"/>
  <c r="Q62" i="142"/>
  <c r="Q62" i="141"/>
  <c r="J57" i="105"/>
  <c r="Q62" i="143"/>
  <c r="I93" i="94"/>
  <c r="I95" i="94"/>
  <c r="I86" i="94"/>
  <c r="K58" i="102"/>
  <c r="R63" i="135"/>
  <c r="R63" i="134"/>
  <c r="R63" i="133"/>
  <c r="R63" i="129"/>
  <c r="Q39" i="94"/>
  <c r="Q41" i="94"/>
  <c r="Q32" i="94"/>
  <c r="N39" i="94"/>
  <c r="N41" i="94"/>
  <c r="N32" i="94"/>
  <c r="H93" i="94"/>
  <c r="H95" i="94"/>
  <c r="J58" i="102"/>
  <c r="Q63" i="135"/>
  <c r="Q63" i="134"/>
  <c r="Q63" i="133"/>
  <c r="Q63" i="129"/>
  <c r="L57" i="102"/>
  <c r="S62" i="135"/>
  <c r="S62" i="134"/>
  <c r="S62" i="133"/>
  <c r="S62" i="129"/>
  <c r="P129" i="94"/>
  <c r="P131" i="94"/>
  <c r="P122" i="94"/>
  <c r="R58" i="105"/>
  <c r="Y63" i="143"/>
  <c r="Y63" i="141"/>
  <c r="Y63" i="142"/>
  <c r="Y63" i="140"/>
  <c r="P93" i="94"/>
  <c r="P95" i="94"/>
  <c r="R58" i="102"/>
  <c r="Y63" i="135"/>
  <c r="Y63" i="134"/>
  <c r="Y63" i="133"/>
  <c r="Y63" i="129"/>
  <c r="T39" i="94"/>
  <c r="T41" i="94"/>
  <c r="T32" i="94"/>
  <c r="R32" i="94"/>
  <c r="G57" i="102"/>
  <c r="N62" i="135"/>
  <c r="N62" i="134"/>
  <c r="N62" i="133"/>
  <c r="N62" i="129"/>
  <c r="K57" i="105"/>
  <c r="R62" i="143"/>
  <c r="R62" i="142"/>
  <c r="R62" i="141"/>
  <c r="O62" i="134"/>
  <c r="H57" i="102"/>
  <c r="O62" i="135"/>
  <c r="O62" i="133"/>
  <c r="O62" i="129"/>
  <c r="S62" i="142"/>
  <c r="S62" i="141"/>
  <c r="L57" i="105"/>
  <c r="S62" i="143"/>
  <c r="R57" i="102"/>
  <c r="Y62" i="135"/>
  <c r="Y62" i="134"/>
  <c r="Y62" i="133"/>
  <c r="Y62" i="129"/>
  <c r="AC62" i="142"/>
  <c r="AC62" i="141"/>
  <c r="V57" i="105"/>
  <c r="AC62" i="143"/>
  <c r="I129" i="94"/>
  <c r="I131" i="94"/>
  <c r="R63" i="142"/>
  <c r="R63" i="141"/>
  <c r="K58" i="105"/>
  <c r="R63" i="143"/>
  <c r="R63" i="140"/>
  <c r="Q93" i="94"/>
  <c r="Q95" i="94"/>
  <c r="Q86" i="94"/>
  <c r="S58" i="102"/>
  <c r="Z63" i="135"/>
  <c r="Z63" i="134"/>
  <c r="Z63" i="133"/>
  <c r="Z63" i="129"/>
  <c r="N93" i="94"/>
  <c r="N95" i="94"/>
  <c r="P58" i="102"/>
  <c r="W63" i="135"/>
  <c r="W63" i="134"/>
  <c r="W63" i="133"/>
  <c r="W63" i="129"/>
  <c r="R93" i="94"/>
  <c r="R95" i="94"/>
  <c r="R86" i="94"/>
  <c r="T58" i="102"/>
  <c r="AA63" i="135"/>
  <c r="AA63" i="134"/>
  <c r="AA63" i="133"/>
  <c r="AA63" i="129"/>
  <c r="H129" i="94"/>
  <c r="H131" i="94"/>
  <c r="J58" i="105"/>
  <c r="Q63" i="143"/>
  <c r="Q63" i="142"/>
  <c r="Q63" i="141"/>
  <c r="Q63" i="140"/>
  <c r="L39" i="94"/>
  <c r="L41" i="94"/>
  <c r="L32" i="94"/>
  <c r="J93" i="94"/>
  <c r="J95" i="94"/>
  <c r="L58" i="102"/>
  <c r="S63" i="135"/>
  <c r="S63" i="134"/>
  <c r="S63" i="133"/>
  <c r="S63" i="129"/>
  <c r="T129" i="94"/>
  <c r="T131" i="94"/>
  <c r="T122" i="94"/>
  <c r="V58" i="105"/>
  <c r="AC63" i="143"/>
  <c r="AC63" i="142"/>
  <c r="AC63" i="141"/>
  <c r="AC63" i="140"/>
  <c r="T93" i="94"/>
  <c r="T95" i="94"/>
  <c r="T86" i="94"/>
  <c r="V58" i="102"/>
  <c r="AC63" i="135"/>
  <c r="AC63" i="134"/>
  <c r="AC63" i="133"/>
  <c r="AC63" i="129"/>
  <c r="H39" i="94"/>
  <c r="H41" i="94"/>
  <c r="H32" i="94"/>
  <c r="O32" i="94"/>
  <c r="U57" i="105"/>
  <c r="AB62" i="143"/>
  <c r="AB62" i="142"/>
  <c r="J32" i="94"/>
  <c r="S57" i="102"/>
  <c r="Z62" i="135"/>
  <c r="Z62" i="134"/>
  <c r="Z62" i="133"/>
  <c r="Z62" i="129"/>
  <c r="S86" i="94"/>
  <c r="U57" i="102"/>
  <c r="AB62" i="135"/>
  <c r="AB62" i="134"/>
  <c r="AB62" i="133"/>
  <c r="AB62" i="129"/>
  <c r="AE62" i="134"/>
  <c r="X57" i="102"/>
  <c r="AE62" i="135"/>
  <c r="AE62" i="133"/>
  <c r="AE62" i="129"/>
  <c r="AE62" i="142"/>
  <c r="AE62" i="141"/>
  <c r="X57" i="105"/>
  <c r="AE62" i="143"/>
  <c r="O62" i="142"/>
  <c r="O62" i="141"/>
  <c r="H57" i="105"/>
  <c r="O62" i="143"/>
  <c r="N57" i="102"/>
  <c r="U62" i="135"/>
  <c r="U62" i="134"/>
  <c r="U62" i="133"/>
  <c r="U62" i="129"/>
  <c r="Y62" i="142"/>
  <c r="Y62" i="141"/>
  <c r="R57" i="105"/>
  <c r="Y62" i="143"/>
  <c r="Q129" i="94"/>
  <c r="Q131" i="94"/>
  <c r="Q122" i="94"/>
  <c r="Z63" i="142"/>
  <c r="Z63" i="141"/>
  <c r="S58" i="105"/>
  <c r="Z63" i="143"/>
  <c r="Z63" i="140"/>
  <c r="V93" i="94"/>
  <c r="V95" i="94"/>
  <c r="V86" i="94"/>
  <c r="X58" i="102"/>
  <c r="AE63" i="135"/>
  <c r="AE63" i="134"/>
  <c r="AE63" i="133"/>
  <c r="AE63" i="129"/>
  <c r="AA62" i="134"/>
  <c r="T57" i="102"/>
  <c r="AA62" i="135"/>
  <c r="AA62" i="133"/>
  <c r="AA62" i="129"/>
  <c r="AA62" i="141"/>
  <c r="T57" i="105"/>
  <c r="AA62" i="143"/>
  <c r="J57" i="102"/>
  <c r="Q62" i="135"/>
  <c r="Q62" i="134"/>
  <c r="Q62" i="133"/>
  <c r="Q62" i="129"/>
  <c r="U62" i="142"/>
  <c r="U62" i="141"/>
  <c r="N57" i="105"/>
  <c r="U62" i="143"/>
  <c r="G58" i="102"/>
  <c r="N63" i="135"/>
  <c r="N63" i="134"/>
  <c r="N63" i="133"/>
  <c r="N63" i="129"/>
  <c r="I39" i="94"/>
  <c r="I41" i="94"/>
  <c r="I32" i="94"/>
  <c r="N129" i="94"/>
  <c r="N131" i="94"/>
  <c r="N122" i="94"/>
  <c r="P58" i="105"/>
  <c r="W63" i="143"/>
  <c r="W63" i="142"/>
  <c r="W63" i="141"/>
  <c r="W63" i="140"/>
  <c r="L92" i="95"/>
  <c r="H92" i="95"/>
  <c r="P92" i="95"/>
  <c r="N92" i="95"/>
  <c r="J92" i="95"/>
  <c r="T92" i="95"/>
  <c r="V92" i="95"/>
  <c r="C88" i="95"/>
  <c r="R92" i="95"/>
  <c r="R29" i="99"/>
  <c r="Q39" i="99"/>
  <c r="X44" i="133"/>
  <c r="Q35" i="99"/>
  <c r="X40" i="133"/>
  <c r="L29" i="97"/>
  <c r="K35" i="97"/>
  <c r="K39" i="97"/>
  <c r="L39" i="96"/>
  <c r="S44" i="129"/>
  <c r="L35" i="96"/>
  <c r="S40" i="129"/>
  <c r="AE62" i="123"/>
  <c r="N86" i="94"/>
  <c r="X62" i="140"/>
  <c r="K92" i="95"/>
  <c r="U92" i="95"/>
  <c r="S62" i="140"/>
  <c r="J122" i="94"/>
  <c r="P86" i="94"/>
  <c r="I92" i="95"/>
  <c r="S122" i="94"/>
  <c r="AB62" i="140"/>
  <c r="V62" i="123"/>
  <c r="M47" i="123"/>
  <c r="T47" i="123"/>
  <c r="S47" i="123"/>
  <c r="X47" i="123"/>
  <c r="P47" i="123"/>
  <c r="W47" i="123"/>
  <c r="AB47" i="123"/>
  <c r="U47" i="123"/>
  <c r="Q47" i="123"/>
  <c r="AC47" i="123"/>
  <c r="AE62" i="140"/>
  <c r="V122" i="94"/>
  <c r="O62" i="140"/>
  <c r="L86" i="94"/>
  <c r="Y62" i="140"/>
  <c r="P62" i="140"/>
  <c r="AD62" i="123"/>
  <c r="W62" i="140"/>
  <c r="Q62" i="140"/>
  <c r="H122" i="94"/>
  <c r="S92" i="95"/>
  <c r="R62" i="140"/>
  <c r="I122" i="94"/>
  <c r="AC62" i="140"/>
  <c r="M92" i="95"/>
  <c r="K122" i="94"/>
  <c r="T62" i="140"/>
  <c r="J86" i="94"/>
  <c r="Z62" i="140"/>
  <c r="AA62" i="140"/>
  <c r="R122" i="94"/>
  <c r="H86" i="94"/>
  <c r="U62" i="140"/>
  <c r="L122" i="94"/>
  <c r="O92" i="95"/>
  <c r="Q92" i="95"/>
  <c r="A55" i="93"/>
  <c r="A23" i="93"/>
  <c r="A22" i="93"/>
  <c r="A88" i="93"/>
  <c r="A91" i="93"/>
  <c r="A93" i="93"/>
  <c r="A94" i="93"/>
  <c r="A90" i="93"/>
  <c r="A104" i="93"/>
  <c r="A102" i="93"/>
  <c r="A82" i="93"/>
  <c r="A83" i="93"/>
  <c r="A84" i="93"/>
  <c r="A81" i="93"/>
  <c r="A78" i="93"/>
  <c r="A77" i="93"/>
  <c r="A76" i="93"/>
  <c r="A72" i="93"/>
  <c r="F37" i="93"/>
  <c r="G37" i="93"/>
  <c r="H37" i="93"/>
  <c r="I37" i="93"/>
  <c r="J37" i="93"/>
  <c r="K37" i="93"/>
  <c r="L37" i="93"/>
  <c r="M37" i="93"/>
  <c r="N37" i="93"/>
  <c r="O37" i="93"/>
  <c r="P37" i="93"/>
  <c r="Q37" i="93"/>
  <c r="R37" i="93"/>
  <c r="S37" i="93"/>
  <c r="T37" i="93"/>
  <c r="U37" i="93"/>
  <c r="V37" i="93"/>
  <c r="W37" i="93"/>
  <c r="X37" i="93"/>
  <c r="E37" i="93"/>
  <c r="F29" i="93"/>
  <c r="G29" i="93"/>
  <c r="H29" i="93"/>
  <c r="I29" i="93"/>
  <c r="J29" i="93"/>
  <c r="K29" i="93"/>
  <c r="L29" i="93"/>
  <c r="M29" i="93"/>
  <c r="N29" i="93"/>
  <c r="O29" i="93"/>
  <c r="P29" i="93"/>
  <c r="Q29" i="93"/>
  <c r="R29" i="93"/>
  <c r="S29" i="93"/>
  <c r="T29" i="93"/>
  <c r="U29" i="93"/>
  <c r="V29" i="93"/>
  <c r="W29" i="93"/>
  <c r="X29" i="93"/>
  <c r="E30" i="93"/>
  <c r="L47" i="123"/>
  <c r="V47" i="123"/>
  <c r="C77" i="95"/>
  <c r="E42" i="120"/>
  <c r="E42" i="119"/>
  <c r="E42" i="118"/>
  <c r="E42" i="117"/>
  <c r="N77" i="95"/>
  <c r="P42" i="120"/>
  <c r="W47" i="139"/>
  <c r="P42" i="119"/>
  <c r="P42" i="118"/>
  <c r="P42" i="117"/>
  <c r="E77" i="95"/>
  <c r="G42" i="120"/>
  <c r="G42" i="119"/>
  <c r="G42" i="118"/>
  <c r="G42" i="117"/>
  <c r="H77" i="95"/>
  <c r="J42" i="120"/>
  <c r="J42" i="118"/>
  <c r="J42" i="119"/>
  <c r="Q47" i="138"/>
  <c r="J42" i="117"/>
  <c r="O77" i="95"/>
  <c r="Q42" i="120"/>
  <c r="Q42" i="119"/>
  <c r="Q42" i="118"/>
  <c r="Q42" i="117"/>
  <c r="S51" i="95"/>
  <c r="U42" i="112"/>
  <c r="P51" i="95"/>
  <c r="R42" i="112"/>
  <c r="E51" i="95"/>
  <c r="G42" i="112"/>
  <c r="U51" i="95"/>
  <c r="W42" i="112"/>
  <c r="N51" i="95"/>
  <c r="P42" i="112"/>
  <c r="W47" i="132"/>
  <c r="W47" i="130"/>
  <c r="C38" i="95"/>
  <c r="E42" i="115"/>
  <c r="E42" i="113"/>
  <c r="E42" i="116"/>
  <c r="E42" i="114"/>
  <c r="L38" i="95"/>
  <c r="N42" i="116"/>
  <c r="N42" i="115"/>
  <c r="N42" i="113"/>
  <c r="N42" i="114"/>
  <c r="E38" i="95"/>
  <c r="G42" i="116"/>
  <c r="G42" i="115"/>
  <c r="G42" i="114"/>
  <c r="G42" i="113"/>
  <c r="U38" i="95"/>
  <c r="W42" i="116"/>
  <c r="W42" i="115"/>
  <c r="W42" i="114"/>
  <c r="W42" i="113"/>
  <c r="J38" i="95"/>
  <c r="L42" i="116"/>
  <c r="L42" i="115"/>
  <c r="S47" i="126"/>
  <c r="L42" i="114"/>
  <c r="S47" i="125"/>
  <c r="L42" i="113"/>
  <c r="G12" i="95"/>
  <c r="P47" i="122"/>
  <c r="P49" i="122"/>
  <c r="L12" i="95"/>
  <c r="U47" i="122"/>
  <c r="U49" i="122"/>
  <c r="K12" i="95"/>
  <c r="T47" i="122"/>
  <c r="T49" i="122"/>
  <c r="M12" i="95"/>
  <c r="V47" i="122"/>
  <c r="V49" i="122"/>
  <c r="J12" i="95"/>
  <c r="S47" i="122"/>
  <c r="S49" i="122"/>
  <c r="L44" i="114"/>
  <c r="Y47" i="123"/>
  <c r="S77" i="95"/>
  <c r="U42" i="120"/>
  <c r="U42" i="119"/>
  <c r="U42" i="118"/>
  <c r="U42" i="117"/>
  <c r="G77" i="95"/>
  <c r="I42" i="120"/>
  <c r="I42" i="119"/>
  <c r="I42" i="118"/>
  <c r="I42" i="117"/>
  <c r="U77" i="95"/>
  <c r="W42" i="120"/>
  <c r="W42" i="119"/>
  <c r="W42" i="118"/>
  <c r="W42" i="117"/>
  <c r="I77" i="95"/>
  <c r="K42" i="120"/>
  <c r="K42" i="119"/>
  <c r="K42" i="118"/>
  <c r="K42" i="117"/>
  <c r="L77" i="95"/>
  <c r="N42" i="119"/>
  <c r="N42" i="117"/>
  <c r="N42" i="120"/>
  <c r="N42" i="118"/>
  <c r="D51" i="95"/>
  <c r="F42" i="112"/>
  <c r="T51" i="95"/>
  <c r="V42" i="112"/>
  <c r="I51" i="95"/>
  <c r="K42" i="112"/>
  <c r="C51" i="95"/>
  <c r="E42" i="112"/>
  <c r="R51" i="95"/>
  <c r="T42" i="112"/>
  <c r="AA47" i="128"/>
  <c r="O38" i="95"/>
  <c r="Q42" i="116"/>
  <c r="Q42" i="115"/>
  <c r="Q42" i="114"/>
  <c r="Q42" i="113"/>
  <c r="P38" i="95"/>
  <c r="R42" i="116"/>
  <c r="R42" i="115"/>
  <c r="R42" i="113"/>
  <c r="R42" i="114"/>
  <c r="I38" i="95"/>
  <c r="K42" i="115"/>
  <c r="K42" i="114"/>
  <c r="K42" i="113"/>
  <c r="K42" i="116"/>
  <c r="G38" i="95"/>
  <c r="I42" i="116"/>
  <c r="I42" i="115"/>
  <c r="I42" i="114"/>
  <c r="I42" i="113"/>
  <c r="N38" i="95"/>
  <c r="P42" i="116"/>
  <c r="W47" i="127"/>
  <c r="P42" i="115"/>
  <c r="P42" i="114"/>
  <c r="W47" i="125"/>
  <c r="P42" i="113"/>
  <c r="O12" i="95"/>
  <c r="X47" i="122"/>
  <c r="X49" i="122"/>
  <c r="P12" i="95"/>
  <c r="Y47" i="122"/>
  <c r="Y49" i="122"/>
  <c r="S12" i="95"/>
  <c r="AB47" i="122"/>
  <c r="AB49" i="122"/>
  <c r="Q12" i="95"/>
  <c r="Z47" i="122"/>
  <c r="Z49" i="122"/>
  <c r="N12" i="95"/>
  <c r="W47" i="122"/>
  <c r="W49" i="122"/>
  <c r="M77" i="95"/>
  <c r="O42" i="120"/>
  <c r="O42" i="119"/>
  <c r="O42" i="118"/>
  <c r="O42" i="117"/>
  <c r="P77" i="95"/>
  <c r="R42" i="119"/>
  <c r="R42" i="117"/>
  <c r="Y47" i="136"/>
  <c r="R42" i="120"/>
  <c r="R42" i="118"/>
  <c r="D77" i="95"/>
  <c r="F42" i="120"/>
  <c r="F42" i="118"/>
  <c r="F42" i="119"/>
  <c r="F42" i="117"/>
  <c r="R77" i="95"/>
  <c r="T42" i="120"/>
  <c r="T42" i="119"/>
  <c r="T42" i="118"/>
  <c r="T42" i="117"/>
  <c r="AA47" i="136"/>
  <c r="F77" i="95"/>
  <c r="H42" i="120"/>
  <c r="H42" i="119"/>
  <c r="H42" i="118"/>
  <c r="H42" i="117"/>
  <c r="H51" i="95"/>
  <c r="J42" i="112"/>
  <c r="G51" i="95"/>
  <c r="I42" i="112"/>
  <c r="M51" i="95"/>
  <c r="O42" i="112"/>
  <c r="F51" i="95"/>
  <c r="H42" i="112"/>
  <c r="O47" i="130"/>
  <c r="V51" i="95"/>
  <c r="X42" i="112"/>
  <c r="AE47" i="128"/>
  <c r="D38" i="95"/>
  <c r="F42" i="116"/>
  <c r="F42" i="115"/>
  <c r="F42" i="114"/>
  <c r="F42" i="113"/>
  <c r="T38" i="95"/>
  <c r="V42" i="116"/>
  <c r="V42" i="114"/>
  <c r="V42" i="115"/>
  <c r="V42" i="113"/>
  <c r="M38" i="95"/>
  <c r="O42" i="115"/>
  <c r="O42" i="114"/>
  <c r="O42" i="113"/>
  <c r="O42" i="116"/>
  <c r="S38" i="95"/>
  <c r="U42" i="116"/>
  <c r="U42" i="115"/>
  <c r="U42" i="114"/>
  <c r="U42" i="113"/>
  <c r="R38" i="95"/>
  <c r="T42" i="116"/>
  <c r="T42" i="115"/>
  <c r="T42" i="114"/>
  <c r="T42" i="113"/>
  <c r="D12" i="95"/>
  <c r="M47" i="122"/>
  <c r="M49" i="122"/>
  <c r="T12" i="95"/>
  <c r="AC47" i="122"/>
  <c r="AC49" i="122"/>
  <c r="E12" i="95"/>
  <c r="N47" i="122"/>
  <c r="N49" i="122"/>
  <c r="U12" i="95"/>
  <c r="AD47" i="122"/>
  <c r="AD49" i="122"/>
  <c r="R12" i="95"/>
  <c r="AA47" i="122"/>
  <c r="AA49" i="122"/>
  <c r="P44" i="114"/>
  <c r="P44" i="112"/>
  <c r="P44" i="120"/>
  <c r="W49" i="139"/>
  <c r="J77" i="95"/>
  <c r="L42" i="120"/>
  <c r="L42" i="119"/>
  <c r="L42" i="118"/>
  <c r="L42" i="117"/>
  <c r="Q77" i="95"/>
  <c r="S42" i="120"/>
  <c r="S42" i="119"/>
  <c r="S42" i="118"/>
  <c r="S42" i="117"/>
  <c r="T77" i="95"/>
  <c r="V42" i="120"/>
  <c r="V42" i="118"/>
  <c r="V42" i="119"/>
  <c r="V42" i="117"/>
  <c r="AC47" i="136"/>
  <c r="K77" i="95"/>
  <c r="M42" i="120"/>
  <c r="M42" i="119"/>
  <c r="M42" i="118"/>
  <c r="M42" i="117"/>
  <c r="V77" i="95"/>
  <c r="X42" i="120"/>
  <c r="X42" i="119"/>
  <c r="X42" i="118"/>
  <c r="X42" i="117"/>
  <c r="K51" i="95"/>
  <c r="M42" i="112"/>
  <c r="L51" i="95"/>
  <c r="N42" i="112"/>
  <c r="O51" i="95"/>
  <c r="Q42" i="112"/>
  <c r="Q51" i="95"/>
  <c r="S42" i="112"/>
  <c r="J51" i="95"/>
  <c r="L42" i="112"/>
  <c r="H38" i="95"/>
  <c r="J42" i="116"/>
  <c r="J42" i="115"/>
  <c r="J42" i="114"/>
  <c r="J42" i="113"/>
  <c r="K38" i="95"/>
  <c r="M42" i="116"/>
  <c r="M42" i="115"/>
  <c r="M42" i="114"/>
  <c r="M42" i="113"/>
  <c r="Q38" i="95"/>
  <c r="S42" i="115"/>
  <c r="S42" i="114"/>
  <c r="S42" i="113"/>
  <c r="S42" i="116"/>
  <c r="F38" i="95"/>
  <c r="H42" i="116"/>
  <c r="H42" i="115"/>
  <c r="O47" i="126"/>
  <c r="H42" i="114"/>
  <c r="H42" i="113"/>
  <c r="V38" i="95"/>
  <c r="X42" i="116"/>
  <c r="X42" i="115"/>
  <c r="X42" i="114"/>
  <c r="X42" i="113"/>
  <c r="H12" i="95"/>
  <c r="Q47" i="122"/>
  <c r="Q49" i="122"/>
  <c r="C12" i="95"/>
  <c r="L47" i="122"/>
  <c r="L49" i="122"/>
  <c r="I12" i="95"/>
  <c r="R47" i="122"/>
  <c r="R49" i="122"/>
  <c r="F12" i="95"/>
  <c r="O47" i="122"/>
  <c r="O49" i="122"/>
  <c r="V12" i="95"/>
  <c r="AE47" i="122"/>
  <c r="AE49" i="122"/>
  <c r="R44" i="117"/>
  <c r="Y49" i="136"/>
  <c r="P44" i="116"/>
  <c r="L44" i="115"/>
  <c r="T44" i="117"/>
  <c r="AA49" i="136"/>
  <c r="O64" i="95"/>
  <c r="U47" i="133"/>
  <c r="J64" i="95"/>
  <c r="U49" i="133"/>
  <c r="H64" i="95"/>
  <c r="E64" i="95"/>
  <c r="N47" i="129"/>
  <c r="E42" i="102"/>
  <c r="AE48" i="123"/>
  <c r="W42" i="93"/>
  <c r="AD47" i="140"/>
  <c r="R42" i="93"/>
  <c r="Y47" i="140"/>
  <c r="W57" i="105"/>
  <c r="AD62" i="143"/>
  <c r="AD62" i="142"/>
  <c r="AD62" i="141"/>
  <c r="M32" i="94"/>
  <c r="U86" i="94"/>
  <c r="W57" i="102"/>
  <c r="AD62" i="135"/>
  <c r="AD62" i="134"/>
  <c r="AD62" i="133"/>
  <c r="AD62" i="129"/>
  <c r="O57" i="105"/>
  <c r="V62" i="143"/>
  <c r="V62" i="142"/>
  <c r="V62" i="141"/>
  <c r="K86" i="94"/>
  <c r="M57" i="102"/>
  <c r="T62" i="135"/>
  <c r="T62" i="134"/>
  <c r="T62" i="133"/>
  <c r="T62" i="129"/>
  <c r="U32" i="94"/>
  <c r="V32" i="94"/>
  <c r="M86" i="94"/>
  <c r="O57" i="102"/>
  <c r="V62" i="135"/>
  <c r="V62" i="134"/>
  <c r="V62" i="133"/>
  <c r="V62" i="129"/>
  <c r="G57" i="105"/>
  <c r="N62" i="143"/>
  <c r="N62" i="142"/>
  <c r="N62" i="141"/>
  <c r="O122" i="94"/>
  <c r="Q57" i="105"/>
  <c r="X62" i="143"/>
  <c r="X62" i="141"/>
  <c r="X62" i="142"/>
  <c r="T25" i="95"/>
  <c r="I25" i="95"/>
  <c r="G25" i="95"/>
  <c r="O25" i="95"/>
  <c r="N25" i="95"/>
  <c r="G42" i="102"/>
  <c r="X42" i="102"/>
  <c r="M42" i="102"/>
  <c r="D25" i="95"/>
  <c r="K25" i="95"/>
  <c r="L25" i="95"/>
  <c r="M25" i="95"/>
  <c r="V64" i="95"/>
  <c r="H25" i="95"/>
  <c r="Q64" i="95"/>
  <c r="S42" i="102"/>
  <c r="U64" i="95"/>
  <c r="W42" i="102"/>
  <c r="M64" i="95"/>
  <c r="O42" i="102"/>
  <c r="P25" i="95"/>
  <c r="R64" i="95"/>
  <c r="T42" i="102"/>
  <c r="M42" i="93"/>
  <c r="T47" i="140"/>
  <c r="K64" i="95"/>
  <c r="J25" i="95"/>
  <c r="C64" i="95"/>
  <c r="C25" i="95"/>
  <c r="I64" i="95"/>
  <c r="K42" i="102"/>
  <c r="N64" i="95"/>
  <c r="P42" i="102"/>
  <c r="S25" i="95"/>
  <c r="N42" i="102"/>
  <c r="D64" i="95"/>
  <c r="F42" i="102"/>
  <c r="S64" i="95"/>
  <c r="U42" i="102"/>
  <c r="L64" i="95"/>
  <c r="P64" i="95"/>
  <c r="R42" i="102"/>
  <c r="L42" i="102"/>
  <c r="J42" i="102"/>
  <c r="F64" i="95"/>
  <c r="H42" i="102"/>
  <c r="Q42" i="102"/>
  <c r="K42" i="93"/>
  <c r="R47" i="140"/>
  <c r="S29" i="99"/>
  <c r="R39" i="99"/>
  <c r="Y44" i="133"/>
  <c r="R35" i="99"/>
  <c r="Y40" i="133"/>
  <c r="M29" i="97"/>
  <c r="L39" i="97"/>
  <c r="L35" i="97"/>
  <c r="M35" i="96"/>
  <c r="T40" i="129"/>
  <c r="M39" i="96"/>
  <c r="T44" i="129"/>
  <c r="I42" i="93"/>
  <c r="P47" i="140"/>
  <c r="S42" i="93"/>
  <c r="Z47" i="140"/>
  <c r="H42" i="93"/>
  <c r="O47" i="140"/>
  <c r="AD62" i="140"/>
  <c r="U122" i="94"/>
  <c r="O42" i="93"/>
  <c r="V47" i="140"/>
  <c r="T42" i="93"/>
  <c r="AA47" i="140"/>
  <c r="N42" i="93"/>
  <c r="U47" i="140"/>
  <c r="U42" i="93"/>
  <c r="AB47" i="140"/>
  <c r="V62" i="140"/>
  <c r="M122" i="94"/>
  <c r="E42" i="93"/>
  <c r="X42" i="93"/>
  <c r="AE47" i="140"/>
  <c r="G42" i="93"/>
  <c r="N47" i="140"/>
  <c r="L42" i="93"/>
  <c r="S47" i="140"/>
  <c r="J42" i="93"/>
  <c r="Q47" i="140"/>
  <c r="Q42" i="93"/>
  <c r="X47" i="140"/>
  <c r="N62" i="140"/>
  <c r="X44" i="120"/>
  <c r="AE49" i="139"/>
  <c r="AE47" i="139"/>
  <c r="F44" i="120"/>
  <c r="M49" i="139"/>
  <c r="M47" i="139"/>
  <c r="I44" i="120"/>
  <c r="P49" i="139"/>
  <c r="P47" i="139"/>
  <c r="M44" i="120"/>
  <c r="T49" i="139"/>
  <c r="T47" i="139"/>
  <c r="U44" i="120"/>
  <c r="AB49" i="139"/>
  <c r="AB47" i="139"/>
  <c r="L44" i="120"/>
  <c r="S49" i="139"/>
  <c r="S47" i="139"/>
  <c r="V44" i="120"/>
  <c r="AC49" i="139"/>
  <c r="AC47" i="139"/>
  <c r="H44" i="120"/>
  <c r="O49" i="139"/>
  <c r="O47" i="139"/>
  <c r="O44" i="120"/>
  <c r="V49" i="139"/>
  <c r="V47" i="139"/>
  <c r="K44" i="120"/>
  <c r="R49" i="139"/>
  <c r="R47" i="139"/>
  <c r="Q44" i="120"/>
  <c r="X49" i="139"/>
  <c r="X47" i="139"/>
  <c r="E44" i="120"/>
  <c r="L49" i="139"/>
  <c r="L47" i="139"/>
  <c r="G44" i="120"/>
  <c r="N49" i="139"/>
  <c r="N47" i="139"/>
  <c r="S44" i="120"/>
  <c r="Z49" i="139"/>
  <c r="Z47" i="139"/>
  <c r="T44" i="120"/>
  <c r="AA49" i="139"/>
  <c r="AA47" i="139"/>
  <c r="R44" i="120"/>
  <c r="Y49" i="139"/>
  <c r="Y47" i="139"/>
  <c r="N44" i="120"/>
  <c r="U49" i="139"/>
  <c r="U47" i="139"/>
  <c r="W44" i="120"/>
  <c r="AD49" i="139"/>
  <c r="AD47" i="139"/>
  <c r="J44" i="120"/>
  <c r="Q49" i="139"/>
  <c r="Q47" i="139"/>
  <c r="H44" i="119"/>
  <c r="O49" i="138"/>
  <c r="O47" i="138"/>
  <c r="O44" i="119"/>
  <c r="V49" i="138"/>
  <c r="V47" i="138"/>
  <c r="P44" i="119"/>
  <c r="W49" i="138"/>
  <c r="W47" i="138"/>
  <c r="T44" i="119"/>
  <c r="AA49" i="138"/>
  <c r="AA47" i="138"/>
  <c r="N44" i="119"/>
  <c r="U49" i="138"/>
  <c r="U47" i="138"/>
  <c r="X44" i="119"/>
  <c r="AE49" i="138"/>
  <c r="AE47" i="138"/>
  <c r="L44" i="119"/>
  <c r="S49" i="138"/>
  <c r="S47" i="138"/>
  <c r="W44" i="119"/>
  <c r="AD49" i="138"/>
  <c r="AD47" i="138"/>
  <c r="R44" i="119"/>
  <c r="Y49" i="138"/>
  <c r="Y47" i="138"/>
  <c r="U44" i="119"/>
  <c r="AB49" i="138"/>
  <c r="AB47" i="138"/>
  <c r="S44" i="119"/>
  <c r="Z49" i="138"/>
  <c r="Z47" i="138"/>
  <c r="F44" i="119"/>
  <c r="M49" i="138"/>
  <c r="M47" i="138"/>
  <c r="K44" i="119"/>
  <c r="R49" i="138"/>
  <c r="R47" i="138"/>
  <c r="Q44" i="119"/>
  <c r="X49" i="138"/>
  <c r="X47" i="138"/>
  <c r="E44" i="119"/>
  <c r="L49" i="138"/>
  <c r="L47" i="138"/>
  <c r="M44" i="119"/>
  <c r="T49" i="138"/>
  <c r="T47" i="138"/>
  <c r="V44" i="119"/>
  <c r="AC49" i="138"/>
  <c r="AC47" i="138"/>
  <c r="J44" i="119"/>
  <c r="Q49" i="138"/>
  <c r="I44" i="119"/>
  <c r="P49" i="138"/>
  <c r="P47" i="138"/>
  <c r="G44" i="119"/>
  <c r="N49" i="138"/>
  <c r="N47" i="138"/>
  <c r="H44" i="115"/>
  <c r="E44" i="93"/>
  <c r="L49" i="140"/>
  <c r="L47" i="140"/>
  <c r="M49" i="123"/>
  <c r="P48" i="123"/>
  <c r="AB49" i="123"/>
  <c r="T49" i="123"/>
  <c r="V49" i="123"/>
  <c r="W49" i="123"/>
  <c r="Y48" i="123"/>
  <c r="R47" i="123"/>
  <c r="S49" i="123"/>
  <c r="X49" i="123"/>
  <c r="Q49" i="123"/>
  <c r="AC49" i="123"/>
  <c r="U49" i="123"/>
  <c r="L49" i="123"/>
  <c r="O44" i="113"/>
  <c r="V47" i="124"/>
  <c r="P44" i="113"/>
  <c r="W47" i="124"/>
  <c r="Q44" i="113"/>
  <c r="X47" i="124"/>
  <c r="T44" i="113"/>
  <c r="AA47" i="124"/>
  <c r="I44" i="113"/>
  <c r="P47" i="124"/>
  <c r="L44" i="113"/>
  <c r="S47" i="124"/>
  <c r="S44" i="113"/>
  <c r="Z47" i="124"/>
  <c r="M44" i="113"/>
  <c r="T47" i="124"/>
  <c r="U44" i="113"/>
  <c r="AB47" i="124"/>
  <c r="W44" i="113"/>
  <c r="AD47" i="124"/>
  <c r="H44" i="113"/>
  <c r="O47" i="124"/>
  <c r="V44" i="113"/>
  <c r="AC47" i="124"/>
  <c r="R44" i="113"/>
  <c r="Y47" i="124"/>
  <c r="F44" i="113"/>
  <c r="M47" i="124"/>
  <c r="N44" i="113"/>
  <c r="U47" i="124"/>
  <c r="X44" i="113"/>
  <c r="AE47" i="124"/>
  <c r="J44" i="113"/>
  <c r="Q47" i="124"/>
  <c r="K44" i="113"/>
  <c r="R47" i="124"/>
  <c r="G44" i="113"/>
  <c r="N47" i="124"/>
  <c r="E44" i="113"/>
  <c r="L47" i="124"/>
  <c r="H44" i="114"/>
  <c r="O47" i="125"/>
  <c r="P98" i="114"/>
  <c r="W49" i="125"/>
  <c r="O44" i="114"/>
  <c r="V47" i="125"/>
  <c r="Q44" i="114"/>
  <c r="X47" i="125"/>
  <c r="L98" i="114"/>
  <c r="S49" i="125"/>
  <c r="E44" i="114"/>
  <c r="L47" i="125"/>
  <c r="J44" i="114"/>
  <c r="Q47" i="125"/>
  <c r="G44" i="114"/>
  <c r="N47" i="125"/>
  <c r="T44" i="114"/>
  <c r="AA47" i="125"/>
  <c r="V44" i="114"/>
  <c r="AC47" i="125"/>
  <c r="F44" i="114"/>
  <c r="M47" i="125"/>
  <c r="I44" i="114"/>
  <c r="P47" i="125"/>
  <c r="X44" i="114"/>
  <c r="AE47" i="125"/>
  <c r="K44" i="114"/>
  <c r="R47" i="125"/>
  <c r="N44" i="114"/>
  <c r="U47" i="125"/>
  <c r="S44" i="114"/>
  <c r="Z47" i="125"/>
  <c r="M44" i="114"/>
  <c r="T47" i="125"/>
  <c r="U44" i="114"/>
  <c r="AB47" i="125"/>
  <c r="R44" i="114"/>
  <c r="Y47" i="125"/>
  <c r="W44" i="114"/>
  <c r="AD47" i="125"/>
  <c r="H98" i="115"/>
  <c r="O49" i="126"/>
  <c r="O44" i="115"/>
  <c r="V47" i="126"/>
  <c r="P44" i="115"/>
  <c r="W47" i="126"/>
  <c r="Q44" i="115"/>
  <c r="X47" i="126"/>
  <c r="N44" i="115"/>
  <c r="U47" i="126"/>
  <c r="L98" i="115"/>
  <c r="S49" i="126"/>
  <c r="T44" i="115"/>
  <c r="AA47" i="126"/>
  <c r="F44" i="115"/>
  <c r="M47" i="126"/>
  <c r="I44" i="115"/>
  <c r="P47" i="126"/>
  <c r="S44" i="115"/>
  <c r="Z47" i="126"/>
  <c r="M44" i="115"/>
  <c r="T47" i="126"/>
  <c r="U44" i="115"/>
  <c r="AB47" i="126"/>
  <c r="W44" i="115"/>
  <c r="AD47" i="126"/>
  <c r="E44" i="115"/>
  <c r="L47" i="126"/>
  <c r="X44" i="115"/>
  <c r="AE47" i="126"/>
  <c r="J44" i="115"/>
  <c r="Q47" i="126"/>
  <c r="V44" i="115"/>
  <c r="AC47" i="126"/>
  <c r="K44" i="115"/>
  <c r="R47" i="126"/>
  <c r="R44" i="115"/>
  <c r="Y47" i="126"/>
  <c r="G44" i="115"/>
  <c r="N47" i="126"/>
  <c r="S44" i="116"/>
  <c r="Z47" i="127"/>
  <c r="M44" i="116"/>
  <c r="T47" i="127"/>
  <c r="U44" i="116"/>
  <c r="AB47" i="127"/>
  <c r="W44" i="116"/>
  <c r="AD47" i="127"/>
  <c r="T44" i="116"/>
  <c r="AA47" i="127"/>
  <c r="L44" i="116"/>
  <c r="S47" i="127"/>
  <c r="X44" i="116"/>
  <c r="AE47" i="127"/>
  <c r="J44" i="116"/>
  <c r="Q47" i="127"/>
  <c r="K44" i="116"/>
  <c r="R47" i="127"/>
  <c r="R44" i="116"/>
  <c r="Y47" i="127"/>
  <c r="G44" i="116"/>
  <c r="N47" i="127"/>
  <c r="E44" i="116"/>
  <c r="L47" i="127"/>
  <c r="P98" i="116"/>
  <c r="W49" i="127"/>
  <c r="F44" i="116"/>
  <c r="M47" i="127"/>
  <c r="I44" i="116"/>
  <c r="P47" i="127"/>
  <c r="H44" i="116"/>
  <c r="O47" i="127"/>
  <c r="O44" i="116"/>
  <c r="V47" i="127"/>
  <c r="V44" i="116"/>
  <c r="AC47" i="127"/>
  <c r="Q44" i="116"/>
  <c r="X47" i="127"/>
  <c r="N44" i="116"/>
  <c r="U47" i="127"/>
  <c r="S47" i="128"/>
  <c r="AE49" i="128"/>
  <c r="P47" i="128"/>
  <c r="M47" i="128"/>
  <c r="Y47" i="128"/>
  <c r="X47" i="128"/>
  <c r="V47" i="128"/>
  <c r="Q47" i="128"/>
  <c r="L47" i="128"/>
  <c r="W47" i="128"/>
  <c r="AB47" i="128"/>
  <c r="T47" i="128"/>
  <c r="AC47" i="128"/>
  <c r="N47" i="128"/>
  <c r="AA49" i="128"/>
  <c r="Z47" i="128"/>
  <c r="U47" i="128"/>
  <c r="O47" i="128"/>
  <c r="R47" i="128"/>
  <c r="AD47" i="128"/>
  <c r="Z47" i="130"/>
  <c r="R47" i="130"/>
  <c r="AC47" i="130"/>
  <c r="X47" i="130"/>
  <c r="P47" i="130"/>
  <c r="AA47" i="130"/>
  <c r="M47" i="130"/>
  <c r="AD47" i="130"/>
  <c r="U47" i="130"/>
  <c r="AE47" i="130"/>
  <c r="Q47" i="130"/>
  <c r="L47" i="130"/>
  <c r="N47" i="130"/>
  <c r="Y47" i="130"/>
  <c r="S47" i="130"/>
  <c r="T47" i="130"/>
  <c r="V47" i="130"/>
  <c r="AB47" i="130"/>
  <c r="S47" i="131"/>
  <c r="AC47" i="131"/>
  <c r="N47" i="131"/>
  <c r="T47" i="131"/>
  <c r="AD47" i="131"/>
  <c r="Z47" i="131"/>
  <c r="X47" i="131"/>
  <c r="V47" i="131"/>
  <c r="P47" i="131"/>
  <c r="AA47" i="131"/>
  <c r="M47" i="131"/>
  <c r="O47" i="131"/>
  <c r="W47" i="131"/>
  <c r="AB47" i="131"/>
  <c r="U47" i="131"/>
  <c r="AE47" i="131"/>
  <c r="Q47" i="131"/>
  <c r="L47" i="131"/>
  <c r="R47" i="131"/>
  <c r="Y47" i="131"/>
  <c r="O44" i="112"/>
  <c r="V47" i="132"/>
  <c r="E44" i="112"/>
  <c r="L47" i="132"/>
  <c r="R44" i="112"/>
  <c r="Y47" i="132"/>
  <c r="L44" i="112"/>
  <c r="S47" i="132"/>
  <c r="M44" i="112"/>
  <c r="T47" i="132"/>
  <c r="H44" i="112"/>
  <c r="O47" i="132"/>
  <c r="K44" i="112"/>
  <c r="R47" i="132"/>
  <c r="U44" i="112"/>
  <c r="AB47" i="132"/>
  <c r="X44" i="112"/>
  <c r="AE47" i="132"/>
  <c r="J44" i="112"/>
  <c r="Q47" i="132"/>
  <c r="P98" i="112"/>
  <c r="W49" i="132"/>
  <c r="V44" i="112"/>
  <c r="AC47" i="132"/>
  <c r="W44" i="112"/>
  <c r="AD47" i="132"/>
  <c r="N44" i="112"/>
  <c r="U47" i="132"/>
  <c r="S44" i="112"/>
  <c r="Z47" i="132"/>
  <c r="Q44" i="112"/>
  <c r="X47" i="132"/>
  <c r="I44" i="112"/>
  <c r="P47" i="132"/>
  <c r="T44" i="112"/>
  <c r="AA47" i="132"/>
  <c r="F44" i="112"/>
  <c r="M47" i="132"/>
  <c r="G44" i="112"/>
  <c r="N47" i="132"/>
  <c r="W49" i="129"/>
  <c r="W47" i="129"/>
  <c r="AD49" i="129"/>
  <c r="AD47" i="129"/>
  <c r="U49" i="129"/>
  <c r="U47" i="129"/>
  <c r="M49" i="129"/>
  <c r="M47" i="129"/>
  <c r="Q47" i="129"/>
  <c r="AE49" i="129"/>
  <c r="AE47" i="129"/>
  <c r="X47" i="129"/>
  <c r="N49" i="129"/>
  <c r="AB49" i="129"/>
  <c r="AB47" i="129"/>
  <c r="S47" i="129"/>
  <c r="L49" i="129"/>
  <c r="L47" i="129"/>
  <c r="O49" i="129"/>
  <c r="O47" i="129"/>
  <c r="R49" i="129"/>
  <c r="R47" i="129"/>
  <c r="AA49" i="129"/>
  <c r="AA47" i="129"/>
  <c r="Z49" i="129"/>
  <c r="Z47" i="129"/>
  <c r="V49" i="129"/>
  <c r="V47" i="129"/>
  <c r="Y49" i="129"/>
  <c r="Y47" i="129"/>
  <c r="T49" i="129"/>
  <c r="T47" i="129"/>
  <c r="N47" i="133"/>
  <c r="T49" i="133"/>
  <c r="T47" i="133"/>
  <c r="AB49" i="133"/>
  <c r="AB47" i="133"/>
  <c r="AD49" i="133"/>
  <c r="AD47" i="133"/>
  <c r="Y49" i="133"/>
  <c r="Y47" i="133"/>
  <c r="M49" i="133"/>
  <c r="M47" i="133"/>
  <c r="AE49" i="133"/>
  <c r="AE47" i="133"/>
  <c r="X47" i="133"/>
  <c r="Q47" i="133"/>
  <c r="L49" i="133"/>
  <c r="L47" i="133"/>
  <c r="W49" i="133"/>
  <c r="W47" i="133"/>
  <c r="S47" i="133"/>
  <c r="O49" i="133"/>
  <c r="O47" i="133"/>
  <c r="R49" i="133"/>
  <c r="R47" i="133"/>
  <c r="AA49" i="133"/>
  <c r="AA47" i="133"/>
  <c r="Z49" i="133"/>
  <c r="Z47" i="133"/>
  <c r="V49" i="133"/>
  <c r="V47" i="133"/>
  <c r="S47" i="134"/>
  <c r="M49" i="134"/>
  <c r="M47" i="134"/>
  <c r="Z49" i="134"/>
  <c r="Z47" i="134"/>
  <c r="L49" i="134"/>
  <c r="L47" i="134"/>
  <c r="N47" i="134"/>
  <c r="AB49" i="134"/>
  <c r="AB47" i="134"/>
  <c r="W49" i="134"/>
  <c r="W47" i="134"/>
  <c r="R49" i="134"/>
  <c r="R47" i="134"/>
  <c r="AA49" i="134"/>
  <c r="AA47" i="134"/>
  <c r="AD49" i="134"/>
  <c r="AD47" i="134"/>
  <c r="X47" i="134"/>
  <c r="T49" i="134"/>
  <c r="T47" i="134"/>
  <c r="O49" i="134"/>
  <c r="O47" i="134"/>
  <c r="Q47" i="134"/>
  <c r="Y49" i="134"/>
  <c r="Y47" i="134"/>
  <c r="U49" i="134"/>
  <c r="U47" i="134"/>
  <c r="V49" i="134"/>
  <c r="V47" i="134"/>
  <c r="AE49" i="134"/>
  <c r="AE47" i="134"/>
  <c r="H44" i="102"/>
  <c r="O49" i="135"/>
  <c r="O47" i="135"/>
  <c r="X44" i="102"/>
  <c r="AE49" i="135"/>
  <c r="AE47" i="135"/>
  <c r="L44" i="102"/>
  <c r="S47" i="135"/>
  <c r="K44" i="102"/>
  <c r="R49" i="135"/>
  <c r="R47" i="135"/>
  <c r="W44" i="102"/>
  <c r="AD49" i="135"/>
  <c r="AD47" i="135"/>
  <c r="S44" i="102"/>
  <c r="Z49" i="135"/>
  <c r="Z47" i="135"/>
  <c r="Q44" i="102"/>
  <c r="X47" i="135"/>
  <c r="J44" i="102"/>
  <c r="Q47" i="135"/>
  <c r="R44" i="102"/>
  <c r="Y49" i="135"/>
  <c r="Y47" i="135"/>
  <c r="N44" i="102"/>
  <c r="U49" i="135"/>
  <c r="U47" i="135"/>
  <c r="O44" i="102"/>
  <c r="V49" i="135"/>
  <c r="V47" i="135"/>
  <c r="M44" i="102"/>
  <c r="T49" i="135"/>
  <c r="T47" i="135"/>
  <c r="G44" i="102"/>
  <c r="N47" i="135"/>
  <c r="U44" i="102"/>
  <c r="AB49" i="135"/>
  <c r="AB47" i="135"/>
  <c r="F44" i="102"/>
  <c r="M49" i="135"/>
  <c r="M47" i="135"/>
  <c r="P44" i="102"/>
  <c r="W49" i="135"/>
  <c r="W47" i="135"/>
  <c r="T44" i="102"/>
  <c r="AA49" i="135"/>
  <c r="AA47" i="135"/>
  <c r="E44" i="102"/>
  <c r="L49" i="135"/>
  <c r="L47" i="135"/>
  <c r="V44" i="118"/>
  <c r="AC49" i="137"/>
  <c r="AC47" i="137"/>
  <c r="X44" i="118"/>
  <c r="AE49" i="137"/>
  <c r="AE47" i="137"/>
  <c r="L44" i="118"/>
  <c r="S49" i="137"/>
  <c r="S47" i="137"/>
  <c r="F44" i="118"/>
  <c r="M49" i="137"/>
  <c r="M47" i="137"/>
  <c r="N44" i="118"/>
  <c r="U49" i="137"/>
  <c r="U47" i="137"/>
  <c r="I44" i="118"/>
  <c r="P49" i="137"/>
  <c r="P47" i="137"/>
  <c r="S44" i="118"/>
  <c r="Z49" i="137"/>
  <c r="Z47" i="137"/>
  <c r="R44" i="118"/>
  <c r="Y49" i="137"/>
  <c r="Y47" i="137"/>
  <c r="W44" i="118"/>
  <c r="AD49" i="137"/>
  <c r="AD47" i="137"/>
  <c r="Q44" i="118"/>
  <c r="X49" i="137"/>
  <c r="X47" i="137"/>
  <c r="M44" i="118"/>
  <c r="T49" i="137"/>
  <c r="T47" i="137"/>
  <c r="H44" i="118"/>
  <c r="O49" i="137"/>
  <c r="O47" i="137"/>
  <c r="O44" i="118"/>
  <c r="V49" i="137"/>
  <c r="V47" i="137"/>
  <c r="U44" i="118"/>
  <c r="AB49" i="137"/>
  <c r="AB47" i="137"/>
  <c r="J44" i="118"/>
  <c r="Q49" i="137"/>
  <c r="Q47" i="137"/>
  <c r="G44" i="118"/>
  <c r="N49" i="137"/>
  <c r="N47" i="137"/>
  <c r="E44" i="118"/>
  <c r="L49" i="137"/>
  <c r="L47" i="137"/>
  <c r="T44" i="118"/>
  <c r="AA49" i="137"/>
  <c r="AA47" i="137"/>
  <c r="K44" i="118"/>
  <c r="R49" i="137"/>
  <c r="R47" i="137"/>
  <c r="P44" i="118"/>
  <c r="W49" i="137"/>
  <c r="W47" i="137"/>
  <c r="V44" i="117"/>
  <c r="AC49" i="136"/>
  <c r="X44" i="117"/>
  <c r="AE49" i="136"/>
  <c r="AE47" i="136"/>
  <c r="M44" i="117"/>
  <c r="T49" i="136"/>
  <c r="T47" i="136"/>
  <c r="H44" i="117"/>
  <c r="O49" i="136"/>
  <c r="O47" i="136"/>
  <c r="O44" i="117"/>
  <c r="V49" i="136"/>
  <c r="V47" i="136"/>
  <c r="U44" i="117"/>
  <c r="AB49" i="136"/>
  <c r="AB47" i="136"/>
  <c r="G44" i="117"/>
  <c r="N49" i="136"/>
  <c r="N47" i="136"/>
  <c r="L44" i="117"/>
  <c r="S49" i="136"/>
  <c r="S47" i="136"/>
  <c r="K44" i="117"/>
  <c r="R49" i="136"/>
  <c r="R47" i="136"/>
  <c r="P44" i="117"/>
  <c r="W49" i="136"/>
  <c r="W47" i="136"/>
  <c r="I44" i="117"/>
  <c r="P49" i="136"/>
  <c r="P47" i="136"/>
  <c r="J44" i="117"/>
  <c r="Q49" i="136"/>
  <c r="Q47" i="136"/>
  <c r="S44" i="117"/>
  <c r="Z49" i="136"/>
  <c r="Z47" i="136"/>
  <c r="F44" i="117"/>
  <c r="M49" i="136"/>
  <c r="M47" i="136"/>
  <c r="N44" i="117"/>
  <c r="U49" i="136"/>
  <c r="U47" i="136"/>
  <c r="W44" i="117"/>
  <c r="AD49" i="136"/>
  <c r="AD47" i="136"/>
  <c r="Q44" i="117"/>
  <c r="X49" i="136"/>
  <c r="X47" i="136"/>
  <c r="E44" i="117"/>
  <c r="L49" i="136"/>
  <c r="L47" i="136"/>
  <c r="P42" i="104"/>
  <c r="W47" i="142"/>
  <c r="P42" i="93"/>
  <c r="W47" i="140"/>
  <c r="V42" i="105"/>
  <c r="AC47" i="143"/>
  <c r="V42" i="93"/>
  <c r="AC47" i="140"/>
  <c r="F42" i="105"/>
  <c r="M47" i="143"/>
  <c r="F42" i="93"/>
  <c r="M47" i="140"/>
  <c r="T64" i="95"/>
  <c r="R25" i="95"/>
  <c r="U25" i="95"/>
  <c r="Q25" i="95"/>
  <c r="F25" i="95"/>
  <c r="E25" i="95"/>
  <c r="P42" i="105"/>
  <c r="W47" i="143"/>
  <c r="V42" i="104"/>
  <c r="AC47" i="142"/>
  <c r="P42" i="103"/>
  <c r="W47" i="141"/>
  <c r="G64" i="95"/>
  <c r="I42" i="102"/>
  <c r="V42" i="102"/>
  <c r="W42" i="104"/>
  <c r="AD47" i="142"/>
  <c r="V25" i="95"/>
  <c r="F42" i="104"/>
  <c r="M47" i="142"/>
  <c r="R42" i="103"/>
  <c r="Y47" i="141"/>
  <c r="R42" i="105"/>
  <c r="Y47" i="143"/>
  <c r="R42" i="104"/>
  <c r="Y47" i="142"/>
  <c r="F42" i="103"/>
  <c r="M47" i="141"/>
  <c r="W42" i="103"/>
  <c r="AD47" i="141"/>
  <c r="W42" i="105"/>
  <c r="AD47" i="143"/>
  <c r="V42" i="103"/>
  <c r="AC47" i="141"/>
  <c r="E42" i="104"/>
  <c r="E42" i="105"/>
  <c r="E42" i="103"/>
  <c r="O42" i="105"/>
  <c r="V47" i="143"/>
  <c r="O42" i="104"/>
  <c r="V47" i="142"/>
  <c r="O42" i="103"/>
  <c r="V47" i="141"/>
  <c r="L42" i="104"/>
  <c r="S47" i="142"/>
  <c r="L42" i="103"/>
  <c r="S47" i="141"/>
  <c r="L42" i="105"/>
  <c r="S47" i="143"/>
  <c r="U42" i="104"/>
  <c r="AB47" i="142"/>
  <c r="U42" i="105"/>
  <c r="AB47" i="143"/>
  <c r="U42" i="103"/>
  <c r="AB47" i="141"/>
  <c r="H42" i="104"/>
  <c r="O47" i="142"/>
  <c r="H42" i="103"/>
  <c r="O47" i="141"/>
  <c r="H42" i="105"/>
  <c r="O47" i="143"/>
  <c r="R98" i="102"/>
  <c r="P98" i="102"/>
  <c r="M98" i="102"/>
  <c r="W98" i="102"/>
  <c r="X98" i="102"/>
  <c r="I42" i="104"/>
  <c r="P47" i="142"/>
  <c r="I42" i="105"/>
  <c r="P47" i="143"/>
  <c r="I42" i="103"/>
  <c r="P47" i="141"/>
  <c r="H98" i="102"/>
  <c r="N42" i="104"/>
  <c r="U47" i="142"/>
  <c r="N42" i="105"/>
  <c r="U47" i="143"/>
  <c r="N42" i="103"/>
  <c r="U47" i="141"/>
  <c r="N98" i="102"/>
  <c r="F98" i="102"/>
  <c r="K98" i="102"/>
  <c r="E98" i="102"/>
  <c r="M42" i="104"/>
  <c r="T47" i="142"/>
  <c r="M42" i="105"/>
  <c r="T47" i="143"/>
  <c r="M42" i="103"/>
  <c r="T47" i="141"/>
  <c r="S98" i="102"/>
  <c r="J42" i="104"/>
  <c r="Q47" i="142"/>
  <c r="J42" i="105"/>
  <c r="Q47" i="143"/>
  <c r="J42" i="103"/>
  <c r="Q47" i="141"/>
  <c r="O98" i="102"/>
  <c r="G42" i="105"/>
  <c r="N47" i="143"/>
  <c r="G42" i="103"/>
  <c r="N47" i="141"/>
  <c r="G42" i="104"/>
  <c r="N47" i="142"/>
  <c r="Q42" i="104"/>
  <c r="X47" i="142"/>
  <c r="Q42" i="105"/>
  <c r="X47" i="143"/>
  <c r="Q42" i="103"/>
  <c r="X47" i="141"/>
  <c r="X42" i="104"/>
  <c r="AE47" i="142"/>
  <c r="X42" i="103"/>
  <c r="AE47" i="141"/>
  <c r="X42" i="105"/>
  <c r="AE47" i="143"/>
  <c r="T42" i="104"/>
  <c r="AA47" i="142"/>
  <c r="T42" i="103"/>
  <c r="AA47" i="141"/>
  <c r="T42" i="105"/>
  <c r="AA47" i="143"/>
  <c r="S42" i="105"/>
  <c r="Z47" i="143"/>
  <c r="S42" i="104"/>
  <c r="Z47" i="142"/>
  <c r="S42" i="103"/>
  <c r="Z47" i="141"/>
  <c r="K42" i="105"/>
  <c r="R47" i="143"/>
  <c r="K42" i="103"/>
  <c r="R47" i="141"/>
  <c r="K42" i="104"/>
  <c r="R47" i="142"/>
  <c r="U98" i="102"/>
  <c r="T98" i="102"/>
  <c r="S39" i="99"/>
  <c r="Z44" i="133"/>
  <c r="T29" i="99"/>
  <c r="S35" i="99"/>
  <c r="Z40" i="133"/>
  <c r="N29" i="97"/>
  <c r="M35" i="97"/>
  <c r="M39" i="97"/>
  <c r="N39" i="96"/>
  <c r="U44" i="129"/>
  <c r="N35" i="96"/>
  <c r="U40" i="129"/>
  <c r="M23" i="140"/>
  <c r="N23" i="140"/>
  <c r="O23" i="140"/>
  <c r="P23" i="140"/>
  <c r="Q23" i="140"/>
  <c r="R23" i="140"/>
  <c r="S23" i="140"/>
  <c r="T23" i="140"/>
  <c r="U23" i="140"/>
  <c r="V23" i="140"/>
  <c r="W23" i="140"/>
  <c r="X23" i="140"/>
  <c r="Y23" i="140"/>
  <c r="Z23" i="140"/>
  <c r="AA23" i="140"/>
  <c r="AB23" i="140"/>
  <c r="AC23" i="140"/>
  <c r="AD23" i="140"/>
  <c r="AE23" i="140"/>
  <c r="M24" i="140"/>
  <c r="N24" i="140"/>
  <c r="O24" i="140"/>
  <c r="P24" i="140"/>
  <c r="Q24" i="140"/>
  <c r="R24" i="140"/>
  <c r="S24" i="140"/>
  <c r="T24" i="140"/>
  <c r="U24" i="140"/>
  <c r="V24" i="140"/>
  <c r="W24" i="140"/>
  <c r="X24" i="140"/>
  <c r="Y24" i="140"/>
  <c r="Z24" i="140"/>
  <c r="AA24" i="140"/>
  <c r="AB24" i="140"/>
  <c r="AC24" i="140"/>
  <c r="AD24" i="140"/>
  <c r="AE24" i="140"/>
  <c r="M25" i="140"/>
  <c r="N25" i="140"/>
  <c r="O25" i="140"/>
  <c r="P25" i="140"/>
  <c r="Q25" i="140"/>
  <c r="R25" i="140"/>
  <c r="S25" i="140"/>
  <c r="T25" i="140"/>
  <c r="U25" i="140"/>
  <c r="V25" i="140"/>
  <c r="W25" i="140"/>
  <c r="X25" i="140"/>
  <c r="Y25" i="140"/>
  <c r="Z25" i="140"/>
  <c r="AA25" i="140"/>
  <c r="AB25" i="140"/>
  <c r="AC25" i="140"/>
  <c r="AD25" i="140"/>
  <c r="AE25" i="140"/>
  <c r="L24" i="140"/>
  <c r="L23" i="140"/>
  <c r="D19" i="93"/>
  <c r="K24" i="140"/>
  <c r="D20" i="93"/>
  <c r="K25" i="140"/>
  <c r="D18" i="93"/>
  <c r="K23" i="140"/>
  <c r="A19" i="93"/>
  <c r="A20" i="93"/>
  <c r="A18" i="93"/>
  <c r="E7" i="93"/>
  <c r="F7" i="93"/>
  <c r="G7" i="93"/>
  <c r="H7" i="93"/>
  <c r="I7" i="93"/>
  <c r="J7" i="93"/>
  <c r="K7" i="93"/>
  <c r="L7" i="93"/>
  <c r="M7" i="93"/>
  <c r="N7" i="93"/>
  <c r="O7" i="93"/>
  <c r="P7" i="93"/>
  <c r="Q7" i="93"/>
  <c r="R7" i="93"/>
  <c r="S7" i="93"/>
  <c r="D7" i="93"/>
  <c r="D13" i="93"/>
  <c r="K18" i="140"/>
  <c r="D14" i="93"/>
  <c r="K19" i="140"/>
  <c r="D12" i="93"/>
  <c r="K17" i="140"/>
  <c r="A13" i="93"/>
  <c r="A14" i="93"/>
  <c r="A12" i="93"/>
  <c r="E44" i="105"/>
  <c r="L49" i="143"/>
  <c r="L47" i="143"/>
  <c r="E44" i="104"/>
  <c r="L49" i="142"/>
  <c r="L47" i="142"/>
  <c r="E44" i="103"/>
  <c r="L49" i="141"/>
  <c r="L47" i="141"/>
  <c r="L25" i="140"/>
  <c r="AD47" i="123"/>
  <c r="R49" i="123"/>
  <c r="P49" i="123"/>
  <c r="AE47" i="123"/>
  <c r="Z47" i="123"/>
  <c r="AA47" i="123"/>
  <c r="O47" i="123"/>
  <c r="N47" i="123"/>
  <c r="Y49" i="123"/>
  <c r="E98" i="113"/>
  <c r="L49" i="124"/>
  <c r="F98" i="113"/>
  <c r="M49" i="124"/>
  <c r="P98" i="113"/>
  <c r="W49" i="124"/>
  <c r="K98" i="113"/>
  <c r="R49" i="124"/>
  <c r="X98" i="113"/>
  <c r="AE49" i="124"/>
  <c r="V98" i="113"/>
  <c r="AC49" i="124"/>
  <c r="W98" i="113"/>
  <c r="AD49" i="124"/>
  <c r="M98" i="113"/>
  <c r="T49" i="124"/>
  <c r="L98" i="113"/>
  <c r="S49" i="124"/>
  <c r="T98" i="113"/>
  <c r="AA49" i="124"/>
  <c r="G98" i="113"/>
  <c r="N49" i="124"/>
  <c r="J98" i="113"/>
  <c r="Q49" i="124"/>
  <c r="N98" i="113"/>
  <c r="U49" i="124"/>
  <c r="R98" i="113"/>
  <c r="Y49" i="124"/>
  <c r="H98" i="113"/>
  <c r="O49" i="124"/>
  <c r="U98" i="113"/>
  <c r="AB49" i="124"/>
  <c r="S98" i="113"/>
  <c r="Z49" i="124"/>
  <c r="I98" i="113"/>
  <c r="P49" i="124"/>
  <c r="Q98" i="113"/>
  <c r="X49" i="124"/>
  <c r="O98" i="113"/>
  <c r="V49" i="124"/>
  <c r="W98" i="114"/>
  <c r="AD49" i="125"/>
  <c r="U98" i="114"/>
  <c r="AB49" i="125"/>
  <c r="S98" i="114"/>
  <c r="Z49" i="125"/>
  <c r="K98" i="114"/>
  <c r="R49" i="125"/>
  <c r="I98" i="114"/>
  <c r="P49" i="125"/>
  <c r="V98" i="114"/>
  <c r="AC49" i="125"/>
  <c r="G98" i="114"/>
  <c r="N49" i="125"/>
  <c r="E98" i="114"/>
  <c r="L49" i="125"/>
  <c r="Q98" i="114"/>
  <c r="X49" i="125"/>
  <c r="R98" i="114"/>
  <c r="Y49" i="125"/>
  <c r="M98" i="114"/>
  <c r="T49" i="125"/>
  <c r="N98" i="114"/>
  <c r="U49" i="125"/>
  <c r="X98" i="114"/>
  <c r="AE49" i="125"/>
  <c r="F98" i="114"/>
  <c r="M49" i="125"/>
  <c r="T98" i="114"/>
  <c r="AA49" i="125"/>
  <c r="J98" i="114"/>
  <c r="Q49" i="125"/>
  <c r="O98" i="114"/>
  <c r="V49" i="125"/>
  <c r="H98" i="114"/>
  <c r="O49" i="125"/>
  <c r="G98" i="115"/>
  <c r="N49" i="126"/>
  <c r="K98" i="115"/>
  <c r="R49" i="126"/>
  <c r="J98" i="115"/>
  <c r="Q49" i="126"/>
  <c r="E98" i="115"/>
  <c r="L49" i="126"/>
  <c r="U98" i="115"/>
  <c r="AB49" i="126"/>
  <c r="S98" i="115"/>
  <c r="Z49" i="126"/>
  <c r="F98" i="115"/>
  <c r="M49" i="126"/>
  <c r="Q98" i="115"/>
  <c r="X49" i="126"/>
  <c r="O98" i="115"/>
  <c r="V49" i="126"/>
  <c r="R98" i="115"/>
  <c r="Y49" i="126"/>
  <c r="V98" i="115"/>
  <c r="AC49" i="126"/>
  <c r="X98" i="115"/>
  <c r="AE49" i="126"/>
  <c r="W98" i="115"/>
  <c r="AD49" i="126"/>
  <c r="M98" i="115"/>
  <c r="T49" i="126"/>
  <c r="I98" i="115"/>
  <c r="P49" i="126"/>
  <c r="T98" i="115"/>
  <c r="AA49" i="126"/>
  <c r="N98" i="115"/>
  <c r="U49" i="126"/>
  <c r="P98" i="115"/>
  <c r="W49" i="126"/>
  <c r="N98" i="116"/>
  <c r="U49" i="127"/>
  <c r="V98" i="116"/>
  <c r="AC49" i="127"/>
  <c r="H98" i="116"/>
  <c r="O49" i="127"/>
  <c r="F98" i="116"/>
  <c r="M49" i="127"/>
  <c r="E98" i="116"/>
  <c r="L49" i="127"/>
  <c r="R98" i="116"/>
  <c r="Y49" i="127"/>
  <c r="J98" i="116"/>
  <c r="Q49" i="127"/>
  <c r="L98" i="116"/>
  <c r="S49" i="127"/>
  <c r="W98" i="116"/>
  <c r="AD49" i="127"/>
  <c r="M98" i="116"/>
  <c r="T49" i="127"/>
  <c r="Q98" i="116"/>
  <c r="X49" i="127"/>
  <c r="O98" i="116"/>
  <c r="V49" i="127"/>
  <c r="I98" i="116"/>
  <c r="P49" i="127"/>
  <c r="G98" i="116"/>
  <c r="N49" i="127"/>
  <c r="K98" i="116"/>
  <c r="R49" i="127"/>
  <c r="X98" i="116"/>
  <c r="AE49" i="127"/>
  <c r="T98" i="116"/>
  <c r="AA49" i="127"/>
  <c r="U98" i="116"/>
  <c r="AB49" i="127"/>
  <c r="S98" i="116"/>
  <c r="Z49" i="127"/>
  <c r="AD49" i="128"/>
  <c r="O49" i="128"/>
  <c r="Z49" i="128"/>
  <c r="N49" i="128"/>
  <c r="T49" i="128"/>
  <c r="W49" i="128"/>
  <c r="Q49" i="128"/>
  <c r="X49" i="128"/>
  <c r="M49" i="128"/>
  <c r="R49" i="128"/>
  <c r="U49" i="128"/>
  <c r="AC49" i="128"/>
  <c r="AB49" i="128"/>
  <c r="L49" i="128"/>
  <c r="V49" i="128"/>
  <c r="Y49" i="128"/>
  <c r="P49" i="128"/>
  <c r="S49" i="128"/>
  <c r="W49" i="130"/>
  <c r="R49" i="130"/>
  <c r="V49" i="130"/>
  <c r="S49" i="130"/>
  <c r="N49" i="130"/>
  <c r="Q49" i="130"/>
  <c r="U49" i="130"/>
  <c r="O49" i="130"/>
  <c r="X49" i="130"/>
  <c r="M49" i="130"/>
  <c r="P49" i="130"/>
  <c r="AC49" i="130"/>
  <c r="AA49" i="130"/>
  <c r="AB49" i="130"/>
  <c r="T49" i="130"/>
  <c r="Y49" i="130"/>
  <c r="L49" i="130"/>
  <c r="AE49" i="130"/>
  <c r="AD49" i="130"/>
  <c r="Z49" i="130"/>
  <c r="Y49" i="131"/>
  <c r="L49" i="131"/>
  <c r="AE49" i="131"/>
  <c r="AB49" i="131"/>
  <c r="O49" i="131"/>
  <c r="AA49" i="131"/>
  <c r="V49" i="131"/>
  <c r="Z49" i="131"/>
  <c r="T49" i="131"/>
  <c r="AC49" i="131"/>
  <c r="R49" i="131"/>
  <c r="Q49" i="131"/>
  <c r="U49" i="131"/>
  <c r="W49" i="131"/>
  <c r="M49" i="131"/>
  <c r="P49" i="131"/>
  <c r="X49" i="131"/>
  <c r="AD49" i="131"/>
  <c r="N49" i="131"/>
  <c r="S49" i="131"/>
  <c r="F98" i="112"/>
  <c r="M49" i="132"/>
  <c r="I98" i="112"/>
  <c r="P49" i="132"/>
  <c r="S98" i="112"/>
  <c r="Z49" i="132"/>
  <c r="W98" i="112"/>
  <c r="AD49" i="132"/>
  <c r="X98" i="112"/>
  <c r="AE49" i="132"/>
  <c r="K98" i="112"/>
  <c r="R49" i="132"/>
  <c r="M98" i="112"/>
  <c r="T49" i="132"/>
  <c r="R98" i="112"/>
  <c r="Y49" i="132"/>
  <c r="O98" i="112"/>
  <c r="V49" i="132"/>
  <c r="G98" i="112"/>
  <c r="N49" i="132"/>
  <c r="T98" i="112"/>
  <c r="AA49" i="132"/>
  <c r="Q98" i="112"/>
  <c r="X49" i="132"/>
  <c r="N98" i="112"/>
  <c r="U49" i="132"/>
  <c r="V98" i="112"/>
  <c r="AC49" i="132"/>
  <c r="J98" i="112"/>
  <c r="Q49" i="132"/>
  <c r="U98" i="112"/>
  <c r="AB49" i="132"/>
  <c r="H98" i="112"/>
  <c r="O49" i="132"/>
  <c r="L98" i="112"/>
  <c r="S49" i="132"/>
  <c r="E98" i="112"/>
  <c r="L49" i="132"/>
  <c r="S49" i="129"/>
  <c r="P49" i="129"/>
  <c r="P47" i="129"/>
  <c r="AC47" i="129"/>
  <c r="X49" i="129"/>
  <c r="Q49" i="129"/>
  <c r="X49" i="133"/>
  <c r="P47" i="133"/>
  <c r="AC49" i="133"/>
  <c r="AC47" i="133"/>
  <c r="S49" i="133"/>
  <c r="Q49" i="133"/>
  <c r="N49" i="133"/>
  <c r="Q49" i="134"/>
  <c r="AC47" i="134"/>
  <c r="P49" i="134"/>
  <c r="P47" i="134"/>
  <c r="X49" i="134"/>
  <c r="N49" i="134"/>
  <c r="S49" i="134"/>
  <c r="I44" i="102"/>
  <c r="P49" i="135"/>
  <c r="P47" i="135"/>
  <c r="J98" i="102"/>
  <c r="Q49" i="135"/>
  <c r="V44" i="102"/>
  <c r="AC47" i="135"/>
  <c r="G98" i="102"/>
  <c r="N49" i="135"/>
  <c r="Q98" i="102"/>
  <c r="X49" i="135"/>
  <c r="L98" i="102"/>
  <c r="S49" i="135"/>
  <c r="E99" i="120"/>
  <c r="E106" i="120"/>
  <c r="E157" i="120"/>
  <c r="E161" i="120"/>
  <c r="I98" i="102"/>
  <c r="E99" i="105"/>
  <c r="E106" i="105"/>
  <c r="E157" i="105"/>
  <c r="E161" i="105"/>
  <c r="U29" i="99"/>
  <c r="T39" i="99"/>
  <c r="AA44" i="133"/>
  <c r="T35" i="99"/>
  <c r="AA40" i="133"/>
  <c r="O29" i="97"/>
  <c r="N39" i="97"/>
  <c r="N35" i="97"/>
  <c r="O35" i="96"/>
  <c r="V40" i="129"/>
  <c r="O39" i="96"/>
  <c r="V44" i="129"/>
  <c r="E39" i="93"/>
  <c r="L44" i="140"/>
  <c r="P39" i="93"/>
  <c r="W44" i="140"/>
  <c r="S35" i="93"/>
  <c r="Z40" i="140"/>
  <c r="V35" i="93"/>
  <c r="AC40" i="140"/>
  <c r="J35" i="93"/>
  <c r="Q40" i="140"/>
  <c r="E35" i="93"/>
  <c r="L40" i="140"/>
  <c r="U35" i="93"/>
  <c r="AB40" i="140"/>
  <c r="Q35" i="93"/>
  <c r="X40" i="140"/>
  <c r="M35" i="93"/>
  <c r="T40" i="140"/>
  <c r="I35" i="93"/>
  <c r="P40" i="140"/>
  <c r="X39" i="93"/>
  <c r="AE44" i="140"/>
  <c r="T39" i="93"/>
  <c r="AA44" i="140"/>
  <c r="L39" i="93"/>
  <c r="S44" i="140"/>
  <c r="W35" i="93"/>
  <c r="AD40" i="140"/>
  <c r="O35" i="93"/>
  <c r="V40" i="140"/>
  <c r="K35" i="93"/>
  <c r="R40" i="140"/>
  <c r="G35" i="93"/>
  <c r="N40" i="140"/>
  <c r="R35" i="93"/>
  <c r="Y40" i="140"/>
  <c r="N35" i="93"/>
  <c r="U40" i="140"/>
  <c r="F35" i="93"/>
  <c r="M40" i="140"/>
  <c r="X35" i="93"/>
  <c r="AE40" i="140"/>
  <c r="T35" i="93"/>
  <c r="AA40" i="140"/>
  <c r="P35" i="93"/>
  <c r="W40" i="140"/>
  <c r="L35" i="93"/>
  <c r="S40" i="140"/>
  <c r="H35" i="93"/>
  <c r="O40" i="140"/>
  <c r="H39" i="93"/>
  <c r="O44" i="140"/>
  <c r="W39" i="93"/>
  <c r="AD44" i="140"/>
  <c r="S39" i="93"/>
  <c r="Z44" i="140"/>
  <c r="O39" i="93"/>
  <c r="V44" i="140"/>
  <c r="K39" i="93"/>
  <c r="R44" i="140"/>
  <c r="G39" i="93"/>
  <c r="N44" i="140"/>
  <c r="V39" i="93"/>
  <c r="AC44" i="140"/>
  <c r="R39" i="93"/>
  <c r="Y44" i="140"/>
  <c r="N39" i="93"/>
  <c r="U44" i="140"/>
  <c r="J39" i="93"/>
  <c r="Q44" i="140"/>
  <c r="F39" i="93"/>
  <c r="M44" i="140"/>
  <c r="U39" i="93"/>
  <c r="AB44" i="140"/>
  <c r="Q39" i="93"/>
  <c r="X44" i="140"/>
  <c r="M39" i="93"/>
  <c r="T44" i="140"/>
  <c r="I39" i="93"/>
  <c r="P44" i="140"/>
  <c r="U39" i="13"/>
  <c r="U34" i="13"/>
  <c r="U35" i="13"/>
  <c r="U32" i="13"/>
  <c r="U68" i="13"/>
  <c r="U20" i="13"/>
  <c r="U18" i="13"/>
  <c r="T34" i="13"/>
  <c r="T20" i="13"/>
  <c r="T32" i="13"/>
  <c r="T18" i="13"/>
  <c r="N49" i="123"/>
  <c r="AA49" i="123"/>
  <c r="AE49" i="123"/>
  <c r="O49" i="123"/>
  <c r="Z49" i="123"/>
  <c r="AD49" i="123"/>
  <c r="AC49" i="129"/>
  <c r="P49" i="133"/>
  <c r="AC49" i="134"/>
  <c r="V98" i="102"/>
  <c r="AC49" i="135"/>
  <c r="C334" i="71"/>
  <c r="C410" i="71"/>
  <c r="V29" i="99"/>
  <c r="U39" i="99"/>
  <c r="AB44" i="133"/>
  <c r="U35" i="99"/>
  <c r="AB40" i="133"/>
  <c r="U67" i="13"/>
  <c r="U21" i="13"/>
  <c r="P29" i="97"/>
  <c r="O35" i="97"/>
  <c r="O39" i="97"/>
  <c r="P39" i="96"/>
  <c r="W44" i="129"/>
  <c r="P35" i="96"/>
  <c r="W40" i="129"/>
  <c r="T36" i="13"/>
  <c r="T22" i="13"/>
  <c r="U22" i="13"/>
  <c r="U36" i="13"/>
  <c r="T29" i="13"/>
  <c r="U29" i="13"/>
  <c r="C336" i="71"/>
  <c r="C412" i="71"/>
  <c r="W29" i="99"/>
  <c r="V35" i="99"/>
  <c r="AC40" i="133"/>
  <c r="V39" i="99"/>
  <c r="AC44" i="133"/>
  <c r="Q29" i="97"/>
  <c r="P39" i="97"/>
  <c r="P35" i="97"/>
  <c r="Q39" i="96"/>
  <c r="X44" i="129"/>
  <c r="Q35" i="96"/>
  <c r="X40" i="129"/>
  <c r="Q50" i="13"/>
  <c r="U61" i="13"/>
  <c r="U58" i="13"/>
  <c r="U59" i="13"/>
  <c r="T58" i="13"/>
  <c r="S58" i="13"/>
  <c r="R58" i="13"/>
  <c r="Q58" i="13"/>
  <c r="U56" i="13"/>
  <c r="U57" i="13"/>
  <c r="T56" i="13"/>
  <c r="S56" i="13"/>
  <c r="R56" i="13"/>
  <c r="Q56" i="13"/>
  <c r="U14" i="13"/>
  <c r="U74" i="13"/>
  <c r="T14" i="13"/>
  <c r="T41" i="13"/>
  <c r="S14" i="13"/>
  <c r="S41" i="13"/>
  <c r="R14" i="13"/>
  <c r="R41" i="13"/>
  <c r="Q14" i="13"/>
  <c r="Q41" i="13"/>
  <c r="P14" i="13"/>
  <c r="O14" i="13"/>
  <c r="O41" i="13"/>
  <c r="N14" i="13"/>
  <c r="N41" i="13"/>
  <c r="M14" i="13"/>
  <c r="M41" i="13"/>
  <c r="L14" i="13"/>
  <c r="K14" i="13"/>
  <c r="K41" i="13"/>
  <c r="J14" i="13"/>
  <c r="J41" i="13"/>
  <c r="T61" i="13"/>
  <c r="E172" i="117"/>
  <c r="E171" i="117"/>
  <c r="C284" i="71"/>
  <c r="E172" i="119"/>
  <c r="E171" i="119"/>
  <c r="C322" i="71"/>
  <c r="E171" i="120"/>
  <c r="C341" i="71"/>
  <c r="E172" i="120"/>
  <c r="E175" i="120"/>
  <c r="E171" i="118"/>
  <c r="C303" i="71"/>
  <c r="E172" i="118"/>
  <c r="U97" i="13"/>
  <c r="U100" i="13"/>
  <c r="E172" i="104"/>
  <c r="E171" i="104"/>
  <c r="C398" i="71"/>
  <c r="E172" i="105"/>
  <c r="E171" i="105"/>
  <c r="C417" i="71"/>
  <c r="E175" i="105"/>
  <c r="E172" i="103"/>
  <c r="E171" i="103"/>
  <c r="C379" i="71"/>
  <c r="U79" i="13"/>
  <c r="U81" i="13"/>
  <c r="U91" i="13"/>
  <c r="U93" i="13"/>
  <c r="U85" i="13"/>
  <c r="U87" i="13"/>
  <c r="X29" i="99"/>
  <c r="W35" i="99"/>
  <c r="AD40" i="133"/>
  <c r="W39" i="99"/>
  <c r="AD44" i="133"/>
  <c r="Q39" i="97"/>
  <c r="R29" i="97"/>
  <c r="Q35" i="97"/>
  <c r="R35" i="96"/>
  <c r="Y40" i="129"/>
  <c r="R39" i="96"/>
  <c r="Y44" i="129"/>
  <c r="U19" i="13"/>
  <c r="U33" i="13"/>
  <c r="T33" i="13"/>
  <c r="T19" i="13"/>
  <c r="U15" i="13"/>
  <c r="U42" i="13"/>
  <c r="U41" i="13"/>
  <c r="U38" i="13"/>
  <c r="S51" i="13"/>
  <c r="Q51" i="13"/>
  <c r="T48" i="13"/>
  <c r="T49" i="13"/>
  <c r="R51" i="13"/>
  <c r="S48" i="13"/>
  <c r="S49" i="13"/>
  <c r="Q48" i="13"/>
  <c r="Q49" i="13"/>
  <c r="R48" i="13"/>
  <c r="R49" i="13"/>
  <c r="Q57" i="13"/>
  <c r="T59" i="13"/>
  <c r="T51" i="13"/>
  <c r="R59" i="13"/>
  <c r="T57" i="13"/>
  <c r="S57" i="13"/>
  <c r="S59" i="13"/>
  <c r="R57" i="13"/>
  <c r="Q59" i="13"/>
  <c r="S61" i="13"/>
  <c r="R61" i="13"/>
  <c r="Q61" i="13"/>
  <c r="L15" i="13"/>
  <c r="L42" i="13"/>
  <c r="P15" i="13"/>
  <c r="P42" i="13"/>
  <c r="P41" i="13"/>
  <c r="L41" i="13"/>
  <c r="O15" i="13"/>
  <c r="O42" i="13"/>
  <c r="S15" i="13"/>
  <c r="S42" i="13"/>
  <c r="M15" i="13"/>
  <c r="M42" i="13"/>
  <c r="Q15" i="13"/>
  <c r="Q42" i="13"/>
  <c r="I40" i="13"/>
  <c r="J15" i="13"/>
  <c r="J42" i="13"/>
  <c r="N15" i="13"/>
  <c r="N42" i="13"/>
  <c r="R15" i="13"/>
  <c r="R42" i="13"/>
  <c r="V14" i="13"/>
  <c r="E40" i="13"/>
  <c r="K15" i="13"/>
  <c r="K42" i="13"/>
  <c r="H40" i="13"/>
  <c r="D40" i="13"/>
  <c r="K40" i="13"/>
  <c r="G40" i="13"/>
  <c r="C40" i="13"/>
  <c r="J40" i="13"/>
  <c r="F40" i="13"/>
  <c r="B40" i="13"/>
  <c r="T44" i="13"/>
  <c r="C343" i="71"/>
  <c r="F12" i="115"/>
  <c r="V12" i="115"/>
  <c r="W12" i="115"/>
  <c r="O12" i="114"/>
  <c r="V17" i="125"/>
  <c r="W12" i="113"/>
  <c r="G12" i="115"/>
  <c r="R12" i="115"/>
  <c r="R12" i="114"/>
  <c r="Y17" i="125"/>
  <c r="W12" i="114"/>
  <c r="AD17" i="125"/>
  <c r="M12" i="114"/>
  <c r="T17" i="125"/>
  <c r="U12" i="114"/>
  <c r="AB17" i="125"/>
  <c r="V12" i="114"/>
  <c r="AC17" i="125"/>
  <c r="R12" i="113"/>
  <c r="J12" i="115"/>
  <c r="J12" i="114"/>
  <c r="Q17" i="125"/>
  <c r="F12" i="113"/>
  <c r="K12" i="113"/>
  <c r="S12" i="113"/>
  <c r="O12" i="113"/>
  <c r="N12" i="115"/>
  <c r="G12" i="114"/>
  <c r="N17" i="125"/>
  <c r="F12" i="114"/>
  <c r="M17" i="125"/>
  <c r="Q12" i="115"/>
  <c r="H12" i="113"/>
  <c r="Q12" i="114"/>
  <c r="X17" i="125"/>
  <c r="I12" i="113"/>
  <c r="U12" i="113"/>
  <c r="T12" i="113"/>
  <c r="M12" i="113"/>
  <c r="I12" i="115"/>
  <c r="H12" i="115"/>
  <c r="Q12" i="113"/>
  <c r="V12" i="113"/>
  <c r="T12" i="114"/>
  <c r="AA17" i="125"/>
  <c r="G12" i="113"/>
  <c r="X12" i="114"/>
  <c r="AE17" i="125"/>
  <c r="K12" i="115"/>
  <c r="I12" i="114"/>
  <c r="P17" i="125"/>
  <c r="K12" i="114"/>
  <c r="R17" i="125"/>
  <c r="S12" i="115"/>
  <c r="N12" i="114"/>
  <c r="U17" i="125"/>
  <c r="N12" i="113"/>
  <c r="J12" i="113"/>
  <c r="P12" i="113"/>
  <c r="L12" i="115"/>
  <c r="U12" i="115"/>
  <c r="X12" i="115"/>
  <c r="O12" i="115"/>
  <c r="P12" i="115"/>
  <c r="L12" i="113"/>
  <c r="S12" i="114"/>
  <c r="Z17" i="125"/>
  <c r="X12" i="113"/>
  <c r="T12" i="115"/>
  <c r="M12" i="115"/>
  <c r="H12" i="114"/>
  <c r="O17" i="125"/>
  <c r="L12" i="114"/>
  <c r="S17" i="125"/>
  <c r="P12" i="114"/>
  <c r="W17" i="125"/>
  <c r="S12" i="102"/>
  <c r="S12" i="105"/>
  <c r="N12" i="105"/>
  <c r="N12" i="102"/>
  <c r="M12" i="102"/>
  <c r="M12" i="105"/>
  <c r="P12" i="105"/>
  <c r="P12" i="102"/>
  <c r="W12" i="102"/>
  <c r="W12" i="105"/>
  <c r="G12" i="102"/>
  <c r="G12" i="105"/>
  <c r="V12" i="105"/>
  <c r="V12" i="102"/>
  <c r="T12" i="105"/>
  <c r="T12" i="102"/>
  <c r="O12" i="102"/>
  <c r="O12" i="105"/>
  <c r="R12" i="105"/>
  <c r="R12" i="102"/>
  <c r="F12" i="105"/>
  <c r="F12" i="102"/>
  <c r="F76" i="102"/>
  <c r="I12" i="102"/>
  <c r="I12" i="105"/>
  <c r="L12" i="105"/>
  <c r="L12" i="102"/>
  <c r="Q12" i="102"/>
  <c r="Q12" i="105"/>
  <c r="K12" i="102"/>
  <c r="K12" i="105"/>
  <c r="J12" i="105"/>
  <c r="J12" i="102"/>
  <c r="U12" i="102"/>
  <c r="U12" i="105"/>
  <c r="X12" i="105"/>
  <c r="X12" i="102"/>
  <c r="H12" i="105"/>
  <c r="H12" i="102"/>
  <c r="AD93" i="13"/>
  <c r="V93" i="13"/>
  <c r="AA93" i="13"/>
  <c r="N17" i="133"/>
  <c r="P17" i="133"/>
  <c r="AL93" i="13"/>
  <c r="M17" i="133"/>
  <c r="R17" i="133"/>
  <c r="AM93" i="13"/>
  <c r="AG93" i="13"/>
  <c r="AI93" i="13"/>
  <c r="V17" i="133"/>
  <c r="X81" i="13"/>
  <c r="O17" i="140"/>
  <c r="O17" i="129"/>
  <c r="AM81" i="13"/>
  <c r="AD17" i="140"/>
  <c r="AD17" i="129"/>
  <c r="W93" i="13"/>
  <c r="AH93" i="13"/>
  <c r="Y17" i="133"/>
  <c r="AD17" i="133"/>
  <c r="T17" i="133"/>
  <c r="AB17" i="133"/>
  <c r="AC17" i="133"/>
  <c r="AH81" i="13"/>
  <c r="Y17" i="140"/>
  <c r="Y17" i="129"/>
  <c r="Z93" i="13"/>
  <c r="Q17" i="133"/>
  <c r="V81" i="13"/>
  <c r="M17" i="140"/>
  <c r="M17" i="129"/>
  <c r="AA81" i="13"/>
  <c r="R17" i="140"/>
  <c r="R17" i="129"/>
  <c r="AI81" i="13"/>
  <c r="Z17" i="140"/>
  <c r="Z17" i="129"/>
  <c r="AE81" i="13"/>
  <c r="V17" i="140"/>
  <c r="V17" i="129"/>
  <c r="U17" i="133"/>
  <c r="X17" i="133"/>
  <c r="Y81" i="13"/>
  <c r="P17" i="129"/>
  <c r="P17" i="140"/>
  <c r="AD81" i="13"/>
  <c r="U17" i="140"/>
  <c r="U17" i="129"/>
  <c r="AK81" i="13"/>
  <c r="AB17" i="129"/>
  <c r="AB17" i="140"/>
  <c r="AJ81" i="13"/>
  <c r="AA17" i="140"/>
  <c r="AA17" i="129"/>
  <c r="AC81" i="13"/>
  <c r="T17" i="129"/>
  <c r="T17" i="140"/>
  <c r="Y93" i="13"/>
  <c r="X93" i="13"/>
  <c r="AG81" i="13"/>
  <c r="X17" i="129"/>
  <c r="X17" i="140"/>
  <c r="AL81" i="13"/>
  <c r="AC17" i="140"/>
  <c r="AC17" i="129"/>
  <c r="AA17" i="133"/>
  <c r="W81" i="13"/>
  <c r="N17" i="140"/>
  <c r="N17" i="129"/>
  <c r="AE17" i="133"/>
  <c r="Z81" i="13"/>
  <c r="Q17" i="140"/>
  <c r="Q17" i="129"/>
  <c r="AF81" i="13"/>
  <c r="W17" i="140"/>
  <c r="W17" i="129"/>
  <c r="AB93" i="13"/>
  <c r="AK93" i="13"/>
  <c r="AN93" i="13"/>
  <c r="AE93" i="13"/>
  <c r="AF93" i="13"/>
  <c r="AB81" i="13"/>
  <c r="S17" i="140"/>
  <c r="S17" i="129"/>
  <c r="Z17" i="133"/>
  <c r="AN81" i="13"/>
  <c r="AE17" i="140"/>
  <c r="AE17" i="129"/>
  <c r="AJ93" i="13"/>
  <c r="AC93" i="13"/>
  <c r="O17" i="133"/>
  <c r="S17" i="133"/>
  <c r="W17" i="133"/>
  <c r="C419" i="71"/>
  <c r="W87" i="13"/>
  <c r="Y87" i="13"/>
  <c r="V87" i="13"/>
  <c r="AA87" i="13"/>
  <c r="AE87" i="13"/>
  <c r="V33" i="13"/>
  <c r="W33" i="13"/>
  <c r="X33" i="13"/>
  <c r="Y33" i="13"/>
  <c r="Z33" i="13"/>
  <c r="AA33" i="13"/>
  <c r="AB33" i="13"/>
  <c r="AC33" i="13"/>
  <c r="AD33" i="13"/>
  <c r="AE33" i="13"/>
  <c r="AF33" i="13"/>
  <c r="AG33" i="13"/>
  <c r="AH33" i="13"/>
  <c r="AI33" i="13"/>
  <c r="AJ33" i="13"/>
  <c r="AK33" i="13"/>
  <c r="AL33" i="13"/>
  <c r="AM33" i="13"/>
  <c r="AN33" i="13"/>
  <c r="AH87" i="13"/>
  <c r="AM87" i="13"/>
  <c r="AC87" i="13"/>
  <c r="AK87" i="13"/>
  <c r="AL87" i="13"/>
  <c r="Z87" i="13"/>
  <c r="AD87" i="13"/>
  <c r="AG87" i="13"/>
  <c r="AJ87" i="13"/>
  <c r="AN87" i="13"/>
  <c r="AI87" i="13"/>
  <c r="X87" i="13"/>
  <c r="AB87" i="13"/>
  <c r="AF87" i="13"/>
  <c r="X39" i="99"/>
  <c r="AE44" i="133"/>
  <c r="X35" i="99"/>
  <c r="AE40" i="133"/>
  <c r="V19" i="13"/>
  <c r="W19" i="13"/>
  <c r="S29" i="97"/>
  <c r="R39" i="97"/>
  <c r="R35" i="97"/>
  <c r="S35" i="96"/>
  <c r="Z40" i="129"/>
  <c r="S39" i="96"/>
  <c r="Z44" i="129"/>
  <c r="U40" i="13"/>
  <c r="U75" i="13"/>
  <c r="U73" i="13"/>
  <c r="W14" i="13"/>
  <c r="W74" i="13"/>
  <c r="V74" i="13"/>
  <c r="T21" i="13"/>
  <c r="V21" i="13"/>
  <c r="W21" i="13"/>
  <c r="T35" i="13"/>
  <c r="V35" i="13"/>
  <c r="W35" i="13"/>
  <c r="X35" i="13"/>
  <c r="Y35" i="13"/>
  <c r="Z35" i="13"/>
  <c r="AA35" i="13"/>
  <c r="AB35" i="13"/>
  <c r="AC35" i="13"/>
  <c r="AD35" i="13"/>
  <c r="AE35" i="13"/>
  <c r="AF35" i="13"/>
  <c r="AG35" i="13"/>
  <c r="AH35" i="13"/>
  <c r="AI35" i="13"/>
  <c r="AJ35" i="13"/>
  <c r="AK35" i="13"/>
  <c r="AL35" i="13"/>
  <c r="AM35" i="13"/>
  <c r="AN35" i="13"/>
  <c r="V18" i="13"/>
  <c r="U48" i="13"/>
  <c r="U49" i="13"/>
  <c r="U51" i="13"/>
  <c r="T15" i="13"/>
  <c r="T42" i="13"/>
  <c r="V38" i="13"/>
  <c r="U44" i="13"/>
  <c r="X33" i="105"/>
  <c r="AE38" i="143"/>
  <c r="AE17" i="143"/>
  <c r="K33" i="105"/>
  <c r="R38" i="143"/>
  <c r="R17" i="143"/>
  <c r="M33" i="105"/>
  <c r="T38" i="143"/>
  <c r="T17" i="143"/>
  <c r="H33" i="105"/>
  <c r="O38" i="143"/>
  <c r="O17" i="143"/>
  <c r="I33" i="105"/>
  <c r="P38" i="143"/>
  <c r="P17" i="143"/>
  <c r="R33" i="105"/>
  <c r="Y38" i="143"/>
  <c r="Y17" i="143"/>
  <c r="N33" i="105"/>
  <c r="U38" i="143"/>
  <c r="U17" i="143"/>
  <c r="U33" i="105"/>
  <c r="AB38" i="143"/>
  <c r="AB17" i="143"/>
  <c r="F33" i="105"/>
  <c r="M38" i="143"/>
  <c r="F76" i="105"/>
  <c r="M17" i="143"/>
  <c r="O33" i="105"/>
  <c r="V38" i="143"/>
  <c r="V17" i="143"/>
  <c r="T33" i="105"/>
  <c r="AA38" i="143"/>
  <c r="AA17" i="143"/>
  <c r="V33" i="105"/>
  <c r="AC38" i="143"/>
  <c r="AC17" i="143"/>
  <c r="W33" i="105"/>
  <c r="AD38" i="143"/>
  <c r="AD17" i="143"/>
  <c r="P33" i="105"/>
  <c r="W38" i="143"/>
  <c r="W17" i="143"/>
  <c r="J33" i="105"/>
  <c r="Q38" i="143"/>
  <c r="Q17" i="143"/>
  <c r="Q33" i="105"/>
  <c r="X38" i="143"/>
  <c r="X17" i="143"/>
  <c r="L33" i="105"/>
  <c r="S38" i="143"/>
  <c r="S17" i="143"/>
  <c r="G33" i="105"/>
  <c r="N38" i="143"/>
  <c r="N17" i="143"/>
  <c r="S33" i="105"/>
  <c r="Z38" i="143"/>
  <c r="Z17" i="143"/>
  <c r="V33" i="104"/>
  <c r="AC38" i="142"/>
  <c r="AC17" i="142"/>
  <c r="L33" i="104"/>
  <c r="S38" i="142"/>
  <c r="S17" i="142"/>
  <c r="I33" i="104"/>
  <c r="P38" i="142"/>
  <c r="P17" i="142"/>
  <c r="J33" i="104"/>
  <c r="Q38" i="142"/>
  <c r="Q17" i="142"/>
  <c r="N33" i="104"/>
  <c r="U38" i="142"/>
  <c r="U17" i="142"/>
  <c r="M33" i="104"/>
  <c r="T38" i="142"/>
  <c r="T17" i="142"/>
  <c r="T33" i="104"/>
  <c r="AA38" i="142"/>
  <c r="AA17" i="142"/>
  <c r="Q33" i="104"/>
  <c r="X38" i="142"/>
  <c r="X17" i="142"/>
  <c r="F33" i="104"/>
  <c r="M38" i="142"/>
  <c r="M17" i="142"/>
  <c r="G33" i="104"/>
  <c r="N38" i="142"/>
  <c r="N17" i="142"/>
  <c r="P33" i="104"/>
  <c r="W38" i="142"/>
  <c r="W17" i="142"/>
  <c r="U33" i="104"/>
  <c r="AB38" i="142"/>
  <c r="AB17" i="142"/>
  <c r="R33" i="104"/>
  <c r="Y38" i="142"/>
  <c r="Y17" i="142"/>
  <c r="W33" i="104"/>
  <c r="AD38" i="142"/>
  <c r="AD17" i="142"/>
  <c r="O33" i="104"/>
  <c r="V38" i="142"/>
  <c r="V17" i="142"/>
  <c r="X33" i="104"/>
  <c r="AE38" i="142"/>
  <c r="AE17" i="142"/>
  <c r="H33" i="104"/>
  <c r="O38" i="142"/>
  <c r="O17" i="142"/>
  <c r="S33" i="104"/>
  <c r="Z38" i="142"/>
  <c r="Z17" i="142"/>
  <c r="K33" i="104"/>
  <c r="R38" i="142"/>
  <c r="R17" i="142"/>
  <c r="J33" i="103"/>
  <c r="Q38" i="141"/>
  <c r="Q17" i="141"/>
  <c r="M33" i="103"/>
  <c r="T38" i="141"/>
  <c r="T17" i="141"/>
  <c r="K33" i="103"/>
  <c r="R38" i="141"/>
  <c r="R17" i="141"/>
  <c r="P33" i="103"/>
  <c r="W38" i="141"/>
  <c r="W17" i="141"/>
  <c r="H33" i="103"/>
  <c r="O38" i="141"/>
  <c r="O17" i="141"/>
  <c r="W33" i="103"/>
  <c r="AD38" i="141"/>
  <c r="AD17" i="141"/>
  <c r="O33" i="103"/>
  <c r="V38" i="141"/>
  <c r="V17" i="141"/>
  <c r="G33" i="103"/>
  <c r="N38" i="141"/>
  <c r="N17" i="141"/>
  <c r="V33" i="103"/>
  <c r="AC38" i="141"/>
  <c r="AC17" i="141"/>
  <c r="I33" i="103"/>
  <c r="P38" i="141"/>
  <c r="P17" i="141"/>
  <c r="X33" i="103"/>
  <c r="AE38" i="141"/>
  <c r="AE17" i="141"/>
  <c r="N33" i="103"/>
  <c r="U38" i="141"/>
  <c r="U17" i="141"/>
  <c r="U33" i="103"/>
  <c r="AB38" i="141"/>
  <c r="AB17" i="141"/>
  <c r="Q33" i="103"/>
  <c r="X38" i="141"/>
  <c r="X17" i="141"/>
  <c r="R33" i="103"/>
  <c r="Y38" i="141"/>
  <c r="Y17" i="141"/>
  <c r="L33" i="103"/>
  <c r="S38" i="141"/>
  <c r="S17" i="141"/>
  <c r="S33" i="103"/>
  <c r="Z38" i="141"/>
  <c r="Z17" i="141"/>
  <c r="T33" i="103"/>
  <c r="AA38" i="141"/>
  <c r="AA17" i="141"/>
  <c r="F33" i="103"/>
  <c r="M38" i="141"/>
  <c r="M17" i="141"/>
  <c r="M33" i="119"/>
  <c r="T38" i="138"/>
  <c r="T17" i="138"/>
  <c r="X33" i="119"/>
  <c r="AE38" i="138"/>
  <c r="AE17" i="138"/>
  <c r="U33" i="119"/>
  <c r="AB38" i="138"/>
  <c r="AB17" i="138"/>
  <c r="H33" i="119"/>
  <c r="O38" i="138"/>
  <c r="O17" i="138"/>
  <c r="I33" i="119"/>
  <c r="P38" i="138"/>
  <c r="P17" i="138"/>
  <c r="W33" i="119"/>
  <c r="AD38" i="138"/>
  <c r="AD17" i="138"/>
  <c r="O33" i="119"/>
  <c r="V38" i="138"/>
  <c r="V17" i="138"/>
  <c r="S33" i="119"/>
  <c r="Z38" i="138"/>
  <c r="Z17" i="138"/>
  <c r="Q33" i="119"/>
  <c r="X38" i="138"/>
  <c r="X17" i="138"/>
  <c r="N33" i="119"/>
  <c r="U38" i="138"/>
  <c r="U17" i="138"/>
  <c r="F33" i="119"/>
  <c r="M38" i="138"/>
  <c r="M17" i="138"/>
  <c r="T33" i="119"/>
  <c r="AA38" i="138"/>
  <c r="AA17" i="138"/>
  <c r="P33" i="119"/>
  <c r="W38" i="138"/>
  <c r="W17" i="138"/>
  <c r="L33" i="119"/>
  <c r="S38" i="138"/>
  <c r="S17" i="138"/>
  <c r="K33" i="119"/>
  <c r="R38" i="138"/>
  <c r="R17" i="138"/>
  <c r="V33" i="119"/>
  <c r="AC38" i="138"/>
  <c r="AC17" i="138"/>
  <c r="J33" i="119"/>
  <c r="Q38" i="138"/>
  <c r="Q17" i="138"/>
  <c r="R33" i="119"/>
  <c r="Y38" i="138"/>
  <c r="Y17" i="138"/>
  <c r="G33" i="119"/>
  <c r="N38" i="138"/>
  <c r="N17" i="138"/>
  <c r="J33" i="113"/>
  <c r="Q38" i="124"/>
  <c r="Q17" i="124"/>
  <c r="P33" i="113"/>
  <c r="W38" i="124"/>
  <c r="W17" i="124"/>
  <c r="H33" i="113"/>
  <c r="O38" i="124"/>
  <c r="O17" i="124"/>
  <c r="K33" i="113"/>
  <c r="R38" i="124"/>
  <c r="R17" i="124"/>
  <c r="V33" i="113"/>
  <c r="AC38" i="124"/>
  <c r="AC17" i="124"/>
  <c r="Q33" i="113"/>
  <c r="X38" i="124"/>
  <c r="X17" i="124"/>
  <c r="M33" i="113"/>
  <c r="T38" i="124"/>
  <c r="T17" i="124"/>
  <c r="R33" i="113"/>
  <c r="Y38" i="124"/>
  <c r="Y17" i="124"/>
  <c r="W33" i="113"/>
  <c r="AD38" i="124"/>
  <c r="AD17" i="124"/>
  <c r="G33" i="113"/>
  <c r="N38" i="124"/>
  <c r="N17" i="124"/>
  <c r="X33" i="113"/>
  <c r="AE38" i="124"/>
  <c r="AE17" i="124"/>
  <c r="T33" i="113"/>
  <c r="AA38" i="124"/>
  <c r="AA17" i="124"/>
  <c r="U33" i="113"/>
  <c r="AB38" i="124"/>
  <c r="AB17" i="124"/>
  <c r="F33" i="113"/>
  <c r="M38" i="124"/>
  <c r="M17" i="124"/>
  <c r="L33" i="113"/>
  <c r="S38" i="124"/>
  <c r="S17" i="124"/>
  <c r="N33" i="113"/>
  <c r="U38" i="124"/>
  <c r="U17" i="124"/>
  <c r="I33" i="113"/>
  <c r="P38" i="124"/>
  <c r="P17" i="124"/>
  <c r="O33" i="113"/>
  <c r="V38" i="124"/>
  <c r="V17" i="124"/>
  <c r="S33" i="113"/>
  <c r="Z38" i="124"/>
  <c r="Z17" i="124"/>
  <c r="Q33" i="115"/>
  <c r="X38" i="126"/>
  <c r="X17" i="126"/>
  <c r="G33" i="115"/>
  <c r="N38" i="126"/>
  <c r="N17" i="126"/>
  <c r="X33" i="115"/>
  <c r="AE38" i="126"/>
  <c r="AE17" i="126"/>
  <c r="H33" i="115"/>
  <c r="O38" i="126"/>
  <c r="O17" i="126"/>
  <c r="R33" i="115"/>
  <c r="Y38" i="126"/>
  <c r="Y17" i="126"/>
  <c r="W33" i="115"/>
  <c r="AD38" i="126"/>
  <c r="AD17" i="126"/>
  <c r="J33" i="115"/>
  <c r="Q38" i="126"/>
  <c r="Q17" i="126"/>
  <c r="V33" i="115"/>
  <c r="AC38" i="126"/>
  <c r="AC17" i="126"/>
  <c r="M33" i="115"/>
  <c r="T38" i="126"/>
  <c r="T17" i="126"/>
  <c r="O33" i="115"/>
  <c r="V38" i="126"/>
  <c r="V17" i="126"/>
  <c r="S33" i="115"/>
  <c r="Z38" i="126"/>
  <c r="Z17" i="126"/>
  <c r="N33" i="115"/>
  <c r="U38" i="126"/>
  <c r="U17" i="126"/>
  <c r="T33" i="115"/>
  <c r="AA38" i="126"/>
  <c r="AA17" i="126"/>
  <c r="P33" i="115"/>
  <c r="W38" i="126"/>
  <c r="W17" i="126"/>
  <c r="U33" i="115"/>
  <c r="AB38" i="126"/>
  <c r="AB17" i="126"/>
  <c r="L33" i="115"/>
  <c r="S38" i="126"/>
  <c r="S17" i="126"/>
  <c r="K33" i="115"/>
  <c r="R38" i="126"/>
  <c r="R17" i="126"/>
  <c r="I33" i="115"/>
  <c r="P38" i="126"/>
  <c r="P17" i="126"/>
  <c r="F33" i="115"/>
  <c r="M38" i="126"/>
  <c r="M17" i="126"/>
  <c r="J33" i="109"/>
  <c r="Q38" i="128"/>
  <c r="Q17" i="128"/>
  <c r="X33" i="109"/>
  <c r="AE38" i="128"/>
  <c r="AE17" i="128"/>
  <c r="Q33" i="109"/>
  <c r="X38" i="128"/>
  <c r="X17" i="128"/>
  <c r="H33" i="109"/>
  <c r="O38" i="128"/>
  <c r="O17" i="128"/>
  <c r="F33" i="109"/>
  <c r="M38" i="128"/>
  <c r="M17" i="128"/>
  <c r="V33" i="109"/>
  <c r="AC38" i="128"/>
  <c r="AC17" i="128"/>
  <c r="M33" i="109"/>
  <c r="T38" i="128"/>
  <c r="T17" i="128"/>
  <c r="R33" i="109"/>
  <c r="Y38" i="128"/>
  <c r="Y17" i="128"/>
  <c r="W33" i="109"/>
  <c r="AD38" i="128"/>
  <c r="AD17" i="128"/>
  <c r="G33" i="109"/>
  <c r="N38" i="128"/>
  <c r="N17" i="128"/>
  <c r="U33" i="109"/>
  <c r="AB38" i="128"/>
  <c r="AB17" i="128"/>
  <c r="P33" i="109"/>
  <c r="W38" i="128"/>
  <c r="W17" i="128"/>
  <c r="T33" i="109"/>
  <c r="AA38" i="128"/>
  <c r="AA17" i="128"/>
  <c r="O33" i="109"/>
  <c r="V38" i="128"/>
  <c r="V17" i="128"/>
  <c r="L33" i="109"/>
  <c r="S38" i="128"/>
  <c r="S17" i="128"/>
  <c r="N33" i="109"/>
  <c r="U38" i="128"/>
  <c r="U17" i="128"/>
  <c r="I33" i="109"/>
  <c r="P38" i="128"/>
  <c r="P17" i="128"/>
  <c r="S33" i="109"/>
  <c r="Z38" i="128"/>
  <c r="Z17" i="128"/>
  <c r="K33" i="109"/>
  <c r="R38" i="128"/>
  <c r="R17" i="128"/>
  <c r="L33" i="110"/>
  <c r="S38" i="130"/>
  <c r="S17" i="130"/>
  <c r="N33" i="110"/>
  <c r="U38" i="130"/>
  <c r="U17" i="130"/>
  <c r="Q33" i="110"/>
  <c r="X38" i="130"/>
  <c r="X17" i="130"/>
  <c r="G33" i="110"/>
  <c r="N38" i="130"/>
  <c r="N17" i="130"/>
  <c r="W33" i="110"/>
  <c r="AD38" i="130"/>
  <c r="AD17" i="130"/>
  <c r="X33" i="110"/>
  <c r="AE38" i="130"/>
  <c r="AE17" i="130"/>
  <c r="R33" i="110"/>
  <c r="Y38" i="130"/>
  <c r="Y17" i="130"/>
  <c r="P33" i="110"/>
  <c r="W38" i="130"/>
  <c r="W17" i="130"/>
  <c r="I33" i="110"/>
  <c r="P38" i="130"/>
  <c r="P17" i="130"/>
  <c r="T33" i="110"/>
  <c r="AA38" i="130"/>
  <c r="AA17" i="130"/>
  <c r="F33" i="110"/>
  <c r="M38" i="130"/>
  <c r="M17" i="130"/>
  <c r="M33" i="110"/>
  <c r="T38" i="130"/>
  <c r="T17" i="130"/>
  <c r="J33" i="110"/>
  <c r="Q38" i="130"/>
  <c r="Q17" i="130"/>
  <c r="V33" i="110"/>
  <c r="AC38" i="130"/>
  <c r="AC17" i="130"/>
  <c r="O33" i="110"/>
  <c r="V38" i="130"/>
  <c r="V17" i="130"/>
  <c r="H33" i="110"/>
  <c r="O38" i="130"/>
  <c r="O17" i="130"/>
  <c r="S33" i="110"/>
  <c r="Z38" i="130"/>
  <c r="Z17" i="130"/>
  <c r="K33" i="110"/>
  <c r="R38" i="130"/>
  <c r="R17" i="130"/>
  <c r="U33" i="110"/>
  <c r="AB38" i="130"/>
  <c r="AB17" i="130"/>
  <c r="R33" i="111"/>
  <c r="Y38" i="131"/>
  <c r="Y17" i="131"/>
  <c r="P33" i="111"/>
  <c r="W38" i="131"/>
  <c r="W17" i="131"/>
  <c r="L33" i="111"/>
  <c r="S38" i="131"/>
  <c r="S17" i="131"/>
  <c r="U33" i="111"/>
  <c r="AB38" i="131"/>
  <c r="AB17" i="131"/>
  <c r="I33" i="111"/>
  <c r="P38" i="131"/>
  <c r="P17" i="131"/>
  <c r="J33" i="111"/>
  <c r="Q38" i="131"/>
  <c r="Q17" i="131"/>
  <c r="G33" i="111"/>
  <c r="N38" i="131"/>
  <c r="N17" i="131"/>
  <c r="F33" i="111"/>
  <c r="M38" i="131"/>
  <c r="M17" i="131"/>
  <c r="O33" i="111"/>
  <c r="V38" i="131"/>
  <c r="V17" i="131"/>
  <c r="S33" i="111"/>
  <c r="Z38" i="131"/>
  <c r="Z17" i="131"/>
  <c r="N33" i="111"/>
  <c r="U38" i="131"/>
  <c r="U17" i="131"/>
  <c r="T33" i="111"/>
  <c r="AA38" i="131"/>
  <c r="AA17" i="131"/>
  <c r="K33" i="111"/>
  <c r="R38" i="131"/>
  <c r="R17" i="131"/>
  <c r="M33" i="111"/>
  <c r="T38" i="131"/>
  <c r="T17" i="131"/>
  <c r="X33" i="111"/>
  <c r="AE38" i="131"/>
  <c r="AE17" i="131"/>
  <c r="H33" i="111"/>
  <c r="O38" i="131"/>
  <c r="O17" i="131"/>
  <c r="Q33" i="111"/>
  <c r="X38" i="131"/>
  <c r="X17" i="131"/>
  <c r="W33" i="111"/>
  <c r="AD38" i="131"/>
  <c r="AD17" i="131"/>
  <c r="V33" i="111"/>
  <c r="AC38" i="131"/>
  <c r="AC17" i="131"/>
  <c r="O33" i="101"/>
  <c r="V38" i="134"/>
  <c r="V17" i="134"/>
  <c r="T33" i="101"/>
  <c r="AA38" i="134"/>
  <c r="AA17" i="134"/>
  <c r="G33" i="101"/>
  <c r="N38" i="134"/>
  <c r="N17" i="134"/>
  <c r="V33" i="101"/>
  <c r="AC38" i="134"/>
  <c r="AC17" i="134"/>
  <c r="L33" i="101"/>
  <c r="S38" i="134"/>
  <c r="S17" i="134"/>
  <c r="K33" i="101"/>
  <c r="R38" i="134"/>
  <c r="R17" i="134"/>
  <c r="X33" i="101"/>
  <c r="AE38" i="134"/>
  <c r="AE17" i="134"/>
  <c r="U33" i="101"/>
  <c r="AB38" i="134"/>
  <c r="AB17" i="134"/>
  <c r="H33" i="101"/>
  <c r="O38" i="134"/>
  <c r="O17" i="134"/>
  <c r="I33" i="101"/>
  <c r="P38" i="134"/>
  <c r="P17" i="134"/>
  <c r="J33" i="101"/>
  <c r="Q38" i="134"/>
  <c r="Q17" i="134"/>
  <c r="R33" i="101"/>
  <c r="Y38" i="134"/>
  <c r="Y17" i="134"/>
  <c r="W33" i="101"/>
  <c r="AD38" i="134"/>
  <c r="AD17" i="134"/>
  <c r="N33" i="101"/>
  <c r="U38" i="134"/>
  <c r="U17" i="134"/>
  <c r="P33" i="101"/>
  <c r="W38" i="134"/>
  <c r="W17" i="134"/>
  <c r="S33" i="101"/>
  <c r="Z38" i="134"/>
  <c r="Z17" i="134"/>
  <c r="M33" i="101"/>
  <c r="T38" i="134"/>
  <c r="T17" i="134"/>
  <c r="Q33" i="101"/>
  <c r="X38" i="134"/>
  <c r="X17" i="134"/>
  <c r="F33" i="101"/>
  <c r="M38" i="134"/>
  <c r="M17" i="134"/>
  <c r="Q33" i="102"/>
  <c r="X38" i="135"/>
  <c r="X17" i="135"/>
  <c r="R33" i="102"/>
  <c r="Y38" i="135"/>
  <c r="Y17" i="135"/>
  <c r="N33" i="102"/>
  <c r="U38" i="135"/>
  <c r="U17" i="135"/>
  <c r="F33" i="102"/>
  <c r="M38" i="135"/>
  <c r="M17" i="135"/>
  <c r="T33" i="102"/>
  <c r="AA38" i="135"/>
  <c r="AA17" i="135"/>
  <c r="V33" i="102"/>
  <c r="AC38" i="135"/>
  <c r="AC17" i="135"/>
  <c r="G33" i="102"/>
  <c r="N38" i="135"/>
  <c r="N17" i="135"/>
  <c r="P33" i="102"/>
  <c r="W38" i="135"/>
  <c r="W17" i="135"/>
  <c r="M33" i="102"/>
  <c r="T38" i="135"/>
  <c r="T17" i="135"/>
  <c r="H33" i="102"/>
  <c r="O38" i="135"/>
  <c r="O17" i="135"/>
  <c r="O33" i="102"/>
  <c r="V38" i="135"/>
  <c r="V17" i="135"/>
  <c r="S33" i="102"/>
  <c r="Z38" i="135"/>
  <c r="Z17" i="135"/>
  <c r="J33" i="102"/>
  <c r="Q38" i="135"/>
  <c r="Q17" i="135"/>
  <c r="K33" i="102"/>
  <c r="R38" i="135"/>
  <c r="R17" i="135"/>
  <c r="L33" i="102"/>
  <c r="S38" i="135"/>
  <c r="S17" i="135"/>
  <c r="I33" i="102"/>
  <c r="P38" i="135"/>
  <c r="P17" i="135"/>
  <c r="W33" i="102"/>
  <c r="AD38" i="135"/>
  <c r="AD17" i="135"/>
  <c r="X33" i="102"/>
  <c r="AE38" i="135"/>
  <c r="AE17" i="135"/>
  <c r="U33" i="102"/>
  <c r="AB38" i="135"/>
  <c r="AB17" i="135"/>
  <c r="N33" i="118"/>
  <c r="U38" i="137"/>
  <c r="U17" i="137"/>
  <c r="T33" i="118"/>
  <c r="AA38" i="137"/>
  <c r="AA17" i="137"/>
  <c r="G33" i="118"/>
  <c r="N38" i="137"/>
  <c r="N17" i="137"/>
  <c r="W33" i="118"/>
  <c r="AD38" i="137"/>
  <c r="AD17" i="137"/>
  <c r="P33" i="118"/>
  <c r="W38" i="137"/>
  <c r="W17" i="137"/>
  <c r="H33" i="118"/>
  <c r="O38" i="137"/>
  <c r="O17" i="137"/>
  <c r="S33" i="118"/>
  <c r="Z38" i="137"/>
  <c r="Z17" i="137"/>
  <c r="K33" i="118"/>
  <c r="R38" i="137"/>
  <c r="R17" i="137"/>
  <c r="J33" i="118"/>
  <c r="Q38" i="137"/>
  <c r="Q17" i="137"/>
  <c r="U33" i="118"/>
  <c r="AB38" i="137"/>
  <c r="AB17" i="137"/>
  <c r="Q33" i="118"/>
  <c r="X38" i="137"/>
  <c r="X17" i="137"/>
  <c r="I33" i="118"/>
  <c r="P38" i="137"/>
  <c r="P17" i="137"/>
  <c r="F33" i="118"/>
  <c r="M38" i="137"/>
  <c r="M17" i="137"/>
  <c r="M33" i="118"/>
  <c r="T38" i="137"/>
  <c r="T17" i="137"/>
  <c r="L33" i="118"/>
  <c r="S38" i="137"/>
  <c r="S17" i="137"/>
  <c r="X33" i="118"/>
  <c r="AE38" i="137"/>
  <c r="AE17" i="137"/>
  <c r="V33" i="118"/>
  <c r="AC38" i="137"/>
  <c r="AC17" i="137"/>
  <c r="R33" i="118"/>
  <c r="Y38" i="137"/>
  <c r="Y17" i="137"/>
  <c r="O33" i="118"/>
  <c r="V38" i="137"/>
  <c r="V17" i="137"/>
  <c r="M33" i="117"/>
  <c r="T38" i="136"/>
  <c r="T17" i="136"/>
  <c r="K33" i="117"/>
  <c r="R38" i="136"/>
  <c r="R17" i="136"/>
  <c r="W33" i="117"/>
  <c r="AD38" i="136"/>
  <c r="AD17" i="136"/>
  <c r="L33" i="117"/>
  <c r="S38" i="136"/>
  <c r="S17" i="136"/>
  <c r="N33" i="117"/>
  <c r="U38" i="136"/>
  <c r="U17" i="136"/>
  <c r="U33" i="117"/>
  <c r="AB38" i="136"/>
  <c r="AB17" i="136"/>
  <c r="I33" i="117"/>
  <c r="P38" i="136"/>
  <c r="P17" i="136"/>
  <c r="S33" i="117"/>
  <c r="Z38" i="136"/>
  <c r="Z17" i="136"/>
  <c r="J33" i="117"/>
  <c r="Q38" i="136"/>
  <c r="Q17" i="136"/>
  <c r="G33" i="117"/>
  <c r="N38" i="136"/>
  <c r="N17" i="136"/>
  <c r="Q33" i="117"/>
  <c r="X38" i="136"/>
  <c r="X17" i="136"/>
  <c r="O33" i="117"/>
  <c r="V38" i="136"/>
  <c r="V17" i="136"/>
  <c r="V33" i="117"/>
  <c r="AC38" i="136"/>
  <c r="AC17" i="136"/>
  <c r="R33" i="117"/>
  <c r="Y38" i="136"/>
  <c r="Y17" i="136"/>
  <c r="X33" i="117"/>
  <c r="AE38" i="136"/>
  <c r="AE17" i="136"/>
  <c r="P33" i="117"/>
  <c r="W38" i="136"/>
  <c r="W17" i="136"/>
  <c r="T33" i="117"/>
  <c r="AA38" i="136"/>
  <c r="AA17" i="136"/>
  <c r="H33" i="117"/>
  <c r="O38" i="136"/>
  <c r="O17" i="136"/>
  <c r="F33" i="117"/>
  <c r="M38" i="136"/>
  <c r="M17" i="136"/>
  <c r="S33" i="114"/>
  <c r="Z38" i="125"/>
  <c r="K33" i="114"/>
  <c r="R38" i="125"/>
  <c r="U33" i="114"/>
  <c r="AB38" i="125"/>
  <c r="X33" i="114"/>
  <c r="AE38" i="125"/>
  <c r="O33" i="114"/>
  <c r="V38" i="125"/>
  <c r="N33" i="114"/>
  <c r="U38" i="125"/>
  <c r="Q33" i="114"/>
  <c r="X38" i="125"/>
  <c r="G33" i="114"/>
  <c r="N38" i="125"/>
  <c r="W33" i="114"/>
  <c r="AD38" i="125"/>
  <c r="H33" i="114"/>
  <c r="O38" i="125"/>
  <c r="T33" i="114"/>
  <c r="AA38" i="125"/>
  <c r="L33" i="114"/>
  <c r="S38" i="125"/>
  <c r="V33" i="114"/>
  <c r="AC38" i="125"/>
  <c r="R33" i="114"/>
  <c r="Y38" i="125"/>
  <c r="P33" i="114"/>
  <c r="W38" i="125"/>
  <c r="I33" i="114"/>
  <c r="P38" i="125"/>
  <c r="F33" i="114"/>
  <c r="M38" i="125"/>
  <c r="J33" i="114"/>
  <c r="Q38" i="125"/>
  <c r="M33" i="114"/>
  <c r="T38" i="125"/>
  <c r="S14" i="118"/>
  <c r="Z19" i="137"/>
  <c r="S14" i="114"/>
  <c r="Z19" i="125"/>
  <c r="S14" i="110"/>
  <c r="Z19" i="130"/>
  <c r="U14" i="118"/>
  <c r="AB19" i="137"/>
  <c r="U14" i="114"/>
  <c r="AB19" i="125"/>
  <c r="U14" i="110"/>
  <c r="AB19" i="130"/>
  <c r="I14" i="118"/>
  <c r="P19" i="137"/>
  <c r="I14" i="114"/>
  <c r="P19" i="125"/>
  <c r="I14" i="110"/>
  <c r="P19" i="130"/>
  <c r="F14" i="115"/>
  <c r="M19" i="126"/>
  <c r="F14" i="119"/>
  <c r="M19" i="138"/>
  <c r="F14" i="111"/>
  <c r="M19" i="131"/>
  <c r="P14" i="118"/>
  <c r="W19" i="137"/>
  <c r="P14" i="114"/>
  <c r="W19" i="125"/>
  <c r="P14" i="110"/>
  <c r="W19" i="130"/>
  <c r="N14" i="118"/>
  <c r="U19" i="137"/>
  <c r="N14" i="114"/>
  <c r="U19" i="125"/>
  <c r="N14" i="110"/>
  <c r="U19" i="130"/>
  <c r="M14" i="118"/>
  <c r="T19" i="137"/>
  <c r="M14" i="114"/>
  <c r="T19" i="125"/>
  <c r="M14" i="110"/>
  <c r="T19" i="130"/>
  <c r="O14" i="118"/>
  <c r="V19" i="137"/>
  <c r="O14" i="114"/>
  <c r="V19" i="125"/>
  <c r="O14" i="110"/>
  <c r="V19" i="130"/>
  <c r="G14" i="118"/>
  <c r="N19" i="137"/>
  <c r="G14" i="114"/>
  <c r="N19" i="125"/>
  <c r="G14" i="110"/>
  <c r="N19" i="130"/>
  <c r="O14" i="119"/>
  <c r="V19" i="138"/>
  <c r="O14" i="115"/>
  <c r="V19" i="126"/>
  <c r="O14" i="111"/>
  <c r="V19" i="131"/>
  <c r="P14" i="117"/>
  <c r="W19" i="136"/>
  <c r="P14" i="113"/>
  <c r="W19" i="124"/>
  <c r="P14" i="109"/>
  <c r="W19" i="128"/>
  <c r="G14" i="117"/>
  <c r="N19" i="136"/>
  <c r="G14" i="113"/>
  <c r="N19" i="124"/>
  <c r="G14" i="109"/>
  <c r="N19" i="128"/>
  <c r="Q14" i="117"/>
  <c r="X19" i="136"/>
  <c r="Q14" i="113"/>
  <c r="X19" i="124"/>
  <c r="Q14" i="109"/>
  <c r="X19" i="128"/>
  <c r="T14" i="117"/>
  <c r="AA19" i="136"/>
  <c r="T14" i="113"/>
  <c r="AA19" i="124"/>
  <c r="T14" i="109"/>
  <c r="AA19" i="128"/>
  <c r="O14" i="113"/>
  <c r="V19" i="124"/>
  <c r="O14" i="117"/>
  <c r="V19" i="136"/>
  <c r="O14" i="109"/>
  <c r="V19" i="128"/>
  <c r="W14" i="117"/>
  <c r="AD19" i="136"/>
  <c r="W14" i="113"/>
  <c r="AD19" i="124"/>
  <c r="W14" i="109"/>
  <c r="AD19" i="128"/>
  <c r="S14" i="119"/>
  <c r="Z19" i="138"/>
  <c r="S14" i="115"/>
  <c r="Z19" i="126"/>
  <c r="S14" i="111"/>
  <c r="Z19" i="131"/>
  <c r="K14" i="119"/>
  <c r="R19" i="138"/>
  <c r="K14" i="115"/>
  <c r="R19" i="126"/>
  <c r="K14" i="111"/>
  <c r="R19" i="131"/>
  <c r="Q14" i="118"/>
  <c r="X19" i="137"/>
  <c r="Q14" i="114"/>
  <c r="X19" i="125"/>
  <c r="Q14" i="110"/>
  <c r="X19" i="130"/>
  <c r="X14" i="115"/>
  <c r="AE19" i="126"/>
  <c r="X14" i="119"/>
  <c r="AE19" i="138"/>
  <c r="X14" i="111"/>
  <c r="AE19" i="131"/>
  <c r="J14" i="117"/>
  <c r="Q19" i="136"/>
  <c r="J14" i="113"/>
  <c r="Q19" i="124"/>
  <c r="J14" i="109"/>
  <c r="Q19" i="128"/>
  <c r="U14" i="117"/>
  <c r="AB19" i="136"/>
  <c r="U14" i="113"/>
  <c r="AB19" i="124"/>
  <c r="U14" i="109"/>
  <c r="AB19" i="128"/>
  <c r="S14" i="117"/>
  <c r="Z19" i="136"/>
  <c r="S14" i="113"/>
  <c r="Z19" i="124"/>
  <c r="S14" i="109"/>
  <c r="Z19" i="128"/>
  <c r="Q14" i="115"/>
  <c r="X19" i="126"/>
  <c r="Q14" i="119"/>
  <c r="X19" i="138"/>
  <c r="Q14" i="111"/>
  <c r="X19" i="131"/>
  <c r="L14" i="118"/>
  <c r="S19" i="137"/>
  <c r="L14" i="114"/>
  <c r="S19" i="125"/>
  <c r="L14" i="110"/>
  <c r="S19" i="130"/>
  <c r="X14" i="118"/>
  <c r="AE19" i="137"/>
  <c r="X14" i="110"/>
  <c r="AE19" i="130"/>
  <c r="X14" i="114"/>
  <c r="AE19" i="125"/>
  <c r="J14" i="114"/>
  <c r="Q19" i="125"/>
  <c r="J14" i="118"/>
  <c r="Q19" i="137"/>
  <c r="J14" i="110"/>
  <c r="Q19" i="130"/>
  <c r="W14" i="118"/>
  <c r="AD19" i="137"/>
  <c r="W14" i="114"/>
  <c r="AD19" i="125"/>
  <c r="W14" i="110"/>
  <c r="AD19" i="130"/>
  <c r="K14" i="118"/>
  <c r="R19" i="137"/>
  <c r="K14" i="114"/>
  <c r="R19" i="125"/>
  <c r="K14" i="110"/>
  <c r="R19" i="130"/>
  <c r="X14" i="117"/>
  <c r="AE19" i="136"/>
  <c r="X14" i="113"/>
  <c r="AE19" i="124"/>
  <c r="X14" i="109"/>
  <c r="AE19" i="128"/>
  <c r="P14" i="115"/>
  <c r="W19" i="126"/>
  <c r="P14" i="111"/>
  <c r="W19" i="131"/>
  <c r="P14" i="119"/>
  <c r="W19" i="138"/>
  <c r="L14" i="115"/>
  <c r="S19" i="126"/>
  <c r="L14" i="119"/>
  <c r="S19" i="138"/>
  <c r="L14" i="111"/>
  <c r="S19" i="131"/>
  <c r="V14" i="117"/>
  <c r="AC19" i="136"/>
  <c r="V14" i="113"/>
  <c r="AC19" i="124"/>
  <c r="V14" i="109"/>
  <c r="AC19" i="128"/>
  <c r="M14" i="117"/>
  <c r="T19" i="136"/>
  <c r="M14" i="113"/>
  <c r="T19" i="124"/>
  <c r="M14" i="109"/>
  <c r="T19" i="128"/>
  <c r="I14" i="117"/>
  <c r="P19" i="136"/>
  <c r="I14" i="109"/>
  <c r="P19" i="128"/>
  <c r="I14" i="113"/>
  <c r="P19" i="124"/>
  <c r="F14" i="117"/>
  <c r="M19" i="136"/>
  <c r="F14" i="113"/>
  <c r="M19" i="124"/>
  <c r="F14" i="109"/>
  <c r="M19" i="128"/>
  <c r="R14" i="117"/>
  <c r="Y19" i="136"/>
  <c r="R14" i="113"/>
  <c r="Y19" i="124"/>
  <c r="R14" i="109"/>
  <c r="Y19" i="128"/>
  <c r="G14" i="119"/>
  <c r="N19" i="138"/>
  <c r="G14" i="111"/>
  <c r="N19" i="131"/>
  <c r="G14" i="115"/>
  <c r="N19" i="126"/>
  <c r="V14" i="115"/>
  <c r="AC19" i="126"/>
  <c r="V14" i="119"/>
  <c r="AC19" i="138"/>
  <c r="V14" i="111"/>
  <c r="AC19" i="131"/>
  <c r="M14" i="115"/>
  <c r="T19" i="126"/>
  <c r="M14" i="119"/>
  <c r="T19" i="138"/>
  <c r="M14" i="111"/>
  <c r="T19" i="131"/>
  <c r="H14" i="115"/>
  <c r="O19" i="126"/>
  <c r="H14" i="119"/>
  <c r="O19" i="138"/>
  <c r="H14" i="111"/>
  <c r="O19" i="131"/>
  <c r="H14" i="117"/>
  <c r="O19" i="136"/>
  <c r="H14" i="113"/>
  <c r="O19" i="124"/>
  <c r="H14" i="109"/>
  <c r="O19" i="128"/>
  <c r="H14" i="118"/>
  <c r="O19" i="137"/>
  <c r="H14" i="114"/>
  <c r="O19" i="125"/>
  <c r="H14" i="110"/>
  <c r="O19" i="130"/>
  <c r="T14" i="118"/>
  <c r="AA19" i="137"/>
  <c r="T14" i="114"/>
  <c r="AA19" i="125"/>
  <c r="T14" i="110"/>
  <c r="AA19" i="130"/>
  <c r="V14" i="114"/>
  <c r="AC19" i="125"/>
  <c r="V14" i="110"/>
  <c r="AC19" i="130"/>
  <c r="V14" i="118"/>
  <c r="AC19" i="137"/>
  <c r="R14" i="118"/>
  <c r="Y19" i="137"/>
  <c r="R14" i="114"/>
  <c r="Y19" i="125"/>
  <c r="R14" i="110"/>
  <c r="Y19" i="130"/>
  <c r="F14" i="114"/>
  <c r="M19" i="125"/>
  <c r="F14" i="110"/>
  <c r="M19" i="130"/>
  <c r="F14" i="118"/>
  <c r="M19" i="137"/>
  <c r="T14" i="115"/>
  <c r="AA19" i="126"/>
  <c r="T14" i="111"/>
  <c r="AA19" i="131"/>
  <c r="T14" i="119"/>
  <c r="AA19" i="138"/>
  <c r="L14" i="117"/>
  <c r="S19" i="136"/>
  <c r="L14" i="113"/>
  <c r="S19" i="124"/>
  <c r="L14" i="109"/>
  <c r="S19" i="128"/>
  <c r="U14" i="115"/>
  <c r="AB19" i="126"/>
  <c r="U14" i="119"/>
  <c r="AB19" i="138"/>
  <c r="U14" i="111"/>
  <c r="AB19" i="131"/>
  <c r="I14" i="115"/>
  <c r="P19" i="126"/>
  <c r="I14" i="119"/>
  <c r="P19" i="138"/>
  <c r="I14" i="111"/>
  <c r="P19" i="131"/>
  <c r="N14" i="117"/>
  <c r="U19" i="136"/>
  <c r="N14" i="113"/>
  <c r="U19" i="124"/>
  <c r="N14" i="109"/>
  <c r="U19" i="128"/>
  <c r="K14" i="113"/>
  <c r="R19" i="124"/>
  <c r="K14" i="117"/>
  <c r="R19" i="136"/>
  <c r="K14" i="109"/>
  <c r="R19" i="128"/>
  <c r="J14" i="115"/>
  <c r="Q19" i="126"/>
  <c r="J14" i="119"/>
  <c r="Q19" i="138"/>
  <c r="J14" i="111"/>
  <c r="Q19" i="131"/>
  <c r="R14" i="115"/>
  <c r="Y19" i="126"/>
  <c r="R14" i="119"/>
  <c r="Y19" i="138"/>
  <c r="R14" i="111"/>
  <c r="Y19" i="131"/>
  <c r="W14" i="119"/>
  <c r="AD19" i="138"/>
  <c r="W14" i="111"/>
  <c r="AD19" i="131"/>
  <c r="W14" i="115"/>
  <c r="AD19" i="126"/>
  <c r="N14" i="115"/>
  <c r="U19" i="126"/>
  <c r="N14" i="119"/>
  <c r="U19" i="138"/>
  <c r="N14" i="111"/>
  <c r="U19" i="131"/>
  <c r="U14" i="102"/>
  <c r="AB19" i="135"/>
  <c r="U14" i="105"/>
  <c r="AB19" i="143"/>
  <c r="L14" i="105"/>
  <c r="S19" i="143"/>
  <c r="L14" i="102"/>
  <c r="S19" i="135"/>
  <c r="F14" i="105"/>
  <c r="M19" i="143"/>
  <c r="F14" i="102"/>
  <c r="M19" i="135"/>
  <c r="G14" i="102"/>
  <c r="N19" i="135"/>
  <c r="G14" i="105"/>
  <c r="N19" i="143"/>
  <c r="V32" i="13"/>
  <c r="X14" i="105"/>
  <c r="AE19" i="143"/>
  <c r="X14" i="102"/>
  <c r="AE19" i="135"/>
  <c r="J14" i="105"/>
  <c r="Q19" i="143"/>
  <c r="J14" i="102"/>
  <c r="Q19" i="135"/>
  <c r="K14" i="102"/>
  <c r="R19" i="135"/>
  <c r="K14" i="105"/>
  <c r="R19" i="143"/>
  <c r="Q14" i="102"/>
  <c r="X19" i="135"/>
  <c r="Q14" i="105"/>
  <c r="X19" i="143"/>
  <c r="H14" i="105"/>
  <c r="O19" i="143"/>
  <c r="H14" i="102"/>
  <c r="O19" i="135"/>
  <c r="M14" i="102"/>
  <c r="T19" i="135"/>
  <c r="M14" i="105"/>
  <c r="T19" i="143"/>
  <c r="S14" i="102"/>
  <c r="Z19" i="135"/>
  <c r="S14" i="105"/>
  <c r="Z19" i="143"/>
  <c r="I14" i="102"/>
  <c r="P19" i="135"/>
  <c r="I14" i="105"/>
  <c r="P19" i="143"/>
  <c r="R14" i="105"/>
  <c r="Y19" i="143"/>
  <c r="R14" i="102"/>
  <c r="Y19" i="135"/>
  <c r="O14" i="102"/>
  <c r="V19" i="135"/>
  <c r="O14" i="105"/>
  <c r="V19" i="143"/>
  <c r="T14" i="105"/>
  <c r="AA19" i="143"/>
  <c r="T14" i="102"/>
  <c r="AA19" i="135"/>
  <c r="W14" i="102"/>
  <c r="AD19" i="135"/>
  <c r="W14" i="105"/>
  <c r="AD19" i="143"/>
  <c r="P14" i="105"/>
  <c r="W19" i="143"/>
  <c r="P14" i="102"/>
  <c r="W19" i="135"/>
  <c r="N14" i="105"/>
  <c r="U19" i="143"/>
  <c r="N14" i="102"/>
  <c r="U19" i="135"/>
  <c r="V14" i="105"/>
  <c r="AC19" i="143"/>
  <c r="V14" i="102"/>
  <c r="AC19" i="135"/>
  <c r="H14" i="103"/>
  <c r="O19" i="141"/>
  <c r="H14" i="99"/>
  <c r="O19" i="133"/>
  <c r="T14" i="103"/>
  <c r="AA19" i="141"/>
  <c r="T14" i="99"/>
  <c r="AA19" i="133"/>
  <c r="V14" i="103"/>
  <c r="AC19" i="141"/>
  <c r="V14" i="99"/>
  <c r="AC19" i="133"/>
  <c r="R14" i="103"/>
  <c r="Y19" i="141"/>
  <c r="R14" i="99"/>
  <c r="Y19" i="133"/>
  <c r="F14" i="103"/>
  <c r="M19" i="141"/>
  <c r="F14" i="99"/>
  <c r="M19" i="133"/>
  <c r="T14" i="101"/>
  <c r="AA19" i="134"/>
  <c r="T14" i="104"/>
  <c r="AA19" i="142"/>
  <c r="L14" i="93"/>
  <c r="S19" i="140"/>
  <c r="L14" i="96"/>
  <c r="S19" i="129"/>
  <c r="U14" i="101"/>
  <c r="AB19" i="134"/>
  <c r="U14" i="104"/>
  <c r="AB19" i="142"/>
  <c r="I14" i="101"/>
  <c r="P19" i="134"/>
  <c r="I14" i="104"/>
  <c r="P19" i="142"/>
  <c r="N14" i="93"/>
  <c r="U19" i="140"/>
  <c r="N14" i="96"/>
  <c r="U19" i="129"/>
  <c r="K14" i="96"/>
  <c r="R19" i="129"/>
  <c r="K14" i="93"/>
  <c r="R19" i="140"/>
  <c r="J14" i="104"/>
  <c r="Q19" i="142"/>
  <c r="J14" i="101"/>
  <c r="Q19" i="134"/>
  <c r="R14" i="104"/>
  <c r="Y19" i="142"/>
  <c r="R14" i="101"/>
  <c r="Y19" i="134"/>
  <c r="W14" i="101"/>
  <c r="AD19" i="134"/>
  <c r="W14" i="104"/>
  <c r="AD19" i="142"/>
  <c r="N14" i="104"/>
  <c r="U19" i="142"/>
  <c r="N14" i="101"/>
  <c r="U19" i="134"/>
  <c r="S14" i="103"/>
  <c r="Z19" i="141"/>
  <c r="S14" i="99"/>
  <c r="Z19" i="133"/>
  <c r="Q14" i="99"/>
  <c r="X19" i="133"/>
  <c r="Q14" i="103"/>
  <c r="X19" i="141"/>
  <c r="U14" i="99"/>
  <c r="AB19" i="133"/>
  <c r="U14" i="103"/>
  <c r="AB19" i="141"/>
  <c r="I14" i="99"/>
  <c r="P19" i="133"/>
  <c r="I14" i="103"/>
  <c r="P19" i="141"/>
  <c r="M14" i="101"/>
  <c r="T19" i="134"/>
  <c r="M14" i="104"/>
  <c r="T19" i="142"/>
  <c r="X14" i="101"/>
  <c r="AE19" i="134"/>
  <c r="X14" i="104"/>
  <c r="AE19" i="142"/>
  <c r="J14" i="93"/>
  <c r="Q19" i="140"/>
  <c r="J14" i="96"/>
  <c r="Q19" i="129"/>
  <c r="H14" i="101"/>
  <c r="O19" i="134"/>
  <c r="H14" i="104"/>
  <c r="O19" i="142"/>
  <c r="U14" i="93"/>
  <c r="AB19" i="140"/>
  <c r="U14" i="96"/>
  <c r="AB19" i="129"/>
  <c r="S14" i="93"/>
  <c r="Z19" i="140"/>
  <c r="S14" i="96"/>
  <c r="Z19" i="129"/>
  <c r="H14" i="93"/>
  <c r="O19" i="140"/>
  <c r="H14" i="96"/>
  <c r="O19" i="129"/>
  <c r="Q14" i="101"/>
  <c r="X19" i="134"/>
  <c r="Q14" i="104"/>
  <c r="X19" i="142"/>
  <c r="F14" i="104"/>
  <c r="M19" i="142"/>
  <c r="F14" i="101"/>
  <c r="M19" i="134"/>
  <c r="P14" i="103"/>
  <c r="W19" i="141"/>
  <c r="P14" i="99"/>
  <c r="W19" i="133"/>
  <c r="N14" i="103"/>
  <c r="U19" i="141"/>
  <c r="N14" i="99"/>
  <c r="U19" i="133"/>
  <c r="M14" i="99"/>
  <c r="T19" i="133"/>
  <c r="M14" i="103"/>
  <c r="T19" i="141"/>
  <c r="O14" i="103"/>
  <c r="V19" i="141"/>
  <c r="O14" i="99"/>
  <c r="V19" i="133"/>
  <c r="G14" i="103"/>
  <c r="N19" i="141"/>
  <c r="G14" i="99"/>
  <c r="N19" i="133"/>
  <c r="O14" i="101"/>
  <c r="V19" i="134"/>
  <c r="O14" i="104"/>
  <c r="V19" i="142"/>
  <c r="P14" i="93"/>
  <c r="W19" i="140"/>
  <c r="P14" i="96"/>
  <c r="W19" i="129"/>
  <c r="G14" i="93"/>
  <c r="N19" i="140"/>
  <c r="G14" i="96"/>
  <c r="N19" i="129"/>
  <c r="Q14" i="93"/>
  <c r="X19" i="140"/>
  <c r="Q14" i="96"/>
  <c r="X19" i="129"/>
  <c r="T14" i="93"/>
  <c r="AA19" i="140"/>
  <c r="T14" i="96"/>
  <c r="AA19" i="129"/>
  <c r="O14" i="93"/>
  <c r="V19" i="140"/>
  <c r="O14" i="96"/>
  <c r="V19" i="129"/>
  <c r="W14" i="93"/>
  <c r="AD19" i="140"/>
  <c r="W14" i="96"/>
  <c r="AD19" i="129"/>
  <c r="S14" i="101"/>
  <c r="Z19" i="134"/>
  <c r="S14" i="104"/>
  <c r="Z19" i="142"/>
  <c r="K14" i="101"/>
  <c r="R19" i="134"/>
  <c r="K14" i="104"/>
  <c r="R19" i="142"/>
  <c r="L14" i="103"/>
  <c r="S19" i="141"/>
  <c r="L14" i="99"/>
  <c r="S19" i="133"/>
  <c r="X14" i="103"/>
  <c r="AE19" i="141"/>
  <c r="X14" i="99"/>
  <c r="AE19" i="133"/>
  <c r="J14" i="103"/>
  <c r="Q19" i="141"/>
  <c r="J14" i="99"/>
  <c r="Q19" i="133"/>
  <c r="W14" i="103"/>
  <c r="AD19" i="141"/>
  <c r="W14" i="99"/>
  <c r="AD19" i="133"/>
  <c r="K14" i="103"/>
  <c r="R19" i="141"/>
  <c r="K14" i="99"/>
  <c r="R19" i="133"/>
  <c r="X14" i="93"/>
  <c r="AE19" i="140"/>
  <c r="X14" i="96"/>
  <c r="AE19" i="129"/>
  <c r="P14" i="101"/>
  <c r="W19" i="134"/>
  <c r="P14" i="104"/>
  <c r="W19" i="142"/>
  <c r="L14" i="101"/>
  <c r="S19" i="134"/>
  <c r="L14" i="104"/>
  <c r="S19" i="142"/>
  <c r="V14" i="93"/>
  <c r="AC19" i="140"/>
  <c r="V14" i="96"/>
  <c r="AC19" i="129"/>
  <c r="M14" i="93"/>
  <c r="T19" i="140"/>
  <c r="M14" i="96"/>
  <c r="T19" i="129"/>
  <c r="I14" i="93"/>
  <c r="P19" i="140"/>
  <c r="I14" i="96"/>
  <c r="P19" i="129"/>
  <c r="F14" i="93"/>
  <c r="M19" i="140"/>
  <c r="F14" i="96"/>
  <c r="M19" i="129"/>
  <c r="R14" i="93"/>
  <c r="Y19" i="140"/>
  <c r="R14" i="96"/>
  <c r="Y19" i="129"/>
  <c r="G14" i="101"/>
  <c r="N19" i="134"/>
  <c r="G14" i="104"/>
  <c r="N19" i="142"/>
  <c r="V14" i="104"/>
  <c r="AC19" i="142"/>
  <c r="V14" i="101"/>
  <c r="AC19" i="134"/>
  <c r="X19" i="13"/>
  <c r="T29" i="97"/>
  <c r="S35" i="97"/>
  <c r="S39" i="97"/>
  <c r="T35" i="96"/>
  <c r="AA40" i="129"/>
  <c r="T39" i="96"/>
  <c r="AA44" i="129"/>
  <c r="F28" i="108"/>
  <c r="V75" i="13"/>
  <c r="V73" i="13"/>
  <c r="X14" i="13"/>
  <c r="W18" i="13"/>
  <c r="W32" i="13"/>
  <c r="V15" i="13"/>
  <c r="V42" i="13"/>
  <c r="V34" i="13"/>
  <c r="V36" i="13"/>
  <c r="X21" i="13"/>
  <c r="V40" i="13"/>
  <c r="V39" i="13"/>
  <c r="W38" i="13"/>
  <c r="V44" i="13"/>
  <c r="F33" i="108"/>
  <c r="M38" i="123"/>
  <c r="F30" i="108"/>
  <c r="M33" i="123"/>
  <c r="V20" i="13"/>
  <c r="V22" i="13"/>
  <c r="Y19" i="13"/>
  <c r="F28" i="97"/>
  <c r="F30" i="97"/>
  <c r="F30" i="96"/>
  <c r="F30" i="93"/>
  <c r="M35" i="140"/>
  <c r="F33" i="96"/>
  <c r="M38" i="129"/>
  <c r="U29" i="97"/>
  <c r="T39" i="97"/>
  <c r="T35" i="97"/>
  <c r="U39" i="96"/>
  <c r="AB44" i="129"/>
  <c r="U35" i="96"/>
  <c r="AB40" i="129"/>
  <c r="Y14" i="13"/>
  <c r="X74" i="13"/>
  <c r="W75" i="13"/>
  <c r="W73" i="13"/>
  <c r="Y21" i="13"/>
  <c r="Z21" i="13"/>
  <c r="AA21" i="13"/>
  <c r="AB21" i="13"/>
  <c r="AC21" i="13"/>
  <c r="AD21" i="13"/>
  <c r="AE21" i="13"/>
  <c r="AF21" i="13"/>
  <c r="AG21" i="13"/>
  <c r="AH21" i="13"/>
  <c r="AI21" i="13"/>
  <c r="AJ21" i="13"/>
  <c r="AK21" i="13"/>
  <c r="AL21" i="13"/>
  <c r="AM21" i="13"/>
  <c r="AN21" i="13"/>
  <c r="X18" i="13"/>
  <c r="X32" i="13"/>
  <c r="V29" i="13"/>
  <c r="V41" i="13"/>
  <c r="W40" i="13"/>
  <c r="X38" i="13"/>
  <c r="W44" i="13"/>
  <c r="W39" i="13"/>
  <c r="F30" i="99"/>
  <c r="M35" i="133"/>
  <c r="F33" i="99"/>
  <c r="M38" i="133"/>
  <c r="F33" i="97"/>
  <c r="Z19" i="13"/>
  <c r="F33" i="93"/>
  <c r="M38" i="140"/>
  <c r="V29" i="97"/>
  <c r="U39" i="97"/>
  <c r="U35" i="97"/>
  <c r="V39" i="96"/>
  <c r="AC44" i="129"/>
  <c r="V35" i="96"/>
  <c r="AC40" i="129"/>
  <c r="X75" i="13"/>
  <c r="X73" i="13"/>
  <c r="H28" i="108"/>
  <c r="X40" i="13"/>
  <c r="X39" i="13"/>
  <c r="Z14" i="13"/>
  <c r="Z74" i="13"/>
  <c r="Y74" i="13"/>
  <c r="W15" i="13"/>
  <c r="W42" i="13"/>
  <c r="W41" i="13"/>
  <c r="W34" i="13"/>
  <c r="W36" i="13"/>
  <c r="G28" i="108"/>
  <c r="W20" i="13"/>
  <c r="X15" i="13"/>
  <c r="X42" i="13"/>
  <c r="Y18" i="13"/>
  <c r="Y32" i="13"/>
  <c r="Y38" i="13"/>
  <c r="X44" i="13"/>
  <c r="H30" i="108"/>
  <c r="O33" i="123"/>
  <c r="G30" i="108"/>
  <c r="N33" i="123"/>
  <c r="X20" i="13"/>
  <c r="H33" i="108"/>
  <c r="O38" i="123"/>
  <c r="X34" i="13"/>
  <c r="X36" i="13"/>
  <c r="G33" i="108"/>
  <c r="N38" i="123"/>
  <c r="W22" i="13"/>
  <c r="X22" i="13"/>
  <c r="AA19" i="13"/>
  <c r="H30" i="96"/>
  <c r="H28" i="97"/>
  <c r="H30" i="97"/>
  <c r="H30" i="93"/>
  <c r="O35" i="140"/>
  <c r="G30" i="96"/>
  <c r="G28" i="97"/>
  <c r="G30" i="97"/>
  <c r="W29" i="97"/>
  <c r="V39" i="97"/>
  <c r="V35" i="97"/>
  <c r="W35" i="96"/>
  <c r="AD40" i="129"/>
  <c r="W39" i="96"/>
  <c r="AD44" i="129"/>
  <c r="Y75" i="13"/>
  <c r="Y73" i="13"/>
  <c r="Y40" i="13"/>
  <c r="X29" i="13"/>
  <c r="AA14" i="13"/>
  <c r="W29" i="13"/>
  <c r="Z18" i="13"/>
  <c r="Z32" i="13"/>
  <c r="X41" i="13"/>
  <c r="Z38" i="13"/>
  <c r="Y44" i="13"/>
  <c r="Y39" i="13"/>
  <c r="G30" i="99"/>
  <c r="N35" i="133"/>
  <c r="G33" i="99"/>
  <c r="N38" i="133"/>
  <c r="H30" i="99"/>
  <c r="O35" i="133"/>
  <c r="H33" i="99"/>
  <c r="O38" i="133"/>
  <c r="H33" i="93"/>
  <c r="O38" i="140"/>
  <c r="AB19" i="13"/>
  <c r="G30" i="93"/>
  <c r="N35" i="140"/>
  <c r="G33" i="93"/>
  <c r="N38" i="140"/>
  <c r="H33" i="97"/>
  <c r="H33" i="96"/>
  <c r="O38" i="129"/>
  <c r="G33" i="97"/>
  <c r="G33" i="96"/>
  <c r="N38" i="129"/>
  <c r="X29" i="97"/>
  <c r="W35" i="97"/>
  <c r="W39" i="97"/>
  <c r="X39" i="96"/>
  <c r="AE44" i="129"/>
  <c r="X35" i="96"/>
  <c r="AE40" i="129"/>
  <c r="Y20" i="13"/>
  <c r="Y34" i="13"/>
  <c r="Y36" i="13"/>
  <c r="I28" i="108"/>
  <c r="Y15" i="13"/>
  <c r="Y42" i="13"/>
  <c r="AB14" i="13"/>
  <c r="AB74" i="13"/>
  <c r="AA74" i="13"/>
  <c r="Z75" i="13"/>
  <c r="Z73" i="13"/>
  <c r="Z40" i="13"/>
  <c r="Z39" i="13"/>
  <c r="Z15" i="13"/>
  <c r="Z42" i="13"/>
  <c r="J28" i="108"/>
  <c r="Z34" i="13"/>
  <c r="Z36" i="13"/>
  <c r="Z20" i="13"/>
  <c r="AA18" i="13"/>
  <c r="AA32" i="13"/>
  <c r="Z29" i="13"/>
  <c r="Y41" i="13"/>
  <c r="AA38" i="13"/>
  <c r="Z44" i="13"/>
  <c r="J30" i="108"/>
  <c r="Q33" i="123"/>
  <c r="I30" i="108"/>
  <c r="P33" i="123"/>
  <c r="J33" i="108"/>
  <c r="Q38" i="123"/>
  <c r="I33" i="108"/>
  <c r="P38" i="123"/>
  <c r="Y22" i="13"/>
  <c r="Z22" i="13"/>
  <c r="AC19" i="13"/>
  <c r="J28" i="97"/>
  <c r="J30" i="97"/>
  <c r="J30" i="96"/>
  <c r="J30" i="93"/>
  <c r="Q35" i="140"/>
  <c r="I30" i="96"/>
  <c r="I28" i="97"/>
  <c r="I30" i="97"/>
  <c r="I30" i="93"/>
  <c r="P35" i="140"/>
  <c r="X35" i="97"/>
  <c r="X39" i="97"/>
  <c r="AC14" i="13"/>
  <c r="AC74" i="13"/>
  <c r="AA75" i="13"/>
  <c r="AA73" i="13"/>
  <c r="AA40" i="13"/>
  <c r="AA15" i="13"/>
  <c r="AA42" i="13"/>
  <c r="Y29" i="13"/>
  <c r="K28" i="108"/>
  <c r="AA20" i="13"/>
  <c r="AB18" i="13"/>
  <c r="AB32" i="13"/>
  <c r="Z41" i="13"/>
  <c r="AB38" i="13"/>
  <c r="AA44" i="13"/>
  <c r="AA39" i="13"/>
  <c r="K30" i="108"/>
  <c r="R33" i="123"/>
  <c r="K33" i="108"/>
  <c r="R38" i="123"/>
  <c r="AA29" i="13"/>
  <c r="I30" i="99"/>
  <c r="P35" i="133"/>
  <c r="I33" i="99"/>
  <c r="P38" i="133"/>
  <c r="J30" i="99"/>
  <c r="Q35" i="133"/>
  <c r="J33" i="99"/>
  <c r="Q38" i="133"/>
  <c r="I33" i="97"/>
  <c r="J33" i="96"/>
  <c r="Q38" i="129"/>
  <c r="J33" i="97"/>
  <c r="AD19" i="13"/>
  <c r="AA22" i="13"/>
  <c r="AA34" i="13"/>
  <c r="AA36" i="13"/>
  <c r="AD14" i="13"/>
  <c r="AD74" i="13"/>
  <c r="J33" i="93"/>
  <c r="Q38" i="140"/>
  <c r="I33" i="96"/>
  <c r="P38" i="129"/>
  <c r="K30" i="96"/>
  <c r="K28" i="97"/>
  <c r="K30" i="97"/>
  <c r="K30" i="93"/>
  <c r="R35" i="140"/>
  <c r="I33" i="93"/>
  <c r="P38" i="140"/>
  <c r="AB75" i="13"/>
  <c r="AB73" i="13"/>
  <c r="AB40" i="13"/>
  <c r="AB39" i="13"/>
  <c r="AB15" i="13"/>
  <c r="AB42" i="13"/>
  <c r="AB34" i="13"/>
  <c r="AB36" i="13"/>
  <c r="L28" i="108"/>
  <c r="AB20" i="13"/>
  <c r="AC18" i="13"/>
  <c r="AC32" i="13"/>
  <c r="AA41" i="13"/>
  <c r="AC38" i="13"/>
  <c r="AB44" i="13"/>
  <c r="L30" i="108"/>
  <c r="S33" i="123"/>
  <c r="K33" i="97"/>
  <c r="L33" i="108"/>
  <c r="S38" i="123"/>
  <c r="K30" i="99"/>
  <c r="R35" i="133"/>
  <c r="K33" i="99"/>
  <c r="R38" i="133"/>
  <c r="AE19" i="13"/>
  <c r="K33" i="96"/>
  <c r="R38" i="129"/>
  <c r="AB22" i="13"/>
  <c r="L28" i="97"/>
  <c r="L30" i="97"/>
  <c r="L30" i="96"/>
  <c r="L30" i="93"/>
  <c r="S35" i="140"/>
  <c r="L33" i="96"/>
  <c r="S38" i="129"/>
  <c r="AE14" i="13"/>
  <c r="AE74" i="13"/>
  <c r="K33" i="93"/>
  <c r="R38" i="140"/>
  <c r="AC75" i="13"/>
  <c r="AC73" i="13"/>
  <c r="AC40" i="13"/>
  <c r="AC15" i="13"/>
  <c r="AC42" i="13"/>
  <c r="AD18" i="13"/>
  <c r="AD32" i="13"/>
  <c r="AB29" i="13"/>
  <c r="AB41" i="13"/>
  <c r="AD38" i="13"/>
  <c r="AC44" i="13"/>
  <c r="AC39" i="13"/>
  <c r="L30" i="99"/>
  <c r="S35" i="133"/>
  <c r="L33" i="99"/>
  <c r="S38" i="133"/>
  <c r="AC20" i="13"/>
  <c r="AC22" i="13"/>
  <c r="AC34" i="13"/>
  <c r="AC36" i="13"/>
  <c r="L33" i="97"/>
  <c r="AF19" i="13"/>
  <c r="AF14" i="13"/>
  <c r="AF74" i="13"/>
  <c r="L33" i="93"/>
  <c r="S38" i="140"/>
  <c r="AD75" i="13"/>
  <c r="AD73" i="13"/>
  <c r="AD40" i="13"/>
  <c r="AD39" i="13"/>
  <c r="AD15" i="13"/>
  <c r="AD42" i="13"/>
  <c r="AD34" i="13"/>
  <c r="AD36" i="13"/>
  <c r="N28" i="108"/>
  <c r="AD20" i="13"/>
  <c r="AE18" i="13"/>
  <c r="AE32" i="13"/>
  <c r="AC41" i="13"/>
  <c r="AE38" i="13"/>
  <c r="AD44" i="13"/>
  <c r="N30" i="108"/>
  <c r="U33" i="123"/>
  <c r="N33" i="108"/>
  <c r="U38" i="123"/>
  <c r="M28" i="97"/>
  <c r="M30" i="97"/>
  <c r="M28" i="108"/>
  <c r="T33" i="123"/>
  <c r="M30" i="96"/>
  <c r="M30" i="93"/>
  <c r="T35" i="140"/>
  <c r="AC29" i="13"/>
  <c r="AG19" i="13"/>
  <c r="AD22" i="13"/>
  <c r="M33" i="93"/>
  <c r="T38" i="140"/>
  <c r="N28" i="97"/>
  <c r="N30" i="97"/>
  <c r="N30" i="96"/>
  <c r="N30" i="93"/>
  <c r="U35" i="140"/>
  <c r="AG14" i="13"/>
  <c r="AG74" i="13"/>
  <c r="AE75" i="13"/>
  <c r="AE73" i="13"/>
  <c r="AE40" i="13"/>
  <c r="AE39" i="13"/>
  <c r="AE34" i="13"/>
  <c r="AE36" i="13"/>
  <c r="AF18" i="13"/>
  <c r="AF32" i="13"/>
  <c r="AD29" i="13"/>
  <c r="AD41" i="13"/>
  <c r="AF38" i="13"/>
  <c r="AE44" i="13"/>
  <c r="M33" i="97"/>
  <c r="M30" i="108"/>
  <c r="M33" i="108"/>
  <c r="T38" i="123"/>
  <c r="N30" i="99"/>
  <c r="U35" i="133"/>
  <c r="N33" i="99"/>
  <c r="U38" i="133"/>
  <c r="AE20" i="13"/>
  <c r="AE22" i="13"/>
  <c r="M33" i="96"/>
  <c r="T38" i="129"/>
  <c r="M30" i="99"/>
  <c r="T35" i="133"/>
  <c r="M33" i="99"/>
  <c r="T38" i="133"/>
  <c r="N33" i="93"/>
  <c r="U38" i="140"/>
  <c r="O28" i="108"/>
  <c r="AE15" i="13"/>
  <c r="AE42" i="13"/>
  <c r="AH19" i="13"/>
  <c r="AH14" i="13"/>
  <c r="AH74" i="13"/>
  <c r="N33" i="96"/>
  <c r="U38" i="129"/>
  <c r="N33" i="97"/>
  <c r="AF75" i="13"/>
  <c r="AF73" i="13"/>
  <c r="AF40" i="13"/>
  <c r="AF39" i="13"/>
  <c r="AF15" i="13"/>
  <c r="AF42" i="13"/>
  <c r="AF34" i="13"/>
  <c r="AF36" i="13"/>
  <c r="P28" i="108"/>
  <c r="AF20" i="13"/>
  <c r="AF22" i="13"/>
  <c r="AG18" i="13"/>
  <c r="AG32" i="13"/>
  <c r="AE41" i="13"/>
  <c r="AG38" i="13"/>
  <c r="AF44" i="13"/>
  <c r="O30" i="108"/>
  <c r="V33" i="123"/>
  <c r="P30" i="108"/>
  <c r="W33" i="123"/>
  <c r="P33" i="108"/>
  <c r="W38" i="123"/>
  <c r="O33" i="108"/>
  <c r="V38" i="123"/>
  <c r="O30" i="93"/>
  <c r="V35" i="140"/>
  <c r="O28" i="97"/>
  <c r="O30" i="97"/>
  <c r="AE29" i="13"/>
  <c r="O33" i="93"/>
  <c r="V38" i="140"/>
  <c r="O30" i="96"/>
  <c r="AI19" i="13"/>
  <c r="P30" i="96"/>
  <c r="P28" i="97"/>
  <c r="P30" i="97"/>
  <c r="P30" i="93"/>
  <c r="W35" i="140"/>
  <c r="AI14" i="13"/>
  <c r="AI74" i="13"/>
  <c r="O33" i="96"/>
  <c r="V38" i="129"/>
  <c r="AG75" i="13"/>
  <c r="AG73" i="13"/>
  <c r="AG40" i="13"/>
  <c r="AG39" i="13"/>
  <c r="Q28" i="108"/>
  <c r="Q33" i="108"/>
  <c r="X38" i="123"/>
  <c r="AG15" i="13"/>
  <c r="AG42" i="13"/>
  <c r="AG34" i="13"/>
  <c r="AG36" i="13"/>
  <c r="AG20" i="13"/>
  <c r="AH18" i="13"/>
  <c r="AH32" i="13"/>
  <c r="AF29" i="13"/>
  <c r="AF41" i="13"/>
  <c r="AH38" i="13"/>
  <c r="AG44" i="13"/>
  <c r="Q30" i="108"/>
  <c r="X33" i="123"/>
  <c r="O30" i="99"/>
  <c r="V35" i="133"/>
  <c r="O33" i="99"/>
  <c r="V38" i="133"/>
  <c r="P30" i="99"/>
  <c r="W35" i="133"/>
  <c r="P33" i="99"/>
  <c r="W38" i="133"/>
  <c r="P33" i="93"/>
  <c r="W38" i="140"/>
  <c r="P33" i="97"/>
  <c r="O33" i="97"/>
  <c r="P33" i="96"/>
  <c r="W38" i="129"/>
  <c r="AG22" i="13"/>
  <c r="AJ19" i="13"/>
  <c r="Q30" i="96"/>
  <c r="Q28" i="97"/>
  <c r="Q30" i="97"/>
  <c r="Q30" i="93"/>
  <c r="X35" i="140"/>
  <c r="AH75" i="13"/>
  <c r="AH73" i="13"/>
  <c r="AH40" i="13"/>
  <c r="AH39" i="13"/>
  <c r="AH15" i="13"/>
  <c r="AH42" i="13"/>
  <c r="R28" i="108"/>
  <c r="AH34" i="13"/>
  <c r="AH36" i="13"/>
  <c r="AH20" i="13"/>
  <c r="AI18" i="13"/>
  <c r="AI32" i="13"/>
  <c r="AG29" i="13"/>
  <c r="AG41" i="13"/>
  <c r="AI38" i="13"/>
  <c r="AH44" i="13"/>
  <c r="R30" i="108"/>
  <c r="Y33" i="123"/>
  <c r="R33" i="108"/>
  <c r="Y38" i="123"/>
  <c r="Q30" i="99"/>
  <c r="X35" i="133"/>
  <c r="Q33" i="99"/>
  <c r="X38" i="133"/>
  <c r="Q33" i="96"/>
  <c r="X38" i="129"/>
  <c r="AH22" i="13"/>
  <c r="AK19" i="13"/>
  <c r="Q33" i="97"/>
  <c r="R28" i="97"/>
  <c r="R30" i="97"/>
  <c r="R30" i="96"/>
  <c r="R30" i="93"/>
  <c r="Y35" i="140"/>
  <c r="R33" i="93"/>
  <c r="Y38" i="140"/>
  <c r="Q33" i="93"/>
  <c r="X38" i="140"/>
  <c r="AH29" i="13"/>
  <c r="AI75" i="13"/>
  <c r="AI73" i="13"/>
  <c r="AI40" i="13"/>
  <c r="AI39" i="13"/>
  <c r="AI15" i="13"/>
  <c r="AI42" i="13"/>
  <c r="AI34" i="13"/>
  <c r="AI36" i="13"/>
  <c r="S28" i="108"/>
  <c r="AI20" i="13"/>
  <c r="AJ18" i="13"/>
  <c r="AJ32" i="13"/>
  <c r="AH41" i="13"/>
  <c r="AJ38" i="13"/>
  <c r="AI44" i="13"/>
  <c r="S30" i="108"/>
  <c r="Z33" i="123"/>
  <c r="S33" i="108"/>
  <c r="Z38" i="123"/>
  <c r="R30" i="99"/>
  <c r="Y35" i="133"/>
  <c r="R33" i="99"/>
  <c r="Y38" i="133"/>
  <c r="R33" i="97"/>
  <c r="AI22" i="13"/>
  <c r="AL19" i="13"/>
  <c r="S33" i="96"/>
  <c r="Z38" i="129"/>
  <c r="S30" i="96"/>
  <c r="S28" i="97"/>
  <c r="S30" i="97"/>
  <c r="S30" i="93"/>
  <c r="Z35" i="140"/>
  <c r="R33" i="96"/>
  <c r="Y38" i="129"/>
  <c r="AI29" i="13"/>
  <c r="AK18" i="13"/>
  <c r="AK32" i="13"/>
  <c r="AI41" i="13"/>
  <c r="AK38" i="13"/>
  <c r="AJ44" i="13"/>
  <c r="S30" i="99"/>
  <c r="Z35" i="133"/>
  <c r="S33" i="99"/>
  <c r="Z38" i="133"/>
  <c r="AM19" i="13"/>
  <c r="S33" i="97"/>
  <c r="S33" i="93"/>
  <c r="Z38" i="140"/>
  <c r="AL18" i="13"/>
  <c r="AL32" i="13"/>
  <c r="AL38" i="13"/>
  <c r="AK44" i="13"/>
  <c r="D12" i="14"/>
  <c r="E21" i="14"/>
  <c r="E36" i="14"/>
  <c r="E37" i="14"/>
  <c r="D13" i="14"/>
  <c r="D14" i="14"/>
  <c r="D50" i="14"/>
  <c r="X50" i="14"/>
  <c r="A2" i="73"/>
  <c r="A3" i="73"/>
  <c r="A1" i="73"/>
  <c r="A2" i="13"/>
  <c r="A3" i="13"/>
  <c r="A1" i="13"/>
  <c r="A2" i="14"/>
  <c r="A3" i="14"/>
  <c r="A1" i="14"/>
  <c r="A2" i="93"/>
  <c r="A3" i="93"/>
  <c r="A1" i="93"/>
  <c r="A2" i="71"/>
  <c r="A3" i="71"/>
  <c r="A1" i="71"/>
  <c r="A2" i="5"/>
  <c r="A3" i="5"/>
  <c r="A1" i="5"/>
  <c r="F82" i="120"/>
  <c r="F83" i="120"/>
  <c r="F104" i="120"/>
  <c r="F91" i="120"/>
  <c r="F81" i="120"/>
  <c r="F102" i="120"/>
  <c r="F88" i="120"/>
  <c r="F84" i="120"/>
  <c r="F87" i="112"/>
  <c r="F87" i="116"/>
  <c r="F87" i="115"/>
  <c r="F87" i="114"/>
  <c r="F87" i="113"/>
  <c r="F103" i="112"/>
  <c r="F103" i="116"/>
  <c r="F103" i="115"/>
  <c r="F103" i="114"/>
  <c r="F103" i="113"/>
  <c r="E72" i="112"/>
  <c r="E105" i="112"/>
  <c r="E156" i="112"/>
  <c r="E160" i="112"/>
  <c r="E72" i="116"/>
  <c r="E105" i="116"/>
  <c r="E72" i="115"/>
  <c r="E105" i="115"/>
  <c r="E72" i="114"/>
  <c r="E105" i="114"/>
  <c r="E72" i="113"/>
  <c r="E105" i="113"/>
  <c r="F90" i="112"/>
  <c r="F90" i="116"/>
  <c r="F90" i="115"/>
  <c r="F90" i="114"/>
  <c r="F90" i="113"/>
  <c r="F76" i="115"/>
  <c r="F76" i="113"/>
  <c r="F76" i="114"/>
  <c r="F101" i="112"/>
  <c r="F101" i="116"/>
  <c r="F101" i="115"/>
  <c r="F101" i="114"/>
  <c r="F101" i="113"/>
  <c r="F88" i="105"/>
  <c r="F87" i="102"/>
  <c r="F84" i="105"/>
  <c r="F82" i="105"/>
  <c r="F83" i="105"/>
  <c r="F104" i="105"/>
  <c r="F91" i="105"/>
  <c r="F81" i="105"/>
  <c r="F102" i="105"/>
  <c r="F103" i="102"/>
  <c r="F90" i="102"/>
  <c r="F101" i="102"/>
  <c r="E72" i="102"/>
  <c r="E105" i="102"/>
  <c r="AN19" i="13"/>
  <c r="AM18" i="13"/>
  <c r="AM32" i="13"/>
  <c r="AM38" i="13"/>
  <c r="AL44" i="13"/>
  <c r="C258" i="71"/>
  <c r="E156" i="102"/>
  <c r="E160" i="102"/>
  <c r="C68" i="71"/>
  <c r="E156" i="114"/>
  <c r="E160" i="114"/>
  <c r="C87" i="71"/>
  <c r="E156" i="115"/>
  <c r="E160" i="115"/>
  <c r="C106" i="71"/>
  <c r="E156" i="116"/>
  <c r="E160" i="116"/>
  <c r="C49" i="71"/>
  <c r="E156" i="113"/>
  <c r="E160" i="113"/>
  <c r="F105" i="112"/>
  <c r="D182" i="71"/>
  <c r="C182" i="71"/>
  <c r="F105" i="113"/>
  <c r="F105" i="115"/>
  <c r="F105" i="116"/>
  <c r="F105" i="114"/>
  <c r="F105" i="102"/>
  <c r="D258" i="71"/>
  <c r="AN18" i="13"/>
  <c r="AN32" i="13"/>
  <c r="AN38" i="13"/>
  <c r="AM44" i="13"/>
  <c r="D87" i="71"/>
  <c r="D68" i="71"/>
  <c r="D106" i="71"/>
  <c r="D49" i="71"/>
  <c r="E171" i="114"/>
  <c r="C70" i="71"/>
  <c r="E170" i="111"/>
  <c r="C170" i="71"/>
  <c r="E171" i="116"/>
  <c r="C108" i="71"/>
  <c r="C184" i="71"/>
  <c r="E170" i="115"/>
  <c r="C94" i="71"/>
  <c r="C89" i="71"/>
  <c r="E170" i="113"/>
  <c r="C56" i="71"/>
  <c r="C51" i="71"/>
  <c r="E170" i="102"/>
  <c r="C265" i="71"/>
  <c r="C260" i="71"/>
  <c r="E170" i="99"/>
  <c r="C227" i="71"/>
  <c r="AN44" i="13"/>
  <c r="E171" i="111"/>
  <c r="E170" i="109"/>
  <c r="C132" i="71"/>
  <c r="E171" i="109"/>
  <c r="E174" i="113"/>
  <c r="C58" i="71"/>
  <c r="E174" i="116"/>
  <c r="C115" i="71"/>
  <c r="E170" i="116"/>
  <c r="C113" i="71"/>
  <c r="E171" i="113"/>
  <c r="E174" i="115"/>
  <c r="E171" i="115"/>
  <c r="E170" i="110"/>
  <c r="C151" i="71"/>
  <c r="E171" i="110"/>
  <c r="E174" i="114"/>
  <c r="E170" i="114"/>
  <c r="C75" i="71"/>
  <c r="E171" i="112"/>
  <c r="E170" i="112"/>
  <c r="C189" i="71"/>
  <c r="E174" i="112"/>
  <c r="E170" i="108"/>
  <c r="C37" i="71"/>
  <c r="E171" i="108"/>
  <c r="E171" i="99"/>
  <c r="E171" i="102"/>
  <c r="E174" i="102"/>
  <c r="E170" i="101"/>
  <c r="C246" i="71"/>
  <c r="E171" i="101"/>
  <c r="C96" i="71"/>
  <c r="C191" i="71"/>
  <c r="C77" i="71"/>
  <c r="C267" i="71"/>
  <c r="D169" i="93"/>
  <c r="D151" i="93"/>
  <c r="D143" i="93"/>
  <c r="D116" i="93"/>
  <c r="C4" i="93"/>
  <c r="D137" i="93"/>
  <c r="D157" i="93"/>
  <c r="D145" i="93"/>
  <c r="D153" i="93"/>
  <c r="F20" i="14"/>
  <c r="G76" i="120"/>
  <c r="G76" i="116"/>
  <c r="G76" i="105"/>
  <c r="G76" i="112"/>
  <c r="G76" i="102"/>
  <c r="S97" i="143"/>
  <c r="L135" i="105"/>
  <c r="N97" i="143"/>
  <c r="G135" i="105"/>
  <c r="N93" i="143"/>
  <c r="G132" i="105"/>
  <c r="N89" i="143"/>
  <c r="G128" i="105"/>
  <c r="N90" i="143"/>
  <c r="G129" i="105"/>
  <c r="N88" i="143"/>
  <c r="G127" i="105"/>
  <c r="L127" i="105"/>
  <c r="O76" i="143"/>
  <c r="O77" i="143"/>
  <c r="O78" i="143"/>
  <c r="O83" i="143"/>
  <c r="G134" i="105"/>
  <c r="N123" i="143"/>
  <c r="N122" i="143"/>
  <c r="N92" i="143"/>
  <c r="G131" i="105"/>
  <c r="N121" i="143"/>
  <c r="N91" i="143"/>
  <c r="G130" i="105"/>
  <c r="N121" i="127"/>
  <c r="E16" i="98"/>
  <c r="E17" i="98"/>
  <c r="F21" i="14"/>
  <c r="F37" i="14"/>
  <c r="F36" i="14"/>
  <c r="G78" i="105"/>
  <c r="G78" i="120"/>
  <c r="G78" i="102"/>
  <c r="G78" i="112"/>
  <c r="G78" i="115"/>
  <c r="G78" i="114"/>
  <c r="G78" i="113"/>
  <c r="G78" i="116"/>
  <c r="N175" i="140"/>
  <c r="N177" i="140"/>
  <c r="N174" i="136"/>
  <c r="N176" i="136"/>
  <c r="O175" i="129"/>
  <c r="O177" i="129"/>
  <c r="O174" i="128"/>
  <c r="O176" i="128"/>
  <c r="O173" i="124"/>
  <c r="O175" i="124"/>
  <c r="O175" i="123"/>
  <c r="O177" i="123"/>
  <c r="O174" i="122"/>
  <c r="O176" i="122"/>
  <c r="N127" i="143"/>
  <c r="O144" i="143"/>
  <c r="G134" i="120"/>
  <c r="N126" i="141"/>
  <c r="N89" i="139"/>
  <c r="G129" i="120"/>
  <c r="N96" i="139"/>
  <c r="G135" i="120"/>
  <c r="N120" i="139"/>
  <c r="O145" i="143"/>
  <c r="O143" i="143"/>
  <c r="N94" i="143"/>
  <c r="O97" i="143"/>
  <c r="H135" i="105"/>
  <c r="M127" i="105"/>
  <c r="O93" i="143"/>
  <c r="H132" i="105"/>
  <c r="O90" i="143"/>
  <c r="H129" i="105"/>
  <c r="O88" i="143"/>
  <c r="H127" i="105"/>
  <c r="P77" i="143"/>
  <c r="T97" i="143"/>
  <c r="M135" i="105"/>
  <c r="O89" i="143"/>
  <c r="H128" i="105"/>
  <c r="P78" i="143"/>
  <c r="P83" i="143"/>
  <c r="H134" i="105"/>
  <c r="P76" i="143"/>
  <c r="O123" i="143"/>
  <c r="O122" i="143"/>
  <c r="O121" i="143"/>
  <c r="N126" i="143"/>
  <c r="N124" i="143"/>
  <c r="N128" i="143"/>
  <c r="O82" i="143"/>
  <c r="O84" i="143"/>
  <c r="O80" i="143"/>
  <c r="H126" i="105"/>
  <c r="N126" i="133"/>
  <c r="O76" i="139"/>
  <c r="N92" i="139"/>
  <c r="G132" i="120"/>
  <c r="N127" i="142"/>
  <c r="N87" i="139"/>
  <c r="G127" i="120"/>
  <c r="N91" i="139"/>
  <c r="G131" i="120"/>
  <c r="N121" i="139"/>
  <c r="S96" i="139"/>
  <c r="L135" i="120"/>
  <c r="N90" i="139"/>
  <c r="G130" i="120"/>
  <c r="O78" i="139"/>
  <c r="O82" i="139"/>
  <c r="O77" i="139"/>
  <c r="N122" i="139"/>
  <c r="N88" i="139"/>
  <c r="G128" i="120"/>
  <c r="N127" i="140"/>
  <c r="G133" i="102"/>
  <c r="N125" i="139"/>
  <c r="N121" i="135"/>
  <c r="N126" i="135"/>
  <c r="N92" i="135"/>
  <c r="G130" i="102"/>
  <c r="N123" i="135"/>
  <c r="O78" i="135"/>
  <c r="O83" i="135"/>
  <c r="N93" i="135"/>
  <c r="G131" i="102"/>
  <c r="N125" i="137"/>
  <c r="N91" i="135"/>
  <c r="G129" i="102"/>
  <c r="L126" i="102"/>
  <c r="N122" i="135"/>
  <c r="N127" i="135"/>
  <c r="O76" i="135"/>
  <c r="N97" i="135"/>
  <c r="G134" i="102"/>
  <c r="O143" i="138"/>
  <c r="O77" i="135"/>
  <c r="S97" i="135"/>
  <c r="L134" i="102"/>
  <c r="N90" i="135"/>
  <c r="G128" i="102"/>
  <c r="N88" i="135"/>
  <c r="G126" i="102"/>
  <c r="N89" i="135"/>
  <c r="G127" i="102"/>
  <c r="N125" i="131"/>
  <c r="O97" i="135"/>
  <c r="H134" i="102"/>
  <c r="S95" i="124"/>
  <c r="O86" i="124"/>
  <c r="N95" i="124"/>
  <c r="G134" i="113"/>
  <c r="N90" i="127"/>
  <c r="G130" i="116"/>
  <c r="S96" i="132"/>
  <c r="L134" i="112"/>
  <c r="N96" i="132"/>
  <c r="G134" i="112"/>
  <c r="N87" i="132"/>
  <c r="G126" i="112"/>
  <c r="S95" i="125"/>
  <c r="N95" i="125"/>
  <c r="G134" i="114"/>
  <c r="O86" i="125"/>
  <c r="N87" i="127"/>
  <c r="G127" i="116"/>
  <c r="S95" i="127"/>
  <c r="O86" i="127"/>
  <c r="N95" i="127"/>
  <c r="G134" i="116"/>
  <c r="N95" i="126"/>
  <c r="G134" i="115"/>
  <c r="S95" i="126"/>
  <c r="O86" i="126"/>
  <c r="G133" i="112"/>
  <c r="N92" i="132"/>
  <c r="G131" i="112"/>
  <c r="N88" i="132"/>
  <c r="G127" i="112"/>
  <c r="N89" i="132"/>
  <c r="G128" i="112"/>
  <c r="O77" i="132"/>
  <c r="O76" i="132"/>
  <c r="N122" i="132"/>
  <c r="O78" i="132"/>
  <c r="O82" i="132"/>
  <c r="N121" i="132"/>
  <c r="N120" i="132"/>
  <c r="N91" i="132"/>
  <c r="G130" i="112"/>
  <c r="N90" i="132"/>
  <c r="G129" i="112"/>
  <c r="N126" i="129"/>
  <c r="N120" i="125"/>
  <c r="G133" i="114"/>
  <c r="N89" i="125"/>
  <c r="G129" i="114"/>
  <c r="N87" i="125"/>
  <c r="G127" i="114"/>
  <c r="N89" i="127"/>
  <c r="G129" i="116"/>
  <c r="N88" i="127"/>
  <c r="G128" i="116"/>
  <c r="O76" i="125"/>
  <c r="G133" i="116"/>
  <c r="G126" i="114"/>
  <c r="N119" i="127"/>
  <c r="N124" i="127"/>
  <c r="G126" i="116"/>
  <c r="N120" i="127"/>
  <c r="O77" i="127"/>
  <c r="N91" i="127"/>
  <c r="G131" i="116"/>
  <c r="O77" i="125"/>
  <c r="O76" i="127"/>
  <c r="O143" i="128"/>
  <c r="N90" i="125"/>
  <c r="G130" i="114"/>
  <c r="N91" i="125"/>
  <c r="G131" i="114"/>
  <c r="N119" i="125"/>
  <c r="N121" i="125"/>
  <c r="N88" i="125"/>
  <c r="G128" i="114"/>
  <c r="N88" i="126"/>
  <c r="G128" i="115"/>
  <c r="N91" i="126"/>
  <c r="G131" i="115"/>
  <c r="N87" i="126"/>
  <c r="G127" i="115"/>
  <c r="O76" i="126"/>
  <c r="G133" i="115"/>
  <c r="O77" i="126"/>
  <c r="N121" i="126"/>
  <c r="N120" i="126"/>
  <c r="N90" i="126"/>
  <c r="G130" i="115"/>
  <c r="G126" i="115"/>
  <c r="N119" i="126"/>
  <c r="N89" i="126"/>
  <c r="G129" i="115"/>
  <c r="N88" i="124"/>
  <c r="G128" i="113"/>
  <c r="G133" i="113"/>
  <c r="N91" i="124"/>
  <c r="G131" i="113"/>
  <c r="N87" i="124"/>
  <c r="G127" i="113"/>
  <c r="O76" i="124"/>
  <c r="N121" i="124"/>
  <c r="O77" i="124"/>
  <c r="N120" i="124"/>
  <c r="N90" i="124"/>
  <c r="G130" i="113"/>
  <c r="N119" i="124"/>
  <c r="N89" i="124"/>
  <c r="G129" i="113"/>
  <c r="G126" i="113"/>
  <c r="M144" i="122"/>
  <c r="M127" i="122"/>
  <c r="G84" i="120"/>
  <c r="G82" i="120"/>
  <c r="G81" i="120"/>
  <c r="G102" i="120"/>
  <c r="G91" i="120"/>
  <c r="G83" i="120"/>
  <c r="F137" i="120"/>
  <c r="G88" i="120"/>
  <c r="G104" i="120"/>
  <c r="G92" i="120"/>
  <c r="G90" i="112"/>
  <c r="G90" i="116"/>
  <c r="G90" i="115"/>
  <c r="G90" i="113"/>
  <c r="G90" i="114"/>
  <c r="F136" i="112"/>
  <c r="G101" i="112"/>
  <c r="G101" i="116"/>
  <c r="G101" i="115"/>
  <c r="G101" i="114"/>
  <c r="G101" i="113"/>
  <c r="G76" i="115"/>
  <c r="G76" i="114"/>
  <c r="G76" i="113"/>
  <c r="G103" i="112"/>
  <c r="G103" i="116"/>
  <c r="G103" i="115"/>
  <c r="G103" i="114"/>
  <c r="G103" i="113"/>
  <c r="G87" i="112"/>
  <c r="G87" i="116"/>
  <c r="G87" i="115"/>
  <c r="G87" i="114"/>
  <c r="G87" i="113"/>
  <c r="G91" i="112"/>
  <c r="G91" i="116"/>
  <c r="G91" i="115"/>
  <c r="G91" i="114"/>
  <c r="G91" i="113"/>
  <c r="G102" i="105"/>
  <c r="G101" i="102"/>
  <c r="G88" i="105"/>
  <c r="G87" i="102"/>
  <c r="G81" i="105"/>
  <c r="G104" i="105"/>
  <c r="G91" i="105"/>
  <c r="G84" i="105"/>
  <c r="G83" i="105"/>
  <c r="G82" i="105"/>
  <c r="G92" i="105"/>
  <c r="G103" i="102"/>
  <c r="G90" i="102"/>
  <c r="G91" i="102"/>
  <c r="E18" i="98"/>
  <c r="E40" i="98"/>
  <c r="E29" i="98"/>
  <c r="N175" i="142"/>
  <c r="N177" i="142"/>
  <c r="O175" i="140"/>
  <c r="O177" i="140"/>
  <c r="N175" i="143"/>
  <c r="N177" i="143"/>
  <c r="N175" i="141"/>
  <c r="N177" i="141"/>
  <c r="O174" i="136"/>
  <c r="O176" i="136"/>
  <c r="N174" i="138"/>
  <c r="N176" i="138"/>
  <c r="N174" i="137"/>
  <c r="N176" i="137"/>
  <c r="N174" i="139"/>
  <c r="N176" i="139"/>
  <c r="O175" i="134"/>
  <c r="O177" i="134"/>
  <c r="O175" i="133"/>
  <c r="O177" i="133"/>
  <c r="O175" i="135"/>
  <c r="O177" i="135"/>
  <c r="O174" i="130"/>
  <c r="O176" i="130"/>
  <c r="P174" i="128"/>
  <c r="P176" i="128"/>
  <c r="O174" i="131"/>
  <c r="O176" i="131"/>
  <c r="O174" i="132"/>
  <c r="O176" i="132"/>
  <c r="O173" i="125"/>
  <c r="O175" i="125"/>
  <c r="O173" i="126"/>
  <c r="O175" i="126"/>
  <c r="P173" i="124"/>
  <c r="P175" i="124"/>
  <c r="H168" i="113"/>
  <c r="F53" i="71"/>
  <c r="O173" i="127"/>
  <c r="O175" i="127"/>
  <c r="P175" i="123"/>
  <c r="P177" i="123"/>
  <c r="P174" i="122"/>
  <c r="P176" i="122"/>
  <c r="O123" i="135"/>
  <c r="O88" i="135"/>
  <c r="H126" i="102"/>
  <c r="N126" i="131"/>
  <c r="P76" i="135"/>
  <c r="O143" i="137"/>
  <c r="P77" i="139"/>
  <c r="N128" i="133"/>
  <c r="O122" i="135"/>
  <c r="O127" i="135"/>
  <c r="O90" i="135"/>
  <c r="H128" i="102"/>
  <c r="T97" i="135"/>
  <c r="M134" i="102"/>
  <c r="P78" i="135"/>
  <c r="P83" i="135"/>
  <c r="P77" i="135"/>
  <c r="H133" i="102"/>
  <c r="O121" i="135"/>
  <c r="P144" i="135"/>
  <c r="M126" i="102"/>
  <c r="O89" i="135"/>
  <c r="H127" i="102"/>
  <c r="O93" i="135"/>
  <c r="H131" i="102"/>
  <c r="O144" i="141"/>
  <c r="N128" i="141"/>
  <c r="O144" i="133"/>
  <c r="O143" i="133"/>
  <c r="N127" i="139"/>
  <c r="O92" i="139"/>
  <c r="H132" i="120"/>
  <c r="O88" i="139"/>
  <c r="H128" i="120"/>
  <c r="N123" i="139"/>
  <c r="N129" i="139"/>
  <c r="N131" i="139"/>
  <c r="N128" i="135"/>
  <c r="O144" i="135"/>
  <c r="O143" i="141"/>
  <c r="N127" i="131"/>
  <c r="N124" i="135"/>
  <c r="N130" i="135"/>
  <c r="N132" i="135"/>
  <c r="O120" i="139"/>
  <c r="H134" i="120"/>
  <c r="T96" i="139"/>
  <c r="M135" i="120"/>
  <c r="O81" i="139"/>
  <c r="O145" i="141"/>
  <c r="N127" i="141"/>
  <c r="P78" i="139"/>
  <c r="P82" i="139"/>
  <c r="O122" i="139"/>
  <c r="P142" i="137"/>
  <c r="P76" i="139"/>
  <c r="P81" i="139"/>
  <c r="P83" i="139"/>
  <c r="O96" i="139"/>
  <c r="H135" i="120"/>
  <c r="O89" i="139"/>
  <c r="H129" i="120"/>
  <c r="O142" i="139"/>
  <c r="O83" i="139"/>
  <c r="O90" i="139"/>
  <c r="O143" i="139"/>
  <c r="O80" i="135"/>
  <c r="H125" i="102"/>
  <c r="O121" i="139"/>
  <c r="O87" i="139"/>
  <c r="H127" i="120"/>
  <c r="N94" i="141"/>
  <c r="O127" i="143"/>
  <c r="H142" i="105"/>
  <c r="O145" i="133"/>
  <c r="N127" i="137"/>
  <c r="N126" i="137"/>
  <c r="O126" i="141"/>
  <c r="N130" i="143"/>
  <c r="N132" i="143"/>
  <c r="N127" i="133"/>
  <c r="P144" i="143"/>
  <c r="O126" i="143"/>
  <c r="O124" i="143"/>
  <c r="O128" i="143"/>
  <c r="P80" i="143"/>
  <c r="I126" i="105"/>
  <c r="P82" i="143"/>
  <c r="P84" i="143"/>
  <c r="O142" i="131"/>
  <c r="O82" i="135"/>
  <c r="O84" i="135"/>
  <c r="O91" i="135"/>
  <c r="O92" i="143"/>
  <c r="H131" i="105"/>
  <c r="O91" i="143"/>
  <c r="H130" i="105"/>
  <c r="U97" i="143"/>
  <c r="N135" i="105"/>
  <c r="P97" i="143"/>
  <c r="I135" i="105"/>
  <c r="P93" i="143"/>
  <c r="I132" i="105"/>
  <c r="P90" i="143"/>
  <c r="I129" i="105"/>
  <c r="P88" i="143"/>
  <c r="I127" i="105"/>
  <c r="P89" i="143"/>
  <c r="I128" i="105"/>
  <c r="Q78" i="143"/>
  <c r="Q83" i="143"/>
  <c r="I134" i="105"/>
  <c r="Q76" i="143"/>
  <c r="Q77" i="143"/>
  <c r="N127" i="105"/>
  <c r="P122" i="143"/>
  <c r="P123" i="143"/>
  <c r="Q144" i="143"/>
  <c r="P121" i="143"/>
  <c r="N99" i="143"/>
  <c r="N101" i="143"/>
  <c r="N113" i="143"/>
  <c r="P143" i="143"/>
  <c r="P145" i="143"/>
  <c r="O144" i="142"/>
  <c r="O144" i="140"/>
  <c r="O145" i="142"/>
  <c r="O143" i="142"/>
  <c r="N126" i="139"/>
  <c r="N94" i="142"/>
  <c r="N99" i="142"/>
  <c r="N128" i="142"/>
  <c r="N126" i="142"/>
  <c r="O144" i="137"/>
  <c r="O79" i="139"/>
  <c r="H126" i="120"/>
  <c r="N93" i="139"/>
  <c r="O145" i="135"/>
  <c r="O142" i="137"/>
  <c r="N99" i="140"/>
  <c r="N99" i="141"/>
  <c r="O143" i="131"/>
  <c r="O144" i="139"/>
  <c r="N126" i="140"/>
  <c r="N128" i="140"/>
  <c r="N94" i="140"/>
  <c r="P87" i="139"/>
  <c r="I127" i="120"/>
  <c r="N93" i="137"/>
  <c r="O143" i="135"/>
  <c r="O145" i="140"/>
  <c r="O143" i="140"/>
  <c r="N127" i="129"/>
  <c r="N94" i="135"/>
  <c r="O91" i="139"/>
  <c r="H131" i="120"/>
  <c r="N94" i="133"/>
  <c r="H141" i="102"/>
  <c r="H142" i="120"/>
  <c r="N93" i="138"/>
  <c r="P79" i="139"/>
  <c r="I126" i="120"/>
  <c r="N127" i="138"/>
  <c r="N125" i="138"/>
  <c r="O144" i="138"/>
  <c r="O142" i="138"/>
  <c r="O143" i="136"/>
  <c r="N126" i="138"/>
  <c r="O125" i="137"/>
  <c r="O142" i="136"/>
  <c r="O144" i="136"/>
  <c r="N93" i="136"/>
  <c r="P88" i="135"/>
  <c r="I126" i="102"/>
  <c r="N125" i="136"/>
  <c r="N127" i="136"/>
  <c r="O144" i="131"/>
  <c r="N126" i="136"/>
  <c r="P97" i="135"/>
  <c r="I134" i="102"/>
  <c r="N99" i="134"/>
  <c r="N99" i="135"/>
  <c r="O126" i="133"/>
  <c r="N127" i="134"/>
  <c r="O141" i="127"/>
  <c r="P82" i="135"/>
  <c r="P84" i="135"/>
  <c r="O145" i="134"/>
  <c r="O143" i="134"/>
  <c r="N126" i="134"/>
  <c r="N128" i="134"/>
  <c r="O144" i="134"/>
  <c r="O78" i="127"/>
  <c r="H125" i="116"/>
  <c r="O145" i="129"/>
  <c r="N94" i="134"/>
  <c r="T95" i="126"/>
  <c r="O95" i="126"/>
  <c r="H134" i="115"/>
  <c r="P86" i="126"/>
  <c r="T96" i="132"/>
  <c r="M134" i="112"/>
  <c r="O96" i="132"/>
  <c r="H134" i="112"/>
  <c r="O87" i="132"/>
  <c r="T95" i="125"/>
  <c r="O95" i="125"/>
  <c r="H134" i="114"/>
  <c r="P86" i="125"/>
  <c r="O143" i="130"/>
  <c r="O144" i="129"/>
  <c r="N99" i="133"/>
  <c r="N99" i="129"/>
  <c r="N96" i="127"/>
  <c r="N97" i="127"/>
  <c r="N96" i="126"/>
  <c r="G135" i="115"/>
  <c r="N96" i="125"/>
  <c r="G135" i="114"/>
  <c r="N96" i="124"/>
  <c r="N94" i="129"/>
  <c r="O88" i="127"/>
  <c r="H128" i="116"/>
  <c r="O95" i="127"/>
  <c r="H134" i="116"/>
  <c r="T95" i="127"/>
  <c r="P86" i="127"/>
  <c r="T95" i="124"/>
  <c r="O95" i="124"/>
  <c r="H134" i="113"/>
  <c r="P86" i="124"/>
  <c r="O142" i="125"/>
  <c r="O143" i="129"/>
  <c r="O87" i="125"/>
  <c r="H127" i="114"/>
  <c r="O119" i="127"/>
  <c r="O124" i="127"/>
  <c r="H133" i="116"/>
  <c r="O80" i="125"/>
  <c r="O82" i="125"/>
  <c r="O90" i="125"/>
  <c r="H130" i="114"/>
  <c r="O126" i="129"/>
  <c r="P144" i="129"/>
  <c r="N123" i="132"/>
  <c r="N125" i="132"/>
  <c r="N127" i="132"/>
  <c r="O81" i="132"/>
  <c r="O83" i="132"/>
  <c r="O79" i="132"/>
  <c r="H125" i="112"/>
  <c r="O143" i="125"/>
  <c r="N126" i="130"/>
  <c r="N125" i="125"/>
  <c r="N93" i="132"/>
  <c r="O144" i="132"/>
  <c r="O142" i="132"/>
  <c r="O143" i="132"/>
  <c r="P142" i="127"/>
  <c r="H133" i="112"/>
  <c r="O89" i="132"/>
  <c r="H128" i="112"/>
  <c r="O88" i="132"/>
  <c r="H127" i="112"/>
  <c r="O92" i="132"/>
  <c r="H131" i="112"/>
  <c r="P76" i="132"/>
  <c r="P77" i="132"/>
  <c r="O122" i="132"/>
  <c r="P78" i="132"/>
  <c r="P82" i="132"/>
  <c r="O121" i="132"/>
  <c r="O120" i="132"/>
  <c r="N126" i="132"/>
  <c r="O141" i="125"/>
  <c r="N128" i="129"/>
  <c r="O121" i="125"/>
  <c r="O91" i="127"/>
  <c r="H131" i="116"/>
  <c r="O80" i="127"/>
  <c r="O82" i="127"/>
  <c r="O90" i="127"/>
  <c r="H130" i="116"/>
  <c r="O78" i="125"/>
  <c r="H125" i="114"/>
  <c r="N126" i="125"/>
  <c r="N93" i="130"/>
  <c r="O142" i="130"/>
  <c r="O144" i="130"/>
  <c r="N125" i="130"/>
  <c r="N127" i="130"/>
  <c r="N124" i="125"/>
  <c r="O119" i="125"/>
  <c r="O124" i="125"/>
  <c r="H133" i="114"/>
  <c r="N92" i="127"/>
  <c r="N122" i="125"/>
  <c r="N128" i="125"/>
  <c r="N130" i="125"/>
  <c r="P76" i="127"/>
  <c r="P77" i="127"/>
  <c r="O143" i="127"/>
  <c r="N122" i="127"/>
  <c r="N128" i="127"/>
  <c r="N130" i="127"/>
  <c r="N92" i="125"/>
  <c r="P77" i="125"/>
  <c r="O120" i="127"/>
  <c r="O121" i="127"/>
  <c r="O87" i="127"/>
  <c r="H127" i="116"/>
  <c r="N126" i="128"/>
  <c r="N126" i="127"/>
  <c r="N125" i="127"/>
  <c r="O142" i="127"/>
  <c r="O144" i="128"/>
  <c r="O142" i="128"/>
  <c r="N125" i="126"/>
  <c r="N125" i="128"/>
  <c r="N127" i="128"/>
  <c r="P88" i="127"/>
  <c r="I128" i="116"/>
  <c r="N93" i="128"/>
  <c r="N92" i="126"/>
  <c r="O142" i="126"/>
  <c r="H126" i="116"/>
  <c r="O120" i="125"/>
  <c r="O91" i="125"/>
  <c r="H131" i="114"/>
  <c r="O143" i="126"/>
  <c r="O141" i="126"/>
  <c r="O143" i="122"/>
  <c r="P76" i="125"/>
  <c r="O88" i="125"/>
  <c r="H128" i="114"/>
  <c r="N122" i="126"/>
  <c r="N126" i="126"/>
  <c r="N124" i="126"/>
  <c r="O91" i="126"/>
  <c r="H131" i="115"/>
  <c r="O87" i="126"/>
  <c r="H127" i="115"/>
  <c r="P76" i="126"/>
  <c r="O88" i="126"/>
  <c r="H128" i="115"/>
  <c r="H133" i="115"/>
  <c r="P77" i="126"/>
  <c r="O120" i="126"/>
  <c r="O121" i="126"/>
  <c r="P142" i="126"/>
  <c r="O119" i="126"/>
  <c r="O80" i="126"/>
  <c r="O82" i="126"/>
  <c r="O78" i="126"/>
  <c r="H125" i="115"/>
  <c r="O142" i="124"/>
  <c r="H126" i="114"/>
  <c r="N125" i="124"/>
  <c r="O91" i="124"/>
  <c r="H131" i="113"/>
  <c r="O87" i="124"/>
  <c r="H127" i="113"/>
  <c r="O88" i="124"/>
  <c r="H128" i="113"/>
  <c r="P76" i="124"/>
  <c r="O120" i="124"/>
  <c r="O121" i="124"/>
  <c r="P77" i="124"/>
  <c r="H133" i="113"/>
  <c r="O119" i="124"/>
  <c r="N92" i="124"/>
  <c r="O143" i="124"/>
  <c r="O141" i="124"/>
  <c r="O80" i="124"/>
  <c r="O82" i="124"/>
  <c r="O78" i="124"/>
  <c r="H125" i="113"/>
  <c r="N99" i="123"/>
  <c r="N124" i="124"/>
  <c r="N122" i="124"/>
  <c r="N126" i="124"/>
  <c r="N94" i="123"/>
  <c r="N127" i="123"/>
  <c r="N125" i="122"/>
  <c r="O142" i="122"/>
  <c r="O144" i="123"/>
  <c r="N93" i="122"/>
  <c r="N126" i="122"/>
  <c r="N126" i="123"/>
  <c r="N128" i="123"/>
  <c r="O145" i="123"/>
  <c r="O143" i="123"/>
  <c r="N98" i="122"/>
  <c r="N127" i="122"/>
  <c r="N144" i="122"/>
  <c r="M129" i="122"/>
  <c r="M131" i="122"/>
  <c r="G105" i="112"/>
  <c r="E182" i="71"/>
  <c r="F136" i="113"/>
  <c r="G105" i="115"/>
  <c r="F136" i="114"/>
  <c r="G105" i="116"/>
  <c r="F136" i="115"/>
  <c r="G105" i="113"/>
  <c r="F136" i="116"/>
  <c r="G105" i="114"/>
  <c r="G135" i="112"/>
  <c r="G136" i="112"/>
  <c r="F137" i="105"/>
  <c r="G105" i="102"/>
  <c r="E258" i="71"/>
  <c r="G135" i="102"/>
  <c r="G136" i="102"/>
  <c r="P144" i="139"/>
  <c r="O124" i="135"/>
  <c r="O126" i="135"/>
  <c r="P145" i="135"/>
  <c r="P145" i="129"/>
  <c r="O127" i="141"/>
  <c r="P144" i="141"/>
  <c r="N101" i="141"/>
  <c r="N113" i="141"/>
  <c r="O175" i="142"/>
  <c r="O177" i="142"/>
  <c r="O175" i="143"/>
  <c r="O177" i="143"/>
  <c r="P175" i="140"/>
  <c r="P177" i="140"/>
  <c r="G169" i="105"/>
  <c r="E414" i="71"/>
  <c r="O175" i="141"/>
  <c r="O177" i="141"/>
  <c r="P142" i="139"/>
  <c r="O174" i="137"/>
  <c r="O176" i="137"/>
  <c r="P174" i="136"/>
  <c r="P176" i="136"/>
  <c r="O174" i="138"/>
  <c r="O176" i="138"/>
  <c r="E338" i="71"/>
  <c r="G169" i="120"/>
  <c r="O174" i="139"/>
  <c r="O176" i="139"/>
  <c r="P143" i="135"/>
  <c r="N101" i="133"/>
  <c r="N113" i="133"/>
  <c r="P175" i="129"/>
  <c r="P177" i="129"/>
  <c r="F262" i="71"/>
  <c r="H168" i="102"/>
  <c r="Q176" i="128"/>
  <c r="P174" i="132"/>
  <c r="P176" i="132"/>
  <c r="P174" i="130"/>
  <c r="P176" i="130"/>
  <c r="F186" i="71"/>
  <c r="H168" i="112"/>
  <c r="P174" i="131"/>
  <c r="P176" i="131"/>
  <c r="P173" i="126"/>
  <c r="P175" i="126"/>
  <c r="H168" i="115"/>
  <c r="G53" i="71"/>
  <c r="I168" i="113"/>
  <c r="P173" i="125"/>
  <c r="P175" i="125"/>
  <c r="F110" i="71"/>
  <c r="H168" i="116"/>
  <c r="P173" i="127"/>
  <c r="P175" i="127"/>
  <c r="F72" i="71"/>
  <c r="H168" i="114"/>
  <c r="Q176" i="122"/>
  <c r="P144" i="137"/>
  <c r="P143" i="137"/>
  <c r="P80" i="135"/>
  <c r="I125" i="102"/>
  <c r="O92" i="135"/>
  <c r="H130" i="102"/>
  <c r="O128" i="135"/>
  <c r="O127" i="137"/>
  <c r="O126" i="137"/>
  <c r="O126" i="139"/>
  <c r="P143" i="139"/>
  <c r="O94" i="143"/>
  <c r="H141" i="114"/>
  <c r="O123" i="139"/>
  <c r="O125" i="139"/>
  <c r="O127" i="139"/>
  <c r="O127" i="140"/>
  <c r="P127" i="143"/>
  <c r="O128" i="141"/>
  <c r="P143" i="141"/>
  <c r="N159" i="143"/>
  <c r="N163" i="143"/>
  <c r="G141" i="105"/>
  <c r="Q78" i="139"/>
  <c r="Q82" i="139"/>
  <c r="P89" i="139"/>
  <c r="I129" i="120"/>
  <c r="N101" i="142"/>
  <c r="N113" i="142"/>
  <c r="Q145" i="143"/>
  <c r="Q143" i="143"/>
  <c r="P92" i="143"/>
  <c r="I131" i="105"/>
  <c r="P91" i="143"/>
  <c r="P145" i="141"/>
  <c r="P126" i="141"/>
  <c r="O127" i="142"/>
  <c r="Q82" i="143"/>
  <c r="Q84" i="143"/>
  <c r="Q80" i="143"/>
  <c r="J126" i="105"/>
  <c r="O94" i="141"/>
  <c r="O130" i="143"/>
  <c r="O132" i="143"/>
  <c r="V97" i="143"/>
  <c r="O135" i="105"/>
  <c r="Q93" i="143"/>
  <c r="J132" i="105"/>
  <c r="Q90" i="143"/>
  <c r="J129" i="105"/>
  <c r="O127" i="105"/>
  <c r="R76" i="143"/>
  <c r="R77" i="143"/>
  <c r="R78" i="143"/>
  <c r="R83" i="143"/>
  <c r="J134" i="105"/>
  <c r="Q122" i="143"/>
  <c r="Q123" i="143"/>
  <c r="Q121" i="143"/>
  <c r="H141" i="116"/>
  <c r="N101" i="134"/>
  <c r="N113" i="134"/>
  <c r="P143" i="133"/>
  <c r="Q76" i="139"/>
  <c r="N159" i="141"/>
  <c r="P127" i="141"/>
  <c r="I142" i="105"/>
  <c r="P124" i="143"/>
  <c r="P128" i="143"/>
  <c r="P126" i="143"/>
  <c r="O126" i="142"/>
  <c r="O128" i="142"/>
  <c r="P144" i="142"/>
  <c r="P145" i="142"/>
  <c r="P143" i="142"/>
  <c r="Q77" i="139"/>
  <c r="I134" i="120"/>
  <c r="P88" i="139"/>
  <c r="I128" i="120"/>
  <c r="O93" i="137"/>
  <c r="P120" i="139"/>
  <c r="P125" i="139"/>
  <c r="P121" i="139"/>
  <c r="P92" i="139"/>
  <c r="I132" i="120"/>
  <c r="U96" i="139"/>
  <c r="N135" i="120"/>
  <c r="N101" i="135"/>
  <c r="N113" i="135"/>
  <c r="P122" i="139"/>
  <c r="P96" i="139"/>
  <c r="I135" i="120"/>
  <c r="P144" i="140"/>
  <c r="Q87" i="139"/>
  <c r="J127" i="120"/>
  <c r="N97" i="126"/>
  <c r="N99" i="126"/>
  <c r="N111" i="126"/>
  <c r="N101" i="140"/>
  <c r="N113" i="140"/>
  <c r="N97" i="125"/>
  <c r="O126" i="140"/>
  <c r="O128" i="140"/>
  <c r="P145" i="140"/>
  <c r="P143" i="140"/>
  <c r="N158" i="139"/>
  <c r="G141" i="120"/>
  <c r="O93" i="139"/>
  <c r="H130" i="120"/>
  <c r="O128" i="133"/>
  <c r="N97" i="138"/>
  <c r="N98" i="138"/>
  <c r="N100" i="138"/>
  <c r="N112" i="138"/>
  <c r="N97" i="139"/>
  <c r="N98" i="139"/>
  <c r="N100" i="139"/>
  <c r="N112" i="139"/>
  <c r="O89" i="127"/>
  <c r="H129" i="116"/>
  <c r="O127" i="133"/>
  <c r="I142" i="120"/>
  <c r="P144" i="133"/>
  <c r="P126" i="137"/>
  <c r="P91" i="139"/>
  <c r="I131" i="120"/>
  <c r="P90" i="139"/>
  <c r="Q76" i="135"/>
  <c r="O129" i="139"/>
  <c r="O131" i="139"/>
  <c r="P143" i="138"/>
  <c r="P93" i="135"/>
  <c r="I131" i="102"/>
  <c r="P144" i="138"/>
  <c r="P142" i="138"/>
  <c r="O125" i="138"/>
  <c r="O127" i="138"/>
  <c r="P125" i="137"/>
  <c r="P126" i="138"/>
  <c r="O126" i="138"/>
  <c r="N158" i="137"/>
  <c r="N98" i="136"/>
  <c r="N100" i="136"/>
  <c r="N112" i="136"/>
  <c r="N98" i="137"/>
  <c r="N100" i="137"/>
  <c r="N112" i="137"/>
  <c r="P141" i="127"/>
  <c r="N126" i="102"/>
  <c r="P145" i="133"/>
  <c r="N159" i="135"/>
  <c r="G140" i="102"/>
  <c r="P121" i="135"/>
  <c r="P126" i="135"/>
  <c r="P123" i="135"/>
  <c r="Q77" i="135"/>
  <c r="P89" i="135"/>
  <c r="I127" i="102"/>
  <c r="P143" i="136"/>
  <c r="P122" i="135"/>
  <c r="Q78" i="135"/>
  <c r="Q83" i="135"/>
  <c r="U97" i="135"/>
  <c r="N134" i="102"/>
  <c r="P144" i="136"/>
  <c r="P142" i="136"/>
  <c r="O126" i="136"/>
  <c r="O94" i="135"/>
  <c r="H129" i="102"/>
  <c r="I133" i="102"/>
  <c r="P90" i="135"/>
  <c r="I128" i="102"/>
  <c r="O127" i="136"/>
  <c r="O125" i="136"/>
  <c r="O130" i="135"/>
  <c r="O132" i="135"/>
  <c r="O126" i="131"/>
  <c r="I141" i="102"/>
  <c r="P91" i="135"/>
  <c r="P92" i="135"/>
  <c r="I130" i="102"/>
  <c r="O125" i="125"/>
  <c r="G135" i="116"/>
  <c r="G136" i="116"/>
  <c r="P142" i="131"/>
  <c r="O127" i="134"/>
  <c r="N101" i="129"/>
  <c r="N113" i="129"/>
  <c r="P143" i="127"/>
  <c r="O94" i="133"/>
  <c r="P145" i="134"/>
  <c r="P143" i="134"/>
  <c r="O126" i="134"/>
  <c r="O128" i="134"/>
  <c r="P127" i="134"/>
  <c r="P144" i="134"/>
  <c r="N159" i="133"/>
  <c r="O126" i="127"/>
  <c r="P143" i="129"/>
  <c r="P144" i="131"/>
  <c r="P88" i="125"/>
  <c r="I128" i="114"/>
  <c r="Q86" i="125"/>
  <c r="P95" i="125"/>
  <c r="I134" i="114"/>
  <c r="U95" i="125"/>
  <c r="P95" i="127"/>
  <c r="I134" i="116"/>
  <c r="U95" i="127"/>
  <c r="Q86" i="127"/>
  <c r="P120" i="125"/>
  <c r="N159" i="129"/>
  <c r="U95" i="124"/>
  <c r="P95" i="124"/>
  <c r="I134" i="113"/>
  <c r="Q86" i="124"/>
  <c r="I133" i="114"/>
  <c r="U95" i="126"/>
  <c r="P95" i="126"/>
  <c r="I134" i="115"/>
  <c r="Q86" i="126"/>
  <c r="I133" i="116"/>
  <c r="P125" i="131"/>
  <c r="U96" i="132"/>
  <c r="N134" i="112"/>
  <c r="P87" i="132"/>
  <c r="P96" i="132"/>
  <c r="I134" i="112"/>
  <c r="G135" i="113"/>
  <c r="G136" i="113"/>
  <c r="N97" i="124"/>
  <c r="N99" i="124"/>
  <c r="N111" i="124"/>
  <c r="O128" i="129"/>
  <c r="O127" i="129"/>
  <c r="N99" i="125"/>
  <c r="N111" i="125"/>
  <c r="P89" i="132"/>
  <c r="I128" i="112"/>
  <c r="P92" i="132"/>
  <c r="I131" i="112"/>
  <c r="P88" i="132"/>
  <c r="I127" i="112"/>
  <c r="Q77" i="132"/>
  <c r="I133" i="112"/>
  <c r="Q76" i="132"/>
  <c r="Q78" i="132"/>
  <c r="Q82" i="132"/>
  <c r="P122" i="132"/>
  <c r="P121" i="132"/>
  <c r="P120" i="132"/>
  <c r="O126" i="125"/>
  <c r="P120" i="127"/>
  <c r="Q76" i="127"/>
  <c r="O126" i="130"/>
  <c r="N158" i="131"/>
  <c r="O125" i="131"/>
  <c r="P143" i="132"/>
  <c r="N129" i="132"/>
  <c r="N131" i="132"/>
  <c r="N98" i="132"/>
  <c r="N100" i="132"/>
  <c r="N112" i="132"/>
  <c r="O127" i="131"/>
  <c r="O91" i="132"/>
  <c r="H130" i="112"/>
  <c r="O90" i="132"/>
  <c r="H129" i="112"/>
  <c r="P144" i="132"/>
  <c r="P142" i="132"/>
  <c r="P79" i="132"/>
  <c r="I125" i="112"/>
  <c r="P81" i="132"/>
  <c r="P83" i="132"/>
  <c r="P121" i="127"/>
  <c r="O122" i="127"/>
  <c r="O128" i="127"/>
  <c r="O130" i="127"/>
  <c r="O125" i="132"/>
  <c r="O127" i="132"/>
  <c r="O123" i="132"/>
  <c r="O126" i="132"/>
  <c r="H141" i="112"/>
  <c r="P143" i="131"/>
  <c r="P78" i="127"/>
  <c r="I125" i="116"/>
  <c r="O89" i="125"/>
  <c r="H129" i="114"/>
  <c r="Q77" i="127"/>
  <c r="P87" i="127"/>
  <c r="I127" i="116"/>
  <c r="P119" i="127"/>
  <c r="P91" i="127"/>
  <c r="I131" i="116"/>
  <c r="P126" i="129"/>
  <c r="P143" i="130"/>
  <c r="P80" i="127"/>
  <c r="P82" i="127"/>
  <c r="P90" i="127"/>
  <c r="I130" i="116"/>
  <c r="N99" i="127"/>
  <c r="N111" i="127"/>
  <c r="N98" i="130"/>
  <c r="N100" i="130"/>
  <c r="N112" i="130"/>
  <c r="N98" i="128"/>
  <c r="N100" i="128"/>
  <c r="N112" i="128"/>
  <c r="O125" i="130"/>
  <c r="O127" i="130"/>
  <c r="P144" i="130"/>
  <c r="P142" i="130"/>
  <c r="N157" i="127"/>
  <c r="G140" i="116"/>
  <c r="E106" i="71"/>
  <c r="E87" i="71"/>
  <c r="P119" i="125"/>
  <c r="P124" i="125"/>
  <c r="Q76" i="125"/>
  <c r="P91" i="125"/>
  <c r="I131" i="114"/>
  <c r="N157" i="125"/>
  <c r="G140" i="114"/>
  <c r="P78" i="125"/>
  <c r="I125" i="114"/>
  <c r="P141" i="125"/>
  <c r="P143" i="128"/>
  <c r="O125" i="127"/>
  <c r="P87" i="125"/>
  <c r="I127" i="114"/>
  <c r="E68" i="71"/>
  <c r="P121" i="125"/>
  <c r="Q77" i="125"/>
  <c r="O126" i="128"/>
  <c r="O122" i="125"/>
  <c r="O128" i="125"/>
  <c r="O130" i="125"/>
  <c r="O127" i="128"/>
  <c r="O125" i="128"/>
  <c r="Q143" i="128"/>
  <c r="P144" i="128"/>
  <c r="P142" i="128"/>
  <c r="P80" i="125"/>
  <c r="P82" i="125"/>
  <c r="P89" i="125"/>
  <c r="I129" i="114"/>
  <c r="P143" i="125"/>
  <c r="I126" i="116"/>
  <c r="E49" i="71"/>
  <c r="O125" i="126"/>
  <c r="H141" i="115"/>
  <c r="P142" i="125"/>
  <c r="P143" i="126"/>
  <c r="P141" i="126"/>
  <c r="O126" i="126"/>
  <c r="O122" i="126"/>
  <c r="O124" i="126"/>
  <c r="P80" i="126"/>
  <c r="P82" i="126"/>
  <c r="P78" i="126"/>
  <c r="I125" i="115"/>
  <c r="N128" i="126"/>
  <c r="N130" i="126"/>
  <c r="P91" i="126"/>
  <c r="I131" i="115"/>
  <c r="P88" i="126"/>
  <c r="I128" i="115"/>
  <c r="Q76" i="126"/>
  <c r="I133" i="115"/>
  <c r="P87" i="126"/>
  <c r="I127" i="115"/>
  <c r="Q77" i="126"/>
  <c r="P121" i="126"/>
  <c r="P120" i="126"/>
  <c r="P119" i="126"/>
  <c r="O89" i="126"/>
  <c r="H129" i="115"/>
  <c r="H126" i="115"/>
  <c r="O90" i="126"/>
  <c r="H130" i="115"/>
  <c r="K134" i="114"/>
  <c r="P142" i="124"/>
  <c r="O125" i="124"/>
  <c r="N128" i="124"/>
  <c r="N130" i="124"/>
  <c r="N100" i="122"/>
  <c r="N112" i="122"/>
  <c r="N101" i="123"/>
  <c r="N113" i="123"/>
  <c r="H126" i="113"/>
  <c r="O90" i="124"/>
  <c r="H130" i="113"/>
  <c r="O89" i="124"/>
  <c r="H129" i="113"/>
  <c r="O124" i="124"/>
  <c r="O126" i="124"/>
  <c r="O122" i="124"/>
  <c r="P80" i="124"/>
  <c r="P82" i="124"/>
  <c r="P78" i="124"/>
  <c r="I125" i="113"/>
  <c r="H141" i="113"/>
  <c r="P143" i="124"/>
  <c r="P141" i="124"/>
  <c r="P88" i="124"/>
  <c r="I128" i="113"/>
  <c r="P91" i="124"/>
  <c r="I131" i="113"/>
  <c r="Q77" i="124"/>
  <c r="P87" i="124"/>
  <c r="I127" i="113"/>
  <c r="Q76" i="124"/>
  <c r="I133" i="113"/>
  <c r="P121" i="124"/>
  <c r="P120" i="124"/>
  <c r="P119" i="124"/>
  <c r="P144" i="123"/>
  <c r="O127" i="123"/>
  <c r="O126" i="122"/>
  <c r="O128" i="123"/>
  <c r="O126" i="123"/>
  <c r="Q143" i="122"/>
  <c r="P145" i="123"/>
  <c r="P143" i="123"/>
  <c r="P142" i="122"/>
  <c r="P143" i="122"/>
  <c r="O125" i="122"/>
  <c r="M158" i="122"/>
  <c r="M162" i="122"/>
  <c r="O127" i="122"/>
  <c r="O144" i="122"/>
  <c r="G136" i="115"/>
  <c r="G136" i="114"/>
  <c r="G137" i="120"/>
  <c r="G137" i="105"/>
  <c r="N163" i="141"/>
  <c r="P175" i="143"/>
  <c r="P177" i="143"/>
  <c r="Q177" i="140"/>
  <c r="P175" i="142"/>
  <c r="P177" i="142"/>
  <c r="F414" i="71"/>
  <c r="H169" i="105"/>
  <c r="P175" i="141"/>
  <c r="P177" i="141"/>
  <c r="Q176" i="136"/>
  <c r="P174" i="138"/>
  <c r="P176" i="138"/>
  <c r="F338" i="71"/>
  <c r="H169" i="120"/>
  <c r="P174" i="137"/>
  <c r="P176" i="137"/>
  <c r="P174" i="139"/>
  <c r="P176" i="139"/>
  <c r="N163" i="133"/>
  <c r="Q177" i="129"/>
  <c r="P175" i="134"/>
  <c r="P177" i="134"/>
  <c r="P175" i="133"/>
  <c r="P177" i="133"/>
  <c r="P175" i="135"/>
  <c r="P177" i="135"/>
  <c r="Q176" i="131"/>
  <c r="Q176" i="130"/>
  <c r="R174" i="128"/>
  <c r="R176" i="128"/>
  <c r="Q174" i="132"/>
  <c r="Q176" i="132"/>
  <c r="I168" i="112"/>
  <c r="G186" i="71"/>
  <c r="G110" i="71"/>
  <c r="I168" i="116"/>
  <c r="R173" i="124"/>
  <c r="R175" i="124"/>
  <c r="Q173" i="126"/>
  <c r="Q175" i="126"/>
  <c r="J168" i="113"/>
  <c r="H53" i="71"/>
  <c r="I168" i="115"/>
  <c r="Q173" i="125"/>
  <c r="Q175" i="125"/>
  <c r="I168" i="114"/>
  <c r="G72" i="71"/>
  <c r="Q173" i="127"/>
  <c r="Q175" i="127"/>
  <c r="R175" i="123"/>
  <c r="R177" i="123"/>
  <c r="R174" i="122"/>
  <c r="R176" i="122"/>
  <c r="Q144" i="141"/>
  <c r="P126" i="131"/>
  <c r="Q143" i="139"/>
  <c r="P127" i="133"/>
  <c r="N162" i="139"/>
  <c r="I141" i="114"/>
  <c r="Q127" i="133"/>
  <c r="Q125" i="137"/>
  <c r="P128" i="141"/>
  <c r="Q92" i="139"/>
  <c r="J132" i="120"/>
  <c r="Q81" i="139"/>
  <c r="Q83" i="139"/>
  <c r="Q91" i="139"/>
  <c r="J131" i="120"/>
  <c r="Q142" i="137"/>
  <c r="Q143" i="137"/>
  <c r="P127" i="142"/>
  <c r="Q82" i="135"/>
  <c r="Q84" i="135"/>
  <c r="Q91" i="135"/>
  <c r="N163" i="135"/>
  <c r="Q89" i="139"/>
  <c r="J129" i="120"/>
  <c r="Q145" i="141"/>
  <c r="Q122" i="139"/>
  <c r="O94" i="142"/>
  <c r="Q144" i="139"/>
  <c r="Q80" i="135"/>
  <c r="J125" i="102"/>
  <c r="P94" i="143"/>
  <c r="I130" i="105"/>
  <c r="O159" i="143"/>
  <c r="H141" i="105"/>
  <c r="R144" i="143"/>
  <c r="N159" i="142"/>
  <c r="N163" i="142"/>
  <c r="O159" i="141"/>
  <c r="Q127" i="143"/>
  <c r="R82" i="143"/>
  <c r="R84" i="143"/>
  <c r="R80" i="143"/>
  <c r="K126" i="105"/>
  <c r="Q92" i="143"/>
  <c r="Q91" i="143"/>
  <c r="J130" i="105"/>
  <c r="R77" i="135"/>
  <c r="N162" i="137"/>
  <c r="Q143" i="141"/>
  <c r="Q128" i="143"/>
  <c r="Q126" i="143"/>
  <c r="Q124" i="143"/>
  <c r="R145" i="143"/>
  <c r="R143" i="143"/>
  <c r="W97" i="143"/>
  <c r="P135" i="105"/>
  <c r="R93" i="143"/>
  <c r="K132" i="105"/>
  <c r="R89" i="143"/>
  <c r="K128" i="105"/>
  <c r="R90" i="143"/>
  <c r="K129" i="105"/>
  <c r="S76" i="143"/>
  <c r="S77" i="143"/>
  <c r="S78" i="143"/>
  <c r="S83" i="143"/>
  <c r="K134" i="105"/>
  <c r="P127" i="105"/>
  <c r="R123" i="143"/>
  <c r="R122" i="143"/>
  <c r="R121" i="143"/>
  <c r="Q144" i="129"/>
  <c r="Q90" i="135"/>
  <c r="J128" i="102"/>
  <c r="Q79" i="139"/>
  <c r="J126" i="120"/>
  <c r="Q127" i="141"/>
  <c r="P130" i="143"/>
  <c r="P132" i="143"/>
  <c r="J142" i="105"/>
  <c r="Q144" i="142"/>
  <c r="Q142" i="139"/>
  <c r="P126" i="142"/>
  <c r="P128" i="142"/>
  <c r="Q145" i="142"/>
  <c r="Q143" i="142"/>
  <c r="P123" i="139"/>
  <c r="P129" i="139"/>
  <c r="P131" i="139"/>
  <c r="P126" i="139"/>
  <c r="P94" i="141"/>
  <c r="N159" i="140"/>
  <c r="N163" i="140"/>
  <c r="P89" i="127"/>
  <c r="I129" i="116"/>
  <c r="R76" i="139"/>
  <c r="V96" i="139"/>
  <c r="O135" i="120"/>
  <c r="P127" i="140"/>
  <c r="Q126" i="141"/>
  <c r="I141" i="116"/>
  <c r="P127" i="137"/>
  <c r="J142" i="120"/>
  <c r="R78" i="139"/>
  <c r="R82" i="139"/>
  <c r="Q121" i="139"/>
  <c r="P127" i="139"/>
  <c r="Q120" i="139"/>
  <c r="Q125" i="139"/>
  <c r="O92" i="127"/>
  <c r="O94" i="129"/>
  <c r="R77" i="139"/>
  <c r="J134" i="120"/>
  <c r="O94" i="140"/>
  <c r="P128" i="140"/>
  <c r="P126" i="140"/>
  <c r="R92" i="139"/>
  <c r="K132" i="120"/>
  <c r="Q78" i="125"/>
  <c r="J125" i="114"/>
  <c r="O158" i="139"/>
  <c r="H141" i="120"/>
  <c r="Q144" i="140"/>
  <c r="P93" i="139"/>
  <c r="I130" i="120"/>
  <c r="Q145" i="140"/>
  <c r="Q143" i="140"/>
  <c r="Q143" i="131"/>
  <c r="P127" i="129"/>
  <c r="Q144" i="135"/>
  <c r="Q143" i="133"/>
  <c r="R78" i="135"/>
  <c r="R83" i="135"/>
  <c r="J133" i="102"/>
  <c r="Q93" i="135"/>
  <c r="J131" i="102"/>
  <c r="Q144" i="137"/>
  <c r="P126" i="133"/>
  <c r="Q121" i="135"/>
  <c r="Q123" i="135"/>
  <c r="V97" i="135"/>
  <c r="O134" i="102"/>
  <c r="Q142" i="131"/>
  <c r="Q122" i="135"/>
  <c r="R76" i="135"/>
  <c r="O126" i="102"/>
  <c r="P124" i="135"/>
  <c r="P130" i="135"/>
  <c r="P132" i="135"/>
  <c r="O93" i="138"/>
  <c r="N158" i="138"/>
  <c r="N162" i="138"/>
  <c r="Q144" i="138"/>
  <c r="Q142" i="138"/>
  <c r="P93" i="137"/>
  <c r="Q143" i="138"/>
  <c r="P127" i="138"/>
  <c r="P125" i="138"/>
  <c r="O158" i="137"/>
  <c r="P122" i="127"/>
  <c r="P128" i="127"/>
  <c r="P130" i="127"/>
  <c r="P128" i="135"/>
  <c r="P127" i="135"/>
  <c r="Q145" i="135"/>
  <c r="O93" i="136"/>
  <c r="R76" i="125"/>
  <c r="N158" i="136"/>
  <c r="Q141" i="127"/>
  <c r="Q126" i="137"/>
  <c r="P126" i="136"/>
  <c r="P124" i="127"/>
  <c r="P127" i="136"/>
  <c r="P125" i="136"/>
  <c r="Q144" i="136"/>
  <c r="Q142" i="136"/>
  <c r="Q142" i="127"/>
  <c r="P127" i="131"/>
  <c r="Q143" i="135"/>
  <c r="Q145" i="133"/>
  <c r="O159" i="135"/>
  <c r="H140" i="102"/>
  <c r="Q143" i="136"/>
  <c r="N162" i="136"/>
  <c r="P128" i="133"/>
  <c r="P94" i="135"/>
  <c r="I129" i="102"/>
  <c r="Q119" i="125"/>
  <c r="P94" i="133"/>
  <c r="Q144" i="133"/>
  <c r="O94" i="134"/>
  <c r="R77" i="125"/>
  <c r="N163" i="129"/>
  <c r="N159" i="134"/>
  <c r="N163" i="134"/>
  <c r="Q92" i="135"/>
  <c r="J130" i="102"/>
  <c r="Q144" i="134"/>
  <c r="N162" i="131"/>
  <c r="Q145" i="134"/>
  <c r="Q143" i="134"/>
  <c r="P128" i="134"/>
  <c r="P126" i="134"/>
  <c r="Q142" i="125"/>
  <c r="Q143" i="129"/>
  <c r="Q127" i="134"/>
  <c r="O159" i="133"/>
  <c r="R144" i="133"/>
  <c r="V96" i="132"/>
  <c r="O134" i="112"/>
  <c r="Q87" i="132"/>
  <c r="V95" i="124"/>
  <c r="O134" i="113"/>
  <c r="R86" i="124"/>
  <c r="Q121" i="125"/>
  <c r="Q91" i="125"/>
  <c r="J131" i="114"/>
  <c r="V95" i="126"/>
  <c r="O134" i="115"/>
  <c r="R86" i="126"/>
  <c r="P126" i="125"/>
  <c r="Q143" i="127"/>
  <c r="Q144" i="131"/>
  <c r="Q143" i="132"/>
  <c r="V95" i="125"/>
  <c r="O134" i="114"/>
  <c r="R86" i="125"/>
  <c r="Q141" i="125"/>
  <c r="O159" i="129"/>
  <c r="Q80" i="127"/>
  <c r="Q82" i="127"/>
  <c r="Q90" i="127"/>
  <c r="J130" i="116"/>
  <c r="N158" i="132"/>
  <c r="N162" i="132"/>
  <c r="G140" i="112"/>
  <c r="Q120" i="125"/>
  <c r="J133" i="114"/>
  <c r="Q88" i="125"/>
  <c r="J128" i="114"/>
  <c r="O92" i="125"/>
  <c r="Q88" i="127"/>
  <c r="J128" i="116"/>
  <c r="V95" i="127"/>
  <c r="O134" i="116"/>
  <c r="R86" i="127"/>
  <c r="N161" i="125"/>
  <c r="O93" i="132"/>
  <c r="H126" i="112"/>
  <c r="P128" i="129"/>
  <c r="N161" i="127"/>
  <c r="Q144" i="132"/>
  <c r="Q142" i="132"/>
  <c r="P126" i="127"/>
  <c r="Q145" i="129"/>
  <c r="I141" i="112"/>
  <c r="O158" i="131"/>
  <c r="Q78" i="127"/>
  <c r="J125" i="116"/>
  <c r="P126" i="132"/>
  <c r="O129" i="132"/>
  <c r="O131" i="132"/>
  <c r="Q125" i="131"/>
  <c r="P91" i="132"/>
  <c r="I130" i="112"/>
  <c r="P90" i="132"/>
  <c r="I129" i="112"/>
  <c r="I126" i="112"/>
  <c r="Q89" i="132"/>
  <c r="J128" i="112"/>
  <c r="Q92" i="132"/>
  <c r="J131" i="112"/>
  <c r="J133" i="112"/>
  <c r="R76" i="132"/>
  <c r="R77" i="132"/>
  <c r="R78" i="132"/>
  <c r="R82" i="132"/>
  <c r="Q121" i="132"/>
  <c r="Q122" i="132"/>
  <c r="Q120" i="132"/>
  <c r="P125" i="127"/>
  <c r="P123" i="132"/>
  <c r="P127" i="132"/>
  <c r="P125" i="132"/>
  <c r="Q81" i="132"/>
  <c r="Q83" i="132"/>
  <c r="Q79" i="132"/>
  <c r="J125" i="112"/>
  <c r="N158" i="130"/>
  <c r="N162" i="130"/>
  <c r="Q143" i="130"/>
  <c r="Q143" i="125"/>
  <c r="P126" i="130"/>
  <c r="Q144" i="130"/>
  <c r="Q142" i="130"/>
  <c r="Q80" i="125"/>
  <c r="Q82" i="125"/>
  <c r="Q90" i="125"/>
  <c r="J130" i="114"/>
  <c r="P127" i="130"/>
  <c r="P125" i="130"/>
  <c r="O93" i="130"/>
  <c r="N158" i="128"/>
  <c r="N162" i="128"/>
  <c r="O157" i="125"/>
  <c r="H140" i="114"/>
  <c r="P125" i="125"/>
  <c r="P126" i="128"/>
  <c r="P90" i="125"/>
  <c r="I130" i="114"/>
  <c r="P122" i="125"/>
  <c r="P128" i="125"/>
  <c r="P130" i="125"/>
  <c r="I126" i="114"/>
  <c r="N157" i="126"/>
  <c r="N161" i="126"/>
  <c r="G140" i="115"/>
  <c r="O157" i="127"/>
  <c r="H140" i="116"/>
  <c r="R77" i="127"/>
  <c r="K134" i="116"/>
  <c r="Q120" i="127"/>
  <c r="R76" i="127"/>
  <c r="Q91" i="127"/>
  <c r="J131" i="116"/>
  <c r="Q119" i="127"/>
  <c r="J133" i="116"/>
  <c r="Q121" i="127"/>
  <c r="R87" i="127"/>
  <c r="K127" i="116"/>
  <c r="P127" i="128"/>
  <c r="P125" i="128"/>
  <c r="O93" i="128"/>
  <c r="Q144" i="128"/>
  <c r="Q142" i="128"/>
  <c r="R143" i="128"/>
  <c r="O92" i="126"/>
  <c r="P125" i="126"/>
  <c r="J126" i="116"/>
  <c r="L134" i="116"/>
  <c r="K133" i="116"/>
  <c r="Q142" i="126"/>
  <c r="Q88" i="126"/>
  <c r="J128" i="115"/>
  <c r="Q91" i="126"/>
  <c r="J131" i="115"/>
  <c r="J133" i="115"/>
  <c r="K134" i="115"/>
  <c r="R76" i="126"/>
  <c r="R77" i="126"/>
  <c r="Q120" i="126"/>
  <c r="Q121" i="126"/>
  <c r="Q119" i="126"/>
  <c r="N157" i="124"/>
  <c r="N161" i="124"/>
  <c r="G140" i="113"/>
  <c r="O128" i="126"/>
  <c r="O130" i="126"/>
  <c r="Q143" i="126"/>
  <c r="Q141" i="126"/>
  <c r="P124" i="126"/>
  <c r="P126" i="126"/>
  <c r="P122" i="126"/>
  <c r="Q78" i="126"/>
  <c r="J125" i="115"/>
  <c r="Q80" i="126"/>
  <c r="Q82" i="126"/>
  <c r="P89" i="126"/>
  <c r="I129" i="115"/>
  <c r="I126" i="115"/>
  <c r="P90" i="126"/>
  <c r="I130" i="115"/>
  <c r="I141" i="115"/>
  <c r="O93" i="122"/>
  <c r="J126" i="114"/>
  <c r="Q124" i="125"/>
  <c r="Q144" i="123"/>
  <c r="Q143" i="124"/>
  <c r="Q141" i="124"/>
  <c r="Q142" i="124"/>
  <c r="O128" i="124"/>
  <c r="O130" i="124"/>
  <c r="N159" i="123"/>
  <c r="N163" i="123"/>
  <c r="P125" i="124"/>
  <c r="Q78" i="124"/>
  <c r="J125" i="113"/>
  <c r="Q80" i="124"/>
  <c r="Q82" i="124"/>
  <c r="I141" i="113"/>
  <c r="K134" i="113"/>
  <c r="Q173" i="124"/>
  <c r="Q175" i="124"/>
  <c r="Q88" i="124"/>
  <c r="J128" i="113"/>
  <c r="Q91" i="124"/>
  <c r="J131" i="113"/>
  <c r="R76" i="124"/>
  <c r="Q121" i="124"/>
  <c r="R77" i="124"/>
  <c r="Q120" i="124"/>
  <c r="J133" i="113"/>
  <c r="Q119" i="124"/>
  <c r="O92" i="124"/>
  <c r="P122" i="124"/>
  <c r="P126" i="124"/>
  <c r="P124" i="124"/>
  <c r="P90" i="124"/>
  <c r="I130" i="113"/>
  <c r="P89" i="124"/>
  <c r="I129" i="113"/>
  <c r="I126" i="113"/>
  <c r="P127" i="123"/>
  <c r="Q127" i="123"/>
  <c r="R144" i="123"/>
  <c r="P126" i="122"/>
  <c r="P128" i="123"/>
  <c r="P126" i="123"/>
  <c r="Q145" i="123"/>
  <c r="Q143" i="123"/>
  <c r="P125" i="122"/>
  <c r="Q142" i="122"/>
  <c r="N158" i="122"/>
  <c r="N162" i="122"/>
  <c r="P127" i="122"/>
  <c r="P144" i="122"/>
  <c r="I169" i="105"/>
  <c r="G414" i="71"/>
  <c r="R175" i="140"/>
  <c r="R177" i="140"/>
  <c r="Q176" i="138"/>
  <c r="Q176" i="137"/>
  <c r="R174" i="136"/>
  <c r="R176" i="136"/>
  <c r="I169" i="120"/>
  <c r="G338" i="71"/>
  <c r="Q174" i="139"/>
  <c r="Q176" i="139"/>
  <c r="I168" i="102"/>
  <c r="G262" i="71"/>
  <c r="R175" i="129"/>
  <c r="R177" i="129"/>
  <c r="R174" i="130"/>
  <c r="R176" i="130"/>
  <c r="S174" i="128"/>
  <c r="S176" i="128"/>
  <c r="H186" i="71"/>
  <c r="J168" i="112"/>
  <c r="R174" i="132"/>
  <c r="R176" i="132"/>
  <c r="R174" i="131"/>
  <c r="R176" i="131"/>
  <c r="J168" i="115"/>
  <c r="R173" i="127"/>
  <c r="R175" i="127"/>
  <c r="H110" i="71"/>
  <c r="J168" i="116"/>
  <c r="H72" i="71"/>
  <c r="J168" i="114"/>
  <c r="I53" i="71"/>
  <c r="K168" i="113"/>
  <c r="R173" i="125"/>
  <c r="R175" i="125"/>
  <c r="S173" i="124"/>
  <c r="S175" i="124"/>
  <c r="R173" i="126"/>
  <c r="R175" i="126"/>
  <c r="S175" i="123"/>
  <c r="S177" i="123"/>
  <c r="S174" i="122"/>
  <c r="S176" i="122"/>
  <c r="R143" i="137"/>
  <c r="R143" i="133"/>
  <c r="P92" i="127"/>
  <c r="J141" i="116"/>
  <c r="Q127" i="137"/>
  <c r="Q90" i="139"/>
  <c r="J130" i="120"/>
  <c r="R125" i="131"/>
  <c r="R144" i="135"/>
  <c r="R144" i="139"/>
  <c r="R119" i="127"/>
  <c r="R142" i="139"/>
  <c r="Q126" i="139"/>
  <c r="J141" i="114"/>
  <c r="S143" i="137"/>
  <c r="R87" i="139"/>
  <c r="K127" i="120"/>
  <c r="R145" i="133"/>
  <c r="Q127" i="129"/>
  <c r="R144" i="141"/>
  <c r="R121" i="127"/>
  <c r="Q128" i="141"/>
  <c r="Q128" i="133"/>
  <c r="Q94" i="143"/>
  <c r="J131" i="105"/>
  <c r="R145" i="141"/>
  <c r="R81" i="139"/>
  <c r="R83" i="139"/>
  <c r="R90" i="139"/>
  <c r="K130" i="120"/>
  <c r="P159" i="143"/>
  <c r="I141" i="105"/>
  <c r="S144" i="143"/>
  <c r="Q126" i="133"/>
  <c r="R82" i="135"/>
  <c r="R84" i="135"/>
  <c r="R122" i="139"/>
  <c r="W96" i="139"/>
  <c r="P135" i="120"/>
  <c r="R143" i="141"/>
  <c r="S145" i="143"/>
  <c r="S143" i="143"/>
  <c r="R142" i="137"/>
  <c r="R120" i="139"/>
  <c r="R125" i="139"/>
  <c r="K134" i="120"/>
  <c r="P159" i="141"/>
  <c r="P94" i="142"/>
  <c r="O159" i="142"/>
  <c r="R126" i="143"/>
  <c r="R124" i="143"/>
  <c r="R128" i="143"/>
  <c r="R127" i="143"/>
  <c r="K142" i="105"/>
  <c r="Q130" i="143"/>
  <c r="Q132" i="143"/>
  <c r="R92" i="143"/>
  <c r="K131" i="105"/>
  <c r="R91" i="143"/>
  <c r="K130" i="105"/>
  <c r="S89" i="143"/>
  <c r="L128" i="105"/>
  <c r="S93" i="143"/>
  <c r="L132" i="105"/>
  <c r="Q127" i="105"/>
  <c r="X97" i="143"/>
  <c r="Q135" i="105"/>
  <c r="S90" i="143"/>
  <c r="L129" i="105"/>
  <c r="T77" i="143"/>
  <c r="T78" i="143"/>
  <c r="T83" i="143"/>
  <c r="L134" i="105"/>
  <c r="T76" i="143"/>
  <c r="S122" i="143"/>
  <c r="S123" i="143"/>
  <c r="S121" i="143"/>
  <c r="R89" i="139"/>
  <c r="K129" i="120"/>
  <c r="Q94" i="141"/>
  <c r="S82" i="143"/>
  <c r="S84" i="143"/>
  <c r="S80" i="143"/>
  <c r="L126" i="105"/>
  <c r="Q127" i="142"/>
  <c r="R142" i="127"/>
  <c r="Q127" i="135"/>
  <c r="R144" i="142"/>
  <c r="Q128" i="129"/>
  <c r="R127" i="142"/>
  <c r="Q128" i="142"/>
  <c r="Q126" i="142"/>
  <c r="R145" i="142"/>
  <c r="R143" i="142"/>
  <c r="R144" i="137"/>
  <c r="Q127" i="139"/>
  <c r="R120" i="127"/>
  <c r="R145" i="135"/>
  <c r="S77" i="139"/>
  <c r="S76" i="139"/>
  <c r="R88" i="139"/>
  <c r="K128" i="120"/>
  <c r="Q123" i="139"/>
  <c r="Q129" i="139"/>
  <c r="Q131" i="139"/>
  <c r="Q128" i="135"/>
  <c r="O159" i="140"/>
  <c r="P94" i="140"/>
  <c r="R91" i="127"/>
  <c r="K131" i="116"/>
  <c r="R125" i="137"/>
  <c r="S78" i="139"/>
  <c r="S82" i="139"/>
  <c r="R121" i="139"/>
  <c r="R79" i="139"/>
  <c r="K126" i="120"/>
  <c r="R143" i="139"/>
  <c r="R126" i="141"/>
  <c r="P158" i="139"/>
  <c r="I141" i="120"/>
  <c r="Q125" i="125"/>
  <c r="Q127" i="140"/>
  <c r="Q128" i="140"/>
  <c r="Q126" i="140"/>
  <c r="P94" i="129"/>
  <c r="R127" i="133"/>
  <c r="R142" i="125"/>
  <c r="R80" i="135"/>
  <c r="K125" i="102"/>
  <c r="P93" i="136"/>
  <c r="J141" i="102"/>
  <c r="Q93" i="139"/>
  <c r="K141" i="102"/>
  <c r="R144" i="140"/>
  <c r="S87" i="139"/>
  <c r="L127" i="120"/>
  <c r="R126" i="133"/>
  <c r="Q124" i="135"/>
  <c r="R145" i="140"/>
  <c r="R143" i="140"/>
  <c r="R144" i="129"/>
  <c r="R143" i="135"/>
  <c r="Q89" i="127"/>
  <c r="J129" i="116"/>
  <c r="Q126" i="135"/>
  <c r="R80" i="125"/>
  <c r="R82" i="125"/>
  <c r="R89" i="125"/>
  <c r="K129" i="114"/>
  <c r="O158" i="138"/>
  <c r="P93" i="138"/>
  <c r="R91" i="139"/>
  <c r="K131" i="120"/>
  <c r="W97" i="135"/>
  <c r="P134" i="102"/>
  <c r="R143" i="138"/>
  <c r="Q126" i="138"/>
  <c r="Q125" i="127"/>
  <c r="S77" i="135"/>
  <c r="R145" i="129"/>
  <c r="R144" i="138"/>
  <c r="R142" i="138"/>
  <c r="Q127" i="138"/>
  <c r="Q125" i="138"/>
  <c r="Q93" i="137"/>
  <c r="P158" i="137"/>
  <c r="R121" i="135"/>
  <c r="S78" i="135"/>
  <c r="S83" i="135"/>
  <c r="P126" i="102"/>
  <c r="R90" i="135"/>
  <c r="K128" i="102"/>
  <c r="Q89" i="125"/>
  <c r="J129" i="114"/>
  <c r="R123" i="135"/>
  <c r="K133" i="102"/>
  <c r="R89" i="135"/>
  <c r="K127" i="102"/>
  <c r="R143" i="136"/>
  <c r="O158" i="136"/>
  <c r="R143" i="131"/>
  <c r="Q126" i="131"/>
  <c r="R122" i="135"/>
  <c r="S76" i="135"/>
  <c r="R93" i="135"/>
  <c r="K131" i="102"/>
  <c r="Q126" i="136"/>
  <c r="R88" i="127"/>
  <c r="K128" i="116"/>
  <c r="Q94" i="135"/>
  <c r="J129" i="102"/>
  <c r="S76" i="127"/>
  <c r="S77" i="127"/>
  <c r="R142" i="136"/>
  <c r="R144" i="136"/>
  <c r="S93" i="135"/>
  <c r="L131" i="102"/>
  <c r="P159" i="135"/>
  <c r="I140" i="102"/>
  <c r="R143" i="125"/>
  <c r="Q126" i="125"/>
  <c r="Q127" i="136"/>
  <c r="Q125" i="136"/>
  <c r="Q130" i="135"/>
  <c r="Q132" i="135"/>
  <c r="R78" i="125"/>
  <c r="K125" i="114"/>
  <c r="Q126" i="129"/>
  <c r="Q127" i="131"/>
  <c r="Q122" i="125"/>
  <c r="Q128" i="125"/>
  <c r="Q130" i="125"/>
  <c r="R141" i="125"/>
  <c r="R143" i="129"/>
  <c r="R144" i="131"/>
  <c r="Q126" i="127"/>
  <c r="R144" i="134"/>
  <c r="P94" i="134"/>
  <c r="O159" i="134"/>
  <c r="Q128" i="134"/>
  <c r="Q126" i="134"/>
  <c r="R80" i="127"/>
  <c r="R82" i="127"/>
  <c r="Q94" i="133"/>
  <c r="R143" i="134"/>
  <c r="R145" i="134"/>
  <c r="P159" i="133"/>
  <c r="O158" i="132"/>
  <c r="H140" i="112"/>
  <c r="W95" i="125"/>
  <c r="S86" i="125"/>
  <c r="W95" i="127"/>
  <c r="S86" i="127"/>
  <c r="R142" i="131"/>
  <c r="P159" i="129"/>
  <c r="W95" i="124"/>
  <c r="S86" i="124"/>
  <c r="W95" i="126"/>
  <c r="S86" i="126"/>
  <c r="W96" i="132"/>
  <c r="P134" i="112"/>
  <c r="R87" i="132"/>
  <c r="Q127" i="132"/>
  <c r="Q125" i="132"/>
  <c r="Q123" i="132"/>
  <c r="J141" i="112"/>
  <c r="R143" i="130"/>
  <c r="P158" i="131"/>
  <c r="R144" i="132"/>
  <c r="R142" i="132"/>
  <c r="R81" i="132"/>
  <c r="R83" i="132"/>
  <c r="R79" i="132"/>
  <c r="K125" i="112"/>
  <c r="P129" i="132"/>
  <c r="P131" i="132"/>
  <c r="R143" i="132"/>
  <c r="P93" i="132"/>
  <c r="K133" i="112"/>
  <c r="R92" i="132"/>
  <c r="K131" i="112"/>
  <c r="R88" i="132"/>
  <c r="K127" i="112"/>
  <c r="R89" i="132"/>
  <c r="K128" i="112"/>
  <c r="S77" i="132"/>
  <c r="S76" i="132"/>
  <c r="R122" i="132"/>
  <c r="S78" i="132"/>
  <c r="S82" i="132"/>
  <c r="R121" i="132"/>
  <c r="R120" i="132"/>
  <c r="Q91" i="132"/>
  <c r="J130" i="112"/>
  <c r="Q90" i="132"/>
  <c r="J129" i="112"/>
  <c r="J126" i="112"/>
  <c r="Q126" i="132"/>
  <c r="O158" i="130"/>
  <c r="S143" i="131"/>
  <c r="Q126" i="130"/>
  <c r="P93" i="130"/>
  <c r="Q122" i="127"/>
  <c r="Q128" i="127"/>
  <c r="Q130" i="127"/>
  <c r="R144" i="130"/>
  <c r="R142" i="130"/>
  <c r="Q127" i="130"/>
  <c r="Q125" i="130"/>
  <c r="O158" i="128"/>
  <c r="O94" i="123"/>
  <c r="P157" i="125"/>
  <c r="I140" i="114"/>
  <c r="O157" i="126"/>
  <c r="H140" i="115"/>
  <c r="Q124" i="127"/>
  <c r="P157" i="127"/>
  <c r="I140" i="116"/>
  <c r="P92" i="125"/>
  <c r="R141" i="127"/>
  <c r="R78" i="127"/>
  <c r="K125" i="116"/>
  <c r="R143" i="127"/>
  <c r="Q125" i="126"/>
  <c r="S77" i="125"/>
  <c r="R87" i="125"/>
  <c r="K127" i="114"/>
  <c r="S76" i="125"/>
  <c r="S80" i="125"/>
  <c r="R142" i="126"/>
  <c r="Q125" i="128"/>
  <c r="Q127" i="128"/>
  <c r="R144" i="128"/>
  <c r="R142" i="128"/>
  <c r="Q126" i="128"/>
  <c r="P93" i="128"/>
  <c r="S142" i="127"/>
  <c r="P92" i="126"/>
  <c r="R90" i="127"/>
  <c r="K130" i="116"/>
  <c r="K126" i="116"/>
  <c r="R89" i="127"/>
  <c r="K129" i="116"/>
  <c r="R124" i="127"/>
  <c r="R121" i="125"/>
  <c r="R88" i="125"/>
  <c r="K128" i="114"/>
  <c r="R143" i="126"/>
  <c r="R141" i="126"/>
  <c r="P128" i="126"/>
  <c r="P130" i="126"/>
  <c r="R119" i="125"/>
  <c r="R124" i="125"/>
  <c r="R120" i="125"/>
  <c r="K133" i="114"/>
  <c r="R91" i="125"/>
  <c r="K131" i="114"/>
  <c r="Q90" i="126"/>
  <c r="J130" i="115"/>
  <c r="Q89" i="126"/>
  <c r="J129" i="115"/>
  <c r="J126" i="115"/>
  <c r="J141" i="115"/>
  <c r="Q124" i="126"/>
  <c r="Q122" i="126"/>
  <c r="Q126" i="126"/>
  <c r="O157" i="124"/>
  <c r="H140" i="113"/>
  <c r="T76" i="125"/>
  <c r="L134" i="114"/>
  <c r="R88" i="126"/>
  <c r="K128" i="115"/>
  <c r="R91" i="126"/>
  <c r="K131" i="115"/>
  <c r="L134" i="115"/>
  <c r="R87" i="126"/>
  <c r="K127" i="115"/>
  <c r="S77" i="126"/>
  <c r="K133" i="115"/>
  <c r="S76" i="126"/>
  <c r="R121" i="126"/>
  <c r="S142" i="126"/>
  <c r="R120" i="126"/>
  <c r="R119" i="126"/>
  <c r="R80" i="126"/>
  <c r="R82" i="126"/>
  <c r="R78" i="126"/>
  <c r="K125" i="115"/>
  <c r="K141" i="114"/>
  <c r="K126" i="114"/>
  <c r="Q126" i="122"/>
  <c r="P92" i="124"/>
  <c r="Q177" i="123"/>
  <c r="L134" i="113"/>
  <c r="K133" i="113"/>
  <c r="R88" i="124"/>
  <c r="K128" i="113"/>
  <c r="R91" i="124"/>
  <c r="K131" i="113"/>
  <c r="R87" i="124"/>
  <c r="K127" i="113"/>
  <c r="R120" i="124"/>
  <c r="S76" i="124"/>
  <c r="S77" i="124"/>
  <c r="R121" i="124"/>
  <c r="R119" i="124"/>
  <c r="J141" i="113"/>
  <c r="Q126" i="124"/>
  <c r="Q124" i="124"/>
  <c r="Q122" i="124"/>
  <c r="R80" i="124"/>
  <c r="R82" i="124"/>
  <c r="R78" i="124"/>
  <c r="K125" i="113"/>
  <c r="P93" i="122"/>
  <c r="O159" i="123"/>
  <c r="P128" i="124"/>
  <c r="P130" i="124"/>
  <c r="R143" i="124"/>
  <c r="R141" i="124"/>
  <c r="R142" i="124"/>
  <c r="Q125" i="124"/>
  <c r="Q90" i="124"/>
  <c r="J130" i="113"/>
  <c r="Q89" i="124"/>
  <c r="J129" i="113"/>
  <c r="J126" i="113"/>
  <c r="R145" i="123"/>
  <c r="R143" i="123"/>
  <c r="R143" i="122"/>
  <c r="R142" i="122"/>
  <c r="Q126" i="123"/>
  <c r="Q128" i="123"/>
  <c r="Q125" i="122"/>
  <c r="O158" i="122"/>
  <c r="Q144" i="122"/>
  <c r="Q127" i="122"/>
  <c r="R175" i="141"/>
  <c r="R177" i="141"/>
  <c r="R175" i="142"/>
  <c r="R177" i="142"/>
  <c r="S175" i="140"/>
  <c r="S177" i="140"/>
  <c r="R175" i="143"/>
  <c r="R177" i="143"/>
  <c r="R123" i="139"/>
  <c r="J169" i="120"/>
  <c r="H338" i="71"/>
  <c r="R174" i="138"/>
  <c r="R176" i="138"/>
  <c r="R174" i="137"/>
  <c r="R176" i="137"/>
  <c r="S174" i="136"/>
  <c r="S176" i="136"/>
  <c r="R174" i="139"/>
  <c r="R176" i="139"/>
  <c r="T175" i="129"/>
  <c r="T177" i="129"/>
  <c r="R175" i="134"/>
  <c r="R177" i="134"/>
  <c r="R175" i="133"/>
  <c r="R177" i="133"/>
  <c r="S175" i="129"/>
  <c r="S177" i="129"/>
  <c r="R175" i="135"/>
  <c r="R177" i="135"/>
  <c r="S174" i="131"/>
  <c r="S176" i="131"/>
  <c r="S174" i="132"/>
  <c r="S176" i="132"/>
  <c r="S174" i="130"/>
  <c r="S176" i="130"/>
  <c r="T174" i="128"/>
  <c r="T176" i="128"/>
  <c r="I186" i="71"/>
  <c r="K168" i="112"/>
  <c r="K168" i="115"/>
  <c r="I110" i="71"/>
  <c r="K168" i="116"/>
  <c r="S173" i="127"/>
  <c r="S175" i="127"/>
  <c r="T173" i="124"/>
  <c r="T175" i="124"/>
  <c r="S173" i="126"/>
  <c r="S175" i="126"/>
  <c r="L168" i="113"/>
  <c r="J53" i="71"/>
  <c r="S173" i="125"/>
  <c r="S175" i="125"/>
  <c r="I72" i="71"/>
  <c r="K168" i="114"/>
  <c r="T175" i="123"/>
  <c r="T177" i="123"/>
  <c r="T174" i="122"/>
  <c r="T176" i="122"/>
  <c r="S81" i="139"/>
  <c r="S83" i="139"/>
  <c r="S90" i="139"/>
  <c r="S144" i="133"/>
  <c r="S128" i="141"/>
  <c r="S143" i="141"/>
  <c r="S143" i="133"/>
  <c r="R126" i="127"/>
  <c r="R127" i="141"/>
  <c r="S145" i="141"/>
  <c r="S127" i="133"/>
  <c r="S141" i="127"/>
  <c r="R128" i="133"/>
  <c r="R128" i="141"/>
  <c r="R125" i="127"/>
  <c r="S122" i="135"/>
  <c r="S144" i="141"/>
  <c r="R127" i="135"/>
  <c r="S143" i="139"/>
  <c r="T76" i="135"/>
  <c r="S144" i="131"/>
  <c r="T77" i="135"/>
  <c r="S144" i="137"/>
  <c r="S142" i="131"/>
  <c r="S142" i="137"/>
  <c r="K142" i="120"/>
  <c r="S121" i="135"/>
  <c r="S126" i="135"/>
  <c r="X97" i="135"/>
  <c r="Q134" i="102"/>
  <c r="S145" i="133"/>
  <c r="Q159" i="143"/>
  <c r="J141" i="105"/>
  <c r="R127" i="139"/>
  <c r="S82" i="135"/>
  <c r="S144" i="142"/>
  <c r="R94" i="143"/>
  <c r="L141" i="102"/>
  <c r="R92" i="135"/>
  <c r="K130" i="102"/>
  <c r="R91" i="135"/>
  <c r="K129" i="102"/>
  <c r="P159" i="142"/>
  <c r="T143" i="143"/>
  <c r="T145" i="143"/>
  <c r="Y97" i="143"/>
  <c r="R135" i="105"/>
  <c r="T93" i="143"/>
  <c r="M132" i="105"/>
  <c r="T90" i="143"/>
  <c r="M129" i="105"/>
  <c r="T89" i="143"/>
  <c r="M128" i="105"/>
  <c r="U78" i="143"/>
  <c r="U83" i="143"/>
  <c r="M134" i="105"/>
  <c r="U76" i="143"/>
  <c r="U77" i="143"/>
  <c r="R127" i="105"/>
  <c r="T123" i="143"/>
  <c r="T122" i="143"/>
  <c r="T121" i="143"/>
  <c r="R122" i="127"/>
  <c r="R127" i="131"/>
  <c r="R126" i="137"/>
  <c r="R94" i="141"/>
  <c r="L142" i="105"/>
  <c r="S92" i="143"/>
  <c r="L131" i="105"/>
  <c r="S91" i="143"/>
  <c r="T143" i="137"/>
  <c r="S120" i="139"/>
  <c r="Q159" i="141"/>
  <c r="S126" i="143"/>
  <c r="S124" i="143"/>
  <c r="S128" i="143"/>
  <c r="T80" i="143"/>
  <c r="M126" i="105"/>
  <c r="T82" i="143"/>
  <c r="T84" i="143"/>
  <c r="R126" i="131"/>
  <c r="S126" i="133"/>
  <c r="R126" i="139"/>
  <c r="T144" i="143"/>
  <c r="S127" i="143"/>
  <c r="R130" i="143"/>
  <c r="R132" i="143"/>
  <c r="R128" i="142"/>
  <c r="R126" i="142"/>
  <c r="S145" i="142"/>
  <c r="S143" i="142"/>
  <c r="R124" i="135"/>
  <c r="R130" i="135"/>
  <c r="R132" i="135"/>
  <c r="S79" i="139"/>
  <c r="L126" i="120"/>
  <c r="L141" i="116"/>
  <c r="S144" i="135"/>
  <c r="R127" i="137"/>
  <c r="T144" i="141"/>
  <c r="Q94" i="140"/>
  <c r="S126" i="141"/>
  <c r="S143" i="127"/>
  <c r="S145" i="135"/>
  <c r="S142" i="139"/>
  <c r="P159" i="140"/>
  <c r="R90" i="125"/>
  <c r="K130" i="114"/>
  <c r="S121" i="139"/>
  <c r="S144" i="139"/>
  <c r="X96" i="139"/>
  <c r="Q135" i="120"/>
  <c r="T143" i="141"/>
  <c r="Q158" i="139"/>
  <c r="J141" i="120"/>
  <c r="S145" i="140"/>
  <c r="S143" i="140"/>
  <c r="T77" i="139"/>
  <c r="S122" i="139"/>
  <c r="S89" i="139"/>
  <c r="L129" i="120"/>
  <c r="S88" i="139"/>
  <c r="L128" i="120"/>
  <c r="S80" i="127"/>
  <c r="S82" i="127"/>
  <c r="L134" i="120"/>
  <c r="S92" i="139"/>
  <c r="L132" i="120"/>
  <c r="R127" i="140"/>
  <c r="R126" i="140"/>
  <c r="R128" i="140"/>
  <c r="T89" i="139"/>
  <c r="M129" i="120"/>
  <c r="T78" i="139"/>
  <c r="T82" i="139"/>
  <c r="T76" i="139"/>
  <c r="R93" i="139"/>
  <c r="S144" i="140"/>
  <c r="R128" i="135"/>
  <c r="R126" i="135"/>
  <c r="S125" i="139"/>
  <c r="Q92" i="127"/>
  <c r="P158" i="138"/>
  <c r="Q92" i="125"/>
  <c r="R126" i="136"/>
  <c r="R129" i="139"/>
  <c r="R131" i="139"/>
  <c r="R126" i="138"/>
  <c r="K141" i="116"/>
  <c r="S143" i="138"/>
  <c r="R125" i="138"/>
  <c r="R127" i="138"/>
  <c r="R93" i="137"/>
  <c r="S144" i="138"/>
  <c r="S142" i="138"/>
  <c r="Q158" i="137"/>
  <c r="S143" i="135"/>
  <c r="S80" i="135"/>
  <c r="L125" i="102"/>
  <c r="P158" i="136"/>
  <c r="S125" i="137"/>
  <c r="S84" i="135"/>
  <c r="S91" i="135"/>
  <c r="L129" i="102"/>
  <c r="Q93" i="136"/>
  <c r="S78" i="127"/>
  <c r="L125" i="116"/>
  <c r="S144" i="129"/>
  <c r="S90" i="135"/>
  <c r="L128" i="102"/>
  <c r="S143" i="136"/>
  <c r="S145" i="129"/>
  <c r="L133" i="102"/>
  <c r="S89" i="135"/>
  <c r="L127" i="102"/>
  <c r="R125" i="136"/>
  <c r="R127" i="136"/>
  <c r="S123" i="135"/>
  <c r="S127" i="135"/>
  <c r="Q126" i="102"/>
  <c r="T78" i="135"/>
  <c r="T83" i="135"/>
  <c r="Q159" i="135"/>
  <c r="J140" i="102"/>
  <c r="S144" i="136"/>
  <c r="S142" i="136"/>
  <c r="P159" i="134"/>
  <c r="S143" i="129"/>
  <c r="R94" i="133"/>
  <c r="S144" i="134"/>
  <c r="S145" i="134"/>
  <c r="S143" i="134"/>
  <c r="R126" i="132"/>
  <c r="R126" i="134"/>
  <c r="R128" i="134"/>
  <c r="R127" i="134"/>
  <c r="Q159" i="133"/>
  <c r="P158" i="132"/>
  <c r="I140" i="112"/>
  <c r="X95" i="126"/>
  <c r="T86" i="126"/>
  <c r="S91" i="127"/>
  <c r="L131" i="116"/>
  <c r="Q159" i="129"/>
  <c r="X96" i="132"/>
  <c r="Q134" i="112"/>
  <c r="S87" i="132"/>
  <c r="X95" i="125"/>
  <c r="T86" i="125"/>
  <c r="S88" i="127"/>
  <c r="L128" i="116"/>
  <c r="X95" i="127"/>
  <c r="T86" i="127"/>
  <c r="X95" i="124"/>
  <c r="T86" i="124"/>
  <c r="Q94" i="129"/>
  <c r="R128" i="129"/>
  <c r="R126" i="129"/>
  <c r="K141" i="112"/>
  <c r="S144" i="132"/>
  <c r="S142" i="132"/>
  <c r="S81" i="132"/>
  <c r="S83" i="132"/>
  <c r="S79" i="132"/>
  <c r="L125" i="112"/>
  <c r="R90" i="132"/>
  <c r="K129" i="112"/>
  <c r="R91" i="132"/>
  <c r="K130" i="112"/>
  <c r="Q129" i="132"/>
  <c r="Q131" i="132"/>
  <c r="S126" i="129"/>
  <c r="R127" i="129"/>
  <c r="Q93" i="132"/>
  <c r="R123" i="132"/>
  <c r="R127" i="132"/>
  <c r="R125" i="132"/>
  <c r="S88" i="132"/>
  <c r="L127" i="112"/>
  <c r="L133" i="112"/>
  <c r="S89" i="132"/>
  <c r="L128" i="112"/>
  <c r="S92" i="132"/>
  <c r="L131" i="112"/>
  <c r="T77" i="132"/>
  <c r="T76" i="132"/>
  <c r="T78" i="132"/>
  <c r="T82" i="132"/>
  <c r="S121" i="132"/>
  <c r="S122" i="132"/>
  <c r="S120" i="132"/>
  <c r="S143" i="132"/>
  <c r="S121" i="125"/>
  <c r="M134" i="114"/>
  <c r="R125" i="125"/>
  <c r="P158" i="130"/>
  <c r="S142" i="125"/>
  <c r="R126" i="130"/>
  <c r="R125" i="130"/>
  <c r="R127" i="130"/>
  <c r="R94" i="129"/>
  <c r="S143" i="130"/>
  <c r="P158" i="128"/>
  <c r="S144" i="130"/>
  <c r="S142" i="130"/>
  <c r="Q93" i="128"/>
  <c r="Q157" i="125"/>
  <c r="J140" i="114"/>
  <c r="Q157" i="127"/>
  <c r="J140" i="116"/>
  <c r="S78" i="125"/>
  <c r="L125" i="114"/>
  <c r="P157" i="126"/>
  <c r="I140" i="115"/>
  <c r="S143" i="128"/>
  <c r="T76" i="127"/>
  <c r="S121" i="127"/>
  <c r="L133" i="116"/>
  <c r="S120" i="127"/>
  <c r="M134" i="116"/>
  <c r="S119" i="127"/>
  <c r="S124" i="127"/>
  <c r="T77" i="127"/>
  <c r="S87" i="127"/>
  <c r="L127" i="116"/>
  <c r="L133" i="114"/>
  <c r="S143" i="125"/>
  <c r="T77" i="125"/>
  <c r="T80" i="125"/>
  <c r="T82" i="125"/>
  <c r="S87" i="125"/>
  <c r="L127" i="114"/>
  <c r="S91" i="125"/>
  <c r="L131" i="114"/>
  <c r="S141" i="125"/>
  <c r="S119" i="125"/>
  <c r="S124" i="125"/>
  <c r="T142" i="125"/>
  <c r="S120" i="125"/>
  <c r="S88" i="125"/>
  <c r="L128" i="114"/>
  <c r="T87" i="127"/>
  <c r="M127" i="116"/>
  <c r="L141" i="114"/>
  <c r="S144" i="128"/>
  <c r="S142" i="128"/>
  <c r="S82" i="125"/>
  <c r="S90" i="125"/>
  <c r="L130" i="114"/>
  <c r="R126" i="128"/>
  <c r="R125" i="128"/>
  <c r="R127" i="128"/>
  <c r="P94" i="123"/>
  <c r="R125" i="126"/>
  <c r="R122" i="125"/>
  <c r="R128" i="125"/>
  <c r="R130" i="125"/>
  <c r="N134" i="116"/>
  <c r="R128" i="127"/>
  <c r="R130" i="127"/>
  <c r="S90" i="127"/>
  <c r="L130" i="116"/>
  <c r="S89" i="127"/>
  <c r="L129" i="116"/>
  <c r="L126" i="116"/>
  <c r="R92" i="127"/>
  <c r="S143" i="126"/>
  <c r="S141" i="126"/>
  <c r="S80" i="126"/>
  <c r="S82" i="126"/>
  <c r="S78" i="126"/>
  <c r="L125" i="115"/>
  <c r="P157" i="124"/>
  <c r="I140" i="113"/>
  <c r="R126" i="125"/>
  <c r="R122" i="126"/>
  <c r="R126" i="126"/>
  <c r="R124" i="126"/>
  <c r="Q128" i="126"/>
  <c r="Q130" i="126"/>
  <c r="Q92" i="126"/>
  <c r="S91" i="126"/>
  <c r="L131" i="115"/>
  <c r="M134" i="115"/>
  <c r="S87" i="126"/>
  <c r="L127" i="115"/>
  <c r="S88" i="126"/>
  <c r="L128" i="115"/>
  <c r="T76" i="126"/>
  <c r="T77" i="126"/>
  <c r="L133" i="115"/>
  <c r="S120" i="126"/>
  <c r="S121" i="126"/>
  <c r="S119" i="126"/>
  <c r="S142" i="124"/>
  <c r="R90" i="126"/>
  <c r="K130" i="115"/>
  <c r="R89" i="126"/>
  <c r="K129" i="115"/>
  <c r="K126" i="115"/>
  <c r="K141" i="115"/>
  <c r="S143" i="122"/>
  <c r="R125" i="124"/>
  <c r="R92" i="125"/>
  <c r="R126" i="122"/>
  <c r="P159" i="123"/>
  <c r="R90" i="124"/>
  <c r="K130" i="113"/>
  <c r="R89" i="124"/>
  <c r="K129" i="113"/>
  <c r="K126" i="113"/>
  <c r="Q92" i="124"/>
  <c r="Q128" i="124"/>
  <c r="Q130" i="124"/>
  <c r="M134" i="113"/>
  <c r="S91" i="124"/>
  <c r="L131" i="113"/>
  <c r="S87" i="124"/>
  <c r="L127" i="113"/>
  <c r="S88" i="124"/>
  <c r="L128" i="113"/>
  <c r="T76" i="124"/>
  <c r="L133" i="113"/>
  <c r="S120" i="124"/>
  <c r="T77" i="124"/>
  <c r="S121" i="124"/>
  <c r="S119" i="124"/>
  <c r="R124" i="124"/>
  <c r="R122" i="124"/>
  <c r="R126" i="124"/>
  <c r="S80" i="124"/>
  <c r="S82" i="124"/>
  <c r="S78" i="124"/>
  <c r="L125" i="113"/>
  <c r="K141" i="113"/>
  <c r="S143" i="124"/>
  <c r="S141" i="124"/>
  <c r="S144" i="123"/>
  <c r="R127" i="123"/>
  <c r="R125" i="122"/>
  <c r="R126" i="123"/>
  <c r="R128" i="123"/>
  <c r="S142" i="122"/>
  <c r="S145" i="123"/>
  <c r="S143" i="123"/>
  <c r="P158" i="122"/>
  <c r="R127" i="122"/>
  <c r="R144" i="122"/>
  <c r="T145" i="141"/>
  <c r="S127" i="141"/>
  <c r="T175" i="140"/>
  <c r="T177" i="140"/>
  <c r="K169" i="105"/>
  <c r="I414" i="71"/>
  <c r="S175" i="141"/>
  <c r="S177" i="141"/>
  <c r="S175" i="143"/>
  <c r="S177" i="143"/>
  <c r="S175" i="142"/>
  <c r="S177" i="142"/>
  <c r="S126" i="139"/>
  <c r="T174" i="136"/>
  <c r="T176" i="136"/>
  <c r="I338" i="71"/>
  <c r="K169" i="120"/>
  <c r="S174" i="137"/>
  <c r="S176" i="137"/>
  <c r="S174" i="138"/>
  <c r="S176" i="138"/>
  <c r="S174" i="139"/>
  <c r="S176" i="139"/>
  <c r="S175" i="135"/>
  <c r="S177" i="135"/>
  <c r="T175" i="133"/>
  <c r="T177" i="133"/>
  <c r="K168" i="102"/>
  <c r="I262" i="71"/>
  <c r="S175" i="133"/>
  <c r="S177" i="133"/>
  <c r="T175" i="135"/>
  <c r="T177" i="135"/>
  <c r="S175" i="134"/>
  <c r="S177" i="134"/>
  <c r="T175" i="134"/>
  <c r="T177" i="134"/>
  <c r="T174" i="130"/>
  <c r="T176" i="130"/>
  <c r="T174" i="131"/>
  <c r="T176" i="131"/>
  <c r="U174" i="128"/>
  <c r="U176" i="128"/>
  <c r="T174" i="132"/>
  <c r="T176" i="132"/>
  <c r="J186" i="71"/>
  <c r="L168" i="112"/>
  <c r="K53" i="71"/>
  <c r="M168" i="113"/>
  <c r="T173" i="126"/>
  <c r="T175" i="126"/>
  <c r="J110" i="71"/>
  <c r="L168" i="116"/>
  <c r="J72" i="71"/>
  <c r="L168" i="114"/>
  <c r="L168" i="115"/>
  <c r="T173" i="125"/>
  <c r="T175" i="125"/>
  <c r="U173" i="124"/>
  <c r="U175" i="124"/>
  <c r="T173" i="127"/>
  <c r="T175" i="127"/>
  <c r="U175" i="123"/>
  <c r="U177" i="123"/>
  <c r="U174" i="122"/>
  <c r="U176" i="122"/>
  <c r="T82" i="135"/>
  <c r="R94" i="135"/>
  <c r="S126" i="131"/>
  <c r="T81" i="139"/>
  <c r="T83" i="139"/>
  <c r="T91" i="139"/>
  <c r="M131" i="120"/>
  <c r="S128" i="135"/>
  <c r="T88" i="139"/>
  <c r="M128" i="120"/>
  <c r="T121" i="135"/>
  <c r="T126" i="135"/>
  <c r="U78" i="139"/>
  <c r="U82" i="139"/>
  <c r="S126" i="137"/>
  <c r="T144" i="137"/>
  <c r="S128" i="133"/>
  <c r="L142" i="120"/>
  <c r="T142" i="137"/>
  <c r="T127" i="143"/>
  <c r="S91" i="139"/>
  <c r="L131" i="120"/>
  <c r="T121" i="139"/>
  <c r="T84" i="135"/>
  <c r="T91" i="135"/>
  <c r="M129" i="102"/>
  <c r="Y96" i="139"/>
  <c r="R135" i="120"/>
  <c r="T122" i="135"/>
  <c r="T143" i="133"/>
  <c r="U76" i="135"/>
  <c r="T87" i="139"/>
  <c r="M127" i="120"/>
  <c r="T145" i="133"/>
  <c r="S92" i="135"/>
  <c r="L130" i="102"/>
  <c r="S123" i="139"/>
  <c r="S129" i="139"/>
  <c r="S131" i="139"/>
  <c r="T143" i="139"/>
  <c r="S127" i="139"/>
  <c r="T126" i="141"/>
  <c r="R159" i="143"/>
  <c r="K141" i="105"/>
  <c r="S94" i="143"/>
  <c r="L130" i="105"/>
  <c r="Z97" i="143"/>
  <c r="S135" i="105"/>
  <c r="U93" i="143"/>
  <c r="N132" i="105"/>
  <c r="U90" i="143"/>
  <c r="N129" i="105"/>
  <c r="U89" i="143"/>
  <c r="N128" i="105"/>
  <c r="S127" i="105"/>
  <c r="V77" i="143"/>
  <c r="V78" i="143"/>
  <c r="V83" i="143"/>
  <c r="N134" i="105"/>
  <c r="V76" i="143"/>
  <c r="U123" i="143"/>
  <c r="U122" i="143"/>
  <c r="U121" i="143"/>
  <c r="S130" i="143"/>
  <c r="S132" i="143"/>
  <c r="T142" i="127"/>
  <c r="T144" i="133"/>
  <c r="U78" i="135"/>
  <c r="U83" i="135"/>
  <c r="T93" i="135"/>
  <c r="M131" i="102"/>
  <c r="U143" i="139"/>
  <c r="T122" i="139"/>
  <c r="T92" i="139"/>
  <c r="M132" i="120"/>
  <c r="S94" i="141"/>
  <c r="R94" i="142"/>
  <c r="Q159" i="142"/>
  <c r="T92" i="143"/>
  <c r="M131" i="105"/>
  <c r="T91" i="143"/>
  <c r="U82" i="143"/>
  <c r="U84" i="143"/>
  <c r="U80" i="143"/>
  <c r="N126" i="105"/>
  <c r="M133" i="102"/>
  <c r="S127" i="137"/>
  <c r="U144" i="143"/>
  <c r="T123" i="135"/>
  <c r="T127" i="135"/>
  <c r="T89" i="135"/>
  <c r="M127" i="102"/>
  <c r="T120" i="139"/>
  <c r="T125" i="139"/>
  <c r="U77" i="139"/>
  <c r="M134" i="120"/>
  <c r="U76" i="139"/>
  <c r="R159" i="141"/>
  <c r="T124" i="143"/>
  <c r="T128" i="143"/>
  <c r="T126" i="143"/>
  <c r="U145" i="143"/>
  <c r="U143" i="143"/>
  <c r="M142" i="105"/>
  <c r="S126" i="142"/>
  <c r="S128" i="142"/>
  <c r="T144" i="142"/>
  <c r="S127" i="142"/>
  <c r="T145" i="142"/>
  <c r="T143" i="142"/>
  <c r="Q159" i="140"/>
  <c r="T80" i="135"/>
  <c r="M125" i="102"/>
  <c r="T142" i="139"/>
  <c r="T144" i="139"/>
  <c r="S127" i="140"/>
  <c r="T144" i="140"/>
  <c r="R94" i="140"/>
  <c r="T79" i="139"/>
  <c r="M126" i="120"/>
  <c r="L130" i="120"/>
  <c r="T145" i="140"/>
  <c r="T143" i="140"/>
  <c r="T90" i="135"/>
  <c r="M128" i="102"/>
  <c r="R126" i="102"/>
  <c r="U77" i="135"/>
  <c r="Y97" i="135"/>
  <c r="R134" i="102"/>
  <c r="R158" i="139"/>
  <c r="K141" i="120"/>
  <c r="S126" i="140"/>
  <c r="S128" i="140"/>
  <c r="T143" i="131"/>
  <c r="T143" i="135"/>
  <c r="R93" i="138"/>
  <c r="Q158" i="138"/>
  <c r="T125" i="137"/>
  <c r="S126" i="138"/>
  <c r="T142" i="131"/>
  <c r="T144" i="138"/>
  <c r="T142" i="138"/>
  <c r="S125" i="138"/>
  <c r="S127" i="138"/>
  <c r="T143" i="129"/>
  <c r="T143" i="138"/>
  <c r="R158" i="137"/>
  <c r="T143" i="136"/>
  <c r="S124" i="135"/>
  <c r="S130" i="135"/>
  <c r="S132" i="135"/>
  <c r="Q158" i="136"/>
  <c r="R93" i="136"/>
  <c r="T145" i="135"/>
  <c r="S125" i="136"/>
  <c r="S127" i="136"/>
  <c r="U89" i="135"/>
  <c r="N127" i="102"/>
  <c r="S94" i="135"/>
  <c r="T144" i="135"/>
  <c r="T144" i="136"/>
  <c r="T142" i="136"/>
  <c r="R159" i="135"/>
  <c r="K140" i="102"/>
  <c r="S126" i="136"/>
  <c r="T125" i="131"/>
  <c r="Q159" i="134"/>
  <c r="T78" i="125"/>
  <c r="M125" i="114"/>
  <c r="R94" i="134"/>
  <c r="S127" i="134"/>
  <c r="T144" i="134"/>
  <c r="S127" i="129"/>
  <c r="S94" i="133"/>
  <c r="T145" i="134"/>
  <c r="T143" i="134"/>
  <c r="S126" i="134"/>
  <c r="S128" i="134"/>
  <c r="T80" i="127"/>
  <c r="T82" i="127"/>
  <c r="T90" i="127"/>
  <c r="M130" i="116"/>
  <c r="R159" i="133"/>
  <c r="T120" i="127"/>
  <c r="T143" i="127"/>
  <c r="S128" i="129"/>
  <c r="T144" i="131"/>
  <c r="Q158" i="132"/>
  <c r="J140" i="112"/>
  <c r="T87" i="132"/>
  <c r="Y96" i="132"/>
  <c r="R134" i="112"/>
  <c r="T91" i="127"/>
  <c r="M131" i="116"/>
  <c r="U86" i="127"/>
  <c r="Y95" i="127"/>
  <c r="Y95" i="124"/>
  <c r="U86" i="124"/>
  <c r="Y95" i="126"/>
  <c r="U86" i="126"/>
  <c r="T88" i="127"/>
  <c r="M128" i="116"/>
  <c r="T127" i="133"/>
  <c r="U86" i="125"/>
  <c r="Y95" i="125"/>
  <c r="T119" i="127"/>
  <c r="T124" i="127"/>
  <c r="T121" i="127"/>
  <c r="T78" i="127"/>
  <c r="M125" i="116"/>
  <c r="R159" i="129"/>
  <c r="R93" i="132"/>
  <c r="K126" i="112"/>
  <c r="T143" i="132"/>
  <c r="T144" i="132"/>
  <c r="T142" i="132"/>
  <c r="S126" i="132"/>
  <c r="T87" i="125"/>
  <c r="M127" i="114"/>
  <c r="S126" i="127"/>
  <c r="T145" i="129"/>
  <c r="R158" i="131"/>
  <c r="S127" i="131"/>
  <c r="T144" i="129"/>
  <c r="R129" i="132"/>
  <c r="R131" i="132"/>
  <c r="S91" i="132"/>
  <c r="L130" i="112"/>
  <c r="S90" i="132"/>
  <c r="L129" i="112"/>
  <c r="S125" i="131"/>
  <c r="S125" i="132"/>
  <c r="S127" i="132"/>
  <c r="S123" i="132"/>
  <c r="T79" i="132"/>
  <c r="M125" i="112"/>
  <c r="T81" i="132"/>
  <c r="T83" i="132"/>
  <c r="L141" i="112"/>
  <c r="T141" i="127"/>
  <c r="T89" i="132"/>
  <c r="M128" i="112"/>
  <c r="T92" i="132"/>
  <c r="M131" i="112"/>
  <c r="T88" i="132"/>
  <c r="M127" i="112"/>
  <c r="U77" i="132"/>
  <c r="U76" i="132"/>
  <c r="M133" i="112"/>
  <c r="T122" i="132"/>
  <c r="T121" i="132"/>
  <c r="U78" i="132"/>
  <c r="U82" i="132"/>
  <c r="T120" i="132"/>
  <c r="M133" i="114"/>
  <c r="T126" i="129"/>
  <c r="T121" i="125"/>
  <c r="N134" i="114"/>
  <c r="M133" i="116"/>
  <c r="T120" i="125"/>
  <c r="T125" i="125"/>
  <c r="U77" i="125"/>
  <c r="S122" i="127"/>
  <c r="S128" i="127"/>
  <c r="S130" i="127"/>
  <c r="U77" i="127"/>
  <c r="U76" i="127"/>
  <c r="S125" i="125"/>
  <c r="T143" i="125"/>
  <c r="Q158" i="130"/>
  <c r="T142" i="124"/>
  <c r="T91" i="125"/>
  <c r="M131" i="114"/>
  <c r="Q158" i="128"/>
  <c r="R93" i="130"/>
  <c r="T119" i="125"/>
  <c r="U76" i="125"/>
  <c r="T88" i="125"/>
  <c r="M128" i="114"/>
  <c r="T144" i="130"/>
  <c r="T142" i="130"/>
  <c r="T143" i="130"/>
  <c r="S126" i="130"/>
  <c r="S125" i="130"/>
  <c r="S127" i="130"/>
  <c r="R157" i="127"/>
  <c r="K140" i="116"/>
  <c r="R157" i="125"/>
  <c r="K140" i="114"/>
  <c r="Q157" i="126"/>
  <c r="J140" i="115"/>
  <c r="L126" i="114"/>
  <c r="S125" i="127"/>
  <c r="S94" i="129"/>
  <c r="S92" i="127"/>
  <c r="T142" i="126"/>
  <c r="S89" i="125"/>
  <c r="L129" i="114"/>
  <c r="T141" i="125"/>
  <c r="S122" i="125"/>
  <c r="S128" i="125"/>
  <c r="S130" i="125"/>
  <c r="S126" i="125"/>
  <c r="S127" i="128"/>
  <c r="S125" i="128"/>
  <c r="R93" i="128"/>
  <c r="T144" i="128"/>
  <c r="T142" i="128"/>
  <c r="U143" i="128"/>
  <c r="V77" i="127"/>
  <c r="T143" i="128"/>
  <c r="S126" i="128"/>
  <c r="M126" i="116"/>
  <c r="Q157" i="124"/>
  <c r="J140" i="113"/>
  <c r="T143" i="126"/>
  <c r="T141" i="126"/>
  <c r="S125" i="126"/>
  <c r="T80" i="126"/>
  <c r="T82" i="126"/>
  <c r="T78" i="126"/>
  <c r="M125" i="115"/>
  <c r="R128" i="126"/>
  <c r="R130" i="126"/>
  <c r="N134" i="115"/>
  <c r="T87" i="126"/>
  <c r="M127" i="115"/>
  <c r="T88" i="126"/>
  <c r="M128" i="115"/>
  <c r="T91" i="126"/>
  <c r="M131" i="115"/>
  <c r="M133" i="115"/>
  <c r="U77" i="126"/>
  <c r="U76" i="126"/>
  <c r="T121" i="126"/>
  <c r="T120" i="126"/>
  <c r="T119" i="126"/>
  <c r="L141" i="115"/>
  <c r="S90" i="126"/>
  <c r="L130" i="115"/>
  <c r="L126" i="115"/>
  <c r="S89" i="126"/>
  <c r="L129" i="115"/>
  <c r="S126" i="126"/>
  <c r="S124" i="126"/>
  <c r="S122" i="126"/>
  <c r="U87" i="125"/>
  <c r="N127" i="114"/>
  <c r="Z95" i="126"/>
  <c r="R92" i="126"/>
  <c r="S125" i="124"/>
  <c r="T144" i="123"/>
  <c r="T90" i="125"/>
  <c r="M130" i="114"/>
  <c r="T89" i="125"/>
  <c r="M129" i="114"/>
  <c r="M126" i="114"/>
  <c r="R128" i="124"/>
  <c r="R130" i="124"/>
  <c r="R92" i="124"/>
  <c r="L141" i="113"/>
  <c r="Q159" i="123"/>
  <c r="S90" i="124"/>
  <c r="L130" i="113"/>
  <c r="S89" i="124"/>
  <c r="L129" i="113"/>
  <c r="L126" i="113"/>
  <c r="S124" i="124"/>
  <c r="S126" i="124"/>
  <c r="S122" i="124"/>
  <c r="T80" i="124"/>
  <c r="T82" i="124"/>
  <c r="T78" i="124"/>
  <c r="M125" i="113"/>
  <c r="T143" i="124"/>
  <c r="T141" i="124"/>
  <c r="T87" i="124"/>
  <c r="M127" i="113"/>
  <c r="N134" i="113"/>
  <c r="T88" i="124"/>
  <c r="M128" i="113"/>
  <c r="T91" i="124"/>
  <c r="M131" i="113"/>
  <c r="U77" i="124"/>
  <c r="U76" i="124"/>
  <c r="T121" i="124"/>
  <c r="T120" i="124"/>
  <c r="M133" i="113"/>
  <c r="T119" i="124"/>
  <c r="S127" i="123"/>
  <c r="T145" i="123"/>
  <c r="T143" i="123"/>
  <c r="R93" i="122"/>
  <c r="S125" i="122"/>
  <c r="T143" i="122"/>
  <c r="T142" i="122"/>
  <c r="S126" i="122"/>
  <c r="S128" i="123"/>
  <c r="S126" i="123"/>
  <c r="Q158" i="122"/>
  <c r="S144" i="122"/>
  <c r="S127" i="122"/>
  <c r="T126" i="133"/>
  <c r="T128" i="133"/>
  <c r="U175" i="140"/>
  <c r="U177" i="140"/>
  <c r="T175" i="141"/>
  <c r="T177" i="141"/>
  <c r="L169" i="105"/>
  <c r="J414" i="71"/>
  <c r="T175" i="142"/>
  <c r="T177" i="142"/>
  <c r="T175" i="143"/>
  <c r="T177" i="143"/>
  <c r="T126" i="137"/>
  <c r="T174" i="138"/>
  <c r="T176" i="138"/>
  <c r="J338" i="71"/>
  <c r="L169" i="120"/>
  <c r="T174" i="137"/>
  <c r="T176" i="137"/>
  <c r="U174" i="136"/>
  <c r="U176" i="136"/>
  <c r="T174" i="139"/>
  <c r="T176" i="139"/>
  <c r="U175" i="129"/>
  <c r="U177" i="129"/>
  <c r="M168" i="102"/>
  <c r="K262" i="71"/>
  <c r="J262" i="71"/>
  <c r="L168" i="102"/>
  <c r="M168" i="112"/>
  <c r="K186" i="71"/>
  <c r="U174" i="130"/>
  <c r="U176" i="130"/>
  <c r="U174" i="132"/>
  <c r="U176" i="132"/>
  <c r="V174" i="128"/>
  <c r="V176" i="128"/>
  <c r="U174" i="131"/>
  <c r="U176" i="131"/>
  <c r="K72" i="71"/>
  <c r="M168" i="114"/>
  <c r="K110" i="71"/>
  <c r="M168" i="116"/>
  <c r="U173" i="125"/>
  <c r="U175" i="125"/>
  <c r="U173" i="127"/>
  <c r="U175" i="127"/>
  <c r="Z95" i="124"/>
  <c r="U173" i="126"/>
  <c r="U175" i="126"/>
  <c r="M168" i="115"/>
  <c r="N168" i="113"/>
  <c r="L53" i="71"/>
  <c r="V175" i="123"/>
  <c r="V177" i="123"/>
  <c r="V174" i="122"/>
  <c r="V176" i="122"/>
  <c r="U87" i="139"/>
  <c r="N127" i="120"/>
  <c r="V78" i="139"/>
  <c r="V82" i="139"/>
  <c r="S93" i="137"/>
  <c r="V76" i="139"/>
  <c r="U142" i="139"/>
  <c r="U143" i="137"/>
  <c r="M142" i="120"/>
  <c r="S93" i="139"/>
  <c r="T92" i="135"/>
  <c r="M130" i="102"/>
  <c r="T126" i="139"/>
  <c r="U144" i="129"/>
  <c r="U81" i="139"/>
  <c r="U83" i="139"/>
  <c r="U90" i="139"/>
  <c r="N130" i="120"/>
  <c r="U79" i="139"/>
  <c r="N126" i="120"/>
  <c r="U121" i="135"/>
  <c r="U126" i="135"/>
  <c r="U93" i="135"/>
  <c r="N131" i="102"/>
  <c r="U143" i="141"/>
  <c r="U143" i="135"/>
  <c r="V78" i="135"/>
  <c r="V83" i="135"/>
  <c r="U142" i="137"/>
  <c r="T123" i="139"/>
  <c r="T129" i="139"/>
  <c r="T131" i="139"/>
  <c r="U145" i="133"/>
  <c r="T90" i="139"/>
  <c r="M130" i="120"/>
  <c r="T127" i="139"/>
  <c r="U144" i="137"/>
  <c r="U82" i="135"/>
  <c r="U84" i="135"/>
  <c r="U91" i="135"/>
  <c r="U123" i="135"/>
  <c r="U90" i="135"/>
  <c r="N128" i="102"/>
  <c r="T94" i="143"/>
  <c r="M130" i="105"/>
  <c r="U144" i="141"/>
  <c r="U145" i="135"/>
  <c r="S159" i="143"/>
  <c r="L141" i="105"/>
  <c r="V144" i="143"/>
  <c r="U127" i="143"/>
  <c r="AA97" i="143"/>
  <c r="T135" i="105"/>
  <c r="V93" i="143"/>
  <c r="O132" i="105"/>
  <c r="V90" i="143"/>
  <c r="O129" i="105"/>
  <c r="W77" i="143"/>
  <c r="W78" i="143"/>
  <c r="W83" i="143"/>
  <c r="O134" i="105"/>
  <c r="W76" i="143"/>
  <c r="T127" i="105"/>
  <c r="V122" i="143"/>
  <c r="V123" i="143"/>
  <c r="V121" i="143"/>
  <c r="T127" i="141"/>
  <c r="V82" i="143"/>
  <c r="V84" i="143"/>
  <c r="V80" i="143"/>
  <c r="O126" i="105"/>
  <c r="M141" i="114"/>
  <c r="U143" i="133"/>
  <c r="U144" i="135"/>
  <c r="U144" i="139"/>
  <c r="R159" i="142"/>
  <c r="U144" i="142"/>
  <c r="T130" i="143"/>
  <c r="T132" i="143"/>
  <c r="V145" i="143"/>
  <c r="V143" i="143"/>
  <c r="N142" i="105"/>
  <c r="T128" i="135"/>
  <c r="T124" i="135"/>
  <c r="T130" i="135"/>
  <c r="T132" i="135"/>
  <c r="U122" i="135"/>
  <c r="U127" i="135"/>
  <c r="V76" i="135"/>
  <c r="Z97" i="135"/>
  <c r="S134" i="102"/>
  <c r="T127" i="137"/>
  <c r="T127" i="140"/>
  <c r="S159" i="141"/>
  <c r="U145" i="141"/>
  <c r="T128" i="141"/>
  <c r="S94" i="142"/>
  <c r="N133" i="102"/>
  <c r="V144" i="141"/>
  <c r="U144" i="133"/>
  <c r="U92" i="143"/>
  <c r="N131" i="105"/>
  <c r="U91" i="143"/>
  <c r="U128" i="143"/>
  <c r="U126" i="143"/>
  <c r="U124" i="143"/>
  <c r="T127" i="142"/>
  <c r="T126" i="142"/>
  <c r="T128" i="142"/>
  <c r="T94" i="141"/>
  <c r="U145" i="142"/>
  <c r="U143" i="142"/>
  <c r="T89" i="127"/>
  <c r="M129" i="116"/>
  <c r="V77" i="135"/>
  <c r="S126" i="102"/>
  <c r="U120" i="139"/>
  <c r="U125" i="139"/>
  <c r="V77" i="139"/>
  <c r="V81" i="139"/>
  <c r="N134" i="120"/>
  <c r="U88" i="139"/>
  <c r="N128" i="120"/>
  <c r="U89" i="139"/>
  <c r="N129" i="120"/>
  <c r="R159" i="140"/>
  <c r="U80" i="135"/>
  <c r="N125" i="102"/>
  <c r="U121" i="139"/>
  <c r="U92" i="139"/>
  <c r="N132" i="120"/>
  <c r="S94" i="140"/>
  <c r="M141" i="116"/>
  <c r="U122" i="139"/>
  <c r="Z96" i="139"/>
  <c r="S135" i="120"/>
  <c r="U144" i="140"/>
  <c r="T93" i="139"/>
  <c r="U143" i="140"/>
  <c r="U145" i="140"/>
  <c r="S158" i="139"/>
  <c r="L141" i="120"/>
  <c r="T128" i="140"/>
  <c r="T126" i="140"/>
  <c r="U127" i="140"/>
  <c r="M141" i="102"/>
  <c r="U78" i="125"/>
  <c r="N125" i="114"/>
  <c r="T93" i="137"/>
  <c r="R158" i="138"/>
  <c r="U78" i="127"/>
  <c r="N125" i="116"/>
  <c r="S93" i="138"/>
  <c r="U91" i="139"/>
  <c r="T126" i="138"/>
  <c r="T127" i="138"/>
  <c r="T125" i="138"/>
  <c r="T126" i="125"/>
  <c r="U144" i="138"/>
  <c r="U142" i="138"/>
  <c r="U143" i="138"/>
  <c r="S158" i="137"/>
  <c r="T126" i="136"/>
  <c r="R158" i="136"/>
  <c r="U121" i="125"/>
  <c r="S93" i="136"/>
  <c r="U91" i="125"/>
  <c r="N131" i="114"/>
  <c r="U141" i="127"/>
  <c r="T127" i="131"/>
  <c r="U144" i="131"/>
  <c r="T127" i="134"/>
  <c r="S159" i="135"/>
  <c r="L140" i="102"/>
  <c r="U144" i="136"/>
  <c r="U142" i="136"/>
  <c r="T127" i="136"/>
  <c r="T125" i="136"/>
  <c r="V90" i="135"/>
  <c r="O128" i="102"/>
  <c r="T94" i="135"/>
  <c r="U143" i="136"/>
  <c r="R159" i="134"/>
  <c r="N141" i="102"/>
  <c r="V76" i="125"/>
  <c r="S94" i="134"/>
  <c r="T122" i="125"/>
  <c r="T128" i="125"/>
  <c r="T130" i="125"/>
  <c r="U125" i="131"/>
  <c r="T94" i="133"/>
  <c r="T125" i="127"/>
  <c r="U145" i="134"/>
  <c r="U143" i="134"/>
  <c r="T128" i="134"/>
  <c r="T126" i="134"/>
  <c r="U127" i="134"/>
  <c r="U144" i="134"/>
  <c r="T126" i="127"/>
  <c r="S159" i="133"/>
  <c r="Z96" i="132"/>
  <c r="S134" i="112"/>
  <c r="U87" i="132"/>
  <c r="Z95" i="125"/>
  <c r="T122" i="127"/>
  <c r="T128" i="127"/>
  <c r="T130" i="127"/>
  <c r="U80" i="127"/>
  <c r="U82" i="127"/>
  <c r="U89" i="127"/>
  <c r="N129" i="116"/>
  <c r="U142" i="131"/>
  <c r="U143" i="131"/>
  <c r="U142" i="125"/>
  <c r="R158" i="132"/>
  <c r="K140" i="112"/>
  <c r="U87" i="127"/>
  <c r="N127" i="116"/>
  <c r="Z95" i="127"/>
  <c r="U126" i="129"/>
  <c r="U145" i="129"/>
  <c r="U142" i="127"/>
  <c r="S159" i="129"/>
  <c r="S93" i="132"/>
  <c r="L126" i="112"/>
  <c r="T126" i="132"/>
  <c r="U81" i="132"/>
  <c r="U83" i="132"/>
  <c r="U79" i="132"/>
  <c r="N125" i="112"/>
  <c r="N133" i="114"/>
  <c r="U88" i="125"/>
  <c r="N128" i="114"/>
  <c r="U143" i="129"/>
  <c r="U144" i="132"/>
  <c r="U142" i="132"/>
  <c r="U89" i="132"/>
  <c r="N128" i="112"/>
  <c r="U92" i="132"/>
  <c r="N131" i="112"/>
  <c r="U88" i="132"/>
  <c r="N127" i="112"/>
  <c r="V77" i="132"/>
  <c r="N133" i="112"/>
  <c r="V76" i="132"/>
  <c r="V78" i="132"/>
  <c r="V82" i="132"/>
  <c r="U121" i="132"/>
  <c r="U122" i="132"/>
  <c r="U120" i="132"/>
  <c r="M141" i="112"/>
  <c r="T124" i="125"/>
  <c r="T91" i="132"/>
  <c r="M130" i="112"/>
  <c r="T90" i="132"/>
  <c r="M129" i="112"/>
  <c r="M126" i="112"/>
  <c r="V77" i="125"/>
  <c r="V78" i="125"/>
  <c r="O125" i="114"/>
  <c r="U143" i="125"/>
  <c r="T127" i="129"/>
  <c r="U143" i="127"/>
  <c r="T123" i="132"/>
  <c r="T127" i="132"/>
  <c r="T125" i="132"/>
  <c r="U143" i="132"/>
  <c r="S129" i="132"/>
  <c r="S131" i="132"/>
  <c r="T126" i="131"/>
  <c r="U141" i="125"/>
  <c r="U80" i="125"/>
  <c r="U82" i="125"/>
  <c r="U89" i="125"/>
  <c r="N129" i="114"/>
  <c r="V76" i="127"/>
  <c r="V78" i="127"/>
  <c r="O125" i="116"/>
  <c r="T128" i="129"/>
  <c r="R158" i="130"/>
  <c r="U120" i="127"/>
  <c r="U91" i="127"/>
  <c r="N131" i="116"/>
  <c r="T126" i="130"/>
  <c r="S92" i="125"/>
  <c r="U143" i="130"/>
  <c r="S93" i="130"/>
  <c r="R158" i="128"/>
  <c r="U144" i="130"/>
  <c r="U142" i="130"/>
  <c r="S93" i="128"/>
  <c r="T127" i="130"/>
  <c r="T125" i="130"/>
  <c r="U142" i="126"/>
  <c r="R157" i="126"/>
  <c r="K140" i="115"/>
  <c r="S157" i="125"/>
  <c r="L140" i="114"/>
  <c r="S157" i="127"/>
  <c r="L140" i="116"/>
  <c r="U119" i="127"/>
  <c r="U124" i="127"/>
  <c r="U121" i="127"/>
  <c r="U88" i="127"/>
  <c r="N128" i="116"/>
  <c r="T127" i="128"/>
  <c r="T125" i="128"/>
  <c r="U144" i="128"/>
  <c r="U142" i="128"/>
  <c r="N133" i="116"/>
  <c r="V143" i="128"/>
  <c r="T126" i="128"/>
  <c r="U143" i="122"/>
  <c r="T125" i="126"/>
  <c r="R157" i="124"/>
  <c r="K140" i="113"/>
  <c r="S92" i="126"/>
  <c r="T92" i="125"/>
  <c r="U143" i="126"/>
  <c r="U141" i="126"/>
  <c r="U78" i="126"/>
  <c r="N125" i="115"/>
  <c r="U80" i="126"/>
  <c r="U82" i="126"/>
  <c r="M141" i="115"/>
  <c r="U88" i="126"/>
  <c r="N128" i="115"/>
  <c r="N133" i="115"/>
  <c r="U87" i="126"/>
  <c r="N127" i="115"/>
  <c r="U91" i="126"/>
  <c r="N131" i="115"/>
  <c r="V77" i="126"/>
  <c r="V76" i="126"/>
  <c r="U120" i="126"/>
  <c r="U121" i="126"/>
  <c r="U119" i="126"/>
  <c r="S128" i="126"/>
  <c r="S130" i="126"/>
  <c r="U119" i="125"/>
  <c r="U124" i="125"/>
  <c r="U120" i="125"/>
  <c r="T124" i="126"/>
  <c r="T122" i="126"/>
  <c r="T126" i="126"/>
  <c r="T90" i="126"/>
  <c r="M130" i="115"/>
  <c r="M126" i="115"/>
  <c r="T89" i="126"/>
  <c r="M129" i="115"/>
  <c r="S92" i="124"/>
  <c r="U142" i="124"/>
  <c r="T125" i="124"/>
  <c r="R159" i="123"/>
  <c r="T122" i="124"/>
  <c r="T126" i="124"/>
  <c r="T124" i="124"/>
  <c r="U88" i="124"/>
  <c r="N128" i="113"/>
  <c r="U91" i="124"/>
  <c r="N131" i="113"/>
  <c r="U87" i="124"/>
  <c r="N127" i="113"/>
  <c r="U121" i="124"/>
  <c r="V77" i="124"/>
  <c r="U120" i="124"/>
  <c r="V76" i="124"/>
  <c r="N133" i="113"/>
  <c r="U119" i="124"/>
  <c r="U143" i="124"/>
  <c r="U141" i="124"/>
  <c r="T90" i="124"/>
  <c r="M130" i="113"/>
  <c r="T89" i="124"/>
  <c r="M129" i="113"/>
  <c r="M126" i="113"/>
  <c r="U78" i="124"/>
  <c r="N125" i="113"/>
  <c r="U80" i="124"/>
  <c r="U82" i="124"/>
  <c r="M141" i="113"/>
  <c r="S128" i="124"/>
  <c r="S130" i="124"/>
  <c r="S93" i="122"/>
  <c r="T126" i="122"/>
  <c r="T127" i="123"/>
  <c r="R94" i="123"/>
  <c r="T128" i="123"/>
  <c r="T126" i="123"/>
  <c r="U144" i="123"/>
  <c r="U142" i="122"/>
  <c r="T125" i="122"/>
  <c r="U145" i="123"/>
  <c r="U143" i="123"/>
  <c r="R158" i="122"/>
  <c r="T127" i="122"/>
  <c r="T144" i="122"/>
  <c r="V175" i="140"/>
  <c r="V177" i="140"/>
  <c r="U175" i="143"/>
  <c r="U177" i="143"/>
  <c r="M169" i="105"/>
  <c r="K414" i="71"/>
  <c r="U175" i="142"/>
  <c r="U177" i="142"/>
  <c r="U175" i="141"/>
  <c r="U177" i="141"/>
  <c r="V174" i="136"/>
  <c r="V176" i="136"/>
  <c r="M169" i="120"/>
  <c r="K338" i="71"/>
  <c r="U174" i="139"/>
  <c r="U176" i="139"/>
  <c r="U174" i="137"/>
  <c r="U176" i="137"/>
  <c r="U174" i="138"/>
  <c r="U176" i="138"/>
  <c r="U175" i="133"/>
  <c r="U177" i="133"/>
  <c r="U175" i="135"/>
  <c r="U177" i="135"/>
  <c r="W175" i="129"/>
  <c r="W177" i="129"/>
  <c r="V175" i="129"/>
  <c r="V177" i="129"/>
  <c r="U175" i="134"/>
  <c r="U177" i="134"/>
  <c r="N168" i="112"/>
  <c r="L186" i="71"/>
  <c r="V174" i="130"/>
  <c r="V176" i="130"/>
  <c r="V174" i="131"/>
  <c r="V176" i="131"/>
  <c r="W174" i="128"/>
  <c r="W176" i="128"/>
  <c r="V174" i="132"/>
  <c r="V176" i="132"/>
  <c r="N141" i="114"/>
  <c r="V142" i="125"/>
  <c r="N168" i="115"/>
  <c r="L110" i="71"/>
  <c r="N168" i="116"/>
  <c r="W173" i="124"/>
  <c r="W175" i="124"/>
  <c r="V173" i="124"/>
  <c r="V175" i="124"/>
  <c r="L72" i="71"/>
  <c r="N168" i="114"/>
  <c r="W175" i="123"/>
  <c r="W177" i="123"/>
  <c r="W174" i="122"/>
  <c r="W176" i="122"/>
  <c r="V144" i="133"/>
  <c r="V143" i="135"/>
  <c r="V83" i="139"/>
  <c r="V91" i="139"/>
  <c r="O131" i="120"/>
  <c r="U128" i="141"/>
  <c r="U92" i="135"/>
  <c r="N130" i="102"/>
  <c r="V127" i="141"/>
  <c r="U127" i="141"/>
  <c r="N142" i="120"/>
  <c r="V80" i="127"/>
  <c r="V82" i="127"/>
  <c r="V143" i="131"/>
  <c r="U128" i="135"/>
  <c r="U126" i="139"/>
  <c r="V145" i="141"/>
  <c r="V145" i="133"/>
  <c r="O134" i="120"/>
  <c r="N141" i="116"/>
  <c r="V143" i="133"/>
  <c r="V144" i="135"/>
  <c r="V82" i="135"/>
  <c r="V84" i="135"/>
  <c r="V91" i="135"/>
  <c r="V143" i="137"/>
  <c r="U126" i="131"/>
  <c r="V92" i="139"/>
  <c r="O132" i="120"/>
  <c r="V80" i="135"/>
  <c r="O125" i="102"/>
  <c r="V79" i="139"/>
  <c r="O126" i="120"/>
  <c r="V144" i="129"/>
  <c r="W78" i="139"/>
  <c r="W82" i="139"/>
  <c r="U94" i="143"/>
  <c r="N130" i="105"/>
  <c r="V142" i="139"/>
  <c r="T159" i="143"/>
  <c r="M141" i="105"/>
  <c r="V143" i="141"/>
  <c r="W144" i="143"/>
  <c r="S159" i="142"/>
  <c r="U124" i="135"/>
  <c r="U130" i="135"/>
  <c r="U132" i="135"/>
  <c r="U128" i="133"/>
  <c r="W76" i="139"/>
  <c r="AA96" i="139"/>
  <c r="T135" i="120"/>
  <c r="V144" i="139"/>
  <c r="T159" i="141"/>
  <c r="U126" i="141"/>
  <c r="U127" i="142"/>
  <c r="U130" i="143"/>
  <c r="U132" i="143"/>
  <c r="V127" i="143"/>
  <c r="W93" i="143"/>
  <c r="P132" i="105"/>
  <c r="AB97" i="143"/>
  <c r="U135" i="105"/>
  <c r="W89" i="143"/>
  <c r="P128" i="105"/>
  <c r="U127" i="105"/>
  <c r="W90" i="143"/>
  <c r="P129" i="105"/>
  <c r="X76" i="143"/>
  <c r="X77" i="143"/>
  <c r="X78" i="143"/>
  <c r="X83" i="143"/>
  <c r="P134" i="105"/>
  <c r="W123" i="143"/>
  <c r="W122" i="143"/>
  <c r="W121" i="143"/>
  <c r="V80" i="125"/>
  <c r="V82" i="125"/>
  <c r="V90" i="125"/>
  <c r="O130" i="114"/>
  <c r="V120" i="139"/>
  <c r="W77" i="139"/>
  <c r="V121" i="139"/>
  <c r="V87" i="139"/>
  <c r="O127" i="120"/>
  <c r="U126" i="137"/>
  <c r="T94" i="142"/>
  <c r="V92" i="143"/>
  <c r="O131" i="105"/>
  <c r="V91" i="143"/>
  <c r="O130" i="105"/>
  <c r="W82" i="143"/>
  <c r="W84" i="143"/>
  <c r="W80" i="143"/>
  <c r="P126" i="105"/>
  <c r="V126" i="143"/>
  <c r="V124" i="143"/>
  <c r="V128" i="143"/>
  <c r="T92" i="127"/>
  <c r="V122" i="139"/>
  <c r="V89" i="139"/>
  <c r="O129" i="120"/>
  <c r="O142" i="105"/>
  <c r="W145" i="143"/>
  <c r="W143" i="143"/>
  <c r="U127" i="133"/>
  <c r="V145" i="135"/>
  <c r="T94" i="140"/>
  <c r="V144" i="142"/>
  <c r="U128" i="142"/>
  <c r="U126" i="142"/>
  <c r="V145" i="142"/>
  <c r="V143" i="142"/>
  <c r="U127" i="131"/>
  <c r="U93" i="137"/>
  <c r="U127" i="139"/>
  <c r="S159" i="140"/>
  <c r="V143" i="139"/>
  <c r="U123" i="139"/>
  <c r="U129" i="139"/>
  <c r="U131" i="139"/>
  <c r="T158" i="139"/>
  <c r="M141" i="120"/>
  <c r="U125" i="127"/>
  <c r="V145" i="140"/>
  <c r="V143" i="140"/>
  <c r="W89" i="139"/>
  <c r="P129" i="120"/>
  <c r="V126" i="133"/>
  <c r="V144" i="137"/>
  <c r="U126" i="136"/>
  <c r="V144" i="140"/>
  <c r="U93" i="139"/>
  <c r="N131" i="120"/>
  <c r="U128" i="140"/>
  <c r="U126" i="140"/>
  <c r="V142" i="131"/>
  <c r="V143" i="129"/>
  <c r="U126" i="133"/>
  <c r="U125" i="137"/>
  <c r="V142" i="137"/>
  <c r="V125" i="139"/>
  <c r="U127" i="137"/>
  <c r="T93" i="138"/>
  <c r="U126" i="138"/>
  <c r="S158" i="138"/>
  <c r="V90" i="139"/>
  <c r="U90" i="125"/>
  <c r="N130" i="114"/>
  <c r="O133" i="102"/>
  <c r="V123" i="135"/>
  <c r="V125" i="137"/>
  <c r="V143" i="138"/>
  <c r="U127" i="138"/>
  <c r="U125" i="138"/>
  <c r="T126" i="102"/>
  <c r="V93" i="135"/>
  <c r="O131" i="102"/>
  <c r="V144" i="138"/>
  <c r="V142" i="138"/>
  <c r="T158" i="137"/>
  <c r="W77" i="135"/>
  <c r="AA97" i="135"/>
  <c r="T134" i="102"/>
  <c r="S158" i="136"/>
  <c r="V121" i="135"/>
  <c r="V122" i="135"/>
  <c r="W78" i="135"/>
  <c r="W83" i="135"/>
  <c r="W76" i="135"/>
  <c r="T93" i="136"/>
  <c r="W143" i="131"/>
  <c r="N129" i="102"/>
  <c r="T159" i="135"/>
  <c r="M140" i="102"/>
  <c r="V142" i="136"/>
  <c r="V144" i="136"/>
  <c r="V125" i="131"/>
  <c r="U127" i="136"/>
  <c r="U125" i="136"/>
  <c r="V143" i="136"/>
  <c r="U90" i="127"/>
  <c r="N130" i="116"/>
  <c r="V88" i="127"/>
  <c r="O128" i="116"/>
  <c r="V144" i="131"/>
  <c r="U94" i="133"/>
  <c r="S159" i="134"/>
  <c r="T94" i="129"/>
  <c r="T94" i="134"/>
  <c r="V92" i="135"/>
  <c r="O130" i="102"/>
  <c r="V143" i="134"/>
  <c r="V145" i="134"/>
  <c r="U128" i="134"/>
  <c r="U126" i="134"/>
  <c r="V144" i="134"/>
  <c r="T159" i="133"/>
  <c r="S158" i="131"/>
  <c r="V91" i="125"/>
  <c r="O131" i="114"/>
  <c r="AA95" i="125"/>
  <c r="T134" i="114"/>
  <c r="W86" i="125"/>
  <c r="T159" i="129"/>
  <c r="V119" i="125"/>
  <c r="V124" i="125"/>
  <c r="P134" i="116"/>
  <c r="AA95" i="127"/>
  <c r="T134" i="116"/>
  <c r="W86" i="127"/>
  <c r="V145" i="129"/>
  <c r="V87" i="132"/>
  <c r="AA96" i="132"/>
  <c r="T134" i="112"/>
  <c r="W86" i="124"/>
  <c r="AA95" i="124"/>
  <c r="T134" i="113"/>
  <c r="AA95" i="126"/>
  <c r="T134" i="115"/>
  <c r="W86" i="126"/>
  <c r="S158" i="132"/>
  <c r="L140" i="112"/>
  <c r="O133" i="112"/>
  <c r="V92" i="132"/>
  <c r="O131" i="112"/>
  <c r="V89" i="132"/>
  <c r="O128" i="112"/>
  <c r="W76" i="132"/>
  <c r="W77" i="132"/>
  <c r="W78" i="132"/>
  <c r="W82" i="132"/>
  <c r="V121" i="132"/>
  <c r="V122" i="132"/>
  <c r="V120" i="132"/>
  <c r="N141" i="112"/>
  <c r="U91" i="132"/>
  <c r="N130" i="112"/>
  <c r="U90" i="132"/>
  <c r="N129" i="112"/>
  <c r="N126" i="114"/>
  <c r="W77" i="127"/>
  <c r="T158" i="131"/>
  <c r="T129" i="132"/>
  <c r="T131" i="132"/>
  <c r="U127" i="132"/>
  <c r="U125" i="132"/>
  <c r="U123" i="132"/>
  <c r="V81" i="132"/>
  <c r="V83" i="132"/>
  <c r="V79" i="132"/>
  <c r="O125" i="112"/>
  <c r="V119" i="127"/>
  <c r="V121" i="127"/>
  <c r="T93" i="132"/>
  <c r="V142" i="132"/>
  <c r="V144" i="132"/>
  <c r="U126" i="132"/>
  <c r="V143" i="132"/>
  <c r="O133" i="114"/>
  <c r="U128" i="129"/>
  <c r="S158" i="130"/>
  <c r="P134" i="114"/>
  <c r="U122" i="127"/>
  <c r="U128" i="127"/>
  <c r="U130" i="127"/>
  <c r="W76" i="127"/>
  <c r="O133" i="116"/>
  <c r="V143" i="127"/>
  <c r="V126" i="129"/>
  <c r="V142" i="130"/>
  <c r="V144" i="130"/>
  <c r="V143" i="130"/>
  <c r="U127" i="129"/>
  <c r="U126" i="125"/>
  <c r="V120" i="127"/>
  <c r="V91" i="127"/>
  <c r="O131" i="116"/>
  <c r="U126" i="130"/>
  <c r="T93" i="130"/>
  <c r="S158" i="128"/>
  <c r="U127" i="130"/>
  <c r="U125" i="130"/>
  <c r="U126" i="127"/>
  <c r="T157" i="125"/>
  <c r="M140" i="114"/>
  <c r="U125" i="125"/>
  <c r="V142" i="126"/>
  <c r="T157" i="127"/>
  <c r="M140" i="116"/>
  <c r="V120" i="125"/>
  <c r="S157" i="126"/>
  <c r="L140" i="115"/>
  <c r="N126" i="116"/>
  <c r="U126" i="128"/>
  <c r="V141" i="127"/>
  <c r="V142" i="127"/>
  <c r="T93" i="128"/>
  <c r="V144" i="128"/>
  <c r="V142" i="128"/>
  <c r="V126" i="128"/>
  <c r="V143" i="125"/>
  <c r="U125" i="128"/>
  <c r="U127" i="128"/>
  <c r="V89" i="127"/>
  <c r="O129" i="116"/>
  <c r="V90" i="127"/>
  <c r="O130" i="116"/>
  <c r="O126" i="116"/>
  <c r="T92" i="126"/>
  <c r="W76" i="125"/>
  <c r="V121" i="125"/>
  <c r="V88" i="125"/>
  <c r="O128" i="114"/>
  <c r="V141" i="125"/>
  <c r="U122" i="125"/>
  <c r="U128" i="125"/>
  <c r="U130" i="125"/>
  <c r="U124" i="126"/>
  <c r="U122" i="126"/>
  <c r="U126" i="126"/>
  <c r="U125" i="126"/>
  <c r="N141" i="115"/>
  <c r="S157" i="124"/>
  <c r="L140" i="113"/>
  <c r="W77" i="125"/>
  <c r="V88" i="126"/>
  <c r="O128" i="115"/>
  <c r="V91" i="126"/>
  <c r="O131" i="115"/>
  <c r="P134" i="115"/>
  <c r="W76" i="126"/>
  <c r="W77" i="126"/>
  <c r="O133" i="115"/>
  <c r="V120" i="126"/>
  <c r="V121" i="126"/>
  <c r="V119" i="126"/>
  <c r="U90" i="126"/>
  <c r="N130" i="115"/>
  <c r="U89" i="126"/>
  <c r="N129" i="115"/>
  <c r="N126" i="115"/>
  <c r="T128" i="126"/>
  <c r="T130" i="126"/>
  <c r="V141" i="126"/>
  <c r="V143" i="126"/>
  <c r="V80" i="126"/>
  <c r="V82" i="126"/>
  <c r="V78" i="126"/>
  <c r="O125" i="115"/>
  <c r="U126" i="122"/>
  <c r="V142" i="124"/>
  <c r="O126" i="114"/>
  <c r="U125" i="124"/>
  <c r="T92" i="124"/>
  <c r="S159" i="123"/>
  <c r="N141" i="113"/>
  <c r="U126" i="124"/>
  <c r="U124" i="124"/>
  <c r="U122" i="124"/>
  <c r="V80" i="124"/>
  <c r="V82" i="124"/>
  <c r="V78" i="124"/>
  <c r="O125" i="113"/>
  <c r="T128" i="124"/>
  <c r="T130" i="124"/>
  <c r="V143" i="124"/>
  <c r="V141" i="124"/>
  <c r="U90" i="124"/>
  <c r="N130" i="113"/>
  <c r="U89" i="124"/>
  <c r="N129" i="113"/>
  <c r="N126" i="113"/>
  <c r="P134" i="113"/>
  <c r="V88" i="124"/>
  <c r="O128" i="113"/>
  <c r="V91" i="124"/>
  <c r="O131" i="113"/>
  <c r="O133" i="113"/>
  <c r="V120" i="124"/>
  <c r="W76" i="124"/>
  <c r="V121" i="124"/>
  <c r="W77" i="124"/>
  <c r="V119" i="124"/>
  <c r="V143" i="122"/>
  <c r="V144" i="123"/>
  <c r="U127" i="123"/>
  <c r="V142" i="122"/>
  <c r="V145" i="123"/>
  <c r="V143" i="123"/>
  <c r="U125" i="122"/>
  <c r="S94" i="123"/>
  <c r="U126" i="123"/>
  <c r="U128" i="123"/>
  <c r="S158" i="122"/>
  <c r="U127" i="122"/>
  <c r="U144" i="122"/>
  <c r="W143" i="141"/>
  <c r="O141" i="102"/>
  <c r="N169" i="105"/>
  <c r="L414" i="71"/>
  <c r="W175" i="140"/>
  <c r="W177" i="140"/>
  <c r="V175" i="141"/>
  <c r="V177" i="141"/>
  <c r="V175" i="143"/>
  <c r="V177" i="143"/>
  <c r="V175" i="142"/>
  <c r="V177" i="142"/>
  <c r="V174" i="137"/>
  <c r="V176" i="137"/>
  <c r="V174" i="138"/>
  <c r="V176" i="138"/>
  <c r="N169" i="120"/>
  <c r="L338" i="71"/>
  <c r="W174" i="136"/>
  <c r="W176" i="136"/>
  <c r="V174" i="139"/>
  <c r="V176" i="139"/>
  <c r="U94" i="135"/>
  <c r="V175" i="135"/>
  <c r="V177" i="135"/>
  <c r="W175" i="134"/>
  <c r="W177" i="134"/>
  <c r="N168" i="102"/>
  <c r="L262" i="71"/>
  <c r="V175" i="134"/>
  <c r="V177" i="134"/>
  <c r="W175" i="133"/>
  <c r="W177" i="133"/>
  <c r="V175" i="133"/>
  <c r="V177" i="133"/>
  <c r="W175" i="135"/>
  <c r="W177" i="135"/>
  <c r="M186" i="71"/>
  <c r="O168" i="112"/>
  <c r="X174" i="128"/>
  <c r="X176" i="128"/>
  <c r="W174" i="132"/>
  <c r="W176" i="132"/>
  <c r="W174" i="130"/>
  <c r="W176" i="130"/>
  <c r="W174" i="131"/>
  <c r="W176" i="131"/>
  <c r="X173" i="124"/>
  <c r="X175" i="124"/>
  <c r="V173" i="126"/>
  <c r="V175" i="126"/>
  <c r="W173" i="126"/>
  <c r="W175" i="126"/>
  <c r="P168" i="113"/>
  <c r="N53" i="71"/>
  <c r="V173" i="127"/>
  <c r="V175" i="127"/>
  <c r="W173" i="125"/>
  <c r="W175" i="125"/>
  <c r="V173" i="125"/>
  <c r="V175" i="125"/>
  <c r="O168" i="113"/>
  <c r="M53" i="71"/>
  <c r="W173" i="127"/>
  <c r="W175" i="127"/>
  <c r="X175" i="123"/>
  <c r="X177" i="123"/>
  <c r="X174" i="122"/>
  <c r="X176" i="122"/>
  <c r="X78" i="139"/>
  <c r="X82" i="139"/>
  <c r="W87" i="139"/>
  <c r="P127" i="120"/>
  <c r="V126" i="139"/>
  <c r="U92" i="125"/>
  <c r="P134" i="120"/>
  <c r="W88" i="139"/>
  <c r="P128" i="120"/>
  <c r="W144" i="133"/>
  <c r="W120" i="139"/>
  <c r="W121" i="139"/>
  <c r="W92" i="139"/>
  <c r="P132" i="120"/>
  <c r="W144" i="141"/>
  <c r="U94" i="129"/>
  <c r="V127" i="133"/>
  <c r="X142" i="139"/>
  <c r="X76" i="139"/>
  <c r="AB96" i="139"/>
  <c r="U135" i="120"/>
  <c r="V128" i="141"/>
  <c r="X143" i="139"/>
  <c r="X77" i="139"/>
  <c r="W122" i="139"/>
  <c r="V126" i="141"/>
  <c r="U94" i="141"/>
  <c r="W145" i="141"/>
  <c r="V127" i="139"/>
  <c r="W81" i="139"/>
  <c r="W83" i="139"/>
  <c r="W91" i="139"/>
  <c r="P131" i="120"/>
  <c r="V89" i="125"/>
  <c r="O129" i="114"/>
  <c r="W78" i="127"/>
  <c r="P125" i="116"/>
  <c r="O142" i="120"/>
  <c r="V127" i="131"/>
  <c r="V94" i="133"/>
  <c r="W143" i="137"/>
  <c r="W144" i="139"/>
  <c r="W143" i="139"/>
  <c r="V123" i="139"/>
  <c r="V129" i="139"/>
  <c r="V131" i="139"/>
  <c r="W143" i="133"/>
  <c r="U159" i="143"/>
  <c r="N141" i="105"/>
  <c r="W142" i="137"/>
  <c r="W79" i="139"/>
  <c r="P126" i="120"/>
  <c r="V94" i="143"/>
  <c r="W142" i="139"/>
  <c r="X144" i="143"/>
  <c r="W127" i="143"/>
  <c r="U94" i="142"/>
  <c r="X80" i="143"/>
  <c r="Q126" i="105"/>
  <c r="X82" i="143"/>
  <c r="X84" i="143"/>
  <c r="T159" i="142"/>
  <c r="V130" i="143"/>
  <c r="V132" i="143"/>
  <c r="W92" i="143"/>
  <c r="P131" i="105"/>
  <c r="W91" i="143"/>
  <c r="P130" i="105"/>
  <c r="X145" i="143"/>
  <c r="X143" i="143"/>
  <c r="W126" i="143"/>
  <c r="W124" i="143"/>
  <c r="W128" i="143"/>
  <c r="W144" i="135"/>
  <c r="AC97" i="143"/>
  <c r="V135" i="105"/>
  <c r="X93" i="143"/>
  <c r="Q132" i="105"/>
  <c r="X89" i="143"/>
  <c r="Q128" i="105"/>
  <c r="Q134" i="105"/>
  <c r="X90" i="143"/>
  <c r="Q129" i="105"/>
  <c r="Y78" i="143"/>
  <c r="Y83" i="143"/>
  <c r="Y77" i="143"/>
  <c r="Y76" i="143"/>
  <c r="V127" i="105"/>
  <c r="X122" i="143"/>
  <c r="X123" i="143"/>
  <c r="X121" i="143"/>
  <c r="U92" i="127"/>
  <c r="V94" i="141"/>
  <c r="U159" i="141"/>
  <c r="P142" i="105"/>
  <c r="V127" i="142"/>
  <c r="W144" i="142"/>
  <c r="W145" i="142"/>
  <c r="W143" i="142"/>
  <c r="V128" i="142"/>
  <c r="V126" i="142"/>
  <c r="V124" i="135"/>
  <c r="V130" i="135"/>
  <c r="V132" i="135"/>
  <c r="U94" i="140"/>
  <c r="T159" i="140"/>
  <c r="X143" i="137"/>
  <c r="W144" i="140"/>
  <c r="V127" i="140"/>
  <c r="X88" i="139"/>
  <c r="Q128" i="120"/>
  <c r="V93" i="139"/>
  <c r="O130" i="120"/>
  <c r="W82" i="135"/>
  <c r="W84" i="135"/>
  <c r="W92" i="135"/>
  <c r="U158" i="139"/>
  <c r="N141" i="120"/>
  <c r="W145" i="140"/>
  <c r="W143" i="140"/>
  <c r="V126" i="140"/>
  <c r="V128" i="140"/>
  <c r="V125" i="127"/>
  <c r="W143" i="135"/>
  <c r="W141" i="127"/>
  <c r="V126" i="131"/>
  <c r="W145" i="133"/>
  <c r="V126" i="137"/>
  <c r="U93" i="138"/>
  <c r="W125" i="139"/>
  <c r="W144" i="129"/>
  <c r="V128" i="135"/>
  <c r="W80" i="127"/>
  <c r="W82" i="127"/>
  <c r="W90" i="127"/>
  <c r="P130" i="116"/>
  <c r="W142" i="127"/>
  <c r="W145" i="135"/>
  <c r="T158" i="138"/>
  <c r="W144" i="137"/>
  <c r="V127" i="137"/>
  <c r="V128" i="133"/>
  <c r="X76" i="135"/>
  <c r="P141" i="102"/>
  <c r="W80" i="135"/>
  <c r="P125" i="102"/>
  <c r="V126" i="135"/>
  <c r="V126" i="136"/>
  <c r="V93" i="137"/>
  <c r="W125" i="137"/>
  <c r="V126" i="138"/>
  <c r="V125" i="138"/>
  <c r="V127" i="138"/>
  <c r="W142" i="138"/>
  <c r="W144" i="138"/>
  <c r="W89" i="135"/>
  <c r="P127" i="102"/>
  <c r="W144" i="131"/>
  <c r="V127" i="135"/>
  <c r="W143" i="138"/>
  <c r="U158" i="137"/>
  <c r="W126" i="129"/>
  <c r="V126" i="127"/>
  <c r="U93" i="136"/>
  <c r="T158" i="136"/>
  <c r="V94" i="135"/>
  <c r="O129" i="102"/>
  <c r="O141" i="114"/>
  <c r="W142" i="131"/>
  <c r="W123" i="135"/>
  <c r="U126" i="102"/>
  <c r="X78" i="135"/>
  <c r="X83" i="135"/>
  <c r="W93" i="135"/>
  <c r="P131" i="102"/>
  <c r="X89" i="135"/>
  <c r="Q127" i="102"/>
  <c r="W121" i="135"/>
  <c r="W126" i="135"/>
  <c r="X144" i="135"/>
  <c r="P133" i="102"/>
  <c r="AB97" i="135"/>
  <c r="U134" i="102"/>
  <c r="W143" i="136"/>
  <c r="V125" i="136"/>
  <c r="V127" i="136"/>
  <c r="U159" i="135"/>
  <c r="N140" i="102"/>
  <c r="W122" i="135"/>
  <c r="X77" i="135"/>
  <c r="W90" i="135"/>
  <c r="P128" i="102"/>
  <c r="W142" i="136"/>
  <c r="W144" i="136"/>
  <c r="T159" i="134"/>
  <c r="W142" i="125"/>
  <c r="U94" i="134"/>
  <c r="W145" i="134"/>
  <c r="W143" i="134"/>
  <c r="W144" i="134"/>
  <c r="V126" i="134"/>
  <c r="V128" i="134"/>
  <c r="V127" i="134"/>
  <c r="V122" i="127"/>
  <c r="V128" i="127"/>
  <c r="V130" i="127"/>
  <c r="U159" i="133"/>
  <c r="AB95" i="126"/>
  <c r="X86" i="126"/>
  <c r="W88" i="125"/>
  <c r="P128" i="114"/>
  <c r="AB95" i="125"/>
  <c r="X86" i="125"/>
  <c r="V124" i="127"/>
  <c r="U159" i="129"/>
  <c r="AB96" i="132"/>
  <c r="U134" i="112"/>
  <c r="W87" i="132"/>
  <c r="W126" i="133"/>
  <c r="Q134" i="116"/>
  <c r="AB95" i="127"/>
  <c r="X86" i="127"/>
  <c r="V122" i="125"/>
  <c r="V128" i="125"/>
  <c r="V130" i="125"/>
  <c r="T158" i="132"/>
  <c r="M140" i="112"/>
  <c r="V125" i="124"/>
  <c r="AB95" i="124"/>
  <c r="X86" i="124"/>
  <c r="U93" i="132"/>
  <c r="N126" i="112"/>
  <c r="V126" i="132"/>
  <c r="W143" i="127"/>
  <c r="W143" i="129"/>
  <c r="U129" i="132"/>
  <c r="U131" i="132"/>
  <c r="V123" i="132"/>
  <c r="V127" i="132"/>
  <c r="V125" i="132"/>
  <c r="W143" i="132"/>
  <c r="U158" i="131"/>
  <c r="P133" i="112"/>
  <c r="W88" i="132"/>
  <c r="P127" i="112"/>
  <c r="W89" i="132"/>
  <c r="P128" i="112"/>
  <c r="W92" i="132"/>
  <c r="P131" i="112"/>
  <c r="X76" i="132"/>
  <c r="X77" i="132"/>
  <c r="W122" i="132"/>
  <c r="X78" i="132"/>
  <c r="X82" i="132"/>
  <c r="W121" i="132"/>
  <c r="W120" i="132"/>
  <c r="W81" i="132"/>
  <c r="W83" i="132"/>
  <c r="W79" i="132"/>
  <c r="P125" i="112"/>
  <c r="O126" i="112"/>
  <c r="V91" i="132"/>
  <c r="O130" i="112"/>
  <c r="V90" i="132"/>
  <c r="O129" i="112"/>
  <c r="W119" i="125"/>
  <c r="W124" i="125"/>
  <c r="O141" i="112"/>
  <c r="W144" i="132"/>
  <c r="W142" i="132"/>
  <c r="W141" i="125"/>
  <c r="X77" i="127"/>
  <c r="V126" i="125"/>
  <c r="W91" i="127"/>
  <c r="P131" i="116"/>
  <c r="T158" i="130"/>
  <c r="V127" i="129"/>
  <c r="O141" i="116"/>
  <c r="W145" i="129"/>
  <c r="W143" i="130"/>
  <c r="W80" i="125"/>
  <c r="W82" i="125"/>
  <c r="W90" i="125"/>
  <c r="P130" i="114"/>
  <c r="T158" i="128"/>
  <c r="V128" i="129"/>
  <c r="V125" i="130"/>
  <c r="V127" i="130"/>
  <c r="W144" i="130"/>
  <c r="W142" i="130"/>
  <c r="V126" i="130"/>
  <c r="U93" i="130"/>
  <c r="W120" i="127"/>
  <c r="W88" i="127"/>
  <c r="P128" i="116"/>
  <c r="U157" i="125"/>
  <c r="N140" i="114"/>
  <c r="W121" i="127"/>
  <c r="W87" i="127"/>
  <c r="P127" i="116"/>
  <c r="U157" i="127"/>
  <c r="N140" i="116"/>
  <c r="W119" i="127"/>
  <c r="W124" i="127"/>
  <c r="X76" i="127"/>
  <c r="W78" i="125"/>
  <c r="P125" i="114"/>
  <c r="T157" i="126"/>
  <c r="M140" i="115"/>
  <c r="P133" i="116"/>
  <c r="W143" i="128"/>
  <c r="V125" i="125"/>
  <c r="X87" i="127"/>
  <c r="Q127" i="116"/>
  <c r="W87" i="125"/>
  <c r="P127" i="114"/>
  <c r="V125" i="128"/>
  <c r="V127" i="128"/>
  <c r="V92" i="127"/>
  <c r="W144" i="128"/>
  <c r="W142" i="128"/>
  <c r="W121" i="125"/>
  <c r="U93" i="128"/>
  <c r="U92" i="126"/>
  <c r="P126" i="116"/>
  <c r="W143" i="126"/>
  <c r="W141" i="126"/>
  <c r="W80" i="126"/>
  <c r="W82" i="126"/>
  <c r="W78" i="126"/>
  <c r="P125" i="115"/>
  <c r="X121" i="125"/>
  <c r="T93" i="122"/>
  <c r="T157" i="124"/>
  <c r="M140" i="113"/>
  <c r="W91" i="125"/>
  <c r="P131" i="114"/>
  <c r="V90" i="126"/>
  <c r="O130" i="115"/>
  <c r="V89" i="126"/>
  <c r="O129" i="115"/>
  <c r="O126" i="115"/>
  <c r="V122" i="126"/>
  <c r="V126" i="126"/>
  <c r="V124" i="126"/>
  <c r="W143" i="125"/>
  <c r="X76" i="125"/>
  <c r="W120" i="125"/>
  <c r="P133" i="114"/>
  <c r="Q134" i="114"/>
  <c r="O141" i="115"/>
  <c r="X77" i="125"/>
  <c r="W142" i="126"/>
  <c r="V125" i="126"/>
  <c r="W91" i="126"/>
  <c r="P131" i="115"/>
  <c r="W87" i="126"/>
  <c r="P127" i="115"/>
  <c r="Q134" i="115"/>
  <c r="X76" i="126"/>
  <c r="W88" i="126"/>
  <c r="P128" i="115"/>
  <c r="P133" i="115"/>
  <c r="X77" i="126"/>
  <c r="W120" i="126"/>
  <c r="W121" i="126"/>
  <c r="W119" i="126"/>
  <c r="U128" i="126"/>
  <c r="U130" i="126"/>
  <c r="P126" i="114"/>
  <c r="U92" i="124"/>
  <c r="X91" i="125"/>
  <c r="Q131" i="114"/>
  <c r="V126" i="122"/>
  <c r="V92" i="125"/>
  <c r="W142" i="124"/>
  <c r="T159" i="123"/>
  <c r="V124" i="124"/>
  <c r="V122" i="124"/>
  <c r="V126" i="124"/>
  <c r="W80" i="124"/>
  <c r="W82" i="124"/>
  <c r="W78" i="124"/>
  <c r="P125" i="113"/>
  <c r="V90" i="124"/>
  <c r="O130" i="113"/>
  <c r="V89" i="124"/>
  <c r="O129" i="113"/>
  <c r="W143" i="124"/>
  <c r="W141" i="124"/>
  <c r="O141" i="113"/>
  <c r="U128" i="124"/>
  <c r="U130" i="124"/>
  <c r="Q134" i="113"/>
  <c r="W91" i="124"/>
  <c r="P131" i="113"/>
  <c r="W87" i="124"/>
  <c r="P127" i="113"/>
  <c r="W88" i="124"/>
  <c r="P128" i="113"/>
  <c r="X76" i="124"/>
  <c r="X77" i="124"/>
  <c r="P133" i="113"/>
  <c r="W121" i="124"/>
  <c r="W120" i="124"/>
  <c r="W119" i="124"/>
  <c r="V127" i="123"/>
  <c r="W145" i="123"/>
  <c r="W143" i="123"/>
  <c r="W142" i="122"/>
  <c r="U94" i="123"/>
  <c r="U93" i="122"/>
  <c r="W143" i="122"/>
  <c r="T94" i="123"/>
  <c r="W144" i="123"/>
  <c r="V125" i="122"/>
  <c r="V126" i="123"/>
  <c r="V128" i="123"/>
  <c r="T158" i="122"/>
  <c r="V144" i="122"/>
  <c r="V127" i="122"/>
  <c r="P142" i="120"/>
  <c r="P141" i="116"/>
  <c r="W175" i="143"/>
  <c r="W177" i="143"/>
  <c r="O169" i="105"/>
  <c r="M414" i="71"/>
  <c r="W175" i="141"/>
  <c r="W177" i="141"/>
  <c r="X175" i="140"/>
  <c r="X177" i="140"/>
  <c r="W175" i="142"/>
  <c r="W177" i="142"/>
  <c r="X79" i="139"/>
  <c r="Q126" i="120"/>
  <c r="X174" i="136"/>
  <c r="X176" i="136"/>
  <c r="W174" i="138"/>
  <c r="W176" i="138"/>
  <c r="M338" i="71"/>
  <c r="O169" i="120"/>
  <c r="W174" i="137"/>
  <c r="W176" i="137"/>
  <c r="W174" i="139"/>
  <c r="W176" i="139"/>
  <c r="X175" i="129"/>
  <c r="X177" i="129"/>
  <c r="P168" i="102"/>
  <c r="N262" i="71"/>
  <c r="O168" i="102"/>
  <c r="M262" i="71"/>
  <c r="N186" i="71"/>
  <c r="P168" i="112"/>
  <c r="X174" i="130"/>
  <c r="X176" i="130"/>
  <c r="X174" i="132"/>
  <c r="X176" i="132"/>
  <c r="Y174" i="128"/>
  <c r="Y176" i="128"/>
  <c r="X174" i="131"/>
  <c r="X176" i="131"/>
  <c r="M110" i="71"/>
  <c r="O168" i="116"/>
  <c r="X173" i="126"/>
  <c r="X175" i="126"/>
  <c r="O168" i="114"/>
  <c r="M72" i="71"/>
  <c r="O53" i="71"/>
  <c r="Q168" i="113"/>
  <c r="Y173" i="124"/>
  <c r="Y175" i="124"/>
  <c r="N72" i="71"/>
  <c r="P168" i="114"/>
  <c r="O168" i="115"/>
  <c r="X173" i="125"/>
  <c r="X175" i="125"/>
  <c r="N110" i="71"/>
  <c r="P168" i="116"/>
  <c r="P168" i="115"/>
  <c r="X173" i="127"/>
  <c r="X175" i="127"/>
  <c r="Y175" i="123"/>
  <c r="Y177" i="123"/>
  <c r="Y174" i="122"/>
  <c r="Y176" i="122"/>
  <c r="X144" i="139"/>
  <c r="W127" i="139"/>
  <c r="X81" i="139"/>
  <c r="X83" i="139"/>
  <c r="X91" i="139"/>
  <c r="Q131" i="120"/>
  <c r="W91" i="135"/>
  <c r="P129" i="102"/>
  <c r="W90" i="139"/>
  <c r="P130" i="120"/>
  <c r="W126" i="139"/>
  <c r="W127" i="141"/>
  <c r="X143" i="141"/>
  <c r="W123" i="139"/>
  <c r="X122" i="139"/>
  <c r="AC96" i="139"/>
  <c r="V135" i="120"/>
  <c r="AC97" i="135"/>
  <c r="V134" i="102"/>
  <c r="X144" i="133"/>
  <c r="X144" i="141"/>
  <c r="W93" i="137"/>
  <c r="X145" i="141"/>
  <c r="Y77" i="139"/>
  <c r="Y144" i="133"/>
  <c r="W128" i="141"/>
  <c r="W94" i="143"/>
  <c r="X145" i="135"/>
  <c r="X145" i="133"/>
  <c r="X127" i="143"/>
  <c r="V159" i="143"/>
  <c r="O141" i="105"/>
  <c r="W126" i="137"/>
  <c r="Y144" i="143"/>
  <c r="X124" i="143"/>
  <c r="X128" i="143"/>
  <c r="X126" i="143"/>
  <c r="W94" i="141"/>
  <c r="V94" i="142"/>
  <c r="Y145" i="143"/>
  <c r="Y143" i="143"/>
  <c r="W130" i="143"/>
  <c r="W132" i="143"/>
  <c r="AD97" i="143"/>
  <c r="W135" i="105"/>
  <c r="Y93" i="143"/>
  <c r="R132" i="105"/>
  <c r="Y90" i="143"/>
  <c r="R129" i="105"/>
  <c r="Y89" i="143"/>
  <c r="R128" i="105"/>
  <c r="W127" i="105"/>
  <c r="Z77" i="143"/>
  <c r="Z78" i="143"/>
  <c r="Z83" i="143"/>
  <c r="R134" i="105"/>
  <c r="Z76" i="143"/>
  <c r="Y122" i="143"/>
  <c r="Y123" i="143"/>
  <c r="Y121" i="143"/>
  <c r="X143" i="133"/>
  <c r="W126" i="141"/>
  <c r="Y82" i="143"/>
  <c r="Y84" i="143"/>
  <c r="Y80" i="143"/>
  <c r="R126" i="105"/>
  <c r="Q142" i="105"/>
  <c r="X144" i="137"/>
  <c r="V159" i="141"/>
  <c r="U159" i="142"/>
  <c r="X92" i="143"/>
  <c r="X91" i="143"/>
  <c r="Q130" i="105"/>
  <c r="Y78" i="139"/>
  <c r="Y82" i="139"/>
  <c r="Y76" i="139"/>
  <c r="X87" i="139"/>
  <c r="Q127" i="120"/>
  <c r="X121" i="135"/>
  <c r="X126" i="135"/>
  <c r="Q134" i="120"/>
  <c r="X89" i="139"/>
  <c r="Q129" i="120"/>
  <c r="X126" i="141"/>
  <c r="Y143" i="141"/>
  <c r="W126" i="142"/>
  <c r="W128" i="142"/>
  <c r="V126" i="102"/>
  <c r="W127" i="133"/>
  <c r="X120" i="139"/>
  <c r="X121" i="139"/>
  <c r="X92" i="139"/>
  <c r="Q132" i="120"/>
  <c r="W127" i="142"/>
  <c r="X144" i="142"/>
  <c r="X143" i="142"/>
  <c r="X145" i="142"/>
  <c r="X127" i="142"/>
  <c r="W89" i="127"/>
  <c r="P129" i="116"/>
  <c r="P141" i="114"/>
  <c r="W127" i="135"/>
  <c r="W126" i="131"/>
  <c r="Y77" i="135"/>
  <c r="X123" i="135"/>
  <c r="U159" i="140"/>
  <c r="X78" i="127"/>
  <c r="Q125" i="116"/>
  <c r="Q133" i="102"/>
  <c r="X93" i="135"/>
  <c r="Q131" i="102"/>
  <c r="X125" i="137"/>
  <c r="V94" i="140"/>
  <c r="W127" i="140"/>
  <c r="Q141" i="102"/>
  <c r="X142" i="137"/>
  <c r="Y120" i="139"/>
  <c r="X144" i="140"/>
  <c r="W126" i="127"/>
  <c r="V158" i="139"/>
  <c r="O141" i="120"/>
  <c r="W93" i="139"/>
  <c r="W126" i="140"/>
  <c r="W128" i="140"/>
  <c r="X145" i="140"/>
  <c r="X143" i="140"/>
  <c r="X142" i="131"/>
  <c r="W124" i="135"/>
  <c r="W130" i="135"/>
  <c r="W132" i="135"/>
  <c r="X143" i="135"/>
  <c r="W128" i="133"/>
  <c r="W129" i="139"/>
  <c r="W131" i="139"/>
  <c r="W127" i="129"/>
  <c r="U158" i="138"/>
  <c r="W128" i="135"/>
  <c r="V93" i="138"/>
  <c r="X82" i="135"/>
  <c r="X84" i="135"/>
  <c r="Q142" i="120"/>
  <c r="X125" i="139"/>
  <c r="X143" i="138"/>
  <c r="X144" i="129"/>
  <c r="X126" i="133"/>
  <c r="Y78" i="135"/>
  <c r="Y83" i="135"/>
  <c r="X90" i="135"/>
  <c r="Q128" i="102"/>
  <c r="W127" i="137"/>
  <c r="W126" i="138"/>
  <c r="X144" i="138"/>
  <c r="X142" i="138"/>
  <c r="X126" i="129"/>
  <c r="X122" i="135"/>
  <c r="Y76" i="135"/>
  <c r="Y82" i="135"/>
  <c r="W125" i="138"/>
  <c r="W127" i="138"/>
  <c r="V158" i="137"/>
  <c r="U158" i="136"/>
  <c r="V93" i="136"/>
  <c r="X143" i="136"/>
  <c r="W125" i="125"/>
  <c r="X144" i="136"/>
  <c r="X142" i="136"/>
  <c r="W126" i="136"/>
  <c r="X80" i="135"/>
  <c r="Q125" i="102"/>
  <c r="W127" i="136"/>
  <c r="W125" i="136"/>
  <c r="V159" i="135"/>
  <c r="O140" i="102"/>
  <c r="P130" i="102"/>
  <c r="V94" i="134"/>
  <c r="X80" i="127"/>
  <c r="X82" i="127"/>
  <c r="X89" i="127"/>
  <c r="Q129" i="116"/>
  <c r="X143" i="131"/>
  <c r="U159" i="134"/>
  <c r="W127" i="134"/>
  <c r="X144" i="134"/>
  <c r="W126" i="134"/>
  <c r="W128" i="134"/>
  <c r="X142" i="125"/>
  <c r="W94" i="133"/>
  <c r="X145" i="134"/>
  <c r="X143" i="134"/>
  <c r="V159" i="133"/>
  <c r="AC95" i="126"/>
  <c r="Y86" i="126"/>
  <c r="V159" i="129"/>
  <c r="W127" i="131"/>
  <c r="AC96" i="132"/>
  <c r="V134" i="112"/>
  <c r="X87" i="132"/>
  <c r="V94" i="129"/>
  <c r="U158" i="132"/>
  <c r="N140" i="112"/>
  <c r="X87" i="125"/>
  <c r="Q127" i="114"/>
  <c r="Y86" i="125"/>
  <c r="AC95" i="125"/>
  <c r="AC95" i="127"/>
  <c r="Y86" i="127"/>
  <c r="AC95" i="124"/>
  <c r="Y86" i="124"/>
  <c r="X142" i="127"/>
  <c r="W126" i="132"/>
  <c r="X145" i="129"/>
  <c r="X143" i="129"/>
  <c r="X119" i="125"/>
  <c r="W89" i="125"/>
  <c r="P129" i="114"/>
  <c r="X144" i="131"/>
  <c r="W125" i="131"/>
  <c r="X144" i="132"/>
  <c r="X142" i="132"/>
  <c r="X143" i="132"/>
  <c r="P141" i="112"/>
  <c r="X79" i="132"/>
  <c r="Q125" i="112"/>
  <c r="X81" i="132"/>
  <c r="X83" i="132"/>
  <c r="X88" i="132"/>
  <c r="Q127" i="112"/>
  <c r="X89" i="132"/>
  <c r="Q128" i="112"/>
  <c r="X92" i="132"/>
  <c r="Q131" i="112"/>
  <c r="Y77" i="132"/>
  <c r="Y76" i="132"/>
  <c r="Q133" i="112"/>
  <c r="X121" i="132"/>
  <c r="Y78" i="132"/>
  <c r="Y82" i="132"/>
  <c r="X122" i="132"/>
  <c r="X120" i="132"/>
  <c r="W91" i="132"/>
  <c r="P130" i="112"/>
  <c r="W90" i="132"/>
  <c r="P129" i="112"/>
  <c r="P126" i="112"/>
  <c r="V129" i="132"/>
  <c r="V131" i="132"/>
  <c r="X120" i="125"/>
  <c r="X125" i="125"/>
  <c r="W128" i="129"/>
  <c r="X141" i="127"/>
  <c r="V158" i="131"/>
  <c r="X125" i="131"/>
  <c r="V93" i="132"/>
  <c r="W125" i="132"/>
  <c r="W127" i="132"/>
  <c r="W123" i="132"/>
  <c r="W122" i="125"/>
  <c r="W128" i="125"/>
  <c r="W130" i="125"/>
  <c r="R134" i="114"/>
  <c r="X143" i="125"/>
  <c r="X80" i="125"/>
  <c r="X82" i="125"/>
  <c r="Q126" i="114"/>
  <c r="Y76" i="125"/>
  <c r="W126" i="125"/>
  <c r="X141" i="125"/>
  <c r="U158" i="130"/>
  <c r="X143" i="130"/>
  <c r="W125" i="127"/>
  <c r="X144" i="130"/>
  <c r="X142" i="130"/>
  <c r="W126" i="130"/>
  <c r="V93" i="130"/>
  <c r="U158" i="128"/>
  <c r="W125" i="130"/>
  <c r="W127" i="130"/>
  <c r="Y77" i="125"/>
  <c r="X88" i="125"/>
  <c r="Q128" i="114"/>
  <c r="V157" i="127"/>
  <c r="O140" i="116"/>
  <c r="X143" i="127"/>
  <c r="Q133" i="114"/>
  <c r="U157" i="126"/>
  <c r="N140" i="115"/>
  <c r="W122" i="127"/>
  <c r="W128" i="127"/>
  <c r="W130" i="127"/>
  <c r="V157" i="125"/>
  <c r="O140" i="114"/>
  <c r="V93" i="128"/>
  <c r="X143" i="128"/>
  <c r="X120" i="127"/>
  <c r="Y77" i="127"/>
  <c r="X121" i="127"/>
  <c r="X91" i="127"/>
  <c r="Q131" i="116"/>
  <c r="Q133" i="116"/>
  <c r="Y76" i="127"/>
  <c r="X88" i="127"/>
  <c r="Q128" i="116"/>
  <c r="X119" i="127"/>
  <c r="X124" i="127"/>
  <c r="R134" i="116"/>
  <c r="X142" i="126"/>
  <c r="X78" i="125"/>
  <c r="Q125" i="114"/>
  <c r="W127" i="128"/>
  <c r="W125" i="128"/>
  <c r="X144" i="128"/>
  <c r="X142" i="128"/>
  <c r="W126" i="128"/>
  <c r="Q126" i="116"/>
  <c r="X143" i="126"/>
  <c r="X141" i="126"/>
  <c r="V128" i="126"/>
  <c r="V130" i="126"/>
  <c r="R134" i="115"/>
  <c r="X87" i="126"/>
  <c r="Q127" i="115"/>
  <c r="X91" i="126"/>
  <c r="Q131" i="115"/>
  <c r="Q133" i="115"/>
  <c r="X88" i="126"/>
  <c r="Q128" i="115"/>
  <c r="Y76" i="126"/>
  <c r="Y77" i="126"/>
  <c r="X120" i="126"/>
  <c r="X121" i="126"/>
  <c r="X119" i="126"/>
  <c r="P141" i="115"/>
  <c r="Y88" i="125"/>
  <c r="R128" i="114"/>
  <c r="W126" i="126"/>
  <c r="W124" i="126"/>
  <c r="W122" i="126"/>
  <c r="W125" i="126"/>
  <c r="X80" i="126"/>
  <c r="X82" i="126"/>
  <c r="X78" i="126"/>
  <c r="Q125" i="115"/>
  <c r="V92" i="126"/>
  <c r="U157" i="124"/>
  <c r="N140" i="113"/>
  <c r="W89" i="126"/>
  <c r="P129" i="115"/>
  <c r="P126" i="115"/>
  <c r="W90" i="126"/>
  <c r="P130" i="115"/>
  <c r="W125" i="124"/>
  <c r="X142" i="124"/>
  <c r="P141" i="113"/>
  <c r="V128" i="124"/>
  <c r="V130" i="124"/>
  <c r="U159" i="123"/>
  <c r="W124" i="124"/>
  <c r="W126" i="124"/>
  <c r="W122" i="124"/>
  <c r="X80" i="124"/>
  <c r="X82" i="124"/>
  <c r="X78" i="124"/>
  <c r="Q125" i="113"/>
  <c r="W89" i="124"/>
  <c r="P129" i="113"/>
  <c r="W90" i="124"/>
  <c r="P130" i="113"/>
  <c r="X141" i="124"/>
  <c r="X143" i="124"/>
  <c r="X87" i="124"/>
  <c r="Q127" i="113"/>
  <c r="R134" i="113"/>
  <c r="X88" i="124"/>
  <c r="Q128" i="113"/>
  <c r="X91" i="124"/>
  <c r="Q131" i="113"/>
  <c r="Y77" i="124"/>
  <c r="X121" i="124"/>
  <c r="X120" i="124"/>
  <c r="Y76" i="124"/>
  <c r="Q133" i="113"/>
  <c r="X119" i="124"/>
  <c r="W126" i="122"/>
  <c r="W127" i="123"/>
  <c r="W128" i="123"/>
  <c r="W126" i="123"/>
  <c r="V93" i="122"/>
  <c r="X145" i="123"/>
  <c r="X143" i="123"/>
  <c r="X142" i="122"/>
  <c r="W125" i="122"/>
  <c r="X144" i="123"/>
  <c r="X143" i="122"/>
  <c r="U158" i="122"/>
  <c r="W127" i="122"/>
  <c r="W144" i="122"/>
  <c r="E50" i="14"/>
  <c r="G20" i="14"/>
  <c r="F50" i="14"/>
  <c r="X127" i="139"/>
  <c r="X175" i="143"/>
  <c r="X177" i="143"/>
  <c r="X175" i="141"/>
  <c r="X177" i="141"/>
  <c r="Y175" i="140"/>
  <c r="Y177" i="140"/>
  <c r="X175" i="142"/>
  <c r="X177" i="142"/>
  <c r="P169" i="105"/>
  <c r="N414" i="71"/>
  <c r="X90" i="139"/>
  <c r="X174" i="137"/>
  <c r="X176" i="137"/>
  <c r="N338" i="71"/>
  <c r="P169" i="120"/>
  <c r="X174" i="138"/>
  <c r="X176" i="138"/>
  <c r="Y174" i="136"/>
  <c r="Y176" i="136"/>
  <c r="X174" i="139"/>
  <c r="X176" i="139"/>
  <c r="W94" i="135"/>
  <c r="Y175" i="129"/>
  <c r="Y177" i="129"/>
  <c r="X175" i="134"/>
  <c r="X177" i="134"/>
  <c r="X175" i="133"/>
  <c r="X177" i="133"/>
  <c r="X175" i="135"/>
  <c r="X177" i="135"/>
  <c r="Z174" i="128"/>
  <c r="Z176" i="128"/>
  <c r="Y174" i="131"/>
  <c r="Y176" i="131"/>
  <c r="O186" i="71"/>
  <c r="Q168" i="112"/>
  <c r="Y174" i="132"/>
  <c r="Y176" i="132"/>
  <c r="Y174" i="130"/>
  <c r="Y176" i="130"/>
  <c r="Y173" i="126"/>
  <c r="Y175" i="126"/>
  <c r="Q168" i="115"/>
  <c r="O110" i="71"/>
  <c r="Q168" i="116"/>
  <c r="Q168" i="114"/>
  <c r="O72" i="71"/>
  <c r="Y173" i="125"/>
  <c r="Y175" i="125"/>
  <c r="R168" i="113"/>
  <c r="P53" i="71"/>
  <c r="Z173" i="124"/>
  <c r="Z175" i="124"/>
  <c r="Y173" i="127"/>
  <c r="Y175" i="127"/>
  <c r="Z175" i="123"/>
  <c r="Z177" i="123"/>
  <c r="Z174" i="122"/>
  <c r="Z176" i="122"/>
  <c r="Y92" i="139"/>
  <c r="R132" i="120"/>
  <c r="Y143" i="130"/>
  <c r="X128" i="141"/>
  <c r="X127" i="141"/>
  <c r="Y81" i="139"/>
  <c r="Y83" i="139"/>
  <c r="Y143" i="139"/>
  <c r="X126" i="139"/>
  <c r="Y122" i="139"/>
  <c r="X128" i="133"/>
  <c r="H76" i="102"/>
  <c r="H76" i="120"/>
  <c r="H76" i="116"/>
  <c r="H76" i="105"/>
  <c r="H76" i="112"/>
  <c r="Y144" i="139"/>
  <c r="Z144" i="143"/>
  <c r="X127" i="133"/>
  <c r="X127" i="129"/>
  <c r="Z143" i="137"/>
  <c r="R142" i="120"/>
  <c r="X123" i="139"/>
  <c r="X129" i="139"/>
  <c r="X131" i="139"/>
  <c r="Y142" i="139"/>
  <c r="Y88" i="127"/>
  <c r="R128" i="116"/>
  <c r="X94" i="143"/>
  <c r="Q131" i="105"/>
  <c r="W159" i="143"/>
  <c r="P141" i="105"/>
  <c r="Y144" i="141"/>
  <c r="Y145" i="141"/>
  <c r="AE97" i="143"/>
  <c r="X135" i="105"/>
  <c r="Z93" i="143"/>
  <c r="S132" i="105"/>
  <c r="Z89" i="143"/>
  <c r="S128" i="105"/>
  <c r="Z90" i="143"/>
  <c r="S129" i="105"/>
  <c r="AA78" i="143"/>
  <c r="AA83" i="143"/>
  <c r="X127" i="105"/>
  <c r="AA76" i="143"/>
  <c r="AA77" i="143"/>
  <c r="S134" i="105"/>
  <c r="Z122" i="143"/>
  <c r="Z123" i="143"/>
  <c r="Z121" i="143"/>
  <c r="W159" i="141"/>
  <c r="W94" i="142"/>
  <c r="Z145" i="143"/>
  <c r="Z143" i="143"/>
  <c r="R142" i="105"/>
  <c r="X126" i="125"/>
  <c r="X127" i="137"/>
  <c r="Y126" i="141"/>
  <c r="Z144" i="141"/>
  <c r="X94" i="141"/>
  <c r="V159" i="142"/>
  <c r="Y128" i="143"/>
  <c r="Y126" i="143"/>
  <c r="Y124" i="143"/>
  <c r="Y127" i="143"/>
  <c r="Z82" i="143"/>
  <c r="Z84" i="143"/>
  <c r="Z80" i="143"/>
  <c r="S126" i="105"/>
  <c r="X126" i="137"/>
  <c r="Y143" i="129"/>
  <c r="Y92" i="143"/>
  <c r="R131" i="105"/>
  <c r="Y91" i="143"/>
  <c r="X130" i="143"/>
  <c r="X132" i="143"/>
  <c r="Y144" i="142"/>
  <c r="Y79" i="139"/>
  <c r="R126" i="120"/>
  <c r="X126" i="142"/>
  <c r="X128" i="142"/>
  <c r="R133" i="102"/>
  <c r="Y144" i="135"/>
  <c r="Y143" i="137"/>
  <c r="AD97" i="135"/>
  <c r="W134" i="102"/>
  <c r="Y144" i="129"/>
  <c r="Y127" i="141"/>
  <c r="Y145" i="142"/>
  <c r="Y143" i="142"/>
  <c r="Y145" i="133"/>
  <c r="Y93" i="135"/>
  <c r="R131" i="102"/>
  <c r="Y80" i="135"/>
  <c r="R125" i="102"/>
  <c r="X92" i="135"/>
  <c r="X91" i="135"/>
  <c r="Q129" i="102"/>
  <c r="Z144" i="135"/>
  <c r="Y121" i="139"/>
  <c r="R134" i="120"/>
  <c r="Y87" i="139"/>
  <c r="R127" i="120"/>
  <c r="X90" i="127"/>
  <c r="Q130" i="116"/>
  <c r="W92" i="127"/>
  <c r="Y145" i="129"/>
  <c r="Y121" i="135"/>
  <c r="Y126" i="135"/>
  <c r="Y122" i="135"/>
  <c r="Z78" i="135"/>
  <c r="Z83" i="135"/>
  <c r="Z77" i="135"/>
  <c r="Y90" i="135"/>
  <c r="R128" i="102"/>
  <c r="Y125" i="137"/>
  <c r="X124" i="135"/>
  <c r="X130" i="135"/>
  <c r="X132" i="135"/>
  <c r="Y143" i="133"/>
  <c r="Z77" i="139"/>
  <c r="Z76" i="139"/>
  <c r="Y88" i="139"/>
  <c r="R128" i="120"/>
  <c r="Y89" i="139"/>
  <c r="R129" i="120"/>
  <c r="W94" i="140"/>
  <c r="V159" i="140"/>
  <c r="W126" i="102"/>
  <c r="X128" i="129"/>
  <c r="Z78" i="139"/>
  <c r="Z82" i="139"/>
  <c r="AD96" i="139"/>
  <c r="W135" i="120"/>
  <c r="Y123" i="135"/>
  <c r="Z76" i="135"/>
  <c r="Z82" i="135"/>
  <c r="Y89" i="135"/>
  <c r="R127" i="102"/>
  <c r="Y144" i="137"/>
  <c r="X127" i="140"/>
  <c r="X128" i="140"/>
  <c r="X126" i="140"/>
  <c r="Y145" i="135"/>
  <c r="Y143" i="138"/>
  <c r="X126" i="138"/>
  <c r="X93" i="139"/>
  <c r="Q130" i="120"/>
  <c r="W158" i="139"/>
  <c r="P141" i="120"/>
  <c r="Y144" i="140"/>
  <c r="Y145" i="140"/>
  <c r="Y143" i="140"/>
  <c r="Z144" i="140"/>
  <c r="Y127" i="140"/>
  <c r="Y142" i="125"/>
  <c r="Y143" i="135"/>
  <c r="Y142" i="137"/>
  <c r="W93" i="138"/>
  <c r="X128" i="135"/>
  <c r="X127" i="135"/>
  <c r="W94" i="129"/>
  <c r="V158" i="138"/>
  <c r="Y125" i="139"/>
  <c r="Y142" i="131"/>
  <c r="Y84" i="135"/>
  <c r="Y91" i="135"/>
  <c r="R129" i="102"/>
  <c r="Y144" i="138"/>
  <c r="Y142" i="138"/>
  <c r="X127" i="138"/>
  <c r="X125" i="138"/>
  <c r="W158" i="137"/>
  <c r="Y143" i="136"/>
  <c r="V158" i="136"/>
  <c r="W93" i="136"/>
  <c r="Y144" i="134"/>
  <c r="Q130" i="102"/>
  <c r="Y144" i="136"/>
  <c r="Y142" i="136"/>
  <c r="V94" i="123"/>
  <c r="Q141" i="114"/>
  <c r="X127" i="136"/>
  <c r="X125" i="136"/>
  <c r="X126" i="136"/>
  <c r="Y142" i="127"/>
  <c r="W159" i="135"/>
  <c r="P140" i="102"/>
  <c r="X126" i="131"/>
  <c r="Y143" i="131"/>
  <c r="Y126" i="129"/>
  <c r="X127" i="131"/>
  <c r="V159" i="134"/>
  <c r="W94" i="134"/>
  <c r="Y78" i="125"/>
  <c r="R125" i="114"/>
  <c r="X122" i="125"/>
  <c r="X128" i="125"/>
  <c r="X130" i="125"/>
  <c r="X128" i="134"/>
  <c r="X126" i="134"/>
  <c r="X94" i="133"/>
  <c r="X127" i="134"/>
  <c r="Y145" i="134"/>
  <c r="Y143" i="134"/>
  <c r="W159" i="133"/>
  <c r="V158" i="132"/>
  <c r="O140" i="112"/>
  <c r="X124" i="125"/>
  <c r="AD95" i="125"/>
  <c r="Z86" i="125"/>
  <c r="Y91" i="127"/>
  <c r="R131" i="116"/>
  <c r="AD95" i="127"/>
  <c r="Z86" i="127"/>
  <c r="Y87" i="132"/>
  <c r="AD96" i="132"/>
  <c r="W134" i="112"/>
  <c r="AD95" i="126"/>
  <c r="Z86" i="126"/>
  <c r="AD95" i="124"/>
  <c r="Z86" i="124"/>
  <c r="Y80" i="125"/>
  <c r="Y82" i="125"/>
  <c r="Y90" i="125"/>
  <c r="R130" i="114"/>
  <c r="Y144" i="131"/>
  <c r="W159" i="129"/>
  <c r="Y143" i="125"/>
  <c r="X126" i="132"/>
  <c r="W92" i="125"/>
  <c r="W158" i="131"/>
  <c r="X123" i="132"/>
  <c r="X127" i="132"/>
  <c r="X125" i="132"/>
  <c r="W129" i="132"/>
  <c r="W131" i="132"/>
  <c r="Y143" i="132"/>
  <c r="X91" i="132"/>
  <c r="Q130" i="112"/>
  <c r="X90" i="132"/>
  <c r="Q129" i="112"/>
  <c r="Y144" i="132"/>
  <c r="Y142" i="132"/>
  <c r="Y81" i="132"/>
  <c r="Y83" i="132"/>
  <c r="Y79" i="132"/>
  <c r="R125" i="112"/>
  <c r="Q141" i="116"/>
  <c r="Y125" i="131"/>
  <c r="W93" i="132"/>
  <c r="Y89" i="132"/>
  <c r="R128" i="112"/>
  <c r="Y92" i="132"/>
  <c r="R131" i="112"/>
  <c r="Y88" i="132"/>
  <c r="R127" i="112"/>
  <c r="Z76" i="132"/>
  <c r="Z77" i="132"/>
  <c r="R133" i="112"/>
  <c r="Y121" i="132"/>
  <c r="Z78" i="132"/>
  <c r="Z82" i="132"/>
  <c r="Y122" i="132"/>
  <c r="Y120" i="132"/>
  <c r="Q141" i="112"/>
  <c r="V158" i="130"/>
  <c r="W93" i="130"/>
  <c r="X89" i="125"/>
  <c r="Q129" i="114"/>
  <c r="Y141" i="125"/>
  <c r="Y141" i="127"/>
  <c r="X126" i="130"/>
  <c r="X127" i="130"/>
  <c r="X125" i="130"/>
  <c r="V158" i="128"/>
  <c r="Y144" i="130"/>
  <c r="Y142" i="130"/>
  <c r="W157" i="127"/>
  <c r="P140" i="116"/>
  <c r="X125" i="126"/>
  <c r="W157" i="125"/>
  <c r="P140" i="114"/>
  <c r="Z76" i="125"/>
  <c r="Z77" i="125"/>
  <c r="X90" i="125"/>
  <c r="Q130" i="114"/>
  <c r="V157" i="126"/>
  <c r="O140" i="115"/>
  <c r="Y121" i="125"/>
  <c r="Y87" i="125"/>
  <c r="R127" i="114"/>
  <c r="Y143" i="127"/>
  <c r="Y78" i="127"/>
  <c r="R125" i="116"/>
  <c r="X126" i="127"/>
  <c r="Z77" i="127"/>
  <c r="S134" i="116"/>
  <c r="X122" i="127"/>
  <c r="X128" i="127"/>
  <c r="X130" i="127"/>
  <c r="R133" i="116"/>
  <c r="Y87" i="127"/>
  <c r="R127" i="116"/>
  <c r="Y80" i="127"/>
  <c r="Y82" i="127"/>
  <c r="R126" i="116"/>
  <c r="X125" i="127"/>
  <c r="Y121" i="127"/>
  <c r="Y119" i="127"/>
  <c r="Y124" i="127"/>
  <c r="Y120" i="127"/>
  <c r="Z76" i="127"/>
  <c r="Z87" i="127"/>
  <c r="S127" i="116"/>
  <c r="Y144" i="128"/>
  <c r="Y142" i="128"/>
  <c r="W93" i="128"/>
  <c r="X126" i="128"/>
  <c r="X127" i="128"/>
  <c r="X125" i="128"/>
  <c r="Y143" i="128"/>
  <c r="Z143" i="128"/>
  <c r="Y119" i="125"/>
  <c r="Y124" i="125"/>
  <c r="R133" i="114"/>
  <c r="S134" i="114"/>
  <c r="Y143" i="122"/>
  <c r="Y120" i="125"/>
  <c r="Y91" i="125"/>
  <c r="R131" i="114"/>
  <c r="S134" i="115"/>
  <c r="Y87" i="126"/>
  <c r="R127" i="115"/>
  <c r="Y88" i="126"/>
  <c r="R128" i="115"/>
  <c r="Y91" i="126"/>
  <c r="R131" i="115"/>
  <c r="R133" i="115"/>
  <c r="Z76" i="126"/>
  <c r="Z77" i="126"/>
  <c r="Y120" i="126"/>
  <c r="Y121" i="126"/>
  <c r="Y119" i="126"/>
  <c r="Y143" i="126"/>
  <c r="Y141" i="126"/>
  <c r="W128" i="126"/>
  <c r="W130" i="126"/>
  <c r="X124" i="126"/>
  <c r="X126" i="126"/>
  <c r="X122" i="126"/>
  <c r="Q141" i="115"/>
  <c r="W92" i="126"/>
  <c r="V157" i="124"/>
  <c r="O140" i="113"/>
  <c r="X89" i="126"/>
  <c r="Q129" i="115"/>
  <c r="Q126" i="115"/>
  <c r="X90" i="126"/>
  <c r="Q130" i="115"/>
  <c r="Y142" i="126"/>
  <c r="Y78" i="126"/>
  <c r="R125" i="115"/>
  <c r="Y80" i="126"/>
  <c r="Y82" i="126"/>
  <c r="R126" i="114"/>
  <c r="Y142" i="124"/>
  <c r="Y143" i="124"/>
  <c r="Y141" i="124"/>
  <c r="Q141" i="113"/>
  <c r="Y87" i="124"/>
  <c r="R127" i="113"/>
  <c r="S134" i="113"/>
  <c r="Y88" i="124"/>
  <c r="R128" i="113"/>
  <c r="Y91" i="124"/>
  <c r="R131" i="113"/>
  <c r="R133" i="113"/>
  <c r="Y121" i="124"/>
  <c r="Y120" i="124"/>
  <c r="Z76" i="124"/>
  <c r="Z77" i="124"/>
  <c r="Y119" i="124"/>
  <c r="Y78" i="124"/>
  <c r="R125" i="113"/>
  <c r="Y80" i="124"/>
  <c r="Y82" i="124"/>
  <c r="X90" i="124"/>
  <c r="Q130" i="113"/>
  <c r="X89" i="124"/>
  <c r="Q129" i="113"/>
  <c r="Q126" i="113"/>
  <c r="V159" i="123"/>
  <c r="X122" i="124"/>
  <c r="X126" i="124"/>
  <c r="X124" i="124"/>
  <c r="X125" i="124"/>
  <c r="W128" i="124"/>
  <c r="W130" i="124"/>
  <c r="X127" i="123"/>
  <c r="X128" i="123"/>
  <c r="X126" i="123"/>
  <c r="Y145" i="123"/>
  <c r="Y143" i="123"/>
  <c r="X125" i="122"/>
  <c r="X126" i="122"/>
  <c r="Y142" i="122"/>
  <c r="Z144" i="123"/>
  <c r="Y144" i="123"/>
  <c r="V158" i="122"/>
  <c r="X127" i="122"/>
  <c r="X144" i="122"/>
  <c r="F16" i="98"/>
  <c r="F17" i="98"/>
  <c r="F12" i="14"/>
  <c r="G21" i="14"/>
  <c r="G37" i="14"/>
  <c r="G36" i="14"/>
  <c r="F13" i="14"/>
  <c r="F11" i="14"/>
  <c r="F14" i="14"/>
  <c r="H78" i="116"/>
  <c r="H78" i="105"/>
  <c r="H78" i="120"/>
  <c r="H78" i="102"/>
  <c r="H78" i="112"/>
  <c r="H78" i="115"/>
  <c r="H78" i="113"/>
  <c r="H78" i="114"/>
  <c r="Z145" i="141"/>
  <c r="Y175" i="141"/>
  <c r="Y177" i="141"/>
  <c r="Y175" i="142"/>
  <c r="Y177" i="142"/>
  <c r="Z175" i="140"/>
  <c r="Z177" i="140"/>
  <c r="Y175" i="143"/>
  <c r="Y177" i="143"/>
  <c r="Q169" i="105"/>
  <c r="O414" i="71"/>
  <c r="Z174" i="136"/>
  <c r="Z176" i="136"/>
  <c r="Y174" i="138"/>
  <c r="Y176" i="138"/>
  <c r="Q169" i="120"/>
  <c r="O338" i="71"/>
  <c r="Y174" i="137"/>
  <c r="Y176" i="137"/>
  <c r="Y174" i="139"/>
  <c r="Y176" i="139"/>
  <c r="Z144" i="133"/>
  <c r="Y175" i="135"/>
  <c r="Y177" i="135"/>
  <c r="Y175" i="134"/>
  <c r="Y177" i="134"/>
  <c r="Q168" i="102"/>
  <c r="O262" i="71"/>
  <c r="Z175" i="129"/>
  <c r="Z177" i="129"/>
  <c r="Y175" i="133"/>
  <c r="Y177" i="133"/>
  <c r="Z174" i="131"/>
  <c r="Z176" i="131"/>
  <c r="AA174" i="128"/>
  <c r="AA176" i="128"/>
  <c r="R168" i="112"/>
  <c r="P186" i="71"/>
  <c r="Z174" i="130"/>
  <c r="Z176" i="130"/>
  <c r="Z174" i="132"/>
  <c r="Z176" i="132"/>
  <c r="Z173" i="126"/>
  <c r="Z175" i="126"/>
  <c r="P110" i="71"/>
  <c r="R168" i="116"/>
  <c r="Z173" i="125"/>
  <c r="Z175" i="125"/>
  <c r="Q53" i="71"/>
  <c r="S168" i="113"/>
  <c r="AA173" i="124"/>
  <c r="AA175" i="124"/>
  <c r="Z173" i="127"/>
  <c r="Z175" i="127"/>
  <c r="P72" i="71"/>
  <c r="R168" i="114"/>
  <c r="R168" i="115"/>
  <c r="AA175" i="123"/>
  <c r="AA177" i="123"/>
  <c r="AA174" i="122"/>
  <c r="AA176" i="122"/>
  <c r="Z142" i="139"/>
  <c r="Z143" i="135"/>
  <c r="Z143" i="141"/>
  <c r="Z126" i="129"/>
  <c r="Y126" i="139"/>
  <c r="Y91" i="139"/>
  <c r="R131" i="120"/>
  <c r="Y90" i="139"/>
  <c r="R130" i="120"/>
  <c r="Z126" i="133"/>
  <c r="Y127" i="139"/>
  <c r="R141" i="114"/>
  <c r="AA78" i="139"/>
  <c r="AA82" i="139"/>
  <c r="Z144" i="139"/>
  <c r="Z84" i="135"/>
  <c r="Z92" i="135"/>
  <c r="S130" i="102"/>
  <c r="Z80" i="135"/>
  <c r="S125" i="102"/>
  <c r="Y127" i="133"/>
  <c r="S141" i="102"/>
  <c r="Z92" i="139"/>
  <c r="S132" i="120"/>
  <c r="Z120" i="139"/>
  <c r="Z125" i="139"/>
  <c r="S134" i="120"/>
  <c r="AE96" i="139"/>
  <c r="X135" i="120"/>
  <c r="AA76" i="139"/>
  <c r="Z144" i="137"/>
  <c r="X92" i="127"/>
  <c r="Z89" i="139"/>
  <c r="S129" i="120"/>
  <c r="Y127" i="135"/>
  <c r="Y128" i="133"/>
  <c r="Y126" i="131"/>
  <c r="Y128" i="135"/>
  <c r="X93" i="137"/>
  <c r="Z127" i="141"/>
  <c r="X94" i="135"/>
  <c r="Z128" i="141"/>
  <c r="Y128" i="141"/>
  <c r="S142" i="120"/>
  <c r="X94" i="142"/>
  <c r="Y127" i="142"/>
  <c r="X159" i="143"/>
  <c r="Q141" i="105"/>
  <c r="Y94" i="143"/>
  <c r="R130" i="105"/>
  <c r="Z127" i="143"/>
  <c r="Y94" i="141"/>
  <c r="AA82" i="143"/>
  <c r="AA84" i="143"/>
  <c r="AA80" i="143"/>
  <c r="T126" i="105"/>
  <c r="AA90" i="143"/>
  <c r="T129" i="105"/>
  <c r="AA93" i="143"/>
  <c r="T132" i="105"/>
  <c r="AB77" i="143"/>
  <c r="AB76" i="143"/>
  <c r="AB78" i="143"/>
  <c r="AB83" i="143"/>
  <c r="T134" i="105"/>
  <c r="AA123" i="143"/>
  <c r="AA122" i="143"/>
  <c r="AA121" i="143"/>
  <c r="W159" i="142"/>
  <c r="Z92" i="143"/>
  <c r="S131" i="105"/>
  <c r="Z91" i="143"/>
  <c r="S130" i="105"/>
  <c r="AA144" i="143"/>
  <c r="S142" i="105"/>
  <c r="Z126" i="143"/>
  <c r="Z124" i="143"/>
  <c r="Z128" i="143"/>
  <c r="AA145" i="143"/>
  <c r="AA143" i="143"/>
  <c r="X159" i="141"/>
  <c r="Y130" i="143"/>
  <c r="Y132" i="143"/>
  <c r="Z81" i="139"/>
  <c r="Z83" i="139"/>
  <c r="Z90" i="139"/>
  <c r="Z144" i="142"/>
  <c r="Y127" i="137"/>
  <c r="Y124" i="135"/>
  <c r="Y130" i="135"/>
  <c r="Y132" i="135"/>
  <c r="Y128" i="142"/>
  <c r="Y126" i="142"/>
  <c r="Z143" i="133"/>
  <c r="Z145" i="135"/>
  <c r="Z145" i="142"/>
  <c r="Z143" i="142"/>
  <c r="Y126" i="133"/>
  <c r="Y92" i="135"/>
  <c r="R130" i="102"/>
  <c r="Z121" i="135"/>
  <c r="Z126" i="135"/>
  <c r="Z90" i="135"/>
  <c r="S128" i="102"/>
  <c r="Z142" i="137"/>
  <c r="Y123" i="139"/>
  <c r="Y129" i="139"/>
  <c r="Y131" i="139"/>
  <c r="Y126" i="137"/>
  <c r="Z121" i="139"/>
  <c r="Z87" i="139"/>
  <c r="S127" i="120"/>
  <c r="Z79" i="139"/>
  <c r="S126" i="120"/>
  <c r="X94" i="140"/>
  <c r="X94" i="129"/>
  <c r="Y94" i="133"/>
  <c r="AA77" i="139"/>
  <c r="AA79" i="139"/>
  <c r="T126" i="120"/>
  <c r="Z122" i="139"/>
  <c r="Z88" i="139"/>
  <c r="S128" i="120"/>
  <c r="W159" i="140"/>
  <c r="Z143" i="139"/>
  <c r="X158" i="139"/>
  <c r="Q141" i="120"/>
  <c r="Y128" i="140"/>
  <c r="Y126" i="140"/>
  <c r="AA78" i="135"/>
  <c r="AA83" i="135"/>
  <c r="S133" i="102"/>
  <c r="Z89" i="135"/>
  <c r="S127" i="102"/>
  <c r="Z145" i="140"/>
  <c r="Z143" i="140"/>
  <c r="Z145" i="133"/>
  <c r="R141" i="102"/>
  <c r="W158" i="138"/>
  <c r="Z123" i="135"/>
  <c r="X126" i="102"/>
  <c r="AA76" i="135"/>
  <c r="AE97" i="135"/>
  <c r="X134" i="102"/>
  <c r="Y93" i="137"/>
  <c r="X93" i="138"/>
  <c r="Z122" i="135"/>
  <c r="AA77" i="135"/>
  <c r="AA82" i="135"/>
  <c r="Z93" i="135"/>
  <c r="S131" i="102"/>
  <c r="Z125" i="137"/>
  <c r="Z143" i="138"/>
  <c r="Y127" i="138"/>
  <c r="Y125" i="138"/>
  <c r="Z144" i="138"/>
  <c r="Z142" i="138"/>
  <c r="Y126" i="138"/>
  <c r="X158" i="137"/>
  <c r="W158" i="136"/>
  <c r="X93" i="136"/>
  <c r="Y126" i="136"/>
  <c r="X159" i="135"/>
  <c r="Q140" i="102"/>
  <c r="Z143" i="136"/>
  <c r="Z142" i="136"/>
  <c r="Z144" i="136"/>
  <c r="AA93" i="135"/>
  <c r="T131" i="102"/>
  <c r="Y126" i="132"/>
  <c r="Y127" i="136"/>
  <c r="Y125" i="136"/>
  <c r="W159" i="134"/>
  <c r="X94" i="134"/>
  <c r="Z142" i="131"/>
  <c r="Z142" i="125"/>
  <c r="Z143" i="134"/>
  <c r="Z145" i="134"/>
  <c r="Y127" i="134"/>
  <c r="Y128" i="134"/>
  <c r="Y126" i="134"/>
  <c r="Z144" i="134"/>
  <c r="X159" i="133"/>
  <c r="AA86" i="124"/>
  <c r="AE95" i="124"/>
  <c r="Z88" i="127"/>
  <c r="S128" i="116"/>
  <c r="AE95" i="127"/>
  <c r="AA86" i="127"/>
  <c r="AE95" i="125"/>
  <c r="AA86" i="125"/>
  <c r="X159" i="129"/>
  <c r="Y89" i="125"/>
  <c r="R129" i="114"/>
  <c r="Z143" i="132"/>
  <c r="Z87" i="132"/>
  <c r="AE96" i="132"/>
  <c r="X134" i="112"/>
  <c r="W158" i="132"/>
  <c r="P140" i="112"/>
  <c r="AE95" i="126"/>
  <c r="AA86" i="126"/>
  <c r="Z144" i="129"/>
  <c r="Z144" i="131"/>
  <c r="X93" i="132"/>
  <c r="Q126" i="112"/>
  <c r="Y127" i="129"/>
  <c r="X158" i="131"/>
  <c r="Z125" i="131"/>
  <c r="Z143" i="131"/>
  <c r="R141" i="112"/>
  <c r="X92" i="125"/>
  <c r="Y128" i="129"/>
  <c r="Z80" i="125"/>
  <c r="Z82" i="125"/>
  <c r="Z89" i="125"/>
  <c r="S129" i="114"/>
  <c r="Y127" i="131"/>
  <c r="Z143" i="129"/>
  <c r="Z81" i="132"/>
  <c r="Z83" i="132"/>
  <c r="Z79" i="132"/>
  <c r="S125" i="112"/>
  <c r="Y91" i="132"/>
  <c r="R130" i="112"/>
  <c r="Y90" i="132"/>
  <c r="R129" i="112"/>
  <c r="R126" i="112"/>
  <c r="X129" i="132"/>
  <c r="X131" i="132"/>
  <c r="Y127" i="132"/>
  <c r="Y125" i="132"/>
  <c r="Y123" i="132"/>
  <c r="AA87" i="132"/>
  <c r="Z141" i="125"/>
  <c r="Y126" i="125"/>
  <c r="Z141" i="127"/>
  <c r="Y126" i="130"/>
  <c r="Z144" i="132"/>
  <c r="Z142" i="132"/>
  <c r="S133" i="112"/>
  <c r="Z92" i="132"/>
  <c r="S131" i="112"/>
  <c r="Z88" i="132"/>
  <c r="S127" i="112"/>
  <c r="Z89" i="132"/>
  <c r="S128" i="112"/>
  <c r="AA76" i="132"/>
  <c r="AA77" i="132"/>
  <c r="AA78" i="132"/>
  <c r="AA82" i="132"/>
  <c r="Z122" i="132"/>
  <c r="Z121" i="132"/>
  <c r="Z120" i="132"/>
  <c r="Z143" i="125"/>
  <c r="Z142" i="127"/>
  <c r="Z145" i="129"/>
  <c r="Z78" i="125"/>
  <c r="S125" i="114"/>
  <c r="W158" i="130"/>
  <c r="W158" i="128"/>
  <c r="Z143" i="130"/>
  <c r="Z78" i="127"/>
  <c r="S125" i="116"/>
  <c r="Y127" i="130"/>
  <c r="Y125" i="130"/>
  <c r="X93" i="130"/>
  <c r="Y122" i="125"/>
  <c r="Y128" i="125"/>
  <c r="Y130" i="125"/>
  <c r="Z144" i="130"/>
  <c r="Z142" i="130"/>
  <c r="X157" i="125"/>
  <c r="Q140" i="114"/>
  <c r="Y125" i="125"/>
  <c r="Z119" i="125"/>
  <c r="Z124" i="125"/>
  <c r="Z143" i="127"/>
  <c r="R141" i="116"/>
  <c r="Y126" i="127"/>
  <c r="X157" i="127"/>
  <c r="Q140" i="116"/>
  <c r="AA77" i="125"/>
  <c r="W157" i="126"/>
  <c r="P140" i="115"/>
  <c r="Z80" i="127"/>
  <c r="Z82" i="127"/>
  <c r="Z89" i="127"/>
  <c r="S129" i="116"/>
  <c r="Y126" i="128"/>
  <c r="Y90" i="127"/>
  <c r="R130" i="116"/>
  <c r="Y122" i="127"/>
  <c r="Y128" i="127"/>
  <c r="Y130" i="127"/>
  <c r="Z120" i="127"/>
  <c r="AA77" i="127"/>
  <c r="Z91" i="127"/>
  <c r="S131" i="116"/>
  <c r="Y89" i="127"/>
  <c r="Z119" i="127"/>
  <c r="AA76" i="127"/>
  <c r="S133" i="116"/>
  <c r="Y125" i="127"/>
  <c r="Z121" i="127"/>
  <c r="Z87" i="125"/>
  <c r="S127" i="114"/>
  <c r="Z121" i="125"/>
  <c r="Z120" i="125"/>
  <c r="S133" i="114"/>
  <c r="Z91" i="125"/>
  <c r="S131" i="114"/>
  <c r="X92" i="126"/>
  <c r="T133" i="116"/>
  <c r="Y125" i="128"/>
  <c r="Y127" i="128"/>
  <c r="X93" i="128"/>
  <c r="AA143" i="128"/>
  <c r="Z144" i="128"/>
  <c r="Z142" i="128"/>
  <c r="AA76" i="125"/>
  <c r="Z88" i="125"/>
  <c r="S128" i="114"/>
  <c r="Z142" i="126"/>
  <c r="Y125" i="126"/>
  <c r="S126" i="116"/>
  <c r="AA120" i="125"/>
  <c r="AB86" i="126"/>
  <c r="Z141" i="126"/>
  <c r="Z143" i="126"/>
  <c r="R141" i="115"/>
  <c r="Y124" i="126"/>
  <c r="Y122" i="126"/>
  <c r="Y126" i="126"/>
  <c r="W157" i="124"/>
  <c r="P140" i="113"/>
  <c r="Z88" i="126"/>
  <c r="S128" i="115"/>
  <c r="Z91" i="126"/>
  <c r="S131" i="115"/>
  <c r="Z87" i="126"/>
  <c r="S127" i="115"/>
  <c r="S133" i="115"/>
  <c r="AA77" i="126"/>
  <c r="AA76" i="126"/>
  <c r="Z120" i="126"/>
  <c r="Z121" i="126"/>
  <c r="Z119" i="126"/>
  <c r="Z80" i="126"/>
  <c r="Z82" i="126"/>
  <c r="Z78" i="126"/>
  <c r="S125" i="115"/>
  <c r="Y90" i="126"/>
  <c r="R130" i="115"/>
  <c r="Y89" i="126"/>
  <c r="R129" i="115"/>
  <c r="R126" i="115"/>
  <c r="X128" i="126"/>
  <c r="X130" i="126"/>
  <c r="S126" i="114"/>
  <c r="X92" i="124"/>
  <c r="Z142" i="124"/>
  <c r="Y126" i="124"/>
  <c r="Y124" i="124"/>
  <c r="Y122" i="124"/>
  <c r="Y125" i="124"/>
  <c r="Z88" i="124"/>
  <c r="S128" i="113"/>
  <c r="Z91" i="124"/>
  <c r="S131" i="113"/>
  <c r="S133" i="113"/>
  <c r="Z87" i="124"/>
  <c r="S127" i="113"/>
  <c r="AA77" i="124"/>
  <c r="Z120" i="124"/>
  <c r="AA76" i="124"/>
  <c r="Z121" i="124"/>
  <c r="Z119" i="124"/>
  <c r="Z143" i="124"/>
  <c r="Z141" i="124"/>
  <c r="R141" i="113"/>
  <c r="W159" i="123"/>
  <c r="X128" i="124"/>
  <c r="X130" i="124"/>
  <c r="Y90" i="124"/>
  <c r="R130" i="113"/>
  <c r="Y89" i="124"/>
  <c r="R129" i="113"/>
  <c r="R126" i="113"/>
  <c r="Z80" i="124"/>
  <c r="Z82" i="124"/>
  <c r="Z78" i="124"/>
  <c r="S125" i="113"/>
  <c r="W93" i="122"/>
  <c r="W94" i="123"/>
  <c r="Y126" i="122"/>
  <c r="Z142" i="122"/>
  <c r="Z143" i="122"/>
  <c r="Z143" i="123"/>
  <c r="Z145" i="123"/>
  <c r="Y127" i="123"/>
  <c r="Y125" i="122"/>
  <c r="Y126" i="123"/>
  <c r="Y128" i="123"/>
  <c r="W158" i="122"/>
  <c r="Y127" i="122"/>
  <c r="Y144" i="122"/>
  <c r="H83" i="120"/>
  <c r="H82" i="120"/>
  <c r="H88" i="120"/>
  <c r="H81" i="120"/>
  <c r="H102" i="120"/>
  <c r="H104" i="120"/>
  <c r="H91" i="120"/>
  <c r="H84" i="120"/>
  <c r="H92" i="120"/>
  <c r="H103" i="112"/>
  <c r="H103" i="116"/>
  <c r="H103" i="115"/>
  <c r="H103" i="114"/>
  <c r="H103" i="113"/>
  <c r="H87" i="112"/>
  <c r="H87" i="116"/>
  <c r="H87" i="115"/>
  <c r="H87" i="113"/>
  <c r="H87" i="114"/>
  <c r="H101" i="112"/>
  <c r="H101" i="116"/>
  <c r="H101" i="115"/>
  <c r="H101" i="114"/>
  <c r="H101" i="113"/>
  <c r="H90" i="112"/>
  <c r="H90" i="116"/>
  <c r="H90" i="115"/>
  <c r="H90" i="114"/>
  <c r="H90" i="113"/>
  <c r="H76" i="115"/>
  <c r="H76" i="114"/>
  <c r="H76" i="113"/>
  <c r="H91" i="116"/>
  <c r="H91" i="115"/>
  <c r="H91" i="114"/>
  <c r="H91" i="113"/>
  <c r="H91" i="112"/>
  <c r="H102" i="105"/>
  <c r="H101" i="102"/>
  <c r="H88" i="105"/>
  <c r="H87" i="102"/>
  <c r="H83" i="105"/>
  <c r="H104" i="105"/>
  <c r="H91" i="105"/>
  <c r="H84" i="105"/>
  <c r="H82" i="105"/>
  <c r="H92" i="105"/>
  <c r="H81" i="105"/>
  <c r="H103" i="102"/>
  <c r="H90" i="102"/>
  <c r="H91" i="102"/>
  <c r="F18" i="98"/>
  <c r="F29" i="98"/>
  <c r="F40" i="98"/>
  <c r="Z175" i="142"/>
  <c r="Z177" i="142"/>
  <c r="R169" i="105"/>
  <c r="P414" i="71"/>
  <c r="Z175" i="143"/>
  <c r="Z177" i="143"/>
  <c r="AA175" i="140"/>
  <c r="AA177" i="140"/>
  <c r="Z175" i="141"/>
  <c r="Z177" i="141"/>
  <c r="AA174" i="136"/>
  <c r="AA176" i="136"/>
  <c r="R169" i="120"/>
  <c r="P338" i="71"/>
  <c r="Z174" i="138"/>
  <c r="Z176" i="138"/>
  <c r="Z174" i="137"/>
  <c r="Z176" i="137"/>
  <c r="Z174" i="139"/>
  <c r="Z176" i="139"/>
  <c r="Z175" i="134"/>
  <c r="Z177" i="134"/>
  <c r="Z175" i="135"/>
  <c r="Z177" i="135"/>
  <c r="R168" i="102"/>
  <c r="P262" i="71"/>
  <c r="AA175" i="129"/>
  <c r="AA177" i="129"/>
  <c r="Z175" i="133"/>
  <c r="Z177" i="133"/>
  <c r="AA174" i="131"/>
  <c r="AA176" i="131"/>
  <c r="Q186" i="71"/>
  <c r="S168" i="112"/>
  <c r="AA174" i="130"/>
  <c r="AA176" i="130"/>
  <c r="AA174" i="132"/>
  <c r="AA176" i="132"/>
  <c r="T168" i="113"/>
  <c r="R53" i="71"/>
  <c r="AB86" i="124"/>
  <c r="AA173" i="126"/>
  <c r="AA175" i="126"/>
  <c r="Q110" i="71"/>
  <c r="S168" i="116"/>
  <c r="AA173" i="125"/>
  <c r="AA175" i="125"/>
  <c r="AA173" i="127"/>
  <c r="AA175" i="127"/>
  <c r="Q72" i="71"/>
  <c r="S168" i="114"/>
  <c r="S168" i="115"/>
  <c r="AB175" i="123"/>
  <c r="AB177" i="123"/>
  <c r="AA144" i="135"/>
  <c r="AA121" i="139"/>
  <c r="Z90" i="125"/>
  <c r="S130" i="114"/>
  <c r="Y94" i="129"/>
  <c r="Z91" i="139"/>
  <c r="S131" i="120"/>
  <c r="Z126" i="141"/>
  <c r="AA143" i="139"/>
  <c r="T141" i="102"/>
  <c r="AA145" i="135"/>
  <c r="Y93" i="139"/>
  <c r="AA125" i="137"/>
  <c r="Z91" i="135"/>
  <c r="S129" i="102"/>
  <c r="AA81" i="139"/>
  <c r="AA83" i="139"/>
  <c r="AA90" i="139"/>
  <c r="T130" i="120"/>
  <c r="AA144" i="141"/>
  <c r="AA143" i="135"/>
  <c r="AA143" i="129"/>
  <c r="AA87" i="139"/>
  <c r="T127" i="120"/>
  <c r="AB78" i="139"/>
  <c r="AB82" i="139"/>
  <c r="AB143" i="141"/>
  <c r="Z123" i="139"/>
  <c r="AB144" i="143"/>
  <c r="AA144" i="129"/>
  <c r="AA145" i="141"/>
  <c r="AA143" i="141"/>
  <c r="S141" i="114"/>
  <c r="AB77" i="127"/>
  <c r="AA142" i="127"/>
  <c r="Z127" i="135"/>
  <c r="Z128" i="133"/>
  <c r="Z127" i="139"/>
  <c r="T142" i="120"/>
  <c r="Y159" i="143"/>
  <c r="R141" i="105"/>
  <c r="Z94" i="143"/>
  <c r="X159" i="142"/>
  <c r="AB93" i="143"/>
  <c r="U132" i="105"/>
  <c r="AB90" i="143"/>
  <c r="U129" i="105"/>
  <c r="AB89" i="143"/>
  <c r="U128" i="105"/>
  <c r="AC77" i="143"/>
  <c r="AC78" i="143"/>
  <c r="AC83" i="143"/>
  <c r="U134" i="105"/>
  <c r="AC76" i="143"/>
  <c r="AB122" i="143"/>
  <c r="AB123" i="143"/>
  <c r="AB121" i="143"/>
  <c r="O99" i="142"/>
  <c r="O101" i="142"/>
  <c r="O113" i="142"/>
  <c r="O163" i="142"/>
  <c r="O99" i="143"/>
  <c r="O101" i="143"/>
  <c r="O113" i="143"/>
  <c r="O163" i="143"/>
  <c r="AA144" i="139"/>
  <c r="Z94" i="141"/>
  <c r="Y94" i="142"/>
  <c r="AA142" i="139"/>
  <c r="AA126" i="143"/>
  <c r="AA124" i="143"/>
  <c r="AA128" i="143"/>
  <c r="AA127" i="143"/>
  <c r="AA92" i="143"/>
  <c r="T131" i="105"/>
  <c r="AA91" i="143"/>
  <c r="Y159" i="141"/>
  <c r="T142" i="105"/>
  <c r="Z130" i="143"/>
  <c r="Z132" i="143"/>
  <c r="AB145" i="143"/>
  <c r="AB143" i="143"/>
  <c r="AB80" i="143"/>
  <c r="U126" i="105"/>
  <c r="AB82" i="143"/>
  <c r="AB84" i="143"/>
  <c r="Z127" i="142"/>
  <c r="AA144" i="142"/>
  <c r="AA145" i="142"/>
  <c r="AA143" i="142"/>
  <c r="AA126" i="131"/>
  <c r="AA143" i="137"/>
  <c r="Z127" i="137"/>
  <c r="Z128" i="142"/>
  <c r="Z126" i="142"/>
  <c r="O99" i="140"/>
  <c r="O101" i="140"/>
  <c r="O113" i="140"/>
  <c r="O163" i="140"/>
  <c r="O99" i="141"/>
  <c r="O101" i="141"/>
  <c r="O113" i="141"/>
  <c r="O163" i="141"/>
  <c r="AA84" i="135"/>
  <c r="AA92" i="135"/>
  <c r="T130" i="102"/>
  <c r="AA142" i="137"/>
  <c r="AB77" i="139"/>
  <c r="T134" i="120"/>
  <c r="AA89" i="139"/>
  <c r="T129" i="120"/>
  <c r="Z126" i="139"/>
  <c r="Y94" i="140"/>
  <c r="X159" i="140"/>
  <c r="Y94" i="135"/>
  <c r="AA120" i="139"/>
  <c r="AA125" i="139"/>
  <c r="AA122" i="139"/>
  <c r="AA92" i="139"/>
  <c r="T132" i="120"/>
  <c r="Z127" i="140"/>
  <c r="AB76" i="139"/>
  <c r="AA126" i="141"/>
  <c r="Y158" i="139"/>
  <c r="R141" i="120"/>
  <c r="AA80" i="135"/>
  <c r="T125" i="102"/>
  <c r="AA144" i="133"/>
  <c r="AA144" i="140"/>
  <c r="AA145" i="140"/>
  <c r="AA143" i="140"/>
  <c r="Z90" i="127"/>
  <c r="S130" i="116"/>
  <c r="Z93" i="139"/>
  <c r="S130" i="120"/>
  <c r="Z126" i="140"/>
  <c r="Z128" i="140"/>
  <c r="Z127" i="129"/>
  <c r="AA145" i="129"/>
  <c r="AA143" i="133"/>
  <c r="Z127" i="133"/>
  <c r="AA145" i="133"/>
  <c r="AA144" i="137"/>
  <c r="Z129" i="139"/>
  <c r="Z131" i="139"/>
  <c r="Z128" i="129"/>
  <c r="Z128" i="135"/>
  <c r="Z126" i="137"/>
  <c r="AA126" i="139"/>
  <c r="AB121" i="139"/>
  <c r="Y93" i="138"/>
  <c r="AA126" i="133"/>
  <c r="Z124" i="135"/>
  <c r="Z130" i="135"/>
  <c r="Z132" i="135"/>
  <c r="X158" i="138"/>
  <c r="AA123" i="135"/>
  <c r="Z93" i="137"/>
  <c r="AA144" i="138"/>
  <c r="AA142" i="138"/>
  <c r="AA143" i="138"/>
  <c r="Z126" i="138"/>
  <c r="Z125" i="138"/>
  <c r="Z127" i="138"/>
  <c r="Y158" i="137"/>
  <c r="Z126" i="136"/>
  <c r="X158" i="136"/>
  <c r="AA80" i="127"/>
  <c r="AA82" i="127"/>
  <c r="AA90" i="127"/>
  <c r="T130" i="116"/>
  <c r="Y93" i="136"/>
  <c r="Z122" i="125"/>
  <c r="Z128" i="125"/>
  <c r="Z130" i="125"/>
  <c r="AA122" i="135"/>
  <c r="AB76" i="135"/>
  <c r="AA90" i="135"/>
  <c r="T128" i="102"/>
  <c r="Z125" i="136"/>
  <c r="Z127" i="136"/>
  <c r="AA143" i="136"/>
  <c r="AB77" i="135"/>
  <c r="T133" i="102"/>
  <c r="Y159" i="135"/>
  <c r="R140" i="102"/>
  <c r="AA144" i="136"/>
  <c r="AA142" i="136"/>
  <c r="AA121" i="135"/>
  <c r="AB78" i="135"/>
  <c r="AB83" i="135"/>
  <c r="Y94" i="134"/>
  <c r="O99" i="134"/>
  <c r="O101" i="134"/>
  <c r="O113" i="134"/>
  <c r="O163" i="134"/>
  <c r="O99" i="135"/>
  <c r="O101" i="135"/>
  <c r="O113" i="135"/>
  <c r="O163" i="135"/>
  <c r="AA127" i="133"/>
  <c r="S141" i="116"/>
  <c r="X159" i="134"/>
  <c r="Z127" i="134"/>
  <c r="AA144" i="134"/>
  <c r="AA141" i="127"/>
  <c r="Z126" i="131"/>
  <c r="AA145" i="134"/>
  <c r="AA143" i="134"/>
  <c r="AA144" i="131"/>
  <c r="Z94" i="133"/>
  <c r="Z126" i="134"/>
  <c r="Z128" i="134"/>
  <c r="Y159" i="133"/>
  <c r="Y159" i="129"/>
  <c r="Y92" i="125"/>
  <c r="AB86" i="125"/>
  <c r="AA88" i="127"/>
  <c r="T128" i="116"/>
  <c r="AB86" i="127"/>
  <c r="X158" i="132"/>
  <c r="Q140" i="112"/>
  <c r="O99" i="133"/>
  <c r="O101" i="133"/>
  <c r="O113" i="133"/>
  <c r="O163" i="133"/>
  <c r="O96" i="126"/>
  <c r="O97" i="126"/>
  <c r="O99" i="126"/>
  <c r="O111" i="126"/>
  <c r="O161" i="126"/>
  <c r="O99" i="129"/>
  <c r="O101" i="129"/>
  <c r="O113" i="129"/>
  <c r="O163" i="129"/>
  <c r="O96" i="127"/>
  <c r="O97" i="127"/>
  <c r="O99" i="127"/>
  <c r="O111" i="127"/>
  <c r="O161" i="127"/>
  <c r="O96" i="124"/>
  <c r="H135" i="113"/>
  <c r="O96" i="125"/>
  <c r="O97" i="125"/>
  <c r="O99" i="125"/>
  <c r="O111" i="125"/>
  <c r="O161" i="125"/>
  <c r="Z125" i="127"/>
  <c r="Y158" i="131"/>
  <c r="AA143" i="131"/>
  <c r="Z127" i="131"/>
  <c r="AA143" i="132"/>
  <c r="S141" i="112"/>
  <c r="AA144" i="132"/>
  <c r="AA142" i="132"/>
  <c r="AB87" i="132"/>
  <c r="T133" i="114"/>
  <c r="AA142" i="131"/>
  <c r="Z126" i="132"/>
  <c r="AA81" i="132"/>
  <c r="AA83" i="132"/>
  <c r="AA79" i="132"/>
  <c r="T125" i="112"/>
  <c r="T133" i="112"/>
  <c r="AA89" i="132"/>
  <c r="T128" i="112"/>
  <c r="AA92" i="132"/>
  <c r="T131" i="112"/>
  <c r="AB77" i="132"/>
  <c r="AB76" i="132"/>
  <c r="AA122" i="132"/>
  <c r="AA121" i="132"/>
  <c r="AB78" i="132"/>
  <c r="AB82" i="132"/>
  <c r="AA120" i="132"/>
  <c r="Y129" i="132"/>
  <c r="Y131" i="132"/>
  <c r="Z123" i="132"/>
  <c r="Z127" i="132"/>
  <c r="Z125" i="132"/>
  <c r="Y93" i="132"/>
  <c r="S126" i="112"/>
  <c r="Z91" i="132"/>
  <c r="S130" i="112"/>
  <c r="Z90" i="132"/>
  <c r="S129" i="112"/>
  <c r="Z126" i="125"/>
  <c r="AA121" i="125"/>
  <c r="AA121" i="127"/>
  <c r="U134" i="116"/>
  <c r="AA126" i="129"/>
  <c r="AB76" i="127"/>
  <c r="X158" i="130"/>
  <c r="AB76" i="125"/>
  <c r="AB77" i="125"/>
  <c r="AA120" i="127"/>
  <c r="AA91" i="127"/>
  <c r="T131" i="116"/>
  <c r="X158" i="128"/>
  <c r="AA78" i="127"/>
  <c r="T125" i="116"/>
  <c r="AA143" i="130"/>
  <c r="Y93" i="130"/>
  <c r="U134" i="114"/>
  <c r="AA119" i="127"/>
  <c r="Z126" i="130"/>
  <c r="Z125" i="130"/>
  <c r="Z127" i="130"/>
  <c r="AA80" i="125"/>
  <c r="AA82" i="125"/>
  <c r="AA89" i="125"/>
  <c r="T129" i="114"/>
  <c r="AA144" i="130"/>
  <c r="AA142" i="130"/>
  <c r="AA143" i="127"/>
  <c r="AA142" i="125"/>
  <c r="Z122" i="127"/>
  <c r="Z128" i="127"/>
  <c r="Z130" i="127"/>
  <c r="Y157" i="125"/>
  <c r="R140" i="114"/>
  <c r="AA78" i="125"/>
  <c r="T125" i="114"/>
  <c r="Y157" i="127"/>
  <c r="R140" i="116"/>
  <c r="AA143" i="125"/>
  <c r="Y92" i="127"/>
  <c r="R129" i="116"/>
  <c r="Z94" i="129"/>
  <c r="X157" i="126"/>
  <c r="Q140" i="115"/>
  <c r="Z126" i="128"/>
  <c r="Z124" i="127"/>
  <c r="Z126" i="127"/>
  <c r="AA142" i="126"/>
  <c r="AA141" i="125"/>
  <c r="AA91" i="125"/>
  <c r="T131" i="114"/>
  <c r="Z125" i="125"/>
  <c r="Y92" i="126"/>
  <c r="Z125" i="128"/>
  <c r="Z127" i="128"/>
  <c r="AA144" i="128"/>
  <c r="AA142" i="128"/>
  <c r="X93" i="122"/>
  <c r="AA119" i="125"/>
  <c r="AA88" i="125"/>
  <c r="T128" i="114"/>
  <c r="Y93" i="128"/>
  <c r="AA89" i="127"/>
  <c r="T129" i="116"/>
  <c r="T126" i="116"/>
  <c r="Z122" i="126"/>
  <c r="Z126" i="126"/>
  <c r="Z124" i="126"/>
  <c r="Z125" i="126"/>
  <c r="Y128" i="126"/>
  <c r="Y130" i="126"/>
  <c r="S141" i="115"/>
  <c r="AC86" i="126"/>
  <c r="Z90" i="126"/>
  <c r="S130" i="115"/>
  <c r="Z89" i="126"/>
  <c r="S129" i="115"/>
  <c r="S126" i="115"/>
  <c r="AA91" i="126"/>
  <c r="T131" i="115"/>
  <c r="U134" i="115"/>
  <c r="AA88" i="126"/>
  <c r="T128" i="115"/>
  <c r="AB77" i="126"/>
  <c r="T133" i="115"/>
  <c r="AB76" i="126"/>
  <c r="AA120" i="126"/>
  <c r="AA121" i="126"/>
  <c r="AB142" i="126"/>
  <c r="AA119" i="126"/>
  <c r="X157" i="124"/>
  <c r="Q140" i="113"/>
  <c r="AA143" i="126"/>
  <c r="AA141" i="126"/>
  <c r="AA80" i="126"/>
  <c r="AA82" i="126"/>
  <c r="AA78" i="126"/>
  <c r="T125" i="115"/>
  <c r="AA143" i="122"/>
  <c r="X94" i="123"/>
  <c r="Z125" i="124"/>
  <c r="T126" i="114"/>
  <c r="AA142" i="124"/>
  <c r="S141" i="113"/>
  <c r="AA143" i="124"/>
  <c r="AA141" i="124"/>
  <c r="AA80" i="124"/>
  <c r="AA82" i="124"/>
  <c r="AA78" i="124"/>
  <c r="T125" i="113"/>
  <c r="O99" i="123"/>
  <c r="O101" i="123"/>
  <c r="O113" i="123"/>
  <c r="O163" i="123"/>
  <c r="Z90" i="124"/>
  <c r="S130" i="113"/>
  <c r="Z89" i="124"/>
  <c r="S129" i="113"/>
  <c r="S126" i="113"/>
  <c r="Y128" i="124"/>
  <c r="Y130" i="124"/>
  <c r="Y92" i="124"/>
  <c r="X159" i="123"/>
  <c r="Z124" i="124"/>
  <c r="Z122" i="124"/>
  <c r="Z126" i="124"/>
  <c r="U134" i="113"/>
  <c r="AA91" i="124"/>
  <c r="T131" i="113"/>
  <c r="AA88" i="124"/>
  <c r="T128" i="113"/>
  <c r="AA120" i="124"/>
  <c r="AA121" i="124"/>
  <c r="T133" i="113"/>
  <c r="AB77" i="124"/>
  <c r="AB76" i="124"/>
  <c r="AA119" i="124"/>
  <c r="Y93" i="122"/>
  <c r="Z126" i="122"/>
  <c r="AA144" i="123"/>
  <c r="AA145" i="123"/>
  <c r="AA143" i="123"/>
  <c r="H105" i="112"/>
  <c r="F182" i="71"/>
  <c r="AA142" i="122"/>
  <c r="Z127" i="123"/>
  <c r="AB144" i="123"/>
  <c r="Z125" i="122"/>
  <c r="O98" i="122"/>
  <c r="O100" i="122"/>
  <c r="O112" i="122"/>
  <c r="O162" i="122"/>
  <c r="Z126" i="123"/>
  <c r="Z128" i="123"/>
  <c r="X158" i="122"/>
  <c r="Z144" i="122"/>
  <c r="Z127" i="122"/>
  <c r="H105" i="114"/>
  <c r="H105" i="115"/>
  <c r="H105" i="116"/>
  <c r="H105" i="113"/>
  <c r="H135" i="112"/>
  <c r="H105" i="102"/>
  <c r="F258" i="71"/>
  <c r="H135" i="102"/>
  <c r="H136" i="102"/>
  <c r="AA175" i="143"/>
  <c r="AA177" i="143"/>
  <c r="AB175" i="140"/>
  <c r="AB177" i="140"/>
  <c r="AA175" i="141"/>
  <c r="AA177" i="141"/>
  <c r="AA175" i="142"/>
  <c r="AA177" i="142"/>
  <c r="S169" i="105"/>
  <c r="Q414" i="71"/>
  <c r="AB174" i="136"/>
  <c r="AB176" i="136"/>
  <c r="AA174" i="137"/>
  <c r="AA176" i="137"/>
  <c r="Q338" i="71"/>
  <c r="S169" i="120"/>
  <c r="AA174" i="138"/>
  <c r="AA176" i="138"/>
  <c r="AA174" i="139"/>
  <c r="AA176" i="139"/>
  <c r="AA175" i="134"/>
  <c r="AA177" i="134"/>
  <c r="AB175" i="129"/>
  <c r="AB177" i="129"/>
  <c r="AA175" i="135"/>
  <c r="AA177" i="135"/>
  <c r="AA175" i="133"/>
  <c r="AA177" i="133"/>
  <c r="S168" i="102"/>
  <c r="Q262" i="71"/>
  <c r="R186" i="71"/>
  <c r="T168" i="112"/>
  <c r="AB174" i="128"/>
  <c r="AB176" i="128"/>
  <c r="AB173" i="124"/>
  <c r="AB175" i="124"/>
  <c r="AC86" i="124"/>
  <c r="R110" i="71"/>
  <c r="T168" i="116"/>
  <c r="R72" i="71"/>
  <c r="T168" i="114"/>
  <c r="T168" i="115"/>
  <c r="AC175" i="123"/>
  <c r="AC177" i="123"/>
  <c r="AB174" i="122"/>
  <c r="AB176" i="122"/>
  <c r="Z94" i="135"/>
  <c r="AC77" i="139"/>
  <c r="AB88" i="139"/>
  <c r="U128" i="120"/>
  <c r="AC78" i="139"/>
  <c r="AC82" i="139"/>
  <c r="AB122" i="139"/>
  <c r="AB143" i="137"/>
  <c r="AB92" i="139"/>
  <c r="U132" i="120"/>
  <c r="Z92" i="125"/>
  <c r="AB143" i="131"/>
  <c r="AB122" i="135"/>
  <c r="AA91" i="139"/>
  <c r="T131" i="120"/>
  <c r="AC78" i="135"/>
  <c r="AC83" i="135"/>
  <c r="AB90" i="135"/>
  <c r="U128" i="102"/>
  <c r="AB93" i="135"/>
  <c r="U131" i="102"/>
  <c r="AB121" i="135"/>
  <c r="AB145" i="141"/>
  <c r="AC76" i="135"/>
  <c r="AB89" i="135"/>
  <c r="U127" i="102"/>
  <c r="AB123" i="135"/>
  <c r="U133" i="102"/>
  <c r="AC77" i="135"/>
  <c r="AA127" i="141"/>
  <c r="AA128" i="133"/>
  <c r="AB144" i="141"/>
  <c r="U142" i="120"/>
  <c r="AB79" i="139"/>
  <c r="U126" i="120"/>
  <c r="AB80" i="127"/>
  <c r="AB82" i="127"/>
  <c r="AB126" i="133"/>
  <c r="AA126" i="137"/>
  <c r="Z93" i="138"/>
  <c r="AA91" i="135"/>
  <c r="AA94" i="135"/>
  <c r="Z93" i="136"/>
  <c r="AA128" i="135"/>
  <c r="AA127" i="135"/>
  <c r="AA128" i="141"/>
  <c r="AC143" i="133"/>
  <c r="AB125" i="137"/>
  <c r="AC144" i="141"/>
  <c r="AB81" i="139"/>
  <c r="AB83" i="139"/>
  <c r="AB90" i="139"/>
  <c r="AA123" i="139"/>
  <c r="AA129" i="139"/>
  <c r="AA131" i="139"/>
  <c r="AB142" i="137"/>
  <c r="Z92" i="127"/>
  <c r="H135" i="116"/>
  <c r="AB142" i="139"/>
  <c r="AA127" i="139"/>
  <c r="AA127" i="137"/>
  <c r="AB144" i="139"/>
  <c r="Z159" i="143"/>
  <c r="S141" i="105"/>
  <c r="AA94" i="143"/>
  <c r="T130" i="105"/>
  <c r="AB127" i="143"/>
  <c r="Z159" i="141"/>
  <c r="AB92" i="143"/>
  <c r="U131" i="105"/>
  <c r="AB91" i="143"/>
  <c r="U130" i="105"/>
  <c r="U142" i="105"/>
  <c r="AB144" i="142"/>
  <c r="AB124" i="143"/>
  <c r="AB128" i="143"/>
  <c r="AB126" i="143"/>
  <c r="AC82" i="143"/>
  <c r="AC84" i="143"/>
  <c r="AC80" i="143"/>
  <c r="V126" i="105"/>
  <c r="AA94" i="141"/>
  <c r="AB144" i="137"/>
  <c r="AA130" i="143"/>
  <c r="AA132" i="143"/>
  <c r="AC145" i="143"/>
  <c r="AC143" i="143"/>
  <c r="AC93" i="143"/>
  <c r="V132" i="105"/>
  <c r="AC90" i="143"/>
  <c r="V129" i="105"/>
  <c r="AC89" i="143"/>
  <c r="V128" i="105"/>
  <c r="AD76" i="143"/>
  <c r="AD77" i="143"/>
  <c r="AD78" i="143"/>
  <c r="AD83" i="143"/>
  <c r="V134" i="105"/>
  <c r="AC122" i="143"/>
  <c r="AC123" i="143"/>
  <c r="AC121" i="143"/>
  <c r="Z94" i="142"/>
  <c r="Y159" i="142"/>
  <c r="AC144" i="143"/>
  <c r="AA127" i="142"/>
  <c r="AC76" i="139"/>
  <c r="AB89" i="139"/>
  <c r="U129" i="120"/>
  <c r="AA126" i="142"/>
  <c r="AA128" i="142"/>
  <c r="AB143" i="142"/>
  <c r="AB145" i="142"/>
  <c r="AB143" i="138"/>
  <c r="AB120" i="139"/>
  <c r="AB123" i="139"/>
  <c r="U134" i="120"/>
  <c r="AB87" i="139"/>
  <c r="U127" i="120"/>
  <c r="AB143" i="139"/>
  <c r="AB126" i="141"/>
  <c r="Y159" i="140"/>
  <c r="Z94" i="140"/>
  <c r="AB144" i="140"/>
  <c r="AB80" i="135"/>
  <c r="U125" i="102"/>
  <c r="AA127" i="140"/>
  <c r="AA126" i="140"/>
  <c r="AA128" i="140"/>
  <c r="Z94" i="134"/>
  <c r="AB143" i="140"/>
  <c r="AB145" i="140"/>
  <c r="AB145" i="135"/>
  <c r="AB144" i="133"/>
  <c r="Z158" i="139"/>
  <c r="S141" i="120"/>
  <c r="AB142" i="131"/>
  <c r="O97" i="138"/>
  <c r="O98" i="138"/>
  <c r="O100" i="138"/>
  <c r="O112" i="138"/>
  <c r="O162" i="138"/>
  <c r="O97" i="139"/>
  <c r="O98" i="139"/>
  <c r="O100" i="139"/>
  <c r="O112" i="139"/>
  <c r="O162" i="139"/>
  <c r="AB82" i="135"/>
  <c r="AB84" i="135"/>
  <c r="AB143" i="135"/>
  <c r="Y158" i="138"/>
  <c r="AB126" i="139"/>
  <c r="AA124" i="135"/>
  <c r="AB144" i="138"/>
  <c r="AB142" i="138"/>
  <c r="AA125" i="138"/>
  <c r="AA127" i="138"/>
  <c r="AA93" i="137"/>
  <c r="AA126" i="138"/>
  <c r="Z158" i="137"/>
  <c r="AB143" i="136"/>
  <c r="AA126" i="136"/>
  <c r="Y158" i="136"/>
  <c r="O98" i="136"/>
  <c r="O100" i="136"/>
  <c r="O112" i="136"/>
  <c r="O162" i="136"/>
  <c r="O98" i="137"/>
  <c r="O100" i="137"/>
  <c r="O112" i="137"/>
  <c r="O162" i="137"/>
  <c r="T129" i="102"/>
  <c r="AA126" i="135"/>
  <c r="AB145" i="133"/>
  <c r="AB144" i="136"/>
  <c r="AB142" i="136"/>
  <c r="AA90" i="125"/>
  <c r="T130" i="114"/>
  <c r="T141" i="114"/>
  <c r="Z159" i="135"/>
  <c r="S140" i="102"/>
  <c r="AA125" i="136"/>
  <c r="AA127" i="136"/>
  <c r="AA127" i="129"/>
  <c r="AA126" i="127"/>
  <c r="AB144" i="135"/>
  <c r="Y159" i="134"/>
  <c r="O97" i="124"/>
  <c r="O99" i="124"/>
  <c r="O111" i="124"/>
  <c r="O161" i="124"/>
  <c r="AB126" i="135"/>
  <c r="AB143" i="133"/>
  <c r="AA130" i="135"/>
  <c r="AA132" i="135"/>
  <c r="AC89" i="135"/>
  <c r="V127" i="102"/>
  <c r="AA127" i="134"/>
  <c r="AB143" i="127"/>
  <c r="AB78" i="125"/>
  <c r="U125" i="114"/>
  <c r="AB142" i="125"/>
  <c r="AB145" i="134"/>
  <c r="AB143" i="134"/>
  <c r="AA126" i="134"/>
  <c r="AA128" i="134"/>
  <c r="AA94" i="133"/>
  <c r="AB144" i="134"/>
  <c r="Z159" i="133"/>
  <c r="Y158" i="132"/>
  <c r="R140" i="112"/>
  <c r="AC86" i="125"/>
  <c r="V134" i="116"/>
  <c r="AC86" i="127"/>
  <c r="AB91" i="127"/>
  <c r="U131" i="116"/>
  <c r="Z159" i="129"/>
  <c r="H135" i="114"/>
  <c r="H135" i="115"/>
  <c r="AA126" i="132"/>
  <c r="AB141" i="127"/>
  <c r="AA126" i="125"/>
  <c r="Z158" i="131"/>
  <c r="AC87" i="132"/>
  <c r="AB126" i="131"/>
  <c r="AA125" i="131"/>
  <c r="Z129" i="132"/>
  <c r="Z131" i="132"/>
  <c r="AA125" i="132"/>
  <c r="AA127" i="132"/>
  <c r="AA123" i="132"/>
  <c r="AB79" i="132"/>
  <c r="U125" i="112"/>
  <c r="AB81" i="132"/>
  <c r="AB83" i="132"/>
  <c r="O162" i="131"/>
  <c r="O98" i="132"/>
  <c r="O100" i="132"/>
  <c r="O112" i="132"/>
  <c r="O162" i="132"/>
  <c r="AA124" i="125"/>
  <c r="AB126" i="129"/>
  <c r="AA127" i="131"/>
  <c r="AA125" i="127"/>
  <c r="AB144" i="132"/>
  <c r="AB142" i="132"/>
  <c r="AB143" i="125"/>
  <c r="T141" i="112"/>
  <c r="AC77" i="125"/>
  <c r="AB80" i="125"/>
  <c r="AB82" i="125"/>
  <c r="AB89" i="125"/>
  <c r="U129" i="114"/>
  <c r="AB141" i="125"/>
  <c r="AB88" i="125"/>
  <c r="U128" i="114"/>
  <c r="T141" i="116"/>
  <c r="AB142" i="127"/>
  <c r="AB144" i="131"/>
  <c r="AC143" i="131"/>
  <c r="AA122" i="125"/>
  <c r="AA128" i="125"/>
  <c r="AA130" i="125"/>
  <c r="Z93" i="132"/>
  <c r="AB143" i="132"/>
  <c r="AA91" i="132"/>
  <c r="T130" i="112"/>
  <c r="AA90" i="132"/>
  <c r="T129" i="112"/>
  <c r="T126" i="112"/>
  <c r="AB89" i="132"/>
  <c r="U128" i="112"/>
  <c r="AB88" i="132"/>
  <c r="U127" i="112"/>
  <c r="AB92" i="132"/>
  <c r="U131" i="112"/>
  <c r="AC77" i="132"/>
  <c r="AC76" i="132"/>
  <c r="U133" i="112"/>
  <c r="AC78" i="132"/>
  <c r="AC82" i="132"/>
  <c r="AB122" i="132"/>
  <c r="AB121" i="132"/>
  <c r="AB120" i="132"/>
  <c r="AC76" i="125"/>
  <c r="U133" i="114"/>
  <c r="V134" i="114"/>
  <c r="AA122" i="127"/>
  <c r="AA128" i="127"/>
  <c r="AA130" i="127"/>
  <c r="AB119" i="127"/>
  <c r="AB124" i="127"/>
  <c r="AA125" i="125"/>
  <c r="AB91" i="125"/>
  <c r="U131" i="114"/>
  <c r="AB78" i="127"/>
  <c r="U125" i="116"/>
  <c r="AA124" i="127"/>
  <c r="Y158" i="130"/>
  <c r="Z93" i="130"/>
  <c r="AA128" i="129"/>
  <c r="AB143" i="129"/>
  <c r="AB119" i="125"/>
  <c r="AB121" i="125"/>
  <c r="AB120" i="125"/>
  <c r="AB87" i="125"/>
  <c r="U127" i="114"/>
  <c r="AC77" i="127"/>
  <c r="AB145" i="129"/>
  <c r="AB143" i="130"/>
  <c r="O98" i="130"/>
  <c r="O100" i="130"/>
  <c r="O112" i="130"/>
  <c r="O162" i="130"/>
  <c r="O98" i="128"/>
  <c r="O100" i="128"/>
  <c r="O112" i="128"/>
  <c r="O162" i="128"/>
  <c r="AB144" i="129"/>
  <c r="AA125" i="130"/>
  <c r="AA127" i="130"/>
  <c r="AA126" i="130"/>
  <c r="Y158" i="128"/>
  <c r="AB144" i="130"/>
  <c r="AB142" i="130"/>
  <c r="F68" i="71"/>
  <c r="Z157" i="125"/>
  <c r="S140" i="114"/>
  <c r="Z157" i="127"/>
  <c r="S140" i="116"/>
  <c r="F87" i="71"/>
  <c r="Y157" i="126"/>
  <c r="R140" i="115"/>
  <c r="F106" i="71"/>
  <c r="AB143" i="128"/>
  <c r="AB121" i="127"/>
  <c r="U133" i="116"/>
  <c r="AB87" i="127"/>
  <c r="U127" i="116"/>
  <c r="AB88" i="127"/>
  <c r="U128" i="116"/>
  <c r="AB120" i="127"/>
  <c r="AB125" i="127"/>
  <c r="AC76" i="127"/>
  <c r="AD86" i="127"/>
  <c r="AA127" i="128"/>
  <c r="AA125" i="128"/>
  <c r="AB144" i="128"/>
  <c r="AB142" i="128"/>
  <c r="AA92" i="127"/>
  <c r="Z93" i="128"/>
  <c r="AA126" i="128"/>
  <c r="AB90" i="127"/>
  <c r="U130" i="116"/>
  <c r="AB89" i="127"/>
  <c r="U129" i="116"/>
  <c r="U126" i="116"/>
  <c r="Z92" i="126"/>
  <c r="W134" i="116"/>
  <c r="AA90" i="126"/>
  <c r="T130" i="115"/>
  <c r="AA89" i="126"/>
  <c r="T129" i="115"/>
  <c r="AA126" i="126"/>
  <c r="AA124" i="126"/>
  <c r="AA122" i="126"/>
  <c r="V134" i="115"/>
  <c r="AB88" i="126"/>
  <c r="U128" i="115"/>
  <c r="AB91" i="126"/>
  <c r="U131" i="115"/>
  <c r="AB87" i="126"/>
  <c r="U127" i="115"/>
  <c r="AC76" i="126"/>
  <c r="AC77" i="126"/>
  <c r="U133" i="115"/>
  <c r="AB120" i="126"/>
  <c r="AB121" i="126"/>
  <c r="AB119" i="126"/>
  <c r="T141" i="115"/>
  <c r="Y157" i="124"/>
  <c r="R140" i="113"/>
  <c r="AA92" i="125"/>
  <c r="AA125" i="126"/>
  <c r="Z128" i="126"/>
  <c r="Z130" i="126"/>
  <c r="AD86" i="125"/>
  <c r="AD86" i="126"/>
  <c r="F49" i="71"/>
  <c r="AB143" i="126"/>
  <c r="AB141" i="126"/>
  <c r="AB80" i="126"/>
  <c r="AB82" i="126"/>
  <c r="AB78" i="126"/>
  <c r="U125" i="115"/>
  <c r="U126" i="114"/>
  <c r="W134" i="114"/>
  <c r="AA125" i="124"/>
  <c r="AA124" i="124"/>
  <c r="AA126" i="124"/>
  <c r="AA122" i="124"/>
  <c r="AB143" i="124"/>
  <c r="AB141" i="124"/>
  <c r="V134" i="113"/>
  <c r="AB88" i="124"/>
  <c r="U128" i="113"/>
  <c r="AB87" i="124"/>
  <c r="U127" i="113"/>
  <c r="AB91" i="124"/>
  <c r="U131" i="113"/>
  <c r="AC77" i="124"/>
  <c r="AB121" i="124"/>
  <c r="AB120" i="124"/>
  <c r="U133" i="113"/>
  <c r="AC76" i="124"/>
  <c r="AB119" i="124"/>
  <c r="T141" i="113"/>
  <c r="Z128" i="124"/>
  <c r="Z130" i="124"/>
  <c r="AB80" i="124"/>
  <c r="AB82" i="124"/>
  <c r="AB78" i="124"/>
  <c r="U125" i="113"/>
  <c r="T126" i="113"/>
  <c r="AA90" i="124"/>
  <c r="T130" i="113"/>
  <c r="AA89" i="124"/>
  <c r="T129" i="113"/>
  <c r="Y159" i="123"/>
  <c r="Y94" i="123"/>
  <c r="AB142" i="124"/>
  <c r="Z92" i="124"/>
  <c r="AA126" i="122"/>
  <c r="AA127" i="123"/>
  <c r="AA128" i="123"/>
  <c r="AA126" i="123"/>
  <c r="AB142" i="122"/>
  <c r="Z93" i="122"/>
  <c r="AB145" i="123"/>
  <c r="AB143" i="123"/>
  <c r="AA125" i="122"/>
  <c r="AB143" i="122"/>
  <c r="Y158" i="122"/>
  <c r="AA127" i="122"/>
  <c r="AA144" i="122"/>
  <c r="AB127" i="135"/>
  <c r="AC175" i="140"/>
  <c r="AC177" i="140"/>
  <c r="AB175" i="142"/>
  <c r="AB177" i="142"/>
  <c r="AB175" i="141"/>
  <c r="AB177" i="141"/>
  <c r="AB175" i="143"/>
  <c r="AB177" i="143"/>
  <c r="T169" i="105"/>
  <c r="R414" i="71"/>
  <c r="AB126" i="137"/>
  <c r="AC174" i="136"/>
  <c r="AC176" i="136"/>
  <c r="AB174" i="138"/>
  <c r="AB176" i="138"/>
  <c r="R338" i="71"/>
  <c r="T169" i="120"/>
  <c r="AB174" i="137"/>
  <c r="AB176" i="137"/>
  <c r="AB174" i="139"/>
  <c r="AB176" i="139"/>
  <c r="AB124" i="135"/>
  <c r="AB128" i="135"/>
  <c r="AC144" i="135"/>
  <c r="AB175" i="133"/>
  <c r="AB177" i="133"/>
  <c r="T168" i="102"/>
  <c r="R262" i="71"/>
  <c r="AB175" i="135"/>
  <c r="AB177" i="135"/>
  <c r="AC175" i="129"/>
  <c r="AC177" i="129"/>
  <c r="AB175" i="134"/>
  <c r="AB177" i="134"/>
  <c r="AC174" i="128"/>
  <c r="AC176" i="128"/>
  <c r="AB174" i="131"/>
  <c r="AB176" i="131"/>
  <c r="AB174" i="130"/>
  <c r="AB176" i="130"/>
  <c r="AB174" i="132"/>
  <c r="AB176" i="132"/>
  <c r="AC173" i="124"/>
  <c r="AC175" i="124"/>
  <c r="AB173" i="126"/>
  <c r="AB175" i="126"/>
  <c r="AB173" i="125"/>
  <c r="AB175" i="125"/>
  <c r="S53" i="71"/>
  <c r="U168" i="113"/>
  <c r="AD86" i="124"/>
  <c r="AB173" i="127"/>
  <c r="AB175" i="127"/>
  <c r="AD175" i="123"/>
  <c r="AD177" i="123"/>
  <c r="AC174" i="122"/>
  <c r="AC176" i="122"/>
  <c r="AB125" i="139"/>
  <c r="AC79" i="139"/>
  <c r="V126" i="120"/>
  <c r="AA93" i="139"/>
  <c r="AC143" i="139"/>
  <c r="V142" i="120"/>
  <c r="AC90" i="135"/>
  <c r="V128" i="102"/>
  <c r="AC143" i="141"/>
  <c r="AC145" i="135"/>
  <c r="AC142" i="137"/>
  <c r="AC145" i="141"/>
  <c r="V134" i="120"/>
  <c r="AC80" i="135"/>
  <c r="V125" i="102"/>
  <c r="AA94" i="129"/>
  <c r="AC88" i="139"/>
  <c r="V128" i="120"/>
  <c r="AC123" i="135"/>
  <c r="AB127" i="139"/>
  <c r="AD78" i="139"/>
  <c r="AD82" i="139"/>
  <c r="AC82" i="135"/>
  <c r="AC84" i="135"/>
  <c r="AC91" i="135"/>
  <c r="V129" i="102"/>
  <c r="AC143" i="135"/>
  <c r="AC144" i="133"/>
  <c r="AC143" i="137"/>
  <c r="AB91" i="135"/>
  <c r="AB92" i="135"/>
  <c r="U130" i="102"/>
  <c r="AB128" i="141"/>
  <c r="V133" i="102"/>
  <c r="AB127" i="137"/>
  <c r="AC89" i="139"/>
  <c r="V129" i="120"/>
  <c r="AB91" i="139"/>
  <c r="U131" i="120"/>
  <c r="AB127" i="141"/>
  <c r="AB94" i="143"/>
  <c r="AB127" i="133"/>
  <c r="AD143" i="139"/>
  <c r="AC122" i="139"/>
  <c r="AC121" i="135"/>
  <c r="AC122" i="135"/>
  <c r="AD77" i="135"/>
  <c r="AC93" i="135"/>
  <c r="V131" i="102"/>
  <c r="AD144" i="143"/>
  <c r="AD144" i="135"/>
  <c r="AD76" i="135"/>
  <c r="AC144" i="142"/>
  <c r="AA94" i="140"/>
  <c r="AB127" i="129"/>
  <c r="AC81" i="139"/>
  <c r="AC83" i="139"/>
  <c r="AC90" i="139"/>
  <c r="V130" i="120"/>
  <c r="AD77" i="125"/>
  <c r="AC145" i="133"/>
  <c r="AB128" i="133"/>
  <c r="AA159" i="143"/>
  <c r="T141" i="105"/>
  <c r="AC144" i="139"/>
  <c r="AC127" i="143"/>
  <c r="AD93" i="143"/>
  <c r="W132" i="105"/>
  <c r="AD90" i="143"/>
  <c r="W129" i="105"/>
  <c r="AD89" i="143"/>
  <c r="W128" i="105"/>
  <c r="AE76" i="143"/>
  <c r="AE77" i="143"/>
  <c r="AE78" i="143"/>
  <c r="AE83" i="143"/>
  <c r="W134" i="105"/>
  <c r="AD123" i="143"/>
  <c r="AD122" i="143"/>
  <c r="AD121" i="143"/>
  <c r="AC144" i="137"/>
  <c r="AC120" i="139"/>
  <c r="AC125" i="139"/>
  <c r="AD76" i="139"/>
  <c r="AC92" i="139"/>
  <c r="V132" i="120"/>
  <c r="AC142" i="139"/>
  <c r="AB94" i="141"/>
  <c r="AD144" i="141"/>
  <c r="AA94" i="142"/>
  <c r="AB130" i="143"/>
  <c r="AB132" i="143"/>
  <c r="AD77" i="139"/>
  <c r="AD81" i="139"/>
  <c r="AC121" i="139"/>
  <c r="AC87" i="139"/>
  <c r="V127" i="120"/>
  <c r="AC126" i="141"/>
  <c r="AA159" i="141"/>
  <c r="AD145" i="143"/>
  <c r="AD143" i="143"/>
  <c r="AD82" i="143"/>
  <c r="AD84" i="143"/>
  <c r="AD80" i="143"/>
  <c r="W126" i="105"/>
  <c r="AC92" i="143"/>
  <c r="AC91" i="143"/>
  <c r="V130" i="105"/>
  <c r="AC128" i="143"/>
  <c r="AC126" i="143"/>
  <c r="AC124" i="143"/>
  <c r="Z159" i="142"/>
  <c r="V142" i="105"/>
  <c r="AC126" i="129"/>
  <c r="AB126" i="142"/>
  <c r="AB128" i="142"/>
  <c r="AC120" i="125"/>
  <c r="AB127" i="142"/>
  <c r="AC145" i="142"/>
  <c r="AC143" i="142"/>
  <c r="Z159" i="140"/>
  <c r="AC144" i="140"/>
  <c r="AB127" i="140"/>
  <c r="AB128" i="140"/>
  <c r="AB126" i="140"/>
  <c r="AA158" i="139"/>
  <c r="T141" i="120"/>
  <c r="AB90" i="125"/>
  <c r="U130" i="114"/>
  <c r="U130" i="120"/>
  <c r="AC145" i="140"/>
  <c r="AC143" i="140"/>
  <c r="AD92" i="139"/>
  <c r="W132" i="120"/>
  <c r="AC141" i="125"/>
  <c r="AC142" i="131"/>
  <c r="U141" i="102"/>
  <c r="Z158" i="138"/>
  <c r="AA94" i="134"/>
  <c r="AC143" i="138"/>
  <c r="AC126" i="133"/>
  <c r="AB129" i="139"/>
  <c r="AB131" i="139"/>
  <c r="AC143" i="125"/>
  <c r="AB122" i="125"/>
  <c r="AB128" i="125"/>
  <c r="AB130" i="125"/>
  <c r="AC143" i="129"/>
  <c r="U141" i="116"/>
  <c r="AD78" i="135"/>
  <c r="AD83" i="135"/>
  <c r="AC125" i="137"/>
  <c r="AA93" i="138"/>
  <c r="AC144" i="138"/>
  <c r="AC142" i="138"/>
  <c r="AC119" i="125"/>
  <c r="AC124" i="125"/>
  <c r="AC121" i="127"/>
  <c r="AD144" i="129"/>
  <c r="AB126" i="138"/>
  <c r="AB127" i="138"/>
  <c r="AB125" i="138"/>
  <c r="AA158" i="137"/>
  <c r="AA93" i="136"/>
  <c r="AC88" i="127"/>
  <c r="V128" i="116"/>
  <c r="AD76" i="127"/>
  <c r="Z158" i="136"/>
  <c r="V133" i="116"/>
  <c r="AC91" i="127"/>
  <c r="V131" i="116"/>
  <c r="AA159" i="135"/>
  <c r="T140" i="102"/>
  <c r="AB127" i="136"/>
  <c r="AB125" i="136"/>
  <c r="AB126" i="136"/>
  <c r="AC143" i="136"/>
  <c r="AC144" i="136"/>
  <c r="AC142" i="136"/>
  <c r="AD76" i="125"/>
  <c r="AC87" i="125"/>
  <c r="V127" i="114"/>
  <c r="AC119" i="127"/>
  <c r="AC120" i="127"/>
  <c r="AD77" i="127"/>
  <c r="AB128" i="129"/>
  <c r="Z159" i="134"/>
  <c r="V133" i="114"/>
  <c r="AC88" i="125"/>
  <c r="V128" i="114"/>
  <c r="AC87" i="127"/>
  <c r="V127" i="116"/>
  <c r="AB130" i="135"/>
  <c r="AB132" i="135"/>
  <c r="AB127" i="134"/>
  <c r="AB128" i="134"/>
  <c r="AB126" i="134"/>
  <c r="AC144" i="134"/>
  <c r="AC121" i="125"/>
  <c r="AC125" i="125"/>
  <c r="AC91" i="125"/>
  <c r="V131" i="114"/>
  <c r="AB127" i="131"/>
  <c r="AC78" i="125"/>
  <c r="V125" i="114"/>
  <c r="AC145" i="134"/>
  <c r="AC143" i="134"/>
  <c r="AA159" i="133"/>
  <c r="AC80" i="125"/>
  <c r="AC82" i="125"/>
  <c r="AC90" i="125"/>
  <c r="V130" i="114"/>
  <c r="AC143" i="122"/>
  <c r="AB124" i="125"/>
  <c r="AC142" i="125"/>
  <c r="AB125" i="131"/>
  <c r="AC78" i="127"/>
  <c r="V125" i="116"/>
  <c r="U141" i="114"/>
  <c r="AA159" i="129"/>
  <c r="AB125" i="125"/>
  <c r="AC125" i="131"/>
  <c r="Z158" i="132"/>
  <c r="S140" i="112"/>
  <c r="AC143" i="132"/>
  <c r="AD87" i="132"/>
  <c r="AC144" i="132"/>
  <c r="AC142" i="132"/>
  <c r="AC81" i="132"/>
  <c r="AC83" i="132"/>
  <c r="AC79" i="132"/>
  <c r="V125" i="112"/>
  <c r="AA129" i="132"/>
  <c r="AA131" i="132"/>
  <c r="AC144" i="131"/>
  <c r="AB126" i="132"/>
  <c r="AA93" i="132"/>
  <c r="AA158" i="131"/>
  <c r="AB91" i="132"/>
  <c r="U130" i="112"/>
  <c r="AB90" i="132"/>
  <c r="U129" i="112"/>
  <c r="U126" i="112"/>
  <c r="AC89" i="132"/>
  <c r="V128" i="112"/>
  <c r="AC88" i="132"/>
  <c r="V127" i="112"/>
  <c r="AC92" i="132"/>
  <c r="V131" i="112"/>
  <c r="AD76" i="132"/>
  <c r="V133" i="112"/>
  <c r="AD77" i="132"/>
  <c r="AC122" i="132"/>
  <c r="AC121" i="132"/>
  <c r="AD78" i="132"/>
  <c r="AD82" i="132"/>
  <c r="AC120" i="132"/>
  <c r="AC145" i="129"/>
  <c r="AB126" i="125"/>
  <c r="AB123" i="132"/>
  <c r="AB127" i="132"/>
  <c r="AB125" i="132"/>
  <c r="U141" i="112"/>
  <c r="Z158" i="130"/>
  <c r="AC80" i="127"/>
  <c r="AC82" i="127"/>
  <c r="AC90" i="127"/>
  <c r="V130" i="116"/>
  <c r="AC144" i="129"/>
  <c r="Z94" i="123"/>
  <c r="AC142" i="127"/>
  <c r="AC143" i="130"/>
  <c r="AC141" i="127"/>
  <c r="AC144" i="130"/>
  <c r="AC142" i="130"/>
  <c r="AB126" i="130"/>
  <c r="AA93" i="130"/>
  <c r="AB127" i="130"/>
  <c r="AB125" i="130"/>
  <c r="Z158" i="128"/>
  <c r="AB126" i="128"/>
  <c r="AB126" i="127"/>
  <c r="Z157" i="126"/>
  <c r="S140" i="115"/>
  <c r="AB122" i="127"/>
  <c r="AB128" i="127"/>
  <c r="AB130" i="127"/>
  <c r="AA157" i="127"/>
  <c r="T140" i="116"/>
  <c r="AA157" i="125"/>
  <c r="T140" i="114"/>
  <c r="AA92" i="126"/>
  <c r="T126" i="115"/>
  <c r="AC143" i="128"/>
  <c r="AC143" i="127"/>
  <c r="AC142" i="126"/>
  <c r="AB125" i="126"/>
  <c r="AA93" i="128"/>
  <c r="AC144" i="128"/>
  <c r="AC142" i="128"/>
  <c r="AD143" i="128"/>
  <c r="AB127" i="128"/>
  <c r="AB125" i="128"/>
  <c r="V126" i="116"/>
  <c r="AB92" i="127"/>
  <c r="AE86" i="126"/>
  <c r="U141" i="115"/>
  <c r="AC78" i="126"/>
  <c r="V125" i="115"/>
  <c r="AC80" i="126"/>
  <c r="AC82" i="126"/>
  <c r="W134" i="115"/>
  <c r="AC88" i="126"/>
  <c r="V128" i="115"/>
  <c r="AC87" i="126"/>
  <c r="V127" i="115"/>
  <c r="V133" i="115"/>
  <c r="AC91" i="126"/>
  <c r="V131" i="115"/>
  <c r="AD77" i="126"/>
  <c r="AD76" i="126"/>
  <c r="AC121" i="126"/>
  <c r="AC120" i="126"/>
  <c r="AC119" i="126"/>
  <c r="AC143" i="126"/>
  <c r="AC141" i="126"/>
  <c r="AA128" i="126"/>
  <c r="AA130" i="126"/>
  <c r="Z157" i="124"/>
  <c r="S140" i="113"/>
  <c r="AB90" i="126"/>
  <c r="U130" i="115"/>
  <c r="AB89" i="126"/>
  <c r="U129" i="115"/>
  <c r="U126" i="115"/>
  <c r="AB124" i="126"/>
  <c r="AB122" i="126"/>
  <c r="AB126" i="126"/>
  <c r="V126" i="114"/>
  <c r="AA92" i="124"/>
  <c r="AC142" i="124"/>
  <c r="AB125" i="124"/>
  <c r="AB122" i="124"/>
  <c r="AB126" i="124"/>
  <c r="AB124" i="124"/>
  <c r="U141" i="113"/>
  <c r="AC143" i="124"/>
  <c r="AC141" i="124"/>
  <c r="AA128" i="124"/>
  <c r="AA130" i="124"/>
  <c r="Z159" i="123"/>
  <c r="AB90" i="124"/>
  <c r="U130" i="113"/>
  <c r="AB89" i="124"/>
  <c r="U129" i="113"/>
  <c r="U126" i="113"/>
  <c r="W134" i="113"/>
  <c r="AC88" i="124"/>
  <c r="V128" i="113"/>
  <c r="AC87" i="124"/>
  <c r="V127" i="113"/>
  <c r="AC91" i="124"/>
  <c r="V131" i="113"/>
  <c r="AC121" i="124"/>
  <c r="V133" i="113"/>
  <c r="AC120" i="124"/>
  <c r="AD77" i="124"/>
  <c r="AD76" i="124"/>
  <c r="AC119" i="124"/>
  <c r="AC78" i="124"/>
  <c r="V125" i="113"/>
  <c r="AC80" i="124"/>
  <c r="AC82" i="124"/>
  <c r="AB126" i="122"/>
  <c r="AC144" i="123"/>
  <c r="AB128" i="123"/>
  <c r="AB126" i="123"/>
  <c r="AB127" i="123"/>
  <c r="AC145" i="123"/>
  <c r="AC143" i="123"/>
  <c r="AB125" i="122"/>
  <c r="AC142" i="122"/>
  <c r="Z158" i="122"/>
  <c r="AB127" i="122"/>
  <c r="AB144" i="122"/>
  <c r="U169" i="105"/>
  <c r="S414" i="71"/>
  <c r="AC175" i="143"/>
  <c r="AC177" i="143"/>
  <c r="AC175" i="142"/>
  <c r="AC177" i="142"/>
  <c r="AD175" i="140"/>
  <c r="AD177" i="140"/>
  <c r="AC175" i="141"/>
  <c r="AC177" i="141"/>
  <c r="AC174" i="137"/>
  <c r="AC176" i="137"/>
  <c r="U169" i="120"/>
  <c r="S338" i="71"/>
  <c r="AC174" i="139"/>
  <c r="AC176" i="139"/>
  <c r="AD174" i="136"/>
  <c r="AD176" i="136"/>
  <c r="AC174" i="138"/>
  <c r="AC176" i="138"/>
  <c r="AC127" i="135"/>
  <c r="AB94" i="135"/>
  <c r="AC175" i="134"/>
  <c r="AC177" i="134"/>
  <c r="AC175" i="133"/>
  <c r="AC177" i="133"/>
  <c r="U168" i="102"/>
  <c r="S262" i="71"/>
  <c r="AD175" i="129"/>
  <c r="AD177" i="129"/>
  <c r="AC175" i="135"/>
  <c r="AC177" i="135"/>
  <c r="AC174" i="132"/>
  <c r="AC176" i="132"/>
  <c r="AC174" i="131"/>
  <c r="AC176" i="131"/>
  <c r="U168" i="112"/>
  <c r="S186" i="71"/>
  <c r="AD174" i="128"/>
  <c r="AD176" i="128"/>
  <c r="AC174" i="130"/>
  <c r="AC176" i="130"/>
  <c r="V141" i="114"/>
  <c r="AE86" i="124"/>
  <c r="AC173" i="126"/>
  <c r="AC175" i="126"/>
  <c r="S72" i="71"/>
  <c r="U168" i="114"/>
  <c r="S110" i="71"/>
  <c r="U168" i="116"/>
  <c r="U168" i="115"/>
  <c r="AC173" i="125"/>
  <c r="AC175" i="125"/>
  <c r="V168" i="113"/>
  <c r="T53" i="71"/>
  <c r="AD173" i="124"/>
  <c r="AD175" i="124"/>
  <c r="AC173" i="127"/>
  <c r="AC175" i="127"/>
  <c r="AE175" i="123"/>
  <c r="AE177" i="123"/>
  <c r="B177" i="123"/>
  <c r="AD174" i="122"/>
  <c r="AD176" i="122"/>
  <c r="AD83" i="139"/>
  <c r="AD91" i="139"/>
  <c r="U129" i="102"/>
  <c r="AC91" i="139"/>
  <c r="V131" i="120"/>
  <c r="AC92" i="135"/>
  <c r="V130" i="102"/>
  <c r="V141" i="102"/>
  <c r="AB93" i="137"/>
  <c r="AD143" i="129"/>
  <c r="AD82" i="135"/>
  <c r="AD142" i="137"/>
  <c r="AB94" i="133"/>
  <c r="AD121" i="135"/>
  <c r="AD144" i="139"/>
  <c r="AE76" i="135"/>
  <c r="AD121" i="139"/>
  <c r="AD87" i="139"/>
  <c r="W127" i="120"/>
  <c r="AD145" i="129"/>
  <c r="AD80" i="135"/>
  <c r="W125" i="102"/>
  <c r="AC128" i="135"/>
  <c r="AD141" i="127"/>
  <c r="AD79" i="139"/>
  <c r="W126" i="120"/>
  <c r="AD145" i="135"/>
  <c r="AD143" i="133"/>
  <c r="AD143" i="135"/>
  <c r="AD143" i="131"/>
  <c r="AC126" i="135"/>
  <c r="AC123" i="139"/>
  <c r="AC124" i="135"/>
  <c r="AC130" i="135"/>
  <c r="AC132" i="135"/>
  <c r="AB93" i="139"/>
  <c r="AC128" i="129"/>
  <c r="AC127" i="129"/>
  <c r="AD126" i="137"/>
  <c r="AC127" i="133"/>
  <c r="AC122" i="127"/>
  <c r="AC128" i="127"/>
  <c r="AC130" i="127"/>
  <c r="AC128" i="141"/>
  <c r="AD142" i="139"/>
  <c r="AD145" i="141"/>
  <c r="AD141" i="125"/>
  <c r="AC126" i="139"/>
  <c r="AD143" i="141"/>
  <c r="AC127" i="141"/>
  <c r="AC125" i="127"/>
  <c r="AC89" i="125"/>
  <c r="V129" i="114"/>
  <c r="W142" i="120"/>
  <c r="AC127" i="139"/>
  <c r="AD144" i="142"/>
  <c r="AB94" i="129"/>
  <c r="AD84" i="135"/>
  <c r="AD91" i="135"/>
  <c r="W129" i="102"/>
  <c r="AD78" i="125"/>
  <c r="W125" i="114"/>
  <c r="AB92" i="125"/>
  <c r="AD80" i="125"/>
  <c r="AD82" i="125"/>
  <c r="AD90" i="125"/>
  <c r="W130" i="114"/>
  <c r="AE144" i="135"/>
  <c r="AD89" i="135"/>
  <c r="W127" i="102"/>
  <c r="AE78" i="139"/>
  <c r="AE82" i="139"/>
  <c r="AB159" i="143"/>
  <c r="U141" i="105"/>
  <c r="W133" i="102"/>
  <c r="AE77" i="139"/>
  <c r="AC94" i="143"/>
  <c r="V131" i="105"/>
  <c r="AE144" i="143"/>
  <c r="AC126" i="127"/>
  <c r="AD144" i="137"/>
  <c r="W134" i="120"/>
  <c r="AC94" i="141"/>
  <c r="AD91" i="143"/>
  <c r="W130" i="105"/>
  <c r="AD92" i="143"/>
  <c r="W131" i="105"/>
  <c r="AE93" i="143"/>
  <c r="X132" i="105"/>
  <c r="AE90" i="143"/>
  <c r="X129" i="105"/>
  <c r="AE89" i="143"/>
  <c r="X128" i="105"/>
  <c r="X134" i="105"/>
  <c r="AE123" i="143"/>
  <c r="AE122" i="143"/>
  <c r="AE121" i="143"/>
  <c r="AD120" i="139"/>
  <c r="AD125" i="139"/>
  <c r="AE76" i="139"/>
  <c r="AC130" i="143"/>
  <c r="AC132" i="143"/>
  <c r="W142" i="105"/>
  <c r="AE145" i="143"/>
  <c r="AE143" i="143"/>
  <c r="AB94" i="142"/>
  <c r="AD127" i="143"/>
  <c r="AE82" i="143"/>
  <c r="AE84" i="143"/>
  <c r="AE80" i="143"/>
  <c r="X126" i="105"/>
  <c r="AB159" i="141"/>
  <c r="AA159" i="142"/>
  <c r="AD126" i="143"/>
  <c r="AD124" i="143"/>
  <c r="AD128" i="143"/>
  <c r="AC127" i="142"/>
  <c r="AD122" i="135"/>
  <c r="AE78" i="135"/>
  <c r="AE83" i="135"/>
  <c r="AD90" i="135"/>
  <c r="W128" i="102"/>
  <c r="AD143" i="137"/>
  <c r="AC128" i="142"/>
  <c r="AC126" i="142"/>
  <c r="AD123" i="135"/>
  <c r="AE77" i="135"/>
  <c r="AE80" i="135"/>
  <c r="X125" i="102"/>
  <c r="AD93" i="135"/>
  <c r="W131" i="102"/>
  <c r="AD145" i="142"/>
  <c r="AD143" i="142"/>
  <c r="AA159" i="140"/>
  <c r="AB94" i="140"/>
  <c r="AC127" i="140"/>
  <c r="AC128" i="133"/>
  <c r="AD144" i="140"/>
  <c r="AB158" i="139"/>
  <c r="U141" i="120"/>
  <c r="AC128" i="140"/>
  <c r="AC126" i="140"/>
  <c r="AC93" i="139"/>
  <c r="AD122" i="139"/>
  <c r="AD126" i="139"/>
  <c r="AD89" i="139"/>
  <c r="W129" i="120"/>
  <c r="AD145" i="140"/>
  <c r="AD143" i="140"/>
  <c r="AE89" i="139"/>
  <c r="X129" i="120"/>
  <c r="AD80" i="127"/>
  <c r="AD82" i="127"/>
  <c r="AD89" i="127"/>
  <c r="W129" i="116"/>
  <c r="AD88" i="139"/>
  <c r="W128" i="120"/>
  <c r="AE144" i="140"/>
  <c r="AD143" i="125"/>
  <c r="AD142" i="125"/>
  <c r="AC124" i="127"/>
  <c r="AD143" i="127"/>
  <c r="AD142" i="127"/>
  <c r="AD145" i="133"/>
  <c r="AC129" i="139"/>
  <c r="AC131" i="139"/>
  <c r="AE122" i="139"/>
  <c r="AD78" i="127"/>
  <c r="W125" i="116"/>
  <c r="AC127" i="137"/>
  <c r="AD90" i="139"/>
  <c r="W130" i="120"/>
  <c r="W141" i="114"/>
  <c r="AC126" i="125"/>
  <c r="AC126" i="137"/>
  <c r="AA158" i="138"/>
  <c r="AC94" i="135"/>
  <c r="AC126" i="138"/>
  <c r="AB93" i="138"/>
  <c r="AD144" i="133"/>
  <c r="AC93" i="137"/>
  <c r="AD143" i="138"/>
  <c r="AE143" i="138"/>
  <c r="AD144" i="138"/>
  <c r="AD142" i="138"/>
  <c r="AC127" i="138"/>
  <c r="AC125" i="138"/>
  <c r="AB158" i="137"/>
  <c r="AB93" i="136"/>
  <c r="AA158" i="136"/>
  <c r="AB159" i="135"/>
  <c r="U140" i="102"/>
  <c r="AE93" i="135"/>
  <c r="X131" i="102"/>
  <c r="AC126" i="131"/>
  <c r="AD144" i="136"/>
  <c r="AD142" i="136"/>
  <c r="AC126" i="136"/>
  <c r="AB94" i="134"/>
  <c r="AC127" i="136"/>
  <c r="AC125" i="136"/>
  <c r="AD143" i="136"/>
  <c r="AC122" i="125"/>
  <c r="AC128" i="125"/>
  <c r="AC130" i="125"/>
  <c r="AD144" i="131"/>
  <c r="AE144" i="133"/>
  <c r="AA159" i="134"/>
  <c r="AD126" i="133"/>
  <c r="AD126" i="135"/>
  <c r="AE82" i="135"/>
  <c r="AE84" i="135"/>
  <c r="AC127" i="134"/>
  <c r="AD144" i="134"/>
  <c r="AC128" i="134"/>
  <c r="AC126" i="134"/>
  <c r="AD145" i="134"/>
  <c r="AD143" i="134"/>
  <c r="AC94" i="133"/>
  <c r="AB159" i="133"/>
  <c r="AE86" i="125"/>
  <c r="AE86" i="127"/>
  <c r="AE76" i="125"/>
  <c r="AD88" i="125"/>
  <c r="W128" i="114"/>
  <c r="AB159" i="129"/>
  <c r="AD142" i="131"/>
  <c r="AC126" i="132"/>
  <c r="AA158" i="132"/>
  <c r="T140" i="112"/>
  <c r="AC127" i="131"/>
  <c r="AC127" i="132"/>
  <c r="AC125" i="132"/>
  <c r="AC123" i="132"/>
  <c r="AC94" i="129"/>
  <c r="AB158" i="131"/>
  <c r="AB129" i="132"/>
  <c r="AB131" i="132"/>
  <c r="AD142" i="132"/>
  <c r="AD144" i="132"/>
  <c r="AD143" i="132"/>
  <c r="AE87" i="132"/>
  <c r="AB93" i="132"/>
  <c r="AC91" i="132"/>
  <c r="V130" i="112"/>
  <c r="AC90" i="132"/>
  <c r="V129" i="112"/>
  <c r="V126" i="112"/>
  <c r="W133" i="112"/>
  <c r="AD92" i="132"/>
  <c r="W131" i="112"/>
  <c r="AD89" i="132"/>
  <c r="W128" i="112"/>
  <c r="AD88" i="132"/>
  <c r="W127" i="112"/>
  <c r="AE77" i="132"/>
  <c r="AE76" i="132"/>
  <c r="AD122" i="132"/>
  <c r="AE78" i="132"/>
  <c r="AE82" i="132"/>
  <c r="AD121" i="132"/>
  <c r="AD120" i="132"/>
  <c r="AD81" i="132"/>
  <c r="AD83" i="132"/>
  <c r="AD79" i="132"/>
  <c r="W125" i="112"/>
  <c r="V141" i="112"/>
  <c r="AE143" i="131"/>
  <c r="AD125" i="131"/>
  <c r="AD119" i="125"/>
  <c r="AD124" i="125"/>
  <c r="AD120" i="125"/>
  <c r="AC89" i="127"/>
  <c r="V129" i="116"/>
  <c r="AA158" i="130"/>
  <c r="AA93" i="122"/>
  <c r="X134" i="114"/>
  <c r="AD121" i="125"/>
  <c r="AE77" i="125"/>
  <c r="AC126" i="130"/>
  <c r="AD143" i="130"/>
  <c r="W133" i="114"/>
  <c r="AD91" i="125"/>
  <c r="W131" i="114"/>
  <c r="AE76" i="127"/>
  <c r="AE77" i="127"/>
  <c r="AA158" i="128"/>
  <c r="AB93" i="130"/>
  <c r="AC127" i="130"/>
  <c r="AC125" i="130"/>
  <c r="AD87" i="125"/>
  <c r="W127" i="114"/>
  <c r="AD91" i="127"/>
  <c r="W131" i="116"/>
  <c r="AD126" i="129"/>
  <c r="AD142" i="130"/>
  <c r="AD144" i="130"/>
  <c r="AB157" i="127"/>
  <c r="U140" i="116"/>
  <c r="AB157" i="125"/>
  <c r="U140" i="114"/>
  <c r="AA157" i="126"/>
  <c r="T140" i="115"/>
  <c r="V141" i="116"/>
  <c r="AD121" i="127"/>
  <c r="AD88" i="127"/>
  <c r="W128" i="116"/>
  <c r="W133" i="116"/>
  <c r="AD120" i="127"/>
  <c r="X134" i="116"/>
  <c r="AB93" i="128"/>
  <c r="AD119" i="127"/>
  <c r="AD124" i="127"/>
  <c r="AD87" i="127"/>
  <c r="W127" i="116"/>
  <c r="AC125" i="126"/>
  <c r="AC125" i="128"/>
  <c r="AC127" i="128"/>
  <c r="AE88" i="127"/>
  <c r="X128" i="116"/>
  <c r="AD142" i="126"/>
  <c r="AD144" i="128"/>
  <c r="AD142" i="128"/>
  <c r="AC126" i="128"/>
  <c r="AB92" i="126"/>
  <c r="AD90" i="127"/>
  <c r="W130" i="116"/>
  <c r="W126" i="116"/>
  <c r="V141" i="115"/>
  <c r="AC124" i="126"/>
  <c r="AC122" i="126"/>
  <c r="AC126" i="126"/>
  <c r="AE87" i="125"/>
  <c r="X127" i="114"/>
  <c r="AB128" i="126"/>
  <c r="AB130" i="126"/>
  <c r="AC90" i="126"/>
  <c r="V130" i="115"/>
  <c r="AC89" i="126"/>
  <c r="V129" i="115"/>
  <c r="V126" i="115"/>
  <c r="X134" i="115"/>
  <c r="AD88" i="126"/>
  <c r="W128" i="115"/>
  <c r="AD87" i="126"/>
  <c r="W127" i="115"/>
  <c r="AD91" i="126"/>
  <c r="W131" i="115"/>
  <c r="AE76" i="126"/>
  <c r="W133" i="115"/>
  <c r="AE77" i="126"/>
  <c r="AD120" i="126"/>
  <c r="AD121" i="126"/>
  <c r="AD119" i="126"/>
  <c r="AA157" i="124"/>
  <c r="T140" i="113"/>
  <c r="AD141" i="126"/>
  <c r="AD143" i="126"/>
  <c r="AD80" i="126"/>
  <c r="AD82" i="126"/>
  <c r="AD78" i="126"/>
  <c r="W125" i="115"/>
  <c r="AC92" i="125"/>
  <c r="W126" i="114"/>
  <c r="AC125" i="124"/>
  <c r="AD142" i="124"/>
  <c r="AA159" i="123"/>
  <c r="AC126" i="124"/>
  <c r="AC124" i="124"/>
  <c r="AC122" i="124"/>
  <c r="AC90" i="124"/>
  <c r="V130" i="113"/>
  <c r="AC89" i="124"/>
  <c r="V129" i="113"/>
  <c r="V126" i="113"/>
  <c r="AD143" i="124"/>
  <c r="AD141" i="124"/>
  <c r="V141" i="113"/>
  <c r="X134" i="113"/>
  <c r="AD88" i="124"/>
  <c r="W128" i="113"/>
  <c r="AD87" i="124"/>
  <c r="W127" i="113"/>
  <c r="W133" i="113"/>
  <c r="AD91" i="124"/>
  <c r="W131" i="113"/>
  <c r="AE76" i="124"/>
  <c r="AD121" i="124"/>
  <c r="AD120" i="124"/>
  <c r="AE77" i="124"/>
  <c r="AD119" i="124"/>
  <c r="AD80" i="124"/>
  <c r="AD82" i="124"/>
  <c r="AD78" i="124"/>
  <c r="W125" i="113"/>
  <c r="AB92" i="124"/>
  <c r="AB128" i="124"/>
  <c r="AB130" i="124"/>
  <c r="AA94" i="123"/>
  <c r="AD144" i="123"/>
  <c r="AD143" i="123"/>
  <c r="AD145" i="123"/>
  <c r="AC126" i="122"/>
  <c r="AD142" i="122"/>
  <c r="AB93" i="122"/>
  <c r="AC127" i="123"/>
  <c r="AC125" i="122"/>
  <c r="AC126" i="123"/>
  <c r="AC128" i="123"/>
  <c r="AD143" i="122"/>
  <c r="AA158" i="122"/>
  <c r="AC127" i="122"/>
  <c r="AC144" i="122"/>
  <c r="W52" i="14"/>
  <c r="AE11" i="143"/>
  <c r="AD127" i="141"/>
  <c r="AD175" i="142"/>
  <c r="AD177" i="142"/>
  <c r="V169" i="105"/>
  <c r="T414" i="71"/>
  <c r="AE175" i="140"/>
  <c r="AE177" i="140"/>
  <c r="B177" i="140"/>
  <c r="AD175" i="143"/>
  <c r="AD177" i="143"/>
  <c r="AD175" i="141"/>
  <c r="AD177" i="141"/>
  <c r="AD174" i="138"/>
  <c r="AD176" i="138"/>
  <c r="AE174" i="136"/>
  <c r="AE176" i="136"/>
  <c r="B176" i="136"/>
  <c r="AD174" i="137"/>
  <c r="AD176" i="137"/>
  <c r="AD174" i="139"/>
  <c r="AD176" i="139"/>
  <c r="V169" i="120"/>
  <c r="T338" i="71"/>
  <c r="W141" i="102"/>
  <c r="AD92" i="135"/>
  <c r="W130" i="102"/>
  <c r="V168" i="102"/>
  <c r="T262" i="71"/>
  <c r="AD175" i="133"/>
  <c r="AD177" i="133"/>
  <c r="AD175" i="135"/>
  <c r="AD177" i="135"/>
  <c r="AE175" i="129"/>
  <c r="AE177" i="129"/>
  <c r="B177" i="129"/>
  <c r="AD175" i="134"/>
  <c r="AD177" i="134"/>
  <c r="AD174" i="132"/>
  <c r="AD176" i="132"/>
  <c r="V168" i="112"/>
  <c r="T186" i="71"/>
  <c r="AE174" i="128"/>
  <c r="AE176" i="128"/>
  <c r="B176" i="128"/>
  <c r="AD174" i="130"/>
  <c r="AD176" i="130"/>
  <c r="AD174" i="131"/>
  <c r="AD176" i="131"/>
  <c r="T110" i="71"/>
  <c r="V168" i="116"/>
  <c r="AD173" i="127"/>
  <c r="AD175" i="127"/>
  <c r="T72" i="71"/>
  <c r="V168" i="114"/>
  <c r="V168" i="115"/>
  <c r="AD173" i="125"/>
  <c r="AD175" i="125"/>
  <c r="W168" i="113"/>
  <c r="U53" i="71"/>
  <c r="AE173" i="124"/>
  <c r="AE175" i="124"/>
  <c r="B175" i="124"/>
  <c r="AD173" i="126"/>
  <c r="AD175" i="126"/>
  <c r="AE174" i="122"/>
  <c r="AE176" i="122"/>
  <c r="B176" i="122"/>
  <c r="AE143" i="141"/>
  <c r="AE144" i="141"/>
  <c r="AE145" i="141"/>
  <c r="W141" i="116"/>
  <c r="AD126" i="131"/>
  <c r="AE78" i="125"/>
  <c r="X125" i="114"/>
  <c r="AD127" i="135"/>
  <c r="AD128" i="135"/>
  <c r="AD128" i="141"/>
  <c r="AD126" i="141"/>
  <c r="AD127" i="137"/>
  <c r="AE143" i="135"/>
  <c r="X142" i="120"/>
  <c r="AD125" i="137"/>
  <c r="AE143" i="137"/>
  <c r="AE143" i="139"/>
  <c r="X133" i="102"/>
  <c r="AE125" i="137"/>
  <c r="AE81" i="139"/>
  <c r="AE83" i="139"/>
  <c r="AE91" i="139"/>
  <c r="X131" i="120"/>
  <c r="AD124" i="135"/>
  <c r="AD130" i="135"/>
  <c r="AD132" i="135"/>
  <c r="AE142" i="139"/>
  <c r="AE145" i="135"/>
  <c r="AE144" i="137"/>
  <c r="AE144" i="139"/>
  <c r="AE87" i="139"/>
  <c r="X127" i="120"/>
  <c r="AE79" i="139"/>
  <c r="X126" i="120"/>
  <c r="AE92" i="139"/>
  <c r="X132" i="120"/>
  <c r="AD89" i="125"/>
  <c r="W129" i="114"/>
  <c r="AD127" i="131"/>
  <c r="AE120" i="139"/>
  <c r="AE125" i="139"/>
  <c r="AE126" i="141"/>
  <c r="AE78" i="127"/>
  <c r="X125" i="116"/>
  <c r="AD94" i="143"/>
  <c r="AD128" i="133"/>
  <c r="AE80" i="125"/>
  <c r="AE82" i="125"/>
  <c r="AE89" i="125"/>
  <c r="X129" i="114"/>
  <c r="AC159" i="143"/>
  <c r="V141" i="105"/>
  <c r="AE142" i="137"/>
  <c r="X134" i="120"/>
  <c r="AE88" i="139"/>
  <c r="X128" i="120"/>
  <c r="AE126" i="143"/>
  <c r="AE124" i="143"/>
  <c r="AE128" i="143"/>
  <c r="AE144" i="131"/>
  <c r="AE121" i="135"/>
  <c r="AE126" i="135"/>
  <c r="AE121" i="139"/>
  <c r="AD130" i="143"/>
  <c r="AD132" i="143"/>
  <c r="AE92" i="143"/>
  <c r="X131" i="105"/>
  <c r="AE91" i="143"/>
  <c r="AE127" i="143"/>
  <c r="AC159" i="141"/>
  <c r="AB159" i="142"/>
  <c r="X142" i="105"/>
  <c r="AE80" i="127"/>
  <c r="AE82" i="127"/>
  <c r="AC94" i="142"/>
  <c r="AD127" i="142"/>
  <c r="AE11" i="141"/>
  <c r="AE11" i="142"/>
  <c r="AC93" i="136"/>
  <c r="AD128" i="142"/>
  <c r="AD126" i="142"/>
  <c r="AE145" i="142"/>
  <c r="AE143" i="142"/>
  <c r="AE89" i="135"/>
  <c r="X127" i="102"/>
  <c r="AD123" i="139"/>
  <c r="AD129" i="139"/>
  <c r="AD131" i="139"/>
  <c r="AD94" i="141"/>
  <c r="AE144" i="142"/>
  <c r="AB159" i="140"/>
  <c r="AC94" i="140"/>
  <c r="AD127" i="140"/>
  <c r="AD93" i="139"/>
  <c r="W131" i="120"/>
  <c r="AD127" i="139"/>
  <c r="AD126" i="140"/>
  <c r="AD128" i="140"/>
  <c r="AE11" i="139"/>
  <c r="AE11" i="140"/>
  <c r="AE145" i="140"/>
  <c r="AE143" i="140"/>
  <c r="AC158" i="139"/>
  <c r="V141" i="120"/>
  <c r="AB158" i="138"/>
  <c r="AD127" i="129"/>
  <c r="AE142" i="125"/>
  <c r="AD127" i="133"/>
  <c r="AE126" i="133"/>
  <c r="AC93" i="138"/>
  <c r="AE11" i="137"/>
  <c r="AE11" i="138"/>
  <c r="AE142" i="131"/>
  <c r="AE123" i="135"/>
  <c r="AE90" i="135"/>
  <c r="X128" i="102"/>
  <c r="AE144" i="138"/>
  <c r="AE142" i="138"/>
  <c r="AD94" i="135"/>
  <c r="AE122" i="135"/>
  <c r="AD126" i="138"/>
  <c r="AD127" i="138"/>
  <c r="AD125" i="138"/>
  <c r="AD93" i="137"/>
  <c r="AC158" i="137"/>
  <c r="AB158" i="136"/>
  <c r="AD125" i="125"/>
  <c r="AD126" i="136"/>
  <c r="AE144" i="129"/>
  <c r="AE125" i="131"/>
  <c r="AE144" i="136"/>
  <c r="AE142" i="136"/>
  <c r="AE11" i="135"/>
  <c r="AE11" i="136"/>
  <c r="AD125" i="136"/>
  <c r="AD127" i="136"/>
  <c r="AE145" i="133"/>
  <c r="AE143" i="136"/>
  <c r="AC159" i="135"/>
  <c r="V140" i="102"/>
  <c r="AE143" i="133"/>
  <c r="X141" i="102"/>
  <c r="AB159" i="134"/>
  <c r="AE91" i="135"/>
  <c r="X129" i="102"/>
  <c r="AE92" i="135"/>
  <c r="X130" i="102"/>
  <c r="AC94" i="134"/>
  <c r="AE144" i="134"/>
  <c r="AD127" i="134"/>
  <c r="AE11" i="133"/>
  <c r="AE11" i="134"/>
  <c r="AE142" i="127"/>
  <c r="AD126" i="134"/>
  <c r="AD128" i="134"/>
  <c r="AE145" i="134"/>
  <c r="AE143" i="134"/>
  <c r="AC159" i="133"/>
  <c r="AB158" i="132"/>
  <c r="U140" i="112"/>
  <c r="AD126" i="130"/>
  <c r="AD125" i="127"/>
  <c r="AE141" i="125"/>
  <c r="AD126" i="125"/>
  <c r="AC159" i="129"/>
  <c r="AC158" i="131"/>
  <c r="AE143" i="129"/>
  <c r="AD123" i="132"/>
  <c r="AD125" i="132"/>
  <c r="AD127" i="132"/>
  <c r="AE143" i="132"/>
  <c r="AC129" i="132"/>
  <c r="AC131" i="132"/>
  <c r="AE91" i="127"/>
  <c r="X131" i="116"/>
  <c r="AE11" i="131"/>
  <c r="AE11" i="132"/>
  <c r="AD126" i="132"/>
  <c r="AC93" i="132"/>
  <c r="X133" i="112"/>
  <c r="AE92" i="132"/>
  <c r="X131" i="112"/>
  <c r="AE89" i="132"/>
  <c r="X128" i="112"/>
  <c r="AE88" i="132"/>
  <c r="X127" i="112"/>
  <c r="AE121" i="132"/>
  <c r="AE122" i="132"/>
  <c r="AE120" i="132"/>
  <c r="W141" i="112"/>
  <c r="AE144" i="132"/>
  <c r="AE142" i="132"/>
  <c r="AE81" i="132"/>
  <c r="AE83" i="132"/>
  <c r="AE79" i="132"/>
  <c r="X125" i="112"/>
  <c r="AE143" i="125"/>
  <c r="AE120" i="127"/>
  <c r="AD91" i="132"/>
  <c r="W130" i="112"/>
  <c r="AD90" i="132"/>
  <c r="W129" i="112"/>
  <c r="AD122" i="125"/>
  <c r="AD128" i="125"/>
  <c r="AD130" i="125"/>
  <c r="AC92" i="127"/>
  <c r="AB158" i="130"/>
  <c r="AD122" i="127"/>
  <c r="AD128" i="127"/>
  <c r="AD130" i="127"/>
  <c r="AD128" i="129"/>
  <c r="AE143" i="130"/>
  <c r="AE91" i="125"/>
  <c r="X131" i="114"/>
  <c r="AE145" i="129"/>
  <c r="AD94" i="129"/>
  <c r="AD125" i="130"/>
  <c r="AD127" i="130"/>
  <c r="AC93" i="130"/>
  <c r="AB158" i="128"/>
  <c r="AE142" i="130"/>
  <c r="AE144" i="130"/>
  <c r="AE143" i="127"/>
  <c r="AE11" i="129"/>
  <c r="AE11" i="130"/>
  <c r="AD126" i="127"/>
  <c r="AC157" i="125"/>
  <c r="V140" i="114"/>
  <c r="AE142" i="126"/>
  <c r="AE141" i="127"/>
  <c r="AC157" i="127"/>
  <c r="V140" i="116"/>
  <c r="AB157" i="126"/>
  <c r="U140" i="115"/>
  <c r="AE88" i="125"/>
  <c r="X128" i="114"/>
  <c r="AE119" i="127"/>
  <c r="AE87" i="127"/>
  <c r="X127" i="116"/>
  <c r="X133" i="116"/>
  <c r="AE119" i="125"/>
  <c r="AE121" i="125"/>
  <c r="X133" i="114"/>
  <c r="AD92" i="127"/>
  <c r="AC93" i="128"/>
  <c r="AD126" i="128"/>
  <c r="AE120" i="125"/>
  <c r="AE121" i="127"/>
  <c r="AE125" i="127"/>
  <c r="AD125" i="128"/>
  <c r="AD127" i="128"/>
  <c r="AE143" i="128"/>
  <c r="AE11" i="127"/>
  <c r="AE11" i="128"/>
  <c r="AE144" i="128"/>
  <c r="AE142" i="128"/>
  <c r="AE90" i="127"/>
  <c r="X130" i="116"/>
  <c r="AE89" i="127"/>
  <c r="X129" i="116"/>
  <c r="AE143" i="126"/>
  <c r="AE141" i="126"/>
  <c r="AE91" i="126"/>
  <c r="X131" i="115"/>
  <c r="AE87" i="126"/>
  <c r="X127" i="115"/>
  <c r="AE88" i="126"/>
  <c r="X128" i="115"/>
  <c r="X133" i="115"/>
  <c r="AE120" i="126"/>
  <c r="AE121" i="126"/>
  <c r="AE119" i="126"/>
  <c r="AE11" i="125"/>
  <c r="AE11" i="126"/>
  <c r="AD90" i="126"/>
  <c r="W130" i="115"/>
  <c r="AD89" i="126"/>
  <c r="W129" i="115"/>
  <c r="W126" i="115"/>
  <c r="AD122" i="126"/>
  <c r="AD126" i="126"/>
  <c r="AD124" i="126"/>
  <c r="W141" i="115"/>
  <c r="AC128" i="126"/>
  <c r="AC130" i="126"/>
  <c r="AD125" i="126"/>
  <c r="AC92" i="126"/>
  <c r="AB157" i="124"/>
  <c r="U140" i="113"/>
  <c r="AE80" i="126"/>
  <c r="AE82" i="126"/>
  <c r="AE78" i="126"/>
  <c r="X125" i="115"/>
  <c r="AE90" i="125"/>
  <c r="X130" i="114"/>
  <c r="X126" i="114"/>
  <c r="AE142" i="124"/>
  <c r="AD125" i="124"/>
  <c r="AB159" i="123"/>
  <c r="AB94" i="123"/>
  <c r="AD90" i="124"/>
  <c r="W130" i="113"/>
  <c r="AD89" i="124"/>
  <c r="W129" i="113"/>
  <c r="W126" i="113"/>
  <c r="AE80" i="124"/>
  <c r="AE82" i="124"/>
  <c r="AE78" i="124"/>
  <c r="X125" i="113"/>
  <c r="AC128" i="124"/>
  <c r="AC130" i="124"/>
  <c r="AE11" i="124"/>
  <c r="AE11" i="123"/>
  <c r="AC92" i="124"/>
  <c r="AD124" i="124"/>
  <c r="AD122" i="124"/>
  <c r="AD126" i="124"/>
  <c r="W141" i="113"/>
  <c r="AE91" i="124"/>
  <c r="X131" i="113"/>
  <c r="AE87" i="124"/>
  <c r="X127" i="113"/>
  <c r="AE88" i="124"/>
  <c r="X128" i="113"/>
  <c r="AE120" i="124"/>
  <c r="X133" i="113"/>
  <c r="AE121" i="124"/>
  <c r="AE119" i="124"/>
  <c r="AE143" i="124"/>
  <c r="AE141" i="124"/>
  <c r="AD127" i="123"/>
  <c r="AE145" i="123"/>
  <c r="AE143" i="123"/>
  <c r="AE11" i="122"/>
  <c r="AE142" i="122"/>
  <c r="AD125" i="122"/>
  <c r="AE143" i="122"/>
  <c r="AD126" i="122"/>
  <c r="AE144" i="123"/>
  <c r="AD126" i="123"/>
  <c r="AD128" i="123"/>
  <c r="AB158" i="122"/>
  <c r="AD144" i="122"/>
  <c r="AD127" i="122"/>
  <c r="AE175" i="143"/>
  <c r="AE177" i="143"/>
  <c r="B177" i="143"/>
  <c r="AE175" i="142"/>
  <c r="AE177" i="142"/>
  <c r="B177" i="142"/>
  <c r="W169" i="105"/>
  <c r="U414" i="71"/>
  <c r="AE175" i="141"/>
  <c r="AE177" i="141"/>
  <c r="B177" i="141"/>
  <c r="AE174" i="138"/>
  <c r="AE176" i="138"/>
  <c r="B176" i="138"/>
  <c r="U338" i="71"/>
  <c r="W169" i="120"/>
  <c r="AE174" i="137"/>
  <c r="AE176" i="137"/>
  <c r="B176" i="137"/>
  <c r="AE174" i="139"/>
  <c r="AE176" i="139"/>
  <c r="B176" i="139"/>
  <c r="AD94" i="133"/>
  <c r="AE175" i="134"/>
  <c r="AE177" i="134"/>
  <c r="B177" i="134"/>
  <c r="AE175" i="133"/>
  <c r="AE177" i="133"/>
  <c r="B177" i="133"/>
  <c r="AE175" i="135"/>
  <c r="AE177" i="135"/>
  <c r="B177" i="135"/>
  <c r="W168" i="102"/>
  <c r="U262" i="71"/>
  <c r="AE174" i="130"/>
  <c r="AE176" i="130"/>
  <c r="B176" i="130"/>
  <c r="U186" i="71"/>
  <c r="W168" i="112"/>
  <c r="AE174" i="131"/>
  <c r="AE176" i="131"/>
  <c r="B176" i="131"/>
  <c r="AE174" i="132"/>
  <c r="AE176" i="132"/>
  <c r="B176" i="132"/>
  <c r="AE173" i="125"/>
  <c r="AE175" i="125"/>
  <c r="B175" i="125"/>
  <c r="U110" i="71"/>
  <c r="W168" i="116"/>
  <c r="X168" i="113"/>
  <c r="V53" i="71"/>
  <c r="W53" i="71"/>
  <c r="X54" i="71"/>
  <c r="W168" i="115"/>
  <c r="AE173" i="126"/>
  <c r="AE175" i="126"/>
  <c r="B175" i="126"/>
  <c r="AE173" i="127"/>
  <c r="AE175" i="127"/>
  <c r="B175" i="127"/>
  <c r="W168" i="114"/>
  <c r="U72" i="71"/>
  <c r="AE90" i="139"/>
  <c r="X130" i="120"/>
  <c r="AE127" i="139"/>
  <c r="AE128" i="133"/>
  <c r="AE128" i="141"/>
  <c r="AE123" i="139"/>
  <c r="AE126" i="139"/>
  <c r="AE127" i="141"/>
  <c r="AD92" i="125"/>
  <c r="AE94" i="143"/>
  <c r="X130" i="105"/>
  <c r="AD159" i="143"/>
  <c r="W141" i="105"/>
  <c r="AE94" i="141"/>
  <c r="AE124" i="135"/>
  <c r="AD94" i="142"/>
  <c r="AE127" i="137"/>
  <c r="AE126" i="137"/>
  <c r="AC159" i="142"/>
  <c r="AE130" i="143"/>
  <c r="AE132" i="143"/>
  <c r="X141" i="116"/>
  <c r="AD159" i="141"/>
  <c r="AE127" i="142"/>
  <c r="AE126" i="142"/>
  <c r="AE128" i="142"/>
  <c r="AD94" i="140"/>
  <c r="AC159" i="140"/>
  <c r="AD158" i="139"/>
  <c r="W141" i="120"/>
  <c r="AE93" i="139"/>
  <c r="AE127" i="140"/>
  <c r="AE126" i="140"/>
  <c r="AE128" i="140"/>
  <c r="X141" i="114"/>
  <c r="AE127" i="135"/>
  <c r="AC158" i="138"/>
  <c r="AE129" i="139"/>
  <c r="AE131" i="139"/>
  <c r="AE128" i="135"/>
  <c r="AD93" i="138"/>
  <c r="AE127" i="129"/>
  <c r="AE128" i="129"/>
  <c r="AE127" i="133"/>
  <c r="AE126" i="138"/>
  <c r="AE126" i="131"/>
  <c r="AE93" i="137"/>
  <c r="AE125" i="138"/>
  <c r="AE127" i="138"/>
  <c r="AD158" i="137"/>
  <c r="AE94" i="135"/>
  <c r="AC158" i="136"/>
  <c r="AD93" i="136"/>
  <c r="AE127" i="136"/>
  <c r="AE125" i="136"/>
  <c r="AD159" i="135"/>
  <c r="W140" i="102"/>
  <c r="AE126" i="136"/>
  <c r="AC159" i="134"/>
  <c r="AE126" i="129"/>
  <c r="AD94" i="134"/>
  <c r="AE130" i="135"/>
  <c r="AE132" i="135"/>
  <c r="AE127" i="134"/>
  <c r="AE126" i="130"/>
  <c r="AE94" i="133"/>
  <c r="AE126" i="134"/>
  <c r="AE128" i="134"/>
  <c r="AD159" i="133"/>
  <c r="AC158" i="132"/>
  <c r="V140" i="112"/>
  <c r="AE122" i="127"/>
  <c r="AE128" i="127"/>
  <c r="AE130" i="127"/>
  <c r="AE127" i="131"/>
  <c r="AD159" i="129"/>
  <c r="AD93" i="132"/>
  <c r="W126" i="112"/>
  <c r="AD158" i="131"/>
  <c r="AE124" i="127"/>
  <c r="AE125" i="125"/>
  <c r="AE126" i="125"/>
  <c r="AE125" i="132"/>
  <c r="AE127" i="132"/>
  <c r="AE123" i="132"/>
  <c r="X141" i="112"/>
  <c r="AD129" i="132"/>
  <c r="AD131" i="132"/>
  <c r="AE91" i="132"/>
  <c r="X130" i="112"/>
  <c r="AE90" i="132"/>
  <c r="X129" i="112"/>
  <c r="AE126" i="132"/>
  <c r="AE122" i="125"/>
  <c r="AE128" i="125"/>
  <c r="AE130" i="125"/>
  <c r="AE124" i="125"/>
  <c r="AE94" i="129"/>
  <c r="AC158" i="130"/>
  <c r="AC158" i="128"/>
  <c r="AE125" i="130"/>
  <c r="AE127" i="130"/>
  <c r="AD93" i="130"/>
  <c r="AD93" i="128"/>
  <c r="AD157" i="127"/>
  <c r="W140" i="116"/>
  <c r="AD93" i="122"/>
  <c r="AC157" i="126"/>
  <c r="V140" i="115"/>
  <c r="AD157" i="125"/>
  <c r="W140" i="114"/>
  <c r="AE92" i="127"/>
  <c r="X126" i="116"/>
  <c r="AE126" i="128"/>
  <c r="AE126" i="127"/>
  <c r="AE127" i="128"/>
  <c r="AE125" i="128"/>
  <c r="AD92" i="126"/>
  <c r="AE89" i="126"/>
  <c r="X129" i="115"/>
  <c r="AE90" i="126"/>
  <c r="X130" i="115"/>
  <c r="X141" i="115"/>
  <c r="AE126" i="126"/>
  <c r="AE124" i="126"/>
  <c r="AE122" i="126"/>
  <c r="AC157" i="124"/>
  <c r="V140" i="113"/>
  <c r="AD128" i="126"/>
  <c r="AD130" i="126"/>
  <c r="AE125" i="126"/>
  <c r="AE92" i="125"/>
  <c r="X141" i="113"/>
  <c r="AD128" i="124"/>
  <c r="AD130" i="124"/>
  <c r="X126" i="113"/>
  <c r="AE90" i="124"/>
  <c r="X130" i="113"/>
  <c r="AE89" i="124"/>
  <c r="X129" i="113"/>
  <c r="AC93" i="122"/>
  <c r="AE125" i="124"/>
  <c r="AD92" i="124"/>
  <c r="AC159" i="123"/>
  <c r="AE124" i="124"/>
  <c r="AE126" i="124"/>
  <c r="AE122" i="124"/>
  <c r="AD94" i="123"/>
  <c r="AE127" i="123"/>
  <c r="AE125" i="122"/>
  <c r="AE126" i="122"/>
  <c r="AC94" i="123"/>
  <c r="AE128" i="123"/>
  <c r="AE126" i="123"/>
  <c r="AC158" i="122"/>
  <c r="AE127" i="122"/>
  <c r="AE144" i="122"/>
  <c r="R7" i="73"/>
  <c r="S7" i="73"/>
  <c r="T7" i="73"/>
  <c r="U7" i="73"/>
  <c r="V7" i="73"/>
  <c r="V414" i="71"/>
  <c r="W414" i="71"/>
  <c r="X415" i="71"/>
  <c r="X169" i="105"/>
  <c r="V338" i="71"/>
  <c r="W338" i="71"/>
  <c r="X339" i="71"/>
  <c r="X169" i="120"/>
  <c r="V262" i="71"/>
  <c r="W262" i="71"/>
  <c r="X263" i="71"/>
  <c r="X168" i="102"/>
  <c r="V186" i="71"/>
  <c r="W186" i="71"/>
  <c r="X187" i="71"/>
  <c r="X168" i="112"/>
  <c r="V110" i="71"/>
  <c r="W110" i="71"/>
  <c r="X111" i="71"/>
  <c r="X168" i="116"/>
  <c r="X168" i="115"/>
  <c r="V72" i="71"/>
  <c r="W72" i="71"/>
  <c r="X73" i="71"/>
  <c r="X168" i="114"/>
  <c r="AE159" i="143"/>
  <c r="X141" i="105"/>
  <c r="AE159" i="141"/>
  <c r="AD159" i="142"/>
  <c r="AE94" i="142"/>
  <c r="AE94" i="140"/>
  <c r="AD159" i="140"/>
  <c r="AE158" i="139"/>
  <c r="X141" i="120"/>
  <c r="AD158" i="138"/>
  <c r="AE93" i="138"/>
  <c r="AE158" i="137"/>
  <c r="AD158" i="136"/>
  <c r="AE93" i="136"/>
  <c r="AE159" i="135"/>
  <c r="X140" i="102"/>
  <c r="AE94" i="134"/>
  <c r="AD159" i="134"/>
  <c r="AE159" i="133"/>
  <c r="AE159" i="129"/>
  <c r="AD158" i="132"/>
  <c r="W140" i="112"/>
  <c r="AE93" i="132"/>
  <c r="X126" i="112"/>
  <c r="AE158" i="131"/>
  <c r="AE129" i="132"/>
  <c r="AE131" i="132"/>
  <c r="AD158" i="130"/>
  <c r="AE93" i="130"/>
  <c r="AD158" i="128"/>
  <c r="AE157" i="125"/>
  <c r="X140" i="114"/>
  <c r="AE93" i="128"/>
  <c r="AE92" i="126"/>
  <c r="X126" i="115"/>
  <c r="AD157" i="126"/>
  <c r="W140" i="115"/>
  <c r="AE157" i="127"/>
  <c r="X140" i="116"/>
  <c r="AD157" i="124"/>
  <c r="W140" i="113"/>
  <c r="AE128" i="126"/>
  <c r="AE130" i="126"/>
  <c r="AE128" i="124"/>
  <c r="AE130" i="124"/>
  <c r="AD159" i="123"/>
  <c r="AE92" i="124"/>
  <c r="AD158" i="122"/>
  <c r="S40" i="13"/>
  <c r="AE159" i="142"/>
  <c r="AE159" i="140"/>
  <c r="AE158" i="138"/>
  <c r="AE158" i="136"/>
  <c r="AE159" i="134"/>
  <c r="AE158" i="132"/>
  <c r="X140" i="112"/>
  <c r="AE158" i="130"/>
  <c r="AE94" i="123"/>
  <c r="AE158" i="128"/>
  <c r="AE157" i="126"/>
  <c r="X140" i="115"/>
  <c r="AE157" i="124"/>
  <c r="X140" i="113"/>
  <c r="AE93" i="122"/>
  <c r="AE159" i="123"/>
  <c r="AE158" i="122"/>
  <c r="H137" i="120"/>
  <c r="I137" i="120"/>
  <c r="H136" i="114"/>
  <c r="H136" i="115"/>
  <c r="H136" i="113"/>
  <c r="H136" i="116"/>
  <c r="H136" i="112"/>
  <c r="H137" i="105"/>
  <c r="I137" i="105"/>
  <c r="U69" i="13"/>
  <c r="M40" i="13"/>
  <c r="N40" i="13"/>
  <c r="O40" i="13"/>
  <c r="P40" i="13"/>
  <c r="Q40" i="13"/>
  <c r="R40" i="13"/>
  <c r="L40" i="13"/>
  <c r="T40" i="13"/>
  <c r="E151" i="93"/>
  <c r="F151" i="93"/>
  <c r="F143" i="120"/>
  <c r="F145" i="120"/>
  <c r="F142" i="112"/>
  <c r="F144" i="112"/>
  <c r="F142" i="116"/>
  <c r="F144" i="116"/>
  <c r="F142" i="114"/>
  <c r="F144" i="114"/>
  <c r="F142" i="115"/>
  <c r="F144" i="115"/>
  <c r="F142" i="113"/>
  <c r="F144" i="113"/>
  <c r="F143" i="105"/>
  <c r="F145" i="105"/>
  <c r="F142" i="102"/>
  <c r="F144" i="102"/>
  <c r="F152" i="102"/>
  <c r="D259" i="71"/>
  <c r="F156" i="102"/>
  <c r="F160" i="102"/>
  <c r="E170" i="97"/>
  <c r="F152" i="112"/>
  <c r="G143" i="120"/>
  <c r="G145" i="120"/>
  <c r="F153" i="120"/>
  <c r="D335" i="71"/>
  <c r="F152" i="115"/>
  <c r="G142" i="112"/>
  <c r="G144" i="112"/>
  <c r="G152" i="112"/>
  <c r="G142" i="116"/>
  <c r="G144" i="116"/>
  <c r="G142" i="115"/>
  <c r="G144" i="115"/>
  <c r="G142" i="114"/>
  <c r="G144" i="114"/>
  <c r="G142" i="113"/>
  <c r="G144" i="113"/>
  <c r="F152" i="114"/>
  <c r="F152" i="116"/>
  <c r="F152" i="113"/>
  <c r="G143" i="105"/>
  <c r="G145" i="105"/>
  <c r="F153" i="105"/>
  <c r="D411" i="71"/>
  <c r="G142" i="102"/>
  <c r="G144" i="102"/>
  <c r="G152" i="102"/>
  <c r="F170" i="96"/>
  <c r="D208" i="71"/>
  <c r="F170" i="101"/>
  <c r="D246" i="71"/>
  <c r="E259" i="71"/>
  <c r="G156" i="102"/>
  <c r="G160" i="102"/>
  <c r="F170" i="99"/>
  <c r="D227" i="71"/>
  <c r="E183" i="71"/>
  <c r="G156" i="112"/>
  <c r="G160" i="112"/>
  <c r="D183" i="71"/>
  <c r="F156" i="112"/>
  <c r="F170" i="111"/>
  <c r="D170" i="71"/>
  <c r="F170" i="109"/>
  <c r="D132" i="71"/>
  <c r="D107" i="71"/>
  <c r="F156" i="116"/>
  <c r="F170" i="116"/>
  <c r="D113" i="71"/>
  <c r="D88" i="71"/>
  <c r="F156" i="115"/>
  <c r="F170" i="115"/>
  <c r="D94" i="71"/>
  <c r="D69" i="71"/>
  <c r="F156" i="114"/>
  <c r="F170" i="114"/>
  <c r="D75" i="71"/>
  <c r="D50" i="71"/>
  <c r="F156" i="113"/>
  <c r="F170" i="113"/>
  <c r="D56" i="71"/>
  <c r="F170" i="97"/>
  <c r="D18" i="71"/>
  <c r="F170" i="110"/>
  <c r="D151" i="71"/>
  <c r="F170" i="108"/>
  <c r="D37" i="71"/>
  <c r="F171" i="110"/>
  <c r="H143" i="120"/>
  <c r="H145" i="120"/>
  <c r="H153" i="120"/>
  <c r="F335" i="71"/>
  <c r="G153" i="120"/>
  <c r="E335" i="71"/>
  <c r="H142" i="112"/>
  <c r="H144" i="112"/>
  <c r="H142" i="116"/>
  <c r="H144" i="116"/>
  <c r="H142" i="115"/>
  <c r="H144" i="115"/>
  <c r="H142" i="114"/>
  <c r="H144" i="114"/>
  <c r="H142" i="113"/>
  <c r="H144" i="113"/>
  <c r="G152" i="113"/>
  <c r="G152" i="114"/>
  <c r="G152" i="115"/>
  <c r="G152" i="116"/>
  <c r="F170" i="102"/>
  <c r="D265" i="71"/>
  <c r="D260" i="71"/>
  <c r="H143" i="105"/>
  <c r="H145" i="105"/>
  <c r="H153" i="105"/>
  <c r="F411" i="71"/>
  <c r="G153" i="105"/>
  <c r="E411" i="71"/>
  <c r="H142" i="102"/>
  <c r="H144" i="102"/>
  <c r="H152" i="102"/>
  <c r="F171" i="102"/>
  <c r="F174" i="102"/>
  <c r="C18" i="71"/>
  <c r="E171" i="96"/>
  <c r="E170" i="96"/>
  <c r="C208" i="71"/>
  <c r="E172" i="93"/>
  <c r="E171" i="93"/>
  <c r="C360" i="71"/>
  <c r="E171" i="97"/>
  <c r="F171" i="101"/>
  <c r="F259" i="71"/>
  <c r="H156" i="102"/>
  <c r="D267" i="71"/>
  <c r="E260" i="71"/>
  <c r="G170" i="101"/>
  <c r="E246" i="71"/>
  <c r="G170" i="96"/>
  <c r="E208" i="71"/>
  <c r="E184" i="71"/>
  <c r="F160" i="112"/>
  <c r="D184" i="71"/>
  <c r="F170" i="112"/>
  <c r="D189" i="71"/>
  <c r="F171" i="111"/>
  <c r="F160" i="116"/>
  <c r="F171" i="116"/>
  <c r="D108" i="71"/>
  <c r="F160" i="115"/>
  <c r="F171" i="115"/>
  <c r="D89" i="71"/>
  <c r="F160" i="114"/>
  <c r="F171" i="114"/>
  <c r="D70" i="71"/>
  <c r="F160" i="113"/>
  <c r="F171" i="113"/>
  <c r="D51" i="71"/>
  <c r="H152" i="112"/>
  <c r="G171" i="112"/>
  <c r="G170" i="111"/>
  <c r="E170" i="71"/>
  <c r="G170" i="112"/>
  <c r="E189" i="71"/>
  <c r="G170" i="109"/>
  <c r="E132" i="71"/>
  <c r="E88" i="71"/>
  <c r="G156" i="115"/>
  <c r="G170" i="115"/>
  <c r="E94" i="71"/>
  <c r="E69" i="71"/>
  <c r="G156" i="114"/>
  <c r="E107" i="71"/>
  <c r="G156" i="116"/>
  <c r="G170" i="116"/>
  <c r="E113" i="71"/>
  <c r="H152" i="116"/>
  <c r="H152" i="115"/>
  <c r="H152" i="114"/>
  <c r="E50" i="71"/>
  <c r="G156" i="113"/>
  <c r="G170" i="113"/>
  <c r="E56" i="71"/>
  <c r="H152" i="113"/>
  <c r="G171" i="108"/>
  <c r="F171" i="108"/>
  <c r="G170" i="110"/>
  <c r="E151" i="71"/>
  <c r="F171" i="97"/>
  <c r="G171" i="110"/>
  <c r="G170" i="108"/>
  <c r="E37" i="71"/>
  <c r="I143" i="120"/>
  <c r="I145" i="120"/>
  <c r="I153" i="120"/>
  <c r="G335" i="71"/>
  <c r="I142" i="112"/>
  <c r="I142" i="116"/>
  <c r="I142" i="115"/>
  <c r="I142" i="114"/>
  <c r="I142" i="113"/>
  <c r="G174" i="102"/>
  <c r="E267" i="71"/>
  <c r="G170" i="102"/>
  <c r="E265" i="71"/>
  <c r="I143" i="105"/>
  <c r="I145" i="105"/>
  <c r="I153" i="105"/>
  <c r="G411" i="71"/>
  <c r="I142" i="102"/>
  <c r="F174" i="113"/>
  <c r="D58" i="71"/>
  <c r="F171" i="109"/>
  <c r="F171" i="96"/>
  <c r="F171" i="99"/>
  <c r="H170" i="102"/>
  <c r="F265" i="71"/>
  <c r="H160" i="102"/>
  <c r="F260" i="71"/>
  <c r="F174" i="116"/>
  <c r="D115" i="71"/>
  <c r="G171" i="101"/>
  <c r="G171" i="99"/>
  <c r="G170" i="99"/>
  <c r="E227" i="71"/>
  <c r="F174" i="115"/>
  <c r="D96" i="71"/>
  <c r="F183" i="71"/>
  <c r="H156" i="112"/>
  <c r="H160" i="112"/>
  <c r="F174" i="112"/>
  <c r="D191" i="71"/>
  <c r="F171" i="112"/>
  <c r="F174" i="114"/>
  <c r="D77" i="71"/>
  <c r="G174" i="112"/>
  <c r="G171" i="111"/>
  <c r="G160" i="114"/>
  <c r="G171" i="114"/>
  <c r="E70" i="71"/>
  <c r="F107" i="71"/>
  <c r="H156" i="116"/>
  <c r="H160" i="116"/>
  <c r="G160" i="116"/>
  <c r="G171" i="116"/>
  <c r="E108" i="71"/>
  <c r="G160" i="115"/>
  <c r="G174" i="115"/>
  <c r="E96" i="71"/>
  <c r="E89" i="71"/>
  <c r="F88" i="71"/>
  <c r="H156" i="115"/>
  <c r="H160" i="115"/>
  <c r="G170" i="114"/>
  <c r="E75" i="71"/>
  <c r="F69" i="71"/>
  <c r="H156" i="114"/>
  <c r="H160" i="114"/>
  <c r="G160" i="113"/>
  <c r="G174" i="113"/>
  <c r="E58" i="71"/>
  <c r="E51" i="71"/>
  <c r="G170" i="97"/>
  <c r="E18" i="71"/>
  <c r="F50" i="71"/>
  <c r="H156" i="113"/>
  <c r="H160" i="113"/>
  <c r="J143" i="120"/>
  <c r="J142" i="112"/>
  <c r="J142" i="116"/>
  <c r="J142" i="115"/>
  <c r="J142" i="114"/>
  <c r="J142" i="113"/>
  <c r="G171" i="102"/>
  <c r="J143" i="105"/>
  <c r="J142" i="102"/>
  <c r="G171" i="96"/>
  <c r="H170" i="101"/>
  <c r="F246" i="71"/>
  <c r="H170" i="99"/>
  <c r="F227" i="71"/>
  <c r="H174" i="102"/>
  <c r="F267" i="71"/>
  <c r="H171" i="102"/>
  <c r="H171" i="101"/>
  <c r="H171" i="99"/>
  <c r="G174" i="116"/>
  <c r="E115" i="71"/>
  <c r="F70" i="71"/>
  <c r="G174" i="114"/>
  <c r="E77" i="71"/>
  <c r="H170" i="111"/>
  <c r="F170" i="71"/>
  <c r="H170" i="112"/>
  <c r="F189" i="71"/>
  <c r="G171" i="113"/>
  <c r="F184" i="71"/>
  <c r="H170" i="110"/>
  <c r="F151" i="71"/>
  <c r="E191" i="71"/>
  <c r="H174" i="112"/>
  <c r="F191" i="71"/>
  <c r="H171" i="112"/>
  <c r="H170" i="113"/>
  <c r="F56" i="71"/>
  <c r="H171" i="111"/>
  <c r="H170" i="115"/>
  <c r="F94" i="71"/>
  <c r="G171" i="115"/>
  <c r="F89" i="71"/>
  <c r="H170" i="109"/>
  <c r="F132" i="71"/>
  <c r="H171" i="110"/>
  <c r="F108" i="71"/>
  <c r="G171" i="109"/>
  <c r="H170" i="108"/>
  <c r="F37" i="71"/>
  <c r="H171" i="109"/>
  <c r="H170" i="116"/>
  <c r="F113" i="71"/>
  <c r="H170" i="114"/>
  <c r="F75" i="71"/>
  <c r="H174" i="116"/>
  <c r="F115" i="71"/>
  <c r="H171" i="116"/>
  <c r="H171" i="115"/>
  <c r="H174" i="115"/>
  <c r="F96" i="71"/>
  <c r="H171" i="114"/>
  <c r="H174" i="114"/>
  <c r="F77" i="71"/>
  <c r="F51" i="71"/>
  <c r="G171" i="97"/>
  <c r="H171" i="113"/>
  <c r="H174" i="113"/>
  <c r="H171" i="108"/>
  <c r="K143" i="120"/>
  <c r="K142" i="112"/>
  <c r="K142" i="116"/>
  <c r="K142" i="115"/>
  <c r="K142" i="114"/>
  <c r="K142" i="113"/>
  <c r="K143" i="105"/>
  <c r="K142" i="102"/>
  <c r="F58" i="71"/>
  <c r="L143" i="120"/>
  <c r="L142" i="112"/>
  <c r="L142" i="116"/>
  <c r="L142" i="115"/>
  <c r="L142" i="114"/>
  <c r="L142" i="113"/>
  <c r="L143" i="105"/>
  <c r="L142" i="102"/>
  <c r="M143" i="120"/>
  <c r="M142" i="112"/>
  <c r="M142" i="116"/>
  <c r="M142" i="115"/>
  <c r="M142" i="114"/>
  <c r="M142" i="113"/>
  <c r="M143" i="105"/>
  <c r="M142" i="102"/>
  <c r="G151" i="93"/>
  <c r="N143" i="120"/>
  <c r="N142" i="112"/>
  <c r="N142" i="116"/>
  <c r="N142" i="114"/>
  <c r="N142" i="115"/>
  <c r="N142" i="113"/>
  <c r="N143" i="105"/>
  <c r="N142" i="102"/>
  <c r="O143" i="120"/>
  <c r="O142" i="112"/>
  <c r="O142" i="116"/>
  <c r="O142" i="115"/>
  <c r="O142" i="114"/>
  <c r="O142" i="113"/>
  <c r="O143" i="105"/>
  <c r="O142" i="102"/>
  <c r="P143" i="120"/>
  <c r="P142" i="112"/>
  <c r="P142" i="116"/>
  <c r="P142" i="115"/>
  <c r="P142" i="114"/>
  <c r="P142" i="113"/>
  <c r="P143" i="105"/>
  <c r="P142" i="102"/>
  <c r="Q143" i="120"/>
  <c r="Q142" i="112"/>
  <c r="Q142" i="116"/>
  <c r="Q142" i="115"/>
  <c r="Q142" i="114"/>
  <c r="Q142" i="113"/>
  <c r="Q143" i="105"/>
  <c r="Q142" i="102"/>
  <c r="R143" i="120"/>
  <c r="R142" i="112"/>
  <c r="R142" i="116"/>
  <c r="R142" i="115"/>
  <c r="R142" i="114"/>
  <c r="R142" i="113"/>
  <c r="R143" i="105"/>
  <c r="R142" i="102"/>
  <c r="S143" i="120"/>
  <c r="S142" i="112"/>
  <c r="S142" i="116"/>
  <c r="S142" i="115"/>
  <c r="S142" i="114"/>
  <c r="S142" i="113"/>
  <c r="S143" i="105"/>
  <c r="S142" i="102"/>
  <c r="T143" i="120"/>
  <c r="U143" i="120"/>
  <c r="U142" i="112"/>
  <c r="U142" i="116"/>
  <c r="U142" i="115"/>
  <c r="U142" i="114"/>
  <c r="U142" i="113"/>
  <c r="T142" i="112"/>
  <c r="T142" i="116"/>
  <c r="T142" i="115"/>
  <c r="T142" i="114"/>
  <c r="T142" i="113"/>
  <c r="U143" i="105"/>
  <c r="T143" i="105"/>
  <c r="T142" i="102"/>
  <c r="U142" i="102"/>
  <c r="V143" i="120"/>
  <c r="V142" i="112"/>
  <c r="V142" i="116"/>
  <c r="V142" i="114"/>
  <c r="V142" i="115"/>
  <c r="V142" i="113"/>
  <c r="V143" i="105"/>
  <c r="V142" i="102"/>
  <c r="W143" i="120"/>
  <c r="W142" i="116"/>
  <c r="W142" i="115"/>
  <c r="W142" i="114"/>
  <c r="W142" i="113"/>
  <c r="W142" i="112"/>
  <c r="W143" i="105"/>
  <c r="W142" i="102"/>
  <c r="AJ7" i="13"/>
  <c r="T7" i="99"/>
  <c r="T7" i="97"/>
  <c r="T7" i="96"/>
  <c r="T7" i="93"/>
  <c r="AJ14" i="13"/>
  <c r="AJ74" i="13"/>
  <c r="AJ75" i="13"/>
  <c r="AJ73" i="13"/>
  <c r="AK7" i="13"/>
  <c r="X143" i="120"/>
  <c r="X142" i="116"/>
  <c r="X142" i="115"/>
  <c r="X142" i="114"/>
  <c r="X142" i="113"/>
  <c r="X142" i="112"/>
  <c r="X143" i="105"/>
  <c r="X142" i="102"/>
  <c r="U7" i="99"/>
  <c r="U7" i="96"/>
  <c r="U7" i="97"/>
  <c r="U7" i="93"/>
  <c r="AK14" i="13"/>
  <c r="AK74" i="13"/>
  <c r="AK75" i="13"/>
  <c r="AK73" i="13"/>
  <c r="AJ40" i="13"/>
  <c r="AJ39" i="13"/>
  <c r="AL7" i="13"/>
  <c r="V7" i="99"/>
  <c r="V7" i="96"/>
  <c r="V7" i="97"/>
  <c r="V7" i="93"/>
  <c r="AJ15" i="13"/>
  <c r="AJ42" i="13"/>
  <c r="AJ34" i="13"/>
  <c r="AJ36" i="13"/>
  <c r="T28" i="108"/>
  <c r="AA33" i="123"/>
  <c r="AJ20" i="13"/>
  <c r="AJ41" i="13"/>
  <c r="AL14" i="13"/>
  <c r="AL74" i="13"/>
  <c r="AL75" i="13"/>
  <c r="AL73" i="13"/>
  <c r="AK40" i="13"/>
  <c r="AK39" i="13"/>
  <c r="AM7" i="13"/>
  <c r="T30" i="108"/>
  <c r="T33" i="108"/>
  <c r="AA38" i="123"/>
  <c r="W7" i="99"/>
  <c r="AJ22" i="13"/>
  <c r="W7" i="96"/>
  <c r="W7" i="97"/>
  <c r="W7" i="93"/>
  <c r="T28" i="97"/>
  <c r="AJ29" i="13"/>
  <c r="AK15" i="13"/>
  <c r="AK42" i="13"/>
  <c r="AK34" i="13"/>
  <c r="AK36" i="13"/>
  <c r="U28" i="108"/>
  <c r="AB33" i="123"/>
  <c r="AK20" i="13"/>
  <c r="AM14" i="13"/>
  <c r="AK41" i="13"/>
  <c r="AM75" i="13"/>
  <c r="AL40" i="13"/>
  <c r="AL39" i="13"/>
  <c r="AN7" i="13"/>
  <c r="U30" i="108"/>
  <c r="U33" i="108"/>
  <c r="AB38" i="123"/>
  <c r="T30" i="99"/>
  <c r="AA35" i="133"/>
  <c r="T33" i="99"/>
  <c r="AA38" i="133"/>
  <c r="X7" i="99"/>
  <c r="AK22" i="13"/>
  <c r="U28" i="97"/>
  <c r="X7" i="97"/>
  <c r="X7" i="96"/>
  <c r="X7" i="93"/>
  <c r="T30" i="93"/>
  <c r="AA35" i="140"/>
  <c r="T33" i="93"/>
  <c r="AA38" i="140"/>
  <c r="T30" i="96"/>
  <c r="T33" i="96"/>
  <c r="AA38" i="129"/>
  <c r="T30" i="97"/>
  <c r="T33" i="97"/>
  <c r="AN14" i="13"/>
  <c r="AN74" i="13"/>
  <c r="AM74" i="13"/>
  <c r="AM73" i="13"/>
  <c r="AL15" i="13"/>
  <c r="AL42" i="13"/>
  <c r="AL41" i="13"/>
  <c r="AL34" i="13"/>
  <c r="AL36" i="13"/>
  <c r="V28" i="108"/>
  <c r="AC33" i="123"/>
  <c r="AL20" i="13"/>
  <c r="AK29" i="13"/>
  <c r="AN75" i="13"/>
  <c r="AN73" i="13"/>
  <c r="AM40" i="13"/>
  <c r="AM39" i="13"/>
  <c r="W50" i="14"/>
  <c r="V50" i="14"/>
  <c r="U50" i="14"/>
  <c r="T50" i="14"/>
  <c r="S50" i="14"/>
  <c r="R50" i="14"/>
  <c r="Q50" i="14"/>
  <c r="P50" i="14"/>
  <c r="O50" i="14"/>
  <c r="N50" i="14"/>
  <c r="M50" i="14"/>
  <c r="L50" i="14"/>
  <c r="K50" i="14"/>
  <c r="J50" i="14"/>
  <c r="I50" i="14"/>
  <c r="H50" i="14"/>
  <c r="G50" i="14"/>
  <c r="H20" i="14"/>
  <c r="I76" i="112"/>
  <c r="I76" i="102"/>
  <c r="I76" i="120"/>
  <c r="I76" i="116"/>
  <c r="I76" i="105"/>
  <c r="V30" i="108"/>
  <c r="V33" i="108"/>
  <c r="AC38" i="123"/>
  <c r="U30" i="99"/>
  <c r="AB35" i="133"/>
  <c r="U33" i="99"/>
  <c r="AB38" i="133"/>
  <c r="G16" i="98"/>
  <c r="G17" i="98"/>
  <c r="AL22" i="13"/>
  <c r="V28" i="97"/>
  <c r="U30" i="96"/>
  <c r="U33" i="96"/>
  <c r="AB38" i="129"/>
  <c r="U30" i="93"/>
  <c r="AB35" i="140"/>
  <c r="U33" i="93"/>
  <c r="AB38" i="140"/>
  <c r="U30" i="97"/>
  <c r="U33" i="97"/>
  <c r="AL29" i="13"/>
  <c r="AM15" i="13"/>
  <c r="AM42" i="13"/>
  <c r="AM41" i="13"/>
  <c r="AM34" i="13"/>
  <c r="AM36" i="13"/>
  <c r="W28" i="108"/>
  <c r="AD33" i="123"/>
  <c r="AM20" i="13"/>
  <c r="AN40" i="13"/>
  <c r="AN39" i="13"/>
  <c r="G12" i="14"/>
  <c r="H36" i="14"/>
  <c r="H21" i="14"/>
  <c r="H37" i="14"/>
  <c r="G14" i="14"/>
  <c r="G13" i="14"/>
  <c r="G11" i="14"/>
  <c r="I20" i="14"/>
  <c r="I78" i="114"/>
  <c r="I78" i="116"/>
  <c r="I78" i="105"/>
  <c r="I78" i="120"/>
  <c r="I78" i="102"/>
  <c r="I78" i="112"/>
  <c r="I78" i="115"/>
  <c r="I78" i="113"/>
  <c r="J76" i="116"/>
  <c r="J76" i="105"/>
  <c r="J76" i="112"/>
  <c r="J76" i="102"/>
  <c r="J76" i="120"/>
  <c r="I81" i="120"/>
  <c r="I82" i="120"/>
  <c r="I83" i="120"/>
  <c r="I104" i="120"/>
  <c r="I88" i="120"/>
  <c r="I102" i="120"/>
  <c r="I84" i="120"/>
  <c r="I91" i="120"/>
  <c r="I92" i="120"/>
  <c r="I87" i="112"/>
  <c r="I87" i="116"/>
  <c r="I87" i="115"/>
  <c r="I87" i="114"/>
  <c r="I87" i="113"/>
  <c r="I90" i="112"/>
  <c r="I90" i="116"/>
  <c r="I90" i="115"/>
  <c r="I90" i="114"/>
  <c r="I90" i="113"/>
  <c r="I103" i="112"/>
  <c r="I103" i="115"/>
  <c r="I103" i="116"/>
  <c r="I103" i="113"/>
  <c r="I103" i="114"/>
  <c r="I101" i="112"/>
  <c r="I101" i="116"/>
  <c r="I101" i="115"/>
  <c r="I101" i="114"/>
  <c r="I101" i="113"/>
  <c r="I76" i="115"/>
  <c r="I76" i="114"/>
  <c r="I76" i="113"/>
  <c r="I91" i="112"/>
  <c r="I91" i="116"/>
  <c r="I91" i="115"/>
  <c r="I91" i="114"/>
  <c r="I91" i="113"/>
  <c r="I88" i="105"/>
  <c r="I87" i="102"/>
  <c r="I102" i="105"/>
  <c r="I101" i="102"/>
  <c r="W30" i="108"/>
  <c r="W33" i="108"/>
  <c r="AD38" i="123"/>
  <c r="I84" i="105"/>
  <c r="I91" i="105"/>
  <c r="I92" i="105"/>
  <c r="I82" i="105"/>
  <c r="I83" i="105"/>
  <c r="I104" i="105"/>
  <c r="I81" i="105"/>
  <c r="I91" i="102"/>
  <c r="I90" i="102"/>
  <c r="I103" i="102"/>
  <c r="V30" i="99"/>
  <c r="AC35" i="133"/>
  <c r="V33" i="99"/>
  <c r="AC38" i="133"/>
  <c r="G40" i="98"/>
  <c r="G18" i="98"/>
  <c r="H16" i="98"/>
  <c r="H17" i="98"/>
  <c r="G29" i="98"/>
  <c r="AM22" i="13"/>
  <c r="V30" i="96"/>
  <c r="V33" i="96"/>
  <c r="AC38" i="129"/>
  <c r="V30" i="93"/>
  <c r="AC35" i="140"/>
  <c r="V33" i="93"/>
  <c r="AC38" i="140"/>
  <c r="W28" i="97"/>
  <c r="V30" i="97"/>
  <c r="V33" i="97"/>
  <c r="AN34" i="13"/>
  <c r="AN36" i="13"/>
  <c r="X28" i="108"/>
  <c r="AE33" i="123"/>
  <c r="AN20" i="13"/>
  <c r="AM29" i="13"/>
  <c r="AN15" i="13"/>
  <c r="AN42" i="13"/>
  <c r="AN41" i="13"/>
  <c r="H12" i="14"/>
  <c r="I36" i="14"/>
  <c r="I21" i="14"/>
  <c r="I37" i="14"/>
  <c r="H14" i="14"/>
  <c r="H13" i="14"/>
  <c r="H11" i="14"/>
  <c r="J20" i="14"/>
  <c r="J78" i="114"/>
  <c r="J78" i="116"/>
  <c r="J78" i="105"/>
  <c r="J78" i="102"/>
  <c r="J78" i="115"/>
  <c r="J78" i="113"/>
  <c r="J78" i="120"/>
  <c r="J78" i="112"/>
  <c r="K76" i="120"/>
  <c r="K76" i="116"/>
  <c r="K76" i="105"/>
  <c r="K76" i="112"/>
  <c r="K76" i="102"/>
  <c r="P99" i="142"/>
  <c r="P101" i="142"/>
  <c r="P113" i="142"/>
  <c r="P163" i="142"/>
  <c r="P99" i="143"/>
  <c r="P101" i="143"/>
  <c r="P113" i="143"/>
  <c r="P163" i="143"/>
  <c r="P99" i="140"/>
  <c r="P101" i="140"/>
  <c r="P113" i="140"/>
  <c r="P163" i="140"/>
  <c r="P99" i="141"/>
  <c r="P101" i="141"/>
  <c r="P113" i="141"/>
  <c r="P163" i="141"/>
  <c r="P99" i="134"/>
  <c r="P101" i="134"/>
  <c r="P113" i="134"/>
  <c r="P163" i="134"/>
  <c r="P99" i="135"/>
  <c r="P101" i="135"/>
  <c r="P113" i="135"/>
  <c r="P163" i="135"/>
  <c r="P99" i="133"/>
  <c r="P101" i="133"/>
  <c r="P113" i="133"/>
  <c r="P163" i="133"/>
  <c r="P99" i="129"/>
  <c r="P101" i="129"/>
  <c r="P113" i="129"/>
  <c r="P163" i="129"/>
  <c r="P96" i="127"/>
  <c r="P97" i="127"/>
  <c r="P99" i="127"/>
  <c r="P111" i="127"/>
  <c r="P161" i="127"/>
  <c r="P96" i="126"/>
  <c r="P97" i="126"/>
  <c r="P99" i="126"/>
  <c r="P111" i="126"/>
  <c r="P161" i="126"/>
  <c r="P96" i="125"/>
  <c r="I135" i="114"/>
  <c r="I136" i="114"/>
  <c r="I144" i="114"/>
  <c r="I152" i="114"/>
  <c r="G69" i="71"/>
  <c r="P96" i="124"/>
  <c r="I135" i="113"/>
  <c r="I136" i="113"/>
  <c r="I144" i="113"/>
  <c r="I152" i="113"/>
  <c r="G50" i="71"/>
  <c r="P97" i="125"/>
  <c r="P99" i="125"/>
  <c r="P111" i="125"/>
  <c r="P161" i="125"/>
  <c r="P99" i="123"/>
  <c r="P101" i="123"/>
  <c r="P113" i="123"/>
  <c r="P163" i="123"/>
  <c r="P98" i="122"/>
  <c r="P100" i="122"/>
  <c r="P112" i="122"/>
  <c r="P162" i="122"/>
  <c r="J92" i="120"/>
  <c r="J91" i="120"/>
  <c r="J81" i="120"/>
  <c r="J102" i="120"/>
  <c r="J137" i="105"/>
  <c r="J145" i="105"/>
  <c r="J153" i="105"/>
  <c r="H411" i="71"/>
  <c r="J137" i="120"/>
  <c r="J145" i="120"/>
  <c r="J153" i="120"/>
  <c r="H335" i="71"/>
  <c r="I105" i="112"/>
  <c r="J84" i="120"/>
  <c r="J82" i="120"/>
  <c r="J83" i="120"/>
  <c r="J88" i="120"/>
  <c r="J104" i="120"/>
  <c r="I105" i="113"/>
  <c r="J76" i="115"/>
  <c r="J76" i="114"/>
  <c r="J76" i="113"/>
  <c r="J101" i="112"/>
  <c r="J101" i="116"/>
  <c r="J101" i="115"/>
  <c r="J101" i="114"/>
  <c r="J101" i="113"/>
  <c r="I105" i="115"/>
  <c r="J90" i="112"/>
  <c r="J90" i="116"/>
  <c r="J90" i="115"/>
  <c r="J90" i="114"/>
  <c r="J90" i="113"/>
  <c r="J87" i="112"/>
  <c r="J87" i="116"/>
  <c r="J87" i="115"/>
  <c r="J87" i="114"/>
  <c r="J87" i="113"/>
  <c r="J103" i="112"/>
  <c r="J103" i="116"/>
  <c r="J103" i="115"/>
  <c r="J103" i="114"/>
  <c r="J103" i="113"/>
  <c r="I105" i="116"/>
  <c r="J91" i="116"/>
  <c r="J91" i="115"/>
  <c r="J91" i="114"/>
  <c r="J91" i="113"/>
  <c r="I105" i="114"/>
  <c r="I135" i="112"/>
  <c r="I136" i="112"/>
  <c r="I144" i="112"/>
  <c r="I152" i="112"/>
  <c r="G183" i="71"/>
  <c r="J91" i="112"/>
  <c r="J88" i="105"/>
  <c r="J87" i="102"/>
  <c r="J102" i="105"/>
  <c r="J101" i="102"/>
  <c r="X30" i="108"/>
  <c r="X33" i="108"/>
  <c r="AE38" i="123"/>
  <c r="J92" i="105"/>
  <c r="J91" i="105"/>
  <c r="J81" i="105"/>
  <c r="J104" i="105"/>
  <c r="J84" i="105"/>
  <c r="J83" i="105"/>
  <c r="J82" i="105"/>
  <c r="J90" i="102"/>
  <c r="I105" i="102"/>
  <c r="J103" i="102"/>
  <c r="J91" i="102"/>
  <c r="I135" i="102"/>
  <c r="I136" i="102"/>
  <c r="I144" i="102"/>
  <c r="I152" i="102"/>
  <c r="G259" i="71"/>
  <c r="W30" i="99"/>
  <c r="AD35" i="133"/>
  <c r="W33" i="99"/>
  <c r="AD38" i="133"/>
  <c r="H18" i="98"/>
  <c r="H29" i="98"/>
  <c r="H40" i="98"/>
  <c r="I16" i="98"/>
  <c r="I17" i="98"/>
  <c r="AN22" i="13"/>
  <c r="W30" i="93"/>
  <c r="AD35" i="140"/>
  <c r="W33" i="93"/>
  <c r="AD38" i="140"/>
  <c r="W30" i="97"/>
  <c r="W33" i="97"/>
  <c r="X28" i="97"/>
  <c r="W30" i="96"/>
  <c r="W33" i="96"/>
  <c r="AD38" i="129"/>
  <c r="H170" i="97"/>
  <c r="F18" i="71"/>
  <c r="AN29" i="13"/>
  <c r="I12" i="14"/>
  <c r="J21" i="14"/>
  <c r="J37" i="14"/>
  <c r="J36" i="14"/>
  <c r="I11" i="14"/>
  <c r="I14" i="14"/>
  <c r="I13" i="14"/>
  <c r="H151" i="93"/>
  <c r="K78" i="105"/>
  <c r="K78" i="120"/>
  <c r="K78" i="102"/>
  <c r="K78" i="112"/>
  <c r="K78" i="115"/>
  <c r="K78" i="114"/>
  <c r="K78" i="113"/>
  <c r="K78" i="116"/>
  <c r="I135" i="115"/>
  <c r="I136" i="115"/>
  <c r="I144" i="115"/>
  <c r="I152" i="115"/>
  <c r="G88" i="71"/>
  <c r="Q113" i="142"/>
  <c r="Q163" i="142"/>
  <c r="Q99" i="143"/>
  <c r="Q101" i="143"/>
  <c r="Q113" i="143"/>
  <c r="Q163" i="143"/>
  <c r="Q99" i="140"/>
  <c r="Q101" i="140"/>
  <c r="Q113" i="140"/>
  <c r="Q163" i="140"/>
  <c r="Q99" i="141"/>
  <c r="Q101" i="141"/>
  <c r="Q113" i="141"/>
  <c r="Q163" i="141"/>
  <c r="P97" i="138"/>
  <c r="P98" i="138"/>
  <c r="P100" i="138"/>
  <c r="P112" i="138"/>
  <c r="P162" i="138"/>
  <c r="P97" i="139"/>
  <c r="P98" i="139"/>
  <c r="P100" i="139"/>
  <c r="P112" i="139"/>
  <c r="P162" i="139"/>
  <c r="I156" i="113"/>
  <c r="I160" i="113"/>
  <c r="P97" i="124"/>
  <c r="P99" i="124"/>
  <c r="P111" i="124"/>
  <c r="P161" i="124"/>
  <c r="P98" i="136"/>
  <c r="P100" i="136"/>
  <c r="P112" i="136"/>
  <c r="P162" i="136"/>
  <c r="P98" i="137"/>
  <c r="P100" i="137"/>
  <c r="P112" i="137"/>
  <c r="P162" i="137"/>
  <c r="I156" i="102"/>
  <c r="I160" i="102"/>
  <c r="Q113" i="134"/>
  <c r="Q163" i="134"/>
  <c r="Q99" i="135"/>
  <c r="Q101" i="135"/>
  <c r="Q113" i="135"/>
  <c r="Q163" i="135"/>
  <c r="I135" i="116"/>
  <c r="I136" i="116"/>
  <c r="I144" i="116"/>
  <c r="I152" i="116"/>
  <c r="G107" i="71"/>
  <c r="I156" i="112"/>
  <c r="I160" i="112"/>
  <c r="Q99" i="133"/>
  <c r="Q101" i="133"/>
  <c r="Q113" i="133"/>
  <c r="Q163" i="133"/>
  <c r="Q99" i="129"/>
  <c r="Q101" i="129"/>
  <c r="Q113" i="129"/>
  <c r="Q163" i="129"/>
  <c r="Q96" i="127"/>
  <c r="J135" i="116"/>
  <c r="J136" i="116"/>
  <c r="J144" i="116"/>
  <c r="J152" i="116"/>
  <c r="H107" i="71"/>
  <c r="Q96" i="126"/>
  <c r="J135" i="115"/>
  <c r="J136" i="115"/>
  <c r="J144" i="115"/>
  <c r="J152" i="115"/>
  <c r="H88" i="71"/>
  <c r="Q96" i="125"/>
  <c r="Q97" i="125"/>
  <c r="Q99" i="125"/>
  <c r="Q111" i="125"/>
  <c r="Q161" i="125"/>
  <c r="Q96" i="124"/>
  <c r="J135" i="113"/>
  <c r="J136" i="113"/>
  <c r="J144" i="113"/>
  <c r="J152" i="113"/>
  <c r="H50" i="71"/>
  <c r="P162" i="131"/>
  <c r="P98" i="132"/>
  <c r="P100" i="132"/>
  <c r="P112" i="132"/>
  <c r="P162" i="132"/>
  <c r="P98" i="130"/>
  <c r="P100" i="130"/>
  <c r="P112" i="130"/>
  <c r="P162" i="130"/>
  <c r="P98" i="128"/>
  <c r="P100" i="128"/>
  <c r="P112" i="128"/>
  <c r="P162" i="128"/>
  <c r="G106" i="71"/>
  <c r="G87" i="71"/>
  <c r="I156" i="115"/>
  <c r="I160" i="115"/>
  <c r="Q97" i="127"/>
  <c r="Q99" i="127"/>
  <c r="Q111" i="127"/>
  <c r="Q161" i="127"/>
  <c r="G68" i="71"/>
  <c r="I156" i="114"/>
  <c r="I160" i="114"/>
  <c r="Q97" i="126"/>
  <c r="Q99" i="126"/>
  <c r="Q111" i="126"/>
  <c r="Q161" i="126"/>
  <c r="Q113" i="123"/>
  <c r="Q163" i="123"/>
  <c r="Q112" i="122"/>
  <c r="Q162" i="122"/>
  <c r="J105" i="112"/>
  <c r="G182" i="71"/>
  <c r="G49" i="71"/>
  <c r="K83" i="120"/>
  <c r="K82" i="120"/>
  <c r="K102" i="120"/>
  <c r="K137" i="105"/>
  <c r="K145" i="105"/>
  <c r="K153" i="105"/>
  <c r="I411" i="71"/>
  <c r="K137" i="120"/>
  <c r="K145" i="120"/>
  <c r="K153" i="120"/>
  <c r="I335" i="71"/>
  <c r="K81" i="120"/>
  <c r="K91" i="120"/>
  <c r="K84" i="120"/>
  <c r="K88" i="120"/>
  <c r="K104" i="120"/>
  <c r="K92" i="120"/>
  <c r="K87" i="112"/>
  <c r="K87" i="116"/>
  <c r="K87" i="115"/>
  <c r="K87" i="114"/>
  <c r="K87" i="113"/>
  <c r="K103" i="112"/>
  <c r="K103" i="116"/>
  <c r="K103" i="115"/>
  <c r="K103" i="114"/>
  <c r="K103" i="113"/>
  <c r="K101" i="112"/>
  <c r="K101" i="116"/>
  <c r="K101" i="115"/>
  <c r="K101" i="114"/>
  <c r="K101" i="113"/>
  <c r="J105" i="114"/>
  <c r="K90" i="112"/>
  <c r="K90" i="116"/>
  <c r="K90" i="115"/>
  <c r="K90" i="114"/>
  <c r="K90" i="113"/>
  <c r="J105" i="115"/>
  <c r="K91" i="112"/>
  <c r="K91" i="116"/>
  <c r="K91" i="115"/>
  <c r="K91" i="114"/>
  <c r="K91" i="113"/>
  <c r="J105" i="116"/>
  <c r="K76" i="115"/>
  <c r="K76" i="114"/>
  <c r="K76" i="113"/>
  <c r="J105" i="113"/>
  <c r="J135" i="112"/>
  <c r="J136" i="112"/>
  <c r="J144" i="112"/>
  <c r="J152" i="112"/>
  <c r="H183" i="71"/>
  <c r="K102" i="105"/>
  <c r="K101" i="102"/>
  <c r="K88" i="105"/>
  <c r="K87" i="102"/>
  <c r="G258" i="71"/>
  <c r="K104" i="105"/>
  <c r="K83" i="105"/>
  <c r="K82" i="105"/>
  <c r="K91" i="105"/>
  <c r="K81" i="105"/>
  <c r="K84" i="105"/>
  <c r="K92" i="105"/>
  <c r="K103" i="102"/>
  <c r="K90" i="102"/>
  <c r="K91" i="102"/>
  <c r="J105" i="102"/>
  <c r="J135" i="102"/>
  <c r="J136" i="102"/>
  <c r="J144" i="102"/>
  <c r="J152" i="102"/>
  <c r="H259" i="71"/>
  <c r="X30" i="99"/>
  <c r="AE35" i="133"/>
  <c r="X33" i="99"/>
  <c r="AE38" i="133"/>
  <c r="I40" i="98"/>
  <c r="I18" i="98"/>
  <c r="I29" i="98"/>
  <c r="X30" i="93"/>
  <c r="AE35" i="140"/>
  <c r="X33" i="93"/>
  <c r="AE38" i="140"/>
  <c r="X30" i="97"/>
  <c r="X33" i="97"/>
  <c r="X30" i="96"/>
  <c r="X33" i="96"/>
  <c r="AE38" i="129"/>
  <c r="H171" i="97"/>
  <c r="H170" i="96"/>
  <c r="F208" i="71"/>
  <c r="I151" i="93"/>
  <c r="I170" i="111"/>
  <c r="G170" i="71"/>
  <c r="G260" i="71"/>
  <c r="J156" i="113"/>
  <c r="J160" i="113"/>
  <c r="G51" i="71"/>
  <c r="G89" i="71"/>
  <c r="R99" i="142"/>
  <c r="R101" i="142"/>
  <c r="R113" i="142"/>
  <c r="R163" i="142"/>
  <c r="R99" i="143"/>
  <c r="R101" i="143"/>
  <c r="R113" i="143"/>
  <c r="R163" i="143"/>
  <c r="R99" i="140"/>
  <c r="R101" i="140"/>
  <c r="R113" i="140"/>
  <c r="R163" i="140"/>
  <c r="R99" i="141"/>
  <c r="R101" i="141"/>
  <c r="R113" i="141"/>
  <c r="R163" i="141"/>
  <c r="J135" i="114"/>
  <c r="J136" i="114"/>
  <c r="J144" i="114"/>
  <c r="J152" i="114"/>
  <c r="H69" i="71"/>
  <c r="Q112" i="138"/>
  <c r="Q162" i="138"/>
  <c r="Q97" i="139"/>
  <c r="Q98" i="139"/>
  <c r="Q100" i="139"/>
  <c r="Q112" i="139"/>
  <c r="Q162" i="139"/>
  <c r="I156" i="116"/>
  <c r="I160" i="116"/>
  <c r="Q98" i="136"/>
  <c r="Q100" i="136"/>
  <c r="Q112" i="136"/>
  <c r="Q162" i="136"/>
  <c r="Q98" i="137"/>
  <c r="Q100" i="137"/>
  <c r="Q112" i="137"/>
  <c r="Q162" i="137"/>
  <c r="J156" i="102"/>
  <c r="J160" i="102"/>
  <c r="R99" i="134"/>
  <c r="R101" i="134"/>
  <c r="R113" i="134"/>
  <c r="R163" i="134"/>
  <c r="R99" i="135"/>
  <c r="R101" i="135"/>
  <c r="R113" i="135"/>
  <c r="R163" i="135"/>
  <c r="J171" i="99"/>
  <c r="R99" i="133"/>
  <c r="R101" i="133"/>
  <c r="R113" i="133"/>
  <c r="R163" i="133"/>
  <c r="R99" i="129"/>
  <c r="R101" i="129"/>
  <c r="R113" i="129"/>
  <c r="R163" i="129"/>
  <c r="R96" i="127"/>
  <c r="R97" i="127"/>
  <c r="R99" i="127"/>
  <c r="R111" i="127"/>
  <c r="R161" i="127"/>
  <c r="R96" i="126"/>
  <c r="K135" i="115"/>
  <c r="K136" i="115"/>
  <c r="K144" i="115"/>
  <c r="K152" i="115"/>
  <c r="I88" i="71"/>
  <c r="R96" i="125"/>
  <c r="R97" i="125"/>
  <c r="R99" i="125"/>
  <c r="R111" i="125"/>
  <c r="R161" i="125"/>
  <c r="R96" i="124"/>
  <c r="K135" i="113"/>
  <c r="K136" i="113"/>
  <c r="K144" i="113"/>
  <c r="K152" i="113"/>
  <c r="I50" i="71"/>
  <c r="J156" i="112"/>
  <c r="J160" i="112"/>
  <c r="Q97" i="124"/>
  <c r="Q99" i="124"/>
  <c r="Q111" i="124"/>
  <c r="Q161" i="124"/>
  <c r="J156" i="116"/>
  <c r="J160" i="116"/>
  <c r="G70" i="71"/>
  <c r="Q98" i="132"/>
  <c r="Q100" i="132"/>
  <c r="Q112" i="132"/>
  <c r="Q162" i="132"/>
  <c r="I171" i="109"/>
  <c r="Q112" i="130"/>
  <c r="Q162" i="130"/>
  <c r="Q98" i="128"/>
  <c r="Q100" i="128"/>
  <c r="Q112" i="128"/>
  <c r="Q162" i="128"/>
  <c r="R97" i="126"/>
  <c r="R99" i="126"/>
  <c r="R111" i="126"/>
  <c r="R161" i="126"/>
  <c r="J156" i="115"/>
  <c r="J160" i="115"/>
  <c r="I174" i="112"/>
  <c r="I171" i="112"/>
  <c r="R99" i="123"/>
  <c r="R101" i="123"/>
  <c r="R113" i="123"/>
  <c r="R163" i="123"/>
  <c r="K105" i="114"/>
  <c r="I174" i="113"/>
  <c r="R98" i="122"/>
  <c r="R100" i="122"/>
  <c r="R112" i="122"/>
  <c r="R162" i="122"/>
  <c r="I171" i="97"/>
  <c r="H87" i="71"/>
  <c r="I170" i="112"/>
  <c r="G189" i="71"/>
  <c r="G184" i="71"/>
  <c r="H106" i="71"/>
  <c r="H68" i="71"/>
  <c r="H182" i="71"/>
  <c r="I170" i="110"/>
  <c r="G151" i="71"/>
  <c r="I170" i="108"/>
  <c r="G37" i="71"/>
  <c r="H49" i="71"/>
  <c r="I170" i="113"/>
  <c r="G56" i="71"/>
  <c r="L137" i="105"/>
  <c r="L145" i="105"/>
  <c r="L153" i="105"/>
  <c r="J411" i="71"/>
  <c r="L137" i="120"/>
  <c r="L145" i="120"/>
  <c r="L153" i="120"/>
  <c r="J335" i="71"/>
  <c r="K105" i="112"/>
  <c r="K105" i="116"/>
  <c r="K105" i="113"/>
  <c r="K105" i="115"/>
  <c r="I170" i="115"/>
  <c r="G94" i="71"/>
  <c r="I170" i="114"/>
  <c r="G75" i="71"/>
  <c r="K135" i="112"/>
  <c r="K136" i="112"/>
  <c r="K144" i="112"/>
  <c r="K152" i="112"/>
  <c r="I183" i="71"/>
  <c r="I171" i="111"/>
  <c r="I170" i="97"/>
  <c r="G18" i="71"/>
  <c r="I171" i="99"/>
  <c r="I170" i="99"/>
  <c r="G227" i="71"/>
  <c r="I174" i="102"/>
  <c r="I170" i="102"/>
  <c r="G265" i="71"/>
  <c r="J171" i="101"/>
  <c r="H258" i="71"/>
  <c r="I170" i="101"/>
  <c r="G246" i="71"/>
  <c r="K105" i="102"/>
  <c r="K135" i="102"/>
  <c r="K136" i="102"/>
  <c r="K144" i="102"/>
  <c r="K152" i="102"/>
  <c r="I259" i="71"/>
  <c r="I170" i="96"/>
  <c r="G208" i="71"/>
  <c r="H171" i="96"/>
  <c r="J151" i="93"/>
  <c r="H51" i="71"/>
  <c r="K135" i="116"/>
  <c r="K136" i="116"/>
  <c r="K144" i="116"/>
  <c r="K152" i="116"/>
  <c r="I107" i="71"/>
  <c r="K156" i="113"/>
  <c r="K160" i="113"/>
  <c r="R97" i="124"/>
  <c r="R99" i="124"/>
  <c r="R111" i="124"/>
  <c r="R161" i="124"/>
  <c r="I170" i="116"/>
  <c r="G113" i="71"/>
  <c r="K156" i="115"/>
  <c r="K160" i="115"/>
  <c r="J156" i="114"/>
  <c r="J170" i="114"/>
  <c r="H75" i="71"/>
  <c r="I170" i="109"/>
  <c r="G132" i="71"/>
  <c r="G108" i="71"/>
  <c r="R97" i="138"/>
  <c r="R98" i="138"/>
  <c r="R100" i="138"/>
  <c r="R112" i="138"/>
  <c r="R162" i="138"/>
  <c r="R97" i="139"/>
  <c r="R98" i="139"/>
  <c r="R100" i="139"/>
  <c r="R112" i="139"/>
  <c r="R162" i="139"/>
  <c r="K156" i="102"/>
  <c r="K160" i="102"/>
  <c r="R98" i="136"/>
  <c r="R100" i="136"/>
  <c r="R112" i="136"/>
  <c r="R162" i="136"/>
  <c r="R98" i="137"/>
  <c r="R100" i="137"/>
  <c r="R112" i="137"/>
  <c r="R162" i="137"/>
  <c r="K171" i="99"/>
  <c r="G267" i="71"/>
  <c r="K171" i="101"/>
  <c r="K135" i="114"/>
  <c r="K136" i="114"/>
  <c r="K144" i="114"/>
  <c r="K152" i="114"/>
  <c r="I69" i="71"/>
  <c r="K156" i="112"/>
  <c r="K160" i="112"/>
  <c r="H108" i="71"/>
  <c r="G191" i="71"/>
  <c r="R162" i="131"/>
  <c r="R98" i="132"/>
  <c r="R100" i="132"/>
  <c r="R112" i="132"/>
  <c r="R162" i="132"/>
  <c r="R98" i="128"/>
  <c r="R100" i="128"/>
  <c r="R112" i="128"/>
  <c r="R162" i="128"/>
  <c r="R98" i="130"/>
  <c r="R100" i="130"/>
  <c r="R112" i="130"/>
  <c r="R162" i="130"/>
  <c r="J170" i="109"/>
  <c r="H132" i="71"/>
  <c r="H89" i="71"/>
  <c r="I68" i="71"/>
  <c r="G58" i="71"/>
  <c r="I171" i="113"/>
  <c r="J174" i="115"/>
  <c r="H96" i="71"/>
  <c r="I171" i="108"/>
  <c r="J171" i="116"/>
  <c r="J170" i="115"/>
  <c r="H94" i="71"/>
  <c r="J171" i="97"/>
  <c r="J170" i="111"/>
  <c r="H170" i="71"/>
  <c r="H184" i="71"/>
  <c r="J170" i="112"/>
  <c r="H189" i="71"/>
  <c r="J170" i="116"/>
  <c r="H113" i="71"/>
  <c r="I182" i="71"/>
  <c r="I106" i="71"/>
  <c r="I171" i="110"/>
  <c r="J170" i="110"/>
  <c r="H151" i="71"/>
  <c r="J171" i="110"/>
  <c r="I87" i="71"/>
  <c r="J170" i="108"/>
  <c r="H37" i="71"/>
  <c r="J170" i="113"/>
  <c r="H56" i="71"/>
  <c r="I49" i="71"/>
  <c r="I174" i="114"/>
  <c r="I171" i="114"/>
  <c r="J174" i="113"/>
  <c r="H58" i="71"/>
  <c r="J171" i="113"/>
  <c r="I171" i="115"/>
  <c r="I174" i="115"/>
  <c r="I174" i="116"/>
  <c r="I171" i="116"/>
  <c r="J171" i="111"/>
  <c r="J170" i="97"/>
  <c r="H18" i="71"/>
  <c r="I171" i="102"/>
  <c r="J170" i="99"/>
  <c r="H227" i="71"/>
  <c r="J170" i="102"/>
  <c r="H265" i="71"/>
  <c r="H260" i="71"/>
  <c r="I258" i="71"/>
  <c r="I171" i="101"/>
  <c r="J170" i="101"/>
  <c r="H246" i="71"/>
  <c r="J170" i="96"/>
  <c r="H208" i="71"/>
  <c r="I171" i="96"/>
  <c r="K156" i="116"/>
  <c r="K160" i="116"/>
  <c r="I89" i="71"/>
  <c r="K170" i="113"/>
  <c r="I56" i="71"/>
  <c r="J160" i="114"/>
  <c r="J171" i="114"/>
  <c r="H70" i="71"/>
  <c r="K156" i="114"/>
  <c r="K170" i="114"/>
  <c r="I75" i="71"/>
  <c r="K171" i="109"/>
  <c r="G115" i="71"/>
  <c r="J174" i="116"/>
  <c r="H115" i="71"/>
  <c r="G96" i="71"/>
  <c r="J171" i="115"/>
  <c r="G77" i="71"/>
  <c r="K171" i="110"/>
  <c r="K170" i="110"/>
  <c r="I151" i="71"/>
  <c r="K171" i="111"/>
  <c r="K170" i="111"/>
  <c r="I170" i="71"/>
  <c r="J171" i="108"/>
  <c r="K174" i="115"/>
  <c r="I96" i="71"/>
  <c r="K170" i="115"/>
  <c r="I94" i="71"/>
  <c r="K170" i="112"/>
  <c r="I189" i="71"/>
  <c r="I184" i="71"/>
  <c r="J171" i="112"/>
  <c r="J174" i="112"/>
  <c r="K170" i="108"/>
  <c r="I37" i="71"/>
  <c r="I51" i="71"/>
  <c r="K174" i="102"/>
  <c r="I267" i="71"/>
  <c r="K171" i="102"/>
  <c r="J171" i="102"/>
  <c r="J174" i="102"/>
  <c r="K170" i="102"/>
  <c r="I265" i="71"/>
  <c r="I260" i="71"/>
  <c r="K170" i="99"/>
  <c r="I227" i="71"/>
  <c r="K170" i="101"/>
  <c r="I246" i="71"/>
  <c r="J171" i="96"/>
  <c r="I108" i="71"/>
  <c r="K170" i="116"/>
  <c r="I113" i="71"/>
  <c r="K160" i="114"/>
  <c r="K174" i="114"/>
  <c r="I77" i="71"/>
  <c r="J174" i="114"/>
  <c r="H77" i="71"/>
  <c r="I70" i="71"/>
  <c r="H267" i="71"/>
  <c r="K170" i="109"/>
  <c r="I132" i="71"/>
  <c r="H191" i="71"/>
  <c r="J171" i="109"/>
  <c r="K171" i="114"/>
  <c r="K171" i="115"/>
  <c r="K174" i="112"/>
  <c r="I191" i="71"/>
  <c r="K171" i="112"/>
  <c r="K171" i="116"/>
  <c r="K174" i="116"/>
  <c r="I115" i="71"/>
  <c r="K171" i="108"/>
  <c r="K171" i="113"/>
  <c r="K174" i="113"/>
  <c r="I58" i="71"/>
  <c r="K20" i="14"/>
  <c r="L76" i="102"/>
  <c r="L76" i="120"/>
  <c r="L76" i="116"/>
  <c r="L76" i="105"/>
  <c r="L76" i="112"/>
  <c r="J16" i="98"/>
  <c r="J17" i="98"/>
  <c r="J12" i="14"/>
  <c r="K21" i="14"/>
  <c r="K37" i="14"/>
  <c r="K36" i="14"/>
  <c r="J13" i="14"/>
  <c r="J11" i="14"/>
  <c r="J14" i="14"/>
  <c r="L20" i="14"/>
  <c r="L78" i="116"/>
  <c r="L78" i="105"/>
  <c r="L78" i="120"/>
  <c r="L78" i="102"/>
  <c r="L78" i="112"/>
  <c r="L78" i="115"/>
  <c r="L78" i="114"/>
  <c r="L78" i="113"/>
  <c r="M76" i="112"/>
  <c r="M76" i="102"/>
  <c r="M76" i="120"/>
  <c r="M76" i="116"/>
  <c r="M76" i="105"/>
  <c r="L102" i="120"/>
  <c r="L83" i="120"/>
  <c r="L81" i="120"/>
  <c r="L82" i="120"/>
  <c r="L88" i="120"/>
  <c r="L104" i="120"/>
  <c r="L91" i="120"/>
  <c r="L84" i="120"/>
  <c r="L92" i="120"/>
  <c r="L101" i="112"/>
  <c r="L101" i="116"/>
  <c r="L101" i="115"/>
  <c r="L101" i="114"/>
  <c r="L101" i="113"/>
  <c r="L87" i="112"/>
  <c r="L87" i="116"/>
  <c r="L87" i="115"/>
  <c r="L87" i="114"/>
  <c r="L87" i="113"/>
  <c r="L103" i="112"/>
  <c r="L103" i="116"/>
  <c r="L103" i="115"/>
  <c r="L103" i="114"/>
  <c r="L103" i="113"/>
  <c r="L90" i="112"/>
  <c r="L90" i="116"/>
  <c r="L90" i="115"/>
  <c r="L90" i="114"/>
  <c r="L90" i="113"/>
  <c r="L76" i="115"/>
  <c r="L76" i="114"/>
  <c r="L76" i="113"/>
  <c r="L91" i="112"/>
  <c r="L91" i="116"/>
  <c r="L91" i="115"/>
  <c r="L91" i="113"/>
  <c r="L91" i="114"/>
  <c r="L102" i="105"/>
  <c r="L101" i="102"/>
  <c r="L88" i="105"/>
  <c r="L87" i="102"/>
  <c r="L104" i="105"/>
  <c r="L91" i="105"/>
  <c r="L92" i="105"/>
  <c r="L83" i="105"/>
  <c r="L82" i="105"/>
  <c r="L81" i="105"/>
  <c r="L84" i="105"/>
  <c r="L91" i="102"/>
  <c r="L103" i="102"/>
  <c r="L90" i="102"/>
  <c r="J40" i="98"/>
  <c r="J18" i="98"/>
  <c r="J29" i="98"/>
  <c r="K16" i="98"/>
  <c r="K17" i="98"/>
  <c r="K12" i="14"/>
  <c r="L36" i="14"/>
  <c r="L21" i="14"/>
  <c r="L37" i="14"/>
  <c r="K14" i="14"/>
  <c r="K13" i="14"/>
  <c r="K11" i="14"/>
  <c r="M20" i="14"/>
  <c r="M78" i="114"/>
  <c r="M78" i="116"/>
  <c r="M78" i="105"/>
  <c r="M78" i="120"/>
  <c r="M78" i="102"/>
  <c r="M78" i="112"/>
  <c r="M78" i="115"/>
  <c r="M78" i="113"/>
  <c r="N76" i="116"/>
  <c r="N76" i="105"/>
  <c r="N76" i="112"/>
  <c r="N76" i="102"/>
  <c r="N76" i="120"/>
  <c r="S99" i="142"/>
  <c r="S101" i="142"/>
  <c r="S113" i="142"/>
  <c r="S163" i="142"/>
  <c r="S99" i="143"/>
  <c r="S101" i="143"/>
  <c r="S113" i="143"/>
  <c r="S163" i="143"/>
  <c r="S99" i="140"/>
  <c r="S101" i="140"/>
  <c r="S113" i="140"/>
  <c r="S163" i="140"/>
  <c r="S99" i="141"/>
  <c r="S101" i="141"/>
  <c r="S113" i="141"/>
  <c r="S163" i="141"/>
  <c r="S99" i="134"/>
  <c r="S101" i="134"/>
  <c r="S113" i="134"/>
  <c r="S163" i="134"/>
  <c r="S99" i="135"/>
  <c r="S101" i="135"/>
  <c r="S113" i="135"/>
  <c r="S163" i="135"/>
  <c r="S99" i="133"/>
  <c r="S101" i="133"/>
  <c r="S113" i="133"/>
  <c r="S163" i="133"/>
  <c r="S96" i="127"/>
  <c r="S97" i="127"/>
  <c r="S99" i="127"/>
  <c r="S111" i="127"/>
  <c r="S161" i="127"/>
  <c r="S96" i="126"/>
  <c r="L135" i="115"/>
  <c r="L136" i="115"/>
  <c r="L144" i="115"/>
  <c r="L152" i="115"/>
  <c r="J88" i="71"/>
  <c r="S99" i="129"/>
  <c r="S101" i="129"/>
  <c r="S113" i="129"/>
  <c r="S163" i="129"/>
  <c r="S96" i="124"/>
  <c r="L135" i="113"/>
  <c r="L136" i="113"/>
  <c r="L144" i="113"/>
  <c r="L152" i="113"/>
  <c r="J50" i="71"/>
  <c r="S96" i="125"/>
  <c r="L135" i="114"/>
  <c r="L136" i="114"/>
  <c r="L144" i="114"/>
  <c r="L152" i="114"/>
  <c r="J69" i="71"/>
  <c r="S99" i="123"/>
  <c r="S101" i="123"/>
  <c r="S113" i="123"/>
  <c r="S163" i="123"/>
  <c r="L105" i="112"/>
  <c r="S98" i="122"/>
  <c r="S100" i="122"/>
  <c r="S112" i="122"/>
  <c r="S162" i="122"/>
  <c r="M88" i="120"/>
  <c r="M91" i="120"/>
  <c r="M83" i="120"/>
  <c r="M104" i="120"/>
  <c r="M102" i="120"/>
  <c r="M84" i="120"/>
  <c r="M92" i="120"/>
  <c r="M82" i="120"/>
  <c r="M81" i="120"/>
  <c r="M137" i="105"/>
  <c r="M145" i="105"/>
  <c r="M153" i="105"/>
  <c r="K411" i="71"/>
  <c r="M137" i="120"/>
  <c r="M145" i="120"/>
  <c r="M153" i="120"/>
  <c r="K335" i="71"/>
  <c r="M87" i="112"/>
  <c r="M87" i="116"/>
  <c r="M87" i="115"/>
  <c r="M87" i="114"/>
  <c r="M87" i="113"/>
  <c r="L105" i="114"/>
  <c r="M101" i="112"/>
  <c r="M101" i="115"/>
  <c r="M101" i="116"/>
  <c r="M101" i="113"/>
  <c r="M101" i="114"/>
  <c r="M90" i="112"/>
  <c r="M90" i="116"/>
  <c r="M90" i="115"/>
  <c r="M90" i="114"/>
  <c r="M90" i="113"/>
  <c r="M91" i="116"/>
  <c r="M91" i="115"/>
  <c r="M91" i="114"/>
  <c r="M91" i="113"/>
  <c r="L105" i="115"/>
  <c r="M103" i="112"/>
  <c r="M103" i="116"/>
  <c r="M103" i="115"/>
  <c r="M103" i="114"/>
  <c r="M103" i="113"/>
  <c r="L105" i="116"/>
  <c r="M76" i="115"/>
  <c r="M76" i="114"/>
  <c r="M76" i="113"/>
  <c r="L105" i="113"/>
  <c r="L135" i="112"/>
  <c r="L136" i="112"/>
  <c r="L144" i="112"/>
  <c r="L152" i="112"/>
  <c r="J183" i="71"/>
  <c r="M91" i="112"/>
  <c r="M88" i="105"/>
  <c r="M87" i="102"/>
  <c r="M102" i="105"/>
  <c r="M101" i="102"/>
  <c r="M92" i="105"/>
  <c r="M104" i="105"/>
  <c r="M84" i="105"/>
  <c r="M91" i="105"/>
  <c r="M82" i="105"/>
  <c r="M81" i="105"/>
  <c r="M83" i="105"/>
  <c r="L105" i="102"/>
  <c r="M90" i="102"/>
  <c r="M103" i="102"/>
  <c r="L135" i="102"/>
  <c r="L136" i="102"/>
  <c r="L144" i="102"/>
  <c r="L152" i="102"/>
  <c r="J259" i="71"/>
  <c r="M91" i="102"/>
  <c r="K40" i="98"/>
  <c r="L16" i="98"/>
  <c r="L17" i="98"/>
  <c r="K29" i="98"/>
  <c r="K18" i="98"/>
  <c r="K170" i="97"/>
  <c r="I18" i="71"/>
  <c r="L12" i="14"/>
  <c r="M36" i="14"/>
  <c r="M21" i="14"/>
  <c r="M37" i="14"/>
  <c r="L14" i="14"/>
  <c r="L13" i="14"/>
  <c r="L11" i="14"/>
  <c r="N20" i="14"/>
  <c r="N78" i="114"/>
  <c r="N78" i="116"/>
  <c r="N78" i="113"/>
  <c r="N78" i="105"/>
  <c r="N78" i="102"/>
  <c r="N78" i="115"/>
  <c r="N78" i="120"/>
  <c r="N78" i="112"/>
  <c r="S97" i="124"/>
  <c r="S99" i="124"/>
  <c r="S111" i="124"/>
  <c r="S161" i="124"/>
  <c r="L156" i="113"/>
  <c r="L160" i="113"/>
  <c r="O76" i="120"/>
  <c r="O76" i="116"/>
  <c r="O76" i="105"/>
  <c r="O76" i="112"/>
  <c r="O76" i="102"/>
  <c r="T99" i="142"/>
  <c r="T101" i="142"/>
  <c r="T113" i="142"/>
  <c r="T163" i="142"/>
  <c r="T99" i="143"/>
  <c r="T101" i="143"/>
  <c r="T113" i="143"/>
  <c r="T163" i="143"/>
  <c r="T99" i="140"/>
  <c r="T101" i="140"/>
  <c r="T113" i="140"/>
  <c r="T163" i="140"/>
  <c r="T99" i="141"/>
  <c r="T101" i="141"/>
  <c r="T113" i="141"/>
  <c r="T163" i="141"/>
  <c r="S97" i="138"/>
  <c r="S98" i="138"/>
  <c r="S100" i="138"/>
  <c r="S112" i="138"/>
  <c r="S162" i="138"/>
  <c r="S97" i="139"/>
  <c r="S98" i="139"/>
  <c r="S100" i="139"/>
  <c r="S112" i="139"/>
  <c r="S162" i="139"/>
  <c r="S97" i="125"/>
  <c r="S99" i="125"/>
  <c r="S111" i="125"/>
  <c r="S161" i="125"/>
  <c r="L135" i="116"/>
  <c r="L136" i="116"/>
  <c r="L144" i="116"/>
  <c r="L152" i="116"/>
  <c r="J107" i="71"/>
  <c r="S98" i="136"/>
  <c r="S100" i="136"/>
  <c r="S112" i="136"/>
  <c r="S162" i="136"/>
  <c r="S98" i="137"/>
  <c r="S100" i="137"/>
  <c r="S112" i="137"/>
  <c r="S162" i="137"/>
  <c r="L156" i="102"/>
  <c r="L160" i="102"/>
  <c r="T99" i="134"/>
  <c r="T101" i="134"/>
  <c r="T113" i="134"/>
  <c r="T163" i="134"/>
  <c r="T99" i="135"/>
  <c r="T101" i="135"/>
  <c r="T113" i="135"/>
  <c r="T163" i="135"/>
  <c r="S97" i="126"/>
  <c r="S99" i="126"/>
  <c r="S111" i="126"/>
  <c r="S161" i="126"/>
  <c r="T99" i="133"/>
  <c r="T101" i="133"/>
  <c r="T113" i="133"/>
  <c r="T163" i="133"/>
  <c r="T99" i="129"/>
  <c r="T101" i="129"/>
  <c r="T113" i="129"/>
  <c r="T163" i="129"/>
  <c r="T96" i="127"/>
  <c r="T97" i="127"/>
  <c r="T99" i="127"/>
  <c r="T111" i="127"/>
  <c r="T161" i="127"/>
  <c r="T96" i="126"/>
  <c r="M135" i="115"/>
  <c r="M136" i="115"/>
  <c r="M144" i="115"/>
  <c r="M152" i="115"/>
  <c r="K88" i="71"/>
  <c r="T96" i="125"/>
  <c r="M135" i="114"/>
  <c r="M136" i="114"/>
  <c r="M144" i="114"/>
  <c r="M152" i="114"/>
  <c r="K69" i="71"/>
  <c r="T96" i="124"/>
  <c r="M135" i="113"/>
  <c r="M136" i="113"/>
  <c r="M144" i="113"/>
  <c r="M152" i="113"/>
  <c r="K50" i="71"/>
  <c r="L156" i="112"/>
  <c r="L160" i="112"/>
  <c r="L174" i="112"/>
  <c r="J191" i="71"/>
  <c r="L156" i="115"/>
  <c r="L160" i="115"/>
  <c r="S162" i="131"/>
  <c r="S98" i="132"/>
  <c r="S100" i="132"/>
  <c r="S112" i="132"/>
  <c r="S162" i="132"/>
  <c r="S98" i="130"/>
  <c r="S100" i="130"/>
  <c r="S112" i="130"/>
  <c r="S162" i="130"/>
  <c r="S98" i="128"/>
  <c r="S100" i="128"/>
  <c r="S112" i="128"/>
  <c r="S162" i="128"/>
  <c r="L156" i="114"/>
  <c r="L160" i="114"/>
  <c r="T97" i="126"/>
  <c r="T99" i="126"/>
  <c r="T111" i="126"/>
  <c r="T161" i="126"/>
  <c r="J182" i="71"/>
  <c r="T99" i="123"/>
  <c r="T101" i="123"/>
  <c r="T113" i="123"/>
  <c r="T163" i="123"/>
  <c r="M105" i="113"/>
  <c r="T98" i="122"/>
  <c r="T100" i="122"/>
  <c r="T112" i="122"/>
  <c r="T162" i="122"/>
  <c r="J68" i="71"/>
  <c r="J87" i="71"/>
  <c r="J106" i="71"/>
  <c r="J49" i="71"/>
  <c r="N81" i="120"/>
  <c r="N104" i="120"/>
  <c r="M105" i="114"/>
  <c r="N88" i="120"/>
  <c r="N84" i="120"/>
  <c r="N91" i="120"/>
  <c r="N137" i="105"/>
  <c r="N145" i="105"/>
  <c r="N153" i="105"/>
  <c r="L411" i="71"/>
  <c r="N137" i="120"/>
  <c r="N145" i="120"/>
  <c r="N153" i="120"/>
  <c r="L335" i="71"/>
  <c r="M105" i="115"/>
  <c r="N102" i="120"/>
  <c r="N82" i="120"/>
  <c r="N83" i="120"/>
  <c r="N92" i="120"/>
  <c r="M105" i="112"/>
  <c r="M105" i="116"/>
  <c r="N87" i="112"/>
  <c r="N87" i="116"/>
  <c r="N87" i="115"/>
  <c r="N87" i="114"/>
  <c r="N87" i="113"/>
  <c r="N103" i="112"/>
  <c r="N103" i="116"/>
  <c r="N103" i="115"/>
  <c r="N103" i="114"/>
  <c r="N103" i="113"/>
  <c r="N90" i="112"/>
  <c r="N90" i="116"/>
  <c r="N90" i="115"/>
  <c r="N90" i="114"/>
  <c r="N90" i="113"/>
  <c r="N91" i="116"/>
  <c r="N91" i="115"/>
  <c r="N91" i="114"/>
  <c r="N91" i="113"/>
  <c r="N76" i="115"/>
  <c r="N76" i="113"/>
  <c r="N76" i="114"/>
  <c r="N101" i="112"/>
  <c r="N101" i="116"/>
  <c r="N101" i="115"/>
  <c r="N101" i="114"/>
  <c r="N101" i="113"/>
  <c r="M135" i="112"/>
  <c r="M136" i="112"/>
  <c r="M144" i="112"/>
  <c r="M152" i="112"/>
  <c r="K183" i="71"/>
  <c r="N91" i="112"/>
  <c r="N102" i="105"/>
  <c r="N101" i="102"/>
  <c r="N88" i="105"/>
  <c r="N87" i="102"/>
  <c r="N92" i="105"/>
  <c r="J258" i="71"/>
  <c r="N82" i="105"/>
  <c r="N84" i="105"/>
  <c r="N91" i="105"/>
  <c r="N83" i="105"/>
  <c r="N81" i="105"/>
  <c r="N104" i="105"/>
  <c r="N103" i="102"/>
  <c r="N91" i="102"/>
  <c r="N90" i="102"/>
  <c r="M135" i="102"/>
  <c r="M136" i="102"/>
  <c r="M144" i="102"/>
  <c r="M152" i="102"/>
  <c r="K259" i="71"/>
  <c r="M105" i="102"/>
  <c r="L18" i="98"/>
  <c r="L29" i="98"/>
  <c r="L40" i="98"/>
  <c r="M16" i="98"/>
  <c r="M17" i="98"/>
  <c r="K171" i="97"/>
  <c r="K170" i="96"/>
  <c r="I208" i="71"/>
  <c r="M12" i="14"/>
  <c r="N21" i="14"/>
  <c r="N37" i="14"/>
  <c r="N36" i="14"/>
  <c r="M11" i="14"/>
  <c r="M14" i="14"/>
  <c r="M13" i="14"/>
  <c r="O20" i="14"/>
  <c r="O78" i="105"/>
  <c r="O78" i="120"/>
  <c r="O78" i="102"/>
  <c r="O78" i="112"/>
  <c r="O78" i="115"/>
  <c r="O78" i="114"/>
  <c r="O78" i="113"/>
  <c r="O78" i="116"/>
  <c r="J51" i="71"/>
  <c r="L170" i="99"/>
  <c r="J227" i="71"/>
  <c r="P76" i="102"/>
  <c r="P76" i="120"/>
  <c r="P76" i="116"/>
  <c r="P76" i="105"/>
  <c r="P76" i="112"/>
  <c r="L170" i="101"/>
  <c r="J246" i="71"/>
  <c r="M135" i="116"/>
  <c r="M136" i="116"/>
  <c r="M144" i="116"/>
  <c r="M152" i="116"/>
  <c r="K107" i="71"/>
  <c r="U99" i="142"/>
  <c r="U101" i="142"/>
  <c r="U113" i="142"/>
  <c r="U163" i="142"/>
  <c r="U99" i="143"/>
  <c r="U101" i="143"/>
  <c r="U113" i="143"/>
  <c r="U163" i="143"/>
  <c r="U99" i="140"/>
  <c r="U101" i="140"/>
  <c r="U113" i="140"/>
  <c r="U163" i="140"/>
  <c r="U99" i="141"/>
  <c r="U101" i="141"/>
  <c r="U113" i="141"/>
  <c r="U163" i="141"/>
  <c r="J89" i="71"/>
  <c r="T97" i="138"/>
  <c r="T98" i="138"/>
  <c r="T100" i="138"/>
  <c r="T112" i="138"/>
  <c r="T162" i="138"/>
  <c r="T97" i="139"/>
  <c r="T98" i="139"/>
  <c r="T100" i="139"/>
  <c r="T112" i="139"/>
  <c r="T162" i="139"/>
  <c r="L156" i="116"/>
  <c r="L160" i="116"/>
  <c r="L171" i="116"/>
  <c r="T97" i="125"/>
  <c r="T99" i="125"/>
  <c r="T111" i="125"/>
  <c r="T161" i="125"/>
  <c r="T98" i="136"/>
  <c r="T100" i="136"/>
  <c r="T112" i="136"/>
  <c r="T162" i="136"/>
  <c r="T98" i="137"/>
  <c r="T100" i="137"/>
  <c r="T112" i="137"/>
  <c r="T162" i="137"/>
  <c r="M156" i="102"/>
  <c r="M160" i="102"/>
  <c r="J184" i="71"/>
  <c r="U99" i="134"/>
  <c r="U101" i="134"/>
  <c r="U113" i="134"/>
  <c r="U163" i="134"/>
  <c r="U99" i="135"/>
  <c r="U101" i="135"/>
  <c r="U113" i="135"/>
  <c r="U163" i="135"/>
  <c r="M156" i="112"/>
  <c r="M160" i="112"/>
  <c r="U99" i="133"/>
  <c r="U101" i="133"/>
  <c r="U113" i="133"/>
  <c r="U163" i="133"/>
  <c r="U96" i="127"/>
  <c r="N135" i="116"/>
  <c r="N136" i="116"/>
  <c r="N144" i="116"/>
  <c r="N152" i="116"/>
  <c r="L107" i="71"/>
  <c r="U99" i="129"/>
  <c r="U101" i="129"/>
  <c r="U113" i="129"/>
  <c r="U163" i="129"/>
  <c r="U96" i="126"/>
  <c r="U97" i="126"/>
  <c r="U99" i="126"/>
  <c r="U111" i="126"/>
  <c r="U161" i="126"/>
  <c r="U96" i="125"/>
  <c r="N135" i="114"/>
  <c r="N136" i="114"/>
  <c r="N144" i="114"/>
  <c r="N152" i="114"/>
  <c r="L69" i="71"/>
  <c r="U96" i="124"/>
  <c r="N135" i="113"/>
  <c r="N136" i="113"/>
  <c r="N144" i="113"/>
  <c r="N152" i="113"/>
  <c r="L50" i="71"/>
  <c r="L170" i="112"/>
  <c r="J189" i="71"/>
  <c r="T97" i="124"/>
  <c r="T99" i="124"/>
  <c r="T111" i="124"/>
  <c r="T161" i="124"/>
  <c r="J70" i="71"/>
  <c r="M156" i="114"/>
  <c r="M160" i="114"/>
  <c r="T162" i="131"/>
  <c r="T98" i="132"/>
  <c r="T100" i="132"/>
  <c r="T112" i="132"/>
  <c r="T162" i="132"/>
  <c r="L170" i="111"/>
  <c r="J170" i="71"/>
  <c r="M156" i="115"/>
  <c r="M160" i="115"/>
  <c r="T98" i="130"/>
  <c r="T100" i="130"/>
  <c r="T112" i="130"/>
  <c r="T162" i="130"/>
  <c r="T98" i="128"/>
  <c r="T100" i="128"/>
  <c r="T112" i="128"/>
  <c r="T162" i="128"/>
  <c r="L170" i="109"/>
  <c r="J132" i="71"/>
  <c r="L171" i="112"/>
  <c r="L170" i="115"/>
  <c r="J94" i="71"/>
  <c r="L170" i="114"/>
  <c r="J75" i="71"/>
  <c r="L174" i="114"/>
  <c r="K49" i="71"/>
  <c r="M156" i="113"/>
  <c r="M170" i="113"/>
  <c r="K56" i="71"/>
  <c r="U99" i="123"/>
  <c r="U101" i="123"/>
  <c r="U113" i="123"/>
  <c r="U163" i="123"/>
  <c r="L170" i="110"/>
  <c r="J151" i="71"/>
  <c r="N105" i="112"/>
  <c r="U98" i="122"/>
  <c r="U100" i="122"/>
  <c r="U112" i="122"/>
  <c r="U162" i="122"/>
  <c r="L171" i="97"/>
  <c r="L170" i="113"/>
  <c r="J56" i="71"/>
  <c r="K182" i="71"/>
  <c r="K106" i="71"/>
  <c r="N105" i="116"/>
  <c r="L171" i="113"/>
  <c r="K87" i="71"/>
  <c r="K68" i="71"/>
  <c r="L170" i="108"/>
  <c r="J37" i="71"/>
  <c r="O81" i="120"/>
  <c r="O102" i="120"/>
  <c r="O137" i="105"/>
  <c r="O145" i="105"/>
  <c r="O153" i="105"/>
  <c r="M411" i="71"/>
  <c r="O137" i="120"/>
  <c r="O145" i="120"/>
  <c r="O153" i="120"/>
  <c r="M335" i="71"/>
  <c r="O83" i="120"/>
  <c r="O88" i="120"/>
  <c r="O104" i="120"/>
  <c r="O82" i="120"/>
  <c r="O91" i="120"/>
  <c r="O84" i="120"/>
  <c r="O92" i="120"/>
  <c r="O101" i="112"/>
  <c r="O101" i="116"/>
  <c r="O101" i="115"/>
  <c r="O101" i="114"/>
  <c r="O101" i="113"/>
  <c r="O87" i="112"/>
  <c r="O87" i="116"/>
  <c r="O87" i="115"/>
  <c r="O87" i="114"/>
  <c r="O87" i="113"/>
  <c r="O76" i="115"/>
  <c r="O76" i="114"/>
  <c r="O76" i="113"/>
  <c r="O103" i="112"/>
  <c r="O103" i="116"/>
  <c r="O103" i="115"/>
  <c r="O103" i="114"/>
  <c r="O103" i="113"/>
  <c r="N105" i="113"/>
  <c r="O90" i="112"/>
  <c r="O90" i="116"/>
  <c r="O90" i="115"/>
  <c r="O90" i="113"/>
  <c r="O90" i="114"/>
  <c r="O91" i="112"/>
  <c r="O91" i="116"/>
  <c r="O91" i="115"/>
  <c r="O91" i="114"/>
  <c r="O91" i="113"/>
  <c r="N105" i="115"/>
  <c r="L171" i="114"/>
  <c r="L171" i="115"/>
  <c r="L174" i="115"/>
  <c r="J96" i="71"/>
  <c r="N105" i="114"/>
  <c r="N135" i="112"/>
  <c r="N136" i="112"/>
  <c r="N144" i="112"/>
  <c r="N152" i="112"/>
  <c r="L183" i="71"/>
  <c r="L171" i="111"/>
  <c r="O102" i="105"/>
  <c r="O101" i="102"/>
  <c r="O87" i="102"/>
  <c r="O88" i="105"/>
  <c r="N105" i="102"/>
  <c r="K258" i="71"/>
  <c r="J260" i="71"/>
  <c r="L170" i="102"/>
  <c r="J265" i="71"/>
  <c r="O81" i="105"/>
  <c r="O82" i="105"/>
  <c r="O104" i="105"/>
  <c r="O91" i="105"/>
  <c r="O84" i="105"/>
  <c r="O83" i="105"/>
  <c r="O92" i="105"/>
  <c r="O103" i="102"/>
  <c r="O90" i="102"/>
  <c r="O91" i="102"/>
  <c r="N135" i="102"/>
  <c r="N136" i="102"/>
  <c r="N144" i="102"/>
  <c r="N152" i="102"/>
  <c r="L259" i="71"/>
  <c r="L170" i="97"/>
  <c r="J18" i="71"/>
  <c r="M18" i="98"/>
  <c r="M40" i="98"/>
  <c r="N16" i="98"/>
  <c r="N17" i="98"/>
  <c r="M29" i="98"/>
  <c r="K171" i="96"/>
  <c r="L170" i="96"/>
  <c r="J208" i="71"/>
  <c r="N12" i="14"/>
  <c r="O21" i="14"/>
  <c r="O37" i="14"/>
  <c r="O36" i="14"/>
  <c r="N13" i="14"/>
  <c r="N11" i="14"/>
  <c r="N14" i="14"/>
  <c r="P20" i="14"/>
  <c r="P78" i="116"/>
  <c r="P78" i="105"/>
  <c r="P78" i="120"/>
  <c r="P78" i="102"/>
  <c r="P78" i="112"/>
  <c r="P78" i="115"/>
  <c r="P78" i="114"/>
  <c r="P78" i="113"/>
  <c r="U97" i="124"/>
  <c r="U99" i="124"/>
  <c r="U111" i="124"/>
  <c r="U161" i="124"/>
  <c r="U97" i="127"/>
  <c r="U99" i="127"/>
  <c r="U111" i="127"/>
  <c r="U161" i="127"/>
  <c r="L174" i="116"/>
  <c r="J115" i="71"/>
  <c r="L170" i="116"/>
  <c r="J113" i="71"/>
  <c r="N156" i="113"/>
  <c r="N160" i="113"/>
  <c r="Q76" i="112"/>
  <c r="Q76" i="102"/>
  <c r="Q76" i="120"/>
  <c r="Q76" i="116"/>
  <c r="Q76" i="105"/>
  <c r="M156" i="116"/>
  <c r="M160" i="116"/>
  <c r="K260" i="71"/>
  <c r="U97" i="125"/>
  <c r="U99" i="125"/>
  <c r="U111" i="125"/>
  <c r="U161" i="125"/>
  <c r="V99" i="142"/>
  <c r="V101" i="142"/>
  <c r="V113" i="142"/>
  <c r="V163" i="142"/>
  <c r="V99" i="143"/>
  <c r="V101" i="143"/>
  <c r="V113" i="143"/>
  <c r="V163" i="143"/>
  <c r="V99" i="140"/>
  <c r="V101" i="140"/>
  <c r="V113" i="140"/>
  <c r="V163" i="140"/>
  <c r="V99" i="141"/>
  <c r="V101" i="141"/>
  <c r="V113" i="141"/>
  <c r="V163" i="141"/>
  <c r="J108" i="71"/>
  <c r="N135" i="115"/>
  <c r="N136" i="115"/>
  <c r="N144" i="115"/>
  <c r="N152" i="115"/>
  <c r="L88" i="71"/>
  <c r="U97" i="138"/>
  <c r="U98" i="138"/>
  <c r="U100" i="138"/>
  <c r="U112" i="138"/>
  <c r="U162" i="138"/>
  <c r="U97" i="139"/>
  <c r="U98" i="139"/>
  <c r="U100" i="139"/>
  <c r="U112" i="139"/>
  <c r="U162" i="139"/>
  <c r="U98" i="136"/>
  <c r="U100" i="136"/>
  <c r="U112" i="136"/>
  <c r="U162" i="136"/>
  <c r="U98" i="137"/>
  <c r="U100" i="137"/>
  <c r="U112" i="137"/>
  <c r="U162" i="137"/>
  <c r="N156" i="102"/>
  <c r="N160" i="102"/>
  <c r="N174" i="102"/>
  <c r="L267" i="71"/>
  <c r="V99" i="134"/>
  <c r="V101" i="134"/>
  <c r="V113" i="134"/>
  <c r="V163" i="134"/>
  <c r="V99" i="135"/>
  <c r="V101" i="135"/>
  <c r="V113" i="135"/>
  <c r="V163" i="135"/>
  <c r="V99" i="133"/>
  <c r="V101" i="133"/>
  <c r="V113" i="133"/>
  <c r="V163" i="133"/>
  <c r="V99" i="129"/>
  <c r="V101" i="129"/>
  <c r="V113" i="129"/>
  <c r="V163" i="129"/>
  <c r="V96" i="127"/>
  <c r="O135" i="116"/>
  <c r="O136" i="116"/>
  <c r="O144" i="116"/>
  <c r="O152" i="116"/>
  <c r="M107" i="71"/>
  <c r="V96" i="126"/>
  <c r="O135" i="115"/>
  <c r="O136" i="115"/>
  <c r="O144" i="115"/>
  <c r="O152" i="115"/>
  <c r="M88" i="71"/>
  <c r="V96" i="125"/>
  <c r="V97" i="125"/>
  <c r="V99" i="125"/>
  <c r="V111" i="125"/>
  <c r="V161" i="125"/>
  <c r="V96" i="124"/>
  <c r="N156" i="112"/>
  <c r="N160" i="112"/>
  <c r="N171" i="112"/>
  <c r="M170" i="114"/>
  <c r="K75" i="71"/>
  <c r="N156" i="114"/>
  <c r="N160" i="114"/>
  <c r="U162" i="131"/>
  <c r="U98" i="132"/>
  <c r="U100" i="132"/>
  <c r="U112" i="132"/>
  <c r="U162" i="132"/>
  <c r="N156" i="116"/>
  <c r="N160" i="116"/>
  <c r="U98" i="130"/>
  <c r="U100" i="130"/>
  <c r="U112" i="130"/>
  <c r="U162" i="130"/>
  <c r="U98" i="128"/>
  <c r="U100" i="128"/>
  <c r="U112" i="128"/>
  <c r="U162" i="128"/>
  <c r="V97" i="127"/>
  <c r="V99" i="127"/>
  <c r="V111" i="127"/>
  <c r="V161" i="127"/>
  <c r="J77" i="71"/>
  <c r="M160" i="113"/>
  <c r="M171" i="113"/>
  <c r="K51" i="71"/>
  <c r="L182" i="71"/>
  <c r="L171" i="110"/>
  <c r="V99" i="123"/>
  <c r="V101" i="123"/>
  <c r="V113" i="123"/>
  <c r="V163" i="123"/>
  <c r="V98" i="122"/>
  <c r="V100" i="122"/>
  <c r="V112" i="122"/>
  <c r="V162" i="122"/>
  <c r="M171" i="97"/>
  <c r="M171" i="115"/>
  <c r="M174" i="115"/>
  <c r="K96" i="71"/>
  <c r="M170" i="111"/>
  <c r="K170" i="71"/>
  <c r="L87" i="71"/>
  <c r="M170" i="115"/>
  <c r="K94" i="71"/>
  <c r="K89" i="71"/>
  <c r="L106" i="71"/>
  <c r="L68" i="71"/>
  <c r="L174" i="113"/>
  <c r="J58" i="71"/>
  <c r="K70" i="71"/>
  <c r="M170" i="110"/>
  <c r="K151" i="71"/>
  <c r="M170" i="112"/>
  <c r="K189" i="71"/>
  <c r="K184" i="71"/>
  <c r="L171" i="108"/>
  <c r="M170" i="108"/>
  <c r="K37" i="71"/>
  <c r="L49" i="71"/>
  <c r="P104" i="120"/>
  <c r="P91" i="120"/>
  <c r="P102" i="120"/>
  <c r="P88" i="120"/>
  <c r="P81" i="120"/>
  <c r="P84" i="120"/>
  <c r="P83" i="120"/>
  <c r="P82" i="120"/>
  <c r="P92" i="120"/>
  <c r="P137" i="105"/>
  <c r="P145" i="105"/>
  <c r="P153" i="105"/>
  <c r="N411" i="71"/>
  <c r="P137" i="120"/>
  <c r="P145" i="120"/>
  <c r="P153" i="120"/>
  <c r="N335" i="71"/>
  <c r="P103" i="112"/>
  <c r="P103" i="116"/>
  <c r="P103" i="115"/>
  <c r="P103" i="114"/>
  <c r="P103" i="113"/>
  <c r="O105" i="116"/>
  <c r="P90" i="112"/>
  <c r="P90" i="116"/>
  <c r="P90" i="115"/>
  <c r="P90" i="114"/>
  <c r="P90" i="113"/>
  <c r="P76" i="115"/>
  <c r="P76" i="114"/>
  <c r="P76" i="113"/>
  <c r="P101" i="112"/>
  <c r="P101" i="116"/>
  <c r="P101" i="115"/>
  <c r="P101" i="114"/>
  <c r="P101" i="113"/>
  <c r="O105" i="113"/>
  <c r="O105" i="112"/>
  <c r="P91" i="112"/>
  <c r="P91" i="116"/>
  <c r="P91" i="115"/>
  <c r="P91" i="114"/>
  <c r="P91" i="113"/>
  <c r="O105" i="114"/>
  <c r="P87" i="112"/>
  <c r="P87" i="116"/>
  <c r="P87" i="115"/>
  <c r="P87" i="113"/>
  <c r="P87" i="114"/>
  <c r="O105" i="115"/>
  <c r="O135" i="112"/>
  <c r="O136" i="112"/>
  <c r="O144" i="112"/>
  <c r="O152" i="112"/>
  <c r="M183" i="71"/>
  <c r="M171" i="110"/>
  <c r="M171" i="111"/>
  <c r="P102" i="105"/>
  <c r="P101" i="102"/>
  <c r="P88" i="105"/>
  <c r="P87" i="102"/>
  <c r="M170" i="97"/>
  <c r="K18" i="71"/>
  <c r="M171" i="102"/>
  <c r="O105" i="102"/>
  <c r="M170" i="102"/>
  <c r="K265" i="71"/>
  <c r="L258" i="71"/>
  <c r="L171" i="99"/>
  <c r="L174" i="102"/>
  <c r="L171" i="102"/>
  <c r="M171" i="101"/>
  <c r="L171" i="101"/>
  <c r="M170" i="99"/>
  <c r="K227" i="71"/>
  <c r="M170" i="101"/>
  <c r="K246" i="71"/>
  <c r="P81" i="105"/>
  <c r="P92" i="105"/>
  <c r="P104" i="105"/>
  <c r="P91" i="105"/>
  <c r="P84" i="105"/>
  <c r="P83" i="105"/>
  <c r="P82" i="105"/>
  <c r="P90" i="102"/>
  <c r="P103" i="102"/>
  <c r="P91" i="102"/>
  <c r="O135" i="102"/>
  <c r="O136" i="102"/>
  <c r="O144" i="102"/>
  <c r="O152" i="102"/>
  <c r="M259" i="71"/>
  <c r="O16" i="98"/>
  <c r="O17" i="98"/>
  <c r="N29" i="98"/>
  <c r="N18" i="98"/>
  <c r="N40" i="98"/>
  <c r="L171" i="96"/>
  <c r="M170" i="96"/>
  <c r="K208" i="71"/>
  <c r="O12" i="14"/>
  <c r="P21" i="14"/>
  <c r="P37" i="14"/>
  <c r="P36" i="14"/>
  <c r="O14" i="14"/>
  <c r="O13" i="14"/>
  <c r="O11" i="14"/>
  <c r="Q20" i="14"/>
  <c r="Q78" i="114"/>
  <c r="Q78" i="116"/>
  <c r="Q78" i="105"/>
  <c r="Q78" i="120"/>
  <c r="Q78" i="102"/>
  <c r="Q78" i="112"/>
  <c r="Q78" i="115"/>
  <c r="Q78" i="113"/>
  <c r="L51" i="71"/>
  <c r="M170" i="116"/>
  <c r="K113" i="71"/>
  <c r="K108" i="71"/>
  <c r="N170" i="114"/>
  <c r="L75" i="71"/>
  <c r="R76" i="116"/>
  <c r="R76" i="105"/>
  <c r="R76" i="112"/>
  <c r="R76" i="102"/>
  <c r="R76" i="120"/>
  <c r="L184" i="71"/>
  <c r="W99" i="142"/>
  <c r="W101" i="142"/>
  <c r="W113" i="142"/>
  <c r="W163" i="142"/>
  <c r="W99" i="143"/>
  <c r="W101" i="143"/>
  <c r="W113" i="143"/>
  <c r="W163" i="143"/>
  <c r="N170" i="102"/>
  <c r="L265" i="71"/>
  <c r="L260" i="71"/>
  <c r="O135" i="114"/>
  <c r="O136" i="114"/>
  <c r="O144" i="114"/>
  <c r="O152" i="114"/>
  <c r="M69" i="71"/>
  <c r="W99" i="140"/>
  <c r="W101" i="140"/>
  <c r="W113" i="140"/>
  <c r="W163" i="140"/>
  <c r="W99" i="141"/>
  <c r="W101" i="141"/>
  <c r="W113" i="141"/>
  <c r="W163" i="141"/>
  <c r="M171" i="109"/>
  <c r="N156" i="115"/>
  <c r="N160" i="115"/>
  <c r="N174" i="115"/>
  <c r="L96" i="71"/>
  <c r="N170" i="112"/>
  <c r="L189" i="71"/>
  <c r="V97" i="126"/>
  <c r="V99" i="126"/>
  <c r="V111" i="126"/>
  <c r="V161" i="126"/>
  <c r="V97" i="138"/>
  <c r="V98" i="138"/>
  <c r="V100" i="138"/>
  <c r="V112" i="138"/>
  <c r="V162" i="138"/>
  <c r="V97" i="139"/>
  <c r="V98" i="139"/>
  <c r="V100" i="139"/>
  <c r="V112" i="139"/>
  <c r="V162" i="139"/>
  <c r="O171" i="111"/>
  <c r="L70" i="71"/>
  <c r="M170" i="109"/>
  <c r="K132" i="71"/>
  <c r="O156" i="102"/>
  <c r="O160" i="102"/>
  <c r="O174" i="102"/>
  <c r="M267" i="71"/>
  <c r="V98" i="136"/>
  <c r="V100" i="136"/>
  <c r="V112" i="136"/>
  <c r="V162" i="136"/>
  <c r="V98" i="137"/>
  <c r="V100" i="137"/>
  <c r="V112" i="137"/>
  <c r="V162" i="137"/>
  <c r="J267" i="71"/>
  <c r="W99" i="134"/>
  <c r="W101" i="134"/>
  <c r="W113" i="134"/>
  <c r="W163" i="134"/>
  <c r="W99" i="135"/>
  <c r="W101" i="135"/>
  <c r="W113" i="135"/>
  <c r="W163" i="135"/>
  <c r="O156" i="115"/>
  <c r="O160" i="115"/>
  <c r="W99" i="133"/>
  <c r="W101" i="133"/>
  <c r="W113" i="133"/>
  <c r="W163" i="133"/>
  <c r="W99" i="129"/>
  <c r="W101" i="129"/>
  <c r="W113" i="129"/>
  <c r="W163" i="129"/>
  <c r="W96" i="127"/>
  <c r="W97" i="127"/>
  <c r="W99" i="127"/>
  <c r="W111" i="127"/>
  <c r="W161" i="127"/>
  <c r="W96" i="126"/>
  <c r="P135" i="115"/>
  <c r="P136" i="115"/>
  <c r="P144" i="115"/>
  <c r="P152" i="115"/>
  <c r="N88" i="71"/>
  <c r="W96" i="125"/>
  <c r="P135" i="114"/>
  <c r="P136" i="114"/>
  <c r="P144" i="114"/>
  <c r="P152" i="114"/>
  <c r="N69" i="71"/>
  <c r="W96" i="124"/>
  <c r="P135" i="113"/>
  <c r="O156" i="112"/>
  <c r="O160" i="112"/>
  <c r="O135" i="113"/>
  <c r="V97" i="124"/>
  <c r="M171" i="108"/>
  <c r="V162" i="131"/>
  <c r="V98" i="132"/>
  <c r="V100" i="132"/>
  <c r="V112" i="132"/>
  <c r="V162" i="132"/>
  <c r="O156" i="116"/>
  <c r="O160" i="116"/>
  <c r="V98" i="130"/>
  <c r="V100" i="130"/>
  <c r="V112" i="130"/>
  <c r="V162" i="130"/>
  <c r="V98" i="128"/>
  <c r="V100" i="128"/>
  <c r="V112" i="128"/>
  <c r="V162" i="128"/>
  <c r="N174" i="112"/>
  <c r="L191" i="71"/>
  <c r="N170" i="111"/>
  <c r="L170" i="71"/>
  <c r="L171" i="109"/>
  <c r="W97" i="125"/>
  <c r="W99" i="125"/>
  <c r="W111" i="125"/>
  <c r="W161" i="125"/>
  <c r="M174" i="113"/>
  <c r="K58" i="71"/>
  <c r="N174" i="114"/>
  <c r="L77" i="71"/>
  <c r="N171" i="108"/>
  <c r="W99" i="123"/>
  <c r="W101" i="123"/>
  <c r="W113" i="123"/>
  <c r="W163" i="123"/>
  <c r="W98" i="122"/>
  <c r="W100" i="122"/>
  <c r="W112" i="122"/>
  <c r="W162" i="122"/>
  <c r="N174" i="113"/>
  <c r="L58" i="71"/>
  <c r="M106" i="71"/>
  <c r="M171" i="112"/>
  <c r="M174" i="112"/>
  <c r="K191" i="71"/>
  <c r="M174" i="114"/>
  <c r="K77" i="71"/>
  <c r="M171" i="114"/>
  <c r="N170" i="110"/>
  <c r="L151" i="71"/>
  <c r="M174" i="116"/>
  <c r="K115" i="71"/>
  <c r="M171" i="116"/>
  <c r="M87" i="71"/>
  <c r="M68" i="71"/>
  <c r="M182" i="71"/>
  <c r="P105" i="112"/>
  <c r="L108" i="71"/>
  <c r="N170" i="116"/>
  <c r="L113" i="71"/>
  <c r="N170" i="108"/>
  <c r="L37" i="71"/>
  <c r="N170" i="113"/>
  <c r="L56" i="71"/>
  <c r="M49" i="71"/>
  <c r="Q84" i="120"/>
  <c r="Q82" i="120"/>
  <c r="Q83" i="120"/>
  <c r="Q102" i="120"/>
  <c r="Q137" i="105"/>
  <c r="Q145" i="105"/>
  <c r="Q153" i="105"/>
  <c r="O411" i="71"/>
  <c r="Q137" i="120"/>
  <c r="Q145" i="120"/>
  <c r="Q153" i="120"/>
  <c r="O335" i="71"/>
  <c r="Q81" i="120"/>
  <c r="Q104" i="120"/>
  <c r="Q91" i="120"/>
  <c r="Q88" i="120"/>
  <c r="Q92" i="120"/>
  <c r="Q76" i="115"/>
  <c r="Q76" i="114"/>
  <c r="Q76" i="113"/>
  <c r="Q87" i="112"/>
  <c r="Q87" i="116"/>
  <c r="Q87" i="115"/>
  <c r="Q87" i="114"/>
  <c r="Q87" i="113"/>
  <c r="Q91" i="112"/>
  <c r="Q91" i="116"/>
  <c r="Q91" i="115"/>
  <c r="Q91" i="114"/>
  <c r="Q91" i="113"/>
  <c r="N171" i="114"/>
  <c r="P105" i="115"/>
  <c r="Q90" i="112"/>
  <c r="Q90" i="116"/>
  <c r="Q90" i="115"/>
  <c r="Q90" i="114"/>
  <c r="Q90" i="113"/>
  <c r="Q101" i="112"/>
  <c r="Q101" i="116"/>
  <c r="Q101" i="115"/>
  <c r="Q101" i="114"/>
  <c r="Q101" i="113"/>
  <c r="P105" i="116"/>
  <c r="P105" i="113"/>
  <c r="Q103" i="112"/>
  <c r="Q103" i="115"/>
  <c r="Q103" i="116"/>
  <c r="Q103" i="113"/>
  <c r="Q103" i="114"/>
  <c r="P105" i="114"/>
  <c r="P135" i="112"/>
  <c r="P136" i="112"/>
  <c r="P144" i="112"/>
  <c r="P152" i="112"/>
  <c r="N183" i="71"/>
  <c r="N171" i="111"/>
  <c r="Q88" i="105"/>
  <c r="Q87" i="102"/>
  <c r="Q102" i="105"/>
  <c r="Q101" i="102"/>
  <c r="N171" i="102"/>
  <c r="N170" i="97"/>
  <c r="L18" i="71"/>
  <c r="M174" i="102"/>
  <c r="K267" i="71"/>
  <c r="M258" i="71"/>
  <c r="N171" i="101"/>
  <c r="M171" i="99"/>
  <c r="N170" i="101"/>
  <c r="L246" i="71"/>
  <c r="N170" i="99"/>
  <c r="L227" i="71"/>
  <c r="Q91" i="105"/>
  <c r="Q81" i="105"/>
  <c r="Q104" i="105"/>
  <c r="Q84" i="105"/>
  <c r="Q92" i="105"/>
  <c r="Q82" i="105"/>
  <c r="Q83" i="105"/>
  <c r="P105" i="102"/>
  <c r="Q103" i="102"/>
  <c r="Q90" i="102"/>
  <c r="Q91" i="102"/>
  <c r="P135" i="102"/>
  <c r="P136" i="102"/>
  <c r="P144" i="102"/>
  <c r="P152" i="102"/>
  <c r="N259" i="71"/>
  <c r="P16" i="98"/>
  <c r="P17" i="98"/>
  <c r="O40" i="98"/>
  <c r="O18" i="98"/>
  <c r="O29" i="98"/>
  <c r="M171" i="96"/>
  <c r="N170" i="96"/>
  <c r="L208" i="71"/>
  <c r="P12" i="14"/>
  <c r="Q36" i="14"/>
  <c r="Q21" i="14"/>
  <c r="Q37" i="14"/>
  <c r="P14" i="14"/>
  <c r="P13" i="14"/>
  <c r="P11" i="14"/>
  <c r="R20" i="14"/>
  <c r="R78" i="116"/>
  <c r="R78" i="120"/>
  <c r="R78" i="112"/>
  <c r="R78" i="113"/>
  <c r="R78" i="105"/>
  <c r="R78" i="102"/>
  <c r="R78" i="115"/>
  <c r="R78" i="114"/>
  <c r="M184" i="71"/>
  <c r="P135" i="116"/>
  <c r="P136" i="116"/>
  <c r="P144" i="116"/>
  <c r="P152" i="116"/>
  <c r="N107" i="71"/>
  <c r="O156" i="114"/>
  <c r="O160" i="114"/>
  <c r="W97" i="126"/>
  <c r="W99" i="126"/>
  <c r="W111" i="126"/>
  <c r="W161" i="126"/>
  <c r="S76" i="120"/>
  <c r="S76" i="116"/>
  <c r="S76" i="105"/>
  <c r="S76" i="112"/>
  <c r="S76" i="102"/>
  <c r="O171" i="102"/>
  <c r="O170" i="99"/>
  <c r="M227" i="71"/>
  <c r="M89" i="71"/>
  <c r="X99" i="142"/>
  <c r="X101" i="142"/>
  <c r="X113" i="142"/>
  <c r="X163" i="142"/>
  <c r="X99" i="143"/>
  <c r="X101" i="143"/>
  <c r="X113" i="143"/>
  <c r="X163" i="143"/>
  <c r="W97" i="124"/>
  <c r="X99" i="140"/>
  <c r="X101" i="140"/>
  <c r="X113" i="140"/>
  <c r="X163" i="140"/>
  <c r="X99" i="141"/>
  <c r="X101" i="141"/>
  <c r="X113" i="141"/>
  <c r="X163" i="141"/>
  <c r="N170" i="115"/>
  <c r="L94" i="71"/>
  <c r="L89" i="71"/>
  <c r="M70" i="71"/>
  <c r="M260" i="71"/>
  <c r="O170" i="102"/>
  <c r="M265" i="71"/>
  <c r="W97" i="138"/>
  <c r="W98" i="138"/>
  <c r="W100" i="138"/>
  <c r="W112" i="138"/>
  <c r="W162" i="138"/>
  <c r="W97" i="139"/>
  <c r="W98" i="139"/>
  <c r="W100" i="139"/>
  <c r="W112" i="139"/>
  <c r="W162" i="139"/>
  <c r="O170" i="101"/>
  <c r="M246" i="71"/>
  <c r="W98" i="136"/>
  <c r="W100" i="136"/>
  <c r="W112" i="136"/>
  <c r="W162" i="136"/>
  <c r="W98" i="137"/>
  <c r="W100" i="137"/>
  <c r="W112" i="137"/>
  <c r="W162" i="137"/>
  <c r="P156" i="102"/>
  <c r="P160" i="102"/>
  <c r="X99" i="134"/>
  <c r="X101" i="134"/>
  <c r="X113" i="134"/>
  <c r="X163" i="134"/>
  <c r="X99" i="135"/>
  <c r="X101" i="135"/>
  <c r="X113" i="135"/>
  <c r="X163" i="135"/>
  <c r="P156" i="112"/>
  <c r="P160" i="112"/>
  <c r="X99" i="133"/>
  <c r="X101" i="133"/>
  <c r="X113" i="133"/>
  <c r="X163" i="133"/>
  <c r="X99" i="129"/>
  <c r="X101" i="129"/>
  <c r="X113" i="129"/>
  <c r="X163" i="129"/>
  <c r="X96" i="127"/>
  <c r="Q135" i="116"/>
  <c r="Q136" i="116"/>
  <c r="Q144" i="116"/>
  <c r="Q152" i="116"/>
  <c r="O107" i="71"/>
  <c r="X96" i="126"/>
  <c r="Q135" i="115"/>
  <c r="Q136" i="115"/>
  <c r="Q144" i="115"/>
  <c r="Q152" i="115"/>
  <c r="O88" i="71"/>
  <c r="X96" i="125"/>
  <c r="Q135" i="114"/>
  <c r="Q136" i="114"/>
  <c r="Q144" i="114"/>
  <c r="Q152" i="114"/>
  <c r="O69" i="71"/>
  <c r="X96" i="124"/>
  <c r="Q135" i="113"/>
  <c r="Q136" i="113"/>
  <c r="Q144" i="113"/>
  <c r="Q152" i="113"/>
  <c r="O50" i="71"/>
  <c r="M108" i="71"/>
  <c r="P156" i="114"/>
  <c r="P160" i="114"/>
  <c r="W162" i="131"/>
  <c r="W98" i="132"/>
  <c r="W100" i="132"/>
  <c r="W112" i="132"/>
  <c r="W162" i="132"/>
  <c r="O170" i="116"/>
  <c r="M113" i="71"/>
  <c r="N171" i="109"/>
  <c r="N170" i="109"/>
  <c r="L132" i="71"/>
  <c r="W98" i="130"/>
  <c r="W100" i="130"/>
  <c r="W112" i="130"/>
  <c r="W162" i="130"/>
  <c r="W98" i="128"/>
  <c r="W100" i="128"/>
  <c r="W112" i="128"/>
  <c r="W162" i="128"/>
  <c r="P156" i="116"/>
  <c r="P160" i="116"/>
  <c r="P156" i="115"/>
  <c r="P160" i="115"/>
  <c r="O170" i="115"/>
  <c r="M94" i="71"/>
  <c r="N171" i="113"/>
  <c r="O171" i="108"/>
  <c r="X99" i="123"/>
  <c r="X101" i="123"/>
  <c r="X113" i="123"/>
  <c r="X163" i="123"/>
  <c r="N171" i="115"/>
  <c r="O174" i="112"/>
  <c r="M191" i="71"/>
  <c r="O170" i="112"/>
  <c r="M189" i="71"/>
  <c r="O170" i="114"/>
  <c r="M75" i="71"/>
  <c r="X98" i="122"/>
  <c r="X100" i="122"/>
  <c r="X112" i="122"/>
  <c r="X162" i="122"/>
  <c r="O171" i="97"/>
  <c r="O170" i="110"/>
  <c r="M151" i="71"/>
  <c r="N68" i="71"/>
  <c r="N87" i="71"/>
  <c r="Q105" i="112"/>
  <c r="N182" i="71"/>
  <c r="O170" i="111"/>
  <c r="M170" i="71"/>
  <c r="O174" i="114"/>
  <c r="M77" i="71"/>
  <c r="N106" i="71"/>
  <c r="N174" i="116"/>
  <c r="L115" i="71"/>
  <c r="N171" i="116"/>
  <c r="N171" i="110"/>
  <c r="O170" i="108"/>
  <c r="M37" i="71"/>
  <c r="N49" i="71"/>
  <c r="R81" i="120"/>
  <c r="R88" i="120"/>
  <c r="R102" i="120"/>
  <c r="R137" i="105"/>
  <c r="R145" i="105"/>
  <c r="R153" i="105"/>
  <c r="P411" i="71"/>
  <c r="R137" i="120"/>
  <c r="R145" i="120"/>
  <c r="R153" i="120"/>
  <c r="P335" i="71"/>
  <c r="R84" i="120"/>
  <c r="R91" i="120"/>
  <c r="R104" i="120"/>
  <c r="R82" i="120"/>
  <c r="R83" i="120"/>
  <c r="R92" i="120"/>
  <c r="R76" i="115"/>
  <c r="R76" i="114"/>
  <c r="R76" i="113"/>
  <c r="R91" i="112"/>
  <c r="R91" i="116"/>
  <c r="R91" i="115"/>
  <c r="R91" i="114"/>
  <c r="R91" i="113"/>
  <c r="Q105" i="114"/>
  <c r="R90" i="112"/>
  <c r="R90" i="116"/>
  <c r="R90" i="115"/>
  <c r="R90" i="114"/>
  <c r="R90" i="113"/>
  <c r="Q105" i="115"/>
  <c r="R101" i="112"/>
  <c r="R101" i="116"/>
  <c r="R101" i="115"/>
  <c r="R101" i="114"/>
  <c r="R101" i="113"/>
  <c r="O171" i="112"/>
  <c r="O174" i="115"/>
  <c r="M96" i="71"/>
  <c r="O171" i="115"/>
  <c r="Q105" i="116"/>
  <c r="R87" i="112"/>
  <c r="R87" i="116"/>
  <c r="R87" i="115"/>
  <c r="R87" i="114"/>
  <c r="R87" i="113"/>
  <c r="R103" i="112"/>
  <c r="R103" i="116"/>
  <c r="R103" i="115"/>
  <c r="R103" i="114"/>
  <c r="R103" i="113"/>
  <c r="O171" i="116"/>
  <c r="O174" i="116"/>
  <c r="M115" i="71"/>
  <c r="Q105" i="113"/>
  <c r="Q135" i="112"/>
  <c r="Q136" i="112"/>
  <c r="Q144" i="112"/>
  <c r="Q152" i="112"/>
  <c r="O183" i="71"/>
  <c r="N171" i="97"/>
  <c r="O171" i="110"/>
  <c r="R88" i="105"/>
  <c r="R87" i="102"/>
  <c r="R101" i="102"/>
  <c r="R102" i="105"/>
  <c r="Q105" i="102"/>
  <c r="O170" i="97"/>
  <c r="M18" i="71"/>
  <c r="N258" i="71"/>
  <c r="N171" i="99"/>
  <c r="R91" i="105"/>
  <c r="R92" i="105"/>
  <c r="R84" i="105"/>
  <c r="R82" i="105"/>
  <c r="R83" i="105"/>
  <c r="R81" i="105"/>
  <c r="R104" i="105"/>
  <c r="R90" i="102"/>
  <c r="R103" i="102"/>
  <c r="R91" i="102"/>
  <c r="Q135" i="102"/>
  <c r="Q136" i="102"/>
  <c r="Q144" i="102"/>
  <c r="Q152" i="102"/>
  <c r="O259" i="71"/>
  <c r="P40" i="98"/>
  <c r="Q16" i="98"/>
  <c r="Q17" i="98"/>
  <c r="P18" i="98"/>
  <c r="P29" i="98"/>
  <c r="O170" i="96"/>
  <c r="M208" i="71"/>
  <c r="N171" i="96"/>
  <c r="Q12" i="14"/>
  <c r="R21" i="14"/>
  <c r="R37" i="14"/>
  <c r="R36" i="14"/>
  <c r="Q11" i="14"/>
  <c r="Q14" i="14"/>
  <c r="Q13" i="14"/>
  <c r="S20" i="14"/>
  <c r="S78" i="105"/>
  <c r="S78" i="120"/>
  <c r="S78" i="102"/>
  <c r="S78" i="112"/>
  <c r="S78" i="115"/>
  <c r="S78" i="114"/>
  <c r="S78" i="116"/>
  <c r="S78" i="113"/>
  <c r="T76" i="102"/>
  <c r="T76" i="120"/>
  <c r="T76" i="116"/>
  <c r="T76" i="105"/>
  <c r="T76" i="112"/>
  <c r="P170" i="99"/>
  <c r="N227" i="71"/>
  <c r="X97" i="126"/>
  <c r="X99" i="126"/>
  <c r="X111" i="126"/>
  <c r="X161" i="126"/>
  <c r="X97" i="125"/>
  <c r="X99" i="125"/>
  <c r="X111" i="125"/>
  <c r="X161" i="125"/>
  <c r="X97" i="127"/>
  <c r="X99" i="127"/>
  <c r="X111" i="127"/>
  <c r="X161" i="127"/>
  <c r="Y99" i="142"/>
  <c r="Y101" i="142"/>
  <c r="Y113" i="142"/>
  <c r="Y163" i="142"/>
  <c r="Y99" i="143"/>
  <c r="Y101" i="143"/>
  <c r="Y113" i="143"/>
  <c r="Y163" i="143"/>
  <c r="Y99" i="140"/>
  <c r="Y101" i="140"/>
  <c r="Y113" i="140"/>
  <c r="Y163" i="140"/>
  <c r="Y99" i="141"/>
  <c r="Y101" i="141"/>
  <c r="Y113" i="141"/>
  <c r="Y163" i="141"/>
  <c r="P170" i="114"/>
  <c r="N75" i="71"/>
  <c r="N70" i="71"/>
  <c r="X97" i="138"/>
  <c r="X98" i="138"/>
  <c r="X100" i="138"/>
  <c r="X112" i="138"/>
  <c r="X162" i="138"/>
  <c r="X97" i="139"/>
  <c r="X98" i="139"/>
  <c r="X100" i="139"/>
  <c r="X112" i="139"/>
  <c r="X162" i="139"/>
  <c r="Q156" i="113"/>
  <c r="Q160" i="113"/>
  <c r="X97" i="124"/>
  <c r="X99" i="124"/>
  <c r="X111" i="124"/>
  <c r="X161" i="124"/>
  <c r="X98" i="136"/>
  <c r="X100" i="136"/>
  <c r="X112" i="136"/>
  <c r="X162" i="136"/>
  <c r="X98" i="137"/>
  <c r="X100" i="137"/>
  <c r="X112" i="137"/>
  <c r="X162" i="137"/>
  <c r="Q156" i="102"/>
  <c r="Q160" i="102"/>
  <c r="Q174" i="102"/>
  <c r="O267" i="71"/>
  <c r="Y99" i="134"/>
  <c r="Y101" i="134"/>
  <c r="Y113" i="134"/>
  <c r="Y163" i="134"/>
  <c r="Y99" i="135"/>
  <c r="Y101" i="135"/>
  <c r="Y113" i="135"/>
  <c r="Y163" i="135"/>
  <c r="Q156" i="112"/>
  <c r="Q160" i="112"/>
  <c r="Q171" i="99"/>
  <c r="Q156" i="115"/>
  <c r="Q160" i="115"/>
  <c r="N89" i="71"/>
  <c r="Y99" i="129"/>
  <c r="Y101" i="129"/>
  <c r="Y113" i="129"/>
  <c r="Y163" i="129"/>
  <c r="Y96" i="126"/>
  <c r="Y97" i="126"/>
  <c r="Y99" i="126"/>
  <c r="Y111" i="126"/>
  <c r="Y161" i="126"/>
  <c r="Y96" i="125"/>
  <c r="Y97" i="125"/>
  <c r="Y99" i="125"/>
  <c r="Y111" i="125"/>
  <c r="Y161" i="125"/>
  <c r="Y96" i="124"/>
  <c r="R135" i="113"/>
  <c r="R136" i="113"/>
  <c r="R144" i="113"/>
  <c r="R152" i="113"/>
  <c r="P50" i="71"/>
  <c r="Y96" i="127"/>
  <c r="Y97" i="127"/>
  <c r="Y99" i="127"/>
  <c r="Y111" i="127"/>
  <c r="Y161" i="127"/>
  <c r="Y99" i="133"/>
  <c r="Y101" i="133"/>
  <c r="Y113" i="133"/>
  <c r="Y163" i="133"/>
  <c r="Q156" i="116"/>
  <c r="Q160" i="116"/>
  <c r="Q156" i="114"/>
  <c r="Q160" i="114"/>
  <c r="P170" i="116"/>
  <c r="N113" i="71"/>
  <c r="N108" i="71"/>
  <c r="X162" i="131"/>
  <c r="X98" i="132"/>
  <c r="X100" i="132"/>
  <c r="X112" i="132"/>
  <c r="X162" i="132"/>
  <c r="P170" i="109"/>
  <c r="N132" i="71"/>
  <c r="O171" i="109"/>
  <c r="O170" i="109"/>
  <c r="M132" i="71"/>
  <c r="X98" i="130"/>
  <c r="X100" i="130"/>
  <c r="X112" i="130"/>
  <c r="X162" i="130"/>
  <c r="X98" i="128"/>
  <c r="X100" i="128"/>
  <c r="X112" i="128"/>
  <c r="X162" i="128"/>
  <c r="R135" i="115"/>
  <c r="R136" i="115"/>
  <c r="R144" i="115"/>
  <c r="R152" i="115"/>
  <c r="P88" i="71"/>
  <c r="P174" i="115"/>
  <c r="N96" i="71"/>
  <c r="P170" i="111"/>
  <c r="N170" i="71"/>
  <c r="P170" i="115"/>
  <c r="N94" i="71"/>
  <c r="P171" i="111"/>
  <c r="Y99" i="123"/>
  <c r="Y101" i="123"/>
  <c r="Y113" i="123"/>
  <c r="Y163" i="123"/>
  <c r="O171" i="114"/>
  <c r="Y98" i="122"/>
  <c r="Y100" i="122"/>
  <c r="Y112" i="122"/>
  <c r="Y162" i="122"/>
  <c r="P171" i="97"/>
  <c r="P170" i="110"/>
  <c r="N151" i="71"/>
  <c r="R105" i="112"/>
  <c r="O68" i="71"/>
  <c r="O182" i="71"/>
  <c r="O87" i="71"/>
  <c r="O106" i="71"/>
  <c r="N184" i="71"/>
  <c r="P170" i="112"/>
  <c r="N189" i="71"/>
  <c r="P170" i="108"/>
  <c r="N37" i="71"/>
  <c r="O49" i="71"/>
  <c r="S82" i="120"/>
  <c r="S102" i="120"/>
  <c r="S81" i="120"/>
  <c r="S88" i="120"/>
  <c r="S104" i="120"/>
  <c r="S137" i="105"/>
  <c r="S145" i="105"/>
  <c r="S153" i="105"/>
  <c r="Q411" i="71"/>
  <c r="S137" i="120"/>
  <c r="S145" i="120"/>
  <c r="S153" i="120"/>
  <c r="Q335" i="71"/>
  <c r="S83" i="120"/>
  <c r="S92" i="120"/>
  <c r="S91" i="120"/>
  <c r="S84" i="120"/>
  <c r="S87" i="112"/>
  <c r="S87" i="116"/>
  <c r="S87" i="115"/>
  <c r="S87" i="114"/>
  <c r="S87" i="113"/>
  <c r="S90" i="112"/>
  <c r="S90" i="116"/>
  <c r="S90" i="115"/>
  <c r="S90" i="114"/>
  <c r="S90" i="113"/>
  <c r="R105" i="114"/>
  <c r="S76" i="115"/>
  <c r="S76" i="114"/>
  <c r="S76" i="113"/>
  <c r="S103" i="112"/>
  <c r="S103" i="116"/>
  <c r="S103" i="115"/>
  <c r="S103" i="114"/>
  <c r="S103" i="113"/>
  <c r="S101" i="112"/>
  <c r="S101" i="116"/>
  <c r="S101" i="115"/>
  <c r="S101" i="114"/>
  <c r="S101" i="113"/>
  <c r="S91" i="116"/>
  <c r="S91" i="115"/>
  <c r="S91" i="114"/>
  <c r="S91" i="113"/>
  <c r="P171" i="115"/>
  <c r="R105" i="115"/>
  <c r="P171" i="114"/>
  <c r="P174" i="114"/>
  <c r="N77" i="71"/>
  <c r="P174" i="116"/>
  <c r="N115" i="71"/>
  <c r="P171" i="116"/>
  <c r="R105" i="116"/>
  <c r="R105" i="113"/>
  <c r="R135" i="112"/>
  <c r="R136" i="112"/>
  <c r="R144" i="112"/>
  <c r="R152" i="112"/>
  <c r="P183" i="71"/>
  <c r="S91" i="112"/>
  <c r="S88" i="105"/>
  <c r="S87" i="102"/>
  <c r="S102" i="105"/>
  <c r="S101" i="102"/>
  <c r="O258" i="71"/>
  <c r="P170" i="97"/>
  <c r="N18" i="71"/>
  <c r="R105" i="102"/>
  <c r="O171" i="99"/>
  <c r="O171" i="101"/>
  <c r="P170" i="101"/>
  <c r="N246" i="71"/>
  <c r="P170" i="102"/>
  <c r="N265" i="71"/>
  <c r="N260" i="71"/>
  <c r="S91" i="105"/>
  <c r="S82" i="105"/>
  <c r="S81" i="105"/>
  <c r="S83" i="105"/>
  <c r="S104" i="105"/>
  <c r="S84" i="105"/>
  <c r="S92" i="105"/>
  <c r="S91" i="102"/>
  <c r="S103" i="102"/>
  <c r="S90" i="102"/>
  <c r="R135" i="102"/>
  <c r="R136" i="102"/>
  <c r="R144" i="102"/>
  <c r="R152" i="102"/>
  <c r="P259" i="71"/>
  <c r="Q40" i="98"/>
  <c r="R16" i="98"/>
  <c r="R17" i="98"/>
  <c r="Q29" i="98"/>
  <c r="Q18" i="98"/>
  <c r="O171" i="96"/>
  <c r="P170" i="96"/>
  <c r="N208" i="71"/>
  <c r="R12" i="14"/>
  <c r="S21" i="14"/>
  <c r="S37" i="14"/>
  <c r="S36" i="14"/>
  <c r="R13" i="14"/>
  <c r="R11" i="14"/>
  <c r="R14" i="14"/>
  <c r="T20" i="14"/>
  <c r="T78" i="116"/>
  <c r="T78" i="105"/>
  <c r="T78" i="120"/>
  <c r="T78" i="102"/>
  <c r="T78" i="112"/>
  <c r="T78" i="115"/>
  <c r="T78" i="114"/>
  <c r="T78" i="113"/>
  <c r="R135" i="114"/>
  <c r="R136" i="114"/>
  <c r="R144" i="114"/>
  <c r="R152" i="114"/>
  <c r="P69" i="71"/>
  <c r="O89" i="71"/>
  <c r="U76" i="112"/>
  <c r="U76" i="102"/>
  <c r="U76" i="120"/>
  <c r="U76" i="116"/>
  <c r="U76" i="105"/>
  <c r="O108" i="71"/>
  <c r="O51" i="71"/>
  <c r="Z99" i="142"/>
  <c r="Z101" i="142"/>
  <c r="Z113" i="142"/>
  <c r="Z163" i="142"/>
  <c r="Z99" i="143"/>
  <c r="Z101" i="143"/>
  <c r="Z113" i="143"/>
  <c r="Z163" i="143"/>
  <c r="Z99" i="140"/>
  <c r="Z101" i="140"/>
  <c r="Z113" i="140"/>
  <c r="Z163" i="140"/>
  <c r="Z99" i="141"/>
  <c r="Z101" i="141"/>
  <c r="Z113" i="141"/>
  <c r="Z163" i="141"/>
  <c r="R156" i="113"/>
  <c r="R160" i="113"/>
  <c r="Q170" i="102"/>
  <c r="O265" i="71"/>
  <c r="O260" i="71"/>
  <c r="Y97" i="138"/>
  <c r="Y98" i="138"/>
  <c r="Y100" i="138"/>
  <c r="Y112" i="138"/>
  <c r="Y162" i="138"/>
  <c r="Y97" i="139"/>
  <c r="Y98" i="139"/>
  <c r="Y100" i="139"/>
  <c r="Y112" i="139"/>
  <c r="Y162" i="139"/>
  <c r="O70" i="71"/>
  <c r="Y98" i="136"/>
  <c r="Y100" i="136"/>
  <c r="Y112" i="136"/>
  <c r="Y162" i="136"/>
  <c r="Y98" i="137"/>
  <c r="Y100" i="137"/>
  <c r="Y112" i="137"/>
  <c r="Y162" i="137"/>
  <c r="P258" i="71"/>
  <c r="R156" i="102"/>
  <c r="R160" i="102"/>
  <c r="Y97" i="124"/>
  <c r="Y99" i="124"/>
  <c r="Y111" i="124"/>
  <c r="Y161" i="124"/>
  <c r="Z99" i="134"/>
  <c r="Z101" i="134"/>
  <c r="Z113" i="134"/>
  <c r="Z163" i="134"/>
  <c r="Z99" i="135"/>
  <c r="Z101" i="135"/>
  <c r="Z113" i="135"/>
  <c r="Z163" i="135"/>
  <c r="R156" i="112"/>
  <c r="R160" i="112"/>
  <c r="R135" i="116"/>
  <c r="R136" i="116"/>
  <c r="R144" i="116"/>
  <c r="R152" i="116"/>
  <c r="P107" i="71"/>
  <c r="Z99" i="133"/>
  <c r="Z101" i="133"/>
  <c r="Z113" i="133"/>
  <c r="Z163" i="133"/>
  <c r="Z99" i="129"/>
  <c r="Z101" i="129"/>
  <c r="Z113" i="129"/>
  <c r="Z163" i="129"/>
  <c r="Z96" i="127"/>
  <c r="S135" i="116"/>
  <c r="S136" i="116"/>
  <c r="S144" i="116"/>
  <c r="S152" i="116"/>
  <c r="Q107" i="71"/>
  <c r="Z96" i="126"/>
  <c r="Z97" i="126"/>
  <c r="Z99" i="126"/>
  <c r="Z111" i="126"/>
  <c r="Z161" i="126"/>
  <c r="Z96" i="125"/>
  <c r="Z97" i="125"/>
  <c r="Z99" i="125"/>
  <c r="Z111" i="125"/>
  <c r="Z161" i="125"/>
  <c r="Z96" i="124"/>
  <c r="S135" i="113"/>
  <c r="S136" i="113"/>
  <c r="S144" i="113"/>
  <c r="S152" i="113"/>
  <c r="Q50" i="71"/>
  <c r="Y162" i="131"/>
  <c r="Y98" i="132"/>
  <c r="Y100" i="132"/>
  <c r="Y112" i="132"/>
  <c r="Y162" i="132"/>
  <c r="R156" i="115"/>
  <c r="R160" i="115"/>
  <c r="Y98" i="130"/>
  <c r="Y100" i="130"/>
  <c r="Y112" i="130"/>
  <c r="Y162" i="130"/>
  <c r="Y98" i="128"/>
  <c r="Y100" i="128"/>
  <c r="Y112" i="128"/>
  <c r="Y162" i="128"/>
  <c r="Q171" i="108"/>
  <c r="Z99" i="123"/>
  <c r="Z101" i="123"/>
  <c r="Z113" i="123"/>
  <c r="Z163" i="123"/>
  <c r="Q171" i="113"/>
  <c r="Z98" i="122"/>
  <c r="Z100" i="122"/>
  <c r="Z112" i="122"/>
  <c r="Z162" i="122"/>
  <c r="Q174" i="114"/>
  <c r="O77" i="71"/>
  <c r="Q170" i="116"/>
  <c r="O113" i="71"/>
  <c r="Q170" i="114"/>
  <c r="O75" i="71"/>
  <c r="Q170" i="113"/>
  <c r="O56" i="71"/>
  <c r="Q174" i="116"/>
  <c r="O115" i="71"/>
  <c r="Q171" i="97"/>
  <c r="Q171" i="111"/>
  <c r="P171" i="110"/>
  <c r="P87" i="71"/>
  <c r="P68" i="71"/>
  <c r="P106" i="71"/>
  <c r="Q174" i="115"/>
  <c r="O96" i="71"/>
  <c r="P174" i="112"/>
  <c r="N191" i="71"/>
  <c r="P171" i="112"/>
  <c r="O184" i="71"/>
  <c r="Q170" i="112"/>
  <c r="O189" i="71"/>
  <c r="Q170" i="111"/>
  <c r="O170" i="71"/>
  <c r="Q170" i="115"/>
  <c r="O94" i="71"/>
  <c r="Q170" i="110"/>
  <c r="O151" i="71"/>
  <c r="P182" i="71"/>
  <c r="P171" i="108"/>
  <c r="Q170" i="108"/>
  <c r="O37" i="71"/>
  <c r="P49" i="71"/>
  <c r="T88" i="120"/>
  <c r="T137" i="105"/>
  <c r="T145" i="105"/>
  <c r="T153" i="105"/>
  <c r="R411" i="71"/>
  <c r="T137" i="120"/>
  <c r="T145" i="120"/>
  <c r="T153" i="120"/>
  <c r="R335" i="71"/>
  <c r="T84" i="120"/>
  <c r="T104" i="120"/>
  <c r="T91" i="120"/>
  <c r="T83" i="120"/>
  <c r="T82" i="120"/>
  <c r="T92" i="120"/>
  <c r="T81" i="120"/>
  <c r="T102" i="120"/>
  <c r="S105" i="114"/>
  <c r="T103" i="112"/>
  <c r="T103" i="116"/>
  <c r="T103" i="115"/>
  <c r="T103" i="114"/>
  <c r="T103" i="113"/>
  <c r="S105" i="112"/>
  <c r="S105" i="116"/>
  <c r="T101" i="112"/>
  <c r="T101" i="116"/>
  <c r="T101" i="115"/>
  <c r="T101" i="114"/>
  <c r="T101" i="113"/>
  <c r="T87" i="112"/>
  <c r="T87" i="116"/>
  <c r="T87" i="115"/>
  <c r="T87" i="114"/>
  <c r="T87" i="113"/>
  <c r="T90" i="112"/>
  <c r="T90" i="116"/>
  <c r="T90" i="115"/>
  <c r="T90" i="114"/>
  <c r="T90" i="113"/>
  <c r="T76" i="115"/>
  <c r="T76" i="114"/>
  <c r="T76" i="113"/>
  <c r="T91" i="115"/>
  <c r="T91" i="116"/>
  <c r="T91" i="113"/>
  <c r="T91" i="114"/>
  <c r="Q171" i="116"/>
  <c r="S105" i="113"/>
  <c r="S105" i="115"/>
  <c r="T91" i="112"/>
  <c r="S135" i="112"/>
  <c r="S136" i="112"/>
  <c r="S144" i="112"/>
  <c r="S152" i="112"/>
  <c r="Q183" i="71"/>
  <c r="T102" i="105"/>
  <c r="T101" i="102"/>
  <c r="T88" i="105"/>
  <c r="T87" i="102"/>
  <c r="Q171" i="102"/>
  <c r="R171" i="101"/>
  <c r="P171" i="99"/>
  <c r="P171" i="101"/>
  <c r="P171" i="102"/>
  <c r="P174" i="102"/>
  <c r="N267" i="71"/>
  <c r="Q170" i="101"/>
  <c r="O246" i="71"/>
  <c r="Q170" i="99"/>
  <c r="O227" i="71"/>
  <c r="T83" i="105"/>
  <c r="T84" i="105"/>
  <c r="T81" i="105"/>
  <c r="T104" i="105"/>
  <c r="T92" i="105"/>
  <c r="T91" i="105"/>
  <c r="T82" i="105"/>
  <c r="T103" i="102"/>
  <c r="T90" i="102"/>
  <c r="Q170" i="97"/>
  <c r="O18" i="71"/>
  <c r="T91" i="102"/>
  <c r="S105" i="102"/>
  <c r="S135" i="102"/>
  <c r="S136" i="102"/>
  <c r="S144" i="102"/>
  <c r="S152" i="102"/>
  <c r="Q259" i="71"/>
  <c r="R29" i="98"/>
  <c r="R40" i="98"/>
  <c r="S16" i="98"/>
  <c r="S17" i="98"/>
  <c r="R18" i="98"/>
  <c r="P171" i="96"/>
  <c r="Q170" i="96"/>
  <c r="O208" i="71"/>
  <c r="S12" i="14"/>
  <c r="T36" i="14"/>
  <c r="T21" i="14"/>
  <c r="T37" i="14"/>
  <c r="S14" i="14"/>
  <c r="S13" i="14"/>
  <c r="S11" i="14"/>
  <c r="U20" i="14"/>
  <c r="U78" i="116"/>
  <c r="U78" i="105"/>
  <c r="U78" i="120"/>
  <c r="U78" i="102"/>
  <c r="U78" i="112"/>
  <c r="U78" i="115"/>
  <c r="U78" i="114"/>
  <c r="U78" i="113"/>
  <c r="P51" i="71"/>
  <c r="Z97" i="127"/>
  <c r="Z99" i="127"/>
  <c r="Z111" i="127"/>
  <c r="Z161" i="127"/>
  <c r="R156" i="114"/>
  <c r="R160" i="114"/>
  <c r="R171" i="114"/>
  <c r="V76" i="116"/>
  <c r="V76" i="105"/>
  <c r="V76" i="112"/>
  <c r="V76" i="102"/>
  <c r="V76" i="120"/>
  <c r="AA99" i="142"/>
  <c r="AA101" i="142"/>
  <c r="AA113" i="142"/>
  <c r="AA163" i="142"/>
  <c r="AA99" i="143"/>
  <c r="AA101" i="143"/>
  <c r="AA113" i="143"/>
  <c r="AA163" i="143"/>
  <c r="AA99" i="140"/>
  <c r="AA101" i="140"/>
  <c r="AA113" i="140"/>
  <c r="AA163" i="140"/>
  <c r="AA99" i="141"/>
  <c r="AA101" i="141"/>
  <c r="AA113" i="141"/>
  <c r="AA163" i="141"/>
  <c r="P260" i="71"/>
  <c r="Z97" i="138"/>
  <c r="Z98" i="138"/>
  <c r="Z100" i="138"/>
  <c r="Z112" i="138"/>
  <c r="Z162" i="138"/>
  <c r="Z97" i="139"/>
  <c r="Z98" i="139"/>
  <c r="Z100" i="139"/>
  <c r="Z112" i="139"/>
  <c r="Z162" i="139"/>
  <c r="S135" i="115"/>
  <c r="S136" i="115"/>
  <c r="S144" i="115"/>
  <c r="S152" i="115"/>
  <c r="Q88" i="71"/>
  <c r="P70" i="71"/>
  <c r="Z98" i="136"/>
  <c r="Z100" i="136"/>
  <c r="Z112" i="136"/>
  <c r="Z162" i="136"/>
  <c r="Z98" i="137"/>
  <c r="Z100" i="137"/>
  <c r="Z112" i="137"/>
  <c r="Z162" i="137"/>
  <c r="S156" i="102"/>
  <c r="S160" i="102"/>
  <c r="S135" i="114"/>
  <c r="S136" i="114"/>
  <c r="S144" i="114"/>
  <c r="S152" i="114"/>
  <c r="Q69" i="71"/>
  <c r="AA99" i="134"/>
  <c r="AA101" i="134"/>
  <c r="AA113" i="134"/>
  <c r="AA163" i="134"/>
  <c r="AA99" i="135"/>
  <c r="AA101" i="135"/>
  <c r="AA113" i="135"/>
  <c r="AA163" i="135"/>
  <c r="S156" i="115"/>
  <c r="S160" i="115"/>
  <c r="S171" i="99"/>
  <c r="S156" i="112"/>
  <c r="S160" i="112"/>
  <c r="AA99" i="133"/>
  <c r="AA101" i="133"/>
  <c r="AA113" i="133"/>
  <c r="AA163" i="133"/>
  <c r="AA99" i="129"/>
  <c r="AA101" i="129"/>
  <c r="AA113" i="129"/>
  <c r="AA163" i="129"/>
  <c r="AA96" i="127"/>
  <c r="AA97" i="127"/>
  <c r="AA99" i="127"/>
  <c r="AA111" i="127"/>
  <c r="AA161" i="127"/>
  <c r="AA96" i="124"/>
  <c r="T135" i="113"/>
  <c r="T136" i="113"/>
  <c r="T144" i="113"/>
  <c r="T152" i="113"/>
  <c r="R50" i="71"/>
  <c r="AA96" i="125"/>
  <c r="AA97" i="125"/>
  <c r="AA99" i="125"/>
  <c r="AA111" i="125"/>
  <c r="AA161" i="125"/>
  <c r="AA96" i="126"/>
  <c r="AA97" i="126"/>
  <c r="AA99" i="126"/>
  <c r="AA111" i="126"/>
  <c r="AA161" i="126"/>
  <c r="Z97" i="124"/>
  <c r="Z99" i="124"/>
  <c r="Z111" i="124"/>
  <c r="Z161" i="124"/>
  <c r="S156" i="113"/>
  <c r="S160" i="113"/>
  <c r="R156" i="116"/>
  <c r="R170" i="116"/>
  <c r="P113" i="71"/>
  <c r="Q170" i="109"/>
  <c r="O132" i="71"/>
  <c r="P89" i="71"/>
  <c r="Z162" i="131"/>
  <c r="Z98" i="132"/>
  <c r="Z100" i="132"/>
  <c r="Z112" i="132"/>
  <c r="Z162" i="132"/>
  <c r="P171" i="109"/>
  <c r="Z98" i="130"/>
  <c r="Z100" i="130"/>
  <c r="Z112" i="130"/>
  <c r="Z162" i="130"/>
  <c r="Z98" i="128"/>
  <c r="Z100" i="128"/>
  <c r="Z112" i="128"/>
  <c r="Z162" i="128"/>
  <c r="R171" i="109"/>
  <c r="S156" i="116"/>
  <c r="S160" i="116"/>
  <c r="Q174" i="113"/>
  <c r="O58" i="71"/>
  <c r="Q171" i="109"/>
  <c r="AA99" i="123"/>
  <c r="AA101" i="123"/>
  <c r="AA113" i="123"/>
  <c r="AA163" i="123"/>
  <c r="Q171" i="114"/>
  <c r="AA98" i="122"/>
  <c r="AA100" i="122"/>
  <c r="AA112" i="122"/>
  <c r="AA162" i="122"/>
  <c r="Q171" i="115"/>
  <c r="R171" i="97"/>
  <c r="R170" i="115"/>
  <c r="P94" i="71"/>
  <c r="R174" i="113"/>
  <c r="P58" i="71"/>
  <c r="R171" i="115"/>
  <c r="R170" i="113"/>
  <c r="P56" i="71"/>
  <c r="Q171" i="110"/>
  <c r="R170" i="110"/>
  <c r="P151" i="71"/>
  <c r="T105" i="112"/>
  <c r="Q87" i="71"/>
  <c r="Q68" i="71"/>
  <c r="Q174" i="112"/>
  <c r="O191" i="71"/>
  <c r="Q171" i="112"/>
  <c r="R170" i="114"/>
  <c r="P75" i="71"/>
  <c r="Q106" i="71"/>
  <c r="R170" i="111"/>
  <c r="P170" i="71"/>
  <c r="Q182" i="71"/>
  <c r="P184" i="71"/>
  <c r="R170" i="112"/>
  <c r="P189" i="71"/>
  <c r="R170" i="108"/>
  <c r="P37" i="71"/>
  <c r="Q49" i="71"/>
  <c r="U83" i="120"/>
  <c r="U81" i="120"/>
  <c r="U92" i="120"/>
  <c r="U82" i="120"/>
  <c r="U104" i="120"/>
  <c r="U88" i="120"/>
  <c r="U102" i="120"/>
  <c r="U84" i="120"/>
  <c r="U91" i="120"/>
  <c r="U137" i="105"/>
  <c r="U145" i="105"/>
  <c r="U153" i="105"/>
  <c r="S411" i="71"/>
  <c r="U137" i="120"/>
  <c r="U145" i="120"/>
  <c r="U153" i="120"/>
  <c r="S335" i="71"/>
  <c r="T105" i="115"/>
  <c r="U87" i="112"/>
  <c r="U87" i="116"/>
  <c r="U87" i="115"/>
  <c r="U87" i="114"/>
  <c r="U87" i="113"/>
  <c r="U101" i="112"/>
  <c r="U101" i="115"/>
  <c r="U101" i="116"/>
  <c r="U101" i="113"/>
  <c r="U101" i="114"/>
  <c r="U90" i="112"/>
  <c r="U90" i="116"/>
  <c r="U90" i="115"/>
  <c r="U90" i="114"/>
  <c r="U90" i="113"/>
  <c r="T105" i="116"/>
  <c r="T105" i="113"/>
  <c r="T156" i="113"/>
  <c r="T160" i="113"/>
  <c r="U103" i="112"/>
  <c r="U103" i="116"/>
  <c r="U103" i="115"/>
  <c r="U103" i="114"/>
  <c r="U103" i="113"/>
  <c r="U76" i="115"/>
  <c r="U76" i="114"/>
  <c r="U76" i="113"/>
  <c r="U91" i="116"/>
  <c r="U91" i="115"/>
  <c r="U91" i="114"/>
  <c r="U91" i="113"/>
  <c r="T105" i="114"/>
  <c r="U91" i="112"/>
  <c r="T135" i="112"/>
  <c r="T136" i="112"/>
  <c r="T144" i="112"/>
  <c r="T152" i="112"/>
  <c r="R183" i="71"/>
  <c r="U88" i="105"/>
  <c r="U87" i="102"/>
  <c r="U102" i="105"/>
  <c r="U101" i="102"/>
  <c r="R170" i="102"/>
  <c r="P265" i="71"/>
  <c r="U92" i="105"/>
  <c r="R171" i="99"/>
  <c r="Q258" i="71"/>
  <c r="Q171" i="101"/>
  <c r="R170" i="101"/>
  <c r="P246" i="71"/>
  <c r="R170" i="99"/>
  <c r="P227" i="71"/>
  <c r="U84" i="105"/>
  <c r="U91" i="105"/>
  <c r="U82" i="105"/>
  <c r="U83" i="105"/>
  <c r="U104" i="105"/>
  <c r="U81" i="105"/>
  <c r="U103" i="102"/>
  <c r="T105" i="102"/>
  <c r="U90" i="102"/>
  <c r="U91" i="102"/>
  <c r="T135" i="102"/>
  <c r="T136" i="102"/>
  <c r="T144" i="102"/>
  <c r="T152" i="102"/>
  <c r="R259" i="71"/>
  <c r="R170" i="97"/>
  <c r="P18" i="71"/>
  <c r="T16" i="98"/>
  <c r="T17" i="98"/>
  <c r="S29" i="98"/>
  <c r="S40" i="98"/>
  <c r="S18" i="98"/>
  <c r="R170" i="96"/>
  <c r="P208" i="71"/>
  <c r="Q171" i="96"/>
  <c r="T12" i="14"/>
  <c r="U36" i="14"/>
  <c r="U21" i="14"/>
  <c r="U37" i="14"/>
  <c r="T14" i="14"/>
  <c r="T13" i="14"/>
  <c r="T11" i="14"/>
  <c r="V20" i="14"/>
  <c r="V78" i="116"/>
  <c r="V78" i="102"/>
  <c r="V78" i="115"/>
  <c r="V78" i="113"/>
  <c r="V78" i="120"/>
  <c r="V78" i="112"/>
  <c r="V78" i="114"/>
  <c r="V78" i="105"/>
  <c r="T135" i="116"/>
  <c r="T136" i="116"/>
  <c r="T144" i="116"/>
  <c r="T152" i="116"/>
  <c r="R107" i="71"/>
  <c r="T135" i="114"/>
  <c r="T136" i="114"/>
  <c r="T144" i="114"/>
  <c r="T152" i="114"/>
  <c r="R69" i="71"/>
  <c r="AA97" i="124"/>
  <c r="AA99" i="124"/>
  <c r="AA111" i="124"/>
  <c r="AA161" i="124"/>
  <c r="W76" i="120"/>
  <c r="W76" i="116"/>
  <c r="W76" i="105"/>
  <c r="W76" i="112"/>
  <c r="W76" i="102"/>
  <c r="AB99" i="142"/>
  <c r="AB101" i="142"/>
  <c r="AB113" i="142"/>
  <c r="AB163" i="142"/>
  <c r="AB99" i="143"/>
  <c r="AB101" i="143"/>
  <c r="AB113" i="143"/>
  <c r="AB163" i="143"/>
  <c r="AB99" i="140"/>
  <c r="AB101" i="140"/>
  <c r="AB113" i="140"/>
  <c r="AB163" i="140"/>
  <c r="AB99" i="141"/>
  <c r="AB101" i="141"/>
  <c r="AB113" i="141"/>
  <c r="AB163" i="141"/>
  <c r="Q89" i="71"/>
  <c r="Q51" i="71"/>
  <c r="S156" i="114"/>
  <c r="S160" i="114"/>
  <c r="AA97" i="138"/>
  <c r="AA98" i="138"/>
  <c r="AA100" i="138"/>
  <c r="AA112" i="138"/>
  <c r="AA162" i="138"/>
  <c r="AA97" i="139"/>
  <c r="AA98" i="139"/>
  <c r="AA100" i="139"/>
  <c r="AA112" i="139"/>
  <c r="AA162" i="139"/>
  <c r="R170" i="109"/>
  <c r="P132" i="71"/>
  <c r="T135" i="115"/>
  <c r="T136" i="115"/>
  <c r="T144" i="115"/>
  <c r="T152" i="115"/>
  <c r="R88" i="71"/>
  <c r="AA98" i="136"/>
  <c r="AA100" i="136"/>
  <c r="AA112" i="136"/>
  <c r="AA162" i="136"/>
  <c r="AA98" i="137"/>
  <c r="AA100" i="137"/>
  <c r="AA112" i="137"/>
  <c r="AA162" i="137"/>
  <c r="T156" i="102"/>
  <c r="T160" i="102"/>
  <c r="T171" i="102"/>
  <c r="AB99" i="134"/>
  <c r="AB101" i="134"/>
  <c r="AB113" i="134"/>
  <c r="AB163" i="134"/>
  <c r="AB99" i="135"/>
  <c r="AB101" i="135"/>
  <c r="AB113" i="135"/>
  <c r="AB163" i="135"/>
  <c r="T156" i="112"/>
  <c r="T160" i="112"/>
  <c r="R160" i="116"/>
  <c r="P108" i="71"/>
  <c r="AB99" i="133"/>
  <c r="AB101" i="133"/>
  <c r="AB113" i="133"/>
  <c r="AB163" i="133"/>
  <c r="AB99" i="129"/>
  <c r="AB101" i="129"/>
  <c r="AB113" i="129"/>
  <c r="AB163" i="129"/>
  <c r="AB96" i="127"/>
  <c r="AB97" i="127"/>
  <c r="AB99" i="127"/>
  <c r="AB111" i="127"/>
  <c r="AB161" i="127"/>
  <c r="AB96" i="126"/>
  <c r="U135" i="115"/>
  <c r="U136" i="115"/>
  <c r="U144" i="115"/>
  <c r="U152" i="115"/>
  <c r="S88" i="71"/>
  <c r="AB96" i="125"/>
  <c r="AB97" i="125"/>
  <c r="AB99" i="125"/>
  <c r="AB111" i="125"/>
  <c r="AB161" i="125"/>
  <c r="AB96" i="124"/>
  <c r="U135" i="113"/>
  <c r="U136" i="113"/>
  <c r="U144" i="113"/>
  <c r="U152" i="113"/>
  <c r="S50" i="71"/>
  <c r="T156" i="116"/>
  <c r="T160" i="116"/>
  <c r="AA162" i="131"/>
  <c r="AA98" i="132"/>
  <c r="AA100" i="132"/>
  <c r="AA112" i="132"/>
  <c r="AA162" i="132"/>
  <c r="T156" i="115"/>
  <c r="T160" i="115"/>
  <c r="T156" i="114"/>
  <c r="T160" i="114"/>
  <c r="Q108" i="71"/>
  <c r="AA98" i="130"/>
  <c r="AA100" i="130"/>
  <c r="AA112" i="130"/>
  <c r="AA162" i="130"/>
  <c r="AA98" i="128"/>
  <c r="AA100" i="128"/>
  <c r="AA112" i="128"/>
  <c r="AA162" i="128"/>
  <c r="AB97" i="126"/>
  <c r="AB99" i="126"/>
  <c r="AB111" i="126"/>
  <c r="AB161" i="126"/>
  <c r="U135" i="114"/>
  <c r="U136" i="114"/>
  <c r="U144" i="114"/>
  <c r="U152" i="114"/>
  <c r="S69" i="71"/>
  <c r="R174" i="115"/>
  <c r="P96" i="71"/>
  <c r="S171" i="111"/>
  <c r="R174" i="114"/>
  <c r="P77" i="71"/>
  <c r="S170" i="113"/>
  <c r="Q56" i="71"/>
  <c r="AB99" i="123"/>
  <c r="AB101" i="123"/>
  <c r="AB113" i="123"/>
  <c r="AB163" i="123"/>
  <c r="S170" i="108"/>
  <c r="Q37" i="71"/>
  <c r="AB98" i="122"/>
  <c r="AB100" i="122"/>
  <c r="AB112" i="122"/>
  <c r="AB162" i="122"/>
  <c r="U105" i="112"/>
  <c r="S171" i="97"/>
  <c r="S174" i="113"/>
  <c r="Q58" i="71"/>
  <c r="R171" i="113"/>
  <c r="S170" i="115"/>
  <c r="Q94" i="71"/>
  <c r="S170" i="111"/>
  <c r="Q170" i="71"/>
  <c r="S170" i="116"/>
  <c r="Q113" i="71"/>
  <c r="R171" i="112"/>
  <c r="R174" i="112"/>
  <c r="P191" i="71"/>
  <c r="S170" i="112"/>
  <c r="Q189" i="71"/>
  <c r="Q184" i="71"/>
  <c r="R87" i="71"/>
  <c r="R182" i="71"/>
  <c r="R68" i="71"/>
  <c r="R171" i="111"/>
  <c r="R106" i="71"/>
  <c r="S170" i="110"/>
  <c r="Q151" i="71"/>
  <c r="R171" i="110"/>
  <c r="R171" i="108"/>
  <c r="R51" i="71"/>
  <c r="R49" i="71"/>
  <c r="V102" i="120"/>
  <c r="V88" i="120"/>
  <c r="V104" i="120"/>
  <c r="V84" i="120"/>
  <c r="V91" i="120"/>
  <c r="V92" i="120"/>
  <c r="V81" i="120"/>
  <c r="V82" i="120"/>
  <c r="V83" i="120"/>
  <c r="V137" i="105"/>
  <c r="V145" i="105"/>
  <c r="V153" i="105"/>
  <c r="T411" i="71"/>
  <c r="V137" i="120"/>
  <c r="V145" i="120"/>
  <c r="V153" i="120"/>
  <c r="T335" i="71"/>
  <c r="V87" i="112"/>
  <c r="V87" i="116"/>
  <c r="V87" i="115"/>
  <c r="V87" i="114"/>
  <c r="V87" i="113"/>
  <c r="V103" i="112"/>
  <c r="V103" i="116"/>
  <c r="V103" i="115"/>
  <c r="V103" i="114"/>
  <c r="V103" i="113"/>
  <c r="U105" i="114"/>
  <c r="S171" i="116"/>
  <c r="S174" i="116"/>
  <c r="Q115" i="71"/>
  <c r="V90" i="112"/>
  <c r="V90" i="116"/>
  <c r="V90" i="115"/>
  <c r="V90" i="114"/>
  <c r="V90" i="113"/>
  <c r="V91" i="112"/>
  <c r="V91" i="116"/>
  <c r="V91" i="115"/>
  <c r="V91" i="114"/>
  <c r="V91" i="113"/>
  <c r="S174" i="115"/>
  <c r="Q96" i="71"/>
  <c r="S171" i="115"/>
  <c r="U105" i="115"/>
  <c r="V101" i="112"/>
  <c r="V101" i="116"/>
  <c r="V101" i="115"/>
  <c r="V101" i="114"/>
  <c r="V101" i="113"/>
  <c r="V76" i="115"/>
  <c r="V76" i="113"/>
  <c r="V76" i="114"/>
  <c r="U105" i="116"/>
  <c r="U105" i="113"/>
  <c r="U135" i="112"/>
  <c r="U136" i="112"/>
  <c r="U144" i="112"/>
  <c r="U152" i="112"/>
  <c r="S183" i="71"/>
  <c r="S170" i="97"/>
  <c r="Q18" i="71"/>
  <c r="V102" i="105"/>
  <c r="V101" i="102"/>
  <c r="V88" i="105"/>
  <c r="V87" i="102"/>
  <c r="R174" i="102"/>
  <c r="P267" i="71"/>
  <c r="R171" i="102"/>
  <c r="R258" i="71"/>
  <c r="S170" i="99"/>
  <c r="Q227" i="71"/>
  <c r="S170" i="101"/>
  <c r="Q246" i="71"/>
  <c r="Q260" i="71"/>
  <c r="S170" i="102"/>
  <c r="Q265" i="71"/>
  <c r="V81" i="105"/>
  <c r="V104" i="105"/>
  <c r="V82" i="105"/>
  <c r="V83" i="105"/>
  <c r="V84" i="105"/>
  <c r="V91" i="105"/>
  <c r="V92" i="105"/>
  <c r="U105" i="102"/>
  <c r="V103" i="102"/>
  <c r="V91" i="102"/>
  <c r="V90" i="102"/>
  <c r="U135" i="102"/>
  <c r="U136" i="102"/>
  <c r="U144" i="102"/>
  <c r="U152" i="102"/>
  <c r="S259" i="71"/>
  <c r="T40" i="98"/>
  <c r="T29" i="98"/>
  <c r="U16" i="98"/>
  <c r="U17" i="98"/>
  <c r="T18" i="98"/>
  <c r="S170" i="96"/>
  <c r="Q208" i="71"/>
  <c r="R171" i="96"/>
  <c r="U12" i="14"/>
  <c r="V21" i="14"/>
  <c r="V37" i="14"/>
  <c r="V36" i="14"/>
  <c r="U11" i="14"/>
  <c r="U14" i="14"/>
  <c r="U13" i="14"/>
  <c r="W20" i="14"/>
  <c r="W78" i="105"/>
  <c r="W78" i="120"/>
  <c r="W78" i="102"/>
  <c r="W78" i="112"/>
  <c r="W78" i="115"/>
  <c r="W78" i="114"/>
  <c r="W78" i="113"/>
  <c r="W78" i="116"/>
  <c r="Q70" i="71"/>
  <c r="R108" i="71"/>
  <c r="X76" i="102"/>
  <c r="X76" i="120"/>
  <c r="X76" i="116"/>
  <c r="Y76" i="116"/>
  <c r="X76" i="105"/>
  <c r="X76" i="112"/>
  <c r="Y76" i="112"/>
  <c r="T170" i="99"/>
  <c r="R227" i="71"/>
  <c r="S170" i="114"/>
  <c r="Q75" i="71"/>
  <c r="AC99" i="142"/>
  <c r="AC101" i="142"/>
  <c r="AC113" i="142"/>
  <c r="AC163" i="142"/>
  <c r="AC99" i="143"/>
  <c r="AC101" i="143"/>
  <c r="AC113" i="143"/>
  <c r="AC163" i="143"/>
  <c r="AC99" i="140"/>
  <c r="AC101" i="140"/>
  <c r="AC113" i="140"/>
  <c r="AC163" i="140"/>
  <c r="AC99" i="141"/>
  <c r="AC101" i="141"/>
  <c r="AC113" i="141"/>
  <c r="AC163" i="141"/>
  <c r="T170" i="115"/>
  <c r="R94" i="71"/>
  <c r="AB97" i="138"/>
  <c r="AB98" i="138"/>
  <c r="AB100" i="138"/>
  <c r="AB112" i="138"/>
  <c r="AB162" i="138"/>
  <c r="AB97" i="139"/>
  <c r="AB98" i="139"/>
  <c r="AB100" i="139"/>
  <c r="AB112" i="139"/>
  <c r="AB162" i="139"/>
  <c r="U156" i="113"/>
  <c r="U160" i="113"/>
  <c r="AB98" i="136"/>
  <c r="AB100" i="136"/>
  <c r="AB112" i="136"/>
  <c r="AB162" i="136"/>
  <c r="AB98" i="137"/>
  <c r="AB100" i="137"/>
  <c r="AB112" i="137"/>
  <c r="AB162" i="137"/>
  <c r="U156" i="102"/>
  <c r="U160" i="102"/>
  <c r="AB97" i="124"/>
  <c r="AB99" i="124"/>
  <c r="AB111" i="124"/>
  <c r="AB161" i="124"/>
  <c r="AC99" i="134"/>
  <c r="AC101" i="134"/>
  <c r="AC113" i="134"/>
  <c r="AC163" i="134"/>
  <c r="AC99" i="135"/>
  <c r="AC101" i="135"/>
  <c r="AC113" i="135"/>
  <c r="AC163" i="135"/>
  <c r="U156" i="112"/>
  <c r="U160" i="112"/>
  <c r="U174" i="112"/>
  <c r="S191" i="71"/>
  <c r="U135" i="116"/>
  <c r="U136" i="116"/>
  <c r="U144" i="116"/>
  <c r="U152" i="116"/>
  <c r="S107" i="71"/>
  <c r="R174" i="116"/>
  <c r="P115" i="71"/>
  <c r="R171" i="116"/>
  <c r="AC99" i="133"/>
  <c r="AC101" i="133"/>
  <c r="AC113" i="133"/>
  <c r="AC163" i="133"/>
  <c r="AC96" i="127"/>
  <c r="V135" i="116"/>
  <c r="V136" i="116"/>
  <c r="V144" i="116"/>
  <c r="V152" i="116"/>
  <c r="T107" i="71"/>
  <c r="AC96" i="125"/>
  <c r="AC97" i="125"/>
  <c r="AC99" i="125"/>
  <c r="AC111" i="125"/>
  <c r="AC161" i="125"/>
  <c r="AC99" i="129"/>
  <c r="AC101" i="129"/>
  <c r="AC113" i="129"/>
  <c r="AC163" i="129"/>
  <c r="AC96" i="126"/>
  <c r="AC97" i="126"/>
  <c r="AC99" i="126"/>
  <c r="AC111" i="126"/>
  <c r="AC161" i="126"/>
  <c r="AC96" i="124"/>
  <c r="U156" i="114"/>
  <c r="U160" i="114"/>
  <c r="R70" i="71"/>
  <c r="U171" i="110"/>
  <c r="AB162" i="131"/>
  <c r="AB98" i="132"/>
  <c r="AB100" i="132"/>
  <c r="AB112" i="132"/>
  <c r="AB162" i="132"/>
  <c r="T170" i="109"/>
  <c r="R132" i="71"/>
  <c r="AB98" i="130"/>
  <c r="AB100" i="130"/>
  <c r="AB112" i="130"/>
  <c r="AB162" i="130"/>
  <c r="AB98" i="128"/>
  <c r="AB100" i="128"/>
  <c r="AB112" i="128"/>
  <c r="AB162" i="128"/>
  <c r="S170" i="109"/>
  <c r="Q132" i="71"/>
  <c r="U156" i="115"/>
  <c r="U160" i="115"/>
  <c r="T170" i="116"/>
  <c r="R113" i="71"/>
  <c r="S171" i="113"/>
  <c r="AC99" i="123"/>
  <c r="AC101" i="123"/>
  <c r="AC113" i="123"/>
  <c r="AC163" i="123"/>
  <c r="T170" i="108"/>
  <c r="R37" i="71"/>
  <c r="AC98" i="122"/>
  <c r="AC100" i="122"/>
  <c r="AC112" i="122"/>
  <c r="AC162" i="122"/>
  <c r="T170" i="114"/>
  <c r="R75" i="71"/>
  <c r="S182" i="71"/>
  <c r="T171" i="113"/>
  <c r="T170" i="113"/>
  <c r="R56" i="71"/>
  <c r="S174" i="114"/>
  <c r="Q77" i="71"/>
  <c r="S171" i="114"/>
  <c r="T170" i="111"/>
  <c r="R170" i="71"/>
  <c r="T170" i="110"/>
  <c r="R151" i="71"/>
  <c r="V105" i="112"/>
  <c r="T174" i="114"/>
  <c r="R77" i="71"/>
  <c r="S106" i="71"/>
  <c r="R184" i="71"/>
  <c r="T170" i="112"/>
  <c r="R189" i="71"/>
  <c r="R89" i="71"/>
  <c r="S87" i="71"/>
  <c r="S68" i="71"/>
  <c r="S171" i="110"/>
  <c r="S174" i="112"/>
  <c r="Q191" i="71"/>
  <c r="S171" i="112"/>
  <c r="S171" i="108"/>
  <c r="S49" i="71"/>
  <c r="T171" i="110"/>
  <c r="W102" i="120"/>
  <c r="W88" i="120"/>
  <c r="W104" i="120"/>
  <c r="W137" i="105"/>
  <c r="W145" i="105"/>
  <c r="W153" i="105"/>
  <c r="U411" i="71"/>
  <c r="W137" i="120"/>
  <c r="W145" i="120"/>
  <c r="W153" i="120"/>
  <c r="U335" i="71"/>
  <c r="W91" i="120"/>
  <c r="W84" i="120"/>
  <c r="W92" i="120"/>
  <c r="W81" i="120"/>
  <c r="W83" i="120"/>
  <c r="W82" i="120"/>
  <c r="V105" i="113"/>
  <c r="T174" i="116"/>
  <c r="R115" i="71"/>
  <c r="T171" i="116"/>
  <c r="W87" i="112"/>
  <c r="W87" i="116"/>
  <c r="W87" i="115"/>
  <c r="W87" i="114"/>
  <c r="W87" i="113"/>
  <c r="W76" i="115"/>
  <c r="W76" i="114"/>
  <c r="W76" i="113"/>
  <c r="W103" i="112"/>
  <c r="W103" i="116"/>
  <c r="W103" i="115"/>
  <c r="W103" i="114"/>
  <c r="W103" i="113"/>
  <c r="V105" i="116"/>
  <c r="W101" i="112"/>
  <c r="W101" i="116"/>
  <c r="W101" i="115"/>
  <c r="W101" i="114"/>
  <c r="W101" i="113"/>
  <c r="W90" i="112"/>
  <c r="W90" i="116"/>
  <c r="W90" i="115"/>
  <c r="W90" i="113"/>
  <c r="W90" i="114"/>
  <c r="W91" i="112"/>
  <c r="W91" i="116"/>
  <c r="W91" i="115"/>
  <c r="W91" i="114"/>
  <c r="W91" i="113"/>
  <c r="V105" i="114"/>
  <c r="V105" i="115"/>
  <c r="V135" i="112"/>
  <c r="V136" i="112"/>
  <c r="V144" i="112"/>
  <c r="V152" i="112"/>
  <c r="T183" i="71"/>
  <c r="W88" i="105"/>
  <c r="W87" i="102"/>
  <c r="W102" i="105"/>
  <c r="W101" i="102"/>
  <c r="T174" i="102"/>
  <c r="R267" i="71"/>
  <c r="S258" i="71"/>
  <c r="T170" i="102"/>
  <c r="R265" i="71"/>
  <c r="R260" i="71"/>
  <c r="S171" i="102"/>
  <c r="S174" i="102"/>
  <c r="Q267" i="71"/>
  <c r="T170" i="101"/>
  <c r="R246" i="71"/>
  <c r="S171" i="101"/>
  <c r="W104" i="105"/>
  <c r="W84" i="105"/>
  <c r="W81" i="105"/>
  <c r="W91" i="105"/>
  <c r="W83" i="105"/>
  <c r="W82" i="105"/>
  <c r="W92" i="105"/>
  <c r="V105" i="102"/>
  <c r="W90" i="102"/>
  <c r="W91" i="102"/>
  <c r="W103" i="102"/>
  <c r="V135" i="102"/>
  <c r="V136" i="102"/>
  <c r="V144" i="102"/>
  <c r="V152" i="102"/>
  <c r="T259" i="71"/>
  <c r="T170" i="97"/>
  <c r="R18" i="71"/>
  <c r="U18" i="98"/>
  <c r="U40" i="98"/>
  <c r="V16" i="98"/>
  <c r="V17" i="98"/>
  <c r="U29" i="98"/>
  <c r="S171" i="96"/>
  <c r="T170" i="96"/>
  <c r="R208" i="71"/>
  <c r="V12" i="14"/>
  <c r="W21" i="14"/>
  <c r="W37" i="14"/>
  <c r="W36" i="14"/>
  <c r="V13" i="14"/>
  <c r="V11" i="14"/>
  <c r="V14" i="14"/>
  <c r="W51" i="14"/>
  <c r="W12" i="14"/>
  <c r="X78" i="116"/>
  <c r="X78" i="105"/>
  <c r="X78" i="120"/>
  <c r="X78" i="102"/>
  <c r="X78" i="112"/>
  <c r="X78" i="115"/>
  <c r="X78" i="113"/>
  <c r="X78" i="114"/>
  <c r="V135" i="114"/>
  <c r="V136" i="114"/>
  <c r="V144" i="114"/>
  <c r="V152" i="114"/>
  <c r="T69" i="71"/>
  <c r="U170" i="99"/>
  <c r="S227" i="71"/>
  <c r="AC97" i="127"/>
  <c r="AC99" i="127"/>
  <c r="AC111" i="127"/>
  <c r="AC161" i="127"/>
  <c r="S70" i="71"/>
  <c r="AD99" i="142"/>
  <c r="AD101" i="142"/>
  <c r="AD113" i="142"/>
  <c r="AD163" i="142"/>
  <c r="AD99" i="143"/>
  <c r="AD101" i="143"/>
  <c r="AD113" i="143"/>
  <c r="AD163" i="143"/>
  <c r="U170" i="112"/>
  <c r="S189" i="71"/>
  <c r="AD99" i="140"/>
  <c r="AD101" i="140"/>
  <c r="AD113" i="140"/>
  <c r="AD163" i="140"/>
  <c r="AD99" i="141"/>
  <c r="AD101" i="141"/>
  <c r="AD113" i="141"/>
  <c r="AD163" i="141"/>
  <c r="AC97" i="138"/>
  <c r="AC98" i="138"/>
  <c r="AC100" i="138"/>
  <c r="AC112" i="138"/>
  <c r="AC162" i="138"/>
  <c r="AC97" i="139"/>
  <c r="AC98" i="139"/>
  <c r="AC100" i="139"/>
  <c r="AC112" i="139"/>
  <c r="AC162" i="139"/>
  <c r="S89" i="71"/>
  <c r="S184" i="71"/>
  <c r="S51" i="71"/>
  <c r="V156" i="102"/>
  <c r="V160" i="102"/>
  <c r="AC98" i="136"/>
  <c r="AC100" i="136"/>
  <c r="AC112" i="136"/>
  <c r="AC162" i="136"/>
  <c r="AC98" i="137"/>
  <c r="AC100" i="137"/>
  <c r="AC112" i="137"/>
  <c r="AC162" i="137"/>
  <c r="AD99" i="134"/>
  <c r="AD101" i="134"/>
  <c r="AD113" i="134"/>
  <c r="AD163" i="134"/>
  <c r="AD99" i="135"/>
  <c r="AD101" i="135"/>
  <c r="AD113" i="135"/>
  <c r="AD163" i="135"/>
  <c r="V156" i="112"/>
  <c r="V160" i="112"/>
  <c r="V135" i="115"/>
  <c r="V136" i="115"/>
  <c r="V144" i="115"/>
  <c r="V152" i="115"/>
  <c r="T88" i="71"/>
  <c r="AD99" i="133"/>
  <c r="AD101" i="133"/>
  <c r="AD113" i="133"/>
  <c r="AD163" i="133"/>
  <c r="AD99" i="129"/>
  <c r="AD101" i="129"/>
  <c r="AD113" i="129"/>
  <c r="AD163" i="129"/>
  <c r="AD96" i="127"/>
  <c r="W135" i="116"/>
  <c r="W136" i="116"/>
  <c r="W144" i="116"/>
  <c r="W152" i="116"/>
  <c r="U107" i="71"/>
  <c r="AD96" i="126"/>
  <c r="AD97" i="126"/>
  <c r="AD99" i="126"/>
  <c r="AD111" i="126"/>
  <c r="AD161" i="126"/>
  <c r="AD96" i="125"/>
  <c r="W135" i="114"/>
  <c r="W136" i="114"/>
  <c r="W144" i="114"/>
  <c r="W152" i="114"/>
  <c r="U69" i="71"/>
  <c r="AD96" i="124"/>
  <c r="W135" i="113"/>
  <c r="W136" i="113"/>
  <c r="W144" i="113"/>
  <c r="W152" i="113"/>
  <c r="U50" i="71"/>
  <c r="V135" i="113"/>
  <c r="V136" i="113"/>
  <c r="V144" i="113"/>
  <c r="V152" i="113"/>
  <c r="T50" i="71"/>
  <c r="AC97" i="124"/>
  <c r="AC99" i="124"/>
  <c r="AC111" i="124"/>
  <c r="AC161" i="124"/>
  <c r="U156" i="116"/>
  <c r="U170" i="116"/>
  <c r="S113" i="71"/>
  <c r="V156" i="114"/>
  <c r="V160" i="114"/>
  <c r="AC162" i="131"/>
  <c r="AC98" i="132"/>
  <c r="AC100" i="132"/>
  <c r="AC112" i="132"/>
  <c r="AC162" i="132"/>
  <c r="U170" i="111"/>
  <c r="S170" i="71"/>
  <c r="AC98" i="130"/>
  <c r="AC100" i="130"/>
  <c r="AC112" i="130"/>
  <c r="AC162" i="130"/>
  <c r="AC98" i="128"/>
  <c r="AC100" i="128"/>
  <c r="AC112" i="128"/>
  <c r="AC162" i="128"/>
  <c r="V156" i="116"/>
  <c r="V160" i="116"/>
  <c r="S171" i="109"/>
  <c r="AD97" i="125"/>
  <c r="AD99" i="125"/>
  <c r="AD111" i="125"/>
  <c r="AD161" i="125"/>
  <c r="T171" i="114"/>
  <c r="U174" i="114"/>
  <c r="S77" i="71"/>
  <c r="U170" i="114"/>
  <c r="S75" i="71"/>
  <c r="T174" i="113"/>
  <c r="R58" i="71"/>
  <c r="U171" i="112"/>
  <c r="AD99" i="123"/>
  <c r="AD101" i="123"/>
  <c r="AD113" i="123"/>
  <c r="AD163" i="123"/>
  <c r="AD98" i="122"/>
  <c r="AD100" i="122"/>
  <c r="AD112" i="122"/>
  <c r="AD162" i="122"/>
  <c r="U170" i="115"/>
  <c r="S94" i="71"/>
  <c r="U170" i="113"/>
  <c r="S56" i="71"/>
  <c r="U171" i="97"/>
  <c r="T68" i="71"/>
  <c r="T182" i="71"/>
  <c r="U170" i="110"/>
  <c r="S151" i="71"/>
  <c r="T171" i="111"/>
  <c r="T171" i="112"/>
  <c r="T174" i="112"/>
  <c r="R191" i="71"/>
  <c r="T106" i="71"/>
  <c r="T87" i="71"/>
  <c r="U171" i="115"/>
  <c r="T171" i="115"/>
  <c r="T174" i="115"/>
  <c r="R96" i="71"/>
  <c r="T171" i="108"/>
  <c r="U170" i="108"/>
  <c r="S37" i="71"/>
  <c r="T49" i="71"/>
  <c r="X102" i="120"/>
  <c r="X91" i="120"/>
  <c r="X84" i="120"/>
  <c r="X137" i="105"/>
  <c r="X145" i="105"/>
  <c r="X153" i="105"/>
  <c r="V411" i="71"/>
  <c r="W411" i="71"/>
  <c r="X137" i="120"/>
  <c r="X145" i="120"/>
  <c r="X153" i="120"/>
  <c r="V335" i="71"/>
  <c r="W335" i="71"/>
  <c r="X88" i="120"/>
  <c r="X81" i="120"/>
  <c r="X83" i="120"/>
  <c r="X82" i="120"/>
  <c r="X92" i="120"/>
  <c r="W105" i="112"/>
  <c r="X104" i="120"/>
  <c r="X91" i="112"/>
  <c r="X91" i="116"/>
  <c r="X91" i="115"/>
  <c r="X91" i="114"/>
  <c r="X91" i="113"/>
  <c r="W105" i="113"/>
  <c r="X90" i="112"/>
  <c r="X90" i="116"/>
  <c r="X90" i="115"/>
  <c r="X90" i="114"/>
  <c r="X90" i="113"/>
  <c r="X76" i="115"/>
  <c r="X76" i="114"/>
  <c r="Y76" i="114"/>
  <c r="X76" i="113"/>
  <c r="Y76" i="113"/>
  <c r="X103" i="112"/>
  <c r="X103" i="116"/>
  <c r="X103" i="115"/>
  <c r="X103" i="114"/>
  <c r="X103" i="113"/>
  <c r="W105" i="114"/>
  <c r="W105" i="115"/>
  <c r="X87" i="112"/>
  <c r="X87" i="116"/>
  <c r="X87" i="115"/>
  <c r="X87" i="113"/>
  <c r="X87" i="114"/>
  <c r="X101" i="112"/>
  <c r="X101" i="116"/>
  <c r="X101" i="115"/>
  <c r="X101" i="114"/>
  <c r="X101" i="113"/>
  <c r="U174" i="113"/>
  <c r="S58" i="71"/>
  <c r="U171" i="113"/>
  <c r="W105" i="116"/>
  <c r="W135" i="112"/>
  <c r="W136" i="112"/>
  <c r="W144" i="112"/>
  <c r="W152" i="112"/>
  <c r="U183" i="71"/>
  <c r="U171" i="111"/>
  <c r="X88" i="105"/>
  <c r="X87" i="102"/>
  <c r="X102" i="105"/>
  <c r="X101" i="102"/>
  <c r="U170" i="97"/>
  <c r="S18" i="71"/>
  <c r="W105" i="102"/>
  <c r="T171" i="97"/>
  <c r="T258" i="71"/>
  <c r="T171" i="99"/>
  <c r="U170" i="101"/>
  <c r="S246" i="71"/>
  <c r="S260" i="71"/>
  <c r="U170" i="102"/>
  <c r="S265" i="71"/>
  <c r="T171" i="101"/>
  <c r="X81" i="105"/>
  <c r="X91" i="105"/>
  <c r="X84" i="105"/>
  <c r="X83" i="105"/>
  <c r="X82" i="105"/>
  <c r="X104" i="105"/>
  <c r="X92" i="105"/>
  <c r="X91" i="102"/>
  <c r="X103" i="102"/>
  <c r="X90" i="102"/>
  <c r="W135" i="102"/>
  <c r="W136" i="102"/>
  <c r="W144" i="102"/>
  <c r="W152" i="102"/>
  <c r="U259" i="71"/>
  <c r="V18" i="98"/>
  <c r="V40" i="98"/>
  <c r="V29" i="98"/>
  <c r="T171" i="96"/>
  <c r="U170" i="96"/>
  <c r="S208" i="71"/>
  <c r="W14" i="14"/>
  <c r="W13" i="14"/>
  <c r="W11" i="14"/>
  <c r="W135" i="115"/>
  <c r="W136" i="115"/>
  <c r="W144" i="115"/>
  <c r="W152" i="115"/>
  <c r="U88" i="71"/>
  <c r="W156" i="113"/>
  <c r="W160" i="113"/>
  <c r="V156" i="115"/>
  <c r="V160" i="115"/>
  <c r="V171" i="115"/>
  <c r="AD97" i="124"/>
  <c r="AD99" i="124"/>
  <c r="AD111" i="124"/>
  <c r="AD161" i="124"/>
  <c r="T70" i="71"/>
  <c r="AE99" i="142"/>
  <c r="AE101" i="142"/>
  <c r="AE113" i="142"/>
  <c r="AE163" i="142"/>
  <c r="AE99" i="143"/>
  <c r="AE101" i="143"/>
  <c r="AE113" i="143"/>
  <c r="AE163" i="143"/>
  <c r="AE99" i="140"/>
  <c r="AE101" i="140"/>
  <c r="AE113" i="140"/>
  <c r="AE163" i="140"/>
  <c r="AE99" i="141"/>
  <c r="AE101" i="141"/>
  <c r="AE113" i="141"/>
  <c r="AE163" i="141"/>
  <c r="AD97" i="138"/>
  <c r="AD98" i="138"/>
  <c r="AD100" i="138"/>
  <c r="AD112" i="138"/>
  <c r="AD162" i="138"/>
  <c r="AD97" i="139"/>
  <c r="AD98" i="139"/>
  <c r="AD100" i="139"/>
  <c r="AD112" i="139"/>
  <c r="AD162" i="139"/>
  <c r="T108" i="71"/>
  <c r="AD97" i="127"/>
  <c r="AD99" i="127"/>
  <c r="AD111" i="127"/>
  <c r="AD161" i="127"/>
  <c r="AD98" i="136"/>
  <c r="AD100" i="136"/>
  <c r="AD112" i="136"/>
  <c r="AD162" i="136"/>
  <c r="AD98" i="137"/>
  <c r="AD100" i="137"/>
  <c r="AD112" i="137"/>
  <c r="AD162" i="137"/>
  <c r="U258" i="71"/>
  <c r="W156" i="102"/>
  <c r="W160" i="102"/>
  <c r="AE99" i="134"/>
  <c r="AE101" i="134"/>
  <c r="AE113" i="134"/>
  <c r="AE163" i="134"/>
  <c r="AE99" i="135"/>
  <c r="AE101" i="135"/>
  <c r="AE113" i="135"/>
  <c r="AE163" i="135"/>
  <c r="AE99" i="133"/>
  <c r="AE101" i="133"/>
  <c r="AE113" i="133"/>
  <c r="AE163" i="133"/>
  <c r="AE99" i="129"/>
  <c r="AE101" i="129"/>
  <c r="AE113" i="129"/>
  <c r="AE163" i="129"/>
  <c r="AE96" i="127"/>
  <c r="AE97" i="127"/>
  <c r="AE99" i="127"/>
  <c r="AE111" i="127"/>
  <c r="AE161" i="127"/>
  <c r="AE96" i="124"/>
  <c r="AE96" i="126"/>
  <c r="X135" i="115"/>
  <c r="X136" i="115"/>
  <c r="X144" i="115"/>
  <c r="X152" i="115"/>
  <c r="V88" i="71"/>
  <c r="W88" i="71"/>
  <c r="AE96" i="125"/>
  <c r="AE97" i="125"/>
  <c r="AE99" i="125"/>
  <c r="AE111" i="125"/>
  <c r="AE161" i="125"/>
  <c r="V156" i="113"/>
  <c r="T51" i="71"/>
  <c r="U160" i="116"/>
  <c r="U174" i="116"/>
  <c r="S115" i="71"/>
  <c r="S108" i="71"/>
  <c r="W156" i="112"/>
  <c r="W160" i="112"/>
  <c r="W156" i="116"/>
  <c r="W160" i="116"/>
  <c r="T171" i="109"/>
  <c r="AD162" i="131"/>
  <c r="AD98" i="132"/>
  <c r="AD100" i="132"/>
  <c r="AD112" i="132"/>
  <c r="AD162" i="132"/>
  <c r="U170" i="109"/>
  <c r="S132" i="71"/>
  <c r="AD98" i="130"/>
  <c r="AD100" i="130"/>
  <c r="AD112" i="130"/>
  <c r="AD162" i="130"/>
  <c r="AD98" i="128"/>
  <c r="AD100" i="128"/>
  <c r="AD112" i="128"/>
  <c r="AD162" i="128"/>
  <c r="W156" i="114"/>
  <c r="W160" i="114"/>
  <c r="W156" i="115"/>
  <c r="W160" i="115"/>
  <c r="U171" i="114"/>
  <c r="V170" i="114"/>
  <c r="T75" i="71"/>
  <c r="V174" i="114"/>
  <c r="T77" i="71"/>
  <c r="AE99" i="123"/>
  <c r="AE101" i="123"/>
  <c r="AE113" i="123"/>
  <c r="AE163" i="123"/>
  <c r="U171" i="108"/>
  <c r="AE98" i="122"/>
  <c r="AE100" i="122"/>
  <c r="AE112" i="122"/>
  <c r="AE162" i="122"/>
  <c r="U174" i="115"/>
  <c r="S96" i="71"/>
  <c r="X105" i="112"/>
  <c r="V171" i="97"/>
  <c r="V174" i="116"/>
  <c r="T115" i="71"/>
  <c r="U171" i="109"/>
  <c r="V170" i="116"/>
  <c r="T113" i="71"/>
  <c r="U106" i="71"/>
  <c r="V170" i="110"/>
  <c r="T151" i="71"/>
  <c r="V170" i="111"/>
  <c r="T170" i="71"/>
  <c r="U68" i="71"/>
  <c r="U182" i="71"/>
  <c r="V171" i="111"/>
  <c r="U87" i="71"/>
  <c r="V170" i="112"/>
  <c r="T189" i="71"/>
  <c r="T184" i="71"/>
  <c r="V170" i="108"/>
  <c r="T37" i="71"/>
  <c r="U49" i="71"/>
  <c r="X105" i="116"/>
  <c r="X105" i="113"/>
  <c r="X105" i="114"/>
  <c r="V171" i="114"/>
  <c r="X105" i="115"/>
  <c r="X135" i="112"/>
  <c r="X136" i="112"/>
  <c r="X144" i="112"/>
  <c r="X152" i="112"/>
  <c r="V183" i="71"/>
  <c r="W183" i="71"/>
  <c r="V170" i="97"/>
  <c r="T18" i="71"/>
  <c r="X105" i="102"/>
  <c r="V171" i="99"/>
  <c r="U174" i="102"/>
  <c r="S267" i="71"/>
  <c r="U171" i="102"/>
  <c r="V170" i="101"/>
  <c r="T246" i="71"/>
  <c r="V170" i="102"/>
  <c r="T265" i="71"/>
  <c r="T260" i="71"/>
  <c r="U171" i="99"/>
  <c r="U171" i="101"/>
  <c r="V170" i="99"/>
  <c r="T227" i="71"/>
  <c r="X135" i="102"/>
  <c r="X136" i="102"/>
  <c r="X144" i="102"/>
  <c r="X152" i="102"/>
  <c r="V259" i="71"/>
  <c r="W259" i="71"/>
  <c r="U171" i="96"/>
  <c r="V170" i="96"/>
  <c r="T208" i="71"/>
  <c r="U70" i="71"/>
  <c r="X135" i="114"/>
  <c r="X136" i="114"/>
  <c r="X144" i="114"/>
  <c r="X152" i="114"/>
  <c r="V69" i="71"/>
  <c r="W69" i="71"/>
  <c r="T89" i="71"/>
  <c r="V170" i="115"/>
  <c r="T94" i="71"/>
  <c r="U51" i="71"/>
  <c r="U260" i="71"/>
  <c r="W170" i="111"/>
  <c r="U170" i="71"/>
  <c r="X135" i="116"/>
  <c r="X136" i="116"/>
  <c r="X144" i="116"/>
  <c r="X152" i="116"/>
  <c r="V107" i="71"/>
  <c r="W107" i="71"/>
  <c r="AE97" i="138"/>
  <c r="AE98" i="138"/>
  <c r="AE100" i="138"/>
  <c r="AE112" i="138"/>
  <c r="AE162" i="138"/>
  <c r="AE97" i="139"/>
  <c r="AE98" i="139"/>
  <c r="AE100" i="139"/>
  <c r="AE112" i="139"/>
  <c r="AE162" i="139"/>
  <c r="U171" i="116"/>
  <c r="AE97" i="126"/>
  <c r="AE99" i="126"/>
  <c r="AE111" i="126"/>
  <c r="AE161" i="126"/>
  <c r="AE98" i="136"/>
  <c r="AE100" i="136"/>
  <c r="AE112" i="136"/>
  <c r="AE162" i="136"/>
  <c r="AE98" i="137"/>
  <c r="AE100" i="137"/>
  <c r="AE112" i="137"/>
  <c r="AE162" i="137"/>
  <c r="V258" i="71"/>
  <c r="W258" i="71"/>
  <c r="X156" i="102"/>
  <c r="X160" i="102"/>
  <c r="B173" i="102"/>
  <c r="B173" i="101"/>
  <c r="B173" i="96"/>
  <c r="B173" i="99"/>
  <c r="V182" i="71"/>
  <c r="W182" i="71"/>
  <c r="X156" i="112"/>
  <c r="X160" i="112"/>
  <c r="B173" i="112"/>
  <c r="X135" i="113"/>
  <c r="X136" i="113"/>
  <c r="X144" i="113"/>
  <c r="X152" i="113"/>
  <c r="V50" i="71"/>
  <c r="AE97" i="124"/>
  <c r="AE99" i="124"/>
  <c r="AE111" i="124"/>
  <c r="AE161" i="124"/>
  <c r="V160" i="113"/>
  <c r="V174" i="113"/>
  <c r="T58" i="71"/>
  <c r="V170" i="113"/>
  <c r="T56" i="71"/>
  <c r="U108" i="71"/>
  <c r="V170" i="109"/>
  <c r="T132" i="71"/>
  <c r="AE162" i="131"/>
  <c r="AE98" i="132"/>
  <c r="AE100" i="132"/>
  <c r="AE112" i="132"/>
  <c r="AE162" i="132"/>
  <c r="B173" i="111"/>
  <c r="V184" i="71"/>
  <c r="B173" i="110"/>
  <c r="AE98" i="130"/>
  <c r="AE100" i="130"/>
  <c r="AE112" i="130"/>
  <c r="AE162" i="130"/>
  <c r="AE98" i="128"/>
  <c r="AE100" i="128"/>
  <c r="AE112" i="128"/>
  <c r="AE162" i="128"/>
  <c r="Y119" i="112"/>
  <c r="U89" i="71"/>
  <c r="W170" i="109"/>
  <c r="U132" i="71"/>
  <c r="V87" i="71"/>
  <c r="W87" i="71"/>
  <c r="X156" i="115"/>
  <c r="X160" i="115"/>
  <c r="B173" i="115"/>
  <c r="V106" i="71"/>
  <c r="W106" i="71"/>
  <c r="V68" i="71"/>
  <c r="W68" i="71"/>
  <c r="V171" i="116"/>
  <c r="W171" i="115"/>
  <c r="W170" i="115"/>
  <c r="U94" i="71"/>
  <c r="V49" i="71"/>
  <c r="W49" i="71"/>
  <c r="W171" i="108"/>
  <c r="W170" i="116"/>
  <c r="U113" i="71"/>
  <c r="W171" i="97"/>
  <c r="W174" i="113"/>
  <c r="U58" i="71"/>
  <c r="V174" i="115"/>
  <c r="T96" i="71"/>
  <c r="W171" i="116"/>
  <c r="W170" i="110"/>
  <c r="U151" i="71"/>
  <c r="W174" i="114"/>
  <c r="U77" i="71"/>
  <c r="W170" i="113"/>
  <c r="U56" i="71"/>
  <c r="W170" i="114"/>
  <c r="U75" i="71"/>
  <c r="V171" i="109"/>
  <c r="U184" i="71"/>
  <c r="W170" i="112"/>
  <c r="U189" i="71"/>
  <c r="Y119" i="97"/>
  <c r="V171" i="112"/>
  <c r="V174" i="112"/>
  <c r="T191" i="71"/>
  <c r="V171" i="110"/>
  <c r="Y119" i="108"/>
  <c r="V171" i="108"/>
  <c r="W170" i="108"/>
  <c r="U37" i="71"/>
  <c r="Y119" i="116"/>
  <c r="Y119" i="114"/>
  <c r="Y119" i="115"/>
  <c r="W174" i="115"/>
  <c r="U96" i="71"/>
  <c r="Y119" i="113"/>
  <c r="W170" i="102"/>
  <c r="U265" i="71"/>
  <c r="W170" i="97"/>
  <c r="U18" i="71"/>
  <c r="Y119" i="102"/>
  <c r="V171" i="102"/>
  <c r="V174" i="102"/>
  <c r="T267" i="71"/>
  <c r="V171" i="101"/>
  <c r="W170" i="99"/>
  <c r="U227" i="71"/>
  <c r="W170" i="101"/>
  <c r="U246" i="71"/>
  <c r="W170" i="96"/>
  <c r="U208" i="71"/>
  <c r="V171" i="96"/>
  <c r="K151" i="93"/>
  <c r="X156" i="114"/>
  <c r="X160" i="114"/>
  <c r="B173" i="114"/>
  <c r="X156" i="116"/>
  <c r="X160" i="116"/>
  <c r="B173" i="116"/>
  <c r="V260" i="71"/>
  <c r="W260" i="71"/>
  <c r="V171" i="113"/>
  <c r="X156" i="113"/>
  <c r="X160" i="113"/>
  <c r="W184" i="71"/>
  <c r="X170" i="112"/>
  <c r="V189" i="71"/>
  <c r="W189" i="71"/>
  <c r="X174" i="112"/>
  <c r="X170" i="110"/>
  <c r="V151" i="71"/>
  <c r="W151" i="71"/>
  <c r="W171" i="111"/>
  <c r="W171" i="110"/>
  <c r="V89" i="71"/>
  <c r="W89" i="71"/>
  <c r="W171" i="109"/>
  <c r="X170" i="109"/>
  <c r="V132" i="71"/>
  <c r="W132" i="71"/>
  <c r="W174" i="116"/>
  <c r="U115" i="71"/>
  <c r="W171" i="114"/>
  <c r="W171" i="113"/>
  <c r="B173" i="108"/>
  <c r="X170" i="108"/>
  <c r="V37" i="71"/>
  <c r="W37" i="71"/>
  <c r="B173" i="97"/>
  <c r="W174" i="112"/>
  <c r="U191" i="71"/>
  <c r="W171" i="112"/>
  <c r="X170" i="115"/>
  <c r="V94" i="71"/>
  <c r="W94" i="71"/>
  <c r="X170" i="116"/>
  <c r="V113" i="71"/>
  <c r="W113" i="71"/>
  <c r="X170" i="111"/>
  <c r="V170" i="71"/>
  <c r="W170" i="71"/>
  <c r="X171" i="110"/>
  <c r="W171" i="102"/>
  <c r="W174" i="102"/>
  <c r="U267" i="71"/>
  <c r="X171" i="102"/>
  <c r="X170" i="102"/>
  <c r="V265" i="71"/>
  <c r="W265" i="71"/>
  <c r="X170" i="97"/>
  <c r="V18" i="71"/>
  <c r="W18" i="71"/>
  <c r="X170" i="99"/>
  <c r="V227" i="71"/>
  <c r="W227" i="71"/>
  <c r="X171" i="99"/>
  <c r="X170" i="101"/>
  <c r="V246" i="71"/>
  <c r="W246" i="71"/>
  <c r="W171" i="101"/>
  <c r="W171" i="99"/>
  <c r="X171" i="101"/>
  <c r="X170" i="96"/>
  <c r="V208" i="71"/>
  <c r="W208" i="71"/>
  <c r="W171" i="96"/>
  <c r="L151" i="93"/>
  <c r="X170" i="114"/>
  <c r="V75" i="71"/>
  <c r="W75" i="71"/>
  <c r="V70" i="71"/>
  <c r="W70" i="71"/>
  <c r="V108" i="71"/>
  <c r="W108" i="71"/>
  <c r="B174" i="110"/>
  <c r="V51" i="71"/>
  <c r="X170" i="113"/>
  <c r="V56" i="71"/>
  <c r="B174" i="101"/>
  <c r="B174" i="102"/>
  <c r="B174" i="99"/>
  <c r="V191" i="71"/>
  <c r="W191" i="71"/>
  <c r="B175" i="112"/>
  <c r="B192" i="71"/>
  <c r="X171" i="112"/>
  <c r="B174" i="112"/>
  <c r="AA155" i="71"/>
  <c r="B175" i="110"/>
  <c r="B154" i="71"/>
  <c r="B173" i="109"/>
  <c r="AA41" i="71"/>
  <c r="X171" i="108"/>
  <c r="B174" i="108"/>
  <c r="X171" i="97"/>
  <c r="B174" i="97"/>
  <c r="X174" i="116"/>
  <c r="X171" i="116"/>
  <c r="B174" i="116"/>
  <c r="X171" i="115"/>
  <c r="B174" i="115"/>
  <c r="X174" i="115"/>
  <c r="X171" i="113"/>
  <c r="X174" i="113"/>
  <c r="X171" i="114"/>
  <c r="B174" i="114"/>
  <c r="X174" i="114"/>
  <c r="X171" i="111"/>
  <c r="B174" i="111"/>
  <c r="X174" i="102"/>
  <c r="X171" i="96"/>
  <c r="B174" i="96"/>
  <c r="M151" i="93"/>
  <c r="V267" i="71"/>
  <c r="W267" i="71"/>
  <c r="B175" i="102"/>
  <c r="B268" i="71"/>
  <c r="AA250" i="71"/>
  <c r="B175" i="101"/>
  <c r="B249" i="71"/>
  <c r="AA231" i="71"/>
  <c r="B175" i="99"/>
  <c r="B230" i="71"/>
  <c r="AA212" i="71"/>
  <c r="B175" i="96"/>
  <c r="B211" i="71"/>
  <c r="X171" i="109"/>
  <c r="B174" i="109"/>
  <c r="AA174" i="71"/>
  <c r="B175" i="111"/>
  <c r="B173" i="71"/>
  <c r="AA136" i="71"/>
  <c r="V115" i="71"/>
  <c r="W115" i="71"/>
  <c r="B175" i="116"/>
  <c r="B116" i="71"/>
  <c r="V96" i="71"/>
  <c r="W96" i="71"/>
  <c r="B175" i="115"/>
  <c r="B97" i="71"/>
  <c r="V77" i="71"/>
  <c r="W77" i="71"/>
  <c r="B175" i="114"/>
  <c r="B78" i="71"/>
  <c r="V58" i="71"/>
  <c r="B175" i="108"/>
  <c r="B40" i="71"/>
  <c r="AA22" i="71"/>
  <c r="B175" i="97"/>
  <c r="B21" i="71"/>
  <c r="N151" i="93"/>
  <c r="B175" i="109"/>
  <c r="B135" i="71"/>
  <c r="O151" i="93"/>
  <c r="I4" i="14"/>
  <c r="P151" i="93"/>
  <c r="Q151" i="93"/>
  <c r="R151" i="93"/>
  <c r="S151" i="93"/>
  <c r="T151" i="93"/>
  <c r="U151" i="93"/>
  <c r="C4" i="9"/>
  <c r="B4" i="5"/>
  <c r="V151" i="93"/>
  <c r="W151" i="93"/>
  <c r="X151" i="93"/>
  <c r="J88" i="95"/>
  <c r="K88" i="95"/>
  <c r="E88" i="95"/>
  <c r="H88" i="95"/>
  <c r="K95" i="95"/>
  <c r="K96" i="95"/>
  <c r="K98" i="95"/>
  <c r="M43" i="93"/>
  <c r="T95" i="95"/>
  <c r="T96" i="95"/>
  <c r="T98" i="95"/>
  <c r="V43" i="93"/>
  <c r="N95" i="95"/>
  <c r="N96" i="95"/>
  <c r="N98" i="95"/>
  <c r="P43" i="93"/>
  <c r="H95" i="95"/>
  <c r="H96" i="95"/>
  <c r="H98" i="95"/>
  <c r="J43" i="93"/>
  <c r="M95" i="95"/>
  <c r="M96" i="95"/>
  <c r="M98" i="95"/>
  <c r="O43" i="93"/>
  <c r="O95" i="95"/>
  <c r="O96" i="95"/>
  <c r="O98" i="95"/>
  <c r="Q43" i="93"/>
  <c r="R95" i="95"/>
  <c r="R96" i="95"/>
  <c r="R98" i="95"/>
  <c r="T43" i="93"/>
  <c r="Q95" i="95"/>
  <c r="Q96" i="95"/>
  <c r="Q98" i="95"/>
  <c r="S43" i="93"/>
  <c r="P95" i="95"/>
  <c r="P96" i="95"/>
  <c r="P98" i="95"/>
  <c r="R43" i="93"/>
  <c r="G43" i="93"/>
  <c r="U95" i="95"/>
  <c r="U96" i="95"/>
  <c r="U98" i="95"/>
  <c r="W43" i="93"/>
  <c r="I43" i="93"/>
  <c r="G88" i="95"/>
  <c r="J95" i="95"/>
  <c r="J96" i="95"/>
  <c r="J98" i="95"/>
  <c r="L43" i="93"/>
  <c r="F88" i="95"/>
  <c r="I95" i="95"/>
  <c r="I96" i="95"/>
  <c r="I98" i="95"/>
  <c r="K43" i="93"/>
  <c r="I88" i="95"/>
  <c r="L88" i="95"/>
  <c r="L95" i="95"/>
  <c r="L96" i="95"/>
  <c r="L98" i="95"/>
  <c r="F43" i="93"/>
  <c r="D88" i="95"/>
  <c r="H43" i="93"/>
  <c r="V95" i="95"/>
  <c r="V96" i="95"/>
  <c r="V98" i="95"/>
  <c r="X43" i="93"/>
  <c r="S95" i="95"/>
  <c r="S96" i="95"/>
  <c r="S98" i="95"/>
  <c r="U43" i="93"/>
  <c r="U44" i="93"/>
  <c r="AB49" i="140"/>
  <c r="AB48" i="140"/>
  <c r="F44" i="93"/>
  <c r="M49" i="140"/>
  <c r="M48" i="140"/>
  <c r="K44" i="93"/>
  <c r="R49" i="140"/>
  <c r="R48" i="140"/>
  <c r="I44" i="93"/>
  <c r="P49" i="140"/>
  <c r="P48" i="140"/>
  <c r="S44" i="93"/>
  <c r="Z49" i="140"/>
  <c r="Z48" i="140"/>
  <c r="J44" i="93"/>
  <c r="Q49" i="140"/>
  <c r="Q48" i="140"/>
  <c r="X44" i="93"/>
  <c r="AE49" i="140"/>
  <c r="AE48" i="140"/>
  <c r="W44" i="93"/>
  <c r="AD49" i="140"/>
  <c r="AD48" i="140"/>
  <c r="T44" i="93"/>
  <c r="AA49" i="140"/>
  <c r="AA48" i="140"/>
  <c r="P44" i="93"/>
  <c r="W49" i="140"/>
  <c r="W48" i="140"/>
  <c r="H44" i="93"/>
  <c r="O49" i="140"/>
  <c r="O48" i="140"/>
  <c r="L44" i="93"/>
  <c r="S49" i="140"/>
  <c r="S48" i="140"/>
  <c r="G44" i="93"/>
  <c r="N49" i="140"/>
  <c r="N48" i="140"/>
  <c r="Q44" i="93"/>
  <c r="X49" i="140"/>
  <c r="X48" i="140"/>
  <c r="V44" i="93"/>
  <c r="AC49" i="140"/>
  <c r="AC48" i="140"/>
  <c r="R44" i="93"/>
  <c r="Y49" i="140"/>
  <c r="Y48" i="140"/>
  <c r="O44" i="93"/>
  <c r="V49" i="140"/>
  <c r="V48" i="140"/>
  <c r="M44" i="93"/>
  <c r="T49" i="140"/>
  <c r="T48" i="140"/>
  <c r="N43" i="93"/>
  <c r="N43" i="103"/>
  <c r="F43" i="104"/>
  <c r="F43" i="105"/>
  <c r="F43" i="103"/>
  <c r="K43" i="105"/>
  <c r="K43" i="103"/>
  <c r="K43" i="104"/>
  <c r="R43" i="103"/>
  <c r="R43" i="105"/>
  <c r="R43" i="104"/>
  <c r="Q43" i="103"/>
  <c r="Q43" i="105"/>
  <c r="Q43" i="104"/>
  <c r="V43" i="105"/>
  <c r="V43" i="103"/>
  <c r="V43" i="104"/>
  <c r="X43" i="104"/>
  <c r="X43" i="105"/>
  <c r="X43" i="103"/>
  <c r="W43" i="105"/>
  <c r="W43" i="104"/>
  <c r="W43" i="103"/>
  <c r="S43" i="105"/>
  <c r="S43" i="103"/>
  <c r="S43" i="104"/>
  <c r="O43" i="103"/>
  <c r="O43" i="104"/>
  <c r="O43" i="105"/>
  <c r="I43" i="104"/>
  <c r="I43" i="103"/>
  <c r="I43" i="105"/>
  <c r="H43" i="103"/>
  <c r="H43" i="105"/>
  <c r="H43" i="104"/>
  <c r="L43" i="104"/>
  <c r="L43" i="103"/>
  <c r="L43" i="105"/>
  <c r="N99" i="105"/>
  <c r="N106" i="105"/>
  <c r="N157" i="105"/>
  <c r="N161" i="105"/>
  <c r="J43" i="103"/>
  <c r="J43" i="104"/>
  <c r="J43" i="105"/>
  <c r="M43" i="105"/>
  <c r="M43" i="103"/>
  <c r="M43" i="104"/>
  <c r="U43" i="105"/>
  <c r="U43" i="104"/>
  <c r="U43" i="103"/>
  <c r="G43" i="105"/>
  <c r="G43" i="103"/>
  <c r="G43" i="104"/>
  <c r="T43" i="104"/>
  <c r="T43" i="105"/>
  <c r="T43" i="103"/>
  <c r="P43" i="103"/>
  <c r="P43" i="105"/>
  <c r="P43" i="104"/>
  <c r="N43" i="105"/>
  <c r="N43" i="104"/>
  <c r="N44" i="105"/>
  <c r="U49" i="143"/>
  <c r="U48" i="143"/>
  <c r="U44" i="105"/>
  <c r="AB49" i="143"/>
  <c r="AB48" i="143"/>
  <c r="M44" i="105"/>
  <c r="T49" i="143"/>
  <c r="T48" i="143"/>
  <c r="S44" i="105"/>
  <c r="Z49" i="143"/>
  <c r="Z48" i="143"/>
  <c r="W44" i="105"/>
  <c r="AD49" i="143"/>
  <c r="AD48" i="143"/>
  <c r="K44" i="105"/>
  <c r="R49" i="143"/>
  <c r="R48" i="143"/>
  <c r="P44" i="105"/>
  <c r="W49" i="143"/>
  <c r="W48" i="143"/>
  <c r="J44" i="105"/>
  <c r="Q49" i="143"/>
  <c r="Q48" i="143"/>
  <c r="L44" i="105"/>
  <c r="S49" i="143"/>
  <c r="S48" i="143"/>
  <c r="I44" i="105"/>
  <c r="P49" i="143"/>
  <c r="P48" i="143"/>
  <c r="O44" i="105"/>
  <c r="V49" i="143"/>
  <c r="V48" i="143"/>
  <c r="X44" i="105"/>
  <c r="AE49" i="143"/>
  <c r="AE48" i="143"/>
  <c r="F44" i="105"/>
  <c r="M49" i="143"/>
  <c r="M48" i="143"/>
  <c r="T44" i="105"/>
  <c r="AA49" i="143"/>
  <c r="AA48" i="143"/>
  <c r="G44" i="105"/>
  <c r="N49" i="143"/>
  <c r="N48" i="143"/>
  <c r="H44" i="105"/>
  <c r="O49" i="143"/>
  <c r="O48" i="143"/>
  <c r="V44" i="105"/>
  <c r="AC49" i="143"/>
  <c r="AC48" i="143"/>
  <c r="Q44" i="105"/>
  <c r="X49" i="143"/>
  <c r="X48" i="143"/>
  <c r="R44" i="105"/>
  <c r="Y49" i="143"/>
  <c r="Y48" i="143"/>
  <c r="U44" i="104"/>
  <c r="AB49" i="142"/>
  <c r="AB48" i="142"/>
  <c r="T44" i="104"/>
  <c r="AA49" i="142"/>
  <c r="AA48" i="142"/>
  <c r="L44" i="104"/>
  <c r="S49" i="142"/>
  <c r="S48" i="142"/>
  <c r="I44" i="104"/>
  <c r="P49" i="142"/>
  <c r="P48" i="142"/>
  <c r="X44" i="104"/>
  <c r="AE49" i="142"/>
  <c r="AE48" i="142"/>
  <c r="P44" i="104"/>
  <c r="W49" i="142"/>
  <c r="W48" i="142"/>
  <c r="G44" i="104"/>
  <c r="N49" i="142"/>
  <c r="N48" i="142"/>
  <c r="M44" i="104"/>
  <c r="T49" i="142"/>
  <c r="T48" i="142"/>
  <c r="V44" i="104"/>
  <c r="AC49" i="142"/>
  <c r="AC48" i="142"/>
  <c r="R44" i="104"/>
  <c r="Y49" i="142"/>
  <c r="Y48" i="142"/>
  <c r="N44" i="104"/>
  <c r="U49" i="142"/>
  <c r="U48" i="142"/>
  <c r="J44" i="104"/>
  <c r="Q49" i="142"/>
  <c r="Q48" i="142"/>
  <c r="H44" i="104"/>
  <c r="O49" i="142"/>
  <c r="O48" i="142"/>
  <c r="S44" i="104"/>
  <c r="Z49" i="142"/>
  <c r="Z48" i="142"/>
  <c r="Q44" i="104"/>
  <c r="X49" i="142"/>
  <c r="X48" i="142"/>
  <c r="K44" i="104"/>
  <c r="R49" i="142"/>
  <c r="R48" i="142"/>
  <c r="O44" i="104"/>
  <c r="V49" i="142"/>
  <c r="V48" i="142"/>
  <c r="W44" i="104"/>
  <c r="AD49" i="142"/>
  <c r="AD48" i="142"/>
  <c r="F44" i="104"/>
  <c r="M49" i="142"/>
  <c r="M48" i="142"/>
  <c r="X44" i="103"/>
  <c r="AE49" i="141"/>
  <c r="AE48" i="141"/>
  <c r="F44" i="103"/>
  <c r="M49" i="141"/>
  <c r="M48" i="141"/>
  <c r="N44" i="103"/>
  <c r="U49" i="141"/>
  <c r="U48" i="141"/>
  <c r="J44" i="103"/>
  <c r="Q49" i="141"/>
  <c r="Q48" i="141"/>
  <c r="O44" i="103"/>
  <c r="V49" i="141"/>
  <c r="V48" i="141"/>
  <c r="R44" i="103"/>
  <c r="Y49" i="141"/>
  <c r="Y48" i="141"/>
  <c r="T44" i="103"/>
  <c r="AA49" i="141"/>
  <c r="AA48" i="141"/>
  <c r="L44" i="103"/>
  <c r="S49" i="141"/>
  <c r="S48" i="141"/>
  <c r="W44" i="103"/>
  <c r="AD49" i="141"/>
  <c r="AD48" i="141"/>
  <c r="V44" i="103"/>
  <c r="AC49" i="141"/>
  <c r="AC48" i="141"/>
  <c r="P44" i="103"/>
  <c r="W49" i="141"/>
  <c r="W48" i="141"/>
  <c r="H44" i="103"/>
  <c r="O49" i="141"/>
  <c r="O48" i="141"/>
  <c r="Q44" i="103"/>
  <c r="X49" i="141"/>
  <c r="X48" i="141"/>
  <c r="G44" i="103"/>
  <c r="N49" i="141"/>
  <c r="N48" i="141"/>
  <c r="U44" i="103"/>
  <c r="AB49" i="141"/>
  <c r="AB48" i="141"/>
  <c r="M44" i="103"/>
  <c r="T49" i="141"/>
  <c r="T48" i="141"/>
  <c r="I44" i="103"/>
  <c r="P49" i="141"/>
  <c r="P48" i="141"/>
  <c r="S44" i="103"/>
  <c r="Z49" i="141"/>
  <c r="Z48" i="141"/>
  <c r="K44" i="103"/>
  <c r="R49" i="141"/>
  <c r="R48" i="141"/>
  <c r="N44" i="93"/>
  <c r="U49" i="140"/>
  <c r="U48" i="140"/>
  <c r="M99" i="120"/>
  <c r="M106" i="120"/>
  <c r="M157" i="120"/>
  <c r="M161" i="120"/>
  <c r="R99" i="120"/>
  <c r="R106" i="120"/>
  <c r="R157" i="120"/>
  <c r="R161" i="120"/>
  <c r="P99" i="120"/>
  <c r="P106" i="120"/>
  <c r="P157" i="120"/>
  <c r="P161" i="120"/>
  <c r="T99" i="120"/>
  <c r="T106" i="120"/>
  <c r="T157" i="120"/>
  <c r="T161" i="120"/>
  <c r="J99" i="120"/>
  <c r="J106" i="120"/>
  <c r="J157" i="120"/>
  <c r="J161" i="120"/>
  <c r="L99" i="120"/>
  <c r="L106" i="120"/>
  <c r="L157" i="120"/>
  <c r="L161" i="120"/>
  <c r="X99" i="120"/>
  <c r="X106" i="120"/>
  <c r="X157" i="120"/>
  <c r="X161" i="120"/>
  <c r="N99" i="120"/>
  <c r="N106" i="120"/>
  <c r="N157" i="120"/>
  <c r="N161" i="120"/>
  <c r="G99" i="120"/>
  <c r="G106" i="120"/>
  <c r="G157" i="120"/>
  <c r="G161" i="120"/>
  <c r="V99" i="120"/>
  <c r="V106" i="120"/>
  <c r="V157" i="120"/>
  <c r="V161" i="120"/>
  <c r="F99" i="120"/>
  <c r="F106" i="120"/>
  <c r="F157" i="120"/>
  <c r="F161" i="120"/>
  <c r="U99" i="120"/>
  <c r="U106" i="120"/>
  <c r="U157" i="120"/>
  <c r="U161" i="120"/>
  <c r="H99" i="120"/>
  <c r="H106" i="120"/>
  <c r="H157" i="120"/>
  <c r="H161" i="120"/>
  <c r="I99" i="120"/>
  <c r="I106" i="120"/>
  <c r="I157" i="120"/>
  <c r="I161" i="120"/>
  <c r="O99" i="120"/>
  <c r="O106" i="120"/>
  <c r="O157" i="120"/>
  <c r="O161" i="120"/>
  <c r="S99" i="120"/>
  <c r="S106" i="120"/>
  <c r="S157" i="120"/>
  <c r="S161" i="120"/>
  <c r="W99" i="120"/>
  <c r="W106" i="120"/>
  <c r="W157" i="120"/>
  <c r="W161" i="120"/>
  <c r="Q99" i="120"/>
  <c r="Q106" i="120"/>
  <c r="Q157" i="120"/>
  <c r="Q161" i="120"/>
  <c r="K99" i="120"/>
  <c r="K106" i="120"/>
  <c r="K157" i="120"/>
  <c r="K161" i="120"/>
  <c r="S99" i="105"/>
  <c r="S106" i="105"/>
  <c r="S157" i="105"/>
  <c r="S161" i="105"/>
  <c r="X99" i="105"/>
  <c r="X106" i="105"/>
  <c r="X157" i="105"/>
  <c r="X161" i="105"/>
  <c r="Q99" i="105"/>
  <c r="Q106" i="105"/>
  <c r="Q157" i="105"/>
  <c r="Q161" i="105"/>
  <c r="P99" i="105"/>
  <c r="P106" i="105"/>
  <c r="P157" i="105"/>
  <c r="P161" i="105"/>
  <c r="T99" i="105"/>
  <c r="T106" i="105"/>
  <c r="T157" i="105"/>
  <c r="T161" i="105"/>
  <c r="U99" i="105"/>
  <c r="U106" i="105"/>
  <c r="U157" i="105"/>
  <c r="U161" i="105"/>
  <c r="J99" i="105"/>
  <c r="J106" i="105"/>
  <c r="J157" i="105"/>
  <c r="J161" i="105"/>
  <c r="L410" i="71"/>
  <c r="H99" i="105"/>
  <c r="H106" i="105"/>
  <c r="H157" i="105"/>
  <c r="H161" i="105"/>
  <c r="W99" i="105"/>
  <c r="W106" i="105"/>
  <c r="W157" i="105"/>
  <c r="W161" i="105"/>
  <c r="I99" i="105"/>
  <c r="I106" i="105"/>
  <c r="I157" i="105"/>
  <c r="I161" i="105"/>
  <c r="R99" i="105"/>
  <c r="R106" i="105"/>
  <c r="R157" i="105"/>
  <c r="R161" i="105"/>
  <c r="K99" i="105"/>
  <c r="K106" i="105"/>
  <c r="K157" i="105"/>
  <c r="K161" i="105"/>
  <c r="F99" i="105"/>
  <c r="F106" i="105"/>
  <c r="F157" i="105"/>
  <c r="F161" i="105"/>
  <c r="G99" i="105"/>
  <c r="G106" i="105"/>
  <c r="G157" i="105"/>
  <c r="G161" i="105"/>
  <c r="M99" i="105"/>
  <c r="M106" i="105"/>
  <c r="M157" i="105"/>
  <c r="M161" i="105"/>
  <c r="L99" i="105"/>
  <c r="L106" i="105"/>
  <c r="L157" i="105"/>
  <c r="L161" i="105"/>
  <c r="O99" i="105"/>
  <c r="O106" i="105"/>
  <c r="O157" i="105"/>
  <c r="O161" i="105"/>
  <c r="V99" i="105"/>
  <c r="V106" i="105"/>
  <c r="V157" i="105"/>
  <c r="V161" i="105"/>
  <c r="B174" i="105"/>
  <c r="B174" i="103"/>
  <c r="B174" i="104"/>
  <c r="B174" i="93"/>
  <c r="B174" i="120"/>
  <c r="B174" i="119"/>
  <c r="B174" i="117"/>
  <c r="B174" i="118"/>
  <c r="I334" i="71"/>
  <c r="E334" i="71"/>
  <c r="O334" i="71"/>
  <c r="U334" i="71"/>
  <c r="S334" i="71"/>
  <c r="K334" i="71"/>
  <c r="Q334" i="71"/>
  <c r="M334" i="71"/>
  <c r="G334" i="71"/>
  <c r="F334" i="71"/>
  <c r="V334" i="71"/>
  <c r="J334" i="71"/>
  <c r="R334" i="71"/>
  <c r="N334" i="71"/>
  <c r="D334" i="71"/>
  <c r="Y120" i="120"/>
  <c r="T334" i="71"/>
  <c r="L334" i="71"/>
  <c r="H334" i="71"/>
  <c r="P334" i="71"/>
  <c r="K410" i="71"/>
  <c r="G410" i="71"/>
  <c r="R410" i="71"/>
  <c r="E410" i="71"/>
  <c r="H410" i="71"/>
  <c r="O410" i="71"/>
  <c r="V410" i="71"/>
  <c r="P410" i="71"/>
  <c r="N410" i="71"/>
  <c r="M410" i="71"/>
  <c r="I410" i="71"/>
  <c r="F410" i="71"/>
  <c r="N171" i="105"/>
  <c r="L417" i="71"/>
  <c r="L412" i="71"/>
  <c r="Q410" i="71"/>
  <c r="N171" i="103"/>
  <c r="L379" i="71"/>
  <c r="N171" i="104"/>
  <c r="L398" i="71"/>
  <c r="J410" i="71"/>
  <c r="T410" i="71"/>
  <c r="Y120" i="105"/>
  <c r="D410" i="71"/>
  <c r="N171" i="93"/>
  <c r="L360" i="71"/>
  <c r="U410" i="71"/>
  <c r="S410" i="71"/>
  <c r="W334" i="71"/>
  <c r="K171" i="119"/>
  <c r="I322" i="71"/>
  <c r="R336" i="71"/>
  <c r="T171" i="120"/>
  <c r="R341" i="71"/>
  <c r="N171" i="118"/>
  <c r="L303" i="71"/>
  <c r="Q336" i="71"/>
  <c r="S171" i="120"/>
  <c r="Q341" i="71"/>
  <c r="M171" i="118"/>
  <c r="K303" i="71"/>
  <c r="F171" i="117"/>
  <c r="D284" i="71"/>
  <c r="T171" i="119"/>
  <c r="R322" i="71"/>
  <c r="N171" i="120"/>
  <c r="L341" i="71"/>
  <c r="L336" i="71"/>
  <c r="J171" i="118"/>
  <c r="H303" i="71"/>
  <c r="V336" i="71"/>
  <c r="X171" i="120"/>
  <c r="V341" i="71"/>
  <c r="G171" i="118"/>
  <c r="E303" i="71"/>
  <c r="U171" i="117"/>
  <c r="S284" i="71"/>
  <c r="K336" i="71"/>
  <c r="M171" i="120"/>
  <c r="K341" i="71"/>
  <c r="P171" i="118"/>
  <c r="N303" i="71"/>
  <c r="J171" i="119"/>
  <c r="H322" i="71"/>
  <c r="H171" i="118"/>
  <c r="F303" i="71"/>
  <c r="W171" i="118"/>
  <c r="U303" i="71"/>
  <c r="P171" i="119"/>
  <c r="N322" i="71"/>
  <c r="H336" i="71"/>
  <c r="J171" i="120"/>
  <c r="H341" i="71"/>
  <c r="X171" i="119"/>
  <c r="V322" i="71"/>
  <c r="G171" i="119"/>
  <c r="E322" i="71"/>
  <c r="U171" i="119"/>
  <c r="S322" i="71"/>
  <c r="I171" i="119"/>
  <c r="G322" i="71"/>
  <c r="S171" i="119"/>
  <c r="Q322" i="71"/>
  <c r="Q171" i="119"/>
  <c r="O322" i="71"/>
  <c r="N336" i="71"/>
  <c r="P171" i="120"/>
  <c r="N341" i="71"/>
  <c r="F171" i="118"/>
  <c r="D303" i="71"/>
  <c r="F336" i="71"/>
  <c r="H171" i="120"/>
  <c r="F341" i="71"/>
  <c r="K171" i="118"/>
  <c r="I303" i="71"/>
  <c r="N171" i="119"/>
  <c r="L322" i="71"/>
  <c r="O171" i="118"/>
  <c r="M303" i="71"/>
  <c r="U336" i="71"/>
  <c r="W171" i="120"/>
  <c r="U341" i="71"/>
  <c r="K171" i="117"/>
  <c r="I284" i="71"/>
  <c r="R171" i="119"/>
  <c r="P322" i="71"/>
  <c r="T171" i="117"/>
  <c r="R284" i="71"/>
  <c r="L171" i="117"/>
  <c r="J284" i="71"/>
  <c r="N171" i="117"/>
  <c r="L284" i="71"/>
  <c r="V171" i="119"/>
  <c r="T322" i="71"/>
  <c r="U171" i="118"/>
  <c r="S303" i="71"/>
  <c r="I171" i="118"/>
  <c r="G303" i="71"/>
  <c r="Q171" i="118"/>
  <c r="O303" i="71"/>
  <c r="O171" i="119"/>
  <c r="M322" i="71"/>
  <c r="J336" i="71"/>
  <c r="L171" i="120"/>
  <c r="J341" i="71"/>
  <c r="V171" i="118"/>
  <c r="T303" i="71"/>
  <c r="G336" i="71"/>
  <c r="I171" i="120"/>
  <c r="G341" i="71"/>
  <c r="X171" i="118"/>
  <c r="V303" i="71"/>
  <c r="G171" i="117"/>
  <c r="E284" i="71"/>
  <c r="H171" i="117"/>
  <c r="F284" i="71"/>
  <c r="P336" i="71"/>
  <c r="R171" i="120"/>
  <c r="P341" i="71"/>
  <c r="L171" i="119"/>
  <c r="J322" i="71"/>
  <c r="T336" i="71"/>
  <c r="V171" i="120"/>
  <c r="T341" i="71"/>
  <c r="M171" i="117"/>
  <c r="K284" i="71"/>
  <c r="Q171" i="117"/>
  <c r="O284" i="71"/>
  <c r="F171" i="119"/>
  <c r="D322" i="71"/>
  <c r="O171" i="117"/>
  <c r="M284" i="71"/>
  <c r="I336" i="71"/>
  <c r="K171" i="120"/>
  <c r="I341" i="71"/>
  <c r="M171" i="119"/>
  <c r="K322" i="71"/>
  <c r="D336" i="71"/>
  <c r="F171" i="120"/>
  <c r="D341" i="71"/>
  <c r="H171" i="119"/>
  <c r="F322" i="71"/>
  <c r="W171" i="119"/>
  <c r="U322" i="71"/>
  <c r="R171" i="118"/>
  <c r="P303" i="71"/>
  <c r="M336" i="71"/>
  <c r="O171" i="120"/>
  <c r="M341" i="71"/>
  <c r="W171" i="117"/>
  <c r="U284" i="71"/>
  <c r="R171" i="117"/>
  <c r="P284" i="71"/>
  <c r="T171" i="118"/>
  <c r="R303" i="71"/>
  <c r="L171" i="118"/>
  <c r="J303" i="71"/>
  <c r="V171" i="117"/>
  <c r="T284" i="71"/>
  <c r="S336" i="71"/>
  <c r="U171" i="120"/>
  <c r="S341" i="71"/>
  <c r="I171" i="117"/>
  <c r="G284" i="71"/>
  <c r="S171" i="117"/>
  <c r="Q284" i="71"/>
  <c r="O336" i="71"/>
  <c r="Q171" i="120"/>
  <c r="O341" i="71"/>
  <c r="P171" i="117"/>
  <c r="N284" i="71"/>
  <c r="J171" i="117"/>
  <c r="H284" i="71"/>
  <c r="X171" i="117"/>
  <c r="V284" i="71"/>
  <c r="E336" i="71"/>
  <c r="G171" i="120"/>
  <c r="E341" i="71"/>
  <c r="S171" i="118"/>
  <c r="Q303" i="71"/>
  <c r="W410" i="71"/>
  <c r="S412" i="71"/>
  <c r="U171" i="105"/>
  <c r="S417" i="71"/>
  <c r="N172" i="93"/>
  <c r="G171" i="93"/>
  <c r="E360" i="71"/>
  <c r="L171" i="93"/>
  <c r="J360" i="71"/>
  <c r="U171" i="93"/>
  <c r="S360" i="71"/>
  <c r="N172" i="104"/>
  <c r="G171" i="103"/>
  <c r="E379" i="71"/>
  <c r="P171" i="93"/>
  <c r="N360" i="71"/>
  <c r="J171" i="93"/>
  <c r="H360" i="71"/>
  <c r="M171" i="103"/>
  <c r="K379" i="71"/>
  <c r="Q171" i="103"/>
  <c r="O379" i="71"/>
  <c r="U171" i="103"/>
  <c r="S379" i="71"/>
  <c r="P412" i="71"/>
  <c r="R171" i="105"/>
  <c r="P417" i="71"/>
  <c r="G171" i="104"/>
  <c r="E398" i="71"/>
  <c r="V171" i="103"/>
  <c r="T379" i="71"/>
  <c r="S171" i="104"/>
  <c r="Q398" i="71"/>
  <c r="P171" i="104"/>
  <c r="N398" i="71"/>
  <c r="U171" i="104"/>
  <c r="S398" i="71"/>
  <c r="H171" i="104"/>
  <c r="F398" i="71"/>
  <c r="F171" i="103"/>
  <c r="D379" i="71"/>
  <c r="O171" i="104"/>
  <c r="M398" i="71"/>
  <c r="R171" i="104"/>
  <c r="P398" i="71"/>
  <c r="D412" i="71"/>
  <c r="F171" i="105"/>
  <c r="D417" i="71"/>
  <c r="T412" i="71"/>
  <c r="V171" i="105"/>
  <c r="T417" i="71"/>
  <c r="V171" i="104"/>
  <c r="T398" i="71"/>
  <c r="Q412" i="71"/>
  <c r="S171" i="105"/>
  <c r="Q417" i="71"/>
  <c r="T171" i="93"/>
  <c r="R360" i="71"/>
  <c r="H171" i="103"/>
  <c r="F379" i="71"/>
  <c r="W171" i="93"/>
  <c r="U360" i="71"/>
  <c r="R171" i="103"/>
  <c r="P379" i="71"/>
  <c r="F171" i="104"/>
  <c r="D398" i="71"/>
  <c r="V412" i="71"/>
  <c r="X171" i="105"/>
  <c r="V417" i="71"/>
  <c r="M171" i="104"/>
  <c r="K398" i="71"/>
  <c r="O171" i="93"/>
  <c r="M360" i="71"/>
  <c r="X171" i="104"/>
  <c r="V398" i="71"/>
  <c r="J171" i="103"/>
  <c r="H379" i="71"/>
  <c r="I171" i="105"/>
  <c r="G417" i="71"/>
  <c r="G412" i="71"/>
  <c r="X171" i="93"/>
  <c r="V360" i="71"/>
  <c r="O171" i="103"/>
  <c r="M379" i="71"/>
  <c r="J412" i="71"/>
  <c r="L171" i="105"/>
  <c r="J417" i="71"/>
  <c r="Q171" i="93"/>
  <c r="O360" i="71"/>
  <c r="J171" i="104"/>
  <c r="H398" i="71"/>
  <c r="N172" i="103"/>
  <c r="Q171" i="104"/>
  <c r="O398" i="71"/>
  <c r="P171" i="103"/>
  <c r="N379" i="71"/>
  <c r="T171" i="103"/>
  <c r="R379" i="71"/>
  <c r="N172" i="105"/>
  <c r="N175" i="105"/>
  <c r="L419" i="71"/>
  <c r="I171" i="103"/>
  <c r="G379" i="71"/>
  <c r="M412" i="71"/>
  <c r="O171" i="105"/>
  <c r="M417" i="71"/>
  <c r="W171" i="104"/>
  <c r="U398" i="71"/>
  <c r="O412" i="71"/>
  <c r="Q171" i="105"/>
  <c r="O417" i="71"/>
  <c r="T171" i="104"/>
  <c r="R398" i="71"/>
  <c r="H412" i="71"/>
  <c r="J171" i="105"/>
  <c r="H417" i="71"/>
  <c r="K171" i="104"/>
  <c r="I398" i="71"/>
  <c r="K412" i="71"/>
  <c r="M171" i="105"/>
  <c r="K417" i="71"/>
  <c r="U412" i="71"/>
  <c r="W171" i="105"/>
  <c r="U417" i="71"/>
  <c r="I171" i="104"/>
  <c r="G398" i="71"/>
  <c r="K171" i="93"/>
  <c r="I360" i="71"/>
  <c r="M171" i="93"/>
  <c r="K360" i="71"/>
  <c r="R171" i="93"/>
  <c r="P360" i="71"/>
  <c r="V171" i="93"/>
  <c r="T360" i="71"/>
  <c r="F412" i="71"/>
  <c r="H171" i="105"/>
  <c r="F417" i="71"/>
  <c r="W171" i="103"/>
  <c r="U379" i="71"/>
  <c r="I171" i="93"/>
  <c r="G360" i="71"/>
  <c r="I412" i="71"/>
  <c r="K171" i="105"/>
  <c r="I417" i="71"/>
  <c r="N412" i="71"/>
  <c r="P171" i="105"/>
  <c r="N417" i="71"/>
  <c r="K171" i="103"/>
  <c r="I379" i="71"/>
  <c r="L171" i="103"/>
  <c r="J379" i="71"/>
  <c r="S171" i="93"/>
  <c r="Q360" i="71"/>
  <c r="X171" i="103"/>
  <c r="V379" i="71"/>
  <c r="E412" i="71"/>
  <c r="G171" i="105"/>
  <c r="E417" i="71"/>
  <c r="L171" i="104"/>
  <c r="J398" i="71"/>
  <c r="S171" i="103"/>
  <c r="Q379" i="71"/>
  <c r="R412" i="71"/>
  <c r="T171" i="105"/>
  <c r="R417" i="71"/>
  <c r="H171" i="93"/>
  <c r="F360" i="71"/>
  <c r="F171" i="93"/>
  <c r="D360" i="71"/>
  <c r="W417" i="71"/>
  <c r="W412" i="71"/>
  <c r="W398" i="71"/>
  <c r="W379" i="71"/>
  <c r="W360" i="71"/>
  <c r="W341" i="71"/>
  <c r="W322" i="71"/>
  <c r="W336" i="71"/>
  <c r="W303" i="71"/>
  <c r="W284" i="71"/>
  <c r="I172" i="117"/>
  <c r="V172" i="117"/>
  <c r="W172" i="117"/>
  <c r="H172" i="119"/>
  <c r="M172" i="117"/>
  <c r="I175" i="120"/>
  <c r="G343" i="71"/>
  <c r="I172" i="120"/>
  <c r="V172" i="118"/>
  <c r="W175" i="120"/>
  <c r="U343" i="71"/>
  <c r="W172" i="120"/>
  <c r="H175" i="120"/>
  <c r="F343" i="71"/>
  <c r="H172" i="120"/>
  <c r="Q172" i="119"/>
  <c r="W172" i="118"/>
  <c r="H172" i="118"/>
  <c r="S172" i="118"/>
  <c r="G172" i="120"/>
  <c r="G175" i="120"/>
  <c r="E343" i="71"/>
  <c r="P172" i="117"/>
  <c r="Q172" i="120"/>
  <c r="Q175" i="120"/>
  <c r="O343" i="71"/>
  <c r="U172" i="120"/>
  <c r="U175" i="120"/>
  <c r="S343" i="71"/>
  <c r="R172" i="117"/>
  <c r="F172" i="119"/>
  <c r="Q172" i="117"/>
  <c r="R172" i="120"/>
  <c r="R175" i="120"/>
  <c r="P343" i="71"/>
  <c r="X172" i="118"/>
  <c r="Q172" i="118"/>
  <c r="V172" i="119"/>
  <c r="N172" i="117"/>
  <c r="K172" i="117"/>
  <c r="K172" i="118"/>
  <c r="U172" i="119"/>
  <c r="G172" i="119"/>
  <c r="P172" i="119"/>
  <c r="U172" i="117"/>
  <c r="S172" i="120"/>
  <c r="S175" i="120"/>
  <c r="Q343" i="71"/>
  <c r="N172" i="118"/>
  <c r="T172" i="118"/>
  <c r="R172" i="118"/>
  <c r="W172" i="119"/>
  <c r="O172" i="117"/>
  <c r="L172" i="119"/>
  <c r="G172" i="117"/>
  <c r="O172" i="119"/>
  <c r="T172" i="117"/>
  <c r="O172" i="118"/>
  <c r="N172" i="119"/>
  <c r="P175" i="120"/>
  <c r="N343" i="71"/>
  <c r="P172" i="120"/>
  <c r="I172" i="119"/>
  <c r="J172" i="120"/>
  <c r="J175" i="120"/>
  <c r="H343" i="71"/>
  <c r="P172" i="118"/>
  <c r="M175" i="120"/>
  <c r="K343" i="71"/>
  <c r="M172" i="120"/>
  <c r="J172" i="118"/>
  <c r="N175" i="120"/>
  <c r="L343" i="71"/>
  <c r="N172" i="120"/>
  <c r="F172" i="117"/>
  <c r="M172" i="118"/>
  <c r="K172" i="119"/>
  <c r="X172" i="117"/>
  <c r="J172" i="117"/>
  <c r="S172" i="117"/>
  <c r="L172" i="118"/>
  <c r="O175" i="120"/>
  <c r="M343" i="71"/>
  <c r="O172" i="120"/>
  <c r="F172" i="120"/>
  <c r="F175" i="120"/>
  <c r="M172" i="119"/>
  <c r="K172" i="120"/>
  <c r="K175" i="120"/>
  <c r="I343" i="71"/>
  <c r="V172" i="120"/>
  <c r="V175" i="120"/>
  <c r="T343" i="71"/>
  <c r="H172" i="117"/>
  <c r="L175" i="120"/>
  <c r="J343" i="71"/>
  <c r="L172" i="120"/>
  <c r="I172" i="118"/>
  <c r="U172" i="118"/>
  <c r="L172" i="117"/>
  <c r="R172" i="119"/>
  <c r="F172" i="118"/>
  <c r="S172" i="119"/>
  <c r="X172" i="119"/>
  <c r="J172" i="119"/>
  <c r="G172" i="118"/>
  <c r="X175" i="120"/>
  <c r="V343" i="71"/>
  <c r="X172" i="120"/>
  <c r="T172" i="119"/>
  <c r="T172" i="120"/>
  <c r="T175" i="120"/>
  <c r="R343" i="71"/>
  <c r="S172" i="93"/>
  <c r="K172" i="105"/>
  <c r="K175" i="105"/>
  <c r="I419" i="71"/>
  <c r="V172" i="93"/>
  <c r="I172" i="104"/>
  <c r="O175" i="105"/>
  <c r="M419" i="71"/>
  <c r="O172" i="105"/>
  <c r="T172" i="103"/>
  <c r="X172" i="105"/>
  <c r="X175" i="105"/>
  <c r="V419" i="71"/>
  <c r="H172" i="93"/>
  <c r="S172" i="103"/>
  <c r="K172" i="103"/>
  <c r="W172" i="104"/>
  <c r="L172" i="105"/>
  <c r="L175" i="105"/>
  <c r="J419" i="71"/>
  <c r="I175" i="105"/>
  <c r="G419" i="71"/>
  <c r="I172" i="105"/>
  <c r="J172" i="103"/>
  <c r="W172" i="93"/>
  <c r="T172" i="93"/>
  <c r="F172" i="103"/>
  <c r="P172" i="104"/>
  <c r="V172" i="103"/>
  <c r="R172" i="105"/>
  <c r="R175" i="105"/>
  <c r="P419" i="71"/>
  <c r="U172" i="103"/>
  <c r="J172" i="93"/>
  <c r="G172" i="105"/>
  <c r="G175" i="105"/>
  <c r="E419" i="71"/>
  <c r="X172" i="103"/>
  <c r="I172" i="93"/>
  <c r="R172" i="93"/>
  <c r="W175" i="105"/>
  <c r="U419" i="71"/>
  <c r="W172" i="105"/>
  <c r="M172" i="105"/>
  <c r="M175" i="105"/>
  <c r="K419" i="71"/>
  <c r="K172" i="104"/>
  <c r="T172" i="104"/>
  <c r="X172" i="93"/>
  <c r="O172" i="93"/>
  <c r="M172" i="104"/>
  <c r="R172" i="103"/>
  <c r="S172" i="105"/>
  <c r="S175" i="105"/>
  <c r="Q419" i="71"/>
  <c r="V172" i="104"/>
  <c r="G172" i="104"/>
  <c r="P172" i="93"/>
  <c r="G172" i="93"/>
  <c r="F172" i="93"/>
  <c r="L172" i="104"/>
  <c r="L172" i="103"/>
  <c r="W172" i="103"/>
  <c r="J172" i="105"/>
  <c r="J175" i="105"/>
  <c r="H419" i="71"/>
  <c r="P172" i="103"/>
  <c r="Q172" i="93"/>
  <c r="O172" i="103"/>
  <c r="X172" i="104"/>
  <c r="F172" i="104"/>
  <c r="R172" i="104"/>
  <c r="O172" i="104"/>
  <c r="Q172" i="103"/>
  <c r="M172" i="103"/>
  <c r="P172" i="105"/>
  <c r="P175" i="105"/>
  <c r="N419" i="71"/>
  <c r="H172" i="103"/>
  <c r="F172" i="105"/>
  <c r="F175" i="105"/>
  <c r="H172" i="104"/>
  <c r="U172" i="104"/>
  <c r="S172" i="104"/>
  <c r="G172" i="103"/>
  <c r="U172" i="93"/>
  <c r="L172" i="93"/>
  <c r="U172" i="105"/>
  <c r="U175" i="105"/>
  <c r="S419" i="71"/>
  <c r="K172" i="93"/>
  <c r="I172" i="103"/>
  <c r="J172" i="104"/>
  <c r="V172" i="105"/>
  <c r="V175" i="105"/>
  <c r="T419" i="71"/>
  <c r="T175" i="105"/>
  <c r="R419" i="71"/>
  <c r="T172" i="105"/>
  <c r="H172" i="105"/>
  <c r="H175" i="105"/>
  <c r="F419" i="71"/>
  <c r="M172" i="93"/>
  <c r="Q172" i="105"/>
  <c r="Q175" i="105"/>
  <c r="O419" i="71"/>
  <c r="Q172" i="104"/>
  <c r="V92" i="124"/>
  <c r="V99" i="124"/>
  <c r="V111" i="124"/>
  <c r="V161" i="124"/>
  <c r="W92" i="124"/>
  <c r="W99" i="124"/>
  <c r="W111" i="124"/>
  <c r="W161" i="124"/>
  <c r="O126" i="113"/>
  <c r="O136" i="113"/>
  <c r="O144" i="113"/>
  <c r="O152" i="113"/>
  <c r="B175" i="105"/>
  <c r="D419" i="71"/>
  <c r="W419" i="71"/>
  <c r="B176" i="105"/>
  <c r="B420" i="71"/>
  <c r="AA402" i="71"/>
  <c r="B176" i="104"/>
  <c r="B401" i="71"/>
  <c r="B175" i="104"/>
  <c r="AA383" i="71"/>
  <c r="B176" i="103"/>
  <c r="B382" i="71"/>
  <c r="B175" i="103"/>
  <c r="AA364" i="71"/>
  <c r="B176" i="93"/>
  <c r="B175" i="93"/>
  <c r="B175" i="120"/>
  <c r="D343" i="71"/>
  <c r="W343" i="71"/>
  <c r="B176" i="120"/>
  <c r="B344" i="71"/>
  <c r="B175" i="119"/>
  <c r="AA326" i="71"/>
  <c r="B176" i="119"/>
  <c r="B325" i="71"/>
  <c r="B175" i="118"/>
  <c r="AA307" i="71"/>
  <c r="B176" i="118"/>
  <c r="B306" i="71"/>
  <c r="B175" i="117"/>
  <c r="AA288" i="71"/>
  <c r="B176" i="117"/>
  <c r="B287" i="71"/>
  <c r="M50" i="71"/>
  <c r="O156" i="113"/>
  <c r="P126" i="113"/>
  <c r="P136" i="113"/>
  <c r="P144" i="113"/>
  <c r="P152" i="113"/>
  <c r="B363" i="71"/>
  <c r="N50" i="71"/>
  <c r="W50" i="71"/>
  <c r="P156" i="113"/>
  <c r="M51" i="71"/>
  <c r="O160" i="113"/>
  <c r="O170" i="113"/>
  <c r="M56" i="71"/>
  <c r="O174" i="113"/>
  <c r="O171" i="113"/>
  <c r="P170" i="113"/>
  <c r="N56" i="71"/>
  <c r="W56" i="71"/>
  <c r="N51" i="71"/>
  <c r="W51" i="71"/>
  <c r="P160" i="113"/>
  <c r="P174" i="113"/>
  <c r="N58" i="71"/>
  <c r="P171" i="113"/>
  <c r="B174" i="113"/>
  <c r="M58" i="71"/>
  <c r="B173" i="113"/>
  <c r="B175" i="113"/>
  <c r="B59" i="71"/>
  <c r="W58" i="71"/>
  <c r="A4" i="103"/>
  <c r="A4" i="116"/>
  <c r="A4" i="101"/>
  <c r="A4" i="97"/>
  <c r="A4" i="141"/>
  <c r="A4" i="110"/>
  <c r="A4" i="134"/>
  <c r="A4" i="142"/>
  <c r="A4" i="95"/>
  <c r="A4" i="14"/>
  <c r="A4" i="71"/>
  <c r="A4" i="132"/>
  <c r="A4" i="112"/>
  <c r="A4" i="102"/>
  <c r="A4" i="99"/>
  <c r="A4" i="128"/>
  <c r="A4" i="138"/>
  <c r="A4" i="105"/>
  <c r="A4" i="140"/>
  <c r="A4" i="73"/>
  <c r="A4" i="124"/>
  <c r="A4" i="144"/>
  <c r="A4" i="108"/>
  <c r="A4" i="93"/>
  <c r="A4" i="126"/>
  <c r="A4" i="117"/>
  <c r="A4" i="122"/>
  <c r="A4" i="13"/>
  <c r="A4" i="118"/>
  <c r="A4" i="129"/>
  <c r="A4" i="131"/>
  <c r="A4" i="98"/>
  <c r="A4" i="139"/>
  <c r="A4" i="109"/>
  <c r="A4" i="111"/>
  <c r="A4" i="143"/>
  <c r="A4" i="104"/>
  <c r="A4" i="136"/>
  <c r="A4" i="96"/>
  <c r="A4" i="135"/>
  <c r="A4" i="125"/>
  <c r="A4" i="133"/>
  <c r="A4" i="5"/>
  <c r="A4" i="120"/>
  <c r="A4" i="137"/>
  <c r="A4" i="94"/>
  <c r="A4" i="115"/>
  <c r="A4" i="114"/>
  <c r="A4" i="127"/>
  <c r="A4" i="130"/>
  <c r="A4" i="113"/>
  <c r="A4" i="123"/>
  <c r="A4" i="9"/>
  <c r="A4" i="119"/>
</calcChain>
</file>

<file path=xl/comments1.xml><?xml version="1.0" encoding="utf-8"?>
<comments xmlns="http://schemas.openxmlformats.org/spreadsheetml/2006/main">
  <authors>
    <author>Tom Crikelair</author>
  </authors>
  <commentList>
    <comment ref="C34" authorId="0" shapeId="0">
      <text>
        <r>
          <rPr>
            <b/>
            <sz val="9"/>
            <color indexed="81"/>
            <rFont val="Calibri"/>
            <family val="2"/>
          </rPr>
          <t>Tom Crikelair:</t>
        </r>
        <r>
          <rPr>
            <sz val="9"/>
            <color indexed="81"/>
            <rFont val="Calibri"/>
            <family val="2"/>
          </rPr>
          <t xml:space="preserve">
Roof estimated at $35K</t>
        </r>
      </text>
    </comment>
  </commentList>
</comments>
</file>

<file path=xl/sharedStrings.xml><?xml version="1.0" encoding="utf-8"?>
<sst xmlns="http://schemas.openxmlformats.org/spreadsheetml/2006/main" count="9166" uniqueCount="614">
  <si>
    <t>Security</t>
  </si>
  <si>
    <t>Version</t>
  </si>
  <si>
    <t>Miscellaneous</t>
  </si>
  <si>
    <t>Foreperson</t>
  </si>
  <si>
    <t>Maintenance</t>
  </si>
  <si>
    <t>Management/Operations</t>
  </si>
  <si>
    <t>Description</t>
  </si>
  <si>
    <t>-</t>
  </si>
  <si>
    <t>per person</t>
  </si>
  <si>
    <t>Total staff</t>
  </si>
  <si>
    <t>PT staff</t>
  </si>
  <si>
    <t>FT staff</t>
  </si>
  <si>
    <t>FT</t>
  </si>
  <si>
    <t>Labor</t>
  </si>
  <si>
    <t>Escalation</t>
  </si>
  <si>
    <t>PT</t>
  </si>
  <si>
    <t>Electricity</t>
  </si>
  <si>
    <t>per month</t>
  </si>
  <si>
    <t>Unit</t>
  </si>
  <si>
    <t>Secretarial</t>
  </si>
  <si>
    <t>Factor</t>
  </si>
  <si>
    <t>Overtime</t>
  </si>
  <si>
    <t>Quantity</t>
  </si>
  <si>
    <t>Quantiy</t>
  </si>
  <si>
    <t>MAJOR INPUTS</t>
  </si>
  <si>
    <t>Utilities</t>
  </si>
  <si>
    <t>Parking</t>
  </si>
  <si>
    <t>Supervisor</t>
  </si>
  <si>
    <t>Analysis</t>
  </si>
  <si>
    <t>Date</t>
  </si>
  <si>
    <t>CHANGE LOG</t>
  </si>
  <si>
    <t>per passenger</t>
  </si>
  <si>
    <t>IRR/ROI</t>
  </si>
  <si>
    <t>Stevedoring</t>
  </si>
  <si>
    <t>This run is based on projection =</t>
  </si>
  <si>
    <t>4.  This model should not be used by anyone without the express written authorization of Bermello, Ajamil &amp; Partners, Inc.</t>
  </si>
  <si>
    <t>2.  This model should not be used for the sale or refinancing of debt without detailed analysis at the time of sale</t>
  </si>
  <si>
    <t>Disclaimer</t>
  </si>
  <si>
    <t>Passengers per Call</t>
  </si>
  <si>
    <t>Customer Service Representative</t>
  </si>
  <si>
    <t>Administrative Assistant</t>
  </si>
  <si>
    <t>Equipment &amp; Supplies</t>
  </si>
  <si>
    <t>Insurance</t>
  </si>
  <si>
    <t>Telecommunications</t>
  </si>
  <si>
    <t>Training</t>
  </si>
  <si>
    <t>Employee Classification</t>
  </si>
  <si>
    <t>Annual Salary (2018)</t>
  </si>
  <si>
    <t>Hourly Rate (2018)</t>
  </si>
  <si>
    <t>Benefits and Overhead</t>
  </si>
  <si>
    <t>Total Labor Cost (2018)</t>
  </si>
  <si>
    <t>Unit Cost (2018)</t>
  </si>
  <si>
    <t>Benefits and Overhead Factor</t>
  </si>
  <si>
    <t>General Escalation Factor</t>
  </si>
  <si>
    <t>Gas</t>
  </si>
  <si>
    <t>IT</t>
  </si>
  <si>
    <t>Subtotal Utilities</t>
  </si>
  <si>
    <t>Security Manager</t>
  </si>
  <si>
    <t>Security Guard</t>
  </si>
  <si>
    <t>Overtime Factor</t>
  </si>
  <si>
    <t>Sub-Operator Daily Rate (2018</t>
  </si>
  <si>
    <t>Margin</t>
  </si>
  <si>
    <t>Total Security</t>
  </si>
  <si>
    <t>Electrician</t>
  </si>
  <si>
    <t>Laborer</t>
  </si>
  <si>
    <t>IT/Technical Staff</t>
  </si>
  <si>
    <t>Maintenance Manager</t>
  </si>
  <si>
    <t>Total Maintenance</t>
  </si>
  <si>
    <t>Specialty Maintenance Contract (CCTV, etc.)</t>
  </si>
  <si>
    <t>Non-Labor</t>
  </si>
  <si>
    <t>Custodian</t>
  </si>
  <si>
    <t>Custodial Supervisor</t>
  </si>
  <si>
    <t>Sub-Operator Expenses (Services Outsourced via Third Party Agreements)</t>
  </si>
  <si>
    <t>Parking Supervisor</t>
  </si>
  <si>
    <t>Parking Attendant</t>
  </si>
  <si>
    <t>Linehandler</t>
  </si>
  <si>
    <t>Porter Supervisor</t>
  </si>
  <si>
    <t>Pier Supervisor</t>
  </si>
  <si>
    <t>Stores Supervisor</t>
  </si>
  <si>
    <t>Subtotal Non-Labor</t>
  </si>
  <si>
    <t>Total Sub-Operator Expenses (Services Outsourced via Third Party Agreements)</t>
  </si>
  <si>
    <t>Administrative and FFE</t>
  </si>
  <si>
    <t>Tariffs</t>
  </si>
  <si>
    <t>Cost of Money (INT)</t>
  </si>
  <si>
    <t>Cruise</t>
  </si>
  <si>
    <t>CAPEX</t>
  </si>
  <si>
    <t>Third Party Operating Expenses</t>
  </si>
  <si>
    <t>CAPEX TOTAL</t>
  </si>
  <si>
    <t>Annual Working Hours</t>
  </si>
  <si>
    <t>Hours of Operations per Call for Security Staff</t>
  </si>
  <si>
    <t>Coaches per Call</t>
  </si>
  <si>
    <t>Trailers per Call</t>
  </si>
  <si>
    <t>Luggage per Passenger</t>
  </si>
  <si>
    <t>Porter Hours per Call</t>
  </si>
  <si>
    <t>Stores per Ship (tonnes)</t>
  </si>
  <si>
    <t>Passengers per Counter</t>
  </si>
  <si>
    <t>Passenger Spending</t>
  </si>
  <si>
    <t>Crew Spending</t>
  </si>
  <si>
    <t>Average Number of Crew (2017)</t>
  </si>
  <si>
    <t>Growth of Crew Size</t>
  </si>
  <si>
    <t>Indirect Multiplier</t>
  </si>
  <si>
    <t>Stevedoring Costs</t>
  </si>
  <si>
    <t>Provisioning Costs</t>
  </si>
  <si>
    <t>Benefits and Overhead on Labor</t>
  </si>
  <si>
    <t>Event Planner</t>
  </si>
  <si>
    <t>Stevedore/TO Profit</t>
  </si>
  <si>
    <t>Mark-up on Subs</t>
  </si>
  <si>
    <t>Practical Cruise Berth Occupancy</t>
  </si>
  <si>
    <t>Maximum Occupancy</t>
  </si>
  <si>
    <t>Growth Rate of Cruise Ships GRT</t>
  </si>
  <si>
    <t>Growth Rate of Cruise Ships LOA</t>
  </si>
  <si>
    <t>Annual Tariff Increases</t>
  </si>
  <si>
    <t>Annual Cost Escalation</t>
  </si>
  <si>
    <t>Term (Years)</t>
  </si>
  <si>
    <t>Financing Cost</t>
  </si>
  <si>
    <t>% Debt</t>
  </si>
  <si>
    <t>TOTAL OPERATING EXPENSES</t>
  </si>
  <si>
    <t>Net Operating Income</t>
  </si>
  <si>
    <t>Net Income</t>
  </si>
  <si>
    <t>Subtotal Operating Expenses</t>
  </si>
  <si>
    <t>Custodial Services</t>
  </si>
  <si>
    <t>Growth Factors</t>
  </si>
  <si>
    <t>Economic Impacts</t>
  </si>
  <si>
    <t>Operating Costs</t>
  </si>
  <si>
    <t>Commercial Services</t>
  </si>
  <si>
    <t>Potential New Fees</t>
  </si>
  <si>
    <t>Sinking Fund (Renewal &amp; Replacement)</t>
  </si>
  <si>
    <t>Capital Plan</t>
  </si>
  <si>
    <t>Debt Service</t>
  </si>
  <si>
    <t>Net Net Cash Flow after Debt Service</t>
  </si>
  <si>
    <t xml:space="preserve">Income NPV (20 years) </t>
  </si>
  <si>
    <t>Net Income (EBITDA) after Debt Service</t>
  </si>
  <si>
    <t>Direct Operating Expenses</t>
  </si>
  <si>
    <t>Subtotal Direct Operating Expenses</t>
  </si>
  <si>
    <t>Subtotal Third Party Operating Expenses</t>
  </si>
  <si>
    <t>Subtotol Capital Costs</t>
  </si>
  <si>
    <t>Operating Revenue</t>
  </si>
  <si>
    <t>Investment (cash)</t>
  </si>
  <si>
    <t>Net Cash Flow - No Sinking Fund</t>
  </si>
  <si>
    <t>Net Cash Flow</t>
  </si>
  <si>
    <t>per day</t>
  </si>
  <si>
    <t>Total Expenses</t>
  </si>
  <si>
    <t>Salaries (Fully Burdened)</t>
  </si>
  <si>
    <t>Annual Escalation (Revenue)</t>
  </si>
  <si>
    <t>Annual Escalation (Expenses)</t>
  </si>
  <si>
    <t>Existing Fees</t>
  </si>
  <si>
    <t>Subtotal Operating Revenue</t>
  </si>
  <si>
    <t>Non-Operating Revenue</t>
  </si>
  <si>
    <t>Subtotal Non-Operating Revenue</t>
  </si>
  <si>
    <t>Total Revenue</t>
  </si>
  <si>
    <t>Initial model (internal)</t>
  </si>
  <si>
    <t>Town of Bar Harbor</t>
  </si>
  <si>
    <t>Ferry Property Business Plan</t>
  </si>
  <si>
    <t>03.14.2018</t>
  </si>
  <si>
    <t>v1 03..14.2018</t>
  </si>
  <si>
    <t>3.  This model is solely intended to be used for the Town of Bar Harbor Ferry Property as a tool for calculating potential return on investment value</t>
  </si>
  <si>
    <t>Port Fee</t>
  </si>
  <si>
    <t>Potential New Marine Fees at Ferry Property</t>
  </si>
  <si>
    <t>OPL Wharfage</t>
  </si>
  <si>
    <t>Existing Bar Harbor Marine Fees (Cruise Tenders)</t>
  </si>
  <si>
    <t>per hour</t>
  </si>
  <si>
    <t>Ferry Passenger Wharfage</t>
  </si>
  <si>
    <t>Ferry Passenger Vehicle Wharfage</t>
  </si>
  <si>
    <t>Ferry Bus Wharfage</t>
  </si>
  <si>
    <t>International Ferry</t>
  </si>
  <si>
    <t>Local Ferry</t>
  </si>
  <si>
    <t>per vehicle</t>
  </si>
  <si>
    <t>Dock Rent (6 Months Only)</t>
  </si>
  <si>
    <t>Dock Rent (12 months)</t>
  </si>
  <si>
    <t>Cruise Tenders</t>
  </si>
  <si>
    <t>Recreational/Commercial Marina</t>
  </si>
  <si>
    <t>Water/Sewer</t>
  </si>
  <si>
    <t>Dockage B (Town Pier Only)</t>
  </si>
  <si>
    <t>Dockage A (Town Pier Only)</t>
  </si>
  <si>
    <t>per call</t>
  </si>
  <si>
    <t>Other</t>
  </si>
  <si>
    <t>Rental Rate (Per Use) for Events</t>
  </si>
  <si>
    <t>per sq ft per month</t>
  </si>
  <si>
    <t>Baseline Projection</t>
  </si>
  <si>
    <t>TARIFFS - Bar Harbor</t>
  </si>
  <si>
    <t>CRUISE PROJECTIONS - Bar Harbor</t>
  </si>
  <si>
    <t>Passengers</t>
  </si>
  <si>
    <t>Calls</t>
  </si>
  <si>
    <t>Total Passengers (Unconstrained)</t>
  </si>
  <si>
    <t>Total Calls (Unconstrained)</t>
  </si>
  <si>
    <t>Constrained Capture Rate (% Unconstrained)</t>
  </si>
  <si>
    <t>Foreign Arrivals</t>
  </si>
  <si>
    <t>% Foreign Arrivals</t>
  </si>
  <si>
    <t>Total Passengers (Constrained per Leadership Committee)</t>
  </si>
  <si>
    <t>Total Calls (Constrained per Leadership Committee)</t>
  </si>
  <si>
    <t>OPL</t>
  </si>
  <si>
    <t>Town Pier</t>
  </si>
  <si>
    <t>Ferry Property</t>
  </si>
  <si>
    <t>%</t>
  </si>
  <si>
    <t>Historical Splits</t>
  </si>
  <si>
    <t>Average Passengers per Call</t>
  </si>
  <si>
    <t>Carnival</t>
  </si>
  <si>
    <t>RCCL</t>
  </si>
  <si>
    <t>NCLH</t>
  </si>
  <si>
    <t>% Total</t>
  </si>
  <si>
    <t>Scenario 2 - Multiple Lines, Non-Exclusive Use, Foreign Arrivals Only (Unconstrained)</t>
  </si>
  <si>
    <t>FERRY PROJECTIONS - Bar Harbor</t>
  </si>
  <si>
    <t>Bay Ferries</t>
  </si>
  <si>
    <t>Cars</t>
  </si>
  <si>
    <t>Buses</t>
  </si>
  <si>
    <t xml:space="preserve">  </t>
  </si>
  <si>
    <t>Days in Use (Cruise)</t>
  </si>
  <si>
    <t>Average Passengers per Day (Cruise)</t>
  </si>
  <si>
    <t>Peak Passengers per Day (Cruise)</t>
  </si>
  <si>
    <t>Peak Passengers per Day (Total))</t>
  </si>
  <si>
    <t>Average Days Parked (Staff/Public)</t>
  </si>
  <si>
    <t>Event Days</t>
  </si>
  <si>
    <t>Motorcoach Operator Licenses</t>
  </si>
  <si>
    <t>Potential Additional (Non-Marine) Fees</t>
  </si>
  <si>
    <t>CBP Infastructure Fee (Ferry Property Only)</t>
  </si>
  <si>
    <t>Hourly</t>
  </si>
  <si>
    <t>Daily</t>
  </si>
  <si>
    <t>Motorcoach Access/Tour Operator Licenses</t>
  </si>
  <si>
    <t>Events</t>
  </si>
  <si>
    <t>N/A</t>
  </si>
  <si>
    <t>Days in Use (International Ferry)</t>
  </si>
  <si>
    <t>Cruise/International Ferry Overlap Factor (%)</t>
  </si>
  <si>
    <t>Average Passengers per Day (International Ferry)</t>
  </si>
  <si>
    <t>Peak Passengers per Day (International Ferry)</t>
  </si>
  <si>
    <t>Average Vehicles per Day (International Ferry)</t>
  </si>
  <si>
    <t>Average Days Parked (International Ferry)</t>
  </si>
  <si>
    <t>Average Days Parked (Local Ferry)</t>
  </si>
  <si>
    <t>Days in Use (Local Ferry)</t>
  </si>
  <si>
    <t>-----</t>
  </si>
  <si>
    <t>TBD</t>
  </si>
  <si>
    <t>Storage/Laydown Area</t>
  </si>
  <si>
    <t xml:space="preserve">Power (Electricity) </t>
  </si>
  <si>
    <t>per kWh</t>
  </si>
  <si>
    <t>per cu ft</t>
  </si>
  <si>
    <t>Scenario 1 - Single Line (RCCL), Exclusive Use, Tender Only (Unconstrained)</t>
  </si>
  <si>
    <t>MARINA PROJECTIONS - Bar Harbor</t>
  </si>
  <si>
    <t>Concepts B/C Scenarios - Ferry Property Only</t>
  </si>
  <si>
    <t>Concept C</t>
  </si>
  <si>
    <t>Total Slips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</si>
  <si>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</si>
  <si>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</si>
  <si>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</si>
  <si>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</si>
  <si>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</si>
  <si>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</si>
  <si>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</si>
  <si>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</si>
  <si>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</si>
  <si>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</si>
  <si>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</si>
  <si>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</si>
  <si>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AVERAGE</t>
  </si>
  <si>
    <t>Total Linear Feet (Capacity)</t>
  </si>
  <si>
    <t>Transient Occupancy Assumptions by Month</t>
  </si>
  <si>
    <t>Seasonal Linear Feet (Capacity)</t>
  </si>
  <si>
    <t>Transient Linear Feet (Capacity)</t>
  </si>
  <si>
    <t>Transient "Feet Days" (Capacity)</t>
  </si>
  <si>
    <t>Transient Ocupancy (%)</t>
  </si>
  <si>
    <t>Transient Occupancy ("Feet Days")</t>
  </si>
  <si>
    <t>04.16.2018</t>
  </si>
  <si>
    <t>v2 04.16.2018</t>
  </si>
  <si>
    <t>PARKING PROJECTIONS - Bar Harbor</t>
  </si>
  <si>
    <t>Total Spaces</t>
  </si>
  <si>
    <t>Municipal Spaces</t>
  </si>
  <si>
    <t>Marine Use Spaces</t>
  </si>
  <si>
    <t>Marine Use Parking Days</t>
  </si>
  <si>
    <t>Marine Use Occupancy (%)</t>
  </si>
  <si>
    <t>Marine Use Occupancy (Parking Days)</t>
  </si>
  <si>
    <t>Municipal Use Parking Days</t>
  </si>
  <si>
    <t>Municipal Parking Occupancy Assumptions by Month</t>
  </si>
  <si>
    <t>Seasonal Occupancy Assumptions by Month</t>
  </si>
  <si>
    <t>OVERALL AVERAGE</t>
  </si>
  <si>
    <t>Municipal Use Occupancy (%)</t>
  </si>
  <si>
    <t>Municipal Use Occupancy (Parking Days)</t>
  </si>
  <si>
    <t>Total "Feet Days"</t>
  </si>
  <si>
    <t>Total Parking Days</t>
  </si>
  <si>
    <t>Seasonal Ocupancy (%)</t>
  </si>
  <si>
    <t>Seasonal Occupancy ("Feet Days")</t>
  </si>
  <si>
    <t>Seasonal "Feet Days" (Capacity)</t>
  </si>
  <si>
    <t>per slip foot per 24 hours</t>
  </si>
  <si>
    <t>Transient Slip Rent</t>
  </si>
  <si>
    <t>Seasonal Slip Rent</t>
  </si>
  <si>
    <t>per slip foot per season</t>
  </si>
  <si>
    <t>cost recovery assumed</t>
  </si>
  <si>
    <t>Commerical Rent (Seasonal Kiosk(s)/Vendor(s))</t>
  </si>
  <si>
    <t>per year per operator</t>
  </si>
  <si>
    <t>per event day</t>
  </si>
  <si>
    <t>see Tariff</t>
  </si>
  <si>
    <t>Other Marine Parking Occupancy Assumptions</t>
  </si>
  <si>
    <t>International Ferry Parking Occupancy Assumptions</t>
  </si>
  <si>
    <t>Overall Average Days Parked</t>
  </si>
  <si>
    <t xml:space="preserve">Commercial Square Feet </t>
  </si>
  <si>
    <t xml:space="preserve">Total Slips </t>
  </si>
  <si>
    <t>MUNICIPAL PARKING REVENUE (ALLOCATED TO DEBT SERVICE)</t>
  </si>
  <si>
    <t>Transient Linear "Feet Days"</t>
  </si>
  <si>
    <t>Seasonal Linear Feet</t>
  </si>
  <si>
    <t>Non-Operating Expenses</t>
  </si>
  <si>
    <t>Subtotal Non-Operating Expenses</t>
  </si>
  <si>
    <t>Town Center Parking Revenue Allocation</t>
  </si>
  <si>
    <t>Cost per Passenger (Cruise &amp; International Ferry Combined)</t>
  </si>
  <si>
    <t>Cost per Passenger (Cruise Only)</t>
  </si>
  <si>
    <t>Revenue  per Passenger (Cruise &amp; International Ferry Combined)</t>
  </si>
  <si>
    <t>Revenue per Passenger (Cruise Only)</t>
  </si>
  <si>
    <t>Shuttle Buses</t>
  </si>
  <si>
    <t>Total Direct Expenses</t>
  </si>
  <si>
    <t>Total Hours</t>
  </si>
  <si>
    <t>Parking Hours</t>
  </si>
  <si>
    <t>Cruise Ship Hours</t>
  </si>
  <si>
    <t>Cost per Hour (Operating)</t>
  </si>
  <si>
    <t>Acquisition Cost (3 Units, Amortized over 10 Years)</t>
  </si>
  <si>
    <t>Acquisition Cost (6 Units, Amortized over 10 Years)</t>
  </si>
  <si>
    <t>Total Cost</t>
  </si>
  <si>
    <t>SHUTTLE PROJECTIONS - Bar Harbor</t>
  </si>
  <si>
    <t>Parking Shuttle Hours</t>
  </si>
  <si>
    <t>Cruise Shuttle Hours</t>
  </si>
  <si>
    <t>Total Operating Cost</t>
  </si>
  <si>
    <t>Debt Service (Shuttles)</t>
  </si>
  <si>
    <t>Debt Service (Property Acquisition)</t>
  </si>
  <si>
    <t>Parking hours per day</t>
  </si>
  <si>
    <t>Cruise ship hours per day</t>
  </si>
  <si>
    <t>Total daily bus hours</t>
  </si>
  <si>
    <t>Spring - no ship</t>
  </si>
  <si>
    <t>2 buses 7 am to 8 pm, one bus 8 pm to midnight</t>
  </si>
  <si>
    <t>Summer - no ship</t>
  </si>
  <si>
    <t>Fall - no ship</t>
  </si>
  <si>
    <t>Spring - one ship</t>
  </si>
  <si>
    <t>3 buses 7 am to 5 pm, 2 buses 5 pm to 8 pm, one bus 8 pm to midnight</t>
  </si>
  <si>
    <t>Summer - one ship</t>
  </si>
  <si>
    <t>Fall - one ship</t>
  </si>
  <si>
    <t>Summer - two ships</t>
  </si>
  <si>
    <t>5 buses 7:00 am to 11:00 am, 3 buses 11 am to 5 pm, 2 buses 5 pm to 8 pm, one bus 8 pm to midnight</t>
  </si>
  <si>
    <t>Fall - two ships</t>
  </si>
  <si>
    <t>Seats per bus</t>
  </si>
  <si>
    <t>Round trips per hour</t>
  </si>
  <si>
    <t>Seats
 per hour</t>
  </si>
  <si>
    <t>Seats per quarter hour</t>
  </si>
  <si>
    <t>Headway in minutes</t>
  </si>
  <si>
    <t>PROJECTED ONE-WAY RIDERSHIP</t>
  </si>
  <si>
    <t>Daily parking riders</t>
  </si>
  <si>
    <t>Daily cruise riders</t>
  </si>
  <si>
    <t>Total daily riders</t>
  </si>
  <si>
    <t>SUTTLE SERVICE LEVEL ASSUMPTIONS (per Tom Crikelair)</t>
  </si>
  <si>
    <t>BUS USE AND CAPACITY ASSUMPTIONS (per Tom Crikelair)</t>
  </si>
  <si>
    <t>OPERATING EXPENSES + CAPEX - Bar Harbor</t>
  </si>
  <si>
    <t>CASH FLOWS - Bar Harbor</t>
  </si>
  <si>
    <t>SUMMARY - Bar Harbor</t>
  </si>
  <si>
    <t>Scenario 3 - Percent of 2018 Business - Carnival</t>
  </si>
  <si>
    <t>Scenario 4 - Percent of 2018 Business - RCCL</t>
  </si>
  <si>
    <t>Scenario 5 - Percent of 2018 Business - NCLH</t>
  </si>
  <si>
    <t>Scenario 6 - All</t>
  </si>
  <si>
    <t>Concept A1</t>
  </si>
  <si>
    <t>Concept A2</t>
  </si>
  <si>
    <t>Concept B3</t>
  </si>
  <si>
    <t>Concept B1</t>
  </si>
  <si>
    <t>Concept B2</t>
  </si>
  <si>
    <t>Concept C2</t>
  </si>
  <si>
    <t>Concept C1</t>
  </si>
  <si>
    <t xml:space="preserve">CONCEPT </t>
  </si>
  <si>
    <t>TOTAL PARKING COUNT</t>
  </si>
  <si>
    <t>MARINA BOATS</t>
  </si>
  <si>
    <t>MARINA PARKING (1/3)</t>
  </si>
  <si>
    <t>SUPPORT BUILDING (SF)</t>
  </si>
  <si>
    <t>PARKING (1/300sf)</t>
  </si>
  <si>
    <t>BOAT RAMP</t>
  </si>
  <si>
    <t>CITY PARKING</t>
  </si>
  <si>
    <t>Slip Length</t>
  </si>
  <si>
    <t>Slips</t>
  </si>
  <si>
    <t>45'</t>
  </si>
  <si>
    <t>55'</t>
  </si>
  <si>
    <t>65'</t>
  </si>
  <si>
    <t>80'</t>
  </si>
  <si>
    <t>Sum</t>
  </si>
  <si>
    <t>A1</t>
  </si>
  <si>
    <t>A2</t>
  </si>
  <si>
    <t>B1</t>
  </si>
  <si>
    <t>B2</t>
  </si>
  <si>
    <t>B3</t>
  </si>
  <si>
    <t>C1</t>
  </si>
  <si>
    <t>C2</t>
  </si>
  <si>
    <t>INTERNATIONAL FERRY</t>
  </si>
  <si>
    <t>Marine Use Parking</t>
  </si>
  <si>
    <t>Other Uses/Funds</t>
  </si>
  <si>
    <t>This run is based on CRUISE projection =</t>
  </si>
  <si>
    <t>Cruise Days</t>
  </si>
  <si>
    <t>Concept B3 - 40%</t>
  </si>
  <si>
    <t>Concept B3 - 34%</t>
  </si>
  <si>
    <t>Concept B3 - 20%</t>
  </si>
  <si>
    <t>Concept B3 - 100%</t>
  </si>
  <si>
    <t>Concept C2 - 40%</t>
  </si>
  <si>
    <t>Concept C2 - 34%</t>
  </si>
  <si>
    <t>Concept C2 - 20%</t>
  </si>
  <si>
    <t>Concept C2 - 100%</t>
  </si>
  <si>
    <t>Concept B1 - 40%</t>
  </si>
  <si>
    <t>Concept B1 - 34%</t>
  </si>
  <si>
    <t>Concept B1 - 20%</t>
  </si>
  <si>
    <t>Concept B1 - 100%</t>
  </si>
  <si>
    <t>Concept B2 - 40%</t>
  </si>
  <si>
    <t>Concept B2 - 34%</t>
  </si>
  <si>
    <t>Concept B2 - 20%</t>
  </si>
  <si>
    <t>Concept B2 - 100%</t>
  </si>
  <si>
    <t>Concept C1 - 100%</t>
  </si>
  <si>
    <t>Concept C1 - 20%</t>
  </si>
  <si>
    <t>Concept C1 - 34%</t>
  </si>
  <si>
    <t>Concept C1 - 40%</t>
  </si>
  <si>
    <t>Concept A</t>
  </si>
  <si>
    <t>IRR</t>
  </si>
  <si>
    <t>04.24.2018</t>
  </si>
  <si>
    <t>v3 04.24.2018</t>
  </si>
  <si>
    <t>Added marina, parking and shuttle forecasts and built revenue scenarios for Concepts A, B and C</t>
  </si>
  <si>
    <t xml:space="preserve">1.   This model should not be used for annual budgeting </t>
  </si>
  <si>
    <t>Subtotal Administrative and FFE</t>
  </si>
  <si>
    <t>Subtotal Parking</t>
  </si>
  <si>
    <t>FT Staff</t>
  </si>
  <si>
    <t>PT Staff</t>
  </si>
  <si>
    <t>Total Staff</t>
  </si>
  <si>
    <t>Subtotal Security Labor</t>
  </si>
  <si>
    <t>Subtotal Maintenance Labor</t>
  </si>
  <si>
    <t>Subtotal Labor</t>
  </si>
  <si>
    <t>Parking Manager</t>
  </si>
  <si>
    <t>Property Manager</t>
  </si>
  <si>
    <t>Plumber</t>
  </si>
  <si>
    <t>Days in Use (Marina)</t>
  </si>
  <si>
    <t xml:space="preserve">Days in Use (Marina) </t>
  </si>
  <si>
    <t>Dock Hand</t>
  </si>
  <si>
    <t>Equipment, Parts &amp; Supplies</t>
  </si>
  <si>
    <t>Signage &amp; A/V</t>
  </si>
  <si>
    <t>Water &amp; Sewer</t>
  </si>
  <si>
    <t>Parking Equipment &amp; Supplies</t>
  </si>
  <si>
    <t>Concept B</t>
  </si>
  <si>
    <t>04.25.2018</t>
  </si>
  <si>
    <t>Capital costs added</t>
  </si>
  <si>
    <t>Operating costs added</t>
  </si>
  <si>
    <t>v4 04.25.2018</t>
  </si>
  <si>
    <t>BFL Investment</t>
  </si>
  <si>
    <t>Cruise Line Investment</t>
  </si>
  <si>
    <t>Grants/Other Investment</t>
  </si>
  <si>
    <t>TARIFFS - CCNE 2018</t>
  </si>
  <si>
    <t>04.26.2018</t>
  </si>
  <si>
    <t>Increased tariffs and added 20-year maintenance costs</t>
  </si>
  <si>
    <t>v5 04.26.2018</t>
  </si>
  <si>
    <t>Town Wharfage (Exclusive Use, Ferry Property Only)</t>
  </si>
  <si>
    <t>Town Wharfage (Non-Exclusive Use, Ferry Property Only)</t>
  </si>
  <si>
    <t xml:space="preserve">Currency Convertor USD$1 = </t>
  </si>
  <si>
    <t xml:space="preserve">Currency Convertor CAD$1 = </t>
  </si>
  <si>
    <t xml:space="preserve">Average Vessel Size </t>
  </si>
  <si>
    <t>Cruise Passenger Growth After 2019</t>
  </si>
  <si>
    <t>Growth Rate of Cruise Ships after 2019</t>
  </si>
  <si>
    <t>Cost Factors</t>
  </si>
  <si>
    <t>Potential New Fees at Ferry Property</t>
  </si>
  <si>
    <t>Hours of Operations per Call of Maintenance Staff</t>
  </si>
  <si>
    <t>Hours of Operations per Call for Management/Operations Staff</t>
  </si>
  <si>
    <t>Hours Ship in Port per Call</t>
  </si>
  <si>
    <t>Site Demolition</t>
  </si>
  <si>
    <t>Site Development/Preparation</t>
  </si>
  <si>
    <t>Total</t>
  </si>
  <si>
    <t>Rate</t>
  </si>
  <si>
    <t>Annual Cost (20 years)</t>
  </si>
  <si>
    <t xml:space="preserve">     Site Maintenance</t>
  </si>
  <si>
    <t>Infrastructure Fee</t>
  </si>
  <si>
    <t>Debt Service (Site Demolition &amp; DevelopmentPreparation)</t>
  </si>
  <si>
    <t>04.27.2018</t>
  </si>
  <si>
    <t>Modified cruis fee structure per project team request</t>
  </si>
  <si>
    <t>v6 04.27.2018</t>
  </si>
  <si>
    <t>CES Estimates</t>
  </si>
  <si>
    <t>PHASE 1</t>
  </si>
  <si>
    <t>PHASE 2</t>
  </si>
  <si>
    <t>PHASE 3</t>
  </si>
  <si>
    <t>TOTAL</t>
  </si>
  <si>
    <t>Marina plus tour bus staging</t>
  </si>
  <si>
    <t>Add Nova Scotia ferry</t>
  </si>
  <si>
    <t>Add parking deck</t>
  </si>
  <si>
    <t>Combined
 total</t>
  </si>
  <si>
    <t>Land purchase</t>
  </si>
  <si>
    <t>Demolition</t>
  </si>
  <si>
    <t>Public boat ramp</t>
  </si>
  <si>
    <t>Docks, ramps, floats</t>
  </si>
  <si>
    <t>Awnings, lights, signage</t>
  </si>
  <si>
    <t>Marina building</t>
  </si>
  <si>
    <t>Breakwater</t>
  </si>
  <si>
    <t>Fuel sales infrastructure</t>
  </si>
  <si>
    <t>Information building renovations</t>
  </si>
  <si>
    <t>Landscaping</t>
  </si>
  <si>
    <t>Driveways and parking lot paving</t>
  </si>
  <si>
    <t>Tour bus staging area</t>
  </si>
  <si>
    <t>Tram staging area</t>
  </si>
  <si>
    <t>Tram fleet</t>
  </si>
  <si>
    <t>Parking deck</t>
  </si>
  <si>
    <t>Infrastructure for international ferry</t>
  </si>
  <si>
    <t>50% grant for boat ramp</t>
  </si>
  <si>
    <t>Grant for breakwater construction</t>
  </si>
  <si>
    <t>Philanthropy</t>
  </si>
  <si>
    <t>Bonded expenditures</t>
  </si>
  <si>
    <t>Annual financing cost, 30 years @ 3.5%</t>
  </si>
  <si>
    <t>Notes</t>
  </si>
  <si>
    <t>Included in "Landscaping" costs</t>
  </si>
  <si>
    <t>Included in "Driveways &amp; parking lot paving" costs</t>
  </si>
  <si>
    <t>Driveways &amp; parking lot paving</t>
  </si>
  <si>
    <t>Parking deck not included</t>
  </si>
  <si>
    <t>B&amp;A Cost Estimates</t>
  </si>
  <si>
    <t>CAPITAL</t>
  </si>
  <si>
    <t>ANNUAL O&amp;M EXPENSES</t>
  </si>
  <si>
    <t>B&amp;A Revenue Estimates</t>
  </si>
  <si>
    <t>Dock and float for recreational boaters</t>
  </si>
  <si>
    <t>Marina: commercial users</t>
  </si>
  <si>
    <t>Marina: local ferries</t>
  </si>
  <si>
    <t>Marina: net fuel sales</t>
  </si>
  <si>
    <t>International or Portland ferry</t>
  </si>
  <si>
    <t>Information building rent</t>
  </si>
  <si>
    <t>Resident dock &amp; mooring permits</t>
  </si>
  <si>
    <t>Parking fund: tram fees</t>
  </si>
  <si>
    <t>Cruise ship fund: landing fee</t>
  </si>
  <si>
    <t>Cruise ship fund: transportation fee</t>
  </si>
  <si>
    <t>Cruise ship fund: current revenues</t>
  </si>
  <si>
    <t>Bus tours: staging fees</t>
  </si>
  <si>
    <t>Includes on-site parking revenue @ $8/day/space</t>
  </si>
  <si>
    <t xml:space="preserve">Subtotal O&amp;M Expenses </t>
  </si>
  <si>
    <t>Subtotal Capital Expenses</t>
  </si>
  <si>
    <t>CAPITAL GRANTS</t>
  </si>
  <si>
    <t>Subtotal Capital Grants</t>
  </si>
  <si>
    <t>Subtotal Operating Revenues</t>
  </si>
  <si>
    <t xml:space="preserve">Personnel </t>
  </si>
  <si>
    <t>Non-Personnel (Equipment, Supplies, Security, etc.)</t>
  </si>
  <si>
    <t>Construction contingency</t>
  </si>
  <si>
    <t>Demolition only</t>
  </si>
  <si>
    <t>Construction only</t>
  </si>
  <si>
    <t>CAPITAL EXPENSES</t>
  </si>
  <si>
    <t>ANNUAL OPERATING REVENUES</t>
  </si>
  <si>
    <t>Marine Fueling</t>
  </si>
  <si>
    <t>per slip per year</t>
  </si>
  <si>
    <t xml:space="preserve">Net Income (after Debt Service) </t>
  </si>
  <si>
    <t>05.01.2018</t>
  </si>
  <si>
    <t>Added marine fueling revenue, LC comparison and eliminated marina phasing</t>
  </si>
  <si>
    <t>v7 05.01.2018</t>
  </si>
  <si>
    <t>per season</t>
  </si>
  <si>
    <t>Renamed "Infrastucture Fee"</t>
  </si>
  <si>
    <t>Check</t>
  </si>
  <si>
    <t>Events/Commercial</t>
  </si>
  <si>
    <t>Under "Events/Commercial"</t>
  </si>
  <si>
    <t>Included in "Marina building" costs</t>
  </si>
  <si>
    <t>International Ferry docking fees</t>
  </si>
  <si>
    <t>International Ferry capital contribution</t>
  </si>
  <si>
    <t>Concession Sales</t>
  </si>
  <si>
    <t>Concession Sales (5% of 2021)</t>
  </si>
  <si>
    <t>Amenity</t>
  </si>
  <si>
    <t>Concept B2 (20%)</t>
  </si>
  <si>
    <t>Concept B2 (34%)</t>
  </si>
  <si>
    <t>Concept B2 (40%)</t>
  </si>
  <si>
    <t>Concept B3 (20%)</t>
  </si>
  <si>
    <t>Concept B3 (34%)</t>
  </si>
  <si>
    <t>Concept B3 (40%)</t>
  </si>
  <si>
    <t>Concept C1 (20%)</t>
  </si>
  <si>
    <t>Concept C1 (34%)</t>
  </si>
  <si>
    <t>Concept C1 (40%)</t>
  </si>
  <si>
    <t>Concept C2 (20%)</t>
  </si>
  <si>
    <t>Concept C2 (34%)</t>
  </si>
  <si>
    <t>Concept C2 (40%)</t>
  </si>
  <si>
    <t>Marina slips</t>
  </si>
  <si>
    <t>Seasonal local user</t>
  </si>
  <si>
    <t>Transient</t>
  </si>
  <si>
    <t xml:space="preserve">Parking spaces </t>
  </si>
  <si>
    <t>Marine use</t>
  </si>
  <si>
    <t>Municipal/public</t>
  </si>
  <si>
    <t>Municipal/public flex</t>
  </si>
  <si>
    <t>TOTAL (municipal/public)</t>
  </si>
  <si>
    <t>Financial performance</t>
  </si>
  <si>
    <t>(20-year)</t>
  </si>
  <si>
    <t>Cruise % total revenue</t>
  </si>
  <si>
    <t>Net operating income</t>
  </si>
  <si>
    <t>Capital (investment + debt)</t>
  </si>
  <si>
    <t>EBITDA ($1.8m parking)</t>
  </si>
  <si>
    <t>EBITDA ($5.4m parking)</t>
  </si>
  <si>
    <t>05.04.2018</t>
  </si>
  <si>
    <t>Added comparison charts for capital</t>
  </si>
  <si>
    <t>v8 05.04.2018</t>
  </si>
  <si>
    <t>Financing costs</t>
  </si>
  <si>
    <t>Parking Shuttle Acquisition</t>
  </si>
  <si>
    <t>Design/Engineering</t>
  </si>
  <si>
    <t>Debt Service (Site Demolition, Design, Development/Preparation &amp; Shuttles)</t>
  </si>
  <si>
    <t>Assumes 85% Federal cost share</t>
  </si>
  <si>
    <t>Utilities (water, sewer, etc.)</t>
  </si>
  <si>
    <t>Design Contingency</t>
  </si>
  <si>
    <t>Design only</t>
  </si>
  <si>
    <t>85% FTA funding for trams (two rounds over 20 years)</t>
  </si>
  <si>
    <t>Tram fleet (15% share)</t>
  </si>
  <si>
    <t>Annual financing cost, 20 years @ 3.5%</t>
  </si>
  <si>
    <t>Advisory Committee Revenue Estimates</t>
  </si>
  <si>
    <t>Advisory Committee</t>
  </si>
  <si>
    <t>Advisory Committee Cost Estimates</t>
  </si>
  <si>
    <t>Design/Insurance/permits/contingency</t>
  </si>
  <si>
    <t>Demolition insurance/permits/contingency</t>
  </si>
  <si>
    <t>Construction insurance/permits/mobilization</t>
  </si>
  <si>
    <t>Advisory Committee Estimates</t>
  </si>
  <si>
    <t>B&amp;A Estimates</t>
  </si>
  <si>
    <t>Capital Credit</t>
  </si>
  <si>
    <t>N/A (International Ferry operator to assume)</t>
  </si>
  <si>
    <t> Concept A1</t>
  </si>
  <si>
    <t>Δ</t>
  </si>
  <si>
    <t xml:space="preserve"> Net Income (EBITDA) after Debt Service </t>
  </si>
  <si>
    <t> Concept B2 (20%)</t>
  </si>
  <si>
    <t>$   -</t>
  </si>
  <si>
    <t> Concept B3 (20%)</t>
  </si>
  <si>
    <t>Concepts A1/A2</t>
  </si>
  <si>
    <t> Concept C1 (20%)</t>
  </si>
  <si>
    <t>per PAX (applicable to 100% of cruise passengers)</t>
  </si>
  <si>
    <t>per PAX (applicable only to cruise passengers of vessels tendering to the Ferry Property)</t>
  </si>
  <si>
    <t> Concept C2 (20%)</t>
  </si>
  <si>
    <t>05.18.2018</t>
  </si>
  <si>
    <t>v11 05.18.2018</t>
  </si>
  <si>
    <t>Added demolition recycling &amp; reuse benefits</t>
  </si>
  <si>
    <t>Demolition Recycling/Reuse Benefits</t>
  </si>
  <si>
    <t>$ per Year (2020)</t>
  </si>
  <si>
    <t>Operational Factors</t>
  </si>
  <si>
    <t>05.23.2018</t>
  </si>
  <si>
    <t>Final QA/QC &amp; corrected a couple of minor errors in the Concept A2, B3, and C1 OPEX tabs</t>
  </si>
  <si>
    <t>v FINAL 05.23.2018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</si>
</sst>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R$-416]\ #,##0"/>
    <numFmt numFmtId="166" formatCode="&quot;$&quot;#,##0"/>
    <numFmt numFmtId="167" formatCode="0.0%"/>
    <numFmt numFmtId="168" formatCode="&quot;$&quot;#,##0.00"/>
    <numFmt numFmtId="169" formatCode="[$HK$-C04]#,##0"/>
    <numFmt numFmtId="170" formatCode="[$$-4809]#,##0.00"/>
    <numFmt numFmtId="171" formatCode="dd\-mmm\-yy"/>
    <numFmt numFmtId="172" formatCode="[$$-4809]#,##0"/>
    <numFmt numFmtId="173" formatCode="[$$-409]#,##0"/>
    <numFmt numFmtId="174" formatCode="_([$€-2]\ * #,##0.00_);_([$€-2]\ * \(#,##0.00\);_([$€-2]\ * &quot;-&quot;??_);_(@_)"/>
    <numFmt numFmtId="175" formatCode="_([$€-2]\ * #,##0_);_([$€-2]\ * \(#,##0\);_([$€-2]\ * &quot;-&quot;??_);_(@_)"/>
    <numFmt numFmtId="176" formatCode="_(* #,##0.0_);_(* \(#,##0.0\);_(* &quot;-&quot;??_);_(@_)"/>
    <numFmt numFmtId="177" formatCode="_(* #,##0.0_);_(* \(#,##0.0\);_(* &quot;-&quot;?_);_(@_)"/>
    <numFmt numFmtId="178" formatCode="_(&quot;$&quot;* #,##0.000_);_(&quot;$&quot;* \(#,##0.000\);_(&quot;$&quot;* &quot;-&quot;??_);_(@_)"/>
    <numFmt numFmtId="179" formatCode="_([$$-409]* #,##0.00_);_([$$-409]* \(#,##0.00\);_([$$-409]* &quot;-&quot;??_);_(@_)"/>
    <numFmt numFmtId="180" formatCode="_(&quot;$&quot;* #,##0_);_(&quot;$&quot;* \(#,##0\);_(&quot;$&quot;* &quot;-&quot;??_);_(@_)"/>
    <numFmt numFmtId="181" formatCode="_(* #,##0.000_);_(* \(#,##0.000\);_(* &quot;-&quot;??_);_(@_)"/>
  </numFmts>
  <fonts count="87">
    <font>
      <sz val="11"/>
      <color theme="1"/>
      <name val="Century Gothic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entury Gothic"/>
      <family val="2"/>
    </font>
    <font>
      <b/>
      <sz val="11"/>
      <color theme="0"/>
      <name val="Century Gothic"/>
      <family val="2"/>
    </font>
    <font>
      <b/>
      <sz val="11"/>
      <color theme="1"/>
      <name val="Century Gothic"/>
      <family val="2"/>
    </font>
    <font>
      <sz val="11"/>
      <color theme="0"/>
      <name val="Century Gothic"/>
      <family val="2"/>
    </font>
    <font>
      <sz val="11"/>
      <name val="Century Gothic"/>
      <family val="2"/>
    </font>
    <font>
      <sz val="10"/>
      <color theme="0"/>
      <name val="Century Gothic"/>
      <family val="2"/>
    </font>
    <font>
      <b/>
      <sz val="11"/>
      <name val="Century Gothic"/>
      <family val="2"/>
    </font>
    <font>
      <b/>
      <sz val="12"/>
      <color theme="0"/>
      <name val="Century Gothic"/>
      <family val="2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9"/>
      <color theme="1"/>
      <name val="Century Gothic"/>
      <family val="2"/>
    </font>
    <font>
      <sz val="12"/>
      <name val="新細明體"/>
      <family val="1"/>
      <charset val="136"/>
    </font>
    <font>
      <b/>
      <sz val="11"/>
      <color indexed="8"/>
      <name val="Century Gothic"/>
      <family val="2"/>
    </font>
    <font>
      <b/>
      <sz val="14"/>
      <color theme="0"/>
      <name val="Century Gothic"/>
      <family val="2"/>
    </font>
    <font>
      <u/>
      <sz val="12"/>
      <color theme="10"/>
      <name val="Arial"/>
      <family val="2"/>
    </font>
    <font>
      <b/>
      <sz val="12"/>
      <color theme="1"/>
      <name val="Century Gothic"/>
      <family val="2"/>
    </font>
    <font>
      <b/>
      <i/>
      <sz val="11"/>
      <color theme="1"/>
      <name val="Century Gothic"/>
      <family val="2"/>
    </font>
    <font>
      <b/>
      <i/>
      <sz val="11"/>
      <name val="Century Gothic"/>
      <family val="2"/>
    </font>
    <font>
      <sz val="11"/>
      <color theme="0"/>
      <name val="Arial"/>
      <family val="2"/>
    </font>
    <font>
      <i/>
      <sz val="11"/>
      <name val="Century Gothic"/>
      <family val="2"/>
    </font>
    <font>
      <sz val="11"/>
      <color rgb="FFFFFFFF"/>
      <name val="Century Gothic"/>
      <family val="2"/>
    </font>
    <font>
      <b/>
      <sz val="10"/>
      <color theme="1"/>
      <name val="Century Gothic"/>
      <family val="2"/>
    </font>
    <font>
      <sz val="11"/>
      <color theme="0" tint="-0.499984740745262"/>
      <name val="Century Gothic"/>
      <family val="2"/>
    </font>
    <font>
      <b/>
      <sz val="11"/>
      <color theme="0" tint="-0.499984740745262"/>
      <name val="Century Gothic"/>
      <family val="2"/>
    </font>
    <font>
      <b/>
      <sz val="11"/>
      <color rgb="FF003399"/>
      <name val="Century Gothic"/>
      <family val="2"/>
    </font>
    <font>
      <sz val="11"/>
      <color rgb="FF003399"/>
      <name val="Century Gothic"/>
      <family val="2"/>
    </font>
    <font>
      <sz val="11"/>
      <color rgb="FFC00000"/>
      <name val="Century Gothic"/>
      <family val="2"/>
    </font>
    <font>
      <sz val="11"/>
      <color theme="2" tint="-0.499984740745262"/>
      <name val="Century Gothic"/>
      <family val="2"/>
    </font>
    <font>
      <b/>
      <sz val="11"/>
      <color rgb="FFC00000"/>
      <name val="Century Gothic"/>
      <family val="2"/>
    </font>
    <font>
      <b/>
      <sz val="11"/>
      <color theme="2" tint="-0.499984740745262"/>
      <name val="Century Gothic"/>
      <family val="2"/>
    </font>
    <font>
      <b/>
      <sz val="11"/>
      <color theme="2" tint="-0.749992370372631"/>
      <name val="Century Gothic"/>
      <family val="2"/>
    </font>
    <font>
      <sz val="11"/>
      <name val="Arial"/>
      <family val="2"/>
    </font>
    <font>
      <i/>
      <sz val="11"/>
      <color theme="1"/>
      <name val="Century Gothic"/>
      <family val="2"/>
    </font>
    <font>
      <b/>
      <sz val="11"/>
      <color theme="0" tint="-0.249977111117893"/>
      <name val="Century Gothic"/>
      <family val="2"/>
    </font>
    <font>
      <sz val="11"/>
      <color theme="0" tint="-0.249977111117893"/>
      <name val="Century Gothic"/>
      <family val="2"/>
    </font>
    <font>
      <sz val="10"/>
      <color theme="1"/>
      <name val="Century Gothic"/>
      <family val="2"/>
    </font>
    <font>
      <sz val="10"/>
      <name val="Century Gothic"/>
      <family val="2"/>
    </font>
    <font>
      <sz val="10"/>
      <color theme="2" tint="-0.499984740745262"/>
      <name val="Century Gothic"/>
      <family val="2"/>
    </font>
    <font>
      <sz val="10"/>
      <color theme="0" tint="-0.499984740745262"/>
      <name val="Century Gothic"/>
      <family val="2"/>
    </font>
    <font>
      <sz val="10"/>
      <color rgb="FF003399"/>
      <name val="Century Gothic"/>
      <family val="2"/>
    </font>
    <font>
      <b/>
      <i/>
      <sz val="11"/>
      <color rgb="FFC00000"/>
      <name val="Century Gothic"/>
      <family val="2"/>
    </font>
    <font>
      <b/>
      <sz val="11"/>
      <color rgb="FFFFFFFF"/>
      <name val="Century Gothic"/>
      <family val="2"/>
    </font>
    <font>
      <b/>
      <sz val="11"/>
      <color rgb="FF006600"/>
      <name val="Century Gothic"/>
      <family val="2"/>
    </font>
    <font>
      <sz val="11"/>
      <color rgb="FF006600"/>
      <name val="Century Gothic"/>
      <family val="2"/>
    </font>
    <font>
      <u/>
      <sz val="11"/>
      <color theme="1"/>
      <name val="Century Gothic"/>
      <family val="2"/>
    </font>
    <font>
      <u/>
      <sz val="11"/>
      <name val="Century Gothic"/>
      <family val="2"/>
    </font>
    <font>
      <b/>
      <i/>
      <sz val="11"/>
      <color theme="0" tint="-0.249977111117893"/>
      <name val="Century Gothic"/>
      <family val="2"/>
    </font>
    <font>
      <b/>
      <i/>
      <sz val="11"/>
      <color indexed="8"/>
      <name val="Century Gothic"/>
      <family val="2"/>
    </font>
    <font>
      <sz val="11"/>
      <color rgb="FF00B050"/>
      <name val="Century Gothic"/>
      <family val="2"/>
    </font>
    <font>
      <u/>
      <sz val="11"/>
      <color theme="1"/>
      <name val="Calibri"/>
      <family val="2"/>
      <scheme val="minor"/>
    </font>
    <font>
      <b/>
      <sz val="12"/>
      <name val="Century Gothic"/>
      <family val="2"/>
    </font>
    <font>
      <b/>
      <sz val="12"/>
      <color indexed="9"/>
      <name val="Century Gothic"/>
      <family val="2"/>
    </font>
    <font>
      <sz val="12"/>
      <color theme="0"/>
      <name val="Century Gothic"/>
      <family val="2"/>
    </font>
    <font>
      <sz val="12"/>
      <color theme="1"/>
      <name val="Century Gothic"/>
      <family val="2"/>
    </font>
    <font>
      <sz val="12"/>
      <name val="Century Gothic"/>
      <family val="2"/>
    </font>
    <font>
      <sz val="9"/>
      <color theme="0"/>
      <name val="Century Gothic"/>
      <family val="2"/>
    </font>
    <font>
      <sz val="12"/>
      <color theme="0" tint="-0.249977111117893"/>
      <name val="Century Gothic"/>
      <family val="2"/>
    </font>
    <font>
      <b/>
      <sz val="12"/>
      <color theme="0" tint="-0.249977111117893"/>
      <name val="Century Gothic"/>
      <family val="2"/>
    </font>
    <font>
      <b/>
      <sz val="9"/>
      <color indexed="81"/>
      <name val="Calibri"/>
      <family val="2"/>
    </font>
    <font>
      <sz val="9"/>
      <color indexed="81"/>
      <name val="Calibri"/>
      <family val="2"/>
    </font>
    <font>
      <sz val="11"/>
      <color theme="1"/>
      <name val="Candara"/>
      <family val="2"/>
    </font>
    <font>
      <b/>
      <sz val="11"/>
      <color theme="1"/>
      <name val="Candara"/>
      <family val="2"/>
    </font>
    <font>
      <sz val="11"/>
      <name val="Candara"/>
      <family val="2"/>
    </font>
    <font>
      <b/>
      <sz val="11"/>
      <name val="Candara"/>
      <family val="2"/>
    </font>
    <font>
      <sz val="11"/>
      <color theme="0" tint="-0.249977111117893"/>
      <name val="Candara"/>
      <family val="2"/>
    </font>
    <font>
      <b/>
      <sz val="11"/>
      <color theme="0" tint="-0.249977111117893"/>
      <name val="Candara"/>
      <family val="2"/>
    </font>
    <font>
      <b/>
      <sz val="11"/>
      <color rgb="FFC00000"/>
      <name val="Candara"/>
      <family val="2"/>
    </font>
    <font>
      <sz val="11"/>
      <color rgb="FFC00000"/>
      <name val="Candara"/>
      <family val="2"/>
    </font>
    <font>
      <i/>
      <sz val="11"/>
      <name val="Candara"/>
      <family val="2"/>
    </font>
    <font>
      <i/>
      <sz val="11"/>
      <color theme="0" tint="-0.249977111117893"/>
      <name val="Candara"/>
      <family val="2"/>
    </font>
    <font>
      <b/>
      <sz val="9"/>
      <name val="Candara"/>
      <family val="2"/>
    </font>
    <font>
      <sz val="9"/>
      <name val="Candara"/>
      <family val="2"/>
    </font>
    <font>
      <i/>
      <sz val="9"/>
      <name val="Candara"/>
      <family val="2"/>
    </font>
    <font>
      <b/>
      <sz val="9"/>
      <color theme="0"/>
      <name val="Candara"/>
      <family val="2"/>
    </font>
    <font>
      <sz val="18"/>
      <color theme="0"/>
      <name val="Arial"/>
      <family val="2"/>
    </font>
    <font>
      <sz val="11"/>
      <color rgb="FF0033CC"/>
      <name val="Candara"/>
      <family val="2"/>
    </font>
    <font>
      <b/>
      <sz val="11"/>
      <color rgb="FF0033CC"/>
      <name val="Candara"/>
      <family val="2"/>
    </font>
    <font>
      <i/>
      <sz val="11"/>
      <color rgb="FF0033CC"/>
      <name val="Candara"/>
      <family val="2"/>
    </font>
    <font>
      <sz val="9"/>
      <color theme="1"/>
      <name val="Candara"/>
      <family val="2"/>
    </font>
    <font>
      <b/>
      <sz val="9"/>
      <color theme="1"/>
      <name val="Candara"/>
      <family val="2"/>
    </font>
    <font>
      <b/>
      <i/>
      <sz val="9"/>
      <name val="Candara"/>
      <family val="2"/>
    </font>
    <font>
      <i/>
      <sz val="9"/>
      <color theme="1"/>
      <name val="Candara"/>
      <family val="2"/>
    </font>
    <font>
      <b/>
      <sz val="9"/>
      <color rgb="FFFF0000"/>
      <name val="Candara"/>
      <family val="2"/>
    </font>
  </fonts>
  <fills count="20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theme="3"/>
        <bgColor indexed="64"/>
      </patternFill>
    </fill>
    <fill>
      <patternFill patternType="solid">
        <fgColor theme="3" tint="0.59999389629810485"/>
        <bgColor rgb="FF000000"/>
      </patternFill>
    </fill>
    <fill>
      <patternFill patternType="solid">
        <fgColor rgb="FFC0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rgb="FFF1E1E1"/>
        <bgColor indexed="64"/>
      </patternFill>
    </fill>
    <fill>
      <patternFill patternType="solid">
        <fgColor theme="4" tint="0.39997558519241921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/>
      <top style="medium">
        <color theme="1"/>
      </top>
      <bottom style="thin">
        <color theme="0"/>
      </bottom>
      <diagonal/>
    </border>
    <border>
      <left style="medium">
        <color theme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1"/>
      </left>
      <right style="thin">
        <color theme="0"/>
      </right>
      <top style="thin">
        <color theme="0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 style="medium">
        <color theme="1"/>
      </left>
      <right/>
      <top style="thin">
        <color theme="1"/>
      </top>
      <bottom/>
      <diagonal/>
    </border>
    <border>
      <left style="medium">
        <color theme="1"/>
      </left>
      <right/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 style="medium">
        <color theme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1"/>
      </left>
      <right style="thin">
        <color theme="1"/>
      </right>
      <top style="medium">
        <color theme="1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medium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thin">
        <color theme="0"/>
      </bottom>
      <diagonal/>
    </border>
    <border>
      <left style="thin">
        <color theme="0"/>
      </left>
      <right style="medium">
        <color theme="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1"/>
      </right>
      <top style="thin">
        <color theme="0"/>
      </top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medium">
        <color theme="1"/>
      </right>
      <top style="thin">
        <color theme="1"/>
      </top>
      <bottom/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123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1" fillId="0" borderId="0"/>
    <xf numFmtId="0" fontId="13" fillId="0" borderId="0"/>
    <xf numFmtId="43" fontId="12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2" fillId="0" borderId="0" applyFont="0" applyFill="0" applyBorder="0" applyAlignment="0" applyProtection="0"/>
    <xf numFmtId="0" fontId="12" fillId="0" borderId="0"/>
    <xf numFmtId="0" fontId="18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</cellStyleXfs>
  <cellXfs count="1214">
    <xf numFmtId="0" fontId="0" fillId="0" borderId="0" xfId="0"/>
    <xf numFmtId="0" fontId="0" fillId="0" borderId="0" xfId="0" applyFont="1" applyAlignment="1">
      <alignment horizontal="center"/>
    </xf>
    <xf numFmtId="0" fontId="8" fillId="2" borderId="2" xfId="0" applyNumberFormat="1" applyFont="1" applyFill="1" applyBorder="1" applyAlignment="1">
      <alignment horizontal="left" vertical="center"/>
    </xf>
    <xf numFmtId="0" fontId="6" fillId="2" borderId="0" xfId="0" applyFont="1" applyFill="1"/>
    <xf numFmtId="0" fontId="0" fillId="0" borderId="0" xfId="0" applyFont="1"/>
    <xf numFmtId="0" fontId="6" fillId="2" borderId="0" xfId="4" applyNumberFormat="1" applyFont="1" applyFill="1" applyAlignment="1">
      <alignment vertical="center"/>
    </xf>
    <xf numFmtId="0" fontId="7" fillId="0" borderId="0" xfId="4" applyNumberFormat="1" applyFont="1" applyAlignment="1">
      <alignment horizontal="fill" vertical="center"/>
    </xf>
    <xf numFmtId="0" fontId="7" fillId="0" borderId="0" xfId="4" applyNumberFormat="1" applyFont="1" applyAlignment="1">
      <alignment vertical="center"/>
    </xf>
    <xf numFmtId="0" fontId="4" fillId="2" borderId="0" xfId="4" applyNumberFormat="1" applyFont="1" applyFill="1" applyAlignment="1">
      <alignment vertical="center"/>
    </xf>
    <xf numFmtId="0" fontId="6" fillId="2" borderId="0" xfId="4" applyNumberFormat="1" applyFont="1" applyFill="1" applyAlignment="1">
      <alignment horizontal="center" vertical="center"/>
    </xf>
    <xf numFmtId="0" fontId="16" fillId="0" borderId="0" xfId="4" applyNumberFormat="1" applyFont="1" applyAlignment="1">
      <alignment horizontal="fill" vertical="center"/>
    </xf>
    <xf numFmtId="0" fontId="17" fillId="2" borderId="1" xfId="0" applyNumberFormat="1" applyFont="1" applyFill="1" applyBorder="1" applyAlignment="1">
      <alignment horizontal="left" vertical="top"/>
    </xf>
    <xf numFmtId="0" fontId="6" fillId="2" borderId="0" xfId="0" applyNumberFormat="1" applyFont="1" applyFill="1" applyBorder="1" applyAlignment="1">
      <alignment horizontal="left" vertical="center"/>
    </xf>
    <xf numFmtId="0" fontId="4" fillId="2" borderId="0" xfId="0" applyNumberFormat="1" applyFont="1" applyFill="1" applyBorder="1" applyAlignment="1">
      <alignment horizontal="left" vertical="top"/>
    </xf>
    <xf numFmtId="0" fontId="6" fillId="2" borderId="0" xfId="0" applyFont="1" applyFill="1"/>
    <xf numFmtId="0" fontId="6" fillId="2" borderId="0" xfId="0" applyFont="1" applyFill="1" applyAlignment="1">
      <alignment horizontal="center"/>
    </xf>
    <xf numFmtId="0" fontId="5" fillId="0" borderId="0" xfId="0" applyFont="1"/>
    <xf numFmtId="0" fontId="4" fillId="2" borderId="0" xfId="0" applyNumberFormat="1" applyFont="1" applyFill="1" applyBorder="1" applyAlignment="1">
      <alignment horizontal="center" vertical="top"/>
    </xf>
    <xf numFmtId="0" fontId="0" fillId="0" borderId="0" xfId="0" applyFont="1"/>
    <xf numFmtId="0" fontId="4" fillId="2" borderId="2" xfId="0" applyNumberFormat="1" applyFont="1" applyFill="1" applyBorder="1" applyAlignment="1">
      <alignment horizontal="left" vertical="top"/>
    </xf>
    <xf numFmtId="14" fontId="6" fillId="2" borderId="0" xfId="0" applyNumberFormat="1" applyFont="1" applyFill="1" applyBorder="1" applyAlignment="1">
      <alignment horizontal="left" vertical="top"/>
    </xf>
    <xf numFmtId="3" fontId="0" fillId="0" borderId="0" xfId="0" applyNumberFormat="1" applyFont="1"/>
    <xf numFmtId="0" fontId="10" fillId="2" borderId="11" xfId="27" applyFont="1" applyFill="1" applyBorder="1" applyAlignment="1">
      <alignment horizontal="center" vertical="center"/>
    </xf>
    <xf numFmtId="14" fontId="0" fillId="0" borderId="0" xfId="0" applyNumberFormat="1" applyFont="1" applyAlignment="1">
      <alignment horizontal="center"/>
    </xf>
    <xf numFmtId="14" fontId="8" fillId="2" borderId="0" xfId="0" applyNumberFormat="1" applyFont="1" applyFill="1" applyBorder="1" applyAlignment="1">
      <alignment horizontal="center" vertical="center"/>
    </xf>
    <xf numFmtId="0" fontId="8" fillId="2" borderId="2" xfId="0" applyNumberFormat="1" applyFont="1" applyFill="1" applyBorder="1" applyAlignment="1">
      <alignment horizontal="left"/>
    </xf>
    <xf numFmtId="0" fontId="0" fillId="0" borderId="0" xfId="0" applyFont="1" applyFill="1" applyBorder="1"/>
    <xf numFmtId="0" fontId="17" fillId="2" borderId="0" xfId="0" applyNumberFormat="1" applyFont="1" applyFill="1" applyBorder="1" applyAlignment="1">
      <alignment horizontal="left" vertical="top"/>
    </xf>
    <xf numFmtId="0" fontId="0" fillId="0" borderId="0" xfId="0" applyFont="1" applyBorder="1"/>
    <xf numFmtId="0" fontId="4" fillId="2" borderId="11" xfId="27" applyFont="1" applyFill="1" applyBorder="1" applyAlignment="1">
      <alignment horizontal="center" vertical="center"/>
    </xf>
    <xf numFmtId="175" fontId="0" fillId="0" borderId="0" xfId="0" applyNumberFormat="1" applyFont="1"/>
    <xf numFmtId="0" fontId="6" fillId="2" borderId="0" xfId="0" applyFont="1" applyFill="1" applyAlignment="1">
      <alignment horizontal="center"/>
    </xf>
    <xf numFmtId="0" fontId="0" fillId="0" borderId="0" xfId="0" applyFont="1" applyFill="1"/>
    <xf numFmtId="0" fontId="7" fillId="0" borderId="0" xfId="27" applyFont="1"/>
    <xf numFmtId="0" fontId="4" fillId="2" borderId="0" xfId="27" applyNumberFormat="1" applyFont="1" applyFill="1" applyAlignment="1"/>
    <xf numFmtId="0" fontId="6" fillId="2" borderId="0" xfId="27" applyNumberFormat="1" applyFont="1" applyFill="1" applyAlignment="1"/>
    <xf numFmtId="0" fontId="7" fillId="0" borderId="0" xfId="27" applyNumberFormat="1" applyFont="1" applyAlignment="1">
      <alignment horizontal="fill"/>
    </xf>
    <xf numFmtId="0" fontId="7" fillId="0" borderId="0" xfId="27" applyNumberFormat="1" applyFont="1" applyAlignment="1"/>
    <xf numFmtId="0" fontId="7" fillId="0" borderId="0" xfId="27" applyNumberFormat="1" applyFont="1" applyAlignment="1">
      <alignment horizontal="left"/>
    </xf>
    <xf numFmtId="0" fontId="9" fillId="7" borderId="0" xfId="27" applyNumberFormat="1" applyFont="1" applyFill="1" applyAlignment="1"/>
    <xf numFmtId="172" fontId="9" fillId="7" borderId="0" xfId="27" applyNumberFormat="1" applyFont="1" applyFill="1" applyAlignment="1"/>
    <xf numFmtId="0" fontId="21" fillId="0" borderId="0" xfId="27" applyNumberFormat="1" applyFont="1" applyAlignment="1">
      <alignment horizontal="left"/>
    </xf>
    <xf numFmtId="172" fontId="7" fillId="0" borderId="0" xfId="27" applyNumberFormat="1" applyFont="1"/>
    <xf numFmtId="172" fontId="7" fillId="0" borderId="0" xfId="27" applyNumberFormat="1" applyFont="1" applyAlignment="1"/>
    <xf numFmtId="175" fontId="7" fillId="0" borderId="0" xfId="27" applyNumberFormat="1" applyFont="1"/>
    <xf numFmtId="174" fontId="7" fillId="0" borderId="0" xfId="27" applyNumberFormat="1" applyFont="1" applyAlignment="1">
      <alignment horizontal="center"/>
    </xf>
    <xf numFmtId="174" fontId="7" fillId="0" borderId="0" xfId="27" applyNumberFormat="1" applyFont="1"/>
    <xf numFmtId="169" fontId="7" fillId="0" borderId="0" xfId="27" applyNumberFormat="1" applyFont="1" applyAlignment="1">
      <alignment horizontal="fill"/>
    </xf>
    <xf numFmtId="0" fontId="21" fillId="0" borderId="0" xfId="27" applyNumberFormat="1" applyFont="1" applyAlignment="1"/>
    <xf numFmtId="172" fontId="7" fillId="0" borderId="0" xfId="27" applyNumberFormat="1" applyFont="1" applyAlignment="1">
      <alignment horizontal="center"/>
    </xf>
    <xf numFmtId="172" fontId="21" fillId="0" borderId="0" xfId="27" applyNumberFormat="1" applyFont="1" applyAlignment="1"/>
    <xf numFmtId="164" fontId="7" fillId="0" borderId="0" xfId="119" applyNumberFormat="1" applyFont="1" applyAlignment="1">
      <alignment horizontal="center"/>
    </xf>
    <xf numFmtId="172" fontId="7" fillId="0" borderId="0" xfId="27" applyNumberFormat="1" applyFont="1" applyAlignment="1">
      <alignment horizontal="fill"/>
    </xf>
    <xf numFmtId="0" fontId="7" fillId="0" borderId="2" xfId="27" applyFont="1" applyFill="1" applyBorder="1"/>
    <xf numFmtId="0" fontId="7" fillId="0" borderId="0" xfId="27" applyFont="1" applyFill="1" applyBorder="1"/>
    <xf numFmtId="0" fontId="7" fillId="0" borderId="0" xfId="27" applyFont="1" applyBorder="1"/>
    <xf numFmtId="0" fontId="9" fillId="0" borderId="0" xfId="27" applyFont="1"/>
    <xf numFmtId="166" fontId="7" fillId="0" borderId="0" xfId="27" applyNumberFormat="1" applyFont="1"/>
    <xf numFmtId="0" fontId="7" fillId="0" borderId="0" xfId="0" applyFont="1" applyFill="1"/>
    <xf numFmtId="170" fontId="6" fillId="2" borderId="0" xfId="27" applyNumberFormat="1" applyFont="1" applyFill="1" applyAlignment="1">
      <alignment horizontal="center" vertical="center" wrapText="1"/>
    </xf>
    <xf numFmtId="0" fontId="7" fillId="0" borderId="5" xfId="0" applyFont="1" applyFill="1" applyBorder="1"/>
    <xf numFmtId="0" fontId="7" fillId="0" borderId="5" xfId="27" applyFont="1" applyBorder="1"/>
    <xf numFmtId="0" fontId="7" fillId="0" borderId="4" xfId="27" applyFont="1" applyBorder="1"/>
    <xf numFmtId="0" fontId="9" fillId="5" borderId="8" xfId="27" applyFont="1" applyFill="1" applyBorder="1"/>
    <xf numFmtId="0" fontId="9" fillId="5" borderId="7" xfId="27" applyFont="1" applyFill="1" applyBorder="1"/>
    <xf numFmtId="0" fontId="9" fillId="5" borderId="8" xfId="0" applyFont="1" applyFill="1" applyBorder="1"/>
    <xf numFmtId="0" fontId="7" fillId="0" borderId="0" xfId="27" applyFont="1" applyAlignment="1">
      <alignment horizontal="center"/>
    </xf>
    <xf numFmtId="0" fontId="7" fillId="3" borderId="5" xfId="27" applyNumberFormat="1" applyFont="1" applyFill="1" applyBorder="1" applyAlignment="1"/>
    <xf numFmtId="0" fontId="23" fillId="0" borderId="0" xfId="27" applyFont="1"/>
    <xf numFmtId="175" fontId="7" fillId="0" borderId="0" xfId="27" applyNumberFormat="1" applyFont="1" applyFill="1" applyBorder="1"/>
    <xf numFmtId="0" fontId="7" fillId="0" borderId="0" xfId="0" applyFont="1" applyFill="1" applyBorder="1"/>
    <xf numFmtId="0" fontId="6" fillId="2" borderId="0" xfId="27" applyFont="1" applyFill="1" applyBorder="1" applyAlignment="1">
      <alignment horizontal="center" vertical="center"/>
    </xf>
    <xf numFmtId="0" fontId="4" fillId="2" borderId="0" xfId="27" applyFont="1" applyFill="1" applyBorder="1" applyAlignment="1">
      <alignment horizontal="center" vertical="center"/>
    </xf>
    <xf numFmtId="0" fontId="9" fillId="5" borderId="8" xfId="27" applyNumberFormat="1" applyFont="1" applyFill="1" applyBorder="1" applyAlignment="1"/>
    <xf numFmtId="9" fontId="0" fillId="0" borderId="0" xfId="0" applyNumberFormat="1" applyFont="1"/>
    <xf numFmtId="166" fontId="9" fillId="0" borderId="0" xfId="27" applyNumberFormat="1" applyFont="1"/>
    <xf numFmtId="168" fontId="7" fillId="0" borderId="0" xfId="27" applyNumberFormat="1" applyFont="1" applyAlignment="1">
      <alignment horizontal="center"/>
    </xf>
    <xf numFmtId="166" fontId="7" fillId="0" borderId="0" xfId="27" applyNumberFormat="1" applyFont="1" applyAlignment="1">
      <alignment horizontal="center"/>
    </xf>
    <xf numFmtId="166" fontId="7" fillId="0" borderId="0" xfId="27" applyNumberFormat="1" applyFont="1" applyAlignment="1">
      <alignment horizontal="fill"/>
    </xf>
    <xf numFmtId="167" fontId="7" fillId="0" borderId="0" xfId="27" applyNumberFormat="1" applyFont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17" fillId="2" borderId="0" xfId="0" applyNumberFormat="1" applyFont="1" applyFill="1" applyBorder="1" applyAlignment="1">
      <alignment horizontal="center" vertical="top"/>
    </xf>
    <xf numFmtId="3" fontId="7" fillId="0" borderId="0" xfId="0" applyNumberFormat="1" applyFont="1" applyFill="1" applyBorder="1" applyAlignment="1"/>
    <xf numFmtId="0" fontId="7" fillId="0" borderId="0" xfId="0" applyNumberFormat="1" applyFont="1" applyFill="1" applyBorder="1" applyAlignment="1"/>
    <xf numFmtId="0" fontId="7" fillId="0" borderId="0" xfId="0" applyNumberFormat="1" applyFont="1" applyFill="1" applyBorder="1" applyAlignment="1">
      <alignment horizontal="fill"/>
    </xf>
    <xf numFmtId="0" fontId="9" fillId="0" borderId="0" xfId="0" applyNumberFormat="1" applyFont="1" applyFill="1" applyBorder="1" applyAlignment="1"/>
    <xf numFmtId="0" fontId="24" fillId="9" borderId="0" xfId="0" applyNumberFormat="1" applyFont="1" applyFill="1" applyBorder="1" applyAlignment="1">
      <alignment horizontal="center" vertical="center"/>
    </xf>
    <xf numFmtId="174" fontId="0" fillId="0" borderId="0" xfId="0" applyNumberFormat="1" applyFont="1"/>
    <xf numFmtId="175" fontId="0" fillId="0" borderId="0" xfId="0" applyNumberFormat="1" applyFont="1" applyFill="1" applyBorder="1"/>
    <xf numFmtId="175" fontId="0" fillId="0" borderId="0" xfId="0" applyNumberFormat="1" applyFont="1" applyFill="1"/>
    <xf numFmtId="175" fontId="7" fillId="0" borderId="0" xfId="0" applyNumberFormat="1" applyFont="1" applyFill="1" applyBorder="1"/>
    <xf numFmtId="175" fontId="20" fillId="0" borderId="0" xfId="0" applyNumberFormat="1" applyFont="1" applyFill="1" applyBorder="1"/>
    <xf numFmtId="175" fontId="20" fillId="0" borderId="0" xfId="0" applyNumberFormat="1" applyFont="1" applyBorder="1"/>
    <xf numFmtId="175" fontId="7" fillId="0" borderId="3" xfId="27" applyNumberFormat="1" applyFont="1" applyFill="1" applyBorder="1"/>
    <xf numFmtId="175" fontId="7" fillId="0" borderId="0" xfId="27" quotePrefix="1" applyNumberFormat="1" applyFont="1" applyFill="1" applyBorder="1"/>
    <xf numFmtId="0" fontId="0" fillId="2" borderId="0" xfId="0" applyFill="1"/>
    <xf numFmtId="0" fontId="7" fillId="0" borderId="0" xfId="0" applyFont="1"/>
    <xf numFmtId="0" fontId="9" fillId="5" borderId="0" xfId="0" applyFont="1" applyFill="1" applyBorder="1" applyAlignment="1">
      <alignment horizontal="center"/>
    </xf>
    <xf numFmtId="175" fontId="0" fillId="0" borderId="0" xfId="2" applyNumberFormat="1" applyFont="1" applyFill="1" applyBorder="1"/>
    <xf numFmtId="168" fontId="4" fillId="2" borderId="0" xfId="0" applyNumberFormat="1" applyFont="1" applyFill="1" applyBorder="1" applyAlignment="1">
      <alignment horizontal="left" vertical="top"/>
    </xf>
    <xf numFmtId="168" fontId="7" fillId="0" borderId="0" xfId="27" applyNumberFormat="1" applyFont="1" applyAlignment="1">
      <alignment horizontal="fill"/>
    </xf>
    <xf numFmtId="168" fontId="7" fillId="0" borderId="0" xfId="27" applyNumberFormat="1" applyFont="1" applyAlignment="1">
      <alignment horizontal="left"/>
    </xf>
    <xf numFmtId="173" fontId="7" fillId="7" borderId="0" xfId="27" applyNumberFormat="1" applyFont="1" applyFill="1"/>
    <xf numFmtId="168" fontId="7" fillId="7" borderId="0" xfId="27" applyNumberFormat="1" applyFont="1" applyFill="1" applyAlignment="1"/>
    <xf numFmtId="0" fontId="7" fillId="7" borderId="0" xfId="27" applyNumberFormat="1" applyFont="1" applyFill="1" applyAlignment="1"/>
    <xf numFmtId="173" fontId="7" fillId="0" borderId="0" xfId="27" applyNumberFormat="1" applyFont="1"/>
    <xf numFmtId="168" fontId="7" fillId="0" borderId="0" xfId="27" applyNumberFormat="1" applyFont="1" applyAlignment="1"/>
    <xf numFmtId="175" fontId="7" fillId="0" borderId="0" xfId="121" applyNumberFormat="1" applyFont="1" applyAlignment="1"/>
    <xf numFmtId="174" fontId="7" fillId="0" borderId="0" xfId="121" applyNumberFormat="1" applyFont="1"/>
    <xf numFmtId="168" fontId="7" fillId="0" borderId="0" xfId="27" applyNumberFormat="1" applyFont="1"/>
    <xf numFmtId="166" fontId="7" fillId="0" borderId="0" xfId="27" applyNumberFormat="1" applyFont="1" applyAlignment="1"/>
    <xf numFmtId="166" fontId="7" fillId="7" borderId="0" xfId="27" applyNumberFormat="1" applyFont="1" applyFill="1"/>
    <xf numFmtId="168" fontId="7" fillId="7" borderId="0" xfId="27" applyNumberFormat="1" applyFont="1" applyFill="1"/>
    <xf numFmtId="165" fontId="7" fillId="7" borderId="0" xfId="27" applyNumberFormat="1" applyFont="1" applyFill="1"/>
    <xf numFmtId="175" fontId="7" fillId="0" borderId="0" xfId="27" applyNumberFormat="1" applyFont="1" applyAlignment="1">
      <alignment horizontal="fill"/>
    </xf>
    <xf numFmtId="175" fontId="7" fillId="0" borderId="0" xfId="27" applyNumberFormat="1" applyFont="1" applyAlignment="1">
      <alignment horizontal="right"/>
    </xf>
    <xf numFmtId="168" fontId="7" fillId="0" borderId="3" xfId="27" applyNumberFormat="1" applyFont="1" applyBorder="1"/>
    <xf numFmtId="0" fontId="5" fillId="0" borderId="17" xfId="0" applyFont="1" applyBorder="1"/>
    <xf numFmtId="0" fontId="26" fillId="2" borderId="0" xfId="0" applyFont="1" applyFill="1"/>
    <xf numFmtId="0" fontId="26" fillId="0" borderId="0" xfId="4" applyNumberFormat="1" applyFont="1" applyAlignment="1">
      <alignment horizontal="fill" vertical="center"/>
    </xf>
    <xf numFmtId="0" fontId="26" fillId="0" borderId="0" xfId="4" applyNumberFormat="1" applyFont="1" applyAlignment="1">
      <alignment vertical="center"/>
    </xf>
    <xf numFmtId="0" fontId="27" fillId="0" borderId="0" xfId="4" applyNumberFormat="1" applyFont="1" applyAlignment="1">
      <alignment horizontal="fill" vertical="center"/>
    </xf>
    <xf numFmtId="9" fontId="26" fillId="0" borderId="0" xfId="2" applyFont="1" applyFill="1" applyBorder="1"/>
    <xf numFmtId="167" fontId="26" fillId="0" borderId="0" xfId="2" applyNumberFormat="1" applyFont="1" applyFill="1" applyBorder="1"/>
    <xf numFmtId="167" fontId="26" fillId="0" borderId="0" xfId="4" applyNumberFormat="1" applyFont="1" applyBorder="1" applyAlignment="1">
      <alignment vertical="center"/>
    </xf>
    <xf numFmtId="10" fontId="26" fillId="0" borderId="0" xfId="4" applyNumberFormat="1" applyFont="1" applyBorder="1" applyAlignment="1"/>
    <xf numFmtId="0" fontId="26" fillId="0" borderId="0" xfId="4" applyFont="1" applyBorder="1"/>
    <xf numFmtId="0" fontId="26" fillId="0" borderId="0" xfId="0" applyFont="1"/>
    <xf numFmtId="164" fontId="26" fillId="0" borderId="0" xfId="1" applyNumberFormat="1" applyFont="1" applyFill="1" applyBorder="1"/>
    <xf numFmtId="0" fontId="26" fillId="0" borderId="0" xfId="0" applyNumberFormat="1" applyFont="1" applyFill="1" applyBorder="1" applyAlignment="1">
      <alignment horizontal="fill"/>
    </xf>
    <xf numFmtId="167" fontId="26" fillId="0" borderId="0" xfId="0" applyNumberFormat="1" applyFont="1" applyFill="1" applyBorder="1"/>
    <xf numFmtId="0" fontId="0" fillId="2" borderId="0" xfId="0" applyFont="1" applyFill="1"/>
    <xf numFmtId="164" fontId="27" fillId="0" borderId="0" xfId="1" applyNumberFormat="1" applyFont="1" applyFill="1" applyBorder="1"/>
    <xf numFmtId="0" fontId="6" fillId="9" borderId="0" xfId="0" applyNumberFormat="1" applyFont="1" applyFill="1" applyBorder="1" applyAlignment="1">
      <alignment horizontal="center" vertical="center"/>
    </xf>
    <xf numFmtId="164" fontId="26" fillId="0" borderId="0" xfId="1" applyNumberFormat="1" applyFont="1" applyAlignment="1">
      <alignment vertical="center"/>
    </xf>
    <xf numFmtId="164" fontId="26" fillId="0" borderId="0" xfId="1" applyNumberFormat="1" applyFont="1" applyFill="1" applyBorder="1" applyAlignment="1"/>
    <xf numFmtId="0" fontId="7" fillId="0" borderId="0" xfId="0" applyNumberFormat="1" applyFont="1" applyFill="1" applyBorder="1" applyAlignment="1">
      <alignment horizontal="right"/>
    </xf>
    <xf numFmtId="0" fontId="28" fillId="2" borderId="0" xfId="0" applyFont="1" applyFill="1"/>
    <xf numFmtId="0" fontId="28" fillId="0" borderId="0" xfId="4" applyNumberFormat="1" applyFont="1" applyAlignment="1">
      <alignment vertical="center"/>
    </xf>
    <xf numFmtId="0" fontId="28" fillId="0" borderId="0" xfId="0" applyFont="1"/>
    <xf numFmtId="164" fontId="27" fillId="0" borderId="0" xfId="1" applyNumberFormat="1" applyFont="1" applyAlignment="1">
      <alignment vertical="center"/>
    </xf>
    <xf numFmtId="164" fontId="26" fillId="0" borderId="0" xfId="0" applyNumberFormat="1" applyFont="1"/>
    <xf numFmtId="164" fontId="28" fillId="0" borderId="0" xfId="1" applyNumberFormat="1" applyFont="1" applyAlignment="1">
      <alignment vertical="center"/>
    </xf>
    <xf numFmtId="164" fontId="31" fillId="0" borderId="0" xfId="1" applyNumberFormat="1" applyFont="1"/>
    <xf numFmtId="0" fontId="4" fillId="10" borderId="0" xfId="4" applyNumberFormat="1" applyFont="1" applyFill="1" applyAlignment="1">
      <alignment horizontal="fill" vertical="center"/>
    </xf>
    <xf numFmtId="0" fontId="16" fillId="5" borderId="0" xfId="4" applyNumberFormat="1" applyFont="1" applyFill="1" applyAlignment="1">
      <alignment vertical="center"/>
    </xf>
    <xf numFmtId="0" fontId="26" fillId="5" borderId="0" xfId="4" applyNumberFormat="1" applyFont="1" applyFill="1" applyAlignment="1">
      <alignment vertical="center"/>
    </xf>
    <xf numFmtId="164" fontId="28" fillId="5" borderId="0" xfId="1" applyNumberFormat="1" applyFont="1" applyFill="1" applyAlignment="1">
      <alignment vertical="center"/>
    </xf>
    <xf numFmtId="0" fontId="7" fillId="5" borderId="0" xfId="4" applyNumberFormat="1" applyFont="1" applyFill="1" applyAlignment="1">
      <alignment vertical="center"/>
    </xf>
    <xf numFmtId="0" fontId="0" fillId="5" borderId="0" xfId="0" applyFont="1" applyFill="1"/>
    <xf numFmtId="0" fontId="27" fillId="11" borderId="0" xfId="0" applyNumberFormat="1" applyFont="1" applyFill="1" applyBorder="1" applyAlignment="1">
      <alignment horizontal="center" vertical="center"/>
    </xf>
    <xf numFmtId="0" fontId="32" fillId="2" borderId="0" xfId="0" applyFont="1" applyFill="1"/>
    <xf numFmtId="164" fontId="33" fillId="0" borderId="0" xfId="1" applyNumberFormat="1" applyFont="1"/>
    <xf numFmtId="164" fontId="33" fillId="11" borderId="0" xfId="1" applyNumberFormat="1" applyFont="1" applyFill="1" applyBorder="1" applyAlignment="1">
      <alignment horizontal="center" vertical="center"/>
    </xf>
    <xf numFmtId="0" fontId="29" fillId="0" borderId="0" xfId="0" applyFont="1"/>
    <xf numFmtId="0" fontId="29" fillId="0" borderId="0" xfId="4" applyFont="1" applyBorder="1"/>
    <xf numFmtId="0" fontId="29" fillId="11" borderId="0" xfId="0" applyNumberFormat="1" applyFont="1" applyFill="1" applyBorder="1" applyAlignment="1">
      <alignment horizontal="center" vertical="center"/>
    </xf>
    <xf numFmtId="0" fontId="28" fillId="11" borderId="0" xfId="0" applyNumberFormat="1" applyFont="1" applyFill="1" applyBorder="1" applyAlignment="1">
      <alignment horizontal="center" vertical="center"/>
    </xf>
    <xf numFmtId="1" fontId="28" fillId="11" borderId="0" xfId="0" applyNumberFormat="1" applyFont="1" applyFill="1" applyBorder="1"/>
    <xf numFmtId="0" fontId="29" fillId="0" borderId="0" xfId="0" applyNumberFormat="1" applyFont="1" applyFill="1" applyBorder="1" applyAlignment="1">
      <alignment horizontal="fill"/>
    </xf>
    <xf numFmtId="0" fontId="29" fillId="0" borderId="0" xfId="0" applyNumberFormat="1" applyFont="1" applyFill="1" applyBorder="1" applyAlignment="1"/>
    <xf numFmtId="167" fontId="29" fillId="0" borderId="0" xfId="0" applyNumberFormat="1" applyFont="1" applyFill="1" applyBorder="1"/>
    <xf numFmtId="0" fontId="30" fillId="0" borderId="0" xfId="27" applyFont="1"/>
    <xf numFmtId="0" fontId="9" fillId="0" borderId="0" xfId="27" applyNumberFormat="1" applyFont="1" applyAlignment="1">
      <alignment horizontal="left"/>
    </xf>
    <xf numFmtId="0" fontId="9" fillId="0" borderId="0" xfId="27" applyNumberFormat="1" applyFont="1" applyAlignment="1"/>
    <xf numFmtId="0" fontId="31" fillId="2" borderId="0" xfId="27" applyNumberFormat="1" applyFont="1" applyFill="1" applyAlignment="1"/>
    <xf numFmtId="0" fontId="31" fillId="0" borderId="0" xfId="27" applyFont="1"/>
    <xf numFmtId="0" fontId="30" fillId="0" borderId="0" xfId="0" applyFont="1"/>
    <xf numFmtId="0" fontId="9" fillId="5" borderId="0" xfId="27" applyNumberFormat="1" applyFont="1" applyFill="1" applyAlignment="1"/>
    <xf numFmtId="173" fontId="7" fillId="5" borderId="0" xfId="27" applyNumberFormat="1" applyFont="1" applyFill="1"/>
    <xf numFmtId="168" fontId="7" fillId="5" borderId="0" xfId="27" applyNumberFormat="1" applyFont="1" applyFill="1" applyAlignment="1"/>
    <xf numFmtId="0" fontId="7" fillId="5" borderId="0" xfId="27" applyNumberFormat="1" applyFont="1" applyFill="1" applyAlignment="1"/>
    <xf numFmtId="167" fontId="7" fillId="0" borderId="0" xfId="27" applyNumberFormat="1" applyFont="1"/>
    <xf numFmtId="168" fontId="9" fillId="0" borderId="0" xfId="27" applyNumberFormat="1" applyFont="1"/>
    <xf numFmtId="172" fontId="9" fillId="0" borderId="0" xfId="27" applyNumberFormat="1" applyFont="1" applyAlignment="1"/>
    <xf numFmtId="175" fontId="9" fillId="0" borderId="0" xfId="27" applyNumberFormat="1" applyFont="1"/>
    <xf numFmtId="166" fontId="7" fillId="5" borderId="0" xfId="27" applyNumberFormat="1" applyFont="1" applyFill="1"/>
    <xf numFmtId="168" fontId="7" fillId="5" borderId="0" xfId="27" applyNumberFormat="1" applyFont="1" applyFill="1"/>
    <xf numFmtId="172" fontId="9" fillId="5" borderId="0" xfId="27" applyNumberFormat="1" applyFont="1" applyFill="1" applyAlignment="1"/>
    <xf numFmtId="165" fontId="7" fillId="5" borderId="0" xfId="27" applyNumberFormat="1" applyFont="1" applyFill="1"/>
    <xf numFmtId="0" fontId="7" fillId="0" borderId="3" xfId="27" applyFont="1" applyBorder="1"/>
    <xf numFmtId="172" fontId="9" fillId="0" borderId="0" xfId="27" applyNumberFormat="1" applyFont="1"/>
    <xf numFmtId="172" fontId="7" fillId="5" borderId="0" xfId="27" applyNumberFormat="1" applyFont="1" applyFill="1" applyAlignment="1"/>
    <xf numFmtId="0" fontId="9" fillId="0" borderId="0" xfId="27" applyNumberFormat="1" applyFont="1" applyFill="1" applyAlignment="1"/>
    <xf numFmtId="0" fontId="7" fillId="0" borderId="0" xfId="27" applyNumberFormat="1" applyFont="1" applyFill="1" applyAlignment="1"/>
    <xf numFmtId="166" fontId="7" fillId="0" borderId="0" xfId="27" applyNumberFormat="1" applyFont="1" applyFill="1"/>
    <xf numFmtId="168" fontId="7" fillId="0" borderId="0" xfId="27" applyNumberFormat="1" applyFont="1" applyFill="1"/>
    <xf numFmtId="172" fontId="7" fillId="0" borderId="0" xfId="27" applyNumberFormat="1" applyFont="1" applyFill="1" applyAlignment="1"/>
    <xf numFmtId="165" fontId="7" fillId="0" borderId="0" xfId="27" applyNumberFormat="1" applyFont="1" applyFill="1"/>
    <xf numFmtId="0" fontId="23" fillId="0" borderId="0" xfId="27" applyNumberFormat="1" applyFont="1" applyAlignment="1"/>
    <xf numFmtId="0" fontId="7" fillId="0" borderId="0" xfId="27" applyNumberFormat="1" applyFont="1" applyBorder="1" applyAlignment="1"/>
    <xf numFmtId="0" fontId="21" fillId="0" borderId="0" xfId="27" applyNumberFormat="1" applyFont="1" applyBorder="1" applyAlignment="1"/>
    <xf numFmtId="166" fontId="7" fillId="0" borderId="0" xfId="27" applyNumberFormat="1" applyFont="1" applyBorder="1" applyAlignment="1">
      <alignment horizontal="center"/>
    </xf>
    <xf numFmtId="168" fontId="7" fillId="0" borderId="0" xfId="27" applyNumberFormat="1" applyFont="1" applyBorder="1" applyAlignment="1">
      <alignment horizontal="center"/>
    </xf>
    <xf numFmtId="166" fontId="7" fillId="0" borderId="0" xfId="27" applyNumberFormat="1" applyFont="1" applyBorder="1"/>
    <xf numFmtId="167" fontId="7" fillId="0" borderId="0" xfId="2" applyNumberFormat="1" applyFont="1" applyBorder="1" applyAlignment="1">
      <alignment horizontal="center"/>
    </xf>
    <xf numFmtId="172" fontId="7" fillId="0" borderId="0" xfId="27" applyNumberFormat="1" applyFont="1" applyBorder="1" applyAlignment="1">
      <alignment horizontal="center"/>
    </xf>
    <xf numFmtId="0" fontId="21" fillId="0" borderId="0" xfId="27" applyFont="1"/>
    <xf numFmtId="168" fontId="21" fillId="0" borderId="0" xfId="27" applyNumberFormat="1" applyFont="1"/>
    <xf numFmtId="167" fontId="9" fillId="0" borderId="0" xfId="2" applyNumberFormat="1" applyFont="1"/>
    <xf numFmtId="0" fontId="7" fillId="0" borderId="0" xfId="27" applyNumberFormat="1" applyFont="1" applyAlignment="1">
      <alignment horizontal="right"/>
    </xf>
    <xf numFmtId="0" fontId="7" fillId="0" borderId="0" xfId="27" applyFont="1" applyAlignment="1">
      <alignment horizontal="right"/>
    </xf>
    <xf numFmtId="168" fontId="4" fillId="12" borderId="0" xfId="27" applyNumberFormat="1" applyFont="1" applyFill="1"/>
    <xf numFmtId="0" fontId="9" fillId="13" borderId="0" xfId="27" applyNumberFormat="1" applyFont="1" applyFill="1" applyAlignment="1"/>
    <xf numFmtId="166" fontId="9" fillId="13" borderId="0" xfId="27" applyNumberFormat="1" applyFont="1" applyFill="1"/>
    <xf numFmtId="168" fontId="9" fillId="13" borderId="0" xfId="27" applyNumberFormat="1" applyFont="1" applyFill="1"/>
    <xf numFmtId="172" fontId="9" fillId="13" borderId="0" xfId="27" applyNumberFormat="1" applyFont="1" applyFill="1" applyAlignment="1"/>
    <xf numFmtId="175" fontId="9" fillId="13" borderId="0" xfId="27" applyNumberFormat="1" applyFont="1" applyFill="1"/>
    <xf numFmtId="0" fontId="4" fillId="12" borderId="0" xfId="27" applyFont="1" applyFill="1"/>
    <xf numFmtId="166" fontId="23" fillId="0" borderId="0" xfId="27" applyNumberFormat="1" applyFont="1" applyAlignment="1">
      <alignment horizontal="center"/>
    </xf>
    <xf numFmtId="168" fontId="23" fillId="0" borderId="0" xfId="27" applyNumberFormat="1" applyFont="1" applyAlignment="1">
      <alignment horizontal="center"/>
    </xf>
    <xf numFmtId="166" fontId="23" fillId="0" borderId="0" xfId="27" applyNumberFormat="1" applyFont="1"/>
    <xf numFmtId="172" fontId="23" fillId="0" borderId="0" xfId="27" applyNumberFormat="1" applyFont="1" applyAlignment="1">
      <alignment horizontal="center"/>
    </xf>
    <xf numFmtId="172" fontId="23" fillId="0" borderId="0" xfId="27" applyNumberFormat="1" applyFont="1" applyAlignment="1"/>
    <xf numFmtId="0" fontId="23" fillId="0" borderId="0" xfId="27" applyNumberFormat="1" applyFont="1" applyAlignment="1">
      <alignment horizontal="center"/>
    </xf>
    <xf numFmtId="0" fontId="9" fillId="0" borderId="0" xfId="27" applyNumberFormat="1" applyFont="1" applyBorder="1" applyAlignment="1"/>
    <xf numFmtId="166" fontId="9" fillId="0" borderId="0" xfId="27" applyNumberFormat="1" applyFont="1" applyBorder="1" applyAlignment="1"/>
    <xf numFmtId="168" fontId="9" fillId="0" borderId="0" xfId="27" applyNumberFormat="1" applyFont="1" applyBorder="1" applyAlignment="1"/>
    <xf numFmtId="166" fontId="9" fillId="0" borderId="0" xfId="27" applyNumberFormat="1" applyFont="1" applyBorder="1"/>
    <xf numFmtId="164" fontId="9" fillId="0" borderId="0" xfId="119" applyNumberFormat="1" applyFont="1" applyBorder="1" applyAlignment="1">
      <alignment horizontal="center"/>
    </xf>
    <xf numFmtId="175" fontId="9" fillId="0" borderId="0" xfId="27" applyNumberFormat="1" applyFont="1" applyBorder="1"/>
    <xf numFmtId="0" fontId="9" fillId="7" borderId="0" xfId="0" applyNumberFormat="1" applyFont="1" applyFill="1" applyBorder="1" applyAlignment="1"/>
    <xf numFmtId="0" fontId="5" fillId="0" borderId="0" xfId="0" applyFont="1" applyFill="1"/>
    <xf numFmtId="0" fontId="5" fillId="5" borderId="0" xfId="0" applyFont="1" applyFill="1"/>
    <xf numFmtId="0" fontId="26" fillId="7" borderId="0" xfId="0" applyNumberFormat="1" applyFont="1" applyFill="1" applyBorder="1" applyAlignment="1">
      <alignment horizontal="fill"/>
    </xf>
    <xf numFmtId="164" fontId="33" fillId="7" borderId="0" xfId="1" applyNumberFormat="1" applyFont="1" applyFill="1"/>
    <xf numFmtId="164" fontId="29" fillId="7" borderId="0" xfId="1" applyNumberFormat="1" applyFont="1" applyFill="1" applyBorder="1" applyAlignment="1">
      <alignment horizontal="fill"/>
    </xf>
    <xf numFmtId="0" fontId="29" fillId="7" borderId="0" xfId="0" applyNumberFormat="1" applyFont="1" applyFill="1" applyBorder="1" applyAlignment="1">
      <alignment horizontal="fill"/>
    </xf>
    <xf numFmtId="0" fontId="28" fillId="7" borderId="0" xfId="0" applyNumberFormat="1" applyFont="1" applyFill="1" applyBorder="1" applyAlignment="1"/>
    <xf numFmtId="0" fontId="29" fillId="7" borderId="0" xfId="0" applyFont="1" applyFill="1"/>
    <xf numFmtId="0" fontId="29" fillId="0" borderId="0" xfId="0" applyFont="1" applyFill="1"/>
    <xf numFmtId="0" fontId="4" fillId="10" borderId="0" xfId="27" applyNumberFormat="1" applyFont="1" applyFill="1" applyBorder="1" applyAlignment="1">
      <alignment vertical="center"/>
    </xf>
    <xf numFmtId="0" fontId="4" fillId="10" borderId="0" xfId="27" applyNumberFormat="1" applyFont="1" applyFill="1" applyBorder="1" applyAlignment="1"/>
    <xf numFmtId="168" fontId="4" fillId="10" borderId="0" xfId="27" applyNumberFormat="1" applyFont="1" applyFill="1" applyBorder="1" applyAlignment="1"/>
    <xf numFmtId="171" fontId="6" fillId="10" borderId="0" xfId="27" applyNumberFormat="1" applyFont="1" applyFill="1" applyBorder="1"/>
    <xf numFmtId="0" fontId="31" fillId="10" borderId="0" xfId="27" applyNumberFormat="1" applyFont="1" applyFill="1" applyBorder="1" applyAlignment="1"/>
    <xf numFmtId="0" fontId="6" fillId="10" borderId="0" xfId="27" applyNumberFormat="1" applyFont="1" applyFill="1" applyBorder="1" applyAlignment="1"/>
    <xf numFmtId="0" fontId="7" fillId="0" borderId="0" xfId="27" applyNumberFormat="1" applyFont="1" applyBorder="1" applyAlignment="1">
      <alignment horizontal="fill"/>
    </xf>
    <xf numFmtId="168" fontId="7" fillId="0" borderId="0" xfId="27" applyNumberFormat="1" applyFont="1" applyBorder="1" applyAlignment="1">
      <alignment horizontal="fill"/>
    </xf>
    <xf numFmtId="0" fontId="4" fillId="2" borderId="23" xfId="27" applyFont="1" applyFill="1" applyBorder="1" applyAlignment="1">
      <alignment horizontal="center" vertical="center"/>
    </xf>
    <xf numFmtId="0" fontId="6" fillId="2" borderId="24" xfId="27" applyNumberFormat="1" applyFont="1" applyFill="1" applyBorder="1" applyAlignment="1">
      <alignment horizontal="center" vertical="center" wrapText="1"/>
    </xf>
    <xf numFmtId="173" fontId="6" fillId="2" borderId="24" xfId="27" applyNumberFormat="1" applyFont="1" applyFill="1" applyBorder="1" applyAlignment="1">
      <alignment horizontal="center" vertical="center" wrapText="1"/>
    </xf>
    <xf numFmtId="168" fontId="6" fillId="2" borderId="24" xfId="27" applyNumberFormat="1" applyFont="1" applyFill="1" applyBorder="1" applyAlignment="1">
      <alignment horizontal="center" vertical="center" wrapText="1"/>
    </xf>
    <xf numFmtId="1" fontId="4" fillId="2" borderId="24" xfId="27" applyNumberFormat="1" applyFont="1" applyFill="1" applyBorder="1" applyAlignment="1">
      <alignment horizontal="center" vertical="center"/>
    </xf>
    <xf numFmtId="0" fontId="4" fillId="10" borderId="0" xfId="0" applyNumberFormat="1" applyFont="1" applyFill="1" applyBorder="1" applyAlignment="1">
      <alignment horizontal="left" vertical="top"/>
    </xf>
    <xf numFmtId="0" fontId="4" fillId="10" borderId="0" xfId="0" applyNumberFormat="1" applyFont="1" applyFill="1" applyBorder="1" applyAlignment="1">
      <alignment horizontal="center" vertical="top"/>
    </xf>
    <xf numFmtId="0" fontId="4" fillId="2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9" fillId="5" borderId="0" xfId="0" applyFont="1" applyFill="1" applyBorder="1"/>
    <xf numFmtId="0" fontId="9" fillId="5" borderId="0" xfId="27" applyFont="1" applyFill="1"/>
    <xf numFmtId="0" fontId="9" fillId="5" borderId="0" xfId="27" applyFont="1" applyFill="1" applyAlignment="1">
      <alignment horizontal="center"/>
    </xf>
    <xf numFmtId="0" fontId="7" fillId="2" borderId="0" xfId="27" applyFont="1" applyFill="1"/>
    <xf numFmtId="0" fontId="7" fillId="0" borderId="0" xfId="27" applyFont="1" applyFill="1"/>
    <xf numFmtId="0" fontId="7" fillId="0" borderId="0" xfId="27" applyFont="1" applyFill="1" applyAlignment="1">
      <alignment horizontal="center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9" fillId="0" borderId="0" xfId="27" applyFont="1" applyFill="1"/>
    <xf numFmtId="0" fontId="9" fillId="0" borderId="0" xfId="27" applyFont="1" applyFill="1" applyAlignment="1">
      <alignment horizontal="center"/>
    </xf>
    <xf numFmtId="168" fontId="7" fillId="2" borderId="0" xfId="27" applyNumberFormat="1" applyFont="1" applyFill="1"/>
    <xf numFmtId="0" fontId="33" fillId="2" borderId="0" xfId="0" applyNumberFormat="1" applyFont="1" applyFill="1" applyBorder="1" applyAlignment="1">
      <alignment horizontal="center" vertical="top"/>
    </xf>
    <xf numFmtId="0" fontId="33" fillId="10" borderId="0" xfId="0" applyNumberFormat="1" applyFont="1" applyFill="1" applyBorder="1" applyAlignment="1">
      <alignment horizontal="center" vertical="top"/>
    </xf>
    <xf numFmtId="0" fontId="33" fillId="0" borderId="0" xfId="0" applyFont="1"/>
    <xf numFmtId="175" fontId="9" fillId="0" borderId="0" xfId="27" applyNumberFormat="1" applyFont="1" applyFill="1" applyBorder="1"/>
    <xf numFmtId="175" fontId="9" fillId="0" borderId="0" xfId="0" applyNumberFormat="1" applyFont="1" applyFill="1" applyBorder="1"/>
    <xf numFmtId="0" fontId="7" fillId="0" borderId="0" xfId="27" applyNumberFormat="1" applyFont="1" applyFill="1" applyBorder="1" applyAlignment="1"/>
    <xf numFmtId="0" fontId="5" fillId="5" borderId="0" xfId="0" applyFont="1" applyFill="1" applyBorder="1"/>
    <xf numFmtId="1" fontId="0" fillId="5" borderId="0" xfId="0" applyNumberFormat="1" applyFont="1" applyFill="1"/>
    <xf numFmtId="0" fontId="0" fillId="5" borderId="0" xfId="0" applyFont="1" applyFill="1" applyBorder="1"/>
    <xf numFmtId="175" fontId="9" fillId="5" borderId="0" xfId="27" applyNumberFormat="1" applyFont="1" applyFill="1" applyBorder="1"/>
    <xf numFmtId="175" fontId="22" fillId="5" borderId="0" xfId="27" applyNumberFormat="1" applyFont="1" applyFill="1" applyBorder="1" applyAlignment="1">
      <alignment horizontal="center"/>
    </xf>
    <xf numFmtId="175" fontId="5" fillId="5" borderId="0" xfId="0" applyNumberFormat="1" applyFont="1" applyFill="1" applyBorder="1"/>
    <xf numFmtId="175" fontId="20" fillId="5" borderId="0" xfId="0" applyNumberFormat="1" applyFont="1" applyFill="1" applyBorder="1"/>
    <xf numFmtId="175" fontId="7" fillId="5" borderId="0" xfId="27" applyNumberFormat="1" applyFont="1" applyFill="1" applyBorder="1"/>
    <xf numFmtId="175" fontId="19" fillId="5" borderId="0" xfId="0" applyNumberFormat="1" applyFont="1" applyFill="1" applyBorder="1"/>
    <xf numFmtId="175" fontId="0" fillId="5" borderId="0" xfId="0" applyNumberFormat="1" applyFont="1" applyFill="1"/>
    <xf numFmtId="175" fontId="9" fillId="0" borderId="15" xfId="27" applyNumberFormat="1" applyFont="1" applyFill="1" applyBorder="1"/>
    <xf numFmtId="164" fontId="0" fillId="0" borderId="0" xfId="1" applyNumberFormat="1" applyFont="1"/>
    <xf numFmtId="175" fontId="5" fillId="0" borderId="0" xfId="0" applyNumberFormat="1" applyFont="1" applyBorder="1"/>
    <xf numFmtId="0" fontId="20" fillId="0" borderId="0" xfId="0" applyFont="1"/>
    <xf numFmtId="175" fontId="5" fillId="0" borderId="0" xfId="0" applyNumberFormat="1" applyFont="1" applyFill="1" applyBorder="1"/>
    <xf numFmtId="0" fontId="7" fillId="5" borderId="0" xfId="27" applyFont="1" applyFill="1"/>
    <xf numFmtId="175" fontId="5" fillId="0" borderId="15" xfId="0" applyNumberFormat="1" applyFont="1" applyBorder="1"/>
    <xf numFmtId="0" fontId="0" fillId="2" borderId="0" xfId="0" applyFont="1" applyFill="1" applyAlignment="1">
      <alignment horizontal="center"/>
    </xf>
    <xf numFmtId="0" fontId="21" fillId="3" borderId="5" xfId="27" applyNumberFormat="1" applyFont="1" applyFill="1" applyBorder="1" applyAlignment="1"/>
    <xf numFmtId="0" fontId="7" fillId="0" borderId="5" xfId="27" applyNumberFormat="1" applyFont="1" applyBorder="1" applyAlignment="1"/>
    <xf numFmtId="0" fontId="5" fillId="6" borderId="18" xfId="0" applyFont="1" applyFill="1" applyBorder="1" applyAlignment="1">
      <alignment horizontal="center" vertical="center"/>
    </xf>
    <xf numFmtId="0" fontId="37" fillId="5" borderId="8" xfId="0" applyFont="1" applyFill="1" applyBorder="1"/>
    <xf numFmtId="0" fontId="38" fillId="0" borderId="5" xfId="0" applyFont="1" applyFill="1" applyBorder="1"/>
    <xf numFmtId="0" fontId="38" fillId="0" borderId="4" xfId="0" applyFont="1" applyFill="1" applyBorder="1"/>
    <xf numFmtId="14" fontId="0" fillId="2" borderId="0" xfId="0" applyNumberFormat="1" applyFont="1" applyFill="1" applyAlignment="1">
      <alignment horizontal="center"/>
    </xf>
    <xf numFmtId="0" fontId="4" fillId="10" borderId="0" xfId="0" applyNumberFormat="1" applyFont="1" applyFill="1" applyBorder="1" applyAlignment="1">
      <alignment horizontal="left" vertical="center"/>
    </xf>
    <xf numFmtId="14" fontId="6" fillId="10" borderId="0" xfId="0" applyNumberFormat="1" applyFont="1" applyFill="1" applyBorder="1" applyAlignment="1">
      <alignment horizontal="left" vertical="top"/>
    </xf>
    <xf numFmtId="0" fontId="21" fillId="0" borderId="0" xfId="27" applyFont="1" applyFill="1" applyBorder="1"/>
    <xf numFmtId="3" fontId="20" fillId="0" borderId="0" xfId="0" applyNumberFormat="1" applyFont="1"/>
    <xf numFmtId="175" fontId="5" fillId="13" borderId="0" xfId="0" applyNumberFormat="1" applyFont="1" applyFill="1"/>
    <xf numFmtId="175" fontId="5" fillId="13" borderId="0" xfId="0" applyNumberFormat="1" applyFont="1" applyFill="1" applyBorder="1"/>
    <xf numFmtId="175" fontId="9" fillId="13" borderId="0" xfId="27" applyNumberFormat="1" applyFont="1" applyFill="1" applyBorder="1"/>
    <xf numFmtId="175" fontId="7" fillId="0" borderId="3" xfId="0" applyNumberFormat="1" applyFont="1" applyFill="1" applyBorder="1"/>
    <xf numFmtId="175" fontId="0" fillId="0" borderId="3" xfId="0" applyNumberFormat="1" applyFont="1" applyFill="1" applyBorder="1"/>
    <xf numFmtId="175" fontId="4" fillId="12" borderId="0" xfId="0" applyNumberFormat="1" applyFont="1" applyFill="1" applyBorder="1"/>
    <xf numFmtId="175" fontId="4" fillId="12" borderId="0" xfId="0" applyNumberFormat="1" applyFont="1" applyFill="1"/>
    <xf numFmtId="172" fontId="9" fillId="0" borderId="0" xfId="27" applyNumberFormat="1" applyFont="1" applyFill="1" applyAlignment="1"/>
    <xf numFmtId="0" fontId="26" fillId="0" borderId="0" xfId="0" applyFont="1" applyFill="1"/>
    <xf numFmtId="0" fontId="8" fillId="2" borderId="0" xfId="0" applyNumberFormat="1" applyFont="1" applyFill="1" applyBorder="1" applyAlignment="1">
      <alignment horizontal="left" vertical="center"/>
    </xf>
    <xf numFmtId="175" fontId="0" fillId="0" borderId="0" xfId="121" applyNumberFormat="1" applyFont="1"/>
    <xf numFmtId="0" fontId="36" fillId="0" borderId="0" xfId="0" applyFont="1" applyFill="1"/>
    <xf numFmtId="167" fontId="7" fillId="0" borderId="0" xfId="2" applyNumberFormat="1" applyFont="1" applyAlignment="1">
      <alignment horizontal="right"/>
    </xf>
    <xf numFmtId="9" fontId="7" fillId="0" borderId="0" xfId="2" applyFont="1" applyAlignment="1">
      <alignment horizontal="right"/>
    </xf>
    <xf numFmtId="167" fontId="7" fillId="0" borderId="0" xfId="6" applyNumberFormat="1" applyFont="1" applyFill="1" applyAlignment="1">
      <alignment horizontal="right"/>
    </xf>
    <xf numFmtId="167" fontId="7" fillId="0" borderId="0" xfId="27" applyNumberFormat="1" applyFont="1" applyFill="1" applyAlignment="1">
      <alignment horizontal="right"/>
    </xf>
    <xf numFmtId="167" fontId="7" fillId="0" borderId="0" xfId="27" applyNumberFormat="1" applyFont="1" applyAlignment="1">
      <alignment horizontal="right"/>
    </xf>
    <xf numFmtId="164" fontId="31" fillId="0" borderId="0" xfId="1" applyNumberFormat="1" applyFont="1" applyAlignment="1">
      <alignment horizontal="right"/>
    </xf>
    <xf numFmtId="164" fontId="7" fillId="0" borderId="0" xfId="1" applyNumberFormat="1" applyFont="1" applyAlignment="1">
      <alignment horizontal="right"/>
    </xf>
    <xf numFmtId="0" fontId="7" fillId="5" borderId="0" xfId="27" applyNumberFormat="1" applyFont="1" applyFill="1" applyAlignment="1">
      <alignment horizontal="right"/>
    </xf>
    <xf numFmtId="164" fontId="9" fillId="0" borderId="0" xfId="1" applyNumberFormat="1" applyFont="1" applyAlignment="1">
      <alignment horizontal="right"/>
    </xf>
    <xf numFmtId="172" fontId="7" fillId="0" borderId="0" xfId="27" applyNumberFormat="1" applyFont="1" applyAlignment="1">
      <alignment horizontal="right"/>
    </xf>
    <xf numFmtId="172" fontId="23" fillId="0" borderId="0" xfId="27" applyNumberFormat="1" applyFont="1" applyAlignment="1">
      <alignment horizontal="right"/>
    </xf>
    <xf numFmtId="175" fontId="9" fillId="0" borderId="0" xfId="27" applyNumberFormat="1" applyFont="1" applyBorder="1" applyAlignment="1">
      <alignment horizontal="right"/>
    </xf>
    <xf numFmtId="165" fontId="7" fillId="5" borderId="0" xfId="27" applyNumberFormat="1" applyFont="1" applyFill="1" applyAlignment="1">
      <alignment horizontal="right"/>
    </xf>
    <xf numFmtId="165" fontId="7" fillId="0" borderId="0" xfId="27" applyNumberFormat="1" applyFont="1" applyFill="1" applyAlignment="1">
      <alignment horizontal="right"/>
    </xf>
    <xf numFmtId="165" fontId="7" fillId="7" borderId="0" xfId="27" applyNumberFormat="1" applyFont="1" applyFill="1" applyAlignment="1">
      <alignment horizontal="right"/>
    </xf>
    <xf numFmtId="0" fontId="31" fillId="0" borderId="0" xfId="27" applyFont="1" applyAlignment="1">
      <alignment horizontal="right"/>
    </xf>
    <xf numFmtId="174" fontId="7" fillId="0" borderId="0" xfId="27" applyNumberFormat="1" applyFont="1" applyAlignment="1">
      <alignment horizontal="right"/>
    </xf>
    <xf numFmtId="0" fontId="31" fillId="2" borderId="0" xfId="27" applyFont="1" applyFill="1" applyAlignment="1">
      <alignment horizontal="right"/>
    </xf>
    <xf numFmtId="0" fontId="7" fillId="2" borderId="0" xfId="27" applyFont="1" applyFill="1" applyAlignment="1">
      <alignment horizontal="right"/>
    </xf>
    <xf numFmtId="0" fontId="33" fillId="0" borderId="0" xfId="0" applyFont="1" applyAlignment="1">
      <alignment horizontal="right"/>
    </xf>
    <xf numFmtId="0" fontId="0" fillId="0" borderId="0" xfId="0" applyFont="1" applyAlignment="1">
      <alignment horizontal="right"/>
    </xf>
    <xf numFmtId="0" fontId="20" fillId="0" borderId="0" xfId="0" applyFont="1" applyAlignment="1">
      <alignment horizontal="right"/>
    </xf>
    <xf numFmtId="164" fontId="21" fillId="0" borderId="0" xfId="1" applyNumberFormat="1" applyFont="1" applyAlignment="1">
      <alignment horizontal="right"/>
    </xf>
    <xf numFmtId="164" fontId="7" fillId="0" borderId="0" xfId="1" applyNumberFormat="1" applyFont="1" applyFill="1" applyAlignment="1">
      <alignment horizontal="right"/>
    </xf>
    <xf numFmtId="0" fontId="7" fillId="0" borderId="0" xfId="0" applyFont="1" applyAlignment="1">
      <alignment horizontal="right"/>
    </xf>
    <xf numFmtId="1" fontId="7" fillId="5" borderId="0" xfId="0" applyNumberFormat="1" applyFont="1" applyFill="1" applyAlignment="1">
      <alignment horizontal="right"/>
    </xf>
    <xf numFmtId="175" fontId="7" fillId="0" borderId="0" xfId="0" applyNumberFormat="1" applyFont="1" applyAlignment="1">
      <alignment horizontal="right"/>
    </xf>
    <xf numFmtId="0" fontId="0" fillId="2" borderId="0" xfId="0" applyFont="1" applyFill="1" applyAlignment="1">
      <alignment horizontal="right"/>
    </xf>
    <xf numFmtId="0" fontId="7" fillId="7" borderId="0" xfId="27" applyNumberFormat="1" applyFont="1" applyFill="1" applyAlignment="1">
      <alignment horizontal="right"/>
    </xf>
    <xf numFmtId="0" fontId="7" fillId="0" borderId="0" xfId="0" applyFont="1" applyFill="1" applyAlignment="1">
      <alignment horizontal="right"/>
    </xf>
    <xf numFmtId="175" fontId="9" fillId="14" borderId="6" xfId="27" applyNumberFormat="1" applyFont="1" applyFill="1" applyBorder="1" applyAlignment="1">
      <alignment horizontal="right"/>
    </xf>
    <xf numFmtId="175" fontId="5" fillId="14" borderId="6" xfId="27" applyNumberFormat="1" applyFont="1" applyFill="1" applyBorder="1" applyAlignment="1">
      <alignment horizontal="right" vertical="center"/>
    </xf>
    <xf numFmtId="175" fontId="5" fillId="0" borderId="0" xfId="27" applyNumberFormat="1" applyFont="1" applyFill="1" applyBorder="1" applyAlignment="1">
      <alignment horizontal="right" vertical="center"/>
    </xf>
    <xf numFmtId="164" fontId="9" fillId="14" borderId="6" xfId="1" applyNumberFormat="1" applyFont="1" applyFill="1" applyBorder="1" applyAlignment="1">
      <alignment horizontal="right"/>
    </xf>
    <xf numFmtId="0" fontId="38" fillId="0" borderId="0" xfId="0" applyFont="1"/>
    <xf numFmtId="177" fontId="0" fillId="0" borderId="0" xfId="0" applyNumberFormat="1" applyFont="1"/>
    <xf numFmtId="164" fontId="33" fillId="0" borderId="0" xfId="1" applyNumberFormat="1" applyFont="1" applyFill="1"/>
    <xf numFmtId="0" fontId="28" fillId="0" borderId="0" xfId="0" applyNumberFormat="1" applyFont="1" applyFill="1" applyBorder="1" applyAlignment="1"/>
    <xf numFmtId="0" fontId="16" fillId="0" borderId="0" xfId="4" applyNumberFormat="1" applyFont="1" applyFill="1" applyAlignment="1">
      <alignment vertical="center"/>
    </xf>
    <xf numFmtId="0" fontId="26" fillId="0" borderId="0" xfId="4" applyNumberFormat="1" applyFont="1" applyFill="1" applyAlignment="1">
      <alignment vertical="center"/>
    </xf>
    <xf numFmtId="164" fontId="28" fillId="0" borderId="0" xfId="1" applyNumberFormat="1" applyFont="1" applyFill="1" applyAlignment="1">
      <alignment vertical="center"/>
    </xf>
    <xf numFmtId="0" fontId="7" fillId="0" borderId="0" xfId="4" applyNumberFormat="1" applyFont="1" applyFill="1" applyAlignment="1">
      <alignment vertical="center"/>
    </xf>
    <xf numFmtId="178" fontId="7" fillId="5" borderId="0" xfId="121" applyNumberFormat="1" applyFont="1" applyFill="1" applyAlignment="1">
      <alignment horizontal="right"/>
    </xf>
    <xf numFmtId="175" fontId="5" fillId="8" borderId="0" xfId="0" applyNumberFormat="1" applyFont="1" applyFill="1" applyBorder="1"/>
    <xf numFmtId="175" fontId="9" fillId="8" borderId="0" xfId="27" applyNumberFormat="1" applyFont="1" applyFill="1" applyBorder="1"/>
    <xf numFmtId="175" fontId="21" fillId="5" borderId="25" xfId="27" applyNumberFormat="1" applyFont="1" applyFill="1" applyBorder="1" applyAlignment="1">
      <alignment horizontal="right"/>
    </xf>
    <xf numFmtId="175" fontId="38" fillId="0" borderId="0" xfId="0" applyNumberFormat="1" applyFont="1" applyFill="1" applyBorder="1"/>
    <xf numFmtId="175" fontId="38" fillId="0" borderId="0" xfId="0" applyNumberFormat="1" applyFont="1"/>
    <xf numFmtId="175" fontId="38" fillId="0" borderId="0" xfId="0" applyNumberFormat="1" applyFont="1" applyFill="1"/>
    <xf numFmtId="175" fontId="7" fillId="0" borderId="0" xfId="0" applyNumberFormat="1" applyFont="1" applyFill="1"/>
    <xf numFmtId="0" fontId="38" fillId="0" borderId="5" xfId="27" applyFont="1" applyBorder="1"/>
    <xf numFmtId="167" fontId="7" fillId="0" borderId="0" xfId="2" applyNumberFormat="1" applyFont="1" applyFill="1" applyBorder="1"/>
    <xf numFmtId="175" fontId="0" fillId="0" borderId="0" xfId="0" applyNumberFormat="1" applyFont="1" applyAlignment="1">
      <alignment horizontal="right"/>
    </xf>
    <xf numFmtId="1" fontId="0" fillId="0" borderId="0" xfId="0" applyNumberFormat="1" applyFont="1"/>
    <xf numFmtId="43" fontId="0" fillId="0" borderId="0" xfId="0" applyNumberFormat="1" applyFont="1"/>
    <xf numFmtId="1" fontId="0" fillId="0" borderId="0" xfId="0" applyNumberFormat="1" applyFont="1" applyAlignment="1">
      <alignment horizontal="right"/>
    </xf>
    <xf numFmtId="167" fontId="9" fillId="0" borderId="0" xfId="2" applyNumberFormat="1" applyFont="1" applyFill="1"/>
    <xf numFmtId="173" fontId="7" fillId="0" borderId="0" xfId="27" applyNumberFormat="1" applyFont="1" applyFill="1"/>
    <xf numFmtId="168" fontId="7" fillId="0" borderId="0" xfId="27" applyNumberFormat="1" applyFont="1" applyFill="1" applyAlignment="1"/>
    <xf numFmtId="0" fontId="7" fillId="0" borderId="0" xfId="27" applyNumberFormat="1" applyFont="1" applyFill="1" applyAlignment="1">
      <alignment horizontal="right"/>
    </xf>
    <xf numFmtId="175" fontId="6" fillId="0" borderId="0" xfId="27" applyNumberFormat="1" applyFont="1" applyFill="1" applyBorder="1" applyAlignment="1">
      <alignment horizontal="center"/>
    </xf>
    <xf numFmtId="0" fontId="3" fillId="0" borderId="0" xfId="0" applyFont="1" applyFill="1"/>
    <xf numFmtId="0" fontId="0" fillId="0" borderId="3" xfId="0" applyFont="1" applyFill="1" applyBorder="1"/>
    <xf numFmtId="167" fontId="5" fillId="0" borderId="0" xfId="2" applyNumberFormat="1" applyFont="1"/>
    <xf numFmtId="0" fontId="0" fillId="0" borderId="0" xfId="0" applyFill="1"/>
    <xf numFmtId="0" fontId="5" fillId="0" borderId="0" xfId="0" applyFont="1" applyFill="1" applyBorder="1" applyAlignment="1">
      <alignment horizontal="center" vertical="center"/>
    </xf>
    <xf numFmtId="164" fontId="29" fillId="15" borderId="0" xfId="1" applyNumberFormat="1" applyFont="1" applyFill="1" applyBorder="1"/>
    <xf numFmtId="0" fontId="7" fillId="15" borderId="0" xfId="4" applyNumberFormat="1" applyFont="1" applyFill="1" applyBorder="1" applyAlignment="1">
      <alignment vertical="center"/>
    </xf>
    <xf numFmtId="0" fontId="26" fillId="0" borderId="0" xfId="0" applyFont="1" applyFill="1" applyBorder="1"/>
    <xf numFmtId="164" fontId="33" fillId="0" borderId="0" xfId="1" applyNumberFormat="1" applyFont="1" applyFill="1" applyBorder="1"/>
    <xf numFmtId="0" fontId="29" fillId="0" borderId="0" xfId="0" applyFont="1" applyFill="1" applyBorder="1"/>
    <xf numFmtId="164" fontId="27" fillId="0" borderId="0" xfId="0" applyNumberFormat="1" applyFont="1" applyFill="1" applyBorder="1"/>
    <xf numFmtId="164" fontId="26" fillId="0" borderId="0" xfId="0" applyNumberFormat="1" applyFont="1" applyFill="1" applyBorder="1"/>
    <xf numFmtId="0" fontId="4" fillId="2" borderId="1" xfId="0" applyNumberFormat="1" applyFont="1" applyFill="1" applyBorder="1" applyAlignment="1">
      <alignment horizontal="left" vertical="top"/>
    </xf>
    <xf numFmtId="0" fontId="39" fillId="0" borderId="0" xfId="0" applyFont="1"/>
    <xf numFmtId="0" fontId="8" fillId="2" borderId="0" xfId="0" applyNumberFormat="1" applyFont="1" applyFill="1" applyBorder="1" applyAlignment="1">
      <alignment horizontal="left" vertical="top"/>
    </xf>
    <xf numFmtId="14" fontId="8" fillId="2" borderId="0" xfId="0" applyNumberFormat="1" applyFont="1" applyFill="1" applyBorder="1" applyAlignment="1">
      <alignment horizontal="left" vertical="top"/>
    </xf>
    <xf numFmtId="0" fontId="8" fillId="2" borderId="1" xfId="0" applyNumberFormat="1" applyFont="1" applyFill="1" applyBorder="1" applyAlignment="1">
      <alignment horizontal="left" vertical="top"/>
    </xf>
    <xf numFmtId="0" fontId="8" fillId="2" borderId="0" xfId="0" applyFont="1" applyFill="1"/>
    <xf numFmtId="0" fontId="40" fillId="0" borderId="0" xfId="0" applyFont="1" applyFill="1"/>
    <xf numFmtId="0" fontId="8" fillId="2" borderId="0" xfId="0" applyNumberFormat="1" applyFont="1" applyFill="1" applyBorder="1" applyAlignment="1">
      <alignment horizontal="center" vertical="top"/>
    </xf>
    <xf numFmtId="0" fontId="41" fillId="2" borderId="0" xfId="0" applyNumberFormat="1" applyFont="1" applyFill="1" applyBorder="1" applyAlignment="1">
      <alignment horizontal="center" vertical="top"/>
    </xf>
    <xf numFmtId="171" fontId="8" fillId="2" borderId="0" xfId="27" applyNumberFormat="1" applyFont="1" applyFill="1"/>
    <xf numFmtId="0" fontId="41" fillId="2" borderId="0" xfId="27" applyNumberFormat="1" applyFont="1" applyFill="1" applyAlignment="1"/>
    <xf numFmtId="0" fontId="8" fillId="2" borderId="0" xfId="27" applyNumberFormat="1" applyFont="1" applyFill="1" applyAlignment="1"/>
    <xf numFmtId="0" fontId="40" fillId="0" borderId="0" xfId="27" applyFont="1"/>
    <xf numFmtId="168" fontId="8" fillId="2" borderId="0" xfId="0" applyNumberFormat="1" applyFont="1" applyFill="1" applyBorder="1" applyAlignment="1">
      <alignment horizontal="left" vertical="top"/>
    </xf>
    <xf numFmtId="0" fontId="8" fillId="2" borderId="0" xfId="0" applyNumberFormat="1" applyFont="1" applyFill="1" applyBorder="1" applyAlignment="1">
      <alignment horizontal="center" vertical="center"/>
    </xf>
    <xf numFmtId="0" fontId="42" fillId="2" borderId="0" xfId="0" applyFont="1" applyFill="1"/>
    <xf numFmtId="0" fontId="8" fillId="2" borderId="0" xfId="4" applyNumberFormat="1" applyFont="1" applyFill="1" applyAlignment="1">
      <alignment vertical="center"/>
    </xf>
    <xf numFmtId="0" fontId="43" fillId="2" borderId="0" xfId="0" applyFont="1" applyFill="1"/>
    <xf numFmtId="4" fontId="7" fillId="0" borderId="0" xfId="0" applyNumberFormat="1" applyFont="1" applyFill="1" applyBorder="1" applyAlignment="1">
      <alignment horizontal="center"/>
    </xf>
    <xf numFmtId="179" fontId="7" fillId="0" borderId="0" xfId="0" applyNumberFormat="1" applyFont="1" applyFill="1"/>
    <xf numFmtId="0" fontId="0" fillId="15" borderId="0" xfId="0" applyFont="1" applyFill="1"/>
    <xf numFmtId="179" fontId="7" fillId="15" borderId="0" xfId="0" applyNumberFormat="1" applyFont="1" applyFill="1"/>
    <xf numFmtId="174" fontId="7" fillId="15" borderId="0" xfId="27" applyNumberFormat="1" applyFont="1" applyFill="1"/>
    <xf numFmtId="0" fontId="9" fillId="15" borderId="0" xfId="27" applyFont="1" applyFill="1"/>
    <xf numFmtId="179" fontId="7" fillId="15" borderId="0" xfId="0" applyNumberFormat="1" applyFont="1" applyFill="1" applyBorder="1"/>
    <xf numFmtId="179" fontId="7" fillId="0" borderId="0" xfId="0" applyNumberFormat="1" applyFont="1" applyFill="1" applyBorder="1"/>
    <xf numFmtId="0" fontId="21" fillId="0" borderId="0" xfId="0" applyFont="1" applyFill="1" applyBorder="1"/>
    <xf numFmtId="0" fontId="30" fillId="0" borderId="0" xfId="0" applyFont="1" applyFill="1" applyBorder="1" applyAlignment="1">
      <alignment horizontal="center"/>
    </xf>
    <xf numFmtId="179" fontId="30" fillId="15" borderId="0" xfId="0" applyNumberFormat="1" applyFont="1" applyFill="1" applyBorder="1"/>
    <xf numFmtId="179" fontId="30" fillId="0" borderId="0" xfId="0" applyNumberFormat="1" applyFont="1" applyFill="1" applyBorder="1"/>
    <xf numFmtId="0" fontId="30" fillId="0" borderId="0" xfId="0" applyFont="1" applyFill="1" applyBorder="1"/>
    <xf numFmtId="179" fontId="5" fillId="15" borderId="0" xfId="0" applyNumberFormat="1" applyFont="1" applyFill="1"/>
    <xf numFmtId="179" fontId="5" fillId="0" borderId="0" xfId="0" applyNumberFormat="1" applyFont="1" applyFill="1"/>
    <xf numFmtId="179" fontId="0" fillId="0" borderId="0" xfId="0" applyNumberFormat="1" applyFont="1"/>
    <xf numFmtId="179" fontId="9" fillId="5" borderId="0" xfId="0" applyNumberFormat="1" applyFont="1" applyFill="1" applyBorder="1"/>
    <xf numFmtId="179" fontId="5" fillId="5" borderId="0" xfId="0" applyNumberFormat="1" applyFont="1" applyFill="1"/>
    <xf numFmtId="179" fontId="9" fillId="15" borderId="0" xfId="0" applyNumberFormat="1" applyFont="1" applyFill="1" applyBorder="1"/>
    <xf numFmtId="179" fontId="9" fillId="0" borderId="0" xfId="0" applyNumberFormat="1" applyFont="1" applyFill="1" applyBorder="1"/>
    <xf numFmtId="0" fontId="30" fillId="0" borderId="0" xfId="0" applyFont="1" applyFill="1"/>
    <xf numFmtId="164" fontId="9" fillId="0" borderId="0" xfId="1" applyNumberFormat="1" applyFont="1" applyFill="1" applyBorder="1"/>
    <xf numFmtId="164" fontId="9" fillId="0" borderId="0" xfId="1" applyNumberFormat="1" applyFont="1" applyAlignment="1">
      <alignment vertical="center"/>
    </xf>
    <xf numFmtId="164" fontId="9" fillId="0" borderId="0" xfId="1" applyNumberFormat="1" applyFont="1"/>
    <xf numFmtId="0" fontId="9" fillId="0" borderId="0" xfId="0" applyFont="1"/>
    <xf numFmtId="167" fontId="7" fillId="0" borderId="0" xfId="2" applyNumberFormat="1" applyFont="1" applyFill="1" applyAlignment="1">
      <alignment vertical="center"/>
    </xf>
    <xf numFmtId="167" fontId="0" fillId="0" borderId="0" xfId="2" applyNumberFormat="1" applyFont="1" applyFill="1"/>
    <xf numFmtId="0" fontId="7" fillId="15" borderId="0" xfId="4" applyNumberFormat="1" applyFont="1" applyFill="1" applyAlignment="1">
      <alignment vertical="center"/>
    </xf>
    <xf numFmtId="164" fontId="16" fillId="15" borderId="0" xfId="1" applyNumberFormat="1" applyFont="1" applyFill="1" applyAlignment="1">
      <alignment vertical="center"/>
    </xf>
    <xf numFmtId="164" fontId="9" fillId="15" borderId="0" xfId="1" applyNumberFormat="1" applyFont="1" applyFill="1" applyAlignment="1">
      <alignment vertical="center"/>
    </xf>
    <xf numFmtId="164" fontId="29" fillId="15" borderId="0" xfId="1" applyNumberFormat="1" applyFont="1" applyFill="1"/>
    <xf numFmtId="164" fontId="29" fillId="15" borderId="0" xfId="1" applyNumberFormat="1" applyFont="1" applyFill="1" applyBorder="1" applyAlignment="1">
      <alignment horizontal="fill"/>
    </xf>
    <xf numFmtId="164" fontId="9" fillId="0" borderId="0" xfId="1" applyNumberFormat="1" applyFont="1" applyFill="1" applyAlignment="1">
      <alignment vertical="center"/>
    </xf>
    <xf numFmtId="164" fontId="27" fillId="0" borderId="0" xfId="1" applyNumberFormat="1" applyFont="1" applyFill="1" applyAlignment="1">
      <alignment vertical="center"/>
    </xf>
    <xf numFmtId="164" fontId="27" fillId="0" borderId="0" xfId="1" applyNumberFormat="1" applyFont="1" applyFill="1" applyBorder="1" applyAlignment="1"/>
    <xf numFmtId="164" fontId="27" fillId="0" borderId="0" xfId="1" applyNumberFormat="1" applyFont="1"/>
    <xf numFmtId="164" fontId="26" fillId="0" borderId="0" xfId="1" applyNumberFormat="1" applyFont="1"/>
    <xf numFmtId="164" fontId="7" fillId="0" borderId="0" xfId="1" applyNumberFormat="1" applyFont="1"/>
    <xf numFmtId="164" fontId="7" fillId="15" borderId="0" xfId="1" applyNumberFormat="1" applyFont="1" applyFill="1" applyBorder="1" applyAlignment="1"/>
    <xf numFmtId="164" fontId="7" fillId="0" borderId="0" xfId="1" applyNumberFormat="1" applyFont="1" applyFill="1" applyBorder="1" applyAlignment="1"/>
    <xf numFmtId="167" fontId="7" fillId="0" borderId="0" xfId="2" applyNumberFormat="1" applyFont="1" applyAlignment="1">
      <alignment vertical="center"/>
    </xf>
    <xf numFmtId="167" fontId="0" fillId="0" borderId="0" xfId="2" applyNumberFormat="1" applyFont="1"/>
    <xf numFmtId="164" fontId="7" fillId="15" borderId="0" xfId="1" applyNumberFormat="1" applyFont="1" applyFill="1" applyBorder="1"/>
    <xf numFmtId="164" fontId="7" fillId="0" borderId="0" xfId="1" applyNumberFormat="1" applyFont="1" applyFill="1" applyBorder="1"/>
    <xf numFmtId="167" fontId="9" fillId="0" borderId="0" xfId="2" applyNumberFormat="1" applyFont="1" applyAlignment="1">
      <alignment horizontal="right"/>
    </xf>
    <xf numFmtId="167" fontId="9" fillId="15" borderId="0" xfId="2" applyNumberFormat="1" applyFont="1" applyFill="1" applyAlignment="1">
      <alignment horizontal="right"/>
    </xf>
    <xf numFmtId="0" fontId="45" fillId="9" borderId="0" xfId="0" applyNumberFormat="1" applyFont="1" applyFill="1" applyBorder="1" applyAlignment="1">
      <alignment horizontal="center" vertical="center"/>
    </xf>
    <xf numFmtId="167" fontId="26" fillId="0" borderId="0" xfId="2" applyNumberFormat="1" applyFont="1" applyFill="1" applyBorder="1" applyAlignment="1"/>
    <xf numFmtId="167" fontId="7" fillId="0" borderId="0" xfId="2" applyNumberFormat="1" applyFont="1" applyFill="1" applyBorder="1" applyAlignment="1"/>
    <xf numFmtId="167" fontId="7" fillId="15" borderId="0" xfId="2" applyNumberFormat="1" applyFont="1" applyFill="1" applyBorder="1" applyAlignment="1"/>
    <xf numFmtId="164" fontId="7" fillId="15" borderId="0" xfId="1" applyNumberFormat="1" applyFont="1" applyFill="1"/>
    <xf numFmtId="164" fontId="32" fillId="0" borderId="0" xfId="1" applyNumberFormat="1" applyFont="1"/>
    <xf numFmtId="164" fontId="30" fillId="0" borderId="0" xfId="1" applyNumberFormat="1" applyFont="1"/>
    <xf numFmtId="164" fontId="30" fillId="0" borderId="0" xfId="1" applyNumberFormat="1" applyFont="1" applyFill="1" applyBorder="1"/>
    <xf numFmtId="167" fontId="30" fillId="0" borderId="0" xfId="2" applyNumberFormat="1" applyFont="1" applyFill="1" applyBorder="1"/>
    <xf numFmtId="167" fontId="32" fillId="0" borderId="0" xfId="2" applyNumberFormat="1" applyFont="1" applyAlignment="1">
      <alignment horizontal="right"/>
    </xf>
    <xf numFmtId="164" fontId="47" fillId="0" borderId="0" xfId="1" applyNumberFormat="1" applyFont="1" applyFill="1" applyBorder="1" applyAlignment="1"/>
    <xf numFmtId="167" fontId="47" fillId="0" borderId="0" xfId="2" applyNumberFormat="1" applyFont="1" applyFill="1" applyBorder="1" applyAlignment="1"/>
    <xf numFmtId="167" fontId="46" fillId="0" borderId="0" xfId="2" applyNumberFormat="1" applyFont="1" applyAlignment="1">
      <alignment horizontal="right"/>
    </xf>
    <xf numFmtId="0" fontId="21" fillId="0" borderId="0" xfId="0" applyNumberFormat="1" applyFont="1" applyFill="1" applyBorder="1" applyAlignment="1"/>
    <xf numFmtId="0" fontId="48" fillId="0" borderId="0" xfId="0" applyFont="1"/>
    <xf numFmtId="0" fontId="49" fillId="0" borderId="0" xfId="27" applyNumberFormat="1" applyFont="1" applyAlignment="1">
      <alignment horizontal="left"/>
    </xf>
    <xf numFmtId="0" fontId="27" fillId="0" borderId="0" xfId="0" applyFont="1"/>
    <xf numFmtId="164" fontId="9" fillId="15" borderId="0" xfId="1" applyNumberFormat="1" applyFont="1" applyFill="1" applyAlignment="1">
      <alignment horizontal="right"/>
    </xf>
    <xf numFmtId="164" fontId="46" fillId="0" borderId="0" xfId="1" applyNumberFormat="1" applyFont="1" applyAlignment="1">
      <alignment horizontal="right"/>
    </xf>
    <xf numFmtId="164" fontId="27" fillId="0" borderId="0" xfId="1" applyNumberFormat="1" applyFont="1" applyAlignment="1">
      <alignment horizontal="right"/>
    </xf>
    <xf numFmtId="167" fontId="26" fillId="0" borderId="0" xfId="2" applyNumberFormat="1" applyFont="1"/>
    <xf numFmtId="167" fontId="27" fillId="0" borderId="0" xfId="2" applyNumberFormat="1" applyFont="1" applyAlignment="1">
      <alignment horizontal="right"/>
    </xf>
    <xf numFmtId="167" fontId="7" fillId="0" borderId="0" xfId="2" applyNumberFormat="1" applyFont="1"/>
    <xf numFmtId="167" fontId="7" fillId="15" borderId="0" xfId="2" applyNumberFormat="1" applyFont="1" applyFill="1"/>
    <xf numFmtId="167" fontId="47" fillId="0" borderId="0" xfId="2" applyNumberFormat="1" applyFont="1"/>
    <xf numFmtId="164" fontId="9" fillId="15" borderId="0" xfId="1" applyNumberFormat="1" applyFont="1" applyFill="1"/>
    <xf numFmtId="164" fontId="47" fillId="0" borderId="0" xfId="1" applyNumberFormat="1" applyFont="1" applyAlignment="1">
      <alignment horizontal="right"/>
    </xf>
    <xf numFmtId="167" fontId="9" fillId="15" borderId="0" xfId="2" applyNumberFormat="1" applyFont="1" applyFill="1"/>
    <xf numFmtId="167" fontId="27" fillId="0" borderId="0" xfId="2" applyNumberFormat="1" applyFont="1"/>
    <xf numFmtId="164" fontId="7" fillId="0" borderId="0" xfId="0" applyNumberFormat="1" applyFont="1"/>
    <xf numFmtId="164" fontId="7" fillId="15" borderId="0" xfId="0" applyNumberFormat="1" applyFont="1" applyFill="1"/>
    <xf numFmtId="0" fontId="16" fillId="5" borderId="0" xfId="4" applyNumberFormat="1" applyFont="1" applyFill="1" applyBorder="1" applyAlignment="1">
      <alignment vertical="center"/>
    </xf>
    <xf numFmtId="0" fontId="26" fillId="7" borderId="0" xfId="0" applyFont="1" applyFill="1" applyBorder="1"/>
    <xf numFmtId="164" fontId="33" fillId="7" borderId="0" xfId="1" applyNumberFormat="1" applyFont="1" applyFill="1" applyBorder="1"/>
    <xf numFmtId="0" fontId="29" fillId="7" borderId="0" xfId="0" applyFont="1" applyFill="1" applyBorder="1"/>
    <xf numFmtId="164" fontId="7" fillId="7" borderId="0" xfId="1" applyNumberFormat="1" applyFont="1" applyFill="1" applyBorder="1"/>
    <xf numFmtId="0" fontId="7" fillId="5" borderId="0" xfId="4" applyNumberFormat="1" applyFont="1" applyFill="1" applyBorder="1" applyAlignment="1">
      <alignment vertical="center"/>
    </xf>
    <xf numFmtId="0" fontId="16" fillId="0" borderId="0" xfId="4" applyNumberFormat="1" applyFont="1" applyFill="1" applyBorder="1" applyAlignment="1">
      <alignment vertical="center"/>
    </xf>
    <xf numFmtId="0" fontId="7" fillId="0" borderId="0" xfId="4" applyNumberFormat="1" applyFont="1" applyFill="1" applyBorder="1" applyAlignment="1">
      <alignment vertical="center"/>
    </xf>
    <xf numFmtId="164" fontId="7" fillId="0" borderId="0" xfId="1" applyNumberFormat="1" applyFont="1" applyFill="1"/>
    <xf numFmtId="0" fontId="5" fillId="6" borderId="18" xfId="0" applyFont="1" applyFill="1" applyBorder="1" applyAlignment="1">
      <alignment horizontal="left" vertical="center"/>
    </xf>
    <xf numFmtId="0" fontId="33" fillId="15" borderId="0" xfId="0" applyFont="1" applyFill="1"/>
    <xf numFmtId="164" fontId="7" fillId="15" borderId="0" xfId="1" applyNumberFormat="1" applyFont="1" applyFill="1" applyAlignment="1">
      <alignment horizontal="right"/>
    </xf>
    <xf numFmtId="3" fontId="7" fillId="0" borderId="0" xfId="0" applyNumberFormat="1" applyFont="1"/>
    <xf numFmtId="0" fontId="9" fillId="15" borderId="0" xfId="0" applyFont="1" applyFill="1"/>
    <xf numFmtId="0" fontId="9" fillId="15" borderId="0" xfId="0" applyFont="1" applyFill="1" applyAlignment="1">
      <alignment horizontal="right"/>
    </xf>
    <xf numFmtId="0" fontId="21" fillId="15" borderId="0" xfId="0" applyFont="1" applyFill="1" applyAlignment="1">
      <alignment horizontal="right"/>
    </xf>
    <xf numFmtId="164" fontId="21" fillId="15" borderId="0" xfId="1" applyNumberFormat="1" applyFont="1" applyFill="1" applyAlignment="1">
      <alignment horizontal="right"/>
    </xf>
    <xf numFmtId="9" fontId="7" fillId="15" borderId="0" xfId="2" applyFont="1" applyFill="1" applyAlignment="1">
      <alignment horizontal="right"/>
    </xf>
    <xf numFmtId="0" fontId="9" fillId="2" borderId="0" xfId="0" applyFont="1" applyFill="1" applyAlignment="1">
      <alignment horizontal="right"/>
    </xf>
    <xf numFmtId="0" fontId="9" fillId="0" borderId="0" xfId="0" applyFont="1" applyAlignment="1">
      <alignment horizontal="right"/>
    </xf>
    <xf numFmtId="167" fontId="7" fillId="0" borderId="0" xfId="2" applyNumberFormat="1" applyFont="1" applyFill="1" applyAlignment="1">
      <alignment horizontal="right"/>
    </xf>
    <xf numFmtId="176" fontId="7" fillId="0" borderId="0" xfId="1" applyNumberFormat="1" applyFont="1" applyAlignment="1">
      <alignment horizontal="right"/>
    </xf>
    <xf numFmtId="0" fontId="30" fillId="0" borderId="0" xfId="27" applyFont="1" applyFill="1" applyBorder="1"/>
    <xf numFmtId="9" fontId="30" fillId="0" borderId="0" xfId="0" applyNumberFormat="1" applyFont="1"/>
    <xf numFmtId="164" fontId="30" fillId="15" borderId="0" xfId="1" applyNumberFormat="1" applyFont="1" applyFill="1" applyAlignment="1">
      <alignment horizontal="right"/>
    </xf>
    <xf numFmtId="164" fontId="30" fillId="0" borderId="0" xfId="1" applyNumberFormat="1" applyFont="1" applyAlignment="1">
      <alignment horizontal="right"/>
    </xf>
    <xf numFmtId="3" fontId="30" fillId="0" borderId="0" xfId="0" applyNumberFormat="1" applyFont="1"/>
    <xf numFmtId="179" fontId="7" fillId="15" borderId="0" xfId="0" applyNumberFormat="1" applyFont="1" applyFill="1" applyAlignment="1">
      <alignment horizontal="right"/>
    </xf>
    <xf numFmtId="179" fontId="38" fillId="0" borderId="0" xfId="0" applyNumberFormat="1" applyFont="1" applyFill="1" applyAlignment="1">
      <alignment horizontal="right"/>
    </xf>
    <xf numFmtId="179" fontId="7" fillId="0" borderId="0" xfId="0" applyNumberFormat="1" applyFont="1" applyFill="1" applyAlignment="1">
      <alignment horizontal="right"/>
    </xf>
    <xf numFmtId="179" fontId="7" fillId="15" borderId="3" xfId="0" applyNumberFormat="1" applyFont="1" applyFill="1" applyBorder="1" applyAlignment="1">
      <alignment horizontal="right"/>
    </xf>
    <xf numFmtId="179" fontId="7" fillId="0" borderId="3" xfId="0" applyNumberFormat="1" applyFont="1" applyFill="1" applyBorder="1" applyAlignment="1">
      <alignment horizontal="right"/>
    </xf>
    <xf numFmtId="179" fontId="9" fillId="15" borderId="0" xfId="0" applyNumberFormat="1" applyFont="1" applyFill="1"/>
    <xf numFmtId="179" fontId="9" fillId="0" borderId="0" xfId="0" applyNumberFormat="1" applyFont="1"/>
    <xf numFmtId="179" fontId="9" fillId="5" borderId="0" xfId="0" applyNumberFormat="1" applyFont="1" applyFill="1"/>
    <xf numFmtId="179" fontId="0" fillId="5" borderId="0" xfId="0" applyNumberFormat="1" applyFont="1" applyFill="1"/>
    <xf numFmtId="179" fontId="9" fillId="13" borderId="0" xfId="0" applyNumberFormat="1" applyFont="1" applyFill="1" applyAlignment="1">
      <alignment horizontal="right"/>
    </xf>
    <xf numFmtId="179" fontId="7" fillId="0" borderId="0" xfId="0" applyNumberFormat="1" applyFont="1" applyAlignment="1">
      <alignment horizontal="right"/>
    </xf>
    <xf numFmtId="179" fontId="35" fillId="5" borderId="0" xfId="27" applyNumberFormat="1" applyFont="1" applyFill="1" applyBorder="1" applyAlignment="1">
      <alignment horizontal="right"/>
    </xf>
    <xf numFmtId="179" fontId="7" fillId="15" borderId="0" xfId="27" applyNumberFormat="1" applyFont="1" applyFill="1" applyBorder="1" applyAlignment="1">
      <alignment horizontal="right"/>
    </xf>
    <xf numFmtId="179" fontId="7" fillId="0" borderId="0" xfId="27" applyNumberFormat="1" applyFont="1" applyFill="1" applyBorder="1" applyAlignment="1">
      <alignment horizontal="right"/>
    </xf>
    <xf numFmtId="179" fontId="9" fillId="15" borderId="15" xfId="27" applyNumberFormat="1" applyFont="1" applyFill="1" applyBorder="1" applyAlignment="1">
      <alignment horizontal="right"/>
    </xf>
    <xf numFmtId="179" fontId="9" fillId="0" borderId="15" xfId="27" applyNumberFormat="1" applyFont="1" applyFill="1" applyBorder="1" applyAlignment="1">
      <alignment horizontal="right"/>
    </xf>
    <xf numFmtId="179" fontId="9" fillId="15" borderId="0" xfId="27" applyNumberFormat="1" applyFont="1" applyFill="1" applyBorder="1" applyAlignment="1">
      <alignment horizontal="right"/>
    </xf>
    <xf numFmtId="179" fontId="9" fillId="8" borderId="0" xfId="27" applyNumberFormat="1" applyFont="1" applyFill="1" applyBorder="1" applyAlignment="1">
      <alignment horizontal="right"/>
    </xf>
    <xf numFmtId="179" fontId="9" fillId="0" borderId="0" xfId="27" applyNumberFormat="1" applyFont="1" applyFill="1" applyBorder="1" applyAlignment="1">
      <alignment horizontal="right"/>
    </xf>
    <xf numFmtId="179" fontId="9" fillId="5" borderId="0" xfId="27" applyNumberFormat="1" applyFont="1" applyFill="1" applyBorder="1" applyAlignment="1">
      <alignment horizontal="right"/>
    </xf>
    <xf numFmtId="179" fontId="9" fillId="13" borderId="0" xfId="27" applyNumberFormat="1" applyFont="1" applyFill="1" applyBorder="1" applyAlignment="1">
      <alignment horizontal="right"/>
    </xf>
    <xf numFmtId="179" fontId="7" fillId="5" borderId="0" xfId="27" applyNumberFormat="1" applyFont="1" applyFill="1" applyBorder="1" applyAlignment="1">
      <alignment horizontal="right"/>
    </xf>
    <xf numFmtId="179" fontId="9" fillId="15" borderId="0" xfId="0" applyNumberFormat="1" applyFont="1" applyFill="1" applyBorder="1" applyAlignment="1">
      <alignment horizontal="right"/>
    </xf>
    <xf numFmtId="179" fontId="9" fillId="0" borderId="0" xfId="0" applyNumberFormat="1" applyFont="1" applyFill="1" applyBorder="1" applyAlignment="1">
      <alignment horizontal="right"/>
    </xf>
    <xf numFmtId="179" fontId="7" fillId="15" borderId="0" xfId="0" applyNumberFormat="1" applyFont="1" applyFill="1" applyBorder="1" applyAlignment="1">
      <alignment horizontal="right"/>
    </xf>
    <xf numFmtId="179" fontId="7" fillId="0" borderId="0" xfId="0" applyNumberFormat="1" applyFont="1" applyFill="1" applyBorder="1" applyAlignment="1">
      <alignment horizontal="right"/>
    </xf>
    <xf numFmtId="179" fontId="7" fillId="15" borderId="0" xfId="2" applyNumberFormat="1" applyFont="1" applyFill="1" applyBorder="1" applyAlignment="1">
      <alignment horizontal="right"/>
    </xf>
    <xf numFmtId="179" fontId="7" fillId="0" borderId="0" xfId="2" applyNumberFormat="1" applyFont="1" applyFill="1" applyBorder="1" applyAlignment="1">
      <alignment horizontal="right"/>
    </xf>
    <xf numFmtId="179" fontId="4" fillId="12" borderId="0" xfId="0" applyNumberFormat="1" applyFont="1" applyFill="1" applyAlignment="1">
      <alignment horizontal="right"/>
    </xf>
    <xf numFmtId="179" fontId="7" fillId="5" borderId="0" xfId="0" applyNumberFormat="1" applyFont="1" applyFill="1" applyAlignment="1">
      <alignment horizontal="right"/>
    </xf>
    <xf numFmtId="179" fontId="0" fillId="0" borderId="0" xfId="0" applyNumberFormat="1" applyFont="1" applyAlignment="1">
      <alignment horizontal="right"/>
    </xf>
    <xf numFmtId="175" fontId="5" fillId="0" borderId="0" xfId="0" applyNumberFormat="1" applyFont="1" applyFill="1"/>
    <xf numFmtId="179" fontId="9" fillId="15" borderId="0" xfId="0" applyNumberFormat="1" applyFont="1" applyFill="1" applyAlignment="1">
      <alignment horizontal="right"/>
    </xf>
    <xf numFmtId="179" fontId="9" fillId="0" borderId="0" xfId="0" applyNumberFormat="1" applyFont="1" applyFill="1" applyAlignment="1">
      <alignment horizontal="right"/>
    </xf>
    <xf numFmtId="175" fontId="20" fillId="0" borderId="0" xfId="0" applyNumberFormat="1" applyFont="1" applyFill="1"/>
    <xf numFmtId="179" fontId="21" fillId="15" borderId="0" xfId="0" applyNumberFormat="1" applyFont="1" applyFill="1" applyAlignment="1">
      <alignment horizontal="right"/>
    </xf>
    <xf numFmtId="179" fontId="21" fillId="0" borderId="0" xfId="0" applyNumberFormat="1" applyFont="1" applyFill="1" applyAlignment="1">
      <alignment horizontal="right"/>
    </xf>
    <xf numFmtId="175" fontId="30" fillId="0" borderId="0" xfId="0" applyNumberFormat="1" applyFont="1" applyFill="1" applyBorder="1"/>
    <xf numFmtId="175" fontId="30" fillId="0" borderId="0" xfId="0" applyNumberFormat="1" applyFont="1" applyFill="1"/>
    <xf numFmtId="179" fontId="30" fillId="15" borderId="0" xfId="0" applyNumberFormat="1" applyFont="1" applyFill="1" applyAlignment="1">
      <alignment horizontal="right"/>
    </xf>
    <xf numFmtId="179" fontId="30" fillId="0" borderId="0" xfId="0" applyNumberFormat="1" applyFont="1" applyFill="1" applyAlignment="1">
      <alignment horizontal="right"/>
    </xf>
    <xf numFmtId="175" fontId="50" fillId="0" borderId="0" xfId="0" applyNumberFormat="1" applyFont="1" applyFill="1" applyBorder="1"/>
    <xf numFmtId="175" fontId="50" fillId="0" borderId="0" xfId="0" applyNumberFormat="1" applyFont="1" applyFill="1"/>
    <xf numFmtId="179" fontId="50" fillId="15" borderId="0" xfId="0" applyNumberFormat="1" applyFont="1" applyFill="1" applyAlignment="1">
      <alignment horizontal="right"/>
    </xf>
    <xf numFmtId="179" fontId="50" fillId="0" borderId="0" xfId="0" applyNumberFormat="1" applyFont="1" applyFill="1" applyAlignment="1">
      <alignment horizontal="right"/>
    </xf>
    <xf numFmtId="0" fontId="50" fillId="0" borderId="0" xfId="0" applyFont="1"/>
    <xf numFmtId="179" fontId="38" fillId="15" borderId="0" xfId="0" applyNumberFormat="1" applyFont="1" applyFill="1" applyAlignment="1">
      <alignment horizontal="right"/>
    </xf>
    <xf numFmtId="0" fontId="50" fillId="0" borderId="0" xfId="27" applyFont="1" applyFill="1" applyBorder="1"/>
    <xf numFmtId="3" fontId="50" fillId="0" borderId="0" xfId="0" applyNumberFormat="1" applyFont="1"/>
    <xf numFmtId="164" fontId="50" fillId="0" borderId="0" xfId="1" applyNumberFormat="1" applyFont="1" applyAlignment="1">
      <alignment horizontal="right"/>
    </xf>
    <xf numFmtId="0" fontId="38" fillId="0" borderId="0" xfId="27" applyFont="1" applyFill="1" applyBorder="1"/>
    <xf numFmtId="3" fontId="38" fillId="0" borderId="0" xfId="0" applyNumberFormat="1" applyFont="1"/>
    <xf numFmtId="164" fontId="38" fillId="15" borderId="0" xfId="1" applyNumberFormat="1" applyFont="1" applyFill="1" applyAlignment="1">
      <alignment horizontal="right"/>
    </xf>
    <xf numFmtId="164" fontId="38" fillId="0" borderId="0" xfId="1" applyNumberFormat="1" applyFont="1" applyAlignment="1">
      <alignment horizontal="right"/>
    </xf>
    <xf numFmtId="164" fontId="38" fillId="0" borderId="0" xfId="1" applyNumberFormat="1" applyFont="1"/>
    <xf numFmtId="9" fontId="38" fillId="0" borderId="0" xfId="0" applyNumberFormat="1" applyFont="1"/>
    <xf numFmtId="176" fontId="38" fillId="0" borderId="0" xfId="1" applyNumberFormat="1" applyFont="1" applyAlignment="1">
      <alignment horizontal="right"/>
    </xf>
    <xf numFmtId="0" fontId="7" fillId="0" borderId="0" xfId="27" quotePrefix="1" applyFont="1" applyFill="1" applyBorder="1"/>
    <xf numFmtId="164" fontId="38" fillId="0" borderId="0" xfId="1" applyNumberFormat="1" applyFont="1" applyFill="1" applyAlignment="1">
      <alignment horizontal="right"/>
    </xf>
    <xf numFmtId="0" fontId="38" fillId="0" borderId="0" xfId="0" applyFont="1" applyFill="1"/>
    <xf numFmtId="0" fontId="7" fillId="0" borderId="0" xfId="27" applyNumberFormat="1" applyFont="1" applyFill="1" applyBorder="1" applyAlignment="1">
      <alignment horizontal="left"/>
    </xf>
    <xf numFmtId="164" fontId="31" fillId="0" borderId="0" xfId="1" applyNumberFormat="1" applyFont="1" applyFill="1" applyBorder="1"/>
    <xf numFmtId="164" fontId="7" fillId="0" borderId="0" xfId="0" applyNumberFormat="1" applyFont="1" applyFill="1" applyBorder="1"/>
    <xf numFmtId="0" fontId="0" fillId="15" borderId="0" xfId="0" applyFill="1"/>
    <xf numFmtId="0" fontId="7" fillId="0" borderId="0" xfId="0" applyNumberFormat="1" applyFont="1" applyFill="1" applyBorder="1" applyAlignment="1">
      <alignment horizontal="left"/>
    </xf>
    <xf numFmtId="0" fontId="0" fillId="0" borderId="0" xfId="0" applyAlignment="1">
      <alignment horizontal="left"/>
    </xf>
    <xf numFmtId="167" fontId="20" fillId="0" borderId="0" xfId="2" applyNumberFormat="1" applyFont="1"/>
    <xf numFmtId="43" fontId="5" fillId="0" borderId="0" xfId="0" applyNumberFormat="1" applyFont="1"/>
    <xf numFmtId="164" fontId="0" fillId="0" borderId="0" xfId="0" applyNumberFormat="1" applyFont="1"/>
    <xf numFmtId="167" fontId="0" fillId="0" borderId="0" xfId="0" applyNumberFormat="1" applyFont="1"/>
    <xf numFmtId="164" fontId="5" fillId="0" borderId="0" xfId="0" applyNumberFormat="1" applyFont="1"/>
    <xf numFmtId="0" fontId="38" fillId="0" borderId="0" xfId="0" applyFont="1" applyFill="1" applyBorder="1"/>
    <xf numFmtId="0" fontId="37" fillId="0" borderId="0" xfId="0" applyFont="1" applyFill="1" applyBorder="1" applyAlignment="1">
      <alignment horizontal="center"/>
    </xf>
    <xf numFmtId="179" fontId="38" fillId="15" borderId="0" xfId="0" applyNumberFormat="1" applyFont="1" applyFill="1" applyBorder="1"/>
    <xf numFmtId="179" fontId="38" fillId="0" borderId="0" xfId="0" applyNumberFormat="1" applyFont="1" applyFill="1" applyBorder="1"/>
    <xf numFmtId="179" fontId="7" fillId="15" borderId="0" xfId="27" applyNumberFormat="1" applyFont="1" applyFill="1"/>
    <xf numFmtId="9" fontId="7" fillId="0" borderId="0" xfId="6" applyFont="1"/>
    <xf numFmtId="9" fontId="7" fillId="0" borderId="0" xfId="6" applyFont="1" applyAlignment="1">
      <alignment horizontal="center"/>
    </xf>
    <xf numFmtId="179" fontId="7" fillId="15" borderId="0" xfId="6" applyNumberFormat="1" applyFont="1" applyFill="1"/>
    <xf numFmtId="3" fontId="21" fillId="0" borderId="0" xfId="0" applyNumberFormat="1" applyFont="1"/>
    <xf numFmtId="0" fontId="21" fillId="0" borderId="0" xfId="0" applyFont="1"/>
    <xf numFmtId="9" fontId="7" fillId="0" borderId="0" xfId="0" applyNumberFormat="1" applyFont="1"/>
    <xf numFmtId="164" fontId="21" fillId="0" borderId="0" xfId="1" applyNumberFormat="1" applyFont="1"/>
    <xf numFmtId="9" fontId="21" fillId="0" borderId="0" xfId="0" applyNumberFormat="1" applyFont="1"/>
    <xf numFmtId="9" fontId="21" fillId="0" borderId="0" xfId="2" applyFont="1" applyAlignment="1">
      <alignment horizontal="right"/>
    </xf>
    <xf numFmtId="43" fontId="30" fillId="0" borderId="0" xfId="1" applyFont="1" applyAlignment="1">
      <alignment horizontal="right"/>
    </xf>
    <xf numFmtId="0" fontId="36" fillId="0" borderId="0" xfId="0" applyFont="1"/>
    <xf numFmtId="175" fontId="30" fillId="0" borderId="0" xfId="0" applyNumberFormat="1" applyFont="1" applyBorder="1"/>
    <xf numFmtId="175" fontId="44" fillId="0" borderId="0" xfId="0" applyNumberFormat="1" applyFont="1" applyBorder="1"/>
    <xf numFmtId="175" fontId="30" fillId="0" borderId="0" xfId="27" applyNumberFormat="1" applyFont="1" applyFill="1" applyBorder="1"/>
    <xf numFmtId="179" fontId="30" fillId="15" borderId="0" xfId="27" applyNumberFormat="1" applyFont="1" applyFill="1" applyBorder="1" applyAlignment="1">
      <alignment horizontal="right"/>
    </xf>
    <xf numFmtId="179" fontId="30" fillId="0" borderId="0" xfId="27" applyNumberFormat="1" applyFont="1" applyFill="1" applyBorder="1" applyAlignment="1">
      <alignment horizontal="right"/>
    </xf>
    <xf numFmtId="0" fontId="30" fillId="0" borderId="0" xfId="0" applyFont="1" applyBorder="1"/>
    <xf numFmtId="175" fontId="32" fillId="0" borderId="0" xfId="27" applyNumberFormat="1" applyFont="1" applyFill="1" applyBorder="1"/>
    <xf numFmtId="175" fontId="30" fillId="0" borderId="0" xfId="27" applyNumberFormat="1" applyFont="1" applyFill="1" applyBorder="1" applyAlignment="1">
      <alignment horizontal="center"/>
    </xf>
    <xf numFmtId="175" fontId="32" fillId="0" borderId="0" xfId="0" applyNumberFormat="1" applyFont="1" applyFill="1" applyBorder="1"/>
    <xf numFmtId="0" fontId="32" fillId="0" borderId="0" xfId="0" applyFont="1" applyFill="1"/>
    <xf numFmtId="175" fontId="30" fillId="0" borderId="3" xfId="0" applyNumberFormat="1" applyFont="1" applyFill="1" applyBorder="1"/>
    <xf numFmtId="175" fontId="32" fillId="0" borderId="3" xfId="0" applyNumberFormat="1" applyFont="1" applyFill="1" applyBorder="1"/>
    <xf numFmtId="175" fontId="32" fillId="0" borderId="3" xfId="27" applyNumberFormat="1" applyFont="1" applyFill="1" applyBorder="1"/>
    <xf numFmtId="179" fontId="30" fillId="15" borderId="3" xfId="27" applyNumberFormat="1" applyFont="1" applyFill="1" applyBorder="1" applyAlignment="1">
      <alignment horizontal="right"/>
    </xf>
    <xf numFmtId="179" fontId="30" fillId="0" borderId="3" xfId="27" applyNumberFormat="1" applyFont="1" applyFill="1" applyBorder="1" applyAlignment="1">
      <alignment horizontal="right"/>
    </xf>
    <xf numFmtId="166" fontId="7" fillId="15" borderId="0" xfId="27" applyNumberFormat="1" applyFont="1" applyFill="1" applyAlignment="1">
      <alignment horizontal="fill"/>
    </xf>
    <xf numFmtId="175" fontId="21" fillId="0" borderId="0" xfId="0" applyNumberFormat="1" applyFont="1" applyFill="1" applyBorder="1"/>
    <xf numFmtId="175" fontId="7" fillId="0" borderId="0" xfId="0" applyNumberFormat="1" applyFont="1"/>
    <xf numFmtId="175" fontId="21" fillId="0" borderId="0" xfId="0" applyNumberFormat="1" applyFont="1"/>
    <xf numFmtId="175" fontId="21" fillId="0" borderId="0" xfId="0" applyNumberFormat="1" applyFont="1" applyFill="1"/>
    <xf numFmtId="175" fontId="30" fillId="0" borderId="0" xfId="0" applyNumberFormat="1" applyFont="1"/>
    <xf numFmtId="164" fontId="50" fillId="15" borderId="0" xfId="1" applyNumberFormat="1" applyFont="1" applyFill="1" applyAlignment="1">
      <alignment horizontal="right"/>
    </xf>
    <xf numFmtId="167" fontId="38" fillId="0" borderId="0" xfId="2" applyNumberFormat="1" applyFont="1" applyFill="1" applyAlignment="1">
      <alignment horizontal="right"/>
    </xf>
    <xf numFmtId="0" fontId="0" fillId="6" borderId="0" xfId="0" applyFont="1" applyFill="1"/>
    <xf numFmtId="0" fontId="7" fillId="6" borderId="11" xfId="27" applyFont="1" applyFill="1" applyBorder="1"/>
    <xf numFmtId="164" fontId="3" fillId="6" borderId="28" xfId="1" applyNumberFormat="1" applyFont="1" applyFill="1" applyBorder="1"/>
    <xf numFmtId="9" fontId="0" fillId="6" borderId="28" xfId="0" applyNumberFormat="1" applyFont="1" applyFill="1" applyBorder="1"/>
    <xf numFmtId="164" fontId="7" fillId="6" borderId="28" xfId="1" applyNumberFormat="1" applyFont="1" applyFill="1" applyBorder="1" applyAlignment="1">
      <alignment horizontal="right"/>
    </xf>
    <xf numFmtId="180" fontId="7" fillId="6" borderId="28" xfId="121" applyNumberFormat="1" applyFont="1" applyFill="1" applyBorder="1" applyAlignment="1">
      <alignment horizontal="right"/>
    </xf>
    <xf numFmtId="180" fontId="7" fillId="6" borderId="29" xfId="121" applyNumberFormat="1" applyFont="1" applyFill="1" applyBorder="1" applyAlignment="1">
      <alignment horizontal="right"/>
    </xf>
    <xf numFmtId="0" fontId="50" fillId="15" borderId="0" xfId="0" applyFont="1" applyFill="1" applyAlignment="1">
      <alignment horizontal="right"/>
    </xf>
    <xf numFmtId="0" fontId="50" fillId="0" borderId="0" xfId="0" applyFont="1" applyAlignment="1">
      <alignment horizontal="right"/>
    </xf>
    <xf numFmtId="0" fontId="38" fillId="0" borderId="2" xfId="27" applyFont="1" applyFill="1" applyBorder="1"/>
    <xf numFmtId="179" fontId="5" fillId="0" borderId="0" xfId="0" applyNumberFormat="1" applyFont="1"/>
    <xf numFmtId="164" fontId="7" fillId="0" borderId="0" xfId="1" applyNumberFormat="1" applyFont="1" applyAlignment="1">
      <alignment horizontal="center"/>
    </xf>
    <xf numFmtId="44" fontId="7" fillId="0" borderId="0" xfId="121" applyFont="1" applyFill="1"/>
    <xf numFmtId="180" fontId="0" fillId="0" borderId="0" xfId="121" applyNumberFormat="1" applyFont="1" applyFill="1"/>
    <xf numFmtId="180" fontId="0" fillId="0" borderId="3" xfId="121" applyNumberFormat="1" applyFont="1" applyFill="1" applyBorder="1"/>
    <xf numFmtId="180" fontId="7" fillId="0" borderId="0" xfId="121" applyNumberFormat="1" applyFont="1" applyFill="1"/>
    <xf numFmtId="180" fontId="4" fillId="12" borderId="0" xfId="121" applyNumberFormat="1" applyFont="1" applyFill="1"/>
    <xf numFmtId="180" fontId="0" fillId="0" borderId="0" xfId="121" applyNumberFormat="1" applyFont="1"/>
    <xf numFmtId="180" fontId="0" fillId="2" borderId="0" xfId="121" applyNumberFormat="1" applyFont="1" applyFill="1"/>
    <xf numFmtId="180" fontId="0" fillId="5" borderId="0" xfId="121" applyNumberFormat="1" applyFont="1" applyFill="1" applyBorder="1"/>
    <xf numFmtId="180" fontId="0" fillId="0" borderId="0" xfId="121" applyNumberFormat="1" applyFont="1" applyFill="1" applyBorder="1"/>
    <xf numFmtId="0" fontId="51" fillId="0" borderId="0" xfId="4" applyNumberFormat="1" applyFont="1" applyFill="1" applyBorder="1" applyAlignment="1">
      <alignment vertical="center"/>
    </xf>
    <xf numFmtId="0" fontId="23" fillId="15" borderId="0" xfId="4" applyNumberFormat="1" applyFont="1" applyFill="1" applyBorder="1" applyAlignment="1">
      <alignment vertical="center"/>
    </xf>
    <xf numFmtId="167" fontId="23" fillId="0" borderId="0" xfId="2" applyNumberFormat="1" applyFont="1" applyFill="1" applyBorder="1" applyAlignment="1">
      <alignment vertical="center"/>
    </xf>
    <xf numFmtId="9" fontId="23" fillId="0" borderId="0" xfId="2" applyNumberFormat="1" applyFont="1" applyFill="1" applyBorder="1" applyAlignment="1">
      <alignment vertical="center"/>
    </xf>
    <xf numFmtId="9" fontId="23" fillId="0" borderId="0" xfId="2" applyFont="1" applyFill="1" applyBorder="1" applyAlignment="1">
      <alignment vertical="center"/>
    </xf>
    <xf numFmtId="44" fontId="7" fillId="0" borderId="0" xfId="121" applyFont="1" applyFill="1" applyBorder="1"/>
    <xf numFmtId="0" fontId="23" fillId="0" borderId="0" xfId="0" applyNumberFormat="1" applyFont="1" applyFill="1" applyBorder="1" applyAlignment="1"/>
    <xf numFmtId="164" fontId="23" fillId="15" borderId="0" xfId="1" applyNumberFormat="1" applyFont="1" applyFill="1" applyBorder="1"/>
    <xf numFmtId="44" fontId="23" fillId="0" borderId="0" xfId="121" applyFont="1" applyFill="1" applyBorder="1"/>
    <xf numFmtId="164" fontId="23" fillId="0" borderId="0" xfId="1" applyNumberFormat="1" applyFont="1" applyFill="1" applyBorder="1"/>
    <xf numFmtId="44" fontId="52" fillId="0" borderId="0" xfId="121" applyFont="1" applyFill="1" applyBorder="1"/>
    <xf numFmtId="43" fontId="7" fillId="0" borderId="3" xfId="1" applyFont="1" applyBorder="1" applyAlignment="1"/>
    <xf numFmtId="0" fontId="0" fillId="0" borderId="0" xfId="0" applyAlignment="1">
      <alignment horizontal="right" wrapText="1"/>
    </xf>
    <xf numFmtId="0" fontId="0" fillId="0" borderId="0" xfId="0" applyFont="1" applyAlignment="1">
      <alignment horizontal="right" wrapText="1"/>
    </xf>
    <xf numFmtId="0" fontId="0" fillId="0" borderId="0" xfId="0" applyFont="1" applyAlignment="1">
      <alignment horizontal="center" wrapText="1"/>
    </xf>
    <xf numFmtId="1" fontId="0" fillId="0" borderId="0" xfId="0" applyNumberFormat="1" applyFont="1" applyAlignment="1">
      <alignment horizontal="center"/>
    </xf>
    <xf numFmtId="0" fontId="5" fillId="0" borderId="0" xfId="0" applyFont="1" applyBorder="1"/>
    <xf numFmtId="3" fontId="0" fillId="0" borderId="0" xfId="0" applyNumberFormat="1" applyFont="1" applyAlignment="1">
      <alignment horizontal="right"/>
    </xf>
    <xf numFmtId="0" fontId="0" fillId="14" borderId="0" xfId="0" applyFont="1" applyFill="1"/>
    <xf numFmtId="0" fontId="0" fillId="16" borderId="0" xfId="0" applyFont="1" applyFill="1"/>
    <xf numFmtId="3" fontId="0" fillId="16" borderId="0" xfId="0" applyNumberFormat="1" applyFont="1" applyFill="1"/>
    <xf numFmtId="0" fontId="0" fillId="14" borderId="0" xfId="0" applyFont="1" applyFill="1" applyBorder="1"/>
    <xf numFmtId="0" fontId="0" fillId="7" borderId="0" xfId="0" applyFont="1" applyFill="1"/>
    <xf numFmtId="3" fontId="0" fillId="7" borderId="0" xfId="0" applyNumberFormat="1" applyFont="1" applyFill="1"/>
    <xf numFmtId="3" fontId="0" fillId="14" borderId="0" xfId="0" applyNumberFormat="1" applyFont="1" applyFill="1"/>
    <xf numFmtId="3" fontId="0" fillId="14" borderId="0" xfId="0" applyNumberFormat="1" applyFont="1" applyFill="1" applyBorder="1"/>
    <xf numFmtId="0" fontId="31" fillId="15" borderId="0" xfId="27" applyNumberFormat="1" applyFont="1" applyFill="1" applyBorder="1" applyAlignment="1">
      <alignment horizontal="fill"/>
    </xf>
    <xf numFmtId="9" fontId="31" fillId="15" borderId="0" xfId="27" applyNumberFormat="1" applyFont="1" applyFill="1" applyAlignment="1">
      <alignment horizontal="right"/>
    </xf>
    <xf numFmtId="0" fontId="31" fillId="15" borderId="0" xfId="27" applyNumberFormat="1" applyFont="1" applyFill="1" applyAlignment="1">
      <alignment horizontal="right"/>
    </xf>
    <xf numFmtId="0" fontId="31" fillId="15" borderId="0" xfId="27" applyFont="1" applyFill="1" applyAlignment="1">
      <alignment horizontal="right"/>
    </xf>
    <xf numFmtId="44" fontId="7" fillId="0" borderId="0" xfId="121" applyFont="1"/>
    <xf numFmtId="44" fontId="31" fillId="15" borderId="0" xfId="121" applyFont="1" applyFill="1" applyAlignment="1">
      <alignment horizontal="right"/>
    </xf>
    <xf numFmtId="44" fontId="7" fillId="0" borderId="0" xfId="121" applyFont="1" applyBorder="1" applyAlignment="1">
      <alignment horizontal="right"/>
    </xf>
    <xf numFmtId="44" fontId="7" fillId="0" borderId="0" xfId="121" applyFont="1" applyAlignment="1">
      <alignment horizontal="right"/>
    </xf>
    <xf numFmtId="44" fontId="9" fillId="0" borderId="0" xfId="121" applyFont="1"/>
    <xf numFmtId="44" fontId="9" fillId="0" borderId="0" xfId="121" applyFont="1" applyAlignment="1"/>
    <xf numFmtId="44" fontId="9" fillId="0" borderId="0" xfId="121" applyFont="1" applyAlignment="1">
      <alignment horizontal="right"/>
    </xf>
    <xf numFmtId="44" fontId="7" fillId="0" borderId="0" xfId="121" applyFont="1" applyAlignment="1"/>
    <xf numFmtId="44" fontId="7" fillId="0" borderId="0" xfId="121" applyFont="1" applyFill="1" applyAlignment="1">
      <alignment horizontal="right"/>
    </xf>
    <xf numFmtId="44" fontId="7" fillId="0" borderId="0" xfId="121" applyFont="1" applyAlignment="1">
      <alignment horizontal="fill"/>
    </xf>
    <xf numFmtId="44" fontId="7" fillId="15" borderId="0" xfId="121" applyFont="1" applyFill="1" applyAlignment="1">
      <alignment horizontal="fill"/>
    </xf>
    <xf numFmtId="44" fontId="9" fillId="13" borderId="0" xfId="121" applyFont="1" applyFill="1"/>
    <xf numFmtId="44" fontId="34" fillId="13" borderId="0" xfId="121" applyFont="1" applyFill="1" applyAlignment="1">
      <alignment horizontal="right"/>
    </xf>
    <xf numFmtId="44" fontId="9" fillId="13" borderId="0" xfId="121" applyFont="1" applyFill="1" applyAlignment="1">
      <alignment horizontal="right"/>
    </xf>
    <xf numFmtId="44" fontId="21" fillId="0" borderId="0" xfId="121" applyFont="1" applyAlignment="1">
      <alignment horizontal="right"/>
    </xf>
    <xf numFmtId="44" fontId="4" fillId="12" borderId="0" xfId="121" applyFont="1" applyFill="1" applyAlignment="1">
      <alignment horizontal="right"/>
    </xf>
    <xf numFmtId="44" fontId="31" fillId="2" borderId="0" xfId="121" applyFont="1" applyFill="1" applyAlignment="1">
      <alignment horizontal="right"/>
    </xf>
    <xf numFmtId="44" fontId="7" fillId="2" borderId="0" xfId="121" applyFont="1" applyFill="1" applyAlignment="1">
      <alignment horizontal="right"/>
    </xf>
    <xf numFmtId="44" fontId="31" fillId="5" borderId="0" xfId="121" applyFont="1" applyFill="1" applyAlignment="1">
      <alignment horizontal="right"/>
    </xf>
    <xf numFmtId="44" fontId="7" fillId="5" borderId="0" xfId="121" applyFont="1" applyFill="1" applyAlignment="1">
      <alignment horizontal="right"/>
    </xf>
    <xf numFmtId="44" fontId="7" fillId="15" borderId="0" xfId="121" applyFont="1" applyFill="1" applyAlignment="1">
      <alignment horizontal="right"/>
    </xf>
    <xf numFmtId="44" fontId="30" fillId="15" borderId="0" xfId="121" applyFont="1" applyFill="1" applyAlignment="1">
      <alignment horizontal="right"/>
    </xf>
    <xf numFmtId="44" fontId="9" fillId="15" borderId="0" xfId="121" applyFont="1" applyFill="1" applyAlignment="1">
      <alignment horizontal="right"/>
    </xf>
    <xf numFmtId="44" fontId="23" fillId="15" borderId="0" xfId="121" applyFont="1" applyFill="1" applyAlignment="1">
      <alignment horizontal="right"/>
    </xf>
    <xf numFmtId="44" fontId="9" fillId="15" borderId="0" xfId="121" applyFont="1" applyFill="1" applyBorder="1" applyAlignment="1">
      <alignment horizontal="right"/>
    </xf>
    <xf numFmtId="44" fontId="7" fillId="7" borderId="0" xfId="121" applyFont="1" applyFill="1" applyAlignment="1">
      <alignment horizontal="right"/>
    </xf>
    <xf numFmtId="44" fontId="7" fillId="15" borderId="0" xfId="121" applyFont="1" applyFill="1" applyBorder="1" applyAlignment="1">
      <alignment horizontal="right"/>
    </xf>
    <xf numFmtId="44" fontId="21" fillId="15" borderId="0" xfId="121" applyFont="1" applyFill="1" applyAlignment="1">
      <alignment horizontal="right"/>
    </xf>
    <xf numFmtId="175" fontId="37" fillId="0" borderId="0" xfId="0" applyNumberFormat="1" applyFont="1" applyFill="1" applyBorder="1"/>
    <xf numFmtId="175" fontId="37" fillId="0" borderId="0" xfId="0" applyNumberFormat="1" applyFont="1" applyFill="1"/>
    <xf numFmtId="179" fontId="37" fillId="15" borderId="0" xfId="0" applyNumberFormat="1" applyFont="1" applyFill="1" applyAlignment="1">
      <alignment horizontal="right"/>
    </xf>
    <xf numFmtId="179" fontId="37" fillId="0" borderId="0" xfId="0" applyNumberFormat="1" applyFont="1" applyFill="1" applyAlignment="1">
      <alignment horizontal="right"/>
    </xf>
    <xf numFmtId="0" fontId="37" fillId="0" borderId="0" xfId="0" applyFont="1"/>
    <xf numFmtId="175" fontId="38" fillId="0" borderId="0" xfId="0" applyNumberFormat="1" applyFont="1" applyBorder="1"/>
    <xf numFmtId="175" fontId="50" fillId="0" borderId="0" xfId="0" applyNumberFormat="1" applyFont="1" applyBorder="1"/>
    <xf numFmtId="175" fontId="38" fillId="0" borderId="0" xfId="27" applyNumberFormat="1" applyFont="1" applyFill="1" applyBorder="1"/>
    <xf numFmtId="179" fontId="38" fillId="15" borderId="0" xfId="27" applyNumberFormat="1" applyFont="1" applyFill="1" applyBorder="1" applyAlignment="1">
      <alignment horizontal="right"/>
    </xf>
    <xf numFmtId="179" fontId="38" fillId="0" borderId="0" xfId="27" applyNumberFormat="1" applyFont="1" applyFill="1" applyBorder="1" applyAlignment="1">
      <alignment horizontal="right"/>
    </xf>
    <xf numFmtId="0" fontId="38" fillId="0" borderId="0" xfId="27" applyNumberFormat="1" applyFont="1" applyAlignment="1"/>
    <xf numFmtId="0" fontId="38" fillId="0" borderId="0" xfId="27" applyFont="1"/>
    <xf numFmtId="166" fontId="38" fillId="0" borderId="0" xfId="27" applyNumberFormat="1" applyFont="1" applyAlignment="1"/>
    <xf numFmtId="168" fontId="38" fillId="0" borderId="0" xfId="27" applyNumberFormat="1" applyFont="1" applyAlignment="1"/>
    <xf numFmtId="166" fontId="38" fillId="0" borderId="0" xfId="27" applyNumberFormat="1" applyFont="1"/>
    <xf numFmtId="164" fontId="38" fillId="0" borderId="0" xfId="119" applyNumberFormat="1" applyFont="1" applyAlignment="1">
      <alignment horizontal="center"/>
    </xf>
    <xf numFmtId="175" fontId="38" fillId="0" borderId="0" xfId="27" applyNumberFormat="1" applyFont="1"/>
    <xf numFmtId="167" fontId="37" fillId="0" borderId="0" xfId="2" applyNumberFormat="1" applyFont="1"/>
    <xf numFmtId="0" fontId="7" fillId="7" borderId="0" xfId="27" applyNumberFormat="1" applyFont="1" applyFill="1" applyBorder="1" applyAlignment="1">
      <alignment horizontal="left"/>
    </xf>
    <xf numFmtId="167" fontId="9" fillId="0" borderId="0" xfId="2" applyNumberFormat="1" applyFont="1" applyFill="1" applyBorder="1" applyAlignment="1"/>
    <xf numFmtId="164" fontId="9" fillId="15" borderId="0" xfId="1" applyNumberFormat="1" applyFont="1" applyFill="1" applyBorder="1"/>
    <xf numFmtId="0" fontId="53" fillId="0" borderId="0" xfId="0" applyFont="1" applyAlignment="1">
      <alignment horizontal="center"/>
    </xf>
    <xf numFmtId="0" fontId="0" fillId="0" borderId="3" xfId="0" applyBorder="1"/>
    <xf numFmtId="164" fontId="50" fillId="0" borderId="0" xfId="1" applyNumberFormat="1" applyFont="1"/>
    <xf numFmtId="9" fontId="50" fillId="0" borderId="0" xfId="0" applyNumberFormat="1" applyFont="1"/>
    <xf numFmtId="9" fontId="50" fillId="0" borderId="0" xfId="2" applyFont="1" applyAlignment="1">
      <alignment horizontal="right"/>
    </xf>
    <xf numFmtId="0" fontId="0" fillId="6" borderId="28" xfId="0" applyFont="1" applyFill="1" applyBorder="1"/>
    <xf numFmtId="44" fontId="4" fillId="12" borderId="0" xfId="121" applyFont="1" applyFill="1"/>
    <xf numFmtId="175" fontId="21" fillId="0" borderId="0" xfId="0" applyNumberFormat="1" applyFont="1" applyBorder="1"/>
    <xf numFmtId="0" fontId="23" fillId="0" borderId="0" xfId="27" applyNumberFormat="1" applyFont="1" applyBorder="1" applyAlignment="1">
      <alignment horizontal="center"/>
    </xf>
    <xf numFmtId="168" fontId="9" fillId="0" borderId="0" xfId="27" applyNumberFormat="1" applyFont="1" applyBorder="1"/>
    <xf numFmtId="172" fontId="9" fillId="0" borderId="0" xfId="27" applyNumberFormat="1" applyFont="1" applyBorder="1" applyAlignment="1"/>
    <xf numFmtId="0" fontId="9" fillId="0" borderId="0" xfId="27" applyFont="1" applyBorder="1"/>
    <xf numFmtId="175" fontId="37" fillId="0" borderId="0" xfId="27" applyNumberFormat="1" applyFont="1" applyFill="1" applyBorder="1"/>
    <xf numFmtId="0" fontId="37" fillId="0" borderId="0" xfId="0" applyFont="1" applyFill="1"/>
    <xf numFmtId="175" fontId="38" fillId="0" borderId="3" xfId="0" applyNumberFormat="1" applyFont="1" applyFill="1" applyBorder="1"/>
    <xf numFmtId="175" fontId="37" fillId="0" borderId="3" xfId="0" applyNumberFormat="1" applyFont="1" applyFill="1" applyBorder="1"/>
    <xf numFmtId="175" fontId="37" fillId="0" borderId="3" xfId="27" applyNumberFormat="1" applyFont="1" applyFill="1" applyBorder="1"/>
    <xf numFmtId="179" fontId="38" fillId="15" borderId="3" xfId="27" applyNumberFormat="1" applyFont="1" applyFill="1" applyBorder="1" applyAlignment="1">
      <alignment horizontal="right"/>
    </xf>
    <xf numFmtId="179" fontId="38" fillId="0" borderId="3" xfId="27" applyNumberFormat="1" applyFont="1" applyFill="1" applyBorder="1" applyAlignment="1">
      <alignment horizontal="right"/>
    </xf>
    <xf numFmtId="179" fontId="37" fillId="15" borderId="0" xfId="27" applyNumberFormat="1" applyFont="1" applyFill="1" applyBorder="1" applyAlignment="1">
      <alignment horizontal="right"/>
    </xf>
    <xf numFmtId="179" fontId="37" fillId="0" borderId="0" xfId="27" applyNumberFormat="1" applyFont="1" applyFill="1" applyBorder="1" applyAlignment="1">
      <alignment horizontal="right"/>
    </xf>
    <xf numFmtId="180" fontId="4" fillId="12" borderId="0" xfId="121" applyNumberFormat="1" applyFont="1" applyFill="1" applyBorder="1"/>
    <xf numFmtId="164" fontId="29" fillId="0" borderId="0" xfId="1" applyNumberFormat="1" applyFont="1" applyBorder="1"/>
    <xf numFmtId="0" fontId="7" fillId="0" borderId="0" xfId="27" applyNumberFormat="1" applyFont="1" applyAlignment="1">
      <alignment horizontal="center"/>
    </xf>
    <xf numFmtId="44" fontId="7" fillId="0" borderId="0" xfId="121" applyFont="1" applyAlignment="1">
      <alignment horizontal="center"/>
    </xf>
    <xf numFmtId="0" fontId="7" fillId="0" borderId="3" xfId="0" applyFont="1" applyBorder="1"/>
    <xf numFmtId="0" fontId="7" fillId="0" borderId="3" xfId="27" applyNumberFormat="1" applyFont="1" applyBorder="1" applyAlignment="1">
      <alignment horizontal="center"/>
    </xf>
    <xf numFmtId="44" fontId="7" fillId="0" borderId="3" xfId="121" applyFont="1" applyBorder="1"/>
    <xf numFmtId="44" fontId="7" fillId="0" borderId="3" xfId="121" applyFont="1" applyBorder="1" applyAlignment="1">
      <alignment horizontal="center"/>
    </xf>
    <xf numFmtId="44" fontId="7" fillId="15" borderId="3" xfId="121" applyFont="1" applyFill="1" applyBorder="1" applyAlignment="1">
      <alignment horizontal="right"/>
    </xf>
    <xf numFmtId="44" fontId="7" fillId="0" borderId="3" xfId="121" applyFont="1" applyBorder="1" applyAlignment="1">
      <alignment horizontal="right"/>
    </xf>
    <xf numFmtId="176" fontId="7" fillId="15" borderId="0" xfId="1" applyNumberFormat="1" applyFont="1" applyFill="1" applyAlignment="1">
      <alignment horizontal="right"/>
    </xf>
    <xf numFmtId="164" fontId="7" fillId="0" borderId="0" xfId="27" applyNumberFormat="1" applyFont="1"/>
    <xf numFmtId="0" fontId="7" fillId="0" borderId="3" xfId="27" applyNumberFormat="1" applyFont="1" applyBorder="1" applyAlignment="1"/>
    <xf numFmtId="166" fontId="7" fillId="0" borderId="3" xfId="27" applyNumberFormat="1" applyFont="1" applyBorder="1"/>
    <xf numFmtId="172" fontId="7" fillId="0" borderId="3" xfId="27" applyNumberFormat="1" applyFont="1" applyBorder="1" applyAlignment="1"/>
    <xf numFmtId="172" fontId="7" fillId="0" borderId="3" xfId="27" applyNumberFormat="1" applyFont="1" applyBorder="1"/>
    <xf numFmtId="176" fontId="7" fillId="15" borderId="3" xfId="1" applyNumberFormat="1" applyFont="1" applyFill="1" applyBorder="1" applyAlignment="1">
      <alignment horizontal="right"/>
    </xf>
    <xf numFmtId="176" fontId="7" fillId="0" borderId="3" xfId="1" applyNumberFormat="1" applyFont="1" applyBorder="1" applyAlignment="1">
      <alignment horizontal="right"/>
    </xf>
    <xf numFmtId="176" fontId="9" fillId="15" borderId="0" xfId="1" applyNumberFormat="1" applyFont="1" applyFill="1" applyAlignment="1">
      <alignment horizontal="right"/>
    </xf>
    <xf numFmtId="176" fontId="9" fillId="0" borderId="0" xfId="1" applyNumberFormat="1" applyFont="1" applyAlignment="1">
      <alignment horizontal="right"/>
    </xf>
    <xf numFmtId="166" fontId="7" fillId="0" borderId="3" xfId="27" applyNumberFormat="1" applyFont="1" applyBorder="1" applyAlignment="1"/>
    <xf numFmtId="168" fontId="7" fillId="0" borderId="3" xfId="27" applyNumberFormat="1" applyFont="1" applyBorder="1" applyAlignment="1"/>
    <xf numFmtId="164" fontId="7" fillId="0" borderId="3" xfId="119" applyNumberFormat="1" applyFont="1" applyBorder="1" applyAlignment="1">
      <alignment horizontal="center"/>
    </xf>
    <xf numFmtId="44" fontId="9" fillId="0" borderId="0" xfId="121" applyFont="1" applyBorder="1"/>
    <xf numFmtId="44" fontId="9" fillId="0" borderId="0" xfId="121" applyFont="1" applyBorder="1" applyAlignment="1">
      <alignment horizontal="right"/>
    </xf>
    <xf numFmtId="168" fontId="7" fillId="0" borderId="0" xfId="27" applyNumberFormat="1" applyFont="1" applyBorder="1"/>
    <xf numFmtId="166" fontId="7" fillId="0" borderId="0" xfId="27" applyNumberFormat="1" applyFont="1" applyBorder="1" applyAlignment="1"/>
    <xf numFmtId="164" fontId="7" fillId="0" borderId="0" xfId="119" applyNumberFormat="1" applyFont="1" applyBorder="1" applyAlignment="1">
      <alignment horizontal="center"/>
    </xf>
    <xf numFmtId="175" fontId="7" fillId="0" borderId="0" xfId="27" applyNumberFormat="1" applyFont="1" applyBorder="1"/>
    <xf numFmtId="175" fontId="7" fillId="0" borderId="3" xfId="27" applyNumberFormat="1" applyFont="1" applyBorder="1"/>
    <xf numFmtId="44" fontId="7" fillId="0" borderId="3" xfId="121" applyFont="1" applyBorder="1" applyAlignment="1"/>
    <xf numFmtId="175" fontId="7" fillId="0" borderId="0" xfId="121" applyNumberFormat="1" applyFont="1" applyAlignment="1">
      <alignment horizontal="center"/>
    </xf>
    <xf numFmtId="175" fontId="7" fillId="0" borderId="0" xfId="121" applyNumberFormat="1" applyFont="1"/>
    <xf numFmtId="175" fontId="7" fillId="0" borderId="3" xfId="121" applyNumberFormat="1" applyFont="1" applyBorder="1" applyAlignment="1">
      <alignment horizontal="center"/>
    </xf>
    <xf numFmtId="175" fontId="7" fillId="0" borderId="3" xfId="121" applyNumberFormat="1" applyFont="1" applyBorder="1"/>
    <xf numFmtId="175" fontId="9" fillId="0" borderId="0" xfId="121" applyNumberFormat="1" applyFont="1" applyAlignment="1"/>
    <xf numFmtId="175" fontId="9" fillId="0" borderId="0" xfId="121" applyNumberFormat="1" applyFont="1"/>
    <xf numFmtId="181" fontId="7" fillId="15" borderId="0" xfId="1" applyNumberFormat="1" applyFont="1" applyFill="1" applyAlignment="1">
      <alignment horizontal="right"/>
    </xf>
    <xf numFmtId="181" fontId="7" fillId="0" borderId="0" xfId="1" applyNumberFormat="1" applyFont="1" applyAlignment="1">
      <alignment horizontal="right"/>
    </xf>
    <xf numFmtId="181" fontId="7" fillId="0" borderId="0" xfId="1" applyNumberFormat="1" applyFont="1" applyBorder="1" applyAlignment="1">
      <alignment horizontal="right"/>
    </xf>
    <xf numFmtId="181" fontId="7" fillId="15" borderId="3" xfId="1" applyNumberFormat="1" applyFont="1" applyFill="1" applyBorder="1" applyAlignment="1">
      <alignment horizontal="right"/>
    </xf>
    <xf numFmtId="181" fontId="7" fillId="0" borderId="3" xfId="1" applyNumberFormat="1" applyFont="1" applyBorder="1" applyAlignment="1">
      <alignment horizontal="right"/>
    </xf>
    <xf numFmtId="181" fontId="9" fillId="15" borderId="0" xfId="1" applyNumberFormat="1" applyFont="1" applyFill="1" applyAlignment="1">
      <alignment horizontal="right"/>
    </xf>
    <xf numFmtId="181" fontId="9" fillId="0" borderId="0" xfId="1" applyNumberFormat="1" applyFont="1" applyAlignment="1">
      <alignment horizontal="right"/>
    </xf>
    <xf numFmtId="0" fontId="21" fillId="0" borderId="3" xfId="27" applyNumberFormat="1" applyFont="1" applyBorder="1" applyAlignment="1"/>
    <xf numFmtId="166" fontId="7" fillId="0" borderId="3" xfId="27" applyNumberFormat="1" applyFont="1" applyBorder="1" applyAlignment="1">
      <alignment horizontal="center"/>
    </xf>
    <xf numFmtId="168" fontId="7" fillId="0" borderId="3" xfId="27" applyNumberFormat="1" applyFont="1" applyBorder="1" applyAlignment="1">
      <alignment horizontal="center"/>
    </xf>
    <xf numFmtId="167" fontId="7" fillId="0" borderId="3" xfId="2" applyNumberFormat="1" applyFont="1" applyBorder="1" applyAlignment="1">
      <alignment horizontal="center"/>
    </xf>
    <xf numFmtId="172" fontId="7" fillId="0" borderId="3" xfId="27" applyNumberFormat="1" applyFont="1" applyBorder="1" applyAlignment="1">
      <alignment horizontal="center"/>
    </xf>
    <xf numFmtId="43" fontId="7" fillId="0" borderId="0" xfId="1" applyFont="1" applyBorder="1" applyAlignment="1"/>
    <xf numFmtId="175" fontId="7" fillId="0" borderId="0" xfId="27" applyNumberFormat="1" applyFont="1" applyFill="1" applyBorder="1" applyAlignment="1">
      <alignment horizontal="center"/>
    </xf>
    <xf numFmtId="43" fontId="31" fillId="15" borderId="0" xfId="1" applyFont="1" applyFill="1" applyAlignment="1">
      <alignment horizontal="right"/>
    </xf>
    <xf numFmtId="0" fontId="21" fillId="0" borderId="0" xfId="0" applyFont="1" applyAlignment="1">
      <alignment horizontal="right"/>
    </xf>
    <xf numFmtId="167" fontId="32" fillId="0" borderId="0" xfId="2" applyNumberFormat="1" applyFont="1"/>
    <xf numFmtId="164" fontId="7" fillId="6" borderId="29" xfId="1" applyNumberFormat="1" applyFont="1" applyFill="1" applyBorder="1" applyAlignment="1">
      <alignment horizontal="right"/>
    </xf>
    <xf numFmtId="9" fontId="38" fillId="0" borderId="0" xfId="2" applyFont="1" applyAlignment="1">
      <alignment horizontal="right"/>
    </xf>
    <xf numFmtId="175" fontId="50" fillId="0" borderId="0" xfId="0" applyNumberFormat="1" applyFont="1"/>
    <xf numFmtId="175" fontId="9" fillId="0" borderId="15" xfId="0" applyNumberFormat="1" applyFont="1" applyBorder="1"/>
    <xf numFmtId="9" fontId="38" fillId="0" borderId="0" xfId="2" applyNumberFormat="1" applyFont="1" applyFill="1" applyAlignment="1">
      <alignment horizontal="right"/>
    </xf>
    <xf numFmtId="9" fontId="7" fillId="0" borderId="0" xfId="2" applyFont="1" applyFill="1" applyBorder="1"/>
    <xf numFmtId="175" fontId="35" fillId="5" borderId="0" xfId="27" applyNumberFormat="1" applyFont="1" applyFill="1" applyBorder="1" applyAlignment="1">
      <alignment horizontal="center"/>
    </xf>
    <xf numFmtId="0" fontId="10" fillId="2" borderId="0" xfId="0" applyNumberFormat="1" applyFont="1" applyFill="1" applyAlignment="1"/>
    <xf numFmtId="0" fontId="54" fillId="0" borderId="0" xfId="0" applyNumberFormat="1" applyFont="1" applyAlignment="1">
      <alignment horizontal="centerContinuous" vertical="center"/>
    </xf>
    <xf numFmtId="0" fontId="56" fillId="2" borderId="31" xfId="0" applyNumberFormat="1" applyFont="1" applyFill="1" applyBorder="1" applyAlignment="1">
      <alignment horizontal="center" vertical="center"/>
    </xf>
    <xf numFmtId="0" fontId="56" fillId="2" borderId="32" xfId="0" applyNumberFormat="1" applyFont="1" applyFill="1" applyBorder="1" applyAlignment="1">
      <alignment horizontal="center" vertical="center"/>
    </xf>
    <xf numFmtId="0" fontId="19" fillId="5" borderId="33" xfId="0" applyNumberFormat="1" applyFont="1" applyFill="1" applyBorder="1" applyAlignment="1">
      <alignment horizontal="left" vertical="center"/>
    </xf>
    <xf numFmtId="0" fontId="57" fillId="0" borderId="34" xfId="0" applyNumberFormat="1" applyFont="1" applyFill="1" applyBorder="1" applyAlignment="1">
      <alignment horizontal="left" vertical="center"/>
    </xf>
    <xf numFmtId="0" fontId="57" fillId="0" borderId="35" xfId="0" applyNumberFormat="1" applyFont="1" applyFill="1" applyBorder="1" applyAlignment="1">
      <alignment horizontal="left" vertical="center"/>
    </xf>
    <xf numFmtId="0" fontId="58" fillId="0" borderId="0" xfId="0" applyNumberFormat="1" applyFont="1" applyAlignment="1">
      <alignment horizontal="centerContinuous" vertical="center"/>
    </xf>
    <xf numFmtId="0" fontId="56" fillId="2" borderId="38" xfId="0" applyNumberFormat="1" applyFont="1" applyFill="1" applyBorder="1" applyAlignment="1">
      <alignment horizontal="center" vertical="center"/>
    </xf>
    <xf numFmtId="9" fontId="56" fillId="2" borderId="39" xfId="0" applyNumberFormat="1" applyFont="1" applyFill="1" applyBorder="1" applyAlignment="1">
      <alignment horizontal="center" vertical="center"/>
    </xf>
    <xf numFmtId="9" fontId="19" fillId="5" borderId="40" xfId="0" applyNumberFormat="1" applyFont="1" applyFill="1" applyBorder="1" applyAlignment="1">
      <alignment horizontal="center" vertical="center"/>
    </xf>
    <xf numFmtId="168" fontId="57" fillId="0" borderId="41" xfId="0" applyNumberFormat="1" applyFont="1" applyFill="1" applyBorder="1" applyAlignment="1">
      <alignment horizontal="center" vertical="center"/>
    </xf>
    <xf numFmtId="168" fontId="57" fillId="0" borderId="42" xfId="0" applyNumberFormat="1" applyFont="1" applyFill="1" applyBorder="1" applyAlignment="1">
      <alignment horizontal="center" vertical="center"/>
    </xf>
    <xf numFmtId="168" fontId="57" fillId="0" borderId="44" xfId="0" applyNumberFormat="1" applyFont="1" applyFill="1" applyBorder="1" applyAlignment="1">
      <alignment horizontal="center" vertical="center"/>
    </xf>
    <xf numFmtId="168" fontId="57" fillId="0" borderId="45" xfId="0" applyNumberFormat="1" applyFont="1" applyFill="1" applyBorder="1" applyAlignment="1">
      <alignment horizontal="center" vertical="center"/>
    </xf>
    <xf numFmtId="0" fontId="59" fillId="2" borderId="0" xfId="0" applyNumberFormat="1" applyFont="1" applyFill="1" applyAlignment="1">
      <alignment horizontal="right"/>
    </xf>
    <xf numFmtId="9" fontId="19" fillId="5" borderId="47" xfId="0" applyNumberFormat="1" applyFont="1" applyFill="1" applyBorder="1" applyAlignment="1">
      <alignment horizontal="center" vertical="center"/>
    </xf>
    <xf numFmtId="168" fontId="57" fillId="0" borderId="48" xfId="0" applyNumberFormat="1" applyFont="1" applyFill="1" applyBorder="1" applyAlignment="1">
      <alignment horizontal="center" vertical="center"/>
    </xf>
    <xf numFmtId="168" fontId="57" fillId="0" borderId="0" xfId="0" applyNumberFormat="1" applyFont="1" applyFill="1" applyBorder="1" applyAlignment="1">
      <alignment horizontal="center" vertical="center"/>
    </xf>
    <xf numFmtId="0" fontId="19" fillId="5" borderId="53" xfId="0" applyNumberFormat="1" applyFont="1" applyFill="1" applyBorder="1" applyAlignment="1">
      <alignment horizontal="center" vertical="center" wrapText="1"/>
    </xf>
    <xf numFmtId="168" fontId="19" fillId="0" borderId="54" xfId="120" applyNumberFormat="1" applyFont="1" applyFill="1" applyBorder="1" applyAlignment="1">
      <alignment horizontal="center" vertical="center" wrapText="1"/>
    </xf>
    <xf numFmtId="168" fontId="19" fillId="0" borderId="55" xfId="120" applyNumberFormat="1" applyFont="1" applyFill="1" applyBorder="1" applyAlignment="1">
      <alignment horizontal="center" vertical="center" wrapText="1"/>
    </xf>
    <xf numFmtId="0" fontId="58" fillId="0" borderId="0" xfId="0" applyNumberFormat="1" applyFont="1" applyAlignment="1"/>
    <xf numFmtId="0" fontId="58" fillId="0" borderId="0" xfId="0" applyNumberFormat="1" applyFont="1" applyFill="1" applyAlignment="1"/>
    <xf numFmtId="0" fontId="10" fillId="2" borderId="0" xfId="0" applyNumberFormat="1" applyFont="1" applyFill="1" applyAlignment="1">
      <alignment horizontal="left"/>
    </xf>
    <xf numFmtId="168" fontId="19" fillId="0" borderId="54" xfId="0" applyNumberFormat="1" applyFont="1" applyFill="1" applyBorder="1" applyAlignment="1">
      <alignment horizontal="center" vertical="center" wrapText="1"/>
    </xf>
    <xf numFmtId="168" fontId="19" fillId="0" borderId="55" xfId="0" applyNumberFormat="1" applyFont="1" applyFill="1" applyBorder="1" applyAlignment="1">
      <alignment horizontal="center" vertical="center" wrapText="1"/>
    </xf>
    <xf numFmtId="0" fontId="60" fillId="0" borderId="36" xfId="0" applyNumberFormat="1" applyFont="1" applyFill="1" applyBorder="1" applyAlignment="1">
      <alignment horizontal="left" vertical="center"/>
    </xf>
    <xf numFmtId="168" fontId="60" fillId="0" borderId="43" xfId="0" applyNumberFormat="1" applyFont="1" applyFill="1" applyBorder="1" applyAlignment="1">
      <alignment horizontal="center" vertical="center"/>
    </xf>
    <xf numFmtId="168" fontId="60" fillId="0" borderId="46" xfId="0" applyNumberFormat="1" applyFont="1" applyFill="1" applyBorder="1" applyAlignment="1">
      <alignment horizontal="center" vertical="center"/>
    </xf>
    <xf numFmtId="168" fontId="60" fillId="0" borderId="49" xfId="0" applyNumberFormat="1" applyFont="1" applyFill="1" applyBorder="1" applyAlignment="1">
      <alignment horizontal="center" vertical="center"/>
    </xf>
    <xf numFmtId="168" fontId="61" fillId="0" borderId="56" xfId="120" applyNumberFormat="1" applyFont="1" applyFill="1" applyBorder="1" applyAlignment="1">
      <alignment horizontal="center" vertical="center" wrapText="1"/>
    </xf>
    <xf numFmtId="0" fontId="61" fillId="0" borderId="0" xfId="0" applyNumberFormat="1" applyFont="1" applyAlignment="1"/>
    <xf numFmtId="168" fontId="61" fillId="0" borderId="56" xfId="0" applyNumberFormat="1" applyFont="1" applyFill="1" applyBorder="1" applyAlignment="1">
      <alignment horizontal="center" vertical="center" wrapText="1"/>
    </xf>
    <xf numFmtId="0" fontId="38" fillId="0" borderId="4" xfId="27" applyFont="1" applyBorder="1"/>
    <xf numFmtId="0" fontId="38" fillId="3" borderId="5" xfId="27" applyNumberFormat="1" applyFont="1" applyFill="1" applyBorder="1" applyAlignment="1"/>
    <xf numFmtId="175" fontId="37" fillId="14" borderId="6" xfId="27" applyNumberFormat="1" applyFont="1" applyFill="1" applyBorder="1" applyAlignment="1">
      <alignment horizontal="right"/>
    </xf>
    <xf numFmtId="44" fontId="5" fillId="14" borderId="6" xfId="121" applyFont="1" applyFill="1" applyBorder="1" applyAlignment="1">
      <alignment horizontal="right" vertical="center"/>
    </xf>
    <xf numFmtId="44" fontId="9" fillId="14" borderId="6" xfId="121" applyFont="1" applyFill="1" applyBorder="1" applyAlignment="1">
      <alignment horizontal="right"/>
    </xf>
    <xf numFmtId="44" fontId="37" fillId="14" borderId="6" xfId="121" applyFont="1" applyFill="1" applyBorder="1" applyAlignment="1">
      <alignment horizontal="right"/>
    </xf>
    <xf numFmtId="0" fontId="7" fillId="0" borderId="5" xfId="27" applyFont="1" applyFill="1" applyBorder="1"/>
    <xf numFmtId="175" fontId="37" fillId="14" borderId="6" xfId="27" applyNumberFormat="1" applyFont="1" applyFill="1" applyBorder="1" applyAlignment="1">
      <alignment horizontal="right" vertical="center"/>
    </xf>
    <xf numFmtId="0" fontId="50" fillId="3" borderId="5" xfId="27" applyNumberFormat="1" applyFont="1" applyFill="1" applyBorder="1" applyAlignment="1"/>
    <xf numFmtId="0" fontId="38" fillId="3" borderId="4" xfId="27" applyNumberFormat="1" applyFont="1" applyFill="1" applyBorder="1" applyAlignment="1"/>
    <xf numFmtId="175" fontId="37" fillId="14" borderId="14" xfId="27" applyNumberFormat="1" applyFont="1" applyFill="1" applyBorder="1" applyAlignment="1">
      <alignment horizontal="right" vertical="center"/>
    </xf>
    <xf numFmtId="0" fontId="38" fillId="3" borderId="26" xfId="27" applyNumberFormat="1" applyFont="1" applyFill="1" applyBorder="1" applyAlignment="1"/>
    <xf numFmtId="175" fontId="37" fillId="14" borderId="27" xfId="27" applyNumberFormat="1" applyFont="1" applyFill="1" applyBorder="1" applyAlignment="1">
      <alignment horizontal="right" vertical="center"/>
    </xf>
    <xf numFmtId="0" fontId="38" fillId="3" borderId="4" xfId="27" applyFont="1" applyFill="1" applyBorder="1"/>
    <xf numFmtId="0" fontId="37" fillId="5" borderId="25" xfId="27" applyNumberFormat="1" applyFont="1" applyFill="1" applyBorder="1" applyAlignment="1"/>
    <xf numFmtId="44" fontId="9" fillId="5" borderId="7" xfId="121" applyFont="1" applyFill="1" applyBorder="1" applyAlignment="1">
      <alignment horizontal="center"/>
    </xf>
    <xf numFmtId="44" fontId="37" fillId="14" borderId="6" xfId="121" applyFont="1" applyFill="1" applyBorder="1" applyAlignment="1">
      <alignment horizontal="right" vertical="center"/>
    </xf>
    <xf numFmtId="10" fontId="9" fillId="14" borderId="6" xfId="6" applyNumberFormat="1" applyFont="1" applyFill="1" applyBorder="1" applyAlignment="1">
      <alignment horizontal="right"/>
    </xf>
    <xf numFmtId="10" fontId="37" fillId="14" borderId="6" xfId="6" applyNumberFormat="1" applyFont="1" applyFill="1" applyBorder="1" applyAlignment="1">
      <alignment horizontal="right"/>
    </xf>
    <xf numFmtId="10" fontId="37" fillId="14" borderId="6" xfId="1" applyNumberFormat="1" applyFont="1" applyFill="1" applyBorder="1" applyAlignment="1">
      <alignment horizontal="right"/>
    </xf>
    <xf numFmtId="10" fontId="9" fillId="14" borderId="6" xfId="2" applyNumberFormat="1" applyFont="1" applyFill="1" applyBorder="1" applyAlignment="1">
      <alignment horizontal="right"/>
    </xf>
    <xf numFmtId="10" fontId="37" fillId="14" borderId="6" xfId="2" applyNumberFormat="1" applyFont="1" applyFill="1" applyBorder="1" applyAlignment="1">
      <alignment horizontal="right"/>
    </xf>
    <xf numFmtId="10" fontId="37" fillId="14" borderId="14" xfId="2" applyNumberFormat="1" applyFont="1" applyFill="1" applyBorder="1" applyAlignment="1">
      <alignment horizontal="right"/>
    </xf>
    <xf numFmtId="10" fontId="9" fillId="0" borderId="0" xfId="2" applyNumberFormat="1" applyFont="1" applyFill="1" applyBorder="1" applyAlignment="1">
      <alignment horizontal="right"/>
    </xf>
    <xf numFmtId="10" fontId="9" fillId="5" borderId="7" xfId="27" applyNumberFormat="1" applyFont="1" applyFill="1" applyBorder="1" applyAlignment="1">
      <alignment horizontal="right"/>
    </xf>
    <xf numFmtId="10" fontId="37" fillId="14" borderId="6" xfId="121" applyNumberFormat="1" applyFont="1" applyFill="1" applyBorder="1" applyAlignment="1">
      <alignment horizontal="right"/>
    </xf>
    <xf numFmtId="10" fontId="9" fillId="14" borderId="14" xfId="2" applyNumberFormat="1" applyFont="1" applyFill="1" applyBorder="1" applyAlignment="1">
      <alignment horizontal="right"/>
    </xf>
    <xf numFmtId="174" fontId="37" fillId="14" borderId="6" xfId="1" applyNumberFormat="1" applyFont="1" applyFill="1" applyBorder="1" applyAlignment="1">
      <alignment horizontal="right"/>
    </xf>
    <xf numFmtId="174" fontId="9" fillId="5" borderId="7" xfId="27" applyNumberFormat="1" applyFont="1" applyFill="1" applyBorder="1" applyAlignment="1">
      <alignment horizontal="right"/>
    </xf>
    <xf numFmtId="44" fontId="37" fillId="14" borderId="14" xfId="121" applyFont="1" applyFill="1" applyBorder="1" applyAlignment="1">
      <alignment horizontal="right"/>
    </xf>
    <xf numFmtId="44" fontId="9" fillId="14" borderId="14" xfId="121" applyFont="1" applyFill="1" applyBorder="1" applyAlignment="1">
      <alignment horizontal="right"/>
    </xf>
    <xf numFmtId="0" fontId="9" fillId="0" borderId="0" xfId="0" applyFont="1" applyFill="1"/>
    <xf numFmtId="0" fontId="37" fillId="5" borderId="7" xfId="0" applyFont="1" applyFill="1" applyBorder="1" applyAlignment="1">
      <alignment horizontal="right"/>
    </xf>
    <xf numFmtId="174" fontId="9" fillId="0" borderId="0" xfId="0" applyNumberFormat="1" applyFont="1" applyFill="1" applyAlignment="1">
      <alignment horizontal="right"/>
    </xf>
    <xf numFmtId="44" fontId="7" fillId="0" borderId="6" xfId="121" applyFont="1" applyBorder="1" applyAlignment="1">
      <alignment horizontal="right"/>
    </xf>
    <xf numFmtId="44" fontId="7" fillId="0" borderId="14" xfId="121" applyFont="1" applyBorder="1" applyAlignment="1">
      <alignment horizontal="right"/>
    </xf>
    <xf numFmtId="174" fontId="37" fillId="14" borderId="14" xfId="1" applyNumberFormat="1" applyFont="1" applyFill="1" applyBorder="1" applyAlignment="1">
      <alignment horizontal="right"/>
    </xf>
    <xf numFmtId="0" fontId="9" fillId="0" borderId="0" xfId="27" applyNumberFormat="1" applyFont="1" applyFill="1" applyBorder="1" applyAlignment="1"/>
    <xf numFmtId="175" fontId="21" fillId="0" borderId="0" xfId="27" applyNumberFormat="1" applyFont="1" applyFill="1" applyBorder="1" applyAlignment="1">
      <alignment horizontal="right"/>
    </xf>
    <xf numFmtId="9" fontId="9" fillId="0" borderId="0" xfId="2" applyFont="1" applyFill="1" applyBorder="1" applyAlignment="1">
      <alignment horizontal="right"/>
    </xf>
    <xf numFmtId="0" fontId="5" fillId="16" borderId="5" xfId="0" applyFont="1" applyFill="1" applyBorder="1"/>
    <xf numFmtId="0" fontId="9" fillId="16" borderId="5" xfId="0" applyFont="1" applyFill="1" applyBorder="1"/>
    <xf numFmtId="0" fontId="21" fillId="0" borderId="5" xfId="0" applyFont="1" applyFill="1" applyBorder="1"/>
    <xf numFmtId="0" fontId="9" fillId="0" borderId="5" xfId="0" applyFont="1" applyFill="1" applyBorder="1"/>
    <xf numFmtId="0" fontId="0" fillId="0" borderId="5" xfId="0" applyFont="1" applyBorder="1"/>
    <xf numFmtId="0" fontId="30" fillId="0" borderId="5" xfId="0" applyFont="1" applyFill="1" applyBorder="1"/>
    <xf numFmtId="9" fontId="7" fillId="0" borderId="4" xfId="6" applyFont="1" applyBorder="1"/>
    <xf numFmtId="44" fontId="0" fillId="0" borderId="0" xfId="0" applyNumberFormat="1"/>
    <xf numFmtId="44" fontId="0" fillId="0" borderId="0" xfId="121" applyFont="1"/>
    <xf numFmtId="10" fontId="0" fillId="0" borderId="0" xfId="0" applyNumberFormat="1"/>
    <xf numFmtId="44" fontId="38" fillId="0" borderId="0" xfId="121" applyFont="1"/>
    <xf numFmtId="10" fontId="38" fillId="0" borderId="0" xfId="0" applyNumberFormat="1" applyFont="1"/>
    <xf numFmtId="44" fontId="38" fillId="0" borderId="0" xfId="0" applyNumberFormat="1" applyFont="1"/>
    <xf numFmtId="0" fontId="7" fillId="15" borderId="0" xfId="27" applyFont="1" applyFill="1"/>
    <xf numFmtId="44" fontId="7" fillId="0" borderId="0" xfId="27" applyNumberFormat="1" applyFont="1"/>
    <xf numFmtId="44" fontId="7" fillId="15" borderId="0" xfId="121" applyFont="1" applyFill="1"/>
    <xf numFmtId="164" fontId="9" fillId="14" borderId="6" xfId="1" applyNumberFormat="1" applyFont="1" applyFill="1" applyBorder="1" applyAlignment="1">
      <alignment horizontal="right" vertical="center"/>
    </xf>
    <xf numFmtId="175" fontId="7" fillId="0" borderId="0" xfId="0" applyNumberFormat="1" applyFont="1" applyBorder="1"/>
    <xf numFmtId="0" fontId="5" fillId="0" borderId="0" xfId="0" applyFont="1" applyAlignment="1">
      <alignment horizontal="center"/>
    </xf>
    <xf numFmtId="0" fontId="37" fillId="5" borderId="0" xfId="0" applyFont="1" applyFill="1" applyBorder="1"/>
    <xf numFmtId="180" fontId="38" fillId="5" borderId="0" xfId="121" applyNumberFormat="1" applyFont="1" applyFill="1" applyBorder="1"/>
    <xf numFmtId="180" fontId="38" fillId="0" borderId="0" xfId="121" applyNumberFormat="1" applyFont="1" applyFill="1" applyBorder="1"/>
    <xf numFmtId="180" fontId="38" fillId="0" borderId="0" xfId="121" applyNumberFormat="1" applyFont="1" applyFill="1"/>
    <xf numFmtId="0" fontId="38" fillId="0" borderId="3" xfId="0" applyFont="1" applyFill="1" applyBorder="1"/>
    <xf numFmtId="180" fontId="38" fillId="0" borderId="3" xfId="121" applyNumberFormat="1" applyFont="1" applyFill="1" applyBorder="1"/>
    <xf numFmtId="175" fontId="37" fillId="12" borderId="0" xfId="0" applyNumberFormat="1" applyFont="1" applyFill="1" applyBorder="1"/>
    <xf numFmtId="180" fontId="37" fillId="12" borderId="0" xfId="121" applyNumberFormat="1" applyFont="1" applyFill="1"/>
    <xf numFmtId="0" fontId="38" fillId="2" borderId="0" xfId="0" applyFont="1" applyFill="1"/>
    <xf numFmtId="180" fontId="38" fillId="0" borderId="0" xfId="121" applyNumberFormat="1" applyFont="1"/>
    <xf numFmtId="180" fontId="38" fillId="2" borderId="0" xfId="121" applyNumberFormat="1" applyFont="1" applyFill="1"/>
    <xf numFmtId="0" fontId="38" fillId="5" borderId="0" xfId="0" applyFont="1" applyFill="1" applyBorder="1"/>
    <xf numFmtId="180" fontId="5" fillId="0" borderId="0" xfId="121" applyNumberFormat="1" applyFont="1"/>
    <xf numFmtId="180" fontId="0" fillId="0" borderId="0" xfId="0" applyNumberFormat="1" applyFont="1"/>
    <xf numFmtId="180" fontId="39" fillId="0" borderId="0" xfId="121" applyNumberFormat="1" applyFont="1"/>
    <xf numFmtId="180" fontId="39" fillId="0" borderId="0" xfId="0" applyNumberFormat="1" applyFont="1"/>
    <xf numFmtId="180" fontId="5" fillId="0" borderId="0" xfId="121" applyNumberFormat="1" applyFont="1" applyBorder="1"/>
    <xf numFmtId="180" fontId="0" fillId="0" borderId="0" xfId="0" applyNumberFormat="1" applyFont="1" applyFill="1"/>
    <xf numFmtId="180" fontId="5" fillId="0" borderId="0" xfId="121" applyNumberFormat="1" applyFont="1" applyFill="1"/>
    <xf numFmtId="180" fontId="9" fillId="0" borderId="0" xfId="2" applyNumberFormat="1" applyFont="1" applyFill="1" applyBorder="1" applyAlignment="1"/>
    <xf numFmtId="180" fontId="7" fillId="0" borderId="0" xfId="2" applyNumberFormat="1" applyFont="1" applyFill="1" applyBorder="1" applyAlignment="1"/>
    <xf numFmtId="180" fontId="9" fillId="0" borderId="0" xfId="0" applyNumberFormat="1" applyFont="1" applyFill="1" applyBorder="1" applyAlignment="1"/>
    <xf numFmtId="180" fontId="7" fillId="0" borderId="0" xfId="0" applyNumberFormat="1" applyFont="1" applyFill="1" applyBorder="1" applyAlignment="1"/>
    <xf numFmtId="180" fontId="37" fillId="0" borderId="0" xfId="121" applyNumberFormat="1" applyFont="1"/>
    <xf numFmtId="180" fontId="38" fillId="0" borderId="0" xfId="27" applyNumberFormat="1" applyFont="1" applyFill="1" applyBorder="1" applyAlignment="1">
      <alignment horizontal="left"/>
    </xf>
    <xf numFmtId="180" fontId="38" fillId="0" borderId="0" xfId="0" applyNumberFormat="1" applyFont="1"/>
    <xf numFmtId="180" fontId="38" fillId="0" borderId="0" xfId="0" applyNumberFormat="1" applyFont="1" applyFill="1"/>
    <xf numFmtId="180" fontId="37" fillId="0" borderId="0" xfId="121" applyNumberFormat="1" applyFont="1" applyBorder="1"/>
    <xf numFmtId="180" fontId="37" fillId="0" borderId="0" xfId="2" applyNumberFormat="1" applyFont="1" applyFill="1" applyBorder="1" applyAlignment="1"/>
    <xf numFmtId="180" fontId="38" fillId="0" borderId="0" xfId="2" applyNumberFormat="1" applyFont="1" applyFill="1" applyBorder="1" applyAlignment="1"/>
    <xf numFmtId="180" fontId="37" fillId="0" borderId="0" xfId="0" applyNumberFormat="1" applyFont="1" applyFill="1" applyBorder="1" applyAlignment="1"/>
    <xf numFmtId="180" fontId="38" fillId="0" borderId="0" xfId="0" applyNumberFormat="1" applyFont="1" applyFill="1" applyBorder="1" applyAlignment="1"/>
    <xf numFmtId="180" fontId="7" fillId="0" borderId="0" xfId="27" applyNumberFormat="1" applyFont="1" applyFill="1" applyBorder="1" applyAlignment="1">
      <alignment horizontal="left"/>
    </xf>
    <xf numFmtId="180" fontId="0" fillId="0" borderId="0" xfId="0" applyNumberFormat="1" applyFill="1"/>
    <xf numFmtId="0" fontId="64" fillId="0" borderId="0" xfId="0" applyFont="1"/>
    <xf numFmtId="0" fontId="64" fillId="7" borderId="0" xfId="0" applyFont="1" applyFill="1"/>
    <xf numFmtId="0" fontId="65" fillId="0" borderId="0" xfId="0" applyFont="1"/>
    <xf numFmtId="3" fontId="66" fillId="0" borderId="0" xfId="0" applyNumberFormat="1" applyFont="1"/>
    <xf numFmtId="0" fontId="66" fillId="0" borderId="0" xfId="0" applyFont="1"/>
    <xf numFmtId="180" fontId="64" fillId="0" borderId="0" xfId="121" applyNumberFormat="1" applyFont="1"/>
    <xf numFmtId="180" fontId="66" fillId="0" borderId="0" xfId="121" applyNumberFormat="1" applyFont="1"/>
    <xf numFmtId="180" fontId="66" fillId="0" borderId="0" xfId="121" applyNumberFormat="1" applyFont="1" applyFill="1"/>
    <xf numFmtId="43" fontId="64" fillId="0" borderId="0" xfId="1" applyFont="1"/>
    <xf numFmtId="0" fontId="66" fillId="0" borderId="0" xfId="0" applyFont="1" applyAlignment="1">
      <alignment horizontal="center"/>
    </xf>
    <xf numFmtId="180" fontId="66" fillId="7" borderId="0" xfId="121" applyNumberFormat="1" applyFont="1" applyFill="1"/>
    <xf numFmtId="0" fontId="66" fillId="0" borderId="0" xfId="1" applyNumberFormat="1" applyFont="1" applyAlignment="1">
      <alignment horizontal="center"/>
    </xf>
    <xf numFmtId="0" fontId="67" fillId="0" borderId="0" xfId="0" applyFont="1" applyAlignment="1">
      <alignment horizontal="center"/>
    </xf>
    <xf numFmtId="0" fontId="67" fillId="0" borderId="0" xfId="0" applyFont="1"/>
    <xf numFmtId="180" fontId="67" fillId="0" borderId="0" xfId="121" applyNumberFormat="1" applyFont="1"/>
    <xf numFmtId="180" fontId="67" fillId="7" borderId="0" xfId="121" applyNumberFormat="1" applyFont="1" applyFill="1"/>
    <xf numFmtId="0" fontId="67" fillId="0" borderId="0" xfId="1" applyNumberFormat="1" applyFont="1" applyAlignment="1">
      <alignment horizontal="center"/>
    </xf>
    <xf numFmtId="0" fontId="66" fillId="0" borderId="0" xfId="1" applyNumberFormat="1" applyFont="1" applyAlignment="1">
      <alignment horizontal="left"/>
    </xf>
    <xf numFmtId="0" fontId="66" fillId="0" borderId="0" xfId="0" applyFont="1" applyAlignment="1">
      <alignment horizontal="right" wrapText="1"/>
    </xf>
    <xf numFmtId="0" fontId="66" fillId="0" borderId="0" xfId="0" applyFont="1" applyAlignment="1">
      <alignment horizontal="center" wrapText="1"/>
    </xf>
    <xf numFmtId="0" fontId="66" fillId="0" borderId="0" xfId="0" applyFont="1" applyBorder="1"/>
    <xf numFmtId="180" fontId="66" fillId="0" borderId="0" xfId="121" applyNumberFormat="1" applyFont="1" applyBorder="1"/>
    <xf numFmtId="0" fontId="66" fillId="0" borderId="3" xfId="0" applyFont="1" applyBorder="1" applyAlignment="1">
      <alignment horizontal="center"/>
    </xf>
    <xf numFmtId="0" fontId="66" fillId="0" borderId="3" xfId="0" applyFont="1" applyBorder="1"/>
    <xf numFmtId="180" fontId="66" fillId="0" borderId="3" xfId="121" applyNumberFormat="1" applyFont="1" applyBorder="1"/>
    <xf numFmtId="0" fontId="68" fillId="0" borderId="0" xfId="0" applyFont="1"/>
    <xf numFmtId="0" fontId="68" fillId="0" borderId="3" xfId="0" applyFont="1" applyBorder="1"/>
    <xf numFmtId="180" fontId="68" fillId="0" borderId="0" xfId="121" applyNumberFormat="1" applyFont="1"/>
    <xf numFmtId="180" fontId="68" fillId="0" borderId="3" xfId="121" applyNumberFormat="1" applyFont="1" applyBorder="1"/>
    <xf numFmtId="0" fontId="67" fillId="0" borderId="0" xfId="0" applyFont="1" applyBorder="1"/>
    <xf numFmtId="180" fontId="67" fillId="0" borderId="0" xfId="121" applyNumberFormat="1" applyFont="1" applyBorder="1"/>
    <xf numFmtId="0" fontId="69" fillId="0" borderId="0" xfId="0" applyFont="1"/>
    <xf numFmtId="0" fontId="65" fillId="7" borderId="0" xfId="0" applyFont="1" applyFill="1"/>
    <xf numFmtId="180" fontId="65" fillId="0" borderId="0" xfId="0" applyNumberFormat="1" applyFont="1"/>
    <xf numFmtId="180" fontId="69" fillId="0" borderId="0" xfId="121" applyNumberFormat="1" applyFont="1"/>
    <xf numFmtId="0" fontId="66" fillId="0" borderId="0" xfId="0" applyFont="1" applyBorder="1" applyAlignment="1">
      <alignment horizontal="center"/>
    </xf>
    <xf numFmtId="0" fontId="68" fillId="0" borderId="0" xfId="0" applyFont="1" applyBorder="1"/>
    <xf numFmtId="180" fontId="67" fillId="0" borderId="0" xfId="0" applyNumberFormat="1" applyFont="1"/>
    <xf numFmtId="180" fontId="70" fillId="0" borderId="0" xfId="0" applyNumberFormat="1" applyFont="1"/>
    <xf numFmtId="44" fontId="7" fillId="0" borderId="0" xfId="27" applyNumberFormat="1" applyFont="1" applyAlignment="1">
      <alignment horizontal="right"/>
    </xf>
    <xf numFmtId="180" fontId="66" fillId="0" borderId="0" xfId="0" applyNumberFormat="1" applyFont="1"/>
    <xf numFmtId="0" fontId="66" fillId="0" borderId="0" xfId="0" applyFont="1" applyFill="1" applyBorder="1"/>
    <xf numFmtId="180" fontId="66" fillId="7" borderId="0" xfId="121" applyNumberFormat="1" applyFont="1" applyFill="1" applyBorder="1"/>
    <xf numFmtId="0" fontId="66" fillId="0" borderId="0" xfId="1" applyNumberFormat="1" applyFont="1" applyBorder="1" applyAlignment="1">
      <alignment horizontal="center"/>
    </xf>
    <xf numFmtId="0" fontId="66" fillId="7" borderId="0" xfId="0" applyFont="1" applyFill="1"/>
    <xf numFmtId="0" fontId="66" fillId="7" borderId="0" xfId="0" applyFont="1" applyFill="1" applyBorder="1"/>
    <xf numFmtId="0" fontId="66" fillId="7" borderId="3" xfId="0" applyFont="1" applyFill="1" applyBorder="1"/>
    <xf numFmtId="0" fontId="66" fillId="0" borderId="3" xfId="1" applyNumberFormat="1" applyFont="1" applyBorder="1" applyAlignment="1">
      <alignment horizontal="center"/>
    </xf>
    <xf numFmtId="0" fontId="67" fillId="7" borderId="0" xfId="0" applyFont="1" applyFill="1"/>
    <xf numFmtId="0" fontId="66" fillId="0" borderId="0" xfId="0" applyFont="1" applyAlignment="1">
      <alignment horizontal="right"/>
    </xf>
    <xf numFmtId="3" fontId="66" fillId="0" borderId="0" xfId="0" applyNumberFormat="1" applyFont="1" applyAlignment="1">
      <alignment horizontal="center" wrapText="1"/>
    </xf>
    <xf numFmtId="3" fontId="66" fillId="0" borderId="0" xfId="0" applyNumberFormat="1" applyFont="1" applyAlignment="1">
      <alignment horizontal="center"/>
    </xf>
    <xf numFmtId="180" fontId="67" fillId="0" borderId="0" xfId="121" applyNumberFormat="1" applyFont="1" applyFill="1"/>
    <xf numFmtId="180" fontId="66" fillId="7" borderId="3" xfId="121" applyNumberFormat="1" applyFont="1" applyFill="1" applyBorder="1"/>
    <xf numFmtId="0" fontId="66" fillId="0" borderId="0" xfId="0" applyFont="1" applyAlignment="1">
      <alignment horizontal="center" vertical="center"/>
    </xf>
    <xf numFmtId="0" fontId="68" fillId="0" borderId="0" xfId="0" applyFont="1" applyAlignment="1">
      <alignment horizontal="center" vertical="center"/>
    </xf>
    <xf numFmtId="180" fontId="68" fillId="0" borderId="0" xfId="0" applyNumberFormat="1" applyFont="1"/>
    <xf numFmtId="180" fontId="68" fillId="0" borderId="0" xfId="121" applyNumberFormat="1" applyFont="1" applyBorder="1"/>
    <xf numFmtId="9" fontId="66" fillId="0" borderId="0" xfId="0" applyNumberFormat="1" applyFont="1" applyAlignment="1">
      <alignment horizontal="center"/>
    </xf>
    <xf numFmtId="0" fontId="38" fillId="0" borderId="5" xfId="27" applyNumberFormat="1" applyFont="1" applyBorder="1" applyAlignment="1"/>
    <xf numFmtId="164" fontId="38" fillId="0" borderId="0" xfId="119" applyNumberFormat="1" applyFont="1" applyAlignment="1">
      <alignment horizontal="left"/>
    </xf>
    <xf numFmtId="164" fontId="38" fillId="0" borderId="0" xfId="119" applyNumberFormat="1" applyFont="1" applyBorder="1" applyAlignment="1">
      <alignment horizontal="left"/>
    </xf>
    <xf numFmtId="164" fontId="7" fillId="0" borderId="0" xfId="119" applyNumberFormat="1" applyFont="1" applyAlignment="1">
      <alignment horizontal="left"/>
    </xf>
    <xf numFmtId="168" fontId="38" fillId="0" borderId="0" xfId="27" applyNumberFormat="1" applyFont="1"/>
    <xf numFmtId="166" fontId="38" fillId="0" borderId="0" xfId="27" applyNumberFormat="1" applyFont="1" applyAlignment="1">
      <alignment horizontal="right"/>
    </xf>
    <xf numFmtId="44" fontId="38" fillId="0" borderId="0" xfId="121" applyFont="1" applyFill="1"/>
    <xf numFmtId="44" fontId="38" fillId="15" borderId="0" xfId="121" applyFont="1" applyFill="1" applyAlignment="1">
      <alignment horizontal="right"/>
    </xf>
    <xf numFmtId="44" fontId="38" fillId="0" borderId="0" xfId="121" applyFont="1" applyFill="1" applyAlignment="1">
      <alignment horizontal="right"/>
    </xf>
    <xf numFmtId="0" fontId="38" fillId="0" borderId="3" xfId="27" applyFont="1" applyBorder="1"/>
    <xf numFmtId="0" fontId="38" fillId="0" borderId="3" xfId="27" applyNumberFormat="1" applyFont="1" applyBorder="1" applyAlignment="1"/>
    <xf numFmtId="166" fontId="38" fillId="0" borderId="3" xfId="27" applyNumberFormat="1" applyFont="1" applyBorder="1"/>
    <xf numFmtId="168" fontId="38" fillId="0" borderId="3" xfId="27" applyNumberFormat="1" applyFont="1" applyBorder="1"/>
    <xf numFmtId="166" fontId="38" fillId="0" borderId="3" xfId="27" applyNumberFormat="1" applyFont="1" applyBorder="1" applyAlignment="1">
      <alignment horizontal="right"/>
    </xf>
    <xf numFmtId="164" fontId="38" fillId="0" borderId="3" xfId="119" applyNumberFormat="1" applyFont="1" applyBorder="1" applyAlignment="1">
      <alignment horizontal="center"/>
    </xf>
    <xf numFmtId="44" fontId="38" fillId="0" borderId="3" xfId="121" applyFont="1" applyFill="1" applyBorder="1"/>
    <xf numFmtId="44" fontId="38" fillId="15" borderId="3" xfId="121" applyFont="1" applyFill="1" applyBorder="1" applyAlignment="1">
      <alignment horizontal="right"/>
    </xf>
    <xf numFmtId="44" fontId="38" fillId="0" borderId="3" xfId="121" applyFont="1" applyFill="1" applyBorder="1" applyAlignment="1">
      <alignment horizontal="right"/>
    </xf>
    <xf numFmtId="166" fontId="7" fillId="0" borderId="0" xfId="27" applyNumberFormat="1" applyFont="1" applyAlignment="1">
      <alignment horizontal="right"/>
    </xf>
    <xf numFmtId="164" fontId="9" fillId="0" borderId="0" xfId="119" applyNumberFormat="1" applyFont="1" applyAlignment="1">
      <alignment horizontal="center"/>
    </xf>
    <xf numFmtId="44" fontId="9" fillId="0" borderId="0" xfId="121" applyFont="1" applyFill="1"/>
    <xf numFmtId="44" fontId="9" fillId="0" borderId="0" xfId="121" applyFont="1" applyFill="1" applyAlignment="1">
      <alignment horizontal="right"/>
    </xf>
    <xf numFmtId="0" fontId="68" fillId="7" borderId="0" xfId="0" applyFont="1" applyFill="1"/>
    <xf numFmtId="180" fontId="66" fillId="0" borderId="3" xfId="0" applyNumberFormat="1" applyFont="1" applyBorder="1"/>
    <xf numFmtId="180" fontId="66" fillId="0" borderId="3" xfId="121" applyNumberFormat="1" applyFont="1" applyFill="1" applyBorder="1"/>
    <xf numFmtId="180" fontId="70" fillId="0" borderId="0" xfId="0" applyNumberFormat="1" applyFont="1" applyFill="1"/>
    <xf numFmtId="180" fontId="68" fillId="0" borderId="0" xfId="0" applyNumberFormat="1" applyFont="1" applyFill="1"/>
    <xf numFmtId="180" fontId="67" fillId="0" borderId="0" xfId="0" applyNumberFormat="1" applyFont="1" applyFill="1"/>
    <xf numFmtId="9" fontId="66" fillId="0" borderId="0" xfId="0" applyNumberFormat="1" applyFont="1" applyFill="1" applyAlignment="1">
      <alignment horizontal="center"/>
    </xf>
    <xf numFmtId="180" fontId="70" fillId="0" borderId="0" xfId="121" applyNumberFormat="1" applyFont="1"/>
    <xf numFmtId="43" fontId="68" fillId="0" borderId="0" xfId="0" applyNumberFormat="1" applyFont="1"/>
    <xf numFmtId="180" fontId="64" fillId="0" borderId="0" xfId="0" applyNumberFormat="1" applyFont="1"/>
    <xf numFmtId="43" fontId="7" fillId="0" borderId="0" xfId="1" applyFont="1" applyFill="1" applyBorder="1"/>
    <xf numFmtId="180" fontId="65" fillId="0" borderId="0" xfId="121" applyNumberFormat="1" applyFont="1"/>
    <xf numFmtId="0" fontId="66" fillId="7" borderId="0" xfId="0" applyFont="1" applyFill="1" applyAlignment="1">
      <alignment horizontal="center"/>
    </xf>
    <xf numFmtId="0" fontId="68" fillId="0" borderId="0" xfId="0" applyFont="1" applyAlignment="1">
      <alignment horizontal="center"/>
    </xf>
    <xf numFmtId="180" fontId="71" fillId="0" borderId="3" xfId="121" applyNumberFormat="1" applyFont="1" applyBorder="1"/>
    <xf numFmtId="180" fontId="71" fillId="0" borderId="0" xfId="121" applyNumberFormat="1" applyFont="1"/>
    <xf numFmtId="180" fontId="70" fillId="0" borderId="0" xfId="121" applyNumberFormat="1" applyFont="1" applyFill="1"/>
    <xf numFmtId="44" fontId="30" fillId="0" borderId="0" xfId="0" applyNumberFormat="1" applyFont="1"/>
    <xf numFmtId="180" fontId="71" fillId="0" borderId="0" xfId="121" applyNumberFormat="1" applyFont="1" applyFill="1"/>
    <xf numFmtId="0" fontId="23" fillId="0" borderId="0" xfId="0" applyFont="1" applyAlignment="1">
      <alignment horizontal="center"/>
    </xf>
    <xf numFmtId="0" fontId="23" fillId="0" borderId="0" xfId="0" applyFont="1" applyBorder="1"/>
    <xf numFmtId="3" fontId="23" fillId="0" borderId="0" xfId="0" applyNumberFormat="1" applyFont="1" applyBorder="1"/>
    <xf numFmtId="0" fontId="72" fillId="0" borderId="0" xfId="0" applyFont="1"/>
    <xf numFmtId="0" fontId="72" fillId="7" borderId="0" xfId="0" applyFont="1" applyFill="1"/>
    <xf numFmtId="0" fontId="73" fillId="0" borderId="0" xfId="0" applyFont="1"/>
    <xf numFmtId="180" fontId="72" fillId="0" borderId="0" xfId="121" applyNumberFormat="1" applyFont="1"/>
    <xf numFmtId="0" fontId="66" fillId="0" borderId="0" xfId="0" applyFont="1" applyFill="1"/>
    <xf numFmtId="0" fontId="66" fillId="0" borderId="0" xfId="0" applyFont="1" applyFill="1" applyAlignment="1">
      <alignment horizontal="center" vertical="center"/>
    </xf>
    <xf numFmtId="180" fontId="72" fillId="0" borderId="0" xfId="121" applyNumberFormat="1" applyFont="1" applyFill="1"/>
    <xf numFmtId="0" fontId="66" fillId="0" borderId="0" xfId="0" applyFont="1" applyFill="1" applyAlignment="1">
      <alignment horizontal="center"/>
    </xf>
    <xf numFmtId="180" fontId="66" fillId="0" borderId="0" xfId="0" applyNumberFormat="1" applyFont="1" applyFill="1"/>
    <xf numFmtId="180" fontId="66" fillId="0" borderId="0" xfId="121" applyNumberFormat="1" applyFont="1" applyFill="1" applyBorder="1"/>
    <xf numFmtId="180" fontId="71" fillId="0" borderId="3" xfId="121" applyNumberFormat="1" applyFont="1" applyFill="1" applyBorder="1"/>
    <xf numFmtId="6" fontId="68" fillId="0" borderId="0" xfId="0" applyNumberFormat="1" applyFont="1"/>
    <xf numFmtId="6" fontId="64" fillId="0" borderId="0" xfId="0" applyNumberFormat="1" applyFont="1"/>
    <xf numFmtId="180" fontId="66" fillId="0" borderId="3" xfId="0" applyNumberFormat="1" applyFont="1" applyFill="1" applyBorder="1"/>
    <xf numFmtId="164" fontId="67" fillId="0" borderId="0" xfId="1" applyNumberFormat="1" applyFont="1" applyFill="1"/>
    <xf numFmtId="43" fontId="66" fillId="0" borderId="0" xfId="1" applyFont="1" applyFill="1"/>
    <xf numFmtId="0" fontId="64" fillId="0" borderId="0" xfId="0" applyFont="1" applyFill="1"/>
    <xf numFmtId="180" fontId="68" fillId="0" borderId="0" xfId="121" applyNumberFormat="1" applyFont="1" applyFill="1"/>
    <xf numFmtId="180" fontId="64" fillId="0" borderId="0" xfId="0" applyNumberFormat="1" applyFont="1" applyFill="1"/>
    <xf numFmtId="180" fontId="64" fillId="0" borderId="0" xfId="121" applyNumberFormat="1" applyFont="1" applyFill="1"/>
    <xf numFmtId="6" fontId="64" fillId="0" borderId="0" xfId="0" applyNumberFormat="1" applyFont="1" applyFill="1"/>
    <xf numFmtId="44" fontId="68" fillId="0" borderId="0" xfId="0" applyNumberFormat="1" applyFont="1"/>
    <xf numFmtId="179" fontId="7" fillId="0" borderId="0" xfId="27" applyNumberFormat="1" applyFont="1" applyAlignment="1">
      <alignment horizontal="right"/>
    </xf>
    <xf numFmtId="44" fontId="66" fillId="0" borderId="0" xfId="0" applyNumberFormat="1" applyFont="1"/>
    <xf numFmtId="0" fontId="73" fillId="0" borderId="0" xfId="0" applyFont="1" applyAlignment="1">
      <alignment horizontal="center"/>
    </xf>
    <xf numFmtId="180" fontId="73" fillId="0" borderId="0" xfId="121" applyNumberFormat="1" applyFont="1"/>
    <xf numFmtId="180" fontId="73" fillId="7" borderId="0" xfId="121" applyNumberFormat="1" applyFont="1" applyFill="1"/>
    <xf numFmtId="0" fontId="73" fillId="0" borderId="0" xfId="1" applyNumberFormat="1" applyFont="1" applyAlignment="1">
      <alignment horizontal="center"/>
    </xf>
    <xf numFmtId="180" fontId="73" fillId="0" borderId="0" xfId="121" applyNumberFormat="1" applyFont="1" applyFill="1"/>
    <xf numFmtId="180" fontId="38" fillId="15" borderId="0" xfId="121" applyNumberFormat="1" applyFont="1" applyFill="1" applyAlignment="1">
      <alignment horizontal="right"/>
    </xf>
    <xf numFmtId="180" fontId="38" fillId="0" borderId="0" xfId="121" applyNumberFormat="1" applyFont="1" applyAlignment="1">
      <alignment horizontal="right"/>
    </xf>
    <xf numFmtId="180" fontId="7" fillId="15" borderId="0" xfId="121" applyNumberFormat="1" applyFont="1" applyFill="1" applyAlignment="1">
      <alignment horizontal="right"/>
    </xf>
    <xf numFmtId="180" fontId="7" fillId="0" borderId="0" xfId="121" applyNumberFormat="1" applyFont="1" applyAlignment="1">
      <alignment horizontal="right"/>
    </xf>
    <xf numFmtId="180" fontId="32" fillId="0" borderId="0" xfId="121" applyNumberFormat="1" applyFont="1" applyBorder="1"/>
    <xf numFmtId="0" fontId="74" fillId="0" borderId="59" xfId="0" applyFont="1" applyBorder="1" applyAlignment="1">
      <alignment horizontal="left" vertical="center" wrapText="1" readingOrder="1"/>
    </xf>
    <xf numFmtId="0" fontId="75" fillId="18" borderId="59" xfId="0" applyFont="1" applyFill="1" applyBorder="1" applyAlignment="1">
      <alignment horizontal="center" vertical="center" wrapText="1" readingOrder="1"/>
    </xf>
    <xf numFmtId="0" fontId="75" fillId="0" borderId="59" xfId="0" applyFont="1" applyBorder="1" applyAlignment="1">
      <alignment horizontal="center" vertical="center" wrapText="1" readingOrder="1"/>
    </xf>
    <xf numFmtId="0" fontId="75" fillId="18" borderId="60" xfId="0" applyFont="1" applyFill="1" applyBorder="1" applyAlignment="1">
      <alignment horizontal="center" vertical="center" wrapText="1" readingOrder="1"/>
    </xf>
    <xf numFmtId="0" fontId="75" fillId="0" borderId="60" xfId="0" applyFont="1" applyBorder="1" applyAlignment="1">
      <alignment horizontal="center" vertical="center" wrapText="1" readingOrder="1"/>
    </xf>
    <xf numFmtId="0" fontId="74" fillId="18" borderId="60" xfId="0" applyFont="1" applyFill="1" applyBorder="1" applyAlignment="1">
      <alignment horizontal="center" vertical="center" wrapText="1" readingOrder="1"/>
    </xf>
    <xf numFmtId="0" fontId="74" fillId="0" borderId="60" xfId="0" applyFont="1" applyBorder="1" applyAlignment="1">
      <alignment horizontal="center" vertical="center" wrapText="1" readingOrder="1"/>
    </xf>
    <xf numFmtId="6" fontId="75" fillId="18" borderId="60" xfId="0" applyNumberFormat="1" applyFont="1" applyFill="1" applyBorder="1" applyAlignment="1">
      <alignment horizontal="center" vertical="center" wrapText="1" readingOrder="1"/>
    </xf>
    <xf numFmtId="6" fontId="75" fillId="0" borderId="60" xfId="0" applyNumberFormat="1" applyFont="1" applyBorder="1" applyAlignment="1">
      <alignment horizontal="center" vertical="center" wrapText="1" readingOrder="1"/>
    </xf>
    <xf numFmtId="10" fontId="76" fillId="0" borderId="60" xfId="0" applyNumberFormat="1" applyFont="1" applyBorder="1" applyAlignment="1">
      <alignment horizontal="center" vertical="center" wrapText="1" readingOrder="1"/>
    </xf>
    <xf numFmtId="0" fontId="75" fillId="0" borderId="60" xfId="0" applyFont="1" applyBorder="1" applyAlignment="1">
      <alignment horizontal="left" vertical="center" wrapText="1" readingOrder="1"/>
    </xf>
    <xf numFmtId="6" fontId="75" fillId="18" borderId="60" xfId="0" applyNumberFormat="1" applyFont="1" applyFill="1" applyBorder="1" applyAlignment="1">
      <alignment horizontal="center" wrapText="1" readingOrder="1"/>
    </xf>
    <xf numFmtId="6" fontId="75" fillId="18" borderId="60" xfId="0" applyNumberFormat="1" applyFont="1" applyFill="1" applyBorder="1" applyAlignment="1">
      <alignment horizontal="left" vertical="center" wrapText="1" readingOrder="1"/>
    </xf>
    <xf numFmtId="0" fontId="6" fillId="0" borderId="0" xfId="0" applyFont="1"/>
    <xf numFmtId="0" fontId="77" fillId="2" borderId="58" xfId="0" applyFont="1" applyFill="1" applyBorder="1" applyAlignment="1">
      <alignment horizontal="center" vertical="center" wrapText="1" readingOrder="1"/>
    </xf>
    <xf numFmtId="6" fontId="77" fillId="2" borderId="60" xfId="0" applyNumberFormat="1" applyFont="1" applyFill="1" applyBorder="1" applyAlignment="1">
      <alignment horizontal="center" vertical="center" wrapText="1" readingOrder="1"/>
    </xf>
    <xf numFmtId="0" fontId="74" fillId="0" borderId="60" xfId="0" applyFont="1" applyBorder="1" applyAlignment="1">
      <alignment horizontal="left" vertical="center" wrapText="1" readingOrder="1"/>
    </xf>
    <xf numFmtId="0" fontId="76" fillId="0" borderId="60" xfId="0" applyFont="1" applyBorder="1" applyAlignment="1">
      <alignment horizontal="left" vertical="center" wrapText="1" readingOrder="1"/>
    </xf>
    <xf numFmtId="0" fontId="77" fillId="2" borderId="60" xfId="0" applyFont="1" applyFill="1" applyBorder="1" applyAlignment="1">
      <alignment horizontal="left" vertical="center" wrapText="1" readingOrder="1"/>
    </xf>
    <xf numFmtId="0" fontId="77" fillId="2" borderId="61" xfId="0" applyFont="1" applyFill="1" applyBorder="1" applyAlignment="1">
      <alignment horizontal="left" vertical="center" wrapText="1" readingOrder="1"/>
    </xf>
    <xf numFmtId="0" fontId="77" fillId="2" borderId="62" xfId="0" applyFont="1" applyFill="1" applyBorder="1" applyAlignment="1">
      <alignment horizontal="left" vertical="center" wrapText="1" readingOrder="1"/>
    </xf>
    <xf numFmtId="0" fontId="75" fillId="0" borderId="60" xfId="0" applyFont="1" applyBorder="1" applyAlignment="1">
      <alignment vertical="center" wrapText="1" readingOrder="1"/>
    </xf>
    <xf numFmtId="0" fontId="75" fillId="18" borderId="60" xfId="0" applyFont="1" applyFill="1" applyBorder="1" applyAlignment="1">
      <alignment horizontal="center" vertical="center" wrapText="1"/>
    </xf>
    <xf numFmtId="167" fontId="76" fillId="18" borderId="60" xfId="0" applyNumberFormat="1" applyFont="1" applyFill="1" applyBorder="1" applyAlignment="1">
      <alignment horizontal="center" vertical="center" wrapText="1" readingOrder="1"/>
    </xf>
    <xf numFmtId="167" fontId="76" fillId="0" borderId="60" xfId="0" applyNumberFormat="1" applyFont="1" applyBorder="1" applyAlignment="1">
      <alignment horizontal="center" vertical="center" wrapText="1" readingOrder="1"/>
    </xf>
    <xf numFmtId="180" fontId="66" fillId="0" borderId="0" xfId="0" applyNumberFormat="1" applyFont="1" applyFill="1" applyBorder="1"/>
    <xf numFmtId="0" fontId="66" fillId="0" borderId="3" xfId="0" applyFont="1" applyFill="1" applyBorder="1"/>
    <xf numFmtId="180" fontId="64" fillId="7" borderId="0" xfId="0" applyNumberFormat="1" applyFont="1" applyFill="1"/>
    <xf numFmtId="3" fontId="79" fillId="0" borderId="0" xfId="0" applyNumberFormat="1" applyFont="1"/>
    <xf numFmtId="3" fontId="79" fillId="0" borderId="0" xfId="0" applyNumberFormat="1" applyFont="1" applyAlignment="1">
      <alignment horizontal="center" wrapText="1"/>
    </xf>
    <xf numFmtId="180" fontId="79" fillId="0" borderId="0" xfId="121" applyNumberFormat="1" applyFont="1"/>
    <xf numFmtId="180" fontId="80" fillId="0" borderId="0" xfId="121" applyNumberFormat="1" applyFont="1"/>
    <xf numFmtId="3" fontId="79" fillId="0" borderId="0" xfId="0" applyNumberFormat="1" applyFont="1" applyAlignment="1">
      <alignment horizontal="center"/>
    </xf>
    <xf numFmtId="180" fontId="79" fillId="0" borderId="0" xfId="121" applyNumberFormat="1" applyFont="1" applyBorder="1"/>
    <xf numFmtId="180" fontId="80" fillId="0" borderId="0" xfId="121" applyNumberFormat="1" applyFont="1" applyBorder="1"/>
    <xf numFmtId="180" fontId="81" fillId="0" borderId="0" xfId="121" applyNumberFormat="1" applyFont="1"/>
    <xf numFmtId="0" fontId="79" fillId="0" borderId="0" xfId="0" applyFont="1"/>
    <xf numFmtId="0" fontId="72" fillId="0" borderId="0" xfId="0" applyFont="1" applyAlignment="1">
      <alignment horizontal="center"/>
    </xf>
    <xf numFmtId="180" fontId="72" fillId="7" borderId="0" xfId="121" applyNumberFormat="1" applyFont="1" applyFill="1"/>
    <xf numFmtId="0" fontId="72" fillId="0" borderId="0" xfId="1" applyNumberFormat="1" applyFont="1" applyAlignment="1">
      <alignment horizontal="center"/>
    </xf>
    <xf numFmtId="0" fontId="72" fillId="0" borderId="0" xfId="1" applyNumberFormat="1" applyFont="1" applyAlignment="1">
      <alignment horizontal="left"/>
    </xf>
    <xf numFmtId="44" fontId="5" fillId="0" borderId="0" xfId="121" applyFont="1"/>
    <xf numFmtId="44" fontId="37" fillId="0" borderId="0" xfId="121" applyFont="1"/>
    <xf numFmtId="44" fontId="5" fillId="0" borderId="0" xfId="0" applyNumberFormat="1" applyFont="1"/>
    <xf numFmtId="0" fontId="7" fillId="0" borderId="0" xfId="121" applyNumberFormat="1" applyFont="1" applyAlignment="1">
      <alignment horizontal="left"/>
    </xf>
    <xf numFmtId="0" fontId="7" fillId="0" borderId="0" xfId="121" applyNumberFormat="1" applyFont="1"/>
    <xf numFmtId="180" fontId="68" fillId="7" borderId="0" xfId="121" applyNumberFormat="1" applyFont="1" applyFill="1"/>
    <xf numFmtId="0" fontId="68" fillId="0" borderId="0" xfId="1" applyNumberFormat="1" applyFont="1" applyAlignment="1">
      <alignment horizontal="center"/>
    </xf>
    <xf numFmtId="0" fontId="68" fillId="0" borderId="3" xfId="0" applyFont="1" applyBorder="1" applyAlignment="1">
      <alignment horizontal="center"/>
    </xf>
    <xf numFmtId="180" fontId="68" fillId="7" borderId="3" xfId="121" applyNumberFormat="1" applyFont="1" applyFill="1" applyBorder="1"/>
    <xf numFmtId="0" fontId="68" fillId="0" borderId="3" xfId="1" applyNumberFormat="1" applyFont="1" applyBorder="1" applyAlignment="1">
      <alignment horizontal="center"/>
    </xf>
    <xf numFmtId="180" fontId="68" fillId="0" borderId="3" xfId="121" applyNumberFormat="1" applyFont="1" applyFill="1" applyBorder="1"/>
    <xf numFmtId="0" fontId="69" fillId="0" borderId="0" xfId="0" applyFont="1" applyBorder="1" applyAlignment="1">
      <alignment horizontal="center"/>
    </xf>
    <xf numFmtId="0" fontId="69" fillId="0" borderId="0" xfId="0" applyFont="1" applyBorder="1"/>
    <xf numFmtId="180" fontId="69" fillId="0" borderId="0" xfId="121" applyNumberFormat="1" applyFont="1" applyBorder="1"/>
    <xf numFmtId="180" fontId="69" fillId="7" borderId="0" xfId="121" applyNumberFormat="1" applyFont="1" applyFill="1"/>
    <xf numFmtId="0" fontId="69" fillId="0" borderId="0" xfId="1" applyNumberFormat="1" applyFont="1" applyAlignment="1">
      <alignment horizontal="center"/>
    </xf>
    <xf numFmtId="180" fontId="69" fillId="0" borderId="0" xfId="121" applyNumberFormat="1" applyFont="1" applyFill="1"/>
    <xf numFmtId="180" fontId="79" fillId="0" borderId="0" xfId="121" applyNumberFormat="1" applyFont="1" applyFill="1"/>
    <xf numFmtId="0" fontId="67" fillId="0" borderId="0" xfId="1" applyNumberFormat="1" applyFont="1" applyAlignment="1">
      <alignment horizontal="left"/>
    </xf>
    <xf numFmtId="180" fontId="80" fillId="0" borderId="0" xfId="121" applyNumberFormat="1" applyFont="1" applyFill="1"/>
    <xf numFmtId="0" fontId="75" fillId="0" borderId="0" xfId="0" applyFont="1" applyFill="1" applyBorder="1" applyAlignment="1">
      <alignment horizontal="center" vertical="center" wrapText="1"/>
    </xf>
    <xf numFmtId="6" fontId="75" fillId="0" borderId="0" xfId="0" applyNumberFormat="1" applyFont="1" applyFill="1" applyBorder="1" applyAlignment="1">
      <alignment horizontal="center" vertical="center" wrapText="1"/>
    </xf>
    <xf numFmtId="0" fontId="76" fillId="0" borderId="0" xfId="0" applyFont="1" applyFill="1" applyBorder="1" applyAlignment="1">
      <alignment horizontal="center" vertical="center" wrapText="1"/>
    </xf>
    <xf numFmtId="0" fontId="75" fillId="0" borderId="63" xfId="0" applyFont="1" applyFill="1" applyBorder="1" applyAlignment="1">
      <alignment vertical="center" wrapText="1"/>
    </xf>
    <xf numFmtId="0" fontId="74" fillId="0" borderId="15" xfId="0" applyFont="1" applyFill="1" applyBorder="1" applyAlignment="1">
      <alignment horizontal="center" vertical="center" wrapText="1"/>
    </xf>
    <xf numFmtId="0" fontId="75" fillId="0" borderId="15" xfId="0" applyFont="1" applyFill="1" applyBorder="1" applyAlignment="1">
      <alignment horizontal="center" vertical="center" wrapText="1"/>
    </xf>
    <xf numFmtId="0" fontId="75" fillId="0" borderId="64" xfId="0" applyFont="1" applyFill="1" applyBorder="1" applyAlignment="1">
      <alignment horizontal="center" vertical="center" wrapText="1"/>
    </xf>
    <xf numFmtId="0" fontId="75" fillId="0" borderId="23" xfId="0" applyFont="1" applyFill="1" applyBorder="1" applyAlignment="1">
      <alignment vertical="center" wrapText="1"/>
    </xf>
    <xf numFmtId="0" fontId="76" fillId="0" borderId="65" xfId="0" applyFont="1" applyFill="1" applyBorder="1" applyAlignment="1">
      <alignment horizontal="center" vertical="center" wrapText="1"/>
    </xf>
    <xf numFmtId="0" fontId="75" fillId="0" borderId="23" xfId="0" applyFont="1" applyFill="1" applyBorder="1" applyAlignment="1">
      <alignment horizontal="left" vertical="center" wrapText="1"/>
    </xf>
    <xf numFmtId="0" fontId="75" fillId="0" borderId="66" xfId="0" applyFont="1" applyFill="1" applyBorder="1" applyAlignment="1">
      <alignment horizontal="left" vertical="center" wrapText="1"/>
    </xf>
    <xf numFmtId="6" fontId="74" fillId="0" borderId="3" xfId="0" applyNumberFormat="1" applyFont="1" applyFill="1" applyBorder="1" applyAlignment="1">
      <alignment horizontal="center" vertical="center" wrapText="1"/>
    </xf>
    <xf numFmtId="0" fontId="75" fillId="0" borderId="3" xfId="0" applyFont="1" applyFill="1" applyBorder="1" applyAlignment="1">
      <alignment horizontal="center" vertical="center" wrapText="1"/>
    </xf>
    <xf numFmtId="6" fontId="75" fillId="0" borderId="3" xfId="0" applyNumberFormat="1" applyFont="1" applyFill="1" applyBorder="1" applyAlignment="1">
      <alignment horizontal="center" vertical="center" wrapText="1"/>
    </xf>
    <xf numFmtId="180" fontId="71" fillId="0" borderId="0" xfId="0" applyNumberFormat="1" applyFont="1"/>
    <xf numFmtId="180" fontId="82" fillId="0" borderId="0" xfId="121" applyNumberFormat="1" applyFont="1"/>
    <xf numFmtId="180" fontId="82" fillId="0" borderId="0" xfId="121" applyNumberFormat="1" applyFont="1" applyFill="1"/>
    <xf numFmtId="180" fontId="77" fillId="0" borderId="0" xfId="121" applyNumberFormat="1" applyFont="1" applyFill="1"/>
    <xf numFmtId="166" fontId="82" fillId="0" borderId="0" xfId="0" applyNumberFormat="1" applyFont="1" applyAlignment="1">
      <alignment horizontal="center" vertical="center"/>
    </xf>
    <xf numFmtId="166" fontId="83" fillId="0" borderId="0" xfId="0" applyNumberFormat="1" applyFont="1" applyAlignment="1">
      <alignment horizontal="center" vertical="center"/>
    </xf>
    <xf numFmtId="6" fontId="82" fillId="0" borderId="0" xfId="0" applyNumberFormat="1" applyFont="1" applyAlignment="1">
      <alignment horizontal="center" vertical="center"/>
    </xf>
    <xf numFmtId="0" fontId="75" fillId="0" borderId="63" xfId="0" applyFont="1" applyFill="1" applyBorder="1" applyAlignment="1">
      <alignment horizontal="center" vertical="center" wrapText="1"/>
    </xf>
    <xf numFmtId="0" fontId="74" fillId="0" borderId="66" xfId="0" applyFont="1" applyFill="1" applyBorder="1" applyAlignment="1">
      <alignment horizontal="left" vertical="center" wrapText="1"/>
    </xf>
    <xf numFmtId="0" fontId="74" fillId="0" borderId="3" xfId="0" applyFont="1" applyFill="1" applyBorder="1" applyAlignment="1">
      <alignment horizontal="center" vertical="center" wrapText="1"/>
    </xf>
    <xf numFmtId="180" fontId="82" fillId="0" borderId="0" xfId="121" applyNumberFormat="1" applyFont="1" applyFill="1" applyBorder="1"/>
    <xf numFmtId="166" fontId="0" fillId="0" borderId="0" xfId="0" applyNumberFormat="1"/>
    <xf numFmtId="44" fontId="5" fillId="6" borderId="0" xfId="121" applyFont="1" applyFill="1"/>
    <xf numFmtId="6" fontId="82" fillId="0" borderId="0" xfId="121" applyNumberFormat="1" applyFont="1" applyAlignment="1">
      <alignment horizontal="center" vertical="center"/>
    </xf>
    <xf numFmtId="168" fontId="75" fillId="0" borderId="0" xfId="0" applyNumberFormat="1" applyFont="1" applyFill="1" applyBorder="1" applyAlignment="1">
      <alignment horizontal="center" vertical="center" wrapText="1"/>
    </xf>
    <xf numFmtId="180" fontId="9" fillId="0" borderId="0" xfId="121" applyNumberFormat="1" applyFont="1" applyBorder="1"/>
    <xf numFmtId="0" fontId="82" fillId="0" borderId="0" xfId="0" applyFont="1" applyAlignment="1">
      <alignment horizontal="center" vertical="center"/>
    </xf>
    <xf numFmtId="6" fontId="83" fillId="0" borderId="0" xfId="121" applyNumberFormat="1" applyFont="1" applyAlignment="1">
      <alignment horizontal="center" vertical="center"/>
    </xf>
    <xf numFmtId="6" fontId="82" fillId="0" borderId="0" xfId="121" applyNumberFormat="1" applyFont="1" applyAlignment="1">
      <alignment horizontal="center"/>
    </xf>
    <xf numFmtId="6" fontId="83" fillId="0" borderId="0" xfId="0" applyNumberFormat="1" applyFont="1" applyAlignment="1">
      <alignment horizontal="center" vertical="center"/>
    </xf>
    <xf numFmtId="0" fontId="84" fillId="0" borderId="0" xfId="0" applyFont="1" applyFill="1" applyBorder="1" applyAlignment="1">
      <alignment horizontal="center" vertical="center" wrapText="1"/>
    </xf>
    <xf numFmtId="6" fontId="83" fillId="0" borderId="3" xfId="121" applyNumberFormat="1" applyFont="1" applyBorder="1" applyAlignment="1">
      <alignment horizontal="center" vertical="center"/>
    </xf>
    <xf numFmtId="6" fontId="76" fillId="0" borderId="0" xfId="0" applyNumberFormat="1" applyFont="1" applyFill="1" applyBorder="1" applyAlignment="1">
      <alignment horizontal="center" vertical="center" wrapText="1"/>
    </xf>
    <xf numFmtId="6" fontId="76" fillId="0" borderId="3" xfId="0" applyNumberFormat="1" applyFont="1" applyFill="1" applyBorder="1" applyAlignment="1">
      <alignment horizontal="center" vertical="center" wrapText="1"/>
    </xf>
    <xf numFmtId="6" fontId="76" fillId="0" borderId="65" xfId="0" applyNumberFormat="1" applyFont="1" applyFill="1" applyBorder="1" applyAlignment="1">
      <alignment horizontal="center" vertical="center" wrapText="1"/>
    </xf>
    <xf numFmtId="6" fontId="76" fillId="0" borderId="67" xfId="0" applyNumberFormat="1" applyFont="1" applyFill="1" applyBorder="1" applyAlignment="1">
      <alignment horizontal="center" vertical="center" wrapText="1"/>
    </xf>
    <xf numFmtId="6" fontId="83" fillId="0" borderId="3" xfId="0" applyNumberFormat="1" applyFont="1" applyBorder="1" applyAlignment="1">
      <alignment horizontal="center" vertical="center"/>
    </xf>
    <xf numFmtId="6" fontId="85" fillId="0" borderId="65" xfId="0" applyNumberFormat="1" applyFont="1" applyBorder="1" applyAlignment="1">
      <alignment horizontal="center" vertical="center"/>
    </xf>
    <xf numFmtId="6" fontId="85" fillId="0" borderId="67" xfId="0" applyNumberFormat="1" applyFont="1" applyBorder="1" applyAlignment="1">
      <alignment horizontal="center" vertical="center"/>
    </xf>
    <xf numFmtId="6" fontId="86" fillId="2" borderId="60" xfId="0" applyNumberFormat="1" applyFont="1" applyFill="1" applyBorder="1" applyAlignment="1">
      <alignment horizontal="center" vertical="center" wrapText="1" readingOrder="1"/>
    </xf>
    <xf numFmtId="6" fontId="14" fillId="0" borderId="0" xfId="0" applyNumberFormat="1" applyFont="1"/>
    <xf numFmtId="6" fontId="74" fillId="0" borderId="0" xfId="0" applyNumberFormat="1" applyFont="1" applyFill="1" applyBorder="1" applyAlignment="1">
      <alignment horizontal="center" wrapText="1" readingOrder="1"/>
    </xf>
    <xf numFmtId="0" fontId="0" fillId="0" borderId="0" xfId="0" applyFill="1" applyBorder="1"/>
    <xf numFmtId="0" fontId="74" fillId="0" borderId="0" xfId="0" applyFont="1" applyFill="1" applyBorder="1" applyAlignment="1">
      <alignment horizontal="center" wrapText="1" readingOrder="1"/>
    </xf>
    <xf numFmtId="6" fontId="0" fillId="0" borderId="0" xfId="0" applyNumberFormat="1" applyFill="1" applyBorder="1"/>
    <xf numFmtId="6" fontId="14" fillId="0" borderId="0" xfId="0" applyNumberFormat="1" applyFont="1" applyFill="1" applyBorder="1"/>
    <xf numFmtId="9" fontId="7" fillId="0" borderId="68" xfId="6" applyFont="1" applyBorder="1" applyAlignment="1">
      <alignment horizontal="left"/>
    </xf>
    <xf numFmtId="44" fontId="9" fillId="16" borderId="11" xfId="121" applyFont="1" applyFill="1" applyBorder="1" applyAlignment="1">
      <alignment horizontal="right"/>
    </xf>
    <xf numFmtId="44" fontId="9" fillId="14" borderId="11" xfId="121" applyFont="1" applyFill="1" applyBorder="1" applyAlignment="1">
      <alignment horizontal="right"/>
    </xf>
    <xf numFmtId="44" fontId="37" fillId="14" borderId="11" xfId="121" applyFont="1" applyFill="1" applyBorder="1" applyAlignment="1">
      <alignment horizontal="right"/>
    </xf>
    <xf numFmtId="44" fontId="32" fillId="14" borderId="11" xfId="121" applyFont="1" applyFill="1" applyBorder="1" applyAlignment="1">
      <alignment horizontal="right"/>
    </xf>
    <xf numFmtId="44" fontId="21" fillId="14" borderId="11" xfId="121" applyFont="1" applyFill="1" applyBorder="1" applyAlignment="1">
      <alignment horizontal="right"/>
    </xf>
    <xf numFmtId="0" fontId="9" fillId="5" borderId="69" xfId="0" applyFont="1" applyFill="1" applyBorder="1" applyAlignment="1">
      <alignment horizontal="center"/>
    </xf>
    <xf numFmtId="0" fontId="9" fillId="19" borderId="7" xfId="0" applyFont="1" applyFill="1" applyBorder="1" applyAlignment="1">
      <alignment horizontal="center"/>
    </xf>
    <xf numFmtId="0" fontId="38" fillId="16" borderId="6" xfId="0" applyFont="1" applyFill="1" applyBorder="1"/>
    <xf numFmtId="0" fontId="38" fillId="0" borderId="6" xfId="0" applyFont="1" applyFill="1" applyBorder="1"/>
    <xf numFmtId="0" fontId="7" fillId="16" borderId="6" xfId="0" applyFont="1" applyFill="1" applyBorder="1"/>
    <xf numFmtId="0" fontId="7" fillId="0" borderId="6" xfId="0" applyFont="1" applyFill="1" applyBorder="1"/>
    <xf numFmtId="0" fontId="7" fillId="0" borderId="6" xfId="0" applyFont="1" applyFill="1" applyBorder="1" applyAlignment="1">
      <alignment horizontal="left"/>
    </xf>
    <xf numFmtId="0" fontId="30" fillId="0" borderId="6" xfId="0" applyFont="1" applyBorder="1"/>
    <xf numFmtId="0" fontId="7" fillId="0" borderId="6" xfId="27" applyFont="1" applyBorder="1" applyAlignment="1">
      <alignment horizontal="left"/>
    </xf>
    <xf numFmtId="0" fontId="75" fillId="0" borderId="60" xfId="0" applyFont="1" applyFill="1" applyBorder="1" applyAlignment="1">
      <alignment horizontal="center" vertical="center" wrapText="1" readingOrder="1"/>
    </xf>
    <xf numFmtId="0" fontId="9" fillId="5" borderId="16" xfId="0" applyFont="1" applyFill="1" applyBorder="1" applyAlignment="1">
      <alignment horizontal="center"/>
    </xf>
    <xf numFmtId="0" fontId="9" fillId="5" borderId="13" xfId="0" applyFont="1" applyFill="1" applyBorder="1" applyAlignment="1">
      <alignment horizontal="center"/>
    </xf>
    <xf numFmtId="0" fontId="9" fillId="5" borderId="12" xfId="0" applyFont="1" applyFill="1" applyBorder="1" applyAlignment="1">
      <alignment horizontal="center"/>
    </xf>
    <xf numFmtId="0" fontId="25" fillId="0" borderId="1" xfId="0" applyFont="1" applyFill="1" applyBorder="1" applyAlignment="1">
      <alignment horizontal="left"/>
    </xf>
    <xf numFmtId="0" fontId="25" fillId="0" borderId="19" xfId="0" applyFont="1" applyFill="1" applyBorder="1" applyAlignment="1">
      <alignment horizontal="left"/>
    </xf>
    <xf numFmtId="0" fontId="25" fillId="0" borderId="20" xfId="0" applyFont="1" applyFill="1" applyBorder="1" applyAlignment="1">
      <alignment horizontal="left"/>
    </xf>
    <xf numFmtId="0" fontId="25" fillId="0" borderId="2" xfId="0" applyFont="1" applyFill="1" applyBorder="1" applyAlignment="1">
      <alignment horizontal="left"/>
    </xf>
    <xf numFmtId="0" fontId="25" fillId="0" borderId="0" xfId="0" applyFont="1" applyFill="1" applyBorder="1" applyAlignment="1">
      <alignment horizontal="left"/>
    </xf>
    <xf numFmtId="0" fontId="25" fillId="0" borderId="21" xfId="0" applyFont="1" applyFill="1" applyBorder="1" applyAlignment="1">
      <alignment horizontal="left"/>
    </xf>
    <xf numFmtId="0" fontId="25" fillId="0" borderId="10" xfId="0" applyFont="1" applyFill="1" applyBorder="1" applyAlignment="1">
      <alignment horizontal="left"/>
    </xf>
    <xf numFmtId="0" fontId="25" fillId="0" borderId="9" xfId="0" applyFont="1" applyFill="1" applyBorder="1" applyAlignment="1">
      <alignment horizontal="left"/>
    </xf>
    <xf numFmtId="0" fontId="25" fillId="0" borderId="22" xfId="0" applyFont="1" applyFill="1" applyBorder="1" applyAlignment="1">
      <alignment horizontal="left"/>
    </xf>
    <xf numFmtId="0" fontId="4" fillId="4" borderId="2" xfId="0" applyNumberFormat="1" applyFont="1" applyFill="1" applyBorder="1" applyAlignment="1">
      <alignment horizontal="left" vertical="top"/>
    </xf>
    <xf numFmtId="0" fontId="4" fillId="4" borderId="0" xfId="0" applyNumberFormat="1" applyFont="1" applyFill="1" applyBorder="1" applyAlignment="1">
      <alignment horizontal="left" vertical="top"/>
    </xf>
    <xf numFmtId="0" fontId="56" fillId="2" borderId="51" xfId="0" applyNumberFormat="1" applyFont="1" applyFill="1" applyBorder="1" applyAlignment="1">
      <alignment horizontal="center" vertical="center" wrapText="1"/>
    </xf>
    <xf numFmtId="0" fontId="56" fillId="2" borderId="52" xfId="0" applyNumberFormat="1" applyFont="1" applyFill="1" applyBorder="1" applyAlignment="1">
      <alignment horizontal="center" vertical="center" wrapText="1"/>
    </xf>
    <xf numFmtId="0" fontId="10" fillId="2" borderId="0" xfId="0" applyNumberFormat="1" applyFont="1" applyFill="1" applyAlignment="1">
      <alignment horizontal="left"/>
    </xf>
    <xf numFmtId="0" fontId="55" fillId="17" borderId="30" xfId="0" applyNumberFormat="1" applyFont="1" applyFill="1" applyBorder="1" applyAlignment="1">
      <alignment horizontal="center" vertical="center"/>
    </xf>
    <xf numFmtId="0" fontId="55" fillId="17" borderId="37" xfId="0" applyNumberFormat="1" applyFont="1" applyFill="1" applyBorder="1" applyAlignment="1">
      <alignment horizontal="center" vertical="center"/>
    </xf>
    <xf numFmtId="0" fontId="55" fillId="17" borderId="50" xfId="0" applyNumberFormat="1" applyFont="1" applyFill="1" applyBorder="1" applyAlignment="1">
      <alignment horizontal="center" vertical="center"/>
    </xf>
    <xf numFmtId="0" fontId="55" fillId="17" borderId="33" xfId="0" applyNumberFormat="1" applyFont="1" applyFill="1" applyBorder="1" applyAlignment="1">
      <alignment horizontal="center" vertical="center"/>
    </xf>
    <xf numFmtId="0" fontId="55" fillId="17" borderId="47" xfId="0" applyNumberFormat="1" applyFont="1" applyFill="1" applyBorder="1" applyAlignment="1">
      <alignment horizontal="center" vertical="center"/>
    </xf>
    <xf numFmtId="0" fontId="55" fillId="17" borderId="57" xfId="0" applyNumberFormat="1" applyFont="1" applyFill="1" applyBorder="1" applyAlignment="1">
      <alignment horizontal="center" vertical="center"/>
    </xf>
    <xf numFmtId="0" fontId="4" fillId="10" borderId="0" xfId="0" applyFont="1" applyFill="1" applyAlignment="1">
      <alignment horizontal="left"/>
    </xf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0" fillId="0" borderId="0" xfId="0" applyAlignment="1">
      <alignment vertical="center"/>
    </xf>
    <xf numFmtId="0" fontId="78" fillId="2" borderId="61" xfId="0" applyFont="1" applyFill="1" applyBorder="1" applyAlignment="1">
      <alignment horizontal="center" vertical="center" wrapText="1"/>
    </xf>
    <xf numFmtId="0" fontId="78" fillId="2" borderId="62" xfId="0" applyFont="1" applyFill="1" applyBorder="1" applyAlignment="1">
      <alignment horizontal="center" vertical="center" wrapText="1"/>
    </xf>
  </cellXfs>
  <cellStyles count="123">
    <cellStyle name="Comma" xfId="1" builtinId="3"/>
    <cellStyle name="Comma 2" xfId="5"/>
    <cellStyle name="Comma 3" xfId="119"/>
    <cellStyle name="Currency" xfId="121" builtinId="4"/>
    <cellStyle name="Currency 2" xfId="120"/>
    <cellStyle name="Hyperlink 2" xfId="118"/>
    <cellStyle name="Normal" xfId="0" builtinId="0"/>
    <cellStyle name="Normal 10" xfId="7"/>
    <cellStyle name="Normal 11" xfId="8"/>
    <cellStyle name="Normal 12" xfId="9"/>
    <cellStyle name="Normal 13" xfId="10"/>
    <cellStyle name="Normal 14" xfId="11"/>
    <cellStyle name="Normal 15" xfId="12"/>
    <cellStyle name="Normal 16" xfId="13"/>
    <cellStyle name="Normal 17" xfId="14"/>
    <cellStyle name="Normal 18" xfId="15"/>
    <cellStyle name="Normal 19" xfId="16"/>
    <cellStyle name="Normal 2" xfId="3"/>
    <cellStyle name="Normal 2 10" xfId="17"/>
    <cellStyle name="Normal 2 11" xfId="18"/>
    <cellStyle name="Normal 2 12" xfId="19"/>
    <cellStyle name="Normal 2 13" xfId="20"/>
    <cellStyle name="Normal 2 14" xfId="21"/>
    <cellStyle name="Normal 2 15" xfId="22"/>
    <cellStyle name="Normal 2 16" xfId="23"/>
    <cellStyle name="Normal 2 17" xfId="24"/>
    <cellStyle name="Normal 2 18" xfId="25"/>
    <cellStyle name="Normal 2 19" xfId="26"/>
    <cellStyle name="Normal 2 2" xfId="27"/>
    <cellStyle name="Normal 2 20" xfId="28"/>
    <cellStyle name="Normal 2 21" xfId="29"/>
    <cellStyle name="Normal 2 22" xfId="30"/>
    <cellStyle name="Normal 2 23" xfId="31"/>
    <cellStyle name="Normal 2 24" xfId="32"/>
    <cellStyle name="Normal 2 25" xfId="33"/>
    <cellStyle name="Normal 2 26" xfId="34"/>
    <cellStyle name="Normal 2 27" xfId="35"/>
    <cellStyle name="Normal 2 28" xfId="36"/>
    <cellStyle name="Normal 2 29" xfId="37"/>
    <cellStyle name="Normal 2 3" xfId="38"/>
    <cellStyle name="Normal 2 30" xfId="39"/>
    <cellStyle name="Normal 2 31" xfId="40"/>
    <cellStyle name="Normal 2 32" xfId="41"/>
    <cellStyle name="Normal 2 33" xfId="42"/>
    <cellStyle name="Normal 2 34" xfId="43"/>
    <cellStyle name="Normal 2 35" xfId="44"/>
    <cellStyle name="Normal 2 36" xfId="45"/>
    <cellStyle name="Normal 2 37" xfId="46"/>
    <cellStyle name="Normal 2 38" xfId="47"/>
    <cellStyle name="Normal 2 39" xfId="48"/>
    <cellStyle name="Normal 2 4" xfId="49"/>
    <cellStyle name="Normal 2 40" xfId="50"/>
    <cellStyle name="Normal 2 41" xfId="51"/>
    <cellStyle name="Normal 2 42" xfId="52"/>
    <cellStyle name="Normal 2 43" xfId="53"/>
    <cellStyle name="Normal 2 44" xfId="54"/>
    <cellStyle name="Normal 2 45" xfId="55"/>
    <cellStyle name="Normal 2 46" xfId="56"/>
    <cellStyle name="Normal 2 47" xfId="57"/>
    <cellStyle name="Normal 2 48" xfId="58"/>
    <cellStyle name="Normal 2 49" xfId="59"/>
    <cellStyle name="Normal 2 5" xfId="60"/>
    <cellStyle name="Normal 2 50" xfId="61"/>
    <cellStyle name="Normal 2 51" xfId="62"/>
    <cellStyle name="Normal 2 52" xfId="63"/>
    <cellStyle name="Normal 2 53" xfId="64"/>
    <cellStyle name="Normal 2 54" xfId="65"/>
    <cellStyle name="Normal 2 55" xfId="66"/>
    <cellStyle name="Normal 2 56" xfId="67"/>
    <cellStyle name="Normal 2 57" xfId="68"/>
    <cellStyle name="Normal 2 58" xfId="69"/>
    <cellStyle name="Normal 2 59" xfId="70"/>
    <cellStyle name="Normal 2 6" xfId="71"/>
    <cellStyle name="Normal 2 60" xfId="72"/>
    <cellStyle name="Normal 2 61" xfId="73"/>
    <cellStyle name="Normal 2 62" xfId="74"/>
    <cellStyle name="Normal 2 63" xfId="75"/>
    <cellStyle name="Normal 2 64" xfId="117"/>
    <cellStyle name="Normal 2 7" xfId="76"/>
    <cellStyle name="Normal 2 8" xfId="77"/>
    <cellStyle name="Normal 2 9" xfId="78"/>
    <cellStyle name="Normal 20" xfId="79"/>
    <cellStyle name="Normal 21" xfId="80"/>
    <cellStyle name="Normal 22" xfId="81"/>
    <cellStyle name="Normal 23" xfId="82"/>
    <cellStyle name="Normal 24" xfId="83"/>
    <cellStyle name="Normal 25" xfId="84"/>
    <cellStyle name="Normal 26" xfId="85"/>
    <cellStyle name="Normal 27" xfId="86"/>
    <cellStyle name="Normal 28" xfId="87"/>
    <cellStyle name="Normal 29" xfId="88"/>
    <cellStyle name="Normal 3" xfId="4"/>
    <cellStyle name="Normal 30" xfId="122"/>
    <cellStyle name="Normal 39" xfId="89"/>
    <cellStyle name="Normal 4" xfId="90"/>
    <cellStyle name="Normal 40" xfId="91"/>
    <cellStyle name="Normal 41" xfId="92"/>
    <cellStyle name="Normal 42" xfId="93"/>
    <cellStyle name="Normal 43" xfId="94"/>
    <cellStyle name="Normal 44" xfId="95"/>
    <cellStyle name="Normal 45" xfId="96"/>
    <cellStyle name="Normal 46" xfId="97"/>
    <cellStyle name="Normal 47" xfId="98"/>
    <cellStyle name="Normal 48" xfId="99"/>
    <cellStyle name="Normal 49" xfId="100"/>
    <cellStyle name="Normal 5" xfId="101"/>
    <cellStyle name="Normal 50" xfId="102"/>
    <cellStyle name="Normal 51" xfId="103"/>
    <cellStyle name="Normal 52" xfId="104"/>
    <cellStyle name="Normal 53" xfId="105"/>
    <cellStyle name="Normal 54" xfId="106"/>
    <cellStyle name="Normal 6" xfId="107"/>
    <cellStyle name="Normal 60" xfId="108"/>
    <cellStyle name="Normal 61" xfId="109"/>
    <cellStyle name="Normal 62" xfId="110"/>
    <cellStyle name="Normal 63" xfId="111"/>
    <cellStyle name="Normal 64" xfId="112"/>
    <cellStyle name="Normal 7" xfId="113"/>
    <cellStyle name="Normal 8" xfId="114"/>
    <cellStyle name="Normal 9" xfId="115"/>
    <cellStyle name="Percent" xfId="2" builtinId="5"/>
    <cellStyle name="Percent 2" xfId="6"/>
    <cellStyle name="Percent 3" xfId="116"/>
  </cellStyles>
  <dxfs count="0"/>
  <tableStyles count="0" defaultTableStyle="TableStyleMedium9" defaultPivotStyle="PivotStyleLight16"/>
  <colors>
    <mruColors>
      <color rgb="FF0033CC"/>
      <color rgb="FFFFFFCC"/>
      <color rgb="FFFFCC66"/>
      <color rgb="FFFF9900"/>
      <color rgb="FF006600"/>
      <color rgb="FF003399"/>
      <color rgb="FFFF99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3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4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'Comparison Graphs'!$B$2</c:f>
              <c:strCache>
                <c:ptCount val="1"/>
                <c:pt idx="0">
                  <c:v>Advisory Committee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'Comparison Graphs'!$B$5:$B$15</c:f>
              <c:strCache>
                <c:ptCount val="11"/>
                <c:pt idx="0">
                  <c:v>Land purchase</c:v>
                </c:pt>
                <c:pt idx="1">
                  <c:v>Demolition</c:v>
                </c:pt>
                <c:pt idx="2">
                  <c:v>Design/Insurance/permits/contingency</c:v>
                </c:pt>
                <c:pt idx="3">
                  <c:v>Docks, ramps, floats</c:v>
                </c:pt>
                <c:pt idx="4">
                  <c:v>Marina building</c:v>
                </c:pt>
                <c:pt idx="5">
                  <c:v>Breakwater</c:v>
                </c:pt>
                <c:pt idx="6">
                  <c:v>Fuel sales infrastructure</c:v>
                </c:pt>
                <c:pt idx="7">
                  <c:v>Landscaping</c:v>
                </c:pt>
                <c:pt idx="8">
                  <c:v>Driveways &amp; parking lot paving</c:v>
                </c:pt>
                <c:pt idx="9">
                  <c:v>Tram fleet</c:v>
                </c:pt>
                <c:pt idx="10">
                  <c:v>Infrastructure for international ferry</c:v>
                </c:pt>
              </c:strCache>
            </c:strRef>
          </c:cat>
          <c:val>
            <c:numRef>
              <c:f>'Comparison Graphs'!$C$5:$C$15</c:f>
              <c:numCache>
                <c:formatCode>_("$"* #,##0_);_("$"* \(#,##0\);_("$"* "-"??_);_(@_)</c:formatCode>
                <c:ptCount val="11"/>
                <c:pt idx="0">
                  <c:v>3500000</c:v>
                </c:pt>
                <c:pt idx="1">
                  <c:v>1000000</c:v>
                </c:pt>
                <c:pt idx="2">
                  <c:v>0</c:v>
                </c:pt>
                <c:pt idx="3">
                  <c:v>675000</c:v>
                </c:pt>
                <c:pt idx="4">
                  <c:v>400000</c:v>
                </c:pt>
                <c:pt idx="5">
                  <c:v>350000</c:v>
                </c:pt>
                <c:pt idx="6">
                  <c:v>325000</c:v>
                </c:pt>
                <c:pt idx="7">
                  <c:v>350000</c:v>
                </c:pt>
                <c:pt idx="8">
                  <c:v>980000</c:v>
                </c:pt>
                <c:pt idx="9">
                  <c:v>630000</c:v>
                </c:pt>
                <c:pt idx="10">
                  <c:v>0</c:v>
                </c:pt>
              </c:numCache>
            </c:numRef>
          </c:val>
        </c:ser>
        <c:ser>
          <c:idx val="1"/>
          <c:order val="1"/>
          <c:tx>
            <c:strRef>
              <c:f>'Comparison Graphs'!$F$2</c:f>
              <c:strCache>
                <c:ptCount val="1"/>
                <c:pt idx="0">
                  <c:v>Concept A1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'Comparison Graphs'!$B$5:$B$15</c:f>
              <c:strCache>
                <c:ptCount val="11"/>
                <c:pt idx="0">
                  <c:v>Land purchase</c:v>
                </c:pt>
                <c:pt idx="1">
                  <c:v>Demolition</c:v>
                </c:pt>
                <c:pt idx="2">
                  <c:v>Design/Insurance/permits/contingency</c:v>
                </c:pt>
                <c:pt idx="3">
                  <c:v>Docks, ramps, floats</c:v>
                </c:pt>
                <c:pt idx="4">
                  <c:v>Marina building</c:v>
                </c:pt>
                <c:pt idx="5">
                  <c:v>Breakwater</c:v>
                </c:pt>
                <c:pt idx="6">
                  <c:v>Fuel sales infrastructure</c:v>
                </c:pt>
                <c:pt idx="7">
                  <c:v>Landscaping</c:v>
                </c:pt>
                <c:pt idx="8">
                  <c:v>Driveways &amp; parking lot paving</c:v>
                </c:pt>
                <c:pt idx="9">
                  <c:v>Tram fleet</c:v>
                </c:pt>
                <c:pt idx="10">
                  <c:v>Infrastructure for international ferry</c:v>
                </c:pt>
              </c:strCache>
            </c:strRef>
          </c:cat>
          <c:val>
            <c:numRef>
              <c:f>'Comparison Graphs'!$F$5:$F$15</c:f>
              <c:numCache>
                <c:formatCode>_("$"* #,##0_);_("$"* \(#,##0\);_("$"* "-"??_);_(@_)</c:formatCode>
                <c:ptCount val="11"/>
                <c:pt idx="0">
                  <c:v>3500000</c:v>
                </c:pt>
                <c:pt idx="1">
                  <c:v>2452983</c:v>
                </c:pt>
                <c:pt idx="2">
                  <c:v>2065208.3599999999</c:v>
                </c:pt>
                <c:pt idx="3">
                  <c:v>468000</c:v>
                </c:pt>
                <c:pt idx="4">
                  <c:v>825000</c:v>
                </c:pt>
                <c:pt idx="5">
                  <c:v>0</c:v>
                </c:pt>
                <c:pt idx="6">
                  <c:v>100000</c:v>
                </c:pt>
                <c:pt idx="7">
                  <c:v>328000</c:v>
                </c:pt>
                <c:pt idx="8">
                  <c:v>1233400</c:v>
                </c:pt>
                <c:pt idx="9">
                  <c:v>630000</c:v>
                </c:pt>
                <c:pt idx="10">
                  <c:v>0</c:v>
                </c:pt>
              </c:numCache>
            </c:numRef>
          </c:val>
        </c:ser>
        <c:ser>
          <c:idx val="2"/>
          <c:order val="2"/>
          <c:tx>
            <c:strRef>
              <c:f>'Comparison Graphs'!$J$2</c:f>
              <c:strCache>
                <c:ptCount val="1"/>
                <c:pt idx="0">
                  <c:v>Concept A2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'Comparison Graphs'!$B$5:$B$15</c:f>
              <c:strCache>
                <c:ptCount val="11"/>
                <c:pt idx="0">
                  <c:v>Land purchase</c:v>
                </c:pt>
                <c:pt idx="1">
                  <c:v>Demolition</c:v>
                </c:pt>
                <c:pt idx="2">
                  <c:v>Design/Insurance/permits/contingency</c:v>
                </c:pt>
                <c:pt idx="3">
                  <c:v>Docks, ramps, floats</c:v>
                </c:pt>
                <c:pt idx="4">
                  <c:v>Marina building</c:v>
                </c:pt>
                <c:pt idx="5">
                  <c:v>Breakwater</c:v>
                </c:pt>
                <c:pt idx="6">
                  <c:v>Fuel sales infrastructure</c:v>
                </c:pt>
                <c:pt idx="7">
                  <c:v>Landscaping</c:v>
                </c:pt>
                <c:pt idx="8">
                  <c:v>Driveways &amp; parking lot paving</c:v>
                </c:pt>
                <c:pt idx="9">
                  <c:v>Tram fleet</c:v>
                </c:pt>
                <c:pt idx="10">
                  <c:v>Infrastructure for international ferry</c:v>
                </c:pt>
              </c:strCache>
            </c:strRef>
          </c:cat>
          <c:val>
            <c:numRef>
              <c:f>'Comparison Graphs'!$J$5:$J$15</c:f>
              <c:numCache>
                <c:formatCode>_("$"* #,##0_);_("$"* \(#,##0\);_("$"* "-"??_);_(@_)</c:formatCode>
                <c:ptCount val="11"/>
                <c:pt idx="0">
                  <c:v>3500000</c:v>
                </c:pt>
                <c:pt idx="1">
                  <c:v>2452983</c:v>
                </c:pt>
                <c:pt idx="2">
                  <c:v>2618477.4</c:v>
                </c:pt>
                <c:pt idx="3">
                  <c:v>990000</c:v>
                </c:pt>
                <c:pt idx="4">
                  <c:v>825000</c:v>
                </c:pt>
                <c:pt idx="5">
                  <c:v>350000</c:v>
                </c:pt>
                <c:pt idx="6">
                  <c:v>150000</c:v>
                </c:pt>
                <c:pt idx="7">
                  <c:v>328000</c:v>
                </c:pt>
                <c:pt idx="8">
                  <c:v>1233400</c:v>
                </c:pt>
                <c:pt idx="9">
                  <c:v>630000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7297344"/>
        <c:axId val="237298912"/>
      </c:barChart>
      <c:catAx>
        <c:axId val="23729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7298912"/>
        <c:crosses val="autoZero"/>
        <c:auto val="1"/>
        <c:lblAlgn val="ctr"/>
        <c:lblOffset val="100"/>
        <c:noMultiLvlLbl val="0"/>
      </c:catAx>
      <c:valAx>
        <c:axId val="237298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7297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'Comparison Graphs'!$B$2</c:f>
              <c:strCache>
                <c:ptCount val="1"/>
                <c:pt idx="0">
                  <c:v>Advisory Committee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'Comparison Graphs'!$B$5:$B$15</c:f>
              <c:strCache>
                <c:ptCount val="11"/>
                <c:pt idx="0">
                  <c:v>Land purchase</c:v>
                </c:pt>
                <c:pt idx="1">
                  <c:v>Demolition</c:v>
                </c:pt>
                <c:pt idx="2">
                  <c:v>Design/Insurance/permits/contingency</c:v>
                </c:pt>
                <c:pt idx="3">
                  <c:v>Docks, ramps, floats</c:v>
                </c:pt>
                <c:pt idx="4">
                  <c:v>Marina building</c:v>
                </c:pt>
                <c:pt idx="5">
                  <c:v>Breakwater</c:v>
                </c:pt>
                <c:pt idx="6">
                  <c:v>Fuel sales infrastructure</c:v>
                </c:pt>
                <c:pt idx="7">
                  <c:v>Landscaping</c:v>
                </c:pt>
                <c:pt idx="8">
                  <c:v>Driveways &amp; parking lot paving</c:v>
                </c:pt>
                <c:pt idx="9">
                  <c:v>Tram fleet</c:v>
                </c:pt>
                <c:pt idx="10">
                  <c:v>Infrastructure for international ferry</c:v>
                </c:pt>
              </c:strCache>
            </c:strRef>
          </c:cat>
          <c:val>
            <c:numRef>
              <c:f>'Comparison Graphs'!$C$5:$C$15</c:f>
              <c:numCache>
                <c:formatCode>_("$"* #,##0_);_("$"* \(#,##0\);_("$"* "-"??_);_(@_)</c:formatCode>
                <c:ptCount val="11"/>
                <c:pt idx="0">
                  <c:v>3500000</c:v>
                </c:pt>
                <c:pt idx="1">
                  <c:v>1000000</c:v>
                </c:pt>
                <c:pt idx="2">
                  <c:v>0</c:v>
                </c:pt>
                <c:pt idx="3">
                  <c:v>675000</c:v>
                </c:pt>
                <c:pt idx="4">
                  <c:v>400000</c:v>
                </c:pt>
                <c:pt idx="5">
                  <c:v>350000</c:v>
                </c:pt>
                <c:pt idx="6">
                  <c:v>325000</c:v>
                </c:pt>
                <c:pt idx="7">
                  <c:v>350000</c:v>
                </c:pt>
                <c:pt idx="8">
                  <c:v>980000</c:v>
                </c:pt>
                <c:pt idx="9">
                  <c:v>630000</c:v>
                </c:pt>
                <c:pt idx="10">
                  <c:v>0</c:v>
                </c:pt>
              </c:numCache>
            </c:numRef>
          </c:val>
        </c:ser>
        <c:ser>
          <c:idx val="1"/>
          <c:order val="1"/>
          <c:tx>
            <c:strRef>
              <c:f>'Comparison Graphs'!$N$2</c:f>
              <c:strCache>
                <c:ptCount val="1"/>
                <c:pt idx="0">
                  <c:v>Concept B2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'Comparison Graphs'!$B$5:$B$15</c:f>
              <c:strCache>
                <c:ptCount val="11"/>
                <c:pt idx="0">
                  <c:v>Land purchase</c:v>
                </c:pt>
                <c:pt idx="1">
                  <c:v>Demolition</c:v>
                </c:pt>
                <c:pt idx="2">
                  <c:v>Design/Insurance/permits/contingency</c:v>
                </c:pt>
                <c:pt idx="3">
                  <c:v>Docks, ramps, floats</c:v>
                </c:pt>
                <c:pt idx="4">
                  <c:v>Marina building</c:v>
                </c:pt>
                <c:pt idx="5">
                  <c:v>Breakwater</c:v>
                </c:pt>
                <c:pt idx="6">
                  <c:v>Fuel sales infrastructure</c:v>
                </c:pt>
                <c:pt idx="7">
                  <c:v>Landscaping</c:v>
                </c:pt>
                <c:pt idx="8">
                  <c:v>Driveways &amp; parking lot paving</c:v>
                </c:pt>
                <c:pt idx="9">
                  <c:v>Tram fleet</c:v>
                </c:pt>
                <c:pt idx="10">
                  <c:v>Infrastructure for international ferry</c:v>
                </c:pt>
              </c:strCache>
            </c:strRef>
          </c:cat>
          <c:val>
            <c:numRef>
              <c:f>'Comparison Graphs'!$N$5:$N$15</c:f>
              <c:numCache>
                <c:formatCode>_("$"* #,##0_);_("$"* \(#,##0\);_("$"* "-"??_);_(@_)</c:formatCode>
                <c:ptCount val="11"/>
                <c:pt idx="0">
                  <c:v>3500000</c:v>
                </c:pt>
                <c:pt idx="1">
                  <c:v>2452983</c:v>
                </c:pt>
                <c:pt idx="2">
                  <c:v>2212828.04</c:v>
                </c:pt>
                <c:pt idx="3">
                  <c:v>714000</c:v>
                </c:pt>
                <c:pt idx="4">
                  <c:v>825000</c:v>
                </c:pt>
                <c:pt idx="5">
                  <c:v>0</c:v>
                </c:pt>
                <c:pt idx="6">
                  <c:v>100000</c:v>
                </c:pt>
                <c:pt idx="7">
                  <c:v>328000</c:v>
                </c:pt>
                <c:pt idx="8">
                  <c:v>1233400</c:v>
                </c:pt>
                <c:pt idx="9">
                  <c:v>630000</c:v>
                </c:pt>
                <c:pt idx="10">
                  <c:v>0</c:v>
                </c:pt>
              </c:numCache>
            </c:numRef>
          </c:val>
        </c:ser>
        <c:ser>
          <c:idx val="2"/>
          <c:order val="2"/>
          <c:tx>
            <c:strRef>
              <c:f>'Comparison Graphs'!$P$2</c:f>
              <c:strCache>
                <c:ptCount val="1"/>
                <c:pt idx="0">
                  <c:v>Concept B3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'Comparison Graphs'!$B$5:$B$15</c:f>
              <c:strCache>
                <c:ptCount val="11"/>
                <c:pt idx="0">
                  <c:v>Land purchase</c:v>
                </c:pt>
                <c:pt idx="1">
                  <c:v>Demolition</c:v>
                </c:pt>
                <c:pt idx="2">
                  <c:v>Design/Insurance/permits/contingency</c:v>
                </c:pt>
                <c:pt idx="3">
                  <c:v>Docks, ramps, floats</c:v>
                </c:pt>
                <c:pt idx="4">
                  <c:v>Marina building</c:v>
                </c:pt>
                <c:pt idx="5">
                  <c:v>Breakwater</c:v>
                </c:pt>
                <c:pt idx="6">
                  <c:v>Fuel sales infrastructure</c:v>
                </c:pt>
                <c:pt idx="7">
                  <c:v>Landscaping</c:v>
                </c:pt>
                <c:pt idx="8">
                  <c:v>Driveways &amp; parking lot paving</c:v>
                </c:pt>
                <c:pt idx="9">
                  <c:v>Tram fleet</c:v>
                </c:pt>
                <c:pt idx="10">
                  <c:v>Infrastructure for international ferry</c:v>
                </c:pt>
              </c:strCache>
            </c:strRef>
          </c:cat>
          <c:val>
            <c:numRef>
              <c:f>'Comparison Graphs'!$P$5:$P$15</c:f>
              <c:numCache>
                <c:formatCode>_("$"* #,##0_);_("$"* \(#,##0\);_("$"* "-"??_);_(@_)</c:formatCode>
                <c:ptCount val="11"/>
                <c:pt idx="0">
                  <c:v>3500000</c:v>
                </c:pt>
                <c:pt idx="1">
                  <c:v>2452983</c:v>
                </c:pt>
                <c:pt idx="2">
                  <c:v>2836311.1599999997</c:v>
                </c:pt>
                <c:pt idx="3">
                  <c:v>1353000</c:v>
                </c:pt>
                <c:pt idx="4">
                  <c:v>825000</c:v>
                </c:pt>
                <c:pt idx="5">
                  <c:v>350000</c:v>
                </c:pt>
                <c:pt idx="6">
                  <c:v>150000</c:v>
                </c:pt>
                <c:pt idx="7">
                  <c:v>328000</c:v>
                </c:pt>
                <c:pt idx="8">
                  <c:v>1233400</c:v>
                </c:pt>
                <c:pt idx="9">
                  <c:v>630000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6393136"/>
        <c:axId val="426394704"/>
      </c:barChart>
      <c:catAx>
        <c:axId val="42639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6394704"/>
        <c:crosses val="autoZero"/>
        <c:auto val="1"/>
        <c:lblAlgn val="ctr"/>
        <c:lblOffset val="100"/>
        <c:noMultiLvlLbl val="0"/>
      </c:catAx>
      <c:valAx>
        <c:axId val="426394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6393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'Comparison Graphs'!$B$2</c:f>
              <c:strCache>
                <c:ptCount val="1"/>
                <c:pt idx="0">
                  <c:v>Advisory Committee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'Comparison Graphs'!$B$5:$B$15</c:f>
              <c:strCache>
                <c:ptCount val="11"/>
                <c:pt idx="0">
                  <c:v>Land purchase</c:v>
                </c:pt>
                <c:pt idx="1">
                  <c:v>Demolition</c:v>
                </c:pt>
                <c:pt idx="2">
                  <c:v>Design/Insurance/permits/contingency</c:v>
                </c:pt>
                <c:pt idx="3">
                  <c:v>Docks, ramps, floats</c:v>
                </c:pt>
                <c:pt idx="4">
                  <c:v>Marina building</c:v>
                </c:pt>
                <c:pt idx="5">
                  <c:v>Breakwater</c:v>
                </c:pt>
                <c:pt idx="6">
                  <c:v>Fuel sales infrastructure</c:v>
                </c:pt>
                <c:pt idx="7">
                  <c:v>Landscaping</c:v>
                </c:pt>
                <c:pt idx="8">
                  <c:v>Driveways &amp; parking lot paving</c:v>
                </c:pt>
                <c:pt idx="9">
                  <c:v>Tram fleet</c:v>
                </c:pt>
                <c:pt idx="10">
                  <c:v>Infrastructure for international ferry</c:v>
                </c:pt>
              </c:strCache>
            </c:strRef>
          </c:cat>
          <c:val>
            <c:numRef>
              <c:f>'Comparison Graphs'!$C$5:$C$15</c:f>
              <c:numCache>
                <c:formatCode>_("$"* #,##0_);_("$"* \(#,##0\);_("$"* "-"??_);_(@_)</c:formatCode>
                <c:ptCount val="11"/>
                <c:pt idx="0">
                  <c:v>3500000</c:v>
                </c:pt>
                <c:pt idx="1">
                  <c:v>1000000</c:v>
                </c:pt>
                <c:pt idx="2">
                  <c:v>0</c:v>
                </c:pt>
                <c:pt idx="3">
                  <c:v>675000</c:v>
                </c:pt>
                <c:pt idx="4">
                  <c:v>400000</c:v>
                </c:pt>
                <c:pt idx="5">
                  <c:v>350000</c:v>
                </c:pt>
                <c:pt idx="6">
                  <c:v>325000</c:v>
                </c:pt>
                <c:pt idx="7">
                  <c:v>350000</c:v>
                </c:pt>
                <c:pt idx="8">
                  <c:v>980000</c:v>
                </c:pt>
                <c:pt idx="9">
                  <c:v>630000</c:v>
                </c:pt>
                <c:pt idx="10">
                  <c:v>0</c:v>
                </c:pt>
              </c:numCache>
            </c:numRef>
          </c:val>
        </c:ser>
        <c:ser>
          <c:idx val="1"/>
          <c:order val="1"/>
          <c:tx>
            <c:strRef>
              <c:f>'Comparison Graphs'!$R$2</c:f>
              <c:strCache>
                <c:ptCount val="1"/>
                <c:pt idx="0">
                  <c:v>Concept C1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'Comparison Graphs'!$B$5:$B$15</c:f>
              <c:strCache>
                <c:ptCount val="11"/>
                <c:pt idx="0">
                  <c:v>Land purchase</c:v>
                </c:pt>
                <c:pt idx="1">
                  <c:v>Demolition</c:v>
                </c:pt>
                <c:pt idx="2">
                  <c:v>Design/Insurance/permits/contingency</c:v>
                </c:pt>
                <c:pt idx="3">
                  <c:v>Docks, ramps, floats</c:v>
                </c:pt>
                <c:pt idx="4">
                  <c:v>Marina building</c:v>
                </c:pt>
                <c:pt idx="5">
                  <c:v>Breakwater</c:v>
                </c:pt>
                <c:pt idx="6">
                  <c:v>Fuel sales infrastructure</c:v>
                </c:pt>
                <c:pt idx="7">
                  <c:v>Landscaping</c:v>
                </c:pt>
                <c:pt idx="8">
                  <c:v>Driveways &amp; parking lot paving</c:v>
                </c:pt>
                <c:pt idx="9">
                  <c:v>Tram fleet</c:v>
                </c:pt>
                <c:pt idx="10">
                  <c:v>Infrastructure for international ferry</c:v>
                </c:pt>
              </c:strCache>
            </c:strRef>
          </c:cat>
          <c:val>
            <c:numRef>
              <c:f>'Comparison Graphs'!$R$5:$R$15</c:f>
              <c:numCache>
                <c:formatCode>_("$"* #,##0_);_("$"* \(#,##0\);_("$"* "-"??_);_(@_)</c:formatCode>
                <c:ptCount val="11"/>
                <c:pt idx="0">
                  <c:v>3500000</c:v>
                </c:pt>
                <c:pt idx="1">
                  <c:v>2452983</c:v>
                </c:pt>
                <c:pt idx="2">
                  <c:v>3590279.98</c:v>
                </c:pt>
                <c:pt idx="3">
                  <c:v>952200</c:v>
                </c:pt>
                <c:pt idx="4">
                  <c:v>805500</c:v>
                </c:pt>
                <c:pt idx="5">
                  <c:v>0</c:v>
                </c:pt>
                <c:pt idx="6">
                  <c:v>100000</c:v>
                </c:pt>
                <c:pt idx="7">
                  <c:v>495475</c:v>
                </c:pt>
                <c:pt idx="8">
                  <c:v>1107280</c:v>
                </c:pt>
                <c:pt idx="9">
                  <c:v>630000</c:v>
                </c:pt>
                <c:pt idx="10">
                  <c:v>2000000</c:v>
                </c:pt>
              </c:numCache>
            </c:numRef>
          </c:val>
        </c:ser>
        <c:ser>
          <c:idx val="2"/>
          <c:order val="2"/>
          <c:tx>
            <c:strRef>
              <c:f>'Comparison Graphs'!$T$2</c:f>
              <c:strCache>
                <c:ptCount val="1"/>
                <c:pt idx="0">
                  <c:v>Concept C2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'Comparison Graphs'!$B$5:$B$15</c:f>
              <c:strCache>
                <c:ptCount val="11"/>
                <c:pt idx="0">
                  <c:v>Land purchase</c:v>
                </c:pt>
                <c:pt idx="1">
                  <c:v>Demolition</c:v>
                </c:pt>
                <c:pt idx="2">
                  <c:v>Design/Insurance/permits/contingency</c:v>
                </c:pt>
                <c:pt idx="3">
                  <c:v>Docks, ramps, floats</c:v>
                </c:pt>
                <c:pt idx="4">
                  <c:v>Marina building</c:v>
                </c:pt>
                <c:pt idx="5">
                  <c:v>Breakwater</c:v>
                </c:pt>
                <c:pt idx="6">
                  <c:v>Fuel sales infrastructure</c:v>
                </c:pt>
                <c:pt idx="7">
                  <c:v>Landscaping</c:v>
                </c:pt>
                <c:pt idx="8">
                  <c:v>Driveways &amp; parking lot paving</c:v>
                </c:pt>
                <c:pt idx="9">
                  <c:v>Tram fleet</c:v>
                </c:pt>
                <c:pt idx="10">
                  <c:v>Infrastructure for international ferry</c:v>
                </c:pt>
              </c:strCache>
            </c:strRef>
          </c:cat>
          <c:val>
            <c:numRef>
              <c:f>'Comparison Graphs'!$T$5:$T$15</c:f>
              <c:numCache>
                <c:formatCode>_("$"* #,##0_);_("$"* \(#,##0\);_("$"* "-"??_);_(@_)</c:formatCode>
                <c:ptCount val="11"/>
                <c:pt idx="0">
                  <c:v>3500000</c:v>
                </c:pt>
                <c:pt idx="1">
                  <c:v>2452983</c:v>
                </c:pt>
                <c:pt idx="2">
                  <c:v>3809189.4</c:v>
                </c:pt>
                <c:pt idx="3">
                  <c:v>1017000</c:v>
                </c:pt>
                <c:pt idx="4">
                  <c:v>805500</c:v>
                </c:pt>
                <c:pt idx="5">
                  <c:v>250000</c:v>
                </c:pt>
                <c:pt idx="6">
                  <c:v>150000</c:v>
                </c:pt>
                <c:pt idx="7">
                  <c:v>495475</c:v>
                </c:pt>
                <c:pt idx="8">
                  <c:v>1107280</c:v>
                </c:pt>
                <c:pt idx="9">
                  <c:v>630000</c:v>
                </c:pt>
                <c:pt idx="10">
                  <c:v>2000000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6395096"/>
        <c:axId val="426392352"/>
      </c:barChart>
      <c:catAx>
        <c:axId val="426395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6392352"/>
        <c:crosses val="autoZero"/>
        <c:auto val="1"/>
        <c:lblAlgn val="ctr"/>
        <c:lblOffset val="100"/>
        <c:noMultiLvlLbl val="0"/>
      </c:catAx>
      <c:valAx>
        <c:axId val="426392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6395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346074</xdr:colOff>
      <xdr:row>22</xdr:row>
      <xdr:rowOff>3174</xdr:rowOff>
    </xdr:from>
    <xdr:to>
      <xdr:col>10</xdr:col>
      <xdr:colOff>0</xdr:colOff>
      <xdr:row>46</xdr:row>
      <xdr:rowOff>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21</xdr:row>
      <xdr:rowOff>190499</xdr:rowOff>
    </xdr:from>
    <xdr:to>
      <xdr:col>16</xdr:col>
      <xdr:colOff>104775</xdr:colOff>
      <xdr:row>46</xdr:row>
      <xdr:rowOff>9524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</xdr:colOff>
      <xdr:row>22</xdr:row>
      <xdr:rowOff>0</xdr:rowOff>
    </xdr:from>
    <xdr:to>
      <xdr:col>20</xdr:col>
      <xdr:colOff>1781176</xdr:colOff>
      <xdr:row>46</xdr:row>
      <xdr:rowOff>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chael%20Vanderbeek/Desktop/Projects%202017/Bar%20Harbor/Project%20Docs/Tariffs/CNE%20Port%20Tariff%20Comps%2003.14.2018%20MV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chael%20Vanderbeek/Desktop/Projects%202017/Bar%20Harbor/Project%20Docs/Cruise%20Schedules/Schedule%20Analysi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chael%20Vanderbeek/Desktop/Projects%202017/Bar%20Harbor/Project%20Docs/Cruise%20Schedules%20and%20Stats/Schedule%20Analysi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chael%20Vanderbeek/AppData/Local/Microsoft/Windows/INetCache/Content.Outlook/P8OJRA9A/Bar%20Harbor%20shuttles_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chael%20Vanderbeek/Desktop/Projects/Bar%20Harbor/Other/Copy%20of%20LC%20Marine%20use%20cost%20model_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fs"/>
      <sheetName val="Large"/>
      <sheetName val="Medium"/>
      <sheetName val="Small"/>
      <sheetName val="Summary"/>
    </sheetNames>
    <sheetDataSet>
      <sheetData sheetId="0"/>
      <sheetData sheetId="1"/>
      <sheetData sheetId="2"/>
      <sheetData sheetId="3"/>
      <sheetData sheetId="4">
        <row r="1">
          <cell r="A1" t="str">
            <v xml:space="preserve">Table 5 </v>
          </cell>
          <cell r="G1" t="str">
            <v xml:space="preserve">Table 6 </v>
          </cell>
        </row>
        <row r="2">
          <cell r="A2" t="str">
            <v>SUMMARY OF ESTIMATED PER CALL PORT CHARGES</v>
          </cell>
          <cell r="G2" t="str">
            <v>SUMMARY OF ESTIMATED PER PASSENGER PORT CHARGES</v>
          </cell>
        </row>
        <row r="5">
          <cell r="A5" t="str">
            <v>Summary of marine revenues</v>
          </cell>
          <cell r="G5" t="str">
            <v>Summary of total revenues</v>
          </cell>
        </row>
        <row r="6">
          <cell r="A6" t="str">
            <v>Port</v>
          </cell>
          <cell r="B6" t="str">
            <v>Large ship</v>
          </cell>
          <cell r="C6" t="str">
            <v>Medium ship</v>
          </cell>
          <cell r="D6" t="str">
            <v>Small Ship</v>
          </cell>
          <cell r="E6" t="str">
            <v>Weighted average</v>
          </cell>
          <cell r="G6" t="str">
            <v>Port</v>
          </cell>
          <cell r="H6" t="str">
            <v>Large ship</v>
          </cell>
          <cell r="I6" t="str">
            <v>Medium ship</v>
          </cell>
          <cell r="J6" t="str">
            <v>Small Ship</v>
          </cell>
          <cell r="K6" t="str">
            <v>Weighted average</v>
          </cell>
        </row>
        <row r="7">
          <cell r="A7" t="str">
            <v>Percent mix of ships</v>
          </cell>
          <cell r="B7">
            <v>0.25</v>
          </cell>
          <cell r="C7">
            <v>0.6</v>
          </cell>
          <cell r="D7">
            <v>0.15</v>
          </cell>
          <cell r="G7" t="str">
            <v>Percent mix of ships</v>
          </cell>
          <cell r="H7">
            <v>0.25</v>
          </cell>
          <cell r="I7">
            <v>0.6</v>
          </cell>
          <cell r="J7">
            <v>0.15</v>
          </cell>
        </row>
        <row r="8">
          <cell r="A8" t="str">
            <v>Homeport + POC</v>
          </cell>
          <cell r="G8" t="str">
            <v>Port of call</v>
          </cell>
        </row>
        <row r="9">
          <cell r="A9" t="str">
            <v>Montreal</v>
          </cell>
          <cell r="B9">
            <v>111253.428</v>
          </cell>
          <cell r="C9">
            <v>72367.014720000006</v>
          </cell>
          <cell r="D9">
            <v>47492.185883999999</v>
          </cell>
          <cell r="E9">
            <v>78357.39371460001</v>
          </cell>
          <cell r="G9" t="str">
            <v>Montreal</v>
          </cell>
          <cell r="H9">
            <v>13.9066785</v>
          </cell>
          <cell r="I9">
            <v>13.501308716417912</v>
          </cell>
          <cell r="J9">
            <v>13.662884316455695</v>
          </cell>
          <cell r="K9">
            <v>13.6268875023191</v>
          </cell>
        </row>
        <row r="10">
          <cell r="A10" t="str">
            <v>Quebec</v>
          </cell>
          <cell r="B10">
            <v>113894.04000000001</v>
          </cell>
          <cell r="C10">
            <v>73649.409599999999</v>
          </cell>
          <cell r="D10">
            <v>48449.664120000001</v>
          </cell>
          <cell r="E10">
            <v>79930.605377999993</v>
          </cell>
          <cell r="G10" t="str">
            <v>Quebec</v>
          </cell>
          <cell r="H10">
            <v>14.543880000000001</v>
          </cell>
          <cell r="I10">
            <v>14.198957014925373</v>
          </cell>
          <cell r="J10">
            <v>14.645185304948217</v>
          </cell>
          <cell r="K10">
            <v>14.352122004697456</v>
          </cell>
        </row>
        <row r="11">
          <cell r="A11" t="str">
            <v>Halifax</v>
          </cell>
          <cell r="B11">
            <v>48644.075999999994</v>
          </cell>
          <cell r="C11">
            <v>30882.234240000002</v>
          </cell>
          <cell r="D11">
            <v>20469.191028000001</v>
          </cell>
          <cell r="E11">
            <v>33760.738198200001</v>
          </cell>
          <cell r="G11" t="str">
            <v>Halifax</v>
          </cell>
          <cell r="H11">
            <v>12.161018999999998</v>
          </cell>
          <cell r="I11">
            <v>11.523221731343284</v>
          </cell>
          <cell r="J11">
            <v>11.77744017721519</v>
          </cell>
          <cell r="K11">
            <v>11.720803815388248</v>
          </cell>
        </row>
        <row r="12">
          <cell r="A12" t="str">
            <v>St. John</v>
          </cell>
          <cell r="B12">
            <v>44396.82</v>
          </cell>
          <cell r="C12">
            <v>27871.7088</v>
          </cell>
          <cell r="D12">
            <v>18559.458060000001</v>
          </cell>
          <cell r="E12">
            <v>30606.148988999998</v>
          </cell>
          <cell r="G12" t="str">
            <v>St. John</v>
          </cell>
          <cell r="H12">
            <v>11.099205</v>
          </cell>
          <cell r="I12">
            <v>10.399891343283581</v>
          </cell>
          <cell r="J12">
            <v>10.678629493670886</v>
          </cell>
          <cell r="K12">
            <v>10.616530480020781</v>
          </cell>
        </row>
        <row r="13">
          <cell r="A13" t="str">
            <v>Bar Harbor (OPL)</v>
          </cell>
          <cell r="B13">
            <v>17480</v>
          </cell>
          <cell r="C13">
            <v>11711.6</v>
          </cell>
          <cell r="D13">
            <v>7595.06</v>
          </cell>
          <cell r="E13">
            <v>12536.218999999999</v>
          </cell>
          <cell r="G13" t="str">
            <v>Bar Harbor (OPL)</v>
          </cell>
          <cell r="H13">
            <v>8.8699999999999992</v>
          </cell>
          <cell r="I13">
            <v>8.8699999999999992</v>
          </cell>
          <cell r="J13">
            <v>8.870000000000001</v>
          </cell>
          <cell r="K13">
            <v>8.8699999999999992</v>
          </cell>
        </row>
        <row r="14">
          <cell r="A14" t="str">
            <v>Portland</v>
          </cell>
          <cell r="B14">
            <v>44000</v>
          </cell>
          <cell r="C14">
            <v>29480</v>
          </cell>
          <cell r="D14">
            <v>19118</v>
          </cell>
          <cell r="E14">
            <v>31555.7</v>
          </cell>
          <cell r="G14" t="str">
            <v>Portland</v>
          </cell>
          <cell r="H14">
            <v>13.27</v>
          </cell>
          <cell r="I14">
            <v>14.388059701492537</v>
          </cell>
          <cell r="J14">
            <v>16.22439585730725</v>
          </cell>
          <cell r="K14">
            <v>14.383995199491608</v>
          </cell>
        </row>
        <row r="15">
          <cell r="A15" t="str">
            <v>Boston</v>
          </cell>
          <cell r="B15">
            <v>129466.25</v>
          </cell>
          <cell r="C15">
            <v>87325.25</v>
          </cell>
          <cell r="D15">
            <v>57065.8</v>
          </cell>
          <cell r="E15">
            <v>93321.58249999999</v>
          </cell>
          <cell r="G15" t="str">
            <v>Boston</v>
          </cell>
          <cell r="H15">
            <v>20.95328125</v>
          </cell>
          <cell r="I15">
            <v>21.062024253731344</v>
          </cell>
          <cell r="J15">
            <v>21.187088607594937</v>
          </cell>
          <cell r="K15">
            <v>21.053598155878049</v>
          </cell>
        </row>
        <row r="16">
          <cell r="A16" t="str">
            <v>MCT (Manhattan) - Published</v>
          </cell>
          <cell r="B16">
            <v>218920</v>
          </cell>
          <cell r="C16">
            <v>143884.79999999999</v>
          </cell>
          <cell r="D16">
            <v>94031.96</v>
          </cell>
          <cell r="E16">
            <v>155165.674</v>
          </cell>
          <cell r="G16" t="str">
            <v>MCT (Manhattan) - Published</v>
          </cell>
          <cell r="H16">
            <v>27.364999999999998</v>
          </cell>
          <cell r="I16">
            <v>26.844179104477611</v>
          </cell>
          <cell r="J16">
            <v>27.051772151898735</v>
          </cell>
          <cell r="K16">
            <v>27.005523285471373</v>
          </cell>
        </row>
        <row r="17">
          <cell r="A17" t="str">
            <v>MCT (Manhattan) - Contract (2017)</v>
          </cell>
          <cell r="B17">
            <v>194200</v>
          </cell>
          <cell r="C17">
            <v>128120</v>
          </cell>
          <cell r="D17">
            <v>83602.2</v>
          </cell>
          <cell r="E17">
            <v>137962.32999999999</v>
          </cell>
          <cell r="G17" t="str">
            <v>MCT (Manhattan) - Contract (2017)</v>
          </cell>
          <cell r="H17">
            <v>24.274999999999999</v>
          </cell>
          <cell r="I17">
            <v>23.902985074626866</v>
          </cell>
          <cell r="J17">
            <v>24.05126582278481</v>
          </cell>
          <cell r="K17">
            <v>24.01823091819384</v>
          </cell>
        </row>
        <row r="18">
          <cell r="A18" t="str">
            <v>BCT (Brooklyn) - Published</v>
          </cell>
          <cell r="B18">
            <v>218920</v>
          </cell>
          <cell r="C18">
            <v>143884.79999999999</v>
          </cell>
          <cell r="D18">
            <v>94031.96</v>
          </cell>
          <cell r="E18">
            <v>155165.674</v>
          </cell>
          <cell r="G18" t="str">
            <v>BCT (Brooklyn) - Published</v>
          </cell>
          <cell r="H18">
            <v>27.364999999999998</v>
          </cell>
          <cell r="I18">
            <v>26.844179104477611</v>
          </cell>
          <cell r="J18">
            <v>27.051772151898735</v>
          </cell>
          <cell r="K18">
            <v>27.005523285471373</v>
          </cell>
        </row>
        <row r="19">
          <cell r="A19" t="str">
            <v>BCT (Brooklyn) - Contract (2017)</v>
          </cell>
          <cell r="B19">
            <v>170300</v>
          </cell>
          <cell r="C19">
            <v>113104</v>
          </cell>
          <cell r="D19">
            <v>73606.5</v>
          </cell>
          <cell r="E19">
            <v>121478.375</v>
          </cell>
          <cell r="G19" t="str">
            <v>BCT (Brooklyn) - Contract (2017)</v>
          </cell>
          <cell r="H19">
            <v>21.287500000000001</v>
          </cell>
          <cell r="I19">
            <v>21.101492537313433</v>
          </cell>
          <cell r="J19">
            <v>21.175632911392405</v>
          </cell>
          <cell r="K19">
            <v>21.15911545909692</v>
          </cell>
        </row>
        <row r="20">
          <cell r="A20" t="str">
            <v>CLCT (Bayonne)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G20" t="str">
            <v>CLCT (Bayonne)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ry"/>
      <sheetName val="Historical Summary"/>
      <sheetName val="2019"/>
      <sheetName val="2018"/>
      <sheetName val="2018 (2)"/>
      <sheetName val="2017"/>
      <sheetName val="2016"/>
      <sheetName val="2015"/>
    </sheetNames>
    <sheetDataSet>
      <sheetData sheetId="0" refreshError="1"/>
      <sheetData sheetId="1">
        <row r="2">
          <cell r="C2">
            <v>261573</v>
          </cell>
          <cell r="D2">
            <v>35</v>
          </cell>
          <cell r="E2">
            <v>157</v>
          </cell>
          <cell r="F2">
            <v>15</v>
          </cell>
        </row>
        <row r="3">
          <cell r="B3">
            <v>180</v>
          </cell>
          <cell r="C3">
            <v>234700</v>
          </cell>
          <cell r="D3">
            <v>46</v>
          </cell>
          <cell r="E3">
            <v>161</v>
          </cell>
          <cell r="F3">
            <v>19</v>
          </cell>
        </row>
        <row r="4">
          <cell r="B4">
            <v>164</v>
          </cell>
          <cell r="C4">
            <v>223758</v>
          </cell>
          <cell r="D4">
            <v>46</v>
          </cell>
          <cell r="E4">
            <v>145</v>
          </cell>
          <cell r="F4">
            <v>19</v>
          </cell>
        </row>
        <row r="5">
          <cell r="B5">
            <v>116</v>
          </cell>
          <cell r="C5">
            <v>161527</v>
          </cell>
          <cell r="D5">
            <v>36</v>
          </cell>
          <cell r="E5">
            <v>96</v>
          </cell>
          <cell r="F5">
            <v>20</v>
          </cell>
        </row>
        <row r="6">
          <cell r="B6">
            <v>140</v>
          </cell>
          <cell r="C6">
            <v>158842</v>
          </cell>
          <cell r="D6">
            <v>40</v>
          </cell>
          <cell r="E6">
            <v>104</v>
          </cell>
          <cell r="F6">
            <v>36</v>
          </cell>
        </row>
        <row r="7">
          <cell r="B7">
            <v>119</v>
          </cell>
          <cell r="C7">
            <v>158602</v>
          </cell>
          <cell r="D7">
            <v>46</v>
          </cell>
        </row>
        <row r="8">
          <cell r="B8">
            <v>126</v>
          </cell>
          <cell r="C8">
            <v>167573</v>
          </cell>
          <cell r="D8">
            <v>49</v>
          </cell>
        </row>
        <row r="9">
          <cell r="B9">
            <v>108</v>
          </cell>
          <cell r="C9">
            <v>130203</v>
          </cell>
          <cell r="D9">
            <v>28</v>
          </cell>
        </row>
        <row r="10">
          <cell r="B10">
            <v>106</v>
          </cell>
          <cell r="C10">
            <v>156309</v>
          </cell>
          <cell r="D10">
            <v>41</v>
          </cell>
        </row>
        <row r="11">
          <cell r="B11">
            <v>107</v>
          </cell>
          <cell r="C11">
            <v>173656</v>
          </cell>
          <cell r="D11">
            <v>31</v>
          </cell>
        </row>
        <row r="12">
          <cell r="B12">
            <v>92</v>
          </cell>
          <cell r="C12">
            <v>141570</v>
          </cell>
          <cell r="D12">
            <v>21</v>
          </cell>
        </row>
        <row r="13">
          <cell r="B13">
            <v>107</v>
          </cell>
          <cell r="C13">
            <v>134172</v>
          </cell>
          <cell r="D13">
            <v>39</v>
          </cell>
        </row>
        <row r="14">
          <cell r="B14">
            <v>91</v>
          </cell>
          <cell r="C14">
            <v>109836</v>
          </cell>
        </row>
        <row r="15">
          <cell r="B15">
            <v>73</v>
          </cell>
          <cell r="C15">
            <v>98000</v>
          </cell>
        </row>
        <row r="16">
          <cell r="B16">
            <v>76</v>
          </cell>
          <cell r="C16">
            <v>97579</v>
          </cell>
        </row>
        <row r="17">
          <cell r="B17">
            <v>87</v>
          </cell>
          <cell r="C17">
            <v>104750</v>
          </cell>
        </row>
        <row r="18">
          <cell r="B18">
            <v>78</v>
          </cell>
          <cell r="C18">
            <v>97150</v>
          </cell>
        </row>
        <row r="19">
          <cell r="B19">
            <v>64</v>
          </cell>
          <cell r="C19">
            <v>97190</v>
          </cell>
        </row>
        <row r="20">
          <cell r="B20">
            <v>54</v>
          </cell>
          <cell r="C20">
            <v>65175</v>
          </cell>
        </row>
        <row r="21">
          <cell r="B21">
            <v>36</v>
          </cell>
          <cell r="C21">
            <v>34750</v>
          </cell>
        </row>
      </sheetData>
      <sheetData sheetId="2">
        <row r="41">
          <cell r="B41">
            <v>74</v>
          </cell>
          <cell r="D41">
            <v>129708</v>
          </cell>
        </row>
        <row r="42">
          <cell r="B42">
            <v>29</v>
          </cell>
          <cell r="D42">
            <v>75414</v>
          </cell>
        </row>
        <row r="43">
          <cell r="B43">
            <v>25</v>
          </cell>
          <cell r="D43">
            <v>41958</v>
          </cell>
        </row>
      </sheetData>
      <sheetData sheetId="3" refreshError="1"/>
      <sheetData sheetId="4">
        <row r="58">
          <cell r="B58">
            <v>63</v>
          </cell>
          <cell r="D58">
            <v>94510</v>
          </cell>
        </row>
        <row r="59">
          <cell r="B59">
            <v>30</v>
          </cell>
          <cell r="D59">
            <v>80002</v>
          </cell>
        </row>
        <row r="60">
          <cell r="B60">
            <v>29</v>
          </cell>
          <cell r="D60">
            <v>46586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ry"/>
      <sheetName val="Historical Summary"/>
      <sheetName val="2019"/>
      <sheetName val="2018"/>
      <sheetName val="2018 (2)"/>
      <sheetName val="2018 (3)"/>
      <sheetName val="2017"/>
      <sheetName val="2016"/>
      <sheetName val="2015"/>
      <sheetName val="Sheet1"/>
    </sheetNames>
    <sheetDataSet>
      <sheetData sheetId="0"/>
      <sheetData sheetId="1"/>
      <sheetData sheetId="2"/>
      <sheetData sheetId="3"/>
      <sheetData sheetId="4">
        <row r="65">
          <cell r="B65">
            <v>0.35</v>
          </cell>
          <cell r="C65">
            <v>0.40268427780144866</v>
          </cell>
        </row>
        <row r="66">
          <cell r="B66">
            <v>0.16666666666666666</v>
          </cell>
          <cell r="C66">
            <v>0.34086919471665955</v>
          </cell>
        </row>
        <row r="67">
          <cell r="B67">
            <v>0.16111111111111112</v>
          </cell>
          <cell r="C67">
            <v>0.19849169152109075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 Cruise Ships"/>
      <sheetName val="Ships at 2017 level"/>
      <sheetName val="More ship visits"/>
      <sheetName val="Service levels"/>
      <sheetName val="Timetables"/>
      <sheetName val="Bus Utilization"/>
    </sheetNames>
    <sheetDataSet>
      <sheetData sheetId="0">
        <row r="25">
          <cell r="F25">
            <v>5550</v>
          </cell>
          <cell r="G25">
            <v>0</v>
          </cell>
          <cell r="H25">
            <v>5550</v>
          </cell>
        </row>
      </sheetData>
      <sheetData sheetId="1" refreshError="1"/>
      <sheetData sheetId="2">
        <row r="25">
          <cell r="F25">
            <v>3070</v>
          </cell>
          <cell r="G25">
            <v>4120</v>
          </cell>
          <cell r="H25">
            <v>7190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"/>
      <sheetName val="O&amp;M revenues &amp; costs"/>
      <sheetName val="Calculations"/>
    </sheetNames>
    <sheetDataSet>
      <sheetData sheetId="0"/>
      <sheetData sheetId="1">
        <row r="7">
          <cell r="C7">
            <v>121000</v>
          </cell>
          <cell r="D7">
            <v>121000</v>
          </cell>
          <cell r="E7">
            <v>121000</v>
          </cell>
        </row>
        <row r="8">
          <cell r="C8">
            <v>90000</v>
          </cell>
          <cell r="D8">
            <v>90000</v>
          </cell>
          <cell r="E8">
            <v>90000</v>
          </cell>
        </row>
        <row r="9">
          <cell r="C9">
            <v>20000</v>
          </cell>
          <cell r="D9">
            <v>20000</v>
          </cell>
          <cell r="E9">
            <v>20000</v>
          </cell>
        </row>
        <row r="10">
          <cell r="C10">
            <v>25000</v>
          </cell>
          <cell r="D10">
            <v>25000</v>
          </cell>
          <cell r="E10">
            <v>25000</v>
          </cell>
        </row>
        <row r="11">
          <cell r="C11">
            <v>0</v>
          </cell>
          <cell r="D11">
            <v>0</v>
          </cell>
          <cell r="E11">
            <v>0</v>
          </cell>
        </row>
        <row r="12">
          <cell r="C12">
            <v>35000</v>
          </cell>
          <cell r="D12">
            <v>35000</v>
          </cell>
          <cell r="E12">
            <v>35000</v>
          </cell>
        </row>
        <row r="13">
          <cell r="C13">
            <v>5000</v>
          </cell>
          <cell r="D13">
            <v>5000</v>
          </cell>
          <cell r="E13">
            <v>5000</v>
          </cell>
        </row>
        <row r="14">
          <cell r="C14">
            <v>125000</v>
          </cell>
          <cell r="D14">
            <v>125000</v>
          </cell>
          <cell r="E14">
            <v>125000</v>
          </cell>
        </row>
        <row r="15">
          <cell r="C15">
            <v>64500</v>
          </cell>
          <cell r="D15">
            <v>64500</v>
          </cell>
          <cell r="E15">
            <v>64500</v>
          </cell>
        </row>
        <row r="16">
          <cell r="C16">
            <v>540000</v>
          </cell>
          <cell r="D16">
            <v>540000</v>
          </cell>
          <cell r="E16">
            <v>540000</v>
          </cell>
        </row>
        <row r="17">
          <cell r="C17">
            <v>0</v>
          </cell>
          <cell r="D17">
            <v>0</v>
          </cell>
          <cell r="E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</row>
        <row r="19">
          <cell r="C19">
            <v>0</v>
          </cell>
          <cell r="D19">
            <v>125000</v>
          </cell>
          <cell r="E19">
            <v>125000</v>
          </cell>
        </row>
        <row r="20">
          <cell r="C20">
            <v>0</v>
          </cell>
          <cell r="D20">
            <v>0</v>
          </cell>
          <cell r="E20">
            <v>0</v>
          </cell>
        </row>
        <row r="23">
          <cell r="C23">
            <v>1025500</v>
          </cell>
          <cell r="D23">
            <v>1150500</v>
          </cell>
          <cell r="E23">
            <v>1150500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C92"/>
  <sheetViews>
    <sheetView tabSelected="1" zoomScale="70" zoomScaleNormal="70" workbookViewId="0">
      <selection activeCell="F12" sqref="F12"/>
    </sheetView>
  </sheetViews>
  <sheetFormatPr defaultColWidth="9" defaultRowHeight="16.5"/>
  <cols>
    <col min="1" max="1" width="13.625" style="18" customWidth="1"/>
    <col min="2" max="2" width="91.625" style="18" customWidth="1"/>
    <col min="3" max="3" width="17.5" style="18" bestFit="1" customWidth="1"/>
    <col min="4" max="16384" width="9" style="18"/>
  </cols>
  <sheetData>
    <row r="1" spans="1:3" ht="18">
      <c r="A1" s="11" t="s">
        <v>150</v>
      </c>
      <c r="B1" s="13"/>
      <c r="C1" s="14"/>
    </row>
    <row r="2" spans="1:3">
      <c r="A2" s="19" t="s">
        <v>151</v>
      </c>
      <c r="B2" s="13"/>
      <c r="C2" s="14"/>
    </row>
    <row r="3" spans="1:3">
      <c r="A3" s="25" t="s">
        <v>611</v>
      </c>
      <c r="B3" s="12"/>
      <c r="C3" s="14"/>
    </row>
    <row r="4" spans="1:3">
      <c r="A4" s="2" t="str">
        <f ca="1">Intro!A4</f>
        <v>Bermello, Ajamil &amp; Partners, Inc.</v>
      </c>
      <c r="B4" s="20"/>
      <c r="C4" s="24">
        <f ca="1">NOW()</f>
        <v>43242.835659143515</v>
      </c>
    </row>
    <row r="5" spans="1:3">
      <c r="A5" s="291" t="s">
        <v>30</v>
      </c>
      <c r="B5" s="292"/>
      <c r="C5" s="292"/>
    </row>
    <row r="7" spans="1:3">
      <c r="A7" s="15" t="s">
        <v>29</v>
      </c>
      <c r="B7" s="15" t="s">
        <v>6</v>
      </c>
      <c r="C7" s="15" t="s">
        <v>1</v>
      </c>
    </row>
    <row r="8" spans="1:3">
      <c r="A8" s="1"/>
      <c r="C8" s="1"/>
    </row>
    <row r="9" spans="1:3">
      <c r="A9" s="23" t="s">
        <v>152</v>
      </c>
      <c r="B9" s="18" t="s">
        <v>149</v>
      </c>
      <c r="C9" s="1" t="s">
        <v>153</v>
      </c>
    </row>
    <row r="10" spans="1:3">
      <c r="A10" s="23" t="s">
        <v>258</v>
      </c>
      <c r="B10" s="18" t="s">
        <v>407</v>
      </c>
      <c r="C10" s="1" t="s">
        <v>259</v>
      </c>
    </row>
    <row r="11" spans="1:3">
      <c r="A11" s="23" t="s">
        <v>405</v>
      </c>
      <c r="B11" s="18" t="s">
        <v>429</v>
      </c>
      <c r="C11" s="1" t="s">
        <v>406</v>
      </c>
    </row>
    <row r="12" spans="1:3">
      <c r="A12" s="23" t="s">
        <v>428</v>
      </c>
      <c r="B12" s="18" t="s">
        <v>430</v>
      </c>
      <c r="C12" s="1" t="s">
        <v>431</v>
      </c>
    </row>
    <row r="13" spans="1:3">
      <c r="A13" s="23" t="s">
        <v>436</v>
      </c>
      <c r="B13" s="18" t="s">
        <v>437</v>
      </c>
      <c r="C13" s="1" t="s">
        <v>438</v>
      </c>
    </row>
    <row r="14" spans="1:3">
      <c r="A14" s="23" t="s">
        <v>459</v>
      </c>
      <c r="B14" s="18" t="s">
        <v>460</v>
      </c>
      <c r="C14" s="1" t="s">
        <v>461</v>
      </c>
    </row>
    <row r="15" spans="1:3">
      <c r="A15" s="23" t="s">
        <v>529</v>
      </c>
      <c r="B15" s="18" t="s">
        <v>530</v>
      </c>
      <c r="C15" s="1" t="s">
        <v>531</v>
      </c>
    </row>
    <row r="16" spans="1:3">
      <c r="A16" s="23" t="s">
        <v>570</v>
      </c>
      <c r="B16" s="18" t="s">
        <v>571</v>
      </c>
      <c r="C16" s="1" t="s">
        <v>572</v>
      </c>
    </row>
    <row r="17" spans="1:3">
      <c r="A17" s="23" t="s">
        <v>605</v>
      </c>
      <c r="B17" s="18" t="s">
        <v>607</v>
      </c>
      <c r="C17" s="1" t="s">
        <v>606</v>
      </c>
    </row>
    <row r="18" spans="1:3" ht="17.25" thickBot="1">
      <c r="A18" s="23" t="s">
        <v>611</v>
      </c>
      <c r="B18" s="18" t="s">
        <v>612</v>
      </c>
      <c r="C18" s="1" t="s">
        <v>613</v>
      </c>
    </row>
    <row r="19" spans="1:3" ht="17.25" thickBot="1">
      <c r="A19" s="1185" t="s">
        <v>37</v>
      </c>
      <c r="B19" s="1186"/>
      <c r="C19" s="1187"/>
    </row>
    <row r="20" spans="1:3">
      <c r="A20" s="1188" t="s">
        <v>408</v>
      </c>
      <c r="B20" s="1189"/>
      <c r="C20" s="1190"/>
    </row>
    <row r="21" spans="1:3">
      <c r="A21" s="1191" t="s">
        <v>36</v>
      </c>
      <c r="B21" s="1192"/>
      <c r="C21" s="1193"/>
    </row>
    <row r="22" spans="1:3">
      <c r="A22" s="1191" t="s">
        <v>154</v>
      </c>
      <c r="B22" s="1192"/>
      <c r="C22" s="1193"/>
    </row>
    <row r="23" spans="1:3" ht="17.25" thickBot="1">
      <c r="A23" s="1194" t="s">
        <v>35</v>
      </c>
      <c r="B23" s="1195"/>
      <c r="C23" s="1196"/>
    </row>
    <row r="24" spans="1:3">
      <c r="A24" s="23"/>
      <c r="C24" s="1"/>
    </row>
    <row r="25" spans="1:3">
      <c r="A25" s="290"/>
      <c r="B25" s="131"/>
      <c r="C25" s="283"/>
    </row>
    <row r="26" spans="1:3">
      <c r="A26" s="23"/>
      <c r="C26" s="1"/>
    </row>
    <row r="27" spans="1:3">
      <c r="A27" s="1"/>
      <c r="C27" s="1"/>
    </row>
    <row r="28" spans="1:3">
      <c r="A28" s="1"/>
      <c r="C28" s="1"/>
    </row>
    <row r="29" spans="1:3">
      <c r="A29" s="1"/>
      <c r="C29" s="1"/>
    </row>
    <row r="30" spans="1:3">
      <c r="A30" s="1"/>
      <c r="C30" s="1"/>
    </row>
    <row r="31" spans="1:3">
      <c r="A31" s="1"/>
      <c r="C31" s="1"/>
    </row>
    <row r="32" spans="1:3">
      <c r="A32" s="1"/>
      <c r="C32" s="1"/>
    </row>
    <row r="33" spans="1:3">
      <c r="A33" s="1"/>
      <c r="C33" s="1"/>
    </row>
    <row r="34" spans="1:3">
      <c r="A34" s="1"/>
      <c r="C34" s="1"/>
    </row>
    <row r="35" spans="1:3">
      <c r="A35" s="1"/>
      <c r="C35" s="1"/>
    </row>
    <row r="36" spans="1:3">
      <c r="A36" s="1"/>
      <c r="C36" s="1"/>
    </row>
    <row r="37" spans="1:3">
      <c r="A37" s="1"/>
      <c r="C37" s="1"/>
    </row>
    <row r="38" spans="1:3">
      <c r="A38" s="1"/>
      <c r="C38" s="1"/>
    </row>
    <row r="39" spans="1:3">
      <c r="A39" s="1"/>
      <c r="C39" s="1"/>
    </row>
    <row r="40" spans="1:3">
      <c r="A40" s="1"/>
      <c r="C40" s="1"/>
    </row>
    <row r="41" spans="1:3">
      <c r="A41" s="1"/>
      <c r="C41" s="1"/>
    </row>
    <row r="42" spans="1:3">
      <c r="A42" s="1"/>
      <c r="C42" s="1"/>
    </row>
    <row r="43" spans="1:3">
      <c r="A43" s="1"/>
      <c r="C43" s="1"/>
    </row>
    <row r="44" spans="1:3">
      <c r="A44" s="1"/>
      <c r="C44" s="1"/>
    </row>
    <row r="45" spans="1:3">
      <c r="A45" s="1"/>
      <c r="C45" s="1"/>
    </row>
    <row r="46" spans="1:3">
      <c r="A46" s="1"/>
      <c r="C46" s="1"/>
    </row>
    <row r="47" spans="1:3">
      <c r="A47" s="1"/>
      <c r="C47" s="1"/>
    </row>
    <row r="48" spans="1:3">
      <c r="A48" s="1"/>
      <c r="C48" s="1"/>
    </row>
    <row r="49" spans="1:3">
      <c r="A49" s="1"/>
      <c r="C49" s="1"/>
    </row>
    <row r="50" spans="1:3">
      <c r="A50" s="1"/>
      <c r="C50" s="1"/>
    </row>
    <row r="51" spans="1:3">
      <c r="A51" s="1"/>
      <c r="C51" s="1"/>
    </row>
    <row r="52" spans="1:3">
      <c r="A52" s="1"/>
      <c r="C52" s="1"/>
    </row>
    <row r="53" spans="1:3">
      <c r="A53" s="1"/>
      <c r="C53" s="1"/>
    </row>
    <row r="54" spans="1:3">
      <c r="A54" s="1"/>
    </row>
    <row r="55" spans="1:3">
      <c r="A55" s="1"/>
    </row>
    <row r="56" spans="1:3">
      <c r="A56" s="1"/>
    </row>
    <row r="57" spans="1:3">
      <c r="A57" s="1"/>
    </row>
    <row r="58" spans="1:3">
      <c r="A58" s="1"/>
    </row>
    <row r="59" spans="1:3">
      <c r="A59" s="1"/>
    </row>
    <row r="60" spans="1:3">
      <c r="A60" s="1"/>
    </row>
    <row r="61" spans="1:3">
      <c r="A61" s="1"/>
    </row>
    <row r="62" spans="1:3">
      <c r="A62" s="1"/>
    </row>
    <row r="63" spans="1:3">
      <c r="A63" s="1"/>
    </row>
    <row r="64" spans="1:3">
      <c r="A64" s="1"/>
    </row>
    <row r="65" spans="1:1">
      <c r="A65" s="1"/>
    </row>
    <row r="66" spans="1:1">
      <c r="A66" s="1"/>
    </row>
    <row r="67" spans="1:1">
      <c r="A67" s="1"/>
    </row>
    <row r="68" spans="1:1">
      <c r="A68" s="1"/>
    </row>
    <row r="69" spans="1:1">
      <c r="A69" s="1"/>
    </row>
    <row r="70" spans="1:1">
      <c r="A70" s="1"/>
    </row>
    <row r="71" spans="1:1">
      <c r="A71" s="1"/>
    </row>
    <row r="72" spans="1:1">
      <c r="A72" s="1"/>
    </row>
    <row r="73" spans="1:1">
      <c r="A73" s="1"/>
    </row>
    <row r="74" spans="1:1">
      <c r="A74" s="1"/>
    </row>
    <row r="75" spans="1:1">
      <c r="A75" s="1"/>
    </row>
    <row r="76" spans="1:1">
      <c r="A76" s="1"/>
    </row>
    <row r="77" spans="1:1">
      <c r="A77" s="1"/>
    </row>
    <row r="78" spans="1:1">
      <c r="A78" s="1"/>
    </row>
    <row r="79" spans="1:1">
      <c r="A79" s="1"/>
    </row>
    <row r="80" spans="1:1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</sheetData>
  <mergeCells count="5">
    <mergeCell ref="A19:C19"/>
    <mergeCell ref="A20:C20"/>
    <mergeCell ref="A21:C21"/>
    <mergeCell ref="A22:C22"/>
    <mergeCell ref="A23:C23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XFD196"/>
  <sheetViews>
    <sheetView topLeftCell="A70" zoomScale="62" zoomScaleNormal="55" workbookViewId="0">
      <selection activeCell="A117" sqref="A117:XFD117"/>
    </sheetView>
  </sheetViews>
  <sheetFormatPr defaultColWidth="9" defaultRowHeight="16.5"/>
  <cols>
    <col min="1" max="1" width="71.875" style="18" customWidth="1"/>
    <col min="2" max="2" width="53.125" style="18" bestFit="1" customWidth="1"/>
    <col min="3" max="3" width="8" style="18" bestFit="1" customWidth="1"/>
    <col min="4" max="4" width="8" style="262" bestFit="1" customWidth="1"/>
    <col min="5" max="5" width="16.875" style="18" bestFit="1" customWidth="1"/>
    <col min="6" max="9" width="17.25" style="18" bestFit="1" customWidth="1"/>
    <col min="10" max="10" width="16.875" style="18" bestFit="1" customWidth="1"/>
    <col min="11" max="11" width="16.5" style="18" bestFit="1" customWidth="1"/>
    <col min="12" max="14" width="17.25" style="18" bestFit="1" customWidth="1"/>
    <col min="15" max="16" width="17.625" style="18" bestFit="1" customWidth="1"/>
    <col min="17" max="17" width="17.25" style="18" bestFit="1" customWidth="1"/>
    <col min="18" max="18" width="16.875" style="18" bestFit="1" customWidth="1"/>
    <col min="19" max="19" width="17.625" style="18" bestFit="1" customWidth="1"/>
    <col min="20" max="20" width="17.25" style="18" bestFit="1" customWidth="1"/>
    <col min="21" max="23" width="17.625" style="18" bestFit="1" customWidth="1"/>
    <col min="24" max="24" width="17.25" style="18" bestFit="1" customWidth="1"/>
    <col min="25" max="25" width="22.625" style="18" bestFit="1" customWidth="1"/>
    <col min="26" max="16384" width="9" style="18"/>
  </cols>
  <sheetData>
    <row r="1" spans="1:25" ht="18.75" thickBot="1">
      <c r="A1" s="11" t="str">
        <f>Intro!A1</f>
        <v>Town of Bar Harbor</v>
      </c>
      <c r="B1" s="27"/>
      <c r="C1" s="17"/>
      <c r="D1" s="260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</row>
    <row r="2" spans="1:25" ht="17.25" thickBot="1">
      <c r="A2" s="380" t="str">
        <f>Intro!A2</f>
        <v>Ferry Property Business Plan</v>
      </c>
      <c r="B2" s="13"/>
      <c r="C2" s="17"/>
      <c r="D2" s="260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</row>
    <row r="3" spans="1:25" s="381" customFormat="1" ht="14.25" thickBot="1">
      <c r="A3" s="384" t="str">
        <f>Intro!A3</f>
        <v>05.23.2018</v>
      </c>
      <c r="B3" s="304"/>
      <c r="C3" s="387"/>
      <c r="D3" s="388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7"/>
      <c r="X3" s="387"/>
    </row>
    <row r="4" spans="1:25" s="381" customFormat="1" ht="13.5">
      <c r="A4" s="384" t="str">
        <f ca="1">Intro!A4</f>
        <v>Town of Bar Harbor</v>
      </c>
      <c r="B4" s="382"/>
      <c r="C4" s="383">
        <f ca="1">NOW()</f>
        <v>43242.835659143515</v>
      </c>
      <c r="D4" s="388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  <c r="Q4" s="387"/>
      <c r="R4" s="387"/>
      <c r="S4" s="387"/>
      <c r="T4" s="387"/>
      <c r="U4" s="387"/>
      <c r="V4" s="387"/>
      <c r="W4" s="387"/>
      <c r="X4" s="387"/>
    </row>
    <row r="5" spans="1:25">
      <c r="A5" s="244" t="s">
        <v>343</v>
      </c>
      <c r="B5" s="244"/>
      <c r="C5" s="245"/>
      <c r="D5" s="261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</row>
    <row r="6" spans="1:25">
      <c r="D6" s="485"/>
    </row>
    <row r="7" spans="1:25">
      <c r="A7" s="22"/>
      <c r="B7" s="71"/>
      <c r="C7" s="71"/>
      <c r="D7" s="72">
        <f>'Cruise Projections'!T7</f>
        <v>2018</v>
      </c>
      <c r="E7" s="72">
        <f>'Cruise Projections'!U7</f>
        <v>2019</v>
      </c>
      <c r="F7" s="72">
        <f>'Cruise Projections'!V7</f>
        <v>2020</v>
      </c>
      <c r="G7" s="72">
        <f>'Cruise Projections'!W7</f>
        <v>2021</v>
      </c>
      <c r="H7" s="72">
        <f>'Cruise Projections'!X7</f>
        <v>2022</v>
      </c>
      <c r="I7" s="72">
        <f>'Cruise Projections'!Y7</f>
        <v>2023</v>
      </c>
      <c r="J7" s="72">
        <f>'Cruise Projections'!Z7</f>
        <v>2024</v>
      </c>
      <c r="K7" s="72">
        <f>'Cruise Projections'!AA7</f>
        <v>2025</v>
      </c>
      <c r="L7" s="72">
        <f>'Cruise Projections'!AB7</f>
        <v>2026</v>
      </c>
      <c r="M7" s="72">
        <f>'Cruise Projections'!AC7</f>
        <v>2027</v>
      </c>
      <c r="N7" s="72">
        <f>'Cruise Projections'!AD7</f>
        <v>2028</v>
      </c>
      <c r="O7" s="72">
        <f>'Cruise Projections'!AE7</f>
        <v>2029</v>
      </c>
      <c r="P7" s="72">
        <f>'Cruise Projections'!AF7</f>
        <v>2030</v>
      </c>
      <c r="Q7" s="72">
        <f>'Cruise Projections'!AG7</f>
        <v>2031</v>
      </c>
      <c r="R7" s="72">
        <f>'Cruise Projections'!AH7</f>
        <v>2032</v>
      </c>
      <c r="S7" s="72">
        <f>'Cruise Projections'!AI7</f>
        <v>2033</v>
      </c>
      <c r="T7" s="72">
        <f>'Cruise Projections'!AJ7</f>
        <v>2034</v>
      </c>
      <c r="U7" s="72">
        <f>'Cruise Projections'!AK7</f>
        <v>2035</v>
      </c>
      <c r="V7" s="72">
        <f>'Cruise Projections'!AL7</f>
        <v>2036</v>
      </c>
      <c r="W7" s="72">
        <f>'Cruise Projections'!AM7</f>
        <v>2037</v>
      </c>
      <c r="X7" s="72">
        <f>'Cruise Projections'!AN7</f>
        <v>2038</v>
      </c>
    </row>
    <row r="8" spans="1:25" ht="17.25" thickBot="1">
      <c r="D8" s="488"/>
    </row>
    <row r="9" spans="1:25" ht="17.25" thickBot="1">
      <c r="A9" s="117" t="s">
        <v>34</v>
      </c>
      <c r="B9" s="484" t="str">
        <f>'Cruise Projections'!A77</f>
        <v>Scenario 3 - Percent of 2018 Business - Carnival</v>
      </c>
      <c r="D9" s="489"/>
      <c r="E9" s="327"/>
      <c r="F9" s="327"/>
      <c r="G9" s="327"/>
      <c r="H9" s="327"/>
      <c r="I9" s="327"/>
      <c r="J9" s="327"/>
      <c r="K9" s="327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</row>
    <row r="10" spans="1:25">
      <c r="D10" s="489"/>
      <c r="E10" s="327"/>
      <c r="F10" s="327"/>
      <c r="G10" s="327"/>
      <c r="H10" s="327"/>
      <c r="I10" s="327"/>
      <c r="J10" s="327"/>
      <c r="K10" s="327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</row>
    <row r="11" spans="1:25" s="279" customFormat="1" ht="14.25">
      <c r="A11" s="279" t="s">
        <v>83</v>
      </c>
      <c r="D11" s="490"/>
      <c r="E11" s="328"/>
      <c r="F11" s="328"/>
      <c r="G11" s="328"/>
      <c r="H11" s="328"/>
      <c r="I11" s="328"/>
      <c r="J11" s="328"/>
      <c r="K11" s="328"/>
      <c r="L11" s="328"/>
      <c r="M11" s="328"/>
      <c r="N11" s="328"/>
      <c r="O11" s="328"/>
      <c r="P11" s="328"/>
      <c r="Q11" s="328"/>
      <c r="R11" s="328"/>
      <c r="S11" s="328"/>
      <c r="T11" s="328"/>
      <c r="U11" s="328"/>
      <c r="V11" s="328"/>
      <c r="W11" s="328"/>
      <c r="X11" s="328"/>
    </row>
    <row r="12" spans="1:25">
      <c r="A12" s="53" t="str">
        <f>'Cruise Projections'!A67</f>
        <v>Passengers</v>
      </c>
      <c r="B12" s="21"/>
      <c r="C12" s="21"/>
      <c r="D12" s="486">
        <f>'Cruise Projections'!T67</f>
        <v>0</v>
      </c>
      <c r="E12" s="313">
        <v>0</v>
      </c>
      <c r="F12" s="313">
        <f>'Cruise Projections'!V79</f>
        <v>105331.33459735833</v>
      </c>
      <c r="G12" s="313">
        <f>'Cruise Projections'!W79</f>
        <v>105331.33459735833</v>
      </c>
      <c r="H12" s="313">
        <f>'Cruise Projections'!X79</f>
        <v>105331.33459735833</v>
      </c>
      <c r="I12" s="313">
        <f>'Cruise Projections'!Y79</f>
        <v>105331.33459735833</v>
      </c>
      <c r="J12" s="313">
        <f>'Cruise Projections'!Z79</f>
        <v>105331.33459735833</v>
      </c>
      <c r="K12" s="313">
        <f>'Cruise Projections'!AA79</f>
        <v>105331.33459735833</v>
      </c>
      <c r="L12" s="313">
        <f>'Cruise Projections'!AB79</f>
        <v>105331.33459735833</v>
      </c>
      <c r="M12" s="313">
        <f>'Cruise Projections'!AC79</f>
        <v>105331.33459735833</v>
      </c>
      <c r="N12" s="313">
        <f>'Cruise Projections'!AD79</f>
        <v>105331.33459735833</v>
      </c>
      <c r="O12" s="313">
        <f>'Cruise Projections'!AE79</f>
        <v>105331.33459735833</v>
      </c>
      <c r="P12" s="313">
        <f>'Cruise Projections'!AF79</f>
        <v>105331.33459735833</v>
      </c>
      <c r="Q12" s="313">
        <f>'Cruise Projections'!AG79</f>
        <v>105331.33459735833</v>
      </c>
      <c r="R12" s="313">
        <f>'Cruise Projections'!AH79</f>
        <v>105331.33459735833</v>
      </c>
      <c r="S12" s="313">
        <f>'Cruise Projections'!AI79</f>
        <v>105331.33459735833</v>
      </c>
      <c r="T12" s="313">
        <f>'Cruise Projections'!AJ79</f>
        <v>105331.33459735833</v>
      </c>
      <c r="U12" s="313">
        <f>'Cruise Projections'!AK79</f>
        <v>105331.33459735833</v>
      </c>
      <c r="V12" s="313">
        <f>'Cruise Projections'!AL79</f>
        <v>105331.33459735833</v>
      </c>
      <c r="W12" s="313">
        <f>'Cruise Projections'!AM79</f>
        <v>105331.33459735833</v>
      </c>
      <c r="X12" s="313">
        <f>'Cruise Projections'!AN79</f>
        <v>105331.33459735833</v>
      </c>
      <c r="Y12" s="312"/>
    </row>
    <row r="13" spans="1:25">
      <c r="A13" s="53" t="str">
        <f>'Cruise Projections'!A68</f>
        <v>Calls</v>
      </c>
      <c r="B13" s="21"/>
      <c r="C13" s="21"/>
      <c r="D13" s="486">
        <f>'Cruise Projections'!T68</f>
        <v>0</v>
      </c>
      <c r="E13" s="313">
        <v>0</v>
      </c>
      <c r="F13" s="313">
        <f>'Cruise Projections'!V80</f>
        <v>60.199999999999996</v>
      </c>
      <c r="G13" s="313">
        <f>'Cruise Projections'!W80</f>
        <v>60.199999999999996</v>
      </c>
      <c r="H13" s="313">
        <f>'Cruise Projections'!X80</f>
        <v>60.199999999999996</v>
      </c>
      <c r="I13" s="313">
        <f>'Cruise Projections'!Y80</f>
        <v>60.199999999999996</v>
      </c>
      <c r="J13" s="313">
        <f>'Cruise Projections'!Z80</f>
        <v>60.199999999999996</v>
      </c>
      <c r="K13" s="313">
        <f>'Cruise Projections'!AA80</f>
        <v>60.199999999999996</v>
      </c>
      <c r="L13" s="313">
        <f>'Cruise Projections'!AB80</f>
        <v>60.199999999999996</v>
      </c>
      <c r="M13" s="313">
        <f>'Cruise Projections'!AC80</f>
        <v>60.199999999999996</v>
      </c>
      <c r="N13" s="313">
        <f>'Cruise Projections'!AD80</f>
        <v>60.199999999999996</v>
      </c>
      <c r="O13" s="313">
        <f>'Cruise Projections'!AE80</f>
        <v>60.199999999999996</v>
      </c>
      <c r="P13" s="313">
        <f>'Cruise Projections'!AF80</f>
        <v>60.199999999999996</v>
      </c>
      <c r="Q13" s="313">
        <f>'Cruise Projections'!AG80</f>
        <v>60.199999999999996</v>
      </c>
      <c r="R13" s="313">
        <f>'Cruise Projections'!AH80</f>
        <v>60.199999999999996</v>
      </c>
      <c r="S13" s="313">
        <f>'Cruise Projections'!AI80</f>
        <v>60.199999999999996</v>
      </c>
      <c r="T13" s="313">
        <f>'Cruise Projections'!AJ80</f>
        <v>60.199999999999996</v>
      </c>
      <c r="U13" s="313">
        <f>'Cruise Projections'!AK80</f>
        <v>60.199999999999996</v>
      </c>
      <c r="V13" s="313">
        <f>'Cruise Projections'!AL80</f>
        <v>60.199999999999996</v>
      </c>
      <c r="W13" s="313">
        <f>'Cruise Projections'!AM80</f>
        <v>60.199999999999996</v>
      </c>
      <c r="X13" s="313">
        <f>'Cruise Projections'!AN80</f>
        <v>60.199999999999996</v>
      </c>
      <c r="Y13" s="312"/>
    </row>
    <row r="14" spans="1:25">
      <c r="A14" s="53" t="str">
        <f>'Cruise Projections'!A69</f>
        <v>Passengers per Call</v>
      </c>
      <c r="B14" s="21"/>
      <c r="C14" s="21"/>
      <c r="D14" s="486">
        <f>'Cruise Projections'!T69</f>
        <v>0</v>
      </c>
      <c r="E14" s="313">
        <v>0</v>
      </c>
      <c r="F14" s="313">
        <f>'Cruise Projections'!V81</f>
        <v>1749.6899434777133</v>
      </c>
      <c r="G14" s="313">
        <f>'Cruise Projections'!W81</f>
        <v>1749.6899434777133</v>
      </c>
      <c r="H14" s="313">
        <f>'Cruise Projections'!X81</f>
        <v>1749.6899434777133</v>
      </c>
      <c r="I14" s="313">
        <f>'Cruise Projections'!Y81</f>
        <v>1749.6899434777133</v>
      </c>
      <c r="J14" s="313">
        <f>'Cruise Projections'!Z81</f>
        <v>1749.6899434777133</v>
      </c>
      <c r="K14" s="313">
        <f>'Cruise Projections'!AA81</f>
        <v>1749.6899434777133</v>
      </c>
      <c r="L14" s="313">
        <f>'Cruise Projections'!AB81</f>
        <v>1749.6899434777133</v>
      </c>
      <c r="M14" s="313">
        <f>'Cruise Projections'!AC81</f>
        <v>1749.6899434777133</v>
      </c>
      <c r="N14" s="313">
        <f>'Cruise Projections'!AD81</f>
        <v>1749.6899434777133</v>
      </c>
      <c r="O14" s="313">
        <f>'Cruise Projections'!AE81</f>
        <v>1749.6899434777133</v>
      </c>
      <c r="P14" s="313">
        <f>'Cruise Projections'!AF81</f>
        <v>1749.6899434777133</v>
      </c>
      <c r="Q14" s="313">
        <f>'Cruise Projections'!AG81</f>
        <v>1749.6899434777133</v>
      </c>
      <c r="R14" s="313">
        <f>'Cruise Projections'!AH81</f>
        <v>1749.6899434777133</v>
      </c>
      <c r="S14" s="313">
        <f>'Cruise Projections'!AI81</f>
        <v>1749.6899434777133</v>
      </c>
      <c r="T14" s="313">
        <f>'Cruise Projections'!AJ81</f>
        <v>1749.6899434777133</v>
      </c>
      <c r="U14" s="313">
        <f>'Cruise Projections'!AK81</f>
        <v>1749.6899434777133</v>
      </c>
      <c r="V14" s="313">
        <f>'Cruise Projections'!AL81</f>
        <v>1749.6899434777133</v>
      </c>
      <c r="W14" s="313">
        <f>'Cruise Projections'!AM81</f>
        <v>1749.6899434777133</v>
      </c>
      <c r="X14" s="313">
        <f>'Cruise Projections'!AN81</f>
        <v>1749.6899434777133</v>
      </c>
      <c r="Y14" s="312"/>
    </row>
    <row r="15" spans="1:25" s="96" customFormat="1">
      <c r="A15" s="54" t="s">
        <v>313</v>
      </c>
      <c r="B15" s="487"/>
      <c r="C15" s="487"/>
      <c r="D15" s="486">
        <f>'Cruise Projections'!T70</f>
        <v>0</v>
      </c>
      <c r="E15" s="313">
        <v>0</v>
      </c>
      <c r="F15" s="313">
        <f>'Shuttle Projections'!D24</f>
        <v>4120</v>
      </c>
      <c r="G15" s="313">
        <f>'Shuttle Projections'!E24</f>
        <v>4120</v>
      </c>
      <c r="H15" s="313">
        <f>'Shuttle Projections'!F24</f>
        <v>4120</v>
      </c>
      <c r="I15" s="313">
        <f>'Shuttle Projections'!G24</f>
        <v>4120</v>
      </c>
      <c r="J15" s="313">
        <f>'Shuttle Projections'!H24</f>
        <v>4120</v>
      </c>
      <c r="K15" s="313">
        <f>'Shuttle Projections'!I24</f>
        <v>4120</v>
      </c>
      <c r="L15" s="313">
        <f>'Shuttle Projections'!J24</f>
        <v>4120</v>
      </c>
      <c r="M15" s="313">
        <f>'Shuttle Projections'!K24</f>
        <v>4120</v>
      </c>
      <c r="N15" s="313">
        <f>'Shuttle Projections'!L24</f>
        <v>4120</v>
      </c>
      <c r="O15" s="313">
        <f>'Shuttle Projections'!M24</f>
        <v>4120</v>
      </c>
      <c r="P15" s="313">
        <f>'Shuttle Projections'!N24</f>
        <v>4120</v>
      </c>
      <c r="Q15" s="313">
        <f>'Shuttle Projections'!O24</f>
        <v>4120</v>
      </c>
      <c r="R15" s="313">
        <f>'Shuttle Projections'!P24</f>
        <v>4120</v>
      </c>
      <c r="S15" s="313">
        <f>'Shuttle Projections'!Q24</f>
        <v>4120</v>
      </c>
      <c r="T15" s="313">
        <f>'Shuttle Projections'!R24</f>
        <v>4120</v>
      </c>
      <c r="U15" s="313">
        <f>'Shuttle Projections'!S24</f>
        <v>4120</v>
      </c>
      <c r="V15" s="313">
        <f>'Shuttle Projections'!T24</f>
        <v>4120</v>
      </c>
      <c r="W15" s="313">
        <f>'Shuttle Projections'!U24</f>
        <v>4120</v>
      </c>
      <c r="X15" s="313">
        <f>'Shuttle Projections'!V24</f>
        <v>4120</v>
      </c>
      <c r="Y15" s="313"/>
    </row>
    <row r="16" spans="1:25">
      <c r="A16" s="54"/>
      <c r="B16" s="21"/>
      <c r="C16" s="21"/>
      <c r="D16" s="486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</row>
    <row r="17" spans="1:25" s="547" customFormat="1" ht="14.25">
      <c r="A17" s="549" t="s">
        <v>163</v>
      </c>
      <c r="B17" s="550"/>
      <c r="C17" s="550"/>
      <c r="D17" s="610"/>
      <c r="E17" s="551"/>
      <c r="F17" s="551"/>
      <c r="G17" s="551"/>
      <c r="H17" s="551"/>
      <c r="I17" s="551"/>
      <c r="J17" s="551"/>
      <c r="K17" s="551"/>
      <c r="L17" s="551"/>
      <c r="M17" s="551"/>
      <c r="N17" s="551"/>
      <c r="O17" s="551"/>
      <c r="P17" s="551"/>
      <c r="Q17" s="551"/>
      <c r="R17" s="551"/>
      <c r="S17" s="551"/>
      <c r="T17" s="551"/>
      <c r="U17" s="551"/>
      <c r="V17" s="551"/>
      <c r="W17" s="551"/>
      <c r="X17" s="551"/>
    </row>
    <row r="18" spans="1:25" s="341" customFormat="1">
      <c r="A18" s="552" t="str">
        <f>'International Ferry Projections'!A11</f>
        <v>Passengers</v>
      </c>
      <c r="B18" s="553"/>
      <c r="C18" s="553"/>
      <c r="D18" s="554">
        <f>'International Ferry Projections'!B11</f>
        <v>0</v>
      </c>
      <c r="E18" s="555">
        <f>'International Ferry Projections'!C11</f>
        <v>60000</v>
      </c>
      <c r="F18" s="555">
        <f>'International Ferry Projections'!D11</f>
        <v>70000</v>
      </c>
      <c r="G18" s="555">
        <f>'International Ferry Projections'!E11</f>
        <v>80000</v>
      </c>
      <c r="H18" s="555">
        <f>'International Ferry Projections'!F11</f>
        <v>80000</v>
      </c>
      <c r="I18" s="555">
        <f>'International Ferry Projections'!G11</f>
        <v>80000</v>
      </c>
      <c r="J18" s="555">
        <f>'International Ferry Projections'!H11</f>
        <v>80000</v>
      </c>
      <c r="K18" s="555">
        <f>'International Ferry Projections'!I11</f>
        <v>80000</v>
      </c>
      <c r="L18" s="555">
        <f>'International Ferry Projections'!J11</f>
        <v>80000</v>
      </c>
      <c r="M18" s="555">
        <f>'International Ferry Projections'!K11</f>
        <v>80000</v>
      </c>
      <c r="N18" s="555">
        <f>'International Ferry Projections'!L11</f>
        <v>80000</v>
      </c>
      <c r="O18" s="555">
        <f>'International Ferry Projections'!M11</f>
        <v>80000</v>
      </c>
      <c r="P18" s="555">
        <f>'International Ferry Projections'!N11</f>
        <v>80000</v>
      </c>
      <c r="Q18" s="555">
        <f>'International Ferry Projections'!O11</f>
        <v>80000</v>
      </c>
      <c r="R18" s="555">
        <f>'International Ferry Projections'!P11</f>
        <v>80000</v>
      </c>
      <c r="S18" s="555">
        <f>'International Ferry Projections'!Q11</f>
        <v>80000</v>
      </c>
      <c r="T18" s="555">
        <f>'International Ferry Projections'!R11</f>
        <v>80000</v>
      </c>
      <c r="U18" s="555">
        <f>'International Ferry Projections'!S11</f>
        <v>80000</v>
      </c>
      <c r="V18" s="555">
        <f>'International Ferry Projections'!T11</f>
        <v>80000</v>
      </c>
      <c r="W18" s="555">
        <f>'International Ferry Projections'!U11</f>
        <v>80000</v>
      </c>
      <c r="X18" s="555">
        <f>'International Ferry Projections'!V11</f>
        <v>80000</v>
      </c>
    </row>
    <row r="19" spans="1:25" s="341" customFormat="1">
      <c r="A19" s="552" t="str">
        <f>'International Ferry Projections'!A12</f>
        <v>Cars</v>
      </c>
      <c r="B19" s="553"/>
      <c r="C19" s="553"/>
      <c r="D19" s="554">
        <f>'International Ferry Projections'!B12</f>
        <v>0</v>
      </c>
      <c r="E19" s="555">
        <f>'International Ferry Projections'!C12</f>
        <v>24000</v>
      </c>
      <c r="F19" s="555">
        <f>'International Ferry Projections'!D12</f>
        <v>28000</v>
      </c>
      <c r="G19" s="555">
        <f>'International Ferry Projections'!E12</f>
        <v>32000</v>
      </c>
      <c r="H19" s="555">
        <f>'International Ferry Projections'!F12</f>
        <v>32000</v>
      </c>
      <c r="I19" s="555">
        <f>'International Ferry Projections'!G12</f>
        <v>32000</v>
      </c>
      <c r="J19" s="555">
        <f>'International Ferry Projections'!H12</f>
        <v>32000</v>
      </c>
      <c r="K19" s="555">
        <f>'International Ferry Projections'!I12</f>
        <v>32000</v>
      </c>
      <c r="L19" s="555">
        <f>'International Ferry Projections'!J12</f>
        <v>32000</v>
      </c>
      <c r="M19" s="555">
        <f>'International Ferry Projections'!K12</f>
        <v>32000</v>
      </c>
      <c r="N19" s="555">
        <f>'International Ferry Projections'!L12</f>
        <v>32000</v>
      </c>
      <c r="O19" s="555">
        <f>'International Ferry Projections'!M12</f>
        <v>32000</v>
      </c>
      <c r="P19" s="555">
        <f>'International Ferry Projections'!N12</f>
        <v>32000</v>
      </c>
      <c r="Q19" s="555">
        <f>'International Ferry Projections'!O12</f>
        <v>32000</v>
      </c>
      <c r="R19" s="555">
        <f>'International Ferry Projections'!P12</f>
        <v>32000</v>
      </c>
      <c r="S19" s="555">
        <f>'International Ferry Projections'!Q12</f>
        <v>32000</v>
      </c>
      <c r="T19" s="555">
        <f>'International Ferry Projections'!R12</f>
        <v>32000</v>
      </c>
      <c r="U19" s="555">
        <f>'International Ferry Projections'!S12</f>
        <v>32000</v>
      </c>
      <c r="V19" s="555">
        <f>'International Ferry Projections'!T12</f>
        <v>32000</v>
      </c>
      <c r="W19" s="555">
        <f>'International Ferry Projections'!U12</f>
        <v>32000</v>
      </c>
      <c r="X19" s="555">
        <f>'International Ferry Projections'!V12</f>
        <v>32000</v>
      </c>
    </row>
    <row r="20" spans="1:25" s="341" customFormat="1">
      <c r="A20" s="552" t="str">
        <f>'International Ferry Projections'!A13</f>
        <v>Buses</v>
      </c>
      <c r="B20" s="553"/>
      <c r="C20" s="553"/>
      <c r="D20" s="554">
        <f>'International Ferry Projections'!B13</f>
        <v>0</v>
      </c>
      <c r="E20" s="555">
        <f>'International Ferry Projections'!C13</f>
        <v>40</v>
      </c>
      <c r="F20" s="555">
        <f>'International Ferry Projections'!D13</f>
        <v>50</v>
      </c>
      <c r="G20" s="555">
        <f>'International Ferry Projections'!E13</f>
        <v>60</v>
      </c>
      <c r="H20" s="555">
        <f>'International Ferry Projections'!F13</f>
        <v>60</v>
      </c>
      <c r="I20" s="555">
        <f>'International Ferry Projections'!G13</f>
        <v>60</v>
      </c>
      <c r="J20" s="555">
        <f>'International Ferry Projections'!H13</f>
        <v>60</v>
      </c>
      <c r="K20" s="555">
        <f>'International Ferry Projections'!I13</f>
        <v>60</v>
      </c>
      <c r="L20" s="555">
        <f>'International Ferry Projections'!J13</f>
        <v>60</v>
      </c>
      <c r="M20" s="555">
        <f>'International Ferry Projections'!K13</f>
        <v>60</v>
      </c>
      <c r="N20" s="555">
        <f>'International Ferry Projections'!L13</f>
        <v>60</v>
      </c>
      <c r="O20" s="555">
        <f>'International Ferry Projections'!M13</f>
        <v>60</v>
      </c>
      <c r="P20" s="555">
        <f>'International Ferry Projections'!N13</f>
        <v>60</v>
      </c>
      <c r="Q20" s="555">
        <f>'International Ferry Projections'!O13</f>
        <v>60</v>
      </c>
      <c r="R20" s="555">
        <f>'International Ferry Projections'!P13</f>
        <v>60</v>
      </c>
      <c r="S20" s="555">
        <f>'International Ferry Projections'!Q13</f>
        <v>60</v>
      </c>
      <c r="T20" s="555">
        <f>'International Ferry Projections'!R13</f>
        <v>60</v>
      </c>
      <c r="U20" s="555">
        <f>'International Ferry Projections'!S13</f>
        <v>60</v>
      </c>
      <c r="V20" s="555">
        <f>'International Ferry Projections'!T13</f>
        <v>60</v>
      </c>
      <c r="W20" s="555">
        <f>'International Ferry Projections'!U13</f>
        <v>60</v>
      </c>
      <c r="X20" s="555">
        <f>'International Ferry Projections'!V13</f>
        <v>60</v>
      </c>
    </row>
    <row r="21" spans="1:25">
      <c r="A21" s="54"/>
      <c r="B21" s="21"/>
      <c r="C21" s="21"/>
      <c r="D21" s="486"/>
      <c r="E21" s="313"/>
      <c r="F21" s="313"/>
      <c r="G21" s="313"/>
      <c r="H21" s="313"/>
      <c r="I21" s="313"/>
      <c r="J21" s="313"/>
      <c r="K21" s="313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</row>
    <row r="22" spans="1:25" s="582" customFormat="1">
      <c r="A22" s="293" t="str">
        <f>'BH Tariffs'!A30</f>
        <v>Local Ferry</v>
      </c>
      <c r="B22" s="581"/>
      <c r="C22" s="581"/>
      <c r="D22" s="486">
        <v>0</v>
      </c>
      <c r="E22" s="329"/>
      <c r="F22" s="329"/>
      <c r="G22" s="329"/>
      <c r="H22" s="329"/>
      <c r="I22" s="329"/>
      <c r="J22" s="329"/>
      <c r="K22" s="329"/>
      <c r="L22" s="329"/>
      <c r="M22" s="329"/>
      <c r="N22" s="329"/>
      <c r="O22" s="329"/>
      <c r="P22" s="329"/>
      <c r="Q22" s="329"/>
      <c r="R22" s="329"/>
      <c r="S22" s="329"/>
      <c r="T22" s="329"/>
      <c r="U22" s="329"/>
      <c r="V22" s="329"/>
      <c r="W22" s="329"/>
      <c r="X22" s="329"/>
    </row>
    <row r="23" spans="1:25" s="96" customFormat="1">
      <c r="A23" s="54" t="str">
        <f>'BH Tariffs'!A31</f>
        <v>Dock Rent (6 Months Only)</v>
      </c>
      <c r="B23" s="487"/>
      <c r="C23" s="487"/>
      <c r="D23" s="486">
        <v>0</v>
      </c>
      <c r="E23" s="623" t="s">
        <v>286</v>
      </c>
      <c r="F23" s="623" t="s">
        <v>286</v>
      </c>
      <c r="G23" s="623" t="s">
        <v>286</v>
      </c>
      <c r="H23" s="623" t="s">
        <v>286</v>
      </c>
      <c r="I23" s="623" t="s">
        <v>286</v>
      </c>
      <c r="J23" s="623" t="s">
        <v>286</v>
      </c>
      <c r="K23" s="623" t="s">
        <v>286</v>
      </c>
      <c r="L23" s="623" t="s">
        <v>286</v>
      </c>
      <c r="M23" s="623" t="s">
        <v>286</v>
      </c>
      <c r="N23" s="623" t="s">
        <v>286</v>
      </c>
      <c r="O23" s="623" t="s">
        <v>286</v>
      </c>
      <c r="P23" s="623" t="s">
        <v>286</v>
      </c>
      <c r="Q23" s="623" t="s">
        <v>286</v>
      </c>
      <c r="R23" s="623" t="s">
        <v>286</v>
      </c>
      <c r="S23" s="623" t="s">
        <v>286</v>
      </c>
      <c r="T23" s="623" t="s">
        <v>286</v>
      </c>
      <c r="U23" s="623" t="s">
        <v>286</v>
      </c>
      <c r="V23" s="623" t="s">
        <v>286</v>
      </c>
      <c r="W23" s="623" t="s">
        <v>286</v>
      </c>
      <c r="X23" s="623" t="s">
        <v>286</v>
      </c>
    </row>
    <row r="24" spans="1:25" s="341" customFormat="1">
      <c r="A24" s="552"/>
      <c r="B24" s="553"/>
      <c r="C24" s="553"/>
      <c r="D24" s="554"/>
      <c r="E24" s="555"/>
      <c r="F24" s="555"/>
      <c r="G24" s="555"/>
      <c r="H24" s="555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</row>
    <row r="25" spans="1:25" s="96" customFormat="1">
      <c r="A25" s="559" t="s">
        <v>227</v>
      </c>
      <c r="B25" s="487"/>
      <c r="C25" s="487"/>
      <c r="D25" s="486"/>
      <c r="E25" s="313"/>
      <c r="F25" s="313"/>
      <c r="G25" s="313"/>
      <c r="H25" s="313"/>
      <c r="I25" s="313"/>
      <c r="J25" s="313"/>
      <c r="K25" s="313"/>
      <c r="L25" s="313"/>
      <c r="M25" s="313"/>
      <c r="N25" s="313"/>
      <c r="O25" s="313"/>
      <c r="P25" s="313"/>
      <c r="Q25" s="313"/>
      <c r="R25" s="313"/>
      <c r="S25" s="313"/>
      <c r="T25" s="313"/>
      <c r="U25" s="313"/>
      <c r="V25" s="313"/>
      <c r="W25" s="313"/>
      <c r="X25" s="313"/>
    </row>
    <row r="26" spans="1:25">
      <c r="A26" s="54"/>
      <c r="B26" s="21"/>
      <c r="C26" s="21"/>
      <c r="D26" s="486"/>
      <c r="E26" s="313"/>
      <c r="F26" s="313"/>
      <c r="G26" s="313"/>
      <c r="H26" s="313"/>
      <c r="I26" s="313"/>
      <c r="J26" s="313"/>
      <c r="K26" s="313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</row>
    <row r="27" spans="1:25">
      <c r="A27" s="54" t="s">
        <v>420</v>
      </c>
      <c r="B27" s="21"/>
      <c r="C27" s="21"/>
      <c r="D27" s="486">
        <v>0</v>
      </c>
      <c r="E27" s="313">
        <f>'Marina Projections'!C9</f>
        <v>0</v>
      </c>
      <c r="F27" s="313">
        <f>'Marina Projections'!D9</f>
        <v>214</v>
      </c>
      <c r="G27" s="313">
        <f>'Marina Projections'!E9</f>
        <v>214</v>
      </c>
      <c r="H27" s="313">
        <f>'Marina Projections'!F9</f>
        <v>214</v>
      </c>
      <c r="I27" s="313">
        <f>'Marina Projections'!G9</f>
        <v>214</v>
      </c>
      <c r="J27" s="313">
        <f>'Marina Projections'!H9</f>
        <v>214</v>
      </c>
      <c r="K27" s="313">
        <f>'Marina Projections'!I9</f>
        <v>214</v>
      </c>
      <c r="L27" s="313">
        <f>'Marina Projections'!J9</f>
        <v>214</v>
      </c>
      <c r="M27" s="313">
        <f>'Marina Projections'!K9</f>
        <v>214</v>
      </c>
      <c r="N27" s="313">
        <f>'Marina Projections'!L9</f>
        <v>214</v>
      </c>
      <c r="O27" s="313">
        <f>'Marina Projections'!M9</f>
        <v>214</v>
      </c>
      <c r="P27" s="313">
        <f>'Marina Projections'!N9</f>
        <v>214</v>
      </c>
      <c r="Q27" s="313">
        <f>'Marina Projections'!O9</f>
        <v>214</v>
      </c>
      <c r="R27" s="313">
        <f>'Marina Projections'!P9</f>
        <v>214</v>
      </c>
      <c r="S27" s="313">
        <f>'Marina Projections'!Q9</f>
        <v>214</v>
      </c>
      <c r="T27" s="313">
        <f>'Marina Projections'!R9</f>
        <v>214</v>
      </c>
      <c r="U27" s="313">
        <f>'Marina Projections'!S9</f>
        <v>214</v>
      </c>
      <c r="V27" s="313">
        <f>'Marina Projections'!T9</f>
        <v>214</v>
      </c>
      <c r="W27" s="313">
        <f>'Marina Projections'!U9</f>
        <v>214</v>
      </c>
      <c r="X27" s="313">
        <f>'Marina Projections'!V9</f>
        <v>214</v>
      </c>
    </row>
    <row r="28" spans="1:25">
      <c r="A28" s="54" t="s">
        <v>205</v>
      </c>
      <c r="B28" s="21"/>
      <c r="C28" s="21"/>
      <c r="D28" s="486">
        <v>0</v>
      </c>
      <c r="E28" s="330">
        <v>0</v>
      </c>
      <c r="F28" s="330">
        <f>'Cruise Projections'!V80</f>
        <v>60.199999999999996</v>
      </c>
      <c r="G28" s="330">
        <f>'Cruise Projections'!W80</f>
        <v>60.199999999999996</v>
      </c>
      <c r="H28" s="330">
        <f>'Cruise Projections'!X80</f>
        <v>60.199999999999996</v>
      </c>
      <c r="I28" s="330">
        <f>'Cruise Projections'!Y80</f>
        <v>60.199999999999996</v>
      </c>
      <c r="J28" s="330">
        <f>'Cruise Projections'!Z80</f>
        <v>60.199999999999996</v>
      </c>
      <c r="K28" s="330">
        <f>'Cruise Projections'!AA80</f>
        <v>60.199999999999996</v>
      </c>
      <c r="L28" s="330">
        <f>'Cruise Projections'!AB80</f>
        <v>60.199999999999996</v>
      </c>
      <c r="M28" s="330">
        <f>'Cruise Projections'!AC80</f>
        <v>60.199999999999996</v>
      </c>
      <c r="N28" s="330">
        <f>'Cruise Projections'!AD80</f>
        <v>60.199999999999996</v>
      </c>
      <c r="O28" s="330">
        <f>'Cruise Projections'!AE80</f>
        <v>60.199999999999996</v>
      </c>
      <c r="P28" s="330">
        <f>'Cruise Projections'!AF80</f>
        <v>60.199999999999996</v>
      </c>
      <c r="Q28" s="330">
        <f>'Cruise Projections'!AG80</f>
        <v>60.199999999999996</v>
      </c>
      <c r="R28" s="330">
        <f>'Cruise Projections'!AH80</f>
        <v>60.199999999999996</v>
      </c>
      <c r="S28" s="330">
        <f>'Cruise Projections'!AI80</f>
        <v>60.199999999999996</v>
      </c>
      <c r="T28" s="330">
        <f>'Cruise Projections'!AJ80</f>
        <v>60.199999999999996</v>
      </c>
      <c r="U28" s="330">
        <f>'Cruise Projections'!AK80</f>
        <v>60.199999999999996</v>
      </c>
      <c r="V28" s="330">
        <f>'Cruise Projections'!AL80</f>
        <v>60.199999999999996</v>
      </c>
      <c r="W28" s="330">
        <f>'Cruise Projections'!AM80</f>
        <v>60.199999999999996</v>
      </c>
      <c r="X28" s="330">
        <f>'Cruise Projections'!AN80</f>
        <v>60.199999999999996</v>
      </c>
      <c r="Y28" s="32"/>
    </row>
    <row r="29" spans="1:25" s="341" customFormat="1">
      <c r="A29" s="552" t="s">
        <v>219</v>
      </c>
      <c r="B29" s="553"/>
      <c r="C29" s="553"/>
      <c r="D29" s="554">
        <v>0</v>
      </c>
      <c r="E29" s="560">
        <v>150</v>
      </c>
      <c r="F29" s="560">
        <f>E29</f>
        <v>150</v>
      </c>
      <c r="G29" s="560">
        <f t="shared" ref="G29:X29" si="0">F29</f>
        <v>150</v>
      </c>
      <c r="H29" s="560">
        <f t="shared" si="0"/>
        <v>150</v>
      </c>
      <c r="I29" s="560">
        <f t="shared" si="0"/>
        <v>150</v>
      </c>
      <c r="J29" s="560">
        <f t="shared" si="0"/>
        <v>150</v>
      </c>
      <c r="K29" s="560">
        <f t="shared" si="0"/>
        <v>150</v>
      </c>
      <c r="L29" s="560">
        <f t="shared" si="0"/>
        <v>150</v>
      </c>
      <c r="M29" s="560">
        <f t="shared" si="0"/>
        <v>150</v>
      </c>
      <c r="N29" s="560">
        <f t="shared" si="0"/>
        <v>150</v>
      </c>
      <c r="O29" s="560">
        <f t="shared" si="0"/>
        <v>150</v>
      </c>
      <c r="P29" s="560">
        <f t="shared" si="0"/>
        <v>150</v>
      </c>
      <c r="Q29" s="560">
        <f t="shared" si="0"/>
        <v>150</v>
      </c>
      <c r="R29" s="560">
        <f t="shared" si="0"/>
        <v>150</v>
      </c>
      <c r="S29" s="560">
        <f t="shared" si="0"/>
        <v>150</v>
      </c>
      <c r="T29" s="560">
        <f t="shared" si="0"/>
        <v>150</v>
      </c>
      <c r="U29" s="560">
        <f t="shared" si="0"/>
        <v>150</v>
      </c>
      <c r="V29" s="560">
        <f t="shared" si="0"/>
        <v>150</v>
      </c>
      <c r="W29" s="560">
        <f t="shared" si="0"/>
        <v>150</v>
      </c>
      <c r="X29" s="560">
        <f t="shared" si="0"/>
        <v>150</v>
      </c>
      <c r="Y29" s="561"/>
    </row>
    <row r="30" spans="1:25" s="341" customFormat="1">
      <c r="A30" s="552" t="s">
        <v>220</v>
      </c>
      <c r="B30" s="553"/>
      <c r="C30" s="553"/>
      <c r="D30" s="554">
        <v>0</v>
      </c>
      <c r="E30" s="611">
        <f>E28/E29</f>
        <v>0</v>
      </c>
      <c r="F30" s="611">
        <f t="shared" ref="F30:X30" si="1">F28/F29</f>
        <v>0.40133333333333332</v>
      </c>
      <c r="G30" s="611">
        <f t="shared" si="1"/>
        <v>0.40133333333333332</v>
      </c>
      <c r="H30" s="611">
        <f t="shared" si="1"/>
        <v>0.40133333333333332</v>
      </c>
      <c r="I30" s="611">
        <f t="shared" si="1"/>
        <v>0.40133333333333332</v>
      </c>
      <c r="J30" s="611">
        <f t="shared" si="1"/>
        <v>0.40133333333333332</v>
      </c>
      <c r="K30" s="611">
        <f t="shared" si="1"/>
        <v>0.40133333333333332</v>
      </c>
      <c r="L30" s="611">
        <f t="shared" si="1"/>
        <v>0.40133333333333332</v>
      </c>
      <c r="M30" s="611">
        <f t="shared" si="1"/>
        <v>0.40133333333333332</v>
      </c>
      <c r="N30" s="611">
        <f t="shared" si="1"/>
        <v>0.40133333333333332</v>
      </c>
      <c r="O30" s="611">
        <f t="shared" si="1"/>
        <v>0.40133333333333332</v>
      </c>
      <c r="P30" s="611">
        <f t="shared" si="1"/>
        <v>0.40133333333333332</v>
      </c>
      <c r="Q30" s="611">
        <f t="shared" si="1"/>
        <v>0.40133333333333332</v>
      </c>
      <c r="R30" s="611">
        <f t="shared" si="1"/>
        <v>0.40133333333333332</v>
      </c>
      <c r="S30" s="611">
        <f t="shared" si="1"/>
        <v>0.40133333333333332</v>
      </c>
      <c r="T30" s="611">
        <f t="shared" si="1"/>
        <v>0.40133333333333332</v>
      </c>
      <c r="U30" s="611">
        <f t="shared" si="1"/>
        <v>0.40133333333333332</v>
      </c>
      <c r="V30" s="611">
        <f t="shared" si="1"/>
        <v>0.40133333333333332</v>
      </c>
      <c r="W30" s="611">
        <f t="shared" si="1"/>
        <v>0.40133333333333332</v>
      </c>
      <c r="X30" s="611">
        <f t="shared" si="1"/>
        <v>0.40133333333333332</v>
      </c>
      <c r="Y30" s="561"/>
    </row>
    <row r="31" spans="1:25" s="96" customFormat="1">
      <c r="A31" s="54" t="s">
        <v>226</v>
      </c>
      <c r="B31" s="487"/>
      <c r="C31" s="487"/>
      <c r="D31" s="486">
        <v>0</v>
      </c>
      <c r="E31" s="330">
        <v>0</v>
      </c>
      <c r="F31" s="330">
        <v>125</v>
      </c>
      <c r="G31" s="330">
        <v>125</v>
      </c>
      <c r="H31" s="330">
        <v>125</v>
      </c>
      <c r="I31" s="330">
        <v>125</v>
      </c>
      <c r="J31" s="330">
        <v>125</v>
      </c>
      <c r="K31" s="330">
        <v>125</v>
      </c>
      <c r="L31" s="330">
        <v>125</v>
      </c>
      <c r="M31" s="330">
        <v>125</v>
      </c>
      <c r="N31" s="330">
        <v>125</v>
      </c>
      <c r="O31" s="330">
        <v>125</v>
      </c>
      <c r="P31" s="330">
        <v>125</v>
      </c>
      <c r="Q31" s="330">
        <v>125</v>
      </c>
      <c r="R31" s="330">
        <v>125</v>
      </c>
      <c r="S31" s="330">
        <v>125</v>
      </c>
      <c r="T31" s="330">
        <v>125</v>
      </c>
      <c r="U31" s="330">
        <v>125</v>
      </c>
      <c r="V31" s="330">
        <v>125</v>
      </c>
      <c r="W31" s="330">
        <v>125</v>
      </c>
      <c r="X31" s="330">
        <v>125</v>
      </c>
      <c r="Y31" s="58"/>
    </row>
    <row r="32" spans="1:25">
      <c r="A32" s="54"/>
      <c r="B32" s="21"/>
      <c r="C32" s="21"/>
      <c r="D32" s="486"/>
      <c r="E32" s="495"/>
      <c r="F32" s="495"/>
      <c r="G32" s="495"/>
      <c r="H32" s="495"/>
      <c r="I32" s="495"/>
      <c r="J32" s="495"/>
      <c r="K32" s="495"/>
      <c r="L32" s="495"/>
      <c r="M32" s="495"/>
      <c r="N32" s="495"/>
      <c r="O32" s="495"/>
      <c r="P32" s="495"/>
      <c r="Q32" s="495"/>
      <c r="R32" s="495"/>
      <c r="S32" s="495"/>
      <c r="T32" s="495"/>
      <c r="U32" s="495"/>
      <c r="V32" s="495"/>
      <c r="W32" s="495"/>
      <c r="X32" s="495"/>
      <c r="Y32" s="32"/>
    </row>
    <row r="33" spans="1:25">
      <c r="A33" s="54" t="s">
        <v>206</v>
      </c>
      <c r="B33" s="21"/>
      <c r="C33" s="21"/>
      <c r="D33" s="486">
        <v>0</v>
      </c>
      <c r="E33" s="313">
        <v>0</v>
      </c>
      <c r="F33" s="313">
        <f t="shared" ref="F33:X33" si="2">F12/F28</f>
        <v>1749.6899434777133</v>
      </c>
      <c r="G33" s="313">
        <f t="shared" si="2"/>
        <v>1749.6899434777133</v>
      </c>
      <c r="H33" s="313">
        <f t="shared" si="2"/>
        <v>1749.6899434777133</v>
      </c>
      <c r="I33" s="313">
        <f t="shared" si="2"/>
        <v>1749.6899434777133</v>
      </c>
      <c r="J33" s="313">
        <f t="shared" si="2"/>
        <v>1749.6899434777133</v>
      </c>
      <c r="K33" s="313">
        <f t="shared" si="2"/>
        <v>1749.6899434777133</v>
      </c>
      <c r="L33" s="313">
        <f t="shared" si="2"/>
        <v>1749.6899434777133</v>
      </c>
      <c r="M33" s="313">
        <f t="shared" si="2"/>
        <v>1749.6899434777133</v>
      </c>
      <c r="N33" s="313">
        <f t="shared" si="2"/>
        <v>1749.6899434777133</v>
      </c>
      <c r="O33" s="313">
        <f t="shared" si="2"/>
        <v>1749.6899434777133</v>
      </c>
      <c r="P33" s="313">
        <f t="shared" si="2"/>
        <v>1749.6899434777133</v>
      </c>
      <c r="Q33" s="313">
        <f t="shared" si="2"/>
        <v>1749.6899434777133</v>
      </c>
      <c r="R33" s="313">
        <f t="shared" si="2"/>
        <v>1749.6899434777133</v>
      </c>
      <c r="S33" s="313">
        <f t="shared" si="2"/>
        <v>1749.6899434777133</v>
      </c>
      <c r="T33" s="313">
        <f t="shared" si="2"/>
        <v>1749.6899434777133</v>
      </c>
      <c r="U33" s="313">
        <f t="shared" si="2"/>
        <v>1749.6899434777133</v>
      </c>
      <c r="V33" s="313">
        <f t="shared" si="2"/>
        <v>1749.6899434777133</v>
      </c>
      <c r="W33" s="313">
        <f t="shared" si="2"/>
        <v>1749.6899434777133</v>
      </c>
      <c r="X33" s="313">
        <f t="shared" si="2"/>
        <v>1749.6899434777133</v>
      </c>
    </row>
    <row r="34" spans="1:25">
      <c r="A34" s="54" t="s">
        <v>207</v>
      </c>
      <c r="B34" s="21"/>
      <c r="C34" s="21"/>
      <c r="D34" s="486">
        <v>0</v>
      </c>
      <c r="E34" s="313">
        <v>0</v>
      </c>
      <c r="F34" s="313">
        <v>5500</v>
      </c>
      <c r="G34" s="313">
        <v>5500</v>
      </c>
      <c r="H34" s="313">
        <v>5500</v>
      </c>
      <c r="I34" s="313">
        <v>5500</v>
      </c>
      <c r="J34" s="313">
        <v>5500</v>
      </c>
      <c r="K34" s="313">
        <v>5500</v>
      </c>
      <c r="L34" s="313">
        <v>5500</v>
      </c>
      <c r="M34" s="313">
        <v>5500</v>
      </c>
      <c r="N34" s="313">
        <v>5500</v>
      </c>
      <c r="O34" s="313">
        <v>5500</v>
      </c>
      <c r="P34" s="313">
        <v>5500</v>
      </c>
      <c r="Q34" s="313">
        <v>5500</v>
      </c>
      <c r="R34" s="313">
        <v>5500</v>
      </c>
      <c r="S34" s="313">
        <v>5500</v>
      </c>
      <c r="T34" s="313">
        <v>5500</v>
      </c>
      <c r="U34" s="313">
        <v>5500</v>
      </c>
      <c r="V34" s="313">
        <v>5500</v>
      </c>
      <c r="W34" s="313">
        <v>5500</v>
      </c>
      <c r="X34" s="313">
        <v>5500</v>
      </c>
    </row>
    <row r="35" spans="1:25" s="341" customFormat="1">
      <c r="A35" s="552" t="s">
        <v>221</v>
      </c>
      <c r="B35" s="553"/>
      <c r="C35" s="553"/>
      <c r="D35" s="554">
        <v>0</v>
      </c>
      <c r="E35" s="560">
        <f>E18/E29</f>
        <v>400</v>
      </c>
      <c r="F35" s="560">
        <f t="shared" ref="F35:X35" si="3">F18/F29</f>
        <v>466.66666666666669</v>
      </c>
      <c r="G35" s="560">
        <f t="shared" si="3"/>
        <v>533.33333333333337</v>
      </c>
      <c r="H35" s="560">
        <f t="shared" si="3"/>
        <v>533.33333333333337</v>
      </c>
      <c r="I35" s="560">
        <f t="shared" si="3"/>
        <v>533.33333333333337</v>
      </c>
      <c r="J35" s="560">
        <f t="shared" si="3"/>
        <v>533.33333333333337</v>
      </c>
      <c r="K35" s="560">
        <f t="shared" si="3"/>
        <v>533.33333333333337</v>
      </c>
      <c r="L35" s="560">
        <f t="shared" si="3"/>
        <v>533.33333333333337</v>
      </c>
      <c r="M35" s="560">
        <f t="shared" si="3"/>
        <v>533.33333333333337</v>
      </c>
      <c r="N35" s="560">
        <f t="shared" si="3"/>
        <v>533.33333333333337</v>
      </c>
      <c r="O35" s="560">
        <f t="shared" si="3"/>
        <v>533.33333333333337</v>
      </c>
      <c r="P35" s="560">
        <f t="shared" si="3"/>
        <v>533.33333333333337</v>
      </c>
      <c r="Q35" s="560">
        <f t="shared" si="3"/>
        <v>533.33333333333337</v>
      </c>
      <c r="R35" s="560">
        <f t="shared" si="3"/>
        <v>533.33333333333337</v>
      </c>
      <c r="S35" s="560">
        <f t="shared" si="3"/>
        <v>533.33333333333337</v>
      </c>
      <c r="T35" s="560">
        <f t="shared" si="3"/>
        <v>533.33333333333337</v>
      </c>
      <c r="U35" s="560">
        <f t="shared" si="3"/>
        <v>533.33333333333337</v>
      </c>
      <c r="V35" s="560">
        <f t="shared" si="3"/>
        <v>533.33333333333337</v>
      </c>
      <c r="W35" s="560">
        <f t="shared" si="3"/>
        <v>533.33333333333337</v>
      </c>
      <c r="X35" s="560">
        <f t="shared" si="3"/>
        <v>533.33333333333337</v>
      </c>
    </row>
    <row r="36" spans="1:25" s="341" customFormat="1">
      <c r="A36" s="552" t="s">
        <v>222</v>
      </c>
      <c r="B36" s="553"/>
      <c r="C36" s="553"/>
      <c r="D36" s="554">
        <v>0</v>
      </c>
      <c r="E36" s="560">
        <v>800</v>
      </c>
      <c r="F36" s="560">
        <v>800</v>
      </c>
      <c r="G36" s="560">
        <v>800</v>
      </c>
      <c r="H36" s="560">
        <v>800</v>
      </c>
      <c r="I36" s="560">
        <v>800</v>
      </c>
      <c r="J36" s="560">
        <v>800</v>
      </c>
      <c r="K36" s="560">
        <v>800</v>
      </c>
      <c r="L36" s="560">
        <v>800</v>
      </c>
      <c r="M36" s="560">
        <v>800</v>
      </c>
      <c r="N36" s="560">
        <v>800</v>
      </c>
      <c r="O36" s="560">
        <v>800</v>
      </c>
      <c r="P36" s="560">
        <v>800</v>
      </c>
      <c r="Q36" s="560">
        <v>800</v>
      </c>
      <c r="R36" s="560">
        <v>800</v>
      </c>
      <c r="S36" s="560">
        <v>800</v>
      </c>
      <c r="T36" s="560">
        <v>800</v>
      </c>
      <c r="U36" s="560">
        <v>800</v>
      </c>
      <c r="V36" s="560">
        <v>800</v>
      </c>
      <c r="W36" s="560">
        <v>800</v>
      </c>
      <c r="X36" s="560">
        <v>800</v>
      </c>
    </row>
    <row r="37" spans="1:25" s="341" customFormat="1">
      <c r="A37" s="552" t="s">
        <v>208</v>
      </c>
      <c r="B37" s="553"/>
      <c r="C37" s="553"/>
      <c r="D37" s="554">
        <v>0</v>
      </c>
      <c r="E37" s="560">
        <f>SUM(E34,E36)</f>
        <v>800</v>
      </c>
      <c r="F37" s="560">
        <f t="shared" ref="F37:X37" si="4">SUM(F34,F36)</f>
        <v>6300</v>
      </c>
      <c r="G37" s="560">
        <f t="shared" si="4"/>
        <v>6300</v>
      </c>
      <c r="H37" s="560">
        <f t="shared" si="4"/>
        <v>6300</v>
      </c>
      <c r="I37" s="560">
        <f t="shared" si="4"/>
        <v>6300</v>
      </c>
      <c r="J37" s="560">
        <f t="shared" si="4"/>
        <v>6300</v>
      </c>
      <c r="K37" s="560">
        <f t="shared" si="4"/>
        <v>6300</v>
      </c>
      <c r="L37" s="560">
        <f t="shared" si="4"/>
        <v>6300</v>
      </c>
      <c r="M37" s="560">
        <f t="shared" si="4"/>
        <v>6300</v>
      </c>
      <c r="N37" s="560">
        <f t="shared" si="4"/>
        <v>6300</v>
      </c>
      <c r="O37" s="560">
        <f t="shared" si="4"/>
        <v>6300</v>
      </c>
      <c r="P37" s="560">
        <f t="shared" si="4"/>
        <v>6300</v>
      </c>
      <c r="Q37" s="560">
        <f t="shared" si="4"/>
        <v>6300</v>
      </c>
      <c r="R37" s="560">
        <f t="shared" si="4"/>
        <v>6300</v>
      </c>
      <c r="S37" s="560">
        <f t="shared" si="4"/>
        <v>6300</v>
      </c>
      <c r="T37" s="560">
        <f t="shared" si="4"/>
        <v>6300</v>
      </c>
      <c r="U37" s="560">
        <f t="shared" si="4"/>
        <v>6300</v>
      </c>
      <c r="V37" s="560">
        <f t="shared" si="4"/>
        <v>6300</v>
      </c>
      <c r="W37" s="560">
        <f t="shared" si="4"/>
        <v>6300</v>
      </c>
      <c r="X37" s="560">
        <f t="shared" si="4"/>
        <v>6300</v>
      </c>
    </row>
    <row r="38" spans="1:25">
      <c r="A38" s="54"/>
      <c r="B38" s="21"/>
      <c r="C38" s="21"/>
      <c r="D38" s="486"/>
      <c r="E38" s="330"/>
      <c r="F38" s="330"/>
      <c r="G38" s="330"/>
      <c r="H38" s="330"/>
      <c r="I38" s="330"/>
      <c r="J38" s="330"/>
      <c r="K38" s="330"/>
      <c r="L38" s="330"/>
      <c r="M38" s="330"/>
      <c r="N38" s="330"/>
      <c r="O38" s="330"/>
      <c r="P38" s="330"/>
      <c r="Q38" s="330"/>
      <c r="R38" s="330"/>
      <c r="S38" s="330"/>
      <c r="T38" s="330"/>
      <c r="U38" s="330"/>
      <c r="V38" s="330"/>
      <c r="W38" s="330"/>
      <c r="X38" s="330"/>
    </row>
    <row r="39" spans="1:25" s="341" customFormat="1">
      <c r="A39" s="552" t="s">
        <v>223</v>
      </c>
      <c r="B39" s="557"/>
      <c r="C39" s="557"/>
      <c r="D39" s="554">
        <v>0</v>
      </c>
      <c r="E39" s="555">
        <f>(E19+E20)/E29</f>
        <v>160.26666666666668</v>
      </c>
      <c r="F39" s="555">
        <f t="shared" ref="F39:X39" si="5">(F19+F20)/F29</f>
        <v>187</v>
      </c>
      <c r="G39" s="555">
        <f t="shared" si="5"/>
        <v>213.73333333333332</v>
      </c>
      <c r="H39" s="555">
        <f t="shared" si="5"/>
        <v>213.73333333333332</v>
      </c>
      <c r="I39" s="555">
        <f t="shared" si="5"/>
        <v>213.73333333333332</v>
      </c>
      <c r="J39" s="555">
        <f t="shared" si="5"/>
        <v>213.73333333333332</v>
      </c>
      <c r="K39" s="555">
        <f t="shared" si="5"/>
        <v>213.73333333333332</v>
      </c>
      <c r="L39" s="555">
        <f t="shared" si="5"/>
        <v>213.73333333333332</v>
      </c>
      <c r="M39" s="555">
        <f t="shared" si="5"/>
        <v>213.73333333333332</v>
      </c>
      <c r="N39" s="555">
        <f t="shared" si="5"/>
        <v>213.73333333333332</v>
      </c>
      <c r="O39" s="555">
        <f t="shared" si="5"/>
        <v>213.73333333333332</v>
      </c>
      <c r="P39" s="555">
        <f t="shared" si="5"/>
        <v>213.73333333333332</v>
      </c>
      <c r="Q39" s="555">
        <f t="shared" si="5"/>
        <v>213.73333333333332</v>
      </c>
      <c r="R39" s="555">
        <f t="shared" si="5"/>
        <v>213.73333333333332</v>
      </c>
      <c r="S39" s="555">
        <f t="shared" si="5"/>
        <v>213.73333333333332</v>
      </c>
      <c r="T39" s="555">
        <f t="shared" si="5"/>
        <v>213.73333333333332</v>
      </c>
      <c r="U39" s="555">
        <f t="shared" si="5"/>
        <v>213.73333333333332</v>
      </c>
      <c r="V39" s="555">
        <f t="shared" si="5"/>
        <v>213.73333333333332</v>
      </c>
      <c r="W39" s="555">
        <f t="shared" si="5"/>
        <v>213.73333333333332</v>
      </c>
      <c r="X39" s="555">
        <f t="shared" si="5"/>
        <v>213.73333333333332</v>
      </c>
    </row>
    <row r="40" spans="1:25">
      <c r="A40" s="54"/>
      <c r="B40" s="74"/>
      <c r="C40" s="74"/>
      <c r="D40" s="492"/>
      <c r="E40" s="308"/>
      <c r="F40" s="308"/>
      <c r="G40" s="308"/>
      <c r="H40" s="308"/>
      <c r="I40" s="308"/>
      <c r="J40" s="308"/>
      <c r="K40" s="308"/>
      <c r="L40" s="308"/>
      <c r="M40" s="308"/>
      <c r="N40" s="308"/>
      <c r="O40" s="308"/>
      <c r="P40" s="308"/>
      <c r="Q40" s="308"/>
      <c r="R40" s="308"/>
      <c r="S40" s="308"/>
      <c r="T40" s="308"/>
      <c r="U40" s="308"/>
      <c r="V40" s="308"/>
      <c r="W40" s="308"/>
      <c r="X40" s="308"/>
    </row>
    <row r="41" spans="1:25">
      <c r="A41" s="293" t="s">
        <v>26</v>
      </c>
      <c r="B41" s="74"/>
      <c r="C41" s="74"/>
      <c r="D41" s="492"/>
      <c r="E41" s="308"/>
      <c r="F41" s="308"/>
      <c r="G41" s="308"/>
      <c r="H41" s="308"/>
      <c r="I41" s="308"/>
      <c r="J41" s="308"/>
      <c r="K41" s="308"/>
      <c r="L41" s="308"/>
      <c r="M41" s="308"/>
      <c r="N41" s="308"/>
      <c r="O41" s="308"/>
      <c r="P41" s="308"/>
      <c r="Q41" s="308"/>
      <c r="R41" s="308"/>
      <c r="S41" s="308"/>
      <c r="T41" s="308"/>
      <c r="U41" s="308"/>
      <c r="V41" s="308"/>
      <c r="W41" s="308"/>
      <c r="X41" s="308"/>
    </row>
    <row r="42" spans="1:25">
      <c r="A42" s="54" t="s">
        <v>264</v>
      </c>
      <c r="B42" s="277"/>
      <c r="C42" s="74"/>
      <c r="D42" s="486">
        <v>0</v>
      </c>
      <c r="E42" s="313">
        <f>'Parking Projections'!C55/2</f>
        <v>1381.6770833333335</v>
      </c>
      <c r="F42" s="313">
        <f>'Parking Projections'!D55</f>
        <v>2763.354166666667</v>
      </c>
      <c r="G42" s="313">
        <f>'Parking Projections'!E55</f>
        <v>2763.354166666667</v>
      </c>
      <c r="H42" s="313">
        <f>'Parking Projections'!F55</f>
        <v>2763.354166666667</v>
      </c>
      <c r="I42" s="313">
        <f>'Parking Projections'!G55</f>
        <v>2763.354166666667</v>
      </c>
      <c r="J42" s="313">
        <f>'Parking Projections'!H55</f>
        <v>2763.354166666667</v>
      </c>
      <c r="K42" s="313">
        <f>'Parking Projections'!I55</f>
        <v>2763.354166666667</v>
      </c>
      <c r="L42" s="313">
        <f>'Parking Projections'!J55</f>
        <v>2763.354166666667</v>
      </c>
      <c r="M42" s="313">
        <f>'Parking Projections'!K55</f>
        <v>2763.354166666667</v>
      </c>
      <c r="N42" s="313">
        <f>'Parking Projections'!L55</f>
        <v>2763.354166666667</v>
      </c>
      <c r="O42" s="313">
        <f>'Parking Projections'!M55</f>
        <v>2763.354166666667</v>
      </c>
      <c r="P42" s="313">
        <f>'Parking Projections'!N55</f>
        <v>2763.354166666667</v>
      </c>
      <c r="Q42" s="313">
        <f>'Parking Projections'!O55</f>
        <v>2763.354166666667</v>
      </c>
      <c r="R42" s="313">
        <f>'Parking Projections'!P55</f>
        <v>2763.354166666667</v>
      </c>
      <c r="S42" s="313">
        <f>'Parking Projections'!Q55</f>
        <v>2763.354166666667</v>
      </c>
      <c r="T42" s="313">
        <f>'Parking Projections'!R55</f>
        <v>2763.354166666667</v>
      </c>
      <c r="U42" s="313">
        <f>'Parking Projections'!S55</f>
        <v>2763.354166666667</v>
      </c>
      <c r="V42" s="313">
        <f>'Parking Projections'!T55</f>
        <v>2763.354166666667</v>
      </c>
      <c r="W42" s="313">
        <f>'Parking Projections'!U55</f>
        <v>2763.354166666667</v>
      </c>
      <c r="X42" s="313">
        <f>'Parking Projections'!V55</f>
        <v>2763.354166666667</v>
      </c>
      <c r="Y42" s="313"/>
    </row>
    <row r="43" spans="1:25">
      <c r="A43" s="54" t="s">
        <v>267</v>
      </c>
      <c r="B43" s="277"/>
      <c r="C43" s="74"/>
      <c r="D43" s="486">
        <v>0</v>
      </c>
      <c r="E43" s="313">
        <f>'Parking Projections'!C59/2</f>
        <v>14009.916666666664</v>
      </c>
      <c r="F43" s="313">
        <f>'Parking Projections'!D59</f>
        <v>28019.833333333328</v>
      </c>
      <c r="G43" s="313">
        <f>'Parking Projections'!E59</f>
        <v>28019.833333333328</v>
      </c>
      <c r="H43" s="313">
        <f>'Parking Projections'!F59</f>
        <v>28019.833333333328</v>
      </c>
      <c r="I43" s="313">
        <f>'Parking Projections'!G59</f>
        <v>28019.833333333328</v>
      </c>
      <c r="J43" s="313">
        <f>'Parking Projections'!H59</f>
        <v>28019.833333333328</v>
      </c>
      <c r="K43" s="313">
        <f>'Parking Projections'!I59</f>
        <v>28019.833333333328</v>
      </c>
      <c r="L43" s="313">
        <f>'Parking Projections'!J59</f>
        <v>28019.833333333328</v>
      </c>
      <c r="M43" s="313">
        <f>'Parking Projections'!K59</f>
        <v>28019.833333333328</v>
      </c>
      <c r="N43" s="313">
        <f>'Parking Projections'!L59</f>
        <v>28019.833333333328</v>
      </c>
      <c r="O43" s="313">
        <f>'Parking Projections'!M59</f>
        <v>28019.833333333328</v>
      </c>
      <c r="P43" s="313">
        <f>'Parking Projections'!N59</f>
        <v>28019.833333333328</v>
      </c>
      <c r="Q43" s="313">
        <f>'Parking Projections'!O59</f>
        <v>28019.833333333328</v>
      </c>
      <c r="R43" s="313">
        <f>'Parking Projections'!P59</f>
        <v>28019.833333333328</v>
      </c>
      <c r="S43" s="313">
        <f>'Parking Projections'!Q59</f>
        <v>28019.833333333328</v>
      </c>
      <c r="T43" s="313">
        <f>'Parking Projections'!R59</f>
        <v>28019.833333333328</v>
      </c>
      <c r="U43" s="313">
        <f>'Parking Projections'!S59</f>
        <v>28019.833333333328</v>
      </c>
      <c r="V43" s="313">
        <f>'Parking Projections'!T59</f>
        <v>28019.833333333328</v>
      </c>
      <c r="W43" s="313">
        <f>'Parking Projections'!U59</f>
        <v>28019.833333333328</v>
      </c>
      <c r="X43" s="313">
        <f>'Parking Projections'!V59</f>
        <v>28019.833333333328</v>
      </c>
      <c r="Y43" s="313"/>
    </row>
    <row r="44" spans="1:25" s="96" customFormat="1">
      <c r="A44" s="54" t="s">
        <v>274</v>
      </c>
      <c r="B44" s="435"/>
      <c r="C44" s="583"/>
      <c r="D44" s="486">
        <v>0</v>
      </c>
      <c r="E44" s="313">
        <f>SUM(E42:E43)</f>
        <v>15391.593749999998</v>
      </c>
      <c r="F44" s="313">
        <f>SUM(F42:F43)</f>
        <v>30783.187499999996</v>
      </c>
      <c r="G44" s="313">
        <f t="shared" ref="G44:X44" si="6">SUM(G42:G43)</f>
        <v>30783.187499999996</v>
      </c>
      <c r="H44" s="313">
        <f t="shared" si="6"/>
        <v>30783.187499999996</v>
      </c>
      <c r="I44" s="313">
        <f t="shared" si="6"/>
        <v>30783.187499999996</v>
      </c>
      <c r="J44" s="313">
        <f t="shared" si="6"/>
        <v>30783.187499999996</v>
      </c>
      <c r="K44" s="313">
        <f t="shared" si="6"/>
        <v>30783.187499999996</v>
      </c>
      <c r="L44" s="313">
        <f t="shared" si="6"/>
        <v>30783.187499999996</v>
      </c>
      <c r="M44" s="313">
        <f t="shared" si="6"/>
        <v>30783.187499999996</v>
      </c>
      <c r="N44" s="313">
        <f t="shared" si="6"/>
        <v>30783.187499999996</v>
      </c>
      <c r="O44" s="313">
        <f t="shared" si="6"/>
        <v>30783.187499999996</v>
      </c>
      <c r="P44" s="313">
        <f t="shared" si="6"/>
        <v>30783.187499999996</v>
      </c>
      <c r="Q44" s="313">
        <f t="shared" si="6"/>
        <v>30783.187499999996</v>
      </c>
      <c r="R44" s="313">
        <f t="shared" si="6"/>
        <v>30783.187499999996</v>
      </c>
      <c r="S44" s="313">
        <f t="shared" si="6"/>
        <v>30783.187499999996</v>
      </c>
      <c r="T44" s="313">
        <f t="shared" si="6"/>
        <v>30783.187499999996</v>
      </c>
      <c r="U44" s="313">
        <f t="shared" si="6"/>
        <v>30783.187499999996</v>
      </c>
      <c r="V44" s="313">
        <f t="shared" si="6"/>
        <v>30783.187499999996</v>
      </c>
      <c r="W44" s="313">
        <f t="shared" si="6"/>
        <v>30783.187499999996</v>
      </c>
      <c r="X44" s="313">
        <f t="shared" si="6"/>
        <v>30783.187499999996</v>
      </c>
      <c r="Y44" s="313"/>
    </row>
    <row r="45" spans="1:25">
      <c r="A45" s="54"/>
      <c r="B45" s="277"/>
      <c r="C45" s="74"/>
      <c r="D45" s="499"/>
      <c r="E45" s="308"/>
      <c r="F45" s="308"/>
      <c r="G45" s="308"/>
      <c r="H45" s="308"/>
      <c r="I45" s="308"/>
      <c r="J45" s="308"/>
      <c r="K45" s="308"/>
      <c r="L45" s="308"/>
      <c r="M45" s="308"/>
      <c r="N45" s="308"/>
      <c r="O45" s="308"/>
      <c r="P45" s="308"/>
      <c r="Q45" s="308"/>
      <c r="R45" s="308"/>
      <c r="S45" s="308"/>
      <c r="T45" s="308"/>
      <c r="U45" s="308"/>
      <c r="V45" s="308"/>
      <c r="W45" s="308"/>
      <c r="X45" s="308"/>
    </row>
    <row r="46" spans="1:25" s="341" customFormat="1">
      <c r="A46" s="552" t="s">
        <v>224</v>
      </c>
      <c r="B46" s="556"/>
      <c r="C46" s="557"/>
      <c r="D46" s="554">
        <v>0</v>
      </c>
      <c r="E46" s="558">
        <v>3</v>
      </c>
      <c r="F46" s="558">
        <v>3</v>
      </c>
      <c r="G46" s="558">
        <v>3</v>
      </c>
      <c r="H46" s="558">
        <v>3</v>
      </c>
      <c r="I46" s="558">
        <v>3</v>
      </c>
      <c r="J46" s="558">
        <v>3</v>
      </c>
      <c r="K46" s="558">
        <v>3</v>
      </c>
      <c r="L46" s="558">
        <v>3</v>
      </c>
      <c r="M46" s="558">
        <v>3</v>
      </c>
      <c r="N46" s="558">
        <v>3</v>
      </c>
      <c r="O46" s="558">
        <v>3</v>
      </c>
      <c r="P46" s="558">
        <v>3</v>
      </c>
      <c r="Q46" s="558">
        <v>3</v>
      </c>
      <c r="R46" s="558">
        <v>3</v>
      </c>
      <c r="S46" s="558">
        <v>3</v>
      </c>
      <c r="T46" s="558">
        <v>3</v>
      </c>
      <c r="U46" s="558">
        <v>3</v>
      </c>
      <c r="V46" s="558">
        <v>3</v>
      </c>
      <c r="W46" s="558">
        <v>3</v>
      </c>
      <c r="X46" s="558">
        <v>3</v>
      </c>
    </row>
    <row r="47" spans="1:25" s="96" customFormat="1">
      <c r="A47" s="54" t="s">
        <v>225</v>
      </c>
      <c r="B47" s="435"/>
      <c r="C47" s="583"/>
      <c r="D47" s="486">
        <v>0</v>
      </c>
      <c r="E47" s="496">
        <v>1</v>
      </c>
      <c r="F47" s="496">
        <v>1</v>
      </c>
      <c r="G47" s="496">
        <v>1</v>
      </c>
      <c r="H47" s="496">
        <v>1</v>
      </c>
      <c r="I47" s="496">
        <v>1</v>
      </c>
      <c r="J47" s="496">
        <v>1</v>
      </c>
      <c r="K47" s="496">
        <v>1</v>
      </c>
      <c r="L47" s="496">
        <v>1</v>
      </c>
      <c r="M47" s="496">
        <v>1</v>
      </c>
      <c r="N47" s="496">
        <v>1</v>
      </c>
      <c r="O47" s="496">
        <v>1</v>
      </c>
      <c r="P47" s="496">
        <v>1</v>
      </c>
      <c r="Q47" s="496">
        <v>1</v>
      </c>
      <c r="R47" s="496">
        <v>1</v>
      </c>
      <c r="S47" s="496">
        <v>1</v>
      </c>
      <c r="T47" s="496">
        <v>1</v>
      </c>
      <c r="U47" s="496">
        <v>1</v>
      </c>
      <c r="V47" s="496">
        <v>1</v>
      </c>
      <c r="W47" s="496">
        <v>1</v>
      </c>
      <c r="X47" s="496">
        <v>1</v>
      </c>
    </row>
    <row r="48" spans="1:25">
      <c r="A48" s="54" t="s">
        <v>209</v>
      </c>
      <c r="B48" s="277"/>
      <c r="C48" s="74"/>
      <c r="D48" s="486">
        <v>0</v>
      </c>
      <c r="E48" s="496">
        <v>0.5</v>
      </c>
      <c r="F48" s="496">
        <v>0.5</v>
      </c>
      <c r="G48" s="496">
        <v>0.5</v>
      </c>
      <c r="H48" s="496">
        <v>0.5</v>
      </c>
      <c r="I48" s="496">
        <v>0.5</v>
      </c>
      <c r="J48" s="496">
        <v>0.5</v>
      </c>
      <c r="K48" s="496">
        <v>0.5</v>
      </c>
      <c r="L48" s="496">
        <v>0.5</v>
      </c>
      <c r="M48" s="496">
        <v>0.5</v>
      </c>
      <c r="N48" s="496">
        <v>0.5</v>
      </c>
      <c r="O48" s="496">
        <v>0.5</v>
      </c>
      <c r="P48" s="496">
        <v>0.5</v>
      </c>
      <c r="Q48" s="496">
        <v>0.5</v>
      </c>
      <c r="R48" s="496">
        <v>0.5</v>
      </c>
      <c r="S48" s="496">
        <v>0.5</v>
      </c>
      <c r="T48" s="496">
        <v>0.5</v>
      </c>
      <c r="U48" s="496">
        <v>0.5</v>
      </c>
      <c r="V48" s="496">
        <v>0.5</v>
      </c>
      <c r="W48" s="496">
        <v>0.5</v>
      </c>
      <c r="X48" s="496">
        <v>0.5</v>
      </c>
    </row>
    <row r="49" spans="1:25 16384:16384">
      <c r="A49" s="54" t="s">
        <v>289</v>
      </c>
      <c r="B49" s="277"/>
      <c r="C49" s="74"/>
      <c r="D49" s="486">
        <v>0</v>
      </c>
      <c r="E49" s="496">
        <f>SUM(E47:E48)/2</f>
        <v>0.75</v>
      </c>
      <c r="F49" s="496">
        <f t="shared" ref="F49:X49" si="7">SUM(F47:F48)/2</f>
        <v>0.75</v>
      </c>
      <c r="G49" s="496">
        <f t="shared" si="7"/>
        <v>0.75</v>
      </c>
      <c r="H49" s="496">
        <f t="shared" si="7"/>
        <v>0.75</v>
      </c>
      <c r="I49" s="496">
        <f t="shared" si="7"/>
        <v>0.75</v>
      </c>
      <c r="J49" s="496">
        <f t="shared" si="7"/>
        <v>0.75</v>
      </c>
      <c r="K49" s="496">
        <f t="shared" si="7"/>
        <v>0.75</v>
      </c>
      <c r="L49" s="496">
        <f t="shared" si="7"/>
        <v>0.75</v>
      </c>
      <c r="M49" s="496">
        <f t="shared" si="7"/>
        <v>0.75</v>
      </c>
      <c r="N49" s="496">
        <f t="shared" si="7"/>
        <v>0.75</v>
      </c>
      <c r="O49" s="496">
        <f t="shared" si="7"/>
        <v>0.75</v>
      </c>
      <c r="P49" s="496">
        <f t="shared" si="7"/>
        <v>0.75</v>
      </c>
      <c r="Q49" s="496">
        <f t="shared" si="7"/>
        <v>0.75</v>
      </c>
      <c r="R49" s="496">
        <f t="shared" si="7"/>
        <v>0.75</v>
      </c>
      <c r="S49" s="496">
        <f t="shared" si="7"/>
        <v>0.75</v>
      </c>
      <c r="T49" s="496">
        <f t="shared" si="7"/>
        <v>0.75</v>
      </c>
      <c r="U49" s="496">
        <f t="shared" si="7"/>
        <v>0.75</v>
      </c>
      <c r="V49" s="496">
        <f t="shared" si="7"/>
        <v>0.75</v>
      </c>
      <c r="W49" s="496">
        <f t="shared" si="7"/>
        <v>0.75</v>
      </c>
      <c r="X49" s="496">
        <f t="shared" si="7"/>
        <v>0.75</v>
      </c>
      <c r="XFD49" s="570">
        <f>SUM(D49:XFC49)</f>
        <v>15</v>
      </c>
    </row>
    <row r="50" spans="1:25 16384:16384">
      <c r="A50" s="54"/>
      <c r="B50" s="277"/>
      <c r="C50" s="74"/>
      <c r="D50" s="486"/>
      <c r="E50" s="496"/>
      <c r="F50" s="496"/>
      <c r="G50" s="496"/>
      <c r="H50" s="496"/>
      <c r="I50" s="496"/>
      <c r="J50" s="496"/>
      <c r="K50" s="496"/>
      <c r="L50" s="496"/>
      <c r="M50" s="496"/>
      <c r="N50" s="496"/>
      <c r="O50" s="496"/>
      <c r="P50" s="496"/>
      <c r="Q50" s="496"/>
      <c r="R50" s="496"/>
      <c r="S50" s="496"/>
      <c r="T50" s="496"/>
      <c r="U50" s="496"/>
      <c r="V50" s="496"/>
      <c r="W50" s="496"/>
      <c r="X50" s="496"/>
      <c r="XFD50" s="570"/>
    </row>
    <row r="51" spans="1:25 16384:16384">
      <c r="A51" s="54" t="s">
        <v>312</v>
      </c>
      <c r="B51" s="277"/>
      <c r="C51" s="74"/>
      <c r="D51" s="486">
        <v>0</v>
      </c>
      <c r="E51" s="313">
        <f>'Shuttle Projections'!C22*0.5</f>
        <v>3595</v>
      </c>
      <c r="F51" s="313">
        <f>'Shuttle Projections'!D22</f>
        <v>7190</v>
      </c>
      <c r="G51" s="313">
        <f>'Shuttle Projections'!E22</f>
        <v>7190</v>
      </c>
      <c r="H51" s="313">
        <f>'Shuttle Projections'!F22</f>
        <v>7190</v>
      </c>
      <c r="I51" s="313">
        <f>'Shuttle Projections'!G22</f>
        <v>7190</v>
      </c>
      <c r="J51" s="313">
        <f>'Shuttle Projections'!H22</f>
        <v>7190</v>
      </c>
      <c r="K51" s="313">
        <f>'Shuttle Projections'!I22</f>
        <v>7190</v>
      </c>
      <c r="L51" s="313">
        <f>'Shuttle Projections'!J22</f>
        <v>7190</v>
      </c>
      <c r="M51" s="313">
        <f>'Shuttle Projections'!K22</f>
        <v>7190</v>
      </c>
      <c r="N51" s="313">
        <f>'Shuttle Projections'!L22</f>
        <v>7190</v>
      </c>
      <c r="O51" s="313">
        <f>'Shuttle Projections'!M22</f>
        <v>7190</v>
      </c>
      <c r="P51" s="313">
        <f>'Shuttle Projections'!N22</f>
        <v>7190</v>
      </c>
      <c r="Q51" s="313">
        <f>'Shuttle Projections'!O22</f>
        <v>7190</v>
      </c>
      <c r="R51" s="313">
        <f>'Shuttle Projections'!P22</f>
        <v>7190</v>
      </c>
      <c r="S51" s="313">
        <f>'Shuttle Projections'!Q22</f>
        <v>7190</v>
      </c>
      <c r="T51" s="313">
        <f>'Shuttle Projections'!R22</f>
        <v>7190</v>
      </c>
      <c r="U51" s="313">
        <f>'Shuttle Projections'!S22</f>
        <v>7190</v>
      </c>
      <c r="V51" s="313">
        <f>'Shuttle Projections'!T22</f>
        <v>7190</v>
      </c>
      <c r="W51" s="313">
        <f>'Shuttle Projections'!U22</f>
        <v>7190</v>
      </c>
      <c r="X51" s="313">
        <f>'Shuttle Projections'!V22</f>
        <v>7190</v>
      </c>
      <c r="XFD51" s="570"/>
    </row>
    <row r="52" spans="1:25 16384:16384">
      <c r="A52" s="54"/>
      <c r="B52" s="277"/>
      <c r="C52" s="74"/>
      <c r="D52" s="486"/>
      <c r="E52" s="308"/>
      <c r="F52" s="308"/>
      <c r="G52" s="308"/>
      <c r="H52" s="308"/>
      <c r="I52" s="308"/>
      <c r="J52" s="308"/>
      <c r="K52" s="308"/>
      <c r="L52" s="308"/>
      <c r="M52" s="308"/>
      <c r="N52" s="308"/>
      <c r="O52" s="308"/>
      <c r="P52" s="308"/>
      <c r="Q52" s="308"/>
      <c r="R52" s="308"/>
      <c r="S52" s="308"/>
      <c r="T52" s="308"/>
      <c r="U52" s="308"/>
      <c r="V52" s="308"/>
      <c r="W52" s="308"/>
      <c r="X52" s="308"/>
    </row>
    <row r="53" spans="1:25 16384:16384" s="612" customFormat="1">
      <c r="A53" s="613" t="s">
        <v>292</v>
      </c>
      <c r="B53" s="614"/>
      <c r="C53" s="615"/>
      <c r="D53" s="616">
        <v>0</v>
      </c>
      <c r="E53" s="617">
        <v>0</v>
      </c>
      <c r="F53" s="617">
        <v>0</v>
      </c>
      <c r="G53" s="617">
        <v>100000</v>
      </c>
      <c r="H53" s="617">
        <v>100000</v>
      </c>
      <c r="I53" s="617">
        <v>100000</v>
      </c>
      <c r="J53" s="617">
        <v>100000</v>
      </c>
      <c r="K53" s="617">
        <v>100000</v>
      </c>
      <c r="L53" s="617">
        <v>100000</v>
      </c>
      <c r="M53" s="617">
        <v>100000</v>
      </c>
      <c r="N53" s="617">
        <v>100000</v>
      </c>
      <c r="O53" s="617">
        <v>100000</v>
      </c>
      <c r="P53" s="617">
        <v>100000</v>
      </c>
      <c r="Q53" s="617">
        <v>100000</v>
      </c>
      <c r="R53" s="617">
        <v>100000</v>
      </c>
      <c r="S53" s="617">
        <v>100000</v>
      </c>
      <c r="T53" s="617">
        <v>100000</v>
      </c>
      <c r="U53" s="617">
        <v>100000</v>
      </c>
      <c r="V53" s="617">
        <v>100000</v>
      </c>
      <c r="W53" s="617">
        <v>100000</v>
      </c>
      <c r="X53" s="618">
        <v>100000</v>
      </c>
    </row>
    <row r="54" spans="1:25 16384:16384">
      <c r="A54" s="54"/>
      <c r="B54" s="277"/>
      <c r="C54" s="74"/>
      <c r="D54" s="486"/>
      <c r="E54" s="308"/>
      <c r="F54" s="308"/>
      <c r="G54" s="308"/>
      <c r="H54" s="308"/>
      <c r="I54" s="308"/>
      <c r="J54" s="308"/>
      <c r="K54" s="308"/>
      <c r="L54" s="308"/>
      <c r="M54" s="308"/>
      <c r="N54" s="308"/>
      <c r="O54" s="308"/>
      <c r="P54" s="308"/>
      <c r="Q54" s="308"/>
      <c r="R54" s="308"/>
      <c r="S54" s="308"/>
      <c r="T54" s="308"/>
      <c r="U54" s="308"/>
      <c r="V54" s="308"/>
      <c r="W54" s="308"/>
      <c r="X54" s="308"/>
    </row>
    <row r="55" spans="1:25 16384:16384" s="582" customFormat="1">
      <c r="A55" s="293" t="str">
        <f>'BH Tariffs'!A33</f>
        <v>Recreational/Commercial Marina</v>
      </c>
      <c r="B55" s="584"/>
      <c r="C55" s="585"/>
      <c r="D55" s="486"/>
      <c r="E55" s="586"/>
      <c r="F55" s="586"/>
      <c r="G55" s="586"/>
      <c r="H55" s="586"/>
      <c r="I55" s="586"/>
      <c r="J55" s="586"/>
      <c r="K55" s="586"/>
      <c r="L55" s="586"/>
      <c r="M55" s="586"/>
      <c r="N55" s="586"/>
      <c r="O55" s="586"/>
      <c r="P55" s="586"/>
      <c r="Q55" s="586"/>
      <c r="R55" s="586"/>
      <c r="S55" s="586"/>
      <c r="T55" s="586"/>
      <c r="U55" s="586"/>
      <c r="V55" s="586"/>
      <c r="W55" s="586"/>
      <c r="X55" s="586"/>
    </row>
    <row r="56" spans="1:25 16384:16384" s="96" customFormat="1">
      <c r="A56" s="54" t="s">
        <v>291</v>
      </c>
      <c r="B56" s="435"/>
      <c r="C56" s="583"/>
      <c r="D56" s="486">
        <v>0</v>
      </c>
      <c r="E56" s="313">
        <v>0</v>
      </c>
      <c r="F56" s="313">
        <f>'Marina Projections'!D67</f>
        <v>12</v>
      </c>
      <c r="G56" s="313">
        <f>'Marina Projections'!E67</f>
        <v>12</v>
      </c>
      <c r="H56" s="313">
        <f>'Marina Projections'!F67</f>
        <v>12</v>
      </c>
      <c r="I56" s="313">
        <f>'Marina Projections'!G67</f>
        <v>12</v>
      </c>
      <c r="J56" s="313">
        <f>'Marina Projections'!H67</f>
        <v>12</v>
      </c>
      <c r="K56" s="313">
        <f>'Marina Projections'!I67</f>
        <v>12</v>
      </c>
      <c r="L56" s="313">
        <f>'Marina Projections'!J67</f>
        <v>12</v>
      </c>
      <c r="M56" s="313">
        <f>'Marina Projections'!K67</f>
        <v>12</v>
      </c>
      <c r="N56" s="313">
        <f>'Marina Projections'!L67</f>
        <v>12</v>
      </c>
      <c r="O56" s="313">
        <f>'Marina Projections'!M67</f>
        <v>12</v>
      </c>
      <c r="P56" s="313">
        <f>'Marina Projections'!N67</f>
        <v>12</v>
      </c>
      <c r="Q56" s="313">
        <f>'Marina Projections'!O67</f>
        <v>12</v>
      </c>
      <c r="R56" s="313">
        <f>'Marina Projections'!P67</f>
        <v>12</v>
      </c>
      <c r="S56" s="313">
        <f>'Marina Projections'!Q67</f>
        <v>12</v>
      </c>
      <c r="T56" s="313">
        <f>'Marina Projections'!R67</f>
        <v>12</v>
      </c>
      <c r="U56" s="313">
        <f>'Marina Projections'!S67</f>
        <v>12</v>
      </c>
      <c r="V56" s="313">
        <f>'Marina Projections'!T67</f>
        <v>12</v>
      </c>
      <c r="W56" s="313">
        <f>'Marina Projections'!U67</f>
        <v>12</v>
      </c>
      <c r="X56" s="313">
        <f>'Marina Projections'!V67</f>
        <v>12</v>
      </c>
    </row>
    <row r="57" spans="1:25 16384:16384" s="96" customFormat="1">
      <c r="A57" s="54" t="s">
        <v>293</v>
      </c>
      <c r="B57" s="435"/>
      <c r="C57" s="583"/>
      <c r="D57" s="486">
        <v>0</v>
      </c>
      <c r="E57" s="313">
        <v>0</v>
      </c>
      <c r="F57" s="313">
        <f>'Marina Projections'!D74</f>
        <v>9557.1731249999993</v>
      </c>
      <c r="G57" s="313">
        <f>'Marina Projections'!E74</f>
        <v>9557.1731249999993</v>
      </c>
      <c r="H57" s="313">
        <f>'Marina Projections'!F74</f>
        <v>9557.1731249999993</v>
      </c>
      <c r="I57" s="313">
        <f>'Marina Projections'!G74</f>
        <v>9557.1731249999993</v>
      </c>
      <c r="J57" s="313">
        <f>'Marina Projections'!H74</f>
        <v>9557.1731249999993</v>
      </c>
      <c r="K57" s="313">
        <f>'Marina Projections'!I74</f>
        <v>9557.1731249999993</v>
      </c>
      <c r="L57" s="313">
        <f>'Marina Projections'!J74</f>
        <v>9557.1731249999993</v>
      </c>
      <c r="M57" s="313">
        <f>'Marina Projections'!K74</f>
        <v>9557.1731249999993</v>
      </c>
      <c r="N57" s="313">
        <f>'Marina Projections'!L74</f>
        <v>9557.1731249999993</v>
      </c>
      <c r="O57" s="313">
        <f>'Marina Projections'!M74</f>
        <v>9557.1731249999993</v>
      </c>
      <c r="P57" s="313">
        <f>'Marina Projections'!N74</f>
        <v>9557.1731249999993</v>
      </c>
      <c r="Q57" s="313">
        <f>'Marina Projections'!O74</f>
        <v>9557.1731249999993</v>
      </c>
      <c r="R57" s="313">
        <f>'Marina Projections'!P74</f>
        <v>9557.1731249999993</v>
      </c>
      <c r="S57" s="313">
        <f>'Marina Projections'!Q74</f>
        <v>9557.1731249999993</v>
      </c>
      <c r="T57" s="313">
        <f>'Marina Projections'!R74</f>
        <v>9557.1731249999993</v>
      </c>
      <c r="U57" s="313">
        <f>'Marina Projections'!S74</f>
        <v>9557.1731249999993</v>
      </c>
      <c r="V57" s="313">
        <f>'Marina Projections'!T74</f>
        <v>9557.1731249999993</v>
      </c>
      <c r="W57" s="313">
        <f>'Marina Projections'!U74</f>
        <v>9557.1731249999993</v>
      </c>
      <c r="X57" s="313">
        <f>'Marina Projections'!V74</f>
        <v>9557.1731249999993</v>
      </c>
    </row>
    <row r="58" spans="1:25 16384:16384" s="96" customFormat="1">
      <c r="A58" s="54" t="s">
        <v>294</v>
      </c>
      <c r="B58" s="435"/>
      <c r="C58" s="583"/>
      <c r="D58" s="486">
        <v>0</v>
      </c>
      <c r="E58" s="313">
        <v>0</v>
      </c>
      <c r="F58" s="313">
        <f>'Marina Projections'!D70</f>
        <v>359.1</v>
      </c>
      <c r="G58" s="313">
        <f>'Marina Projections'!E70</f>
        <v>359.1</v>
      </c>
      <c r="H58" s="313">
        <f>'Marina Projections'!F70</f>
        <v>359.1</v>
      </c>
      <c r="I58" s="313">
        <f>'Marina Projections'!G70</f>
        <v>359.1</v>
      </c>
      <c r="J58" s="313">
        <f>'Marina Projections'!H70</f>
        <v>359.1</v>
      </c>
      <c r="K58" s="313">
        <f>'Marina Projections'!I70</f>
        <v>359.1</v>
      </c>
      <c r="L58" s="313">
        <f>'Marina Projections'!J70</f>
        <v>359.1</v>
      </c>
      <c r="M58" s="313">
        <f>'Marina Projections'!K70</f>
        <v>359.1</v>
      </c>
      <c r="N58" s="313">
        <f>'Marina Projections'!L70</f>
        <v>359.1</v>
      </c>
      <c r="O58" s="313">
        <f>'Marina Projections'!M70</f>
        <v>359.1</v>
      </c>
      <c r="P58" s="313">
        <f>'Marina Projections'!N70</f>
        <v>359.1</v>
      </c>
      <c r="Q58" s="313">
        <f>'Marina Projections'!O70</f>
        <v>359.1</v>
      </c>
      <c r="R58" s="313">
        <f>'Marina Projections'!P70</f>
        <v>359.1</v>
      </c>
      <c r="S58" s="313">
        <f>'Marina Projections'!Q70</f>
        <v>359.1</v>
      </c>
      <c r="T58" s="313">
        <f>'Marina Projections'!R70</f>
        <v>359.1</v>
      </c>
      <c r="U58" s="313">
        <f>'Marina Projections'!S70</f>
        <v>359.1</v>
      </c>
      <c r="V58" s="313">
        <f>'Marina Projections'!T70</f>
        <v>359.1</v>
      </c>
      <c r="W58" s="313">
        <f>'Marina Projections'!U70</f>
        <v>359.1</v>
      </c>
      <c r="X58" s="313">
        <f>'Marina Projections'!V70</f>
        <v>359.1</v>
      </c>
    </row>
    <row r="59" spans="1:25 16384:16384" s="167" customFormat="1">
      <c r="A59" s="497" t="s">
        <v>170</v>
      </c>
      <c r="B59" s="450"/>
      <c r="C59" s="498"/>
      <c r="D59" s="486">
        <v>0</v>
      </c>
      <c r="E59" s="587">
        <v>0</v>
      </c>
      <c r="F59" s="587">
        <v>0</v>
      </c>
      <c r="G59" s="587">
        <v>0</v>
      </c>
      <c r="H59" s="587">
        <v>0</v>
      </c>
      <c r="I59" s="587">
        <v>0</v>
      </c>
      <c r="J59" s="587">
        <v>0</v>
      </c>
      <c r="K59" s="587">
        <v>0</v>
      </c>
      <c r="L59" s="587">
        <v>0</v>
      </c>
      <c r="M59" s="587">
        <v>0</v>
      </c>
      <c r="N59" s="587">
        <v>0</v>
      </c>
      <c r="O59" s="587">
        <v>0</v>
      </c>
      <c r="P59" s="587">
        <v>0</v>
      </c>
      <c r="Q59" s="587">
        <v>0</v>
      </c>
      <c r="R59" s="587">
        <v>0</v>
      </c>
      <c r="S59" s="587">
        <v>0</v>
      </c>
      <c r="T59" s="587">
        <v>0</v>
      </c>
      <c r="U59" s="587">
        <v>0</v>
      </c>
      <c r="V59" s="587">
        <v>0</v>
      </c>
      <c r="W59" s="587">
        <v>0</v>
      </c>
      <c r="X59" s="587">
        <v>0</v>
      </c>
      <c r="Y59" s="167" t="s">
        <v>282</v>
      </c>
    </row>
    <row r="60" spans="1:25 16384:16384" s="167" customFormat="1">
      <c r="A60" s="497" t="s">
        <v>16</v>
      </c>
      <c r="B60" s="450"/>
      <c r="C60" s="498"/>
      <c r="D60" s="499">
        <v>0</v>
      </c>
      <c r="E60" s="587">
        <v>0</v>
      </c>
      <c r="F60" s="587">
        <v>0</v>
      </c>
      <c r="G60" s="587">
        <v>0</v>
      </c>
      <c r="H60" s="587">
        <v>0</v>
      </c>
      <c r="I60" s="587">
        <v>0</v>
      </c>
      <c r="J60" s="587">
        <v>0</v>
      </c>
      <c r="K60" s="587">
        <v>0</v>
      </c>
      <c r="L60" s="587">
        <v>0</v>
      </c>
      <c r="M60" s="587">
        <v>0</v>
      </c>
      <c r="N60" s="587">
        <v>0</v>
      </c>
      <c r="O60" s="587">
        <v>0</v>
      </c>
      <c r="P60" s="587">
        <v>0</v>
      </c>
      <c r="Q60" s="587">
        <v>0</v>
      </c>
      <c r="R60" s="587">
        <v>0</v>
      </c>
      <c r="S60" s="587">
        <v>0</v>
      </c>
      <c r="T60" s="587">
        <v>0</v>
      </c>
      <c r="U60" s="587">
        <v>0</v>
      </c>
      <c r="V60" s="587">
        <v>0</v>
      </c>
      <c r="W60" s="587">
        <v>0</v>
      </c>
      <c r="X60" s="587">
        <v>0</v>
      </c>
      <c r="Y60" s="167" t="s">
        <v>282</v>
      </c>
    </row>
    <row r="61" spans="1:25 16384:16384">
      <c r="A61" s="54"/>
      <c r="B61" s="277"/>
      <c r="C61" s="74"/>
      <c r="D61" s="492"/>
      <c r="E61" s="308"/>
      <c r="F61" s="308"/>
      <c r="G61" s="308"/>
      <c r="H61" s="308"/>
      <c r="I61" s="308"/>
      <c r="J61" s="308"/>
      <c r="K61" s="308"/>
      <c r="L61" s="308"/>
      <c r="M61" s="308"/>
      <c r="N61" s="308"/>
      <c r="O61" s="308"/>
      <c r="P61" s="308"/>
      <c r="Q61" s="308"/>
      <c r="R61" s="308"/>
      <c r="S61" s="308"/>
      <c r="T61" s="308"/>
      <c r="U61" s="308"/>
      <c r="V61" s="308"/>
      <c r="W61" s="308"/>
      <c r="X61" s="308"/>
    </row>
    <row r="62" spans="1:25 16384:16384">
      <c r="A62" s="293" t="s">
        <v>2</v>
      </c>
      <c r="B62" s="277"/>
      <c r="C62" s="74"/>
      <c r="D62" s="492"/>
      <c r="E62" s="308"/>
      <c r="F62" s="308"/>
      <c r="G62" s="308"/>
      <c r="H62" s="308"/>
      <c r="I62" s="308"/>
      <c r="J62" s="308"/>
      <c r="K62" s="308"/>
      <c r="L62" s="308"/>
      <c r="M62" s="308"/>
      <c r="N62" s="308"/>
      <c r="O62" s="308"/>
      <c r="P62" s="308"/>
      <c r="Q62" s="308"/>
      <c r="R62" s="308"/>
      <c r="S62" s="308"/>
      <c r="T62" s="308"/>
      <c r="U62" s="308"/>
      <c r="V62" s="308"/>
      <c r="W62" s="308"/>
      <c r="X62" s="308"/>
    </row>
    <row r="63" spans="1:25 16384:16384" s="96" customFormat="1">
      <c r="A63" s="54" t="s">
        <v>290</v>
      </c>
      <c r="B63" s="435">
        <v>500</v>
      </c>
      <c r="C63" s="487"/>
      <c r="D63" s="486">
        <v>0</v>
      </c>
      <c r="E63" s="313">
        <v>0</v>
      </c>
      <c r="F63" s="313">
        <v>0</v>
      </c>
      <c r="G63" s="313">
        <f t="shared" ref="G63:X63" si="8">$B$63</f>
        <v>500</v>
      </c>
      <c r="H63" s="313">
        <f t="shared" si="8"/>
        <v>500</v>
      </c>
      <c r="I63" s="313">
        <f t="shared" si="8"/>
        <v>500</v>
      </c>
      <c r="J63" s="313">
        <f t="shared" si="8"/>
        <v>500</v>
      </c>
      <c r="K63" s="313">
        <f t="shared" si="8"/>
        <v>500</v>
      </c>
      <c r="L63" s="313">
        <f t="shared" si="8"/>
        <v>500</v>
      </c>
      <c r="M63" s="313">
        <f t="shared" si="8"/>
        <v>500</v>
      </c>
      <c r="N63" s="313">
        <f t="shared" si="8"/>
        <v>500</v>
      </c>
      <c r="O63" s="313">
        <f t="shared" si="8"/>
        <v>500</v>
      </c>
      <c r="P63" s="313">
        <f t="shared" si="8"/>
        <v>500</v>
      </c>
      <c r="Q63" s="313">
        <f t="shared" si="8"/>
        <v>500</v>
      </c>
      <c r="R63" s="313">
        <f t="shared" si="8"/>
        <v>500</v>
      </c>
      <c r="S63" s="313">
        <f t="shared" si="8"/>
        <v>500</v>
      </c>
      <c r="T63" s="313">
        <f t="shared" si="8"/>
        <v>500</v>
      </c>
      <c r="U63" s="313">
        <f t="shared" si="8"/>
        <v>500</v>
      </c>
      <c r="V63" s="313">
        <f t="shared" si="8"/>
        <v>500</v>
      </c>
      <c r="W63" s="313">
        <f t="shared" si="8"/>
        <v>500</v>
      </c>
      <c r="X63" s="313">
        <f t="shared" si="8"/>
        <v>500</v>
      </c>
    </row>
    <row r="64" spans="1:25 16384:16384" s="96" customFormat="1">
      <c r="A64" s="54" t="s">
        <v>540</v>
      </c>
      <c r="B64" s="435"/>
      <c r="C64" s="487"/>
      <c r="D64" s="1055">
        <v>0</v>
      </c>
      <c r="E64" s="1056">
        <v>0</v>
      </c>
      <c r="F64" s="1056">
        <v>0</v>
      </c>
      <c r="G64" s="1056">
        <v>200000</v>
      </c>
      <c r="H64" s="1056">
        <f>G64</f>
        <v>200000</v>
      </c>
      <c r="I64" s="1056">
        <f t="shared" ref="I64:X64" si="9">H64</f>
        <v>200000</v>
      </c>
      <c r="J64" s="1056">
        <f t="shared" si="9"/>
        <v>200000</v>
      </c>
      <c r="K64" s="1056">
        <f t="shared" si="9"/>
        <v>200000</v>
      </c>
      <c r="L64" s="1056">
        <f t="shared" si="9"/>
        <v>200000</v>
      </c>
      <c r="M64" s="1056">
        <f t="shared" si="9"/>
        <v>200000</v>
      </c>
      <c r="N64" s="1056">
        <f t="shared" si="9"/>
        <v>200000</v>
      </c>
      <c r="O64" s="1056">
        <f t="shared" si="9"/>
        <v>200000</v>
      </c>
      <c r="P64" s="1056">
        <f t="shared" si="9"/>
        <v>200000</v>
      </c>
      <c r="Q64" s="1056">
        <f t="shared" si="9"/>
        <v>200000</v>
      </c>
      <c r="R64" s="1056">
        <f t="shared" si="9"/>
        <v>200000</v>
      </c>
      <c r="S64" s="1056">
        <f t="shared" si="9"/>
        <v>200000</v>
      </c>
      <c r="T64" s="1056">
        <f t="shared" si="9"/>
        <v>200000</v>
      </c>
      <c r="U64" s="1056">
        <f t="shared" si="9"/>
        <v>200000</v>
      </c>
      <c r="V64" s="1056">
        <f t="shared" si="9"/>
        <v>200000</v>
      </c>
      <c r="W64" s="1056">
        <f t="shared" si="9"/>
        <v>200000</v>
      </c>
      <c r="X64" s="1056">
        <f t="shared" si="9"/>
        <v>200000</v>
      </c>
    </row>
    <row r="65" spans="1:25" s="96" customFormat="1">
      <c r="A65" s="54" t="s">
        <v>210</v>
      </c>
      <c r="B65" s="487"/>
      <c r="C65" s="487"/>
      <c r="D65" s="486">
        <v>0</v>
      </c>
      <c r="E65" s="313">
        <v>0</v>
      </c>
      <c r="F65" s="313">
        <v>1</v>
      </c>
      <c r="G65" s="313">
        <v>2</v>
      </c>
      <c r="H65" s="313">
        <v>2</v>
      </c>
      <c r="I65" s="313">
        <v>2</v>
      </c>
      <c r="J65" s="313">
        <v>3</v>
      </c>
      <c r="K65" s="313">
        <v>3</v>
      </c>
      <c r="L65" s="313">
        <v>3</v>
      </c>
      <c r="M65" s="313">
        <v>3</v>
      </c>
      <c r="N65" s="313">
        <v>3</v>
      </c>
      <c r="O65" s="313">
        <v>4</v>
      </c>
      <c r="P65" s="313">
        <v>4</v>
      </c>
      <c r="Q65" s="313">
        <v>4</v>
      </c>
      <c r="R65" s="313">
        <v>4</v>
      </c>
      <c r="S65" s="313">
        <v>4</v>
      </c>
      <c r="T65" s="313">
        <v>5</v>
      </c>
      <c r="U65" s="313">
        <v>5</v>
      </c>
      <c r="V65" s="313">
        <v>5</v>
      </c>
      <c r="W65" s="313">
        <v>5</v>
      </c>
      <c r="X65" s="313">
        <v>5</v>
      </c>
      <c r="Y65" s="313"/>
    </row>
    <row r="66" spans="1:25" s="96" customFormat="1">
      <c r="A66" s="96" t="s">
        <v>211</v>
      </c>
      <c r="D66" s="486">
        <v>0</v>
      </c>
      <c r="E66" s="435">
        <v>0</v>
      </c>
      <c r="F66" s="435">
        <v>3</v>
      </c>
      <c r="G66" s="435">
        <v>3</v>
      </c>
      <c r="H66" s="435">
        <v>3</v>
      </c>
      <c r="I66" s="435">
        <v>3</v>
      </c>
      <c r="J66" s="435">
        <v>3</v>
      </c>
      <c r="K66" s="435">
        <v>3</v>
      </c>
      <c r="L66" s="435">
        <v>3</v>
      </c>
      <c r="M66" s="435">
        <v>3</v>
      </c>
      <c r="N66" s="435">
        <v>3</v>
      </c>
      <c r="O66" s="435">
        <v>3</v>
      </c>
      <c r="P66" s="435">
        <v>3</v>
      </c>
      <c r="Q66" s="435">
        <v>3</v>
      </c>
      <c r="R66" s="435">
        <v>3</v>
      </c>
      <c r="S66" s="435">
        <v>3</v>
      </c>
      <c r="T66" s="435">
        <v>3</v>
      </c>
      <c r="U66" s="435">
        <v>3</v>
      </c>
      <c r="V66" s="435">
        <v>3</v>
      </c>
      <c r="W66" s="435">
        <v>3</v>
      </c>
      <c r="X66" s="435">
        <v>3</v>
      </c>
    </row>
    <row r="67" spans="1:25" s="167" customFormat="1">
      <c r="A67" s="497"/>
      <c r="B67" s="501"/>
      <c r="C67" s="501"/>
      <c r="D67" s="499"/>
      <c r="E67" s="500"/>
      <c r="F67" s="500"/>
      <c r="G67" s="500"/>
      <c r="H67" s="500"/>
      <c r="I67" s="500"/>
      <c r="J67" s="500"/>
      <c r="K67" s="500"/>
      <c r="L67" s="500"/>
      <c r="M67" s="500"/>
      <c r="N67" s="500"/>
      <c r="O67" s="500"/>
      <c r="P67" s="500"/>
      <c r="Q67" s="500"/>
      <c r="R67" s="500"/>
      <c r="S67" s="500"/>
      <c r="T67" s="500"/>
      <c r="U67" s="500"/>
      <c r="V67" s="500"/>
      <c r="W67" s="500"/>
      <c r="X67" s="500"/>
      <c r="Y67" s="500"/>
    </row>
    <row r="68" spans="1:25">
      <c r="A68" s="28"/>
      <c r="D68" s="486"/>
      <c r="E68" s="331"/>
      <c r="F68" s="333"/>
      <c r="G68" s="331"/>
      <c r="H68" s="331"/>
      <c r="I68" s="331"/>
      <c r="J68" s="331"/>
      <c r="K68" s="331"/>
      <c r="L68" s="331"/>
      <c r="M68" s="331"/>
      <c r="N68" s="331"/>
      <c r="O68" s="331"/>
      <c r="P68" s="331"/>
      <c r="Q68" s="331"/>
      <c r="R68" s="331"/>
      <c r="S68" s="331"/>
      <c r="T68" s="331"/>
      <c r="U68" s="331"/>
      <c r="V68" s="331"/>
      <c r="W68" s="331"/>
      <c r="X68" s="331"/>
    </row>
    <row r="69" spans="1:25">
      <c r="A69" s="266" t="s">
        <v>135</v>
      </c>
      <c r="B69" s="223"/>
      <c r="C69" s="267"/>
      <c r="D69" s="332"/>
      <c r="E69" s="332"/>
      <c r="F69" s="349"/>
      <c r="G69" s="332"/>
      <c r="H69" s="332"/>
      <c r="I69" s="332"/>
      <c r="J69" s="332"/>
      <c r="K69" s="332"/>
      <c r="L69" s="332"/>
      <c r="M69" s="332"/>
      <c r="N69" s="332"/>
      <c r="O69" s="332"/>
      <c r="P69" s="332"/>
      <c r="Q69" s="332"/>
      <c r="R69" s="332"/>
      <c r="S69" s="332"/>
      <c r="T69" s="332"/>
      <c r="U69" s="332"/>
      <c r="V69" s="332"/>
      <c r="W69" s="332"/>
      <c r="X69" s="332"/>
    </row>
    <row r="70" spans="1:25" s="341" customFormat="1">
      <c r="A70" s="353"/>
      <c r="B70" s="355"/>
      <c r="C70" s="355"/>
      <c r="D70" s="502"/>
      <c r="E70" s="503"/>
      <c r="F70" s="503"/>
      <c r="G70" s="503"/>
      <c r="H70" s="503"/>
      <c r="I70" s="503"/>
      <c r="J70" s="503"/>
      <c r="K70" s="503"/>
      <c r="L70" s="503"/>
      <c r="M70" s="503"/>
      <c r="N70" s="503"/>
      <c r="O70" s="503"/>
      <c r="P70" s="503"/>
      <c r="Q70" s="503"/>
      <c r="R70" s="503"/>
      <c r="S70" s="503"/>
      <c r="T70" s="503"/>
      <c r="U70" s="503"/>
      <c r="V70" s="503"/>
      <c r="W70" s="503"/>
      <c r="X70" s="503"/>
    </row>
    <row r="71" spans="1:25" s="341" customFormat="1">
      <c r="A71" s="691" t="s">
        <v>144</v>
      </c>
      <c r="B71" s="355"/>
      <c r="C71" s="355"/>
      <c r="D71" s="548"/>
      <c r="E71" s="503"/>
      <c r="F71" s="503"/>
      <c r="G71" s="503"/>
      <c r="H71" s="503"/>
      <c r="I71" s="503"/>
      <c r="J71" s="503"/>
      <c r="K71" s="503"/>
      <c r="L71" s="503"/>
      <c r="M71" s="503"/>
      <c r="N71" s="503"/>
      <c r="O71" s="503"/>
      <c r="P71" s="503"/>
      <c r="Q71" s="503"/>
      <c r="R71" s="503"/>
      <c r="S71" s="503"/>
      <c r="T71" s="503"/>
      <c r="U71" s="503"/>
      <c r="V71" s="503"/>
      <c r="W71" s="503"/>
      <c r="X71" s="503"/>
    </row>
    <row r="72" spans="1:25" s="561" customFormat="1">
      <c r="A72" s="353" t="str">
        <f>'BH Tariffs'!A11</f>
        <v>Port Fee</v>
      </c>
      <c r="B72" s="355"/>
      <c r="C72" s="355"/>
      <c r="D72" s="548">
        <v>0</v>
      </c>
      <c r="E72" s="503">
        <f>'BH Tariffs'!D11*'P&amp;L - Concept B2 - Carnival'!E12</f>
        <v>0</v>
      </c>
      <c r="F72" s="503">
        <v>0</v>
      </c>
      <c r="G72" s="503">
        <v>0</v>
      </c>
      <c r="H72" s="503">
        <v>0</v>
      </c>
      <c r="I72" s="503">
        <v>0</v>
      </c>
      <c r="J72" s="503">
        <v>0</v>
      </c>
      <c r="K72" s="503">
        <v>0</v>
      </c>
      <c r="L72" s="503">
        <v>0</v>
      </c>
      <c r="M72" s="503">
        <v>0</v>
      </c>
      <c r="N72" s="503">
        <v>0</v>
      </c>
      <c r="O72" s="503">
        <v>0</v>
      </c>
      <c r="P72" s="503">
        <v>0</v>
      </c>
      <c r="Q72" s="503">
        <v>0</v>
      </c>
      <c r="R72" s="503">
        <v>0</v>
      </c>
      <c r="S72" s="503">
        <v>0</v>
      </c>
      <c r="T72" s="503">
        <v>0</v>
      </c>
      <c r="U72" s="503">
        <v>0</v>
      </c>
      <c r="V72" s="503">
        <v>0</v>
      </c>
      <c r="W72" s="503">
        <v>0</v>
      </c>
      <c r="X72" s="503">
        <v>0</v>
      </c>
    </row>
    <row r="73" spans="1:25">
      <c r="A73" s="88"/>
      <c r="B73" s="89"/>
      <c r="C73" s="89"/>
      <c r="D73" s="502"/>
      <c r="E73" s="504"/>
      <c r="F73" s="504"/>
      <c r="G73" s="504"/>
      <c r="H73" s="504"/>
      <c r="I73" s="504"/>
      <c r="J73" s="504"/>
      <c r="K73" s="504"/>
      <c r="L73" s="504"/>
      <c r="M73" s="504"/>
      <c r="N73" s="504"/>
      <c r="O73" s="504"/>
      <c r="P73" s="504"/>
      <c r="Q73" s="504"/>
      <c r="R73" s="504"/>
      <c r="S73" s="504"/>
      <c r="T73" s="504"/>
      <c r="U73" s="504"/>
      <c r="V73" s="504"/>
      <c r="W73" s="504"/>
      <c r="X73" s="504"/>
    </row>
    <row r="74" spans="1:25" s="16" customFormat="1" ht="14.25">
      <c r="A74" s="280" t="s">
        <v>124</v>
      </c>
      <c r="B74" s="533"/>
      <c r="C74" s="533"/>
      <c r="D74" s="534"/>
      <c r="E74" s="535"/>
      <c r="F74" s="535"/>
      <c r="G74" s="535"/>
      <c r="H74" s="535"/>
      <c r="I74" s="535"/>
      <c r="J74" s="535"/>
      <c r="K74" s="535"/>
      <c r="L74" s="535"/>
      <c r="M74" s="535"/>
      <c r="N74" s="535"/>
      <c r="O74" s="535"/>
      <c r="P74" s="535"/>
      <c r="Q74" s="535"/>
      <c r="R74" s="535"/>
      <c r="S74" s="535"/>
      <c r="T74" s="535"/>
      <c r="U74" s="535"/>
      <c r="V74" s="535"/>
      <c r="W74" s="535"/>
      <c r="X74" s="535"/>
    </row>
    <row r="75" spans="1:25" s="279" customFormat="1" ht="14.25">
      <c r="A75" s="91" t="s">
        <v>83</v>
      </c>
      <c r="B75" s="536"/>
      <c r="C75" s="536"/>
      <c r="D75" s="537"/>
      <c r="E75" s="538"/>
      <c r="F75" s="538"/>
      <c r="G75" s="538"/>
      <c r="H75" s="538"/>
      <c r="I75" s="538"/>
      <c r="J75" s="538"/>
      <c r="K75" s="538"/>
      <c r="L75" s="538"/>
      <c r="M75" s="538"/>
      <c r="N75" s="538"/>
      <c r="O75" s="538"/>
      <c r="P75" s="538"/>
      <c r="Q75" s="538"/>
      <c r="R75" s="538"/>
      <c r="S75" s="538"/>
      <c r="T75" s="538"/>
      <c r="U75" s="538"/>
      <c r="V75" s="538"/>
      <c r="W75" s="538"/>
      <c r="X75" s="538"/>
    </row>
    <row r="76" spans="1:25">
      <c r="A76" s="90" t="str">
        <f>'BH Tariffs'!A19</f>
        <v>Town Wharfage (Exclusive Use, Ferry Property Only)</v>
      </c>
      <c r="B76" s="89"/>
      <c r="C76" s="89"/>
      <c r="D76" s="502">
        <v>0</v>
      </c>
      <c r="E76" s="504">
        <f>'BH Tariffs'!D19*'P&amp;L - Concept B2 - Carnival'!E12</f>
        <v>0</v>
      </c>
      <c r="F76" s="504">
        <f>'BH Tariffs'!E19*'P&amp;L - Concept B2 - Carnival'!F12</f>
        <v>737024.41444463574</v>
      </c>
      <c r="G76" s="504">
        <f>'BH Tariffs'!F19*'P&amp;L - Concept B2 - Carnival'!G12</f>
        <v>751764.90273352852</v>
      </c>
      <c r="H76" s="504">
        <f>'BH Tariffs'!G19*'P&amp;L - Concept B2 - Carnival'!H12</f>
        <v>766800.20078819909</v>
      </c>
      <c r="I76" s="504">
        <f>'BH Tariffs'!H19*'P&amp;L - Concept B2 - Carnival'!I12</f>
        <v>782136.20480396308</v>
      </c>
      <c r="J76" s="504">
        <f>'BH Tariffs'!I19*'P&amp;L - Concept B2 - Carnival'!J12</f>
        <v>797778.92890004232</v>
      </c>
      <c r="K76" s="504">
        <f>'BH Tariffs'!J19*'P&amp;L - Concept B2 - Carnival'!K12</f>
        <v>813734.5074780432</v>
      </c>
      <c r="L76" s="504">
        <f>'BH Tariffs'!K19*'P&amp;L - Concept B2 - Carnival'!L12</f>
        <v>830009.19762760401</v>
      </c>
      <c r="M76" s="504">
        <f>'BH Tariffs'!L19*'P&amp;L - Concept B2 - Carnival'!M12</f>
        <v>846609.38158015627</v>
      </c>
      <c r="N76" s="504">
        <f>'BH Tariffs'!M19*'P&amp;L - Concept B2 - Carnival'!N12</f>
        <v>863541.56921175926</v>
      </c>
      <c r="O76" s="504">
        <f>'BH Tariffs'!N19*'P&amp;L - Concept B2 - Carnival'!O12</f>
        <v>880812.40059599455</v>
      </c>
      <c r="P76" s="504">
        <f>'BH Tariffs'!O19*'P&amp;L - Concept B2 - Carnival'!P12</f>
        <v>898428.64860791445</v>
      </c>
      <c r="Q76" s="504">
        <f>'BH Tariffs'!P19*'P&amp;L - Concept B2 - Carnival'!Q12</f>
        <v>916397.22158007277</v>
      </c>
      <c r="R76" s="504">
        <f>'BH Tariffs'!Q19*'P&amp;L - Concept B2 - Carnival'!R12</f>
        <v>934725.1660116741</v>
      </c>
      <c r="S76" s="504">
        <f>'BH Tariffs'!R19*'P&amp;L - Concept B2 - Carnival'!S12</f>
        <v>953419.66933190764</v>
      </c>
      <c r="T76" s="504">
        <f>'BH Tariffs'!S19*'P&amp;L - Concept B2 - Carnival'!T12</f>
        <v>972488.06271854579</v>
      </c>
      <c r="U76" s="504">
        <f>'BH Tariffs'!T19*'P&amp;L - Concept B2 - Carnival'!U12</f>
        <v>991937.82397291681</v>
      </c>
      <c r="V76" s="504">
        <f>'BH Tariffs'!U19*'P&amp;L - Concept B2 - Carnival'!V12</f>
        <v>1011776.5804523751</v>
      </c>
      <c r="W76" s="504">
        <f>'BH Tariffs'!V19*'P&amp;L - Concept B2 - Carnival'!W12</f>
        <v>1032012.1120614228</v>
      </c>
      <c r="X76" s="504">
        <f>'BH Tariffs'!W19*'P&amp;L - Concept B2 - Carnival'!X12</f>
        <v>1052652.3543026512</v>
      </c>
      <c r="Y76" s="413">
        <f>SUM(D76:X76)</f>
        <v>16834049.347203407</v>
      </c>
    </row>
    <row r="77" spans="1:25" s="341" customFormat="1">
      <c r="A77" s="353" t="str">
        <f>'BH Tariffs'!A21</f>
        <v>CBP Infastructure Fee (Ferry Property Only)</v>
      </c>
      <c r="B77" s="355"/>
      <c r="C77" s="355"/>
      <c r="D77" s="548">
        <v>0</v>
      </c>
      <c r="E77" s="503">
        <v>0</v>
      </c>
      <c r="F77" s="503">
        <v>0</v>
      </c>
      <c r="G77" s="503">
        <v>0</v>
      </c>
      <c r="H77" s="503">
        <v>0</v>
      </c>
      <c r="I77" s="503">
        <v>0</v>
      </c>
      <c r="J77" s="503">
        <v>0</v>
      </c>
      <c r="K77" s="503">
        <v>0</v>
      </c>
      <c r="L77" s="503">
        <v>0</v>
      </c>
      <c r="M77" s="503">
        <v>0</v>
      </c>
      <c r="N77" s="503">
        <v>0</v>
      </c>
      <c r="O77" s="503">
        <v>0</v>
      </c>
      <c r="P77" s="503">
        <v>0</v>
      </c>
      <c r="Q77" s="503">
        <v>0</v>
      </c>
      <c r="R77" s="503">
        <v>0</v>
      </c>
      <c r="S77" s="503">
        <v>0</v>
      </c>
      <c r="T77" s="503">
        <v>0</v>
      </c>
      <c r="U77" s="503">
        <v>0</v>
      </c>
      <c r="V77" s="503">
        <v>0</v>
      </c>
      <c r="W77" s="503">
        <v>0</v>
      </c>
      <c r="X77" s="503">
        <v>0</v>
      </c>
      <c r="Y77" s="413"/>
    </row>
    <row r="78" spans="1:25" s="96" customFormat="1">
      <c r="A78" s="90" t="str">
        <f>'BH Tariffs'!A22</f>
        <v>Infrastructure Fee</v>
      </c>
      <c r="B78" s="356"/>
      <c r="C78" s="356"/>
      <c r="D78" s="502">
        <v>0</v>
      </c>
      <c r="E78" s="504">
        <v>0</v>
      </c>
      <c r="F78" s="504">
        <f>'BH Tariffs'!E22*'Cruise Projections'!V97</f>
        <v>522936.74160000001</v>
      </c>
      <c r="G78" s="504">
        <f>'BH Tariffs'!F22*'Cruise Projections'!W97</f>
        <v>533395.47643200005</v>
      </c>
      <c r="H78" s="504">
        <f>'BH Tariffs'!G22*'Cruise Projections'!X97</f>
        <v>544063.38596063992</v>
      </c>
      <c r="I78" s="504">
        <f>'BH Tariffs'!H22*'Cruise Projections'!Y97</f>
        <v>554944.65367985272</v>
      </c>
      <c r="J78" s="504">
        <f>'BH Tariffs'!I22*'Cruise Projections'!Z97</f>
        <v>566043.54675344983</v>
      </c>
      <c r="K78" s="504">
        <f>'BH Tariffs'!J22*'Cruise Projections'!AA97</f>
        <v>577364.41768851888</v>
      </c>
      <c r="L78" s="504">
        <f>'BH Tariffs'!K22*'Cruise Projections'!AB97</f>
        <v>588911.70604228915</v>
      </c>
      <c r="M78" s="504">
        <f>'BH Tariffs'!L22*'Cruise Projections'!AC97</f>
        <v>600689.94016313506</v>
      </c>
      <c r="N78" s="504">
        <f>'BH Tariffs'!M22*'Cruise Projections'!AD97</f>
        <v>612703.73896639771</v>
      </c>
      <c r="O78" s="504">
        <f>'BH Tariffs'!N22*'Cruise Projections'!AE97</f>
        <v>624957.81374572578</v>
      </c>
      <c r="P78" s="504">
        <f>'BH Tariffs'!O22*'Cruise Projections'!AF97</f>
        <v>637456.97002064029</v>
      </c>
      <c r="Q78" s="504">
        <f>'BH Tariffs'!P22*'Cruise Projections'!AG97</f>
        <v>650206.10942105309</v>
      </c>
      <c r="R78" s="504">
        <f>'BH Tariffs'!Q22*'Cruise Projections'!AH97</f>
        <v>663210.23160947405</v>
      </c>
      <c r="S78" s="504">
        <f>'BH Tariffs'!R22*'Cruise Projections'!AI97</f>
        <v>676474.43624166364</v>
      </c>
      <c r="T78" s="504">
        <f>'BH Tariffs'!S22*'Cruise Projections'!AJ97</f>
        <v>690003.924966497</v>
      </c>
      <c r="U78" s="504">
        <f>'BH Tariffs'!T22*'Cruise Projections'!AK97</f>
        <v>703804.00346582686</v>
      </c>
      <c r="V78" s="504">
        <f>'BH Tariffs'!U22*'Cruise Projections'!AL97</f>
        <v>717880.08353514341</v>
      </c>
      <c r="W78" s="504">
        <f>'BH Tariffs'!V22*'Cruise Projections'!AM97</f>
        <v>732237.68520584644</v>
      </c>
      <c r="X78" s="504">
        <f>'BH Tariffs'!W22*'Cruise Projections'!AN97</f>
        <v>746882.43890996324</v>
      </c>
      <c r="Y78" s="413">
        <f t="shared" ref="Y78" si="10">SUM(D78:X78)</f>
        <v>11944167.30440812</v>
      </c>
    </row>
    <row r="79" spans="1:25">
      <c r="A79" s="90"/>
      <c r="B79" s="89"/>
      <c r="C79" s="89"/>
      <c r="D79" s="502"/>
      <c r="E79" s="504"/>
      <c r="F79" s="504"/>
      <c r="G79" s="504"/>
      <c r="H79" s="504"/>
      <c r="I79" s="504"/>
      <c r="J79" s="504"/>
      <c r="K79" s="504"/>
      <c r="L79" s="504"/>
      <c r="M79" s="504"/>
      <c r="N79" s="504"/>
      <c r="O79" s="504"/>
      <c r="P79" s="504"/>
      <c r="Q79" s="504"/>
      <c r="R79" s="504"/>
      <c r="S79" s="504"/>
      <c r="T79" s="504"/>
      <c r="U79" s="504"/>
      <c r="V79" s="504"/>
      <c r="W79" s="504"/>
      <c r="X79" s="504"/>
    </row>
    <row r="80" spans="1:25" s="341" customFormat="1">
      <c r="A80" s="543" t="s">
        <v>163</v>
      </c>
      <c r="B80" s="354"/>
      <c r="C80" s="355"/>
      <c r="D80" s="548"/>
      <c r="E80" s="503"/>
      <c r="F80" s="503"/>
      <c r="G80" s="503"/>
      <c r="H80" s="503"/>
      <c r="I80" s="503"/>
      <c r="J80" s="503"/>
      <c r="K80" s="503"/>
      <c r="L80" s="503"/>
      <c r="M80" s="503"/>
      <c r="N80" s="503"/>
      <c r="O80" s="503"/>
      <c r="P80" s="503"/>
      <c r="Q80" s="503"/>
      <c r="R80" s="503"/>
      <c r="S80" s="503"/>
      <c r="T80" s="503"/>
      <c r="U80" s="503"/>
      <c r="V80" s="503"/>
      <c r="W80" s="503"/>
      <c r="X80" s="503"/>
    </row>
    <row r="81" spans="1:25" s="341" customFormat="1">
      <c r="A81" s="353" t="str">
        <f>'BH Tariffs'!A25</f>
        <v>Dock Rent (12 months)</v>
      </c>
      <c r="B81" s="354"/>
      <c r="C81" s="355"/>
      <c r="D81" s="548">
        <v>0</v>
      </c>
      <c r="E81" s="503">
        <v>0</v>
      </c>
      <c r="F81" s="503">
        <v>0</v>
      </c>
      <c r="G81" s="503">
        <v>0</v>
      </c>
      <c r="H81" s="503">
        <v>0</v>
      </c>
      <c r="I81" s="503">
        <v>0</v>
      </c>
      <c r="J81" s="503">
        <v>0</v>
      </c>
      <c r="K81" s="503">
        <v>0</v>
      </c>
      <c r="L81" s="503">
        <v>0</v>
      </c>
      <c r="M81" s="503">
        <v>0</v>
      </c>
      <c r="N81" s="503">
        <v>0</v>
      </c>
      <c r="O81" s="503">
        <v>0</v>
      </c>
      <c r="P81" s="503">
        <v>0</v>
      </c>
      <c r="Q81" s="503">
        <v>0</v>
      </c>
      <c r="R81" s="503">
        <v>0</v>
      </c>
      <c r="S81" s="503">
        <v>0</v>
      </c>
      <c r="T81" s="503">
        <v>0</v>
      </c>
      <c r="U81" s="503">
        <v>0</v>
      </c>
      <c r="V81" s="503">
        <v>0</v>
      </c>
      <c r="W81" s="503">
        <v>0</v>
      </c>
      <c r="X81" s="503">
        <v>0</v>
      </c>
    </row>
    <row r="82" spans="1:25" s="341" customFormat="1">
      <c r="A82" s="353" t="str">
        <f>'BH Tariffs'!A26</f>
        <v>Ferry Passenger Wharfage</v>
      </c>
      <c r="B82" s="354"/>
      <c r="C82" s="355"/>
      <c r="D82" s="548">
        <v>0</v>
      </c>
      <c r="E82" s="503">
        <v>0</v>
      </c>
      <c r="F82" s="503">
        <v>0</v>
      </c>
      <c r="G82" s="503">
        <v>0</v>
      </c>
      <c r="H82" s="503">
        <v>0</v>
      </c>
      <c r="I82" s="503">
        <v>0</v>
      </c>
      <c r="J82" s="503">
        <v>0</v>
      </c>
      <c r="K82" s="503">
        <v>0</v>
      </c>
      <c r="L82" s="503">
        <v>0</v>
      </c>
      <c r="M82" s="503">
        <v>0</v>
      </c>
      <c r="N82" s="503">
        <v>0</v>
      </c>
      <c r="O82" s="503">
        <v>0</v>
      </c>
      <c r="P82" s="503">
        <v>0</v>
      </c>
      <c r="Q82" s="503">
        <v>0</v>
      </c>
      <c r="R82" s="503">
        <v>0</v>
      </c>
      <c r="S82" s="503">
        <v>0</v>
      </c>
      <c r="T82" s="503">
        <v>0</v>
      </c>
      <c r="U82" s="503">
        <v>0</v>
      </c>
      <c r="V82" s="503">
        <v>0</v>
      </c>
      <c r="W82" s="503">
        <v>0</v>
      </c>
      <c r="X82" s="503">
        <v>0</v>
      </c>
    </row>
    <row r="83" spans="1:25" s="341" customFormat="1">
      <c r="A83" s="353" t="str">
        <f>'BH Tariffs'!A27</f>
        <v>Ferry Passenger Vehicle Wharfage</v>
      </c>
      <c r="B83" s="354"/>
      <c r="C83" s="355"/>
      <c r="D83" s="548">
        <v>0</v>
      </c>
      <c r="E83" s="503">
        <v>0</v>
      </c>
      <c r="F83" s="503">
        <v>0</v>
      </c>
      <c r="G83" s="503">
        <v>0</v>
      </c>
      <c r="H83" s="503">
        <v>0</v>
      </c>
      <c r="I83" s="503">
        <v>0</v>
      </c>
      <c r="J83" s="503">
        <v>0</v>
      </c>
      <c r="K83" s="503">
        <v>0</v>
      </c>
      <c r="L83" s="503">
        <v>0</v>
      </c>
      <c r="M83" s="503">
        <v>0</v>
      </c>
      <c r="N83" s="503">
        <v>0</v>
      </c>
      <c r="O83" s="503">
        <v>0</v>
      </c>
      <c r="P83" s="503">
        <v>0</v>
      </c>
      <c r="Q83" s="503">
        <v>0</v>
      </c>
      <c r="R83" s="503">
        <v>0</v>
      </c>
      <c r="S83" s="503">
        <v>0</v>
      </c>
      <c r="T83" s="503">
        <v>0</v>
      </c>
      <c r="U83" s="503">
        <v>0</v>
      </c>
      <c r="V83" s="503">
        <v>0</v>
      </c>
      <c r="W83" s="503">
        <v>0</v>
      </c>
      <c r="X83" s="503">
        <v>0</v>
      </c>
    </row>
    <row r="84" spans="1:25" s="341" customFormat="1">
      <c r="A84" s="353" t="str">
        <f>'BH Tariffs'!A28</f>
        <v>Ferry Bus Wharfage</v>
      </c>
      <c r="B84" s="354"/>
      <c r="C84" s="355"/>
      <c r="D84" s="548">
        <v>0</v>
      </c>
      <c r="E84" s="503">
        <v>0</v>
      </c>
      <c r="F84" s="503">
        <v>0</v>
      </c>
      <c r="G84" s="503">
        <v>0</v>
      </c>
      <c r="H84" s="503">
        <v>0</v>
      </c>
      <c r="I84" s="503">
        <v>0</v>
      </c>
      <c r="J84" s="503">
        <v>0</v>
      </c>
      <c r="K84" s="503">
        <v>0</v>
      </c>
      <c r="L84" s="503">
        <v>0</v>
      </c>
      <c r="M84" s="503">
        <v>0</v>
      </c>
      <c r="N84" s="503">
        <v>0</v>
      </c>
      <c r="O84" s="503">
        <v>0</v>
      </c>
      <c r="P84" s="503">
        <v>0</v>
      </c>
      <c r="Q84" s="503">
        <v>0</v>
      </c>
      <c r="R84" s="503">
        <v>0</v>
      </c>
      <c r="S84" s="503">
        <v>0</v>
      </c>
      <c r="T84" s="503">
        <v>0</v>
      </c>
      <c r="U84" s="503">
        <v>0</v>
      </c>
      <c r="V84" s="503">
        <v>0</v>
      </c>
      <c r="W84" s="503">
        <v>0</v>
      </c>
      <c r="X84" s="503">
        <v>0</v>
      </c>
    </row>
    <row r="85" spans="1:25">
      <c r="A85" s="88"/>
      <c r="B85" s="30"/>
      <c r="C85" s="89"/>
      <c r="D85" s="502"/>
      <c r="E85" s="504"/>
      <c r="F85" s="504"/>
      <c r="G85" s="504"/>
      <c r="H85" s="504"/>
      <c r="I85" s="504"/>
      <c r="J85" s="504"/>
      <c r="K85" s="504"/>
      <c r="L85" s="504"/>
      <c r="M85" s="504"/>
      <c r="N85" s="504"/>
      <c r="O85" s="504"/>
      <c r="P85" s="504"/>
      <c r="Q85" s="504"/>
      <c r="R85" s="504"/>
      <c r="S85" s="504"/>
      <c r="T85" s="504"/>
      <c r="U85" s="504"/>
      <c r="V85" s="504"/>
      <c r="W85" s="504"/>
      <c r="X85" s="504"/>
    </row>
    <row r="86" spans="1:25" s="96" customFormat="1">
      <c r="A86" s="605" t="s">
        <v>164</v>
      </c>
      <c r="B86" s="606"/>
      <c r="C86" s="356"/>
      <c r="D86" s="502"/>
      <c r="E86" s="504"/>
      <c r="F86" s="504"/>
      <c r="G86" s="504"/>
      <c r="H86" s="504"/>
      <c r="I86" s="504"/>
      <c r="J86" s="504"/>
      <c r="K86" s="504"/>
      <c r="L86" s="504"/>
      <c r="M86" s="504"/>
      <c r="N86" s="504"/>
      <c r="O86" s="504"/>
      <c r="P86" s="504"/>
      <c r="Q86" s="504"/>
      <c r="R86" s="504"/>
      <c r="S86" s="504"/>
      <c r="T86" s="504"/>
      <c r="U86" s="504"/>
      <c r="V86" s="504"/>
      <c r="W86" s="504"/>
      <c r="X86" s="504"/>
    </row>
    <row r="87" spans="1:25" s="96" customFormat="1">
      <c r="A87" s="90" t="str">
        <f>'BH Tariffs'!A31</f>
        <v>Dock Rent (6 Months Only)</v>
      </c>
      <c r="B87" s="606"/>
      <c r="C87" s="356"/>
      <c r="D87" s="502">
        <v>0</v>
      </c>
      <c r="E87" s="504">
        <v>0</v>
      </c>
      <c r="F87" s="504">
        <f>'BH Tariffs'!E31*6</f>
        <v>12240</v>
      </c>
      <c r="G87" s="504">
        <f>'BH Tariffs'!F31*6</f>
        <v>12484.800000000001</v>
      </c>
      <c r="H87" s="504">
        <f>'BH Tariffs'!G31*6</f>
        <v>12734.495999999999</v>
      </c>
      <c r="I87" s="504">
        <f>'BH Tariffs'!H31*6</f>
        <v>12989.18592</v>
      </c>
      <c r="J87" s="504">
        <f>'BH Tariffs'!I31*6</f>
        <v>13248.9696384</v>
      </c>
      <c r="K87" s="504">
        <f>'BH Tariffs'!J31*6</f>
        <v>13513.949031168002</v>
      </c>
      <c r="L87" s="504">
        <f>'BH Tariffs'!K31*6</f>
        <v>13784.228011791361</v>
      </c>
      <c r="M87" s="504">
        <f>'BH Tariffs'!L31*6</f>
        <v>14059.912572027188</v>
      </c>
      <c r="N87" s="504">
        <f>'BH Tariffs'!M31*6</f>
        <v>14341.110823467734</v>
      </c>
      <c r="O87" s="504">
        <f>'BH Tariffs'!N31*6</f>
        <v>14627.933039937088</v>
      </c>
      <c r="P87" s="504">
        <f>'BH Tariffs'!O31*6</f>
        <v>14920.491700735829</v>
      </c>
      <c r="Q87" s="504">
        <f>'BH Tariffs'!P31*6</f>
        <v>15218.901534750545</v>
      </c>
      <c r="R87" s="504">
        <f>'BH Tariffs'!Q31*6</f>
        <v>15523.279565445555</v>
      </c>
      <c r="S87" s="504">
        <f>'BH Tariffs'!R31*6</f>
        <v>15833.745156754467</v>
      </c>
      <c r="T87" s="504">
        <f>'BH Tariffs'!S31*6</f>
        <v>16150.420059889559</v>
      </c>
      <c r="U87" s="504">
        <f>'BH Tariffs'!T31*6</f>
        <v>16473.428461087351</v>
      </c>
      <c r="V87" s="504">
        <f>'BH Tariffs'!U31*6</f>
        <v>16802.897030309097</v>
      </c>
      <c r="W87" s="504">
        <f>'BH Tariffs'!V31*6</f>
        <v>17138.954970915282</v>
      </c>
      <c r="X87" s="504">
        <f>'BH Tariffs'!W31*6</f>
        <v>17481.734070333587</v>
      </c>
    </row>
    <row r="88" spans="1:25" s="96" customFormat="1">
      <c r="A88" s="90"/>
      <c r="B88" s="606"/>
      <c r="C88" s="356"/>
      <c r="D88" s="502"/>
      <c r="E88" s="504"/>
      <c r="F88" s="504"/>
      <c r="G88" s="504"/>
      <c r="H88" s="504"/>
      <c r="I88" s="504"/>
      <c r="J88" s="504"/>
      <c r="K88" s="504"/>
      <c r="L88" s="504"/>
      <c r="M88" s="504"/>
      <c r="N88" s="504"/>
      <c r="O88" s="504"/>
      <c r="P88" s="504"/>
      <c r="Q88" s="504"/>
      <c r="R88" s="504"/>
      <c r="S88" s="504"/>
      <c r="T88" s="504"/>
      <c r="U88" s="504"/>
      <c r="V88" s="504"/>
      <c r="W88" s="504"/>
      <c r="X88" s="504"/>
    </row>
    <row r="89" spans="1:25" s="582" customFormat="1" ht="14.25">
      <c r="A89" s="605" t="str">
        <f>'BH Tariffs'!A33</f>
        <v>Recreational/Commercial Marina</v>
      </c>
      <c r="B89" s="607"/>
      <c r="C89" s="608"/>
      <c r="D89" s="537"/>
      <c r="E89" s="538"/>
      <c r="F89" s="538"/>
      <c r="G89" s="538"/>
      <c r="H89" s="538"/>
      <c r="I89" s="538"/>
      <c r="J89" s="538"/>
      <c r="K89" s="538"/>
      <c r="L89" s="538"/>
      <c r="M89" s="538"/>
      <c r="N89" s="538"/>
      <c r="O89" s="538"/>
      <c r="P89" s="538"/>
      <c r="Q89" s="538"/>
      <c r="R89" s="538"/>
      <c r="S89" s="538"/>
      <c r="T89" s="538"/>
      <c r="U89" s="538"/>
      <c r="V89" s="538"/>
      <c r="W89" s="538"/>
      <c r="X89" s="538"/>
    </row>
    <row r="90" spans="1:25" s="96" customFormat="1">
      <c r="A90" s="90" t="str">
        <f>'BH Tariffs'!A34</f>
        <v>Transient Slip Rent</v>
      </c>
      <c r="B90" s="606"/>
      <c r="C90" s="356"/>
      <c r="D90" s="502">
        <v>0</v>
      </c>
      <c r="E90" s="504">
        <v>0</v>
      </c>
      <c r="F90" s="504">
        <f>'BH Tariffs'!E34*'P&amp;L - Concept B2 - Carnival'!F57</f>
        <v>24370.791468749998</v>
      </c>
      <c r="G90" s="504">
        <f>'BH Tariffs'!F34*'P&amp;L - Concept B2 - Carnival'!G57</f>
        <v>24858.207298124998</v>
      </c>
      <c r="H90" s="504">
        <f>'BH Tariffs'!G34*'P&amp;L - Concept B2 - Carnival'!H57</f>
        <v>25355.371444087494</v>
      </c>
      <c r="I90" s="504">
        <f>'BH Tariffs'!H34*'P&amp;L - Concept B2 - Carnival'!I57</f>
        <v>25862.478872969248</v>
      </c>
      <c r="J90" s="504">
        <f>'BH Tariffs'!I34*'P&amp;L - Concept B2 - Carnival'!J57</f>
        <v>26379.728450428636</v>
      </c>
      <c r="K90" s="504">
        <f>'BH Tariffs'!J34*'P&amp;L - Concept B2 - Carnival'!K57</f>
        <v>26907.323019437208</v>
      </c>
      <c r="L90" s="504">
        <f>'BH Tariffs'!K34*'P&amp;L - Concept B2 - Carnival'!L57</f>
        <v>27445.469479825952</v>
      </c>
      <c r="M90" s="504">
        <f>'BH Tariffs'!L34*'P&amp;L - Concept B2 - Carnival'!M57</f>
        <v>27994.378869422475</v>
      </c>
      <c r="N90" s="504">
        <f>'BH Tariffs'!M34*'P&amp;L - Concept B2 - Carnival'!N57</f>
        <v>28554.266446810921</v>
      </c>
      <c r="O90" s="504">
        <f>'BH Tariffs'!N34*'P&amp;L - Concept B2 - Carnival'!O57</f>
        <v>29125.351775747142</v>
      </c>
      <c r="P90" s="504">
        <f>'BH Tariffs'!O34*'P&amp;L - Concept B2 - Carnival'!P57</f>
        <v>29707.858811262082</v>
      </c>
      <c r="Q90" s="504">
        <f>'BH Tariffs'!P34*'P&amp;L - Concept B2 - Carnival'!Q57</f>
        <v>30302.015987487324</v>
      </c>
      <c r="R90" s="504">
        <f>'BH Tariffs'!Q34*'P&amp;L - Concept B2 - Carnival'!R57</f>
        <v>30908.056307237068</v>
      </c>
      <c r="S90" s="504">
        <f>'BH Tariffs'!R34*'P&amp;L - Concept B2 - Carnival'!S57</f>
        <v>31526.217433381815</v>
      </c>
      <c r="T90" s="504">
        <f>'BH Tariffs'!S34*'P&amp;L - Concept B2 - Carnival'!T57</f>
        <v>32156.741782049452</v>
      </c>
      <c r="U90" s="504">
        <f>'BH Tariffs'!T34*'P&amp;L - Concept B2 - Carnival'!U57</f>
        <v>32799.876617690439</v>
      </c>
      <c r="V90" s="504">
        <f>'BH Tariffs'!U34*'P&amp;L - Concept B2 - Carnival'!V57</f>
        <v>33455.874150044256</v>
      </c>
      <c r="W90" s="504">
        <f>'BH Tariffs'!V34*'P&amp;L - Concept B2 - Carnival'!W57</f>
        <v>34124.991633045138</v>
      </c>
      <c r="X90" s="504">
        <f>'BH Tariffs'!W34*'P&amp;L - Concept B2 - Carnival'!X57</f>
        <v>34807.491465706036</v>
      </c>
    </row>
    <row r="91" spans="1:25" s="96" customFormat="1">
      <c r="A91" s="90" t="s">
        <v>280</v>
      </c>
      <c r="B91" s="606"/>
      <c r="C91" s="356"/>
      <c r="D91" s="502">
        <v>0</v>
      </c>
      <c r="E91" s="504">
        <v>0</v>
      </c>
      <c r="F91" s="504">
        <f>'BH Tariffs'!E35*'P&amp;L - Concept B2 - Carnival'!F58</f>
        <v>38459.610000000008</v>
      </c>
      <c r="G91" s="504">
        <f>'BH Tariffs'!F35*'P&amp;L - Concept B2 - Carnival'!G58</f>
        <v>39228.802200000006</v>
      </c>
      <c r="H91" s="504">
        <f>'BH Tariffs'!G35*'P&amp;L - Concept B2 - Carnival'!H58</f>
        <v>40013.378244</v>
      </c>
      <c r="I91" s="504">
        <f>'BH Tariffs'!H35*'P&amp;L - Concept B2 - Carnival'!I58</f>
        <v>40813.645808879999</v>
      </c>
      <c r="J91" s="504">
        <f>'BH Tariffs'!I35*'P&amp;L - Concept B2 - Carnival'!J58</f>
        <v>41629.9187250576</v>
      </c>
      <c r="K91" s="504">
        <f>'BH Tariffs'!J35*'P&amp;L - Concept B2 - Carnival'!K58</f>
        <v>42462.517099558754</v>
      </c>
      <c r="L91" s="504">
        <f>'BH Tariffs'!K35*'P&amp;L - Concept B2 - Carnival'!L58</f>
        <v>43311.767441549935</v>
      </c>
      <c r="M91" s="504">
        <f>'BH Tariffs'!L35*'P&amp;L - Concept B2 - Carnival'!M58</f>
        <v>44178.002790380931</v>
      </c>
      <c r="N91" s="504">
        <f>'BH Tariffs'!M35*'P&amp;L - Concept B2 - Carnival'!N58</f>
        <v>45061.56284618855</v>
      </c>
      <c r="O91" s="504">
        <f>'BH Tariffs'!N35*'P&amp;L - Concept B2 - Carnival'!O58</f>
        <v>45962.794103112326</v>
      </c>
      <c r="P91" s="504">
        <f>'BH Tariffs'!O35*'P&amp;L - Concept B2 - Carnival'!P58</f>
        <v>46882.04998517457</v>
      </c>
      <c r="Q91" s="504">
        <f>'BH Tariffs'!P35*'P&amp;L - Concept B2 - Carnival'!Q58</f>
        <v>47819.690984878056</v>
      </c>
      <c r="R91" s="504">
        <f>'BH Tariffs'!Q35*'P&amp;L - Concept B2 - Carnival'!R58</f>
        <v>48776.084804575621</v>
      </c>
      <c r="S91" s="504">
        <f>'BH Tariffs'!R35*'P&amp;L - Concept B2 - Carnival'!S58</f>
        <v>49751.606500667134</v>
      </c>
      <c r="T91" s="504">
        <f>'BH Tariffs'!S35*'P&amp;L - Concept B2 - Carnival'!T58</f>
        <v>50746.638630680485</v>
      </c>
      <c r="U91" s="504">
        <f>'BH Tariffs'!T35*'P&amp;L - Concept B2 - Carnival'!U58</f>
        <v>51761.571403294096</v>
      </c>
      <c r="V91" s="504">
        <f>'BH Tariffs'!U35*'P&amp;L - Concept B2 - Carnival'!V58</f>
        <v>52796.802831359972</v>
      </c>
      <c r="W91" s="504">
        <f>'BH Tariffs'!V35*'P&amp;L - Concept B2 - Carnival'!W58</f>
        <v>53852.738887987187</v>
      </c>
      <c r="X91" s="504">
        <f>'BH Tariffs'!W35*'P&amp;L - Concept B2 - Carnival'!X58</f>
        <v>54929.793665746925</v>
      </c>
    </row>
    <row r="92" spans="1:25" s="167" customFormat="1">
      <c r="A92" s="539" t="str">
        <f>'BH Tariffs'!A36</f>
        <v>Water/Sewer</v>
      </c>
      <c r="B92" s="609"/>
      <c r="C92" s="540"/>
      <c r="D92" s="541">
        <v>0</v>
      </c>
      <c r="E92" s="542">
        <v>0</v>
      </c>
      <c r="F92" s="542">
        <v>0</v>
      </c>
      <c r="G92" s="542">
        <v>0</v>
      </c>
      <c r="H92" s="542">
        <v>0</v>
      </c>
      <c r="I92" s="542">
        <v>0</v>
      </c>
      <c r="J92" s="542">
        <v>0</v>
      </c>
      <c r="K92" s="542">
        <v>0</v>
      </c>
      <c r="L92" s="542">
        <v>0</v>
      </c>
      <c r="M92" s="542">
        <v>0</v>
      </c>
      <c r="N92" s="542">
        <v>0</v>
      </c>
      <c r="O92" s="542">
        <v>0</v>
      </c>
      <c r="P92" s="542">
        <v>0</v>
      </c>
      <c r="Q92" s="542">
        <v>0</v>
      </c>
      <c r="R92" s="542">
        <v>0</v>
      </c>
      <c r="S92" s="542">
        <v>0</v>
      </c>
      <c r="T92" s="542">
        <v>0</v>
      </c>
      <c r="U92" s="542">
        <v>0</v>
      </c>
      <c r="V92" s="542">
        <v>0</v>
      </c>
      <c r="W92" s="542">
        <v>0</v>
      </c>
      <c r="X92" s="542">
        <v>0</v>
      </c>
      <c r="Y92" s="167" t="s">
        <v>282</v>
      </c>
    </row>
    <row r="93" spans="1:25" s="167" customFormat="1">
      <c r="A93" s="539" t="str">
        <f>'BH Tariffs'!A37</f>
        <v xml:space="preserve">Power (Electricity) </v>
      </c>
      <c r="B93" s="609"/>
      <c r="C93" s="540"/>
      <c r="D93" s="541">
        <v>0</v>
      </c>
      <c r="E93" s="542">
        <v>0</v>
      </c>
      <c r="F93" s="542">
        <v>0</v>
      </c>
      <c r="G93" s="542">
        <v>0</v>
      </c>
      <c r="H93" s="542">
        <v>0</v>
      </c>
      <c r="I93" s="542">
        <v>0</v>
      </c>
      <c r="J93" s="542">
        <v>0</v>
      </c>
      <c r="K93" s="542">
        <v>0</v>
      </c>
      <c r="L93" s="542">
        <v>0</v>
      </c>
      <c r="M93" s="542">
        <v>0</v>
      </c>
      <c r="N93" s="542">
        <v>0</v>
      </c>
      <c r="O93" s="542">
        <v>0</v>
      </c>
      <c r="P93" s="542">
        <v>0</v>
      </c>
      <c r="Q93" s="542">
        <v>0</v>
      </c>
      <c r="R93" s="542">
        <v>0</v>
      </c>
      <c r="S93" s="542">
        <v>0</v>
      </c>
      <c r="T93" s="542">
        <v>0</v>
      </c>
      <c r="U93" s="542">
        <v>0</v>
      </c>
      <c r="V93" s="542">
        <v>0</v>
      </c>
      <c r="W93" s="542">
        <v>0</v>
      </c>
      <c r="X93" s="542">
        <v>0</v>
      </c>
      <c r="Y93" s="167" t="s">
        <v>282</v>
      </c>
    </row>
    <row r="94" spans="1:25" s="96" customFormat="1">
      <c r="A94" s="90" t="s">
        <v>526</v>
      </c>
      <c r="B94" s="606"/>
      <c r="C94" s="356"/>
      <c r="D94" s="502">
        <v>0</v>
      </c>
      <c r="E94" s="504">
        <v>0</v>
      </c>
      <c r="F94" s="504">
        <f>'BH Tariffs'!E38*'P&amp;L - Concept B2 - Carnival'!F56</f>
        <v>7500</v>
      </c>
      <c r="G94" s="504">
        <f>'BH Tariffs'!F38*'P&amp;L - Concept B2 - Carnival'!G56</f>
        <v>7650</v>
      </c>
      <c r="H94" s="504">
        <f>'BH Tariffs'!G38*'P&amp;L - Concept B2 - Carnival'!H56</f>
        <v>7803</v>
      </c>
      <c r="I94" s="504">
        <f>'BH Tariffs'!H38*'P&amp;L - Concept B2 - Carnival'!I56</f>
        <v>7959.0599999999995</v>
      </c>
      <c r="J94" s="504">
        <f>'BH Tariffs'!I38*'P&amp;L - Concept B2 - Carnival'!J56</f>
        <v>8118.2411999999995</v>
      </c>
      <c r="K94" s="504">
        <f>'BH Tariffs'!J38*'P&amp;L - Concept B2 - Carnival'!K56</f>
        <v>8280.6060240000006</v>
      </c>
      <c r="L94" s="504">
        <f>'BH Tariffs'!K38*'P&amp;L - Concept B2 - Carnival'!L56</f>
        <v>8446.2181444800008</v>
      </c>
      <c r="M94" s="504">
        <f>'BH Tariffs'!L38*'P&amp;L - Concept B2 - Carnival'!M56</f>
        <v>8615.1425073696009</v>
      </c>
      <c r="N94" s="504">
        <f>'BH Tariffs'!M38*'P&amp;L - Concept B2 - Carnival'!N56</f>
        <v>8787.4453575169937</v>
      </c>
      <c r="O94" s="504">
        <f>'BH Tariffs'!N38*'P&amp;L - Concept B2 - Carnival'!O56</f>
        <v>8963.1942646673324</v>
      </c>
      <c r="P94" s="504">
        <f>'BH Tariffs'!O38*'P&amp;L - Concept B2 - Carnival'!P56</f>
        <v>9142.4581499606793</v>
      </c>
      <c r="Q94" s="504">
        <f>'BH Tariffs'!P38*'P&amp;L - Concept B2 - Carnival'!Q56</f>
        <v>9325.3073129598943</v>
      </c>
      <c r="R94" s="504">
        <f>'BH Tariffs'!Q38*'P&amp;L - Concept B2 - Carnival'!R56</f>
        <v>9511.8134592190909</v>
      </c>
      <c r="S94" s="504">
        <f>'BH Tariffs'!R38*'P&amp;L - Concept B2 - Carnival'!S56</f>
        <v>9702.0497284034718</v>
      </c>
      <c r="T94" s="504">
        <f>'BH Tariffs'!S38*'P&amp;L - Concept B2 - Carnival'!T56</f>
        <v>9896.0907229715431</v>
      </c>
      <c r="U94" s="504">
        <f>'BH Tariffs'!T38*'P&amp;L - Concept B2 - Carnival'!U56</f>
        <v>10094.012537430975</v>
      </c>
      <c r="V94" s="504">
        <f>'BH Tariffs'!U38*'P&amp;L - Concept B2 - Carnival'!V56</f>
        <v>10295.892788179593</v>
      </c>
      <c r="W94" s="504">
        <f>'BH Tariffs'!V38*'P&amp;L - Concept B2 - Carnival'!W56</f>
        <v>10501.810643943187</v>
      </c>
      <c r="X94" s="504">
        <f>'BH Tariffs'!W38*'P&amp;L - Concept B2 - Carnival'!X56</f>
        <v>10711.846856822051</v>
      </c>
    </row>
    <row r="95" spans="1:25">
      <c r="A95" s="88"/>
      <c r="B95" s="30"/>
      <c r="C95" s="89"/>
      <c r="D95" s="502"/>
      <c r="E95" s="504"/>
      <c r="F95" s="504"/>
      <c r="G95" s="504"/>
      <c r="H95" s="504"/>
      <c r="I95" s="504"/>
      <c r="J95" s="504"/>
      <c r="K95" s="504"/>
      <c r="L95" s="504"/>
      <c r="M95" s="504"/>
      <c r="N95" s="504"/>
      <c r="O95" s="504"/>
      <c r="P95" s="504"/>
      <c r="Q95" s="504"/>
      <c r="R95" s="504"/>
      <c r="S95" s="504"/>
      <c r="T95" s="504"/>
      <c r="U95" s="504"/>
      <c r="V95" s="504"/>
      <c r="W95" s="504"/>
      <c r="X95" s="504"/>
    </row>
    <row r="96" spans="1:25">
      <c r="A96" s="91" t="s">
        <v>26</v>
      </c>
      <c r="B96" s="30"/>
      <c r="C96" s="89"/>
      <c r="D96" s="502"/>
      <c r="E96" s="504"/>
      <c r="F96" s="504"/>
      <c r="G96" s="504"/>
      <c r="H96" s="504"/>
      <c r="I96" s="504"/>
      <c r="J96" s="504"/>
      <c r="K96" s="504"/>
      <c r="L96" s="504"/>
      <c r="M96" s="504"/>
      <c r="N96" s="504"/>
      <c r="O96" s="504"/>
      <c r="P96" s="504"/>
      <c r="Q96" s="504"/>
      <c r="R96" s="504"/>
      <c r="S96" s="504"/>
      <c r="T96" s="504"/>
      <c r="U96" s="504"/>
      <c r="V96" s="504"/>
      <c r="W96" s="504"/>
      <c r="X96" s="504"/>
    </row>
    <row r="97" spans="1:24" s="341" customFormat="1">
      <c r="A97" s="353" t="s">
        <v>214</v>
      </c>
      <c r="B97" s="354"/>
      <c r="C97" s="355"/>
      <c r="D97" s="548">
        <v>0</v>
      </c>
      <c r="E97" s="503">
        <v>0</v>
      </c>
      <c r="F97" s="503">
        <v>0</v>
      </c>
      <c r="G97" s="503">
        <v>0</v>
      </c>
      <c r="H97" s="503">
        <v>0</v>
      </c>
      <c r="I97" s="503">
        <v>0</v>
      </c>
      <c r="J97" s="503">
        <v>0</v>
      </c>
      <c r="K97" s="503">
        <v>0</v>
      </c>
      <c r="L97" s="503">
        <v>0</v>
      </c>
      <c r="M97" s="503">
        <v>0</v>
      </c>
      <c r="N97" s="503">
        <v>0</v>
      </c>
      <c r="O97" s="503">
        <v>0</v>
      </c>
      <c r="P97" s="503">
        <v>0</v>
      </c>
      <c r="Q97" s="503">
        <v>0</v>
      </c>
      <c r="R97" s="503">
        <v>0</v>
      </c>
      <c r="S97" s="503">
        <v>0</v>
      </c>
      <c r="T97" s="503">
        <v>0</v>
      </c>
      <c r="U97" s="503">
        <v>0</v>
      </c>
      <c r="V97" s="503">
        <v>0</v>
      </c>
      <c r="W97" s="503">
        <v>0</v>
      </c>
      <c r="X97" s="503">
        <v>0</v>
      </c>
    </row>
    <row r="98" spans="1:24">
      <c r="A98" s="88" t="s">
        <v>215</v>
      </c>
      <c r="B98" s="30"/>
      <c r="C98" s="89"/>
      <c r="D98" s="502">
        <v>0</v>
      </c>
      <c r="E98" s="504">
        <f>'BH Tariffs'!D43*'P&amp;L - Concept B2 - Carnival'!E44</f>
        <v>0</v>
      </c>
      <c r="F98" s="504">
        <f>'BH Tariffs'!E43*'P&amp;L - Concept B2 - Carnival'!F44</f>
        <v>0</v>
      </c>
      <c r="G98" s="504">
        <f>'BH Tariffs'!F43*'P&amp;L - Concept B2 - Carnival'!G44</f>
        <v>0</v>
      </c>
      <c r="H98" s="504">
        <f>'BH Tariffs'!G43*'P&amp;L - Concept B2 - Carnival'!H44</f>
        <v>0</v>
      </c>
      <c r="I98" s="504">
        <f>'BH Tariffs'!H43*'P&amp;L - Concept B2 - Carnival'!I44</f>
        <v>0</v>
      </c>
      <c r="J98" s="504">
        <f>'BH Tariffs'!I43*'P&amp;L - Concept B2 - Carnival'!J44</f>
        <v>246265.49999999997</v>
      </c>
      <c r="K98" s="504">
        <f>'BH Tariffs'!J43*'P&amp;L - Concept B2 - Carnival'!K44</f>
        <v>246265.49999999997</v>
      </c>
      <c r="L98" s="504">
        <f>'BH Tariffs'!K43*'P&amp;L - Concept B2 - Carnival'!L44</f>
        <v>246265.49999999997</v>
      </c>
      <c r="M98" s="504">
        <f>'BH Tariffs'!L43*'P&amp;L - Concept B2 - Carnival'!M44</f>
        <v>246265.49999999997</v>
      </c>
      <c r="N98" s="504">
        <f>'BH Tariffs'!M43*'P&amp;L - Concept B2 - Carnival'!N44</f>
        <v>246265.49999999997</v>
      </c>
      <c r="O98" s="504">
        <f>'BH Tariffs'!N43*'P&amp;L - Concept B2 - Carnival'!O44</f>
        <v>307831.87499999994</v>
      </c>
      <c r="P98" s="504">
        <f>'BH Tariffs'!O43*'P&amp;L - Concept B2 - Carnival'!P44</f>
        <v>307831.87499999994</v>
      </c>
      <c r="Q98" s="504">
        <f>'BH Tariffs'!P43*'P&amp;L - Concept B2 - Carnival'!Q44</f>
        <v>307831.87499999994</v>
      </c>
      <c r="R98" s="504">
        <f>'BH Tariffs'!Q43*'P&amp;L - Concept B2 - Carnival'!R44</f>
        <v>307831.87499999994</v>
      </c>
      <c r="S98" s="504">
        <f>'BH Tariffs'!R43*'P&amp;L - Concept B2 - Carnival'!S44</f>
        <v>307831.87499999994</v>
      </c>
      <c r="T98" s="504">
        <f>'BH Tariffs'!S43*'P&amp;L - Concept B2 - Carnival'!T44</f>
        <v>369398.24999999994</v>
      </c>
      <c r="U98" s="504">
        <f>'BH Tariffs'!T43*'P&amp;L - Concept B2 - Carnival'!U44</f>
        <v>369398.24999999994</v>
      </c>
      <c r="V98" s="504">
        <f>'BH Tariffs'!U43*'P&amp;L - Concept B2 - Carnival'!V44</f>
        <v>369398.24999999994</v>
      </c>
      <c r="W98" s="504">
        <f>'BH Tariffs'!V43*'P&amp;L - Concept B2 - Carnival'!W44</f>
        <v>369398.24999999994</v>
      </c>
      <c r="X98" s="504">
        <f>'BH Tariffs'!W43*'P&amp;L - Concept B2 - Carnival'!X44</f>
        <v>369398.24999999994</v>
      </c>
    </row>
    <row r="99" spans="1:24">
      <c r="A99" s="91"/>
      <c r="B99" s="30"/>
      <c r="C99" s="89"/>
      <c r="D99" s="502"/>
      <c r="E99" s="504"/>
      <c r="F99" s="504"/>
      <c r="G99" s="504"/>
      <c r="H99" s="504"/>
      <c r="I99" s="504"/>
      <c r="J99" s="504"/>
      <c r="K99" s="504"/>
      <c r="L99" s="504"/>
      <c r="M99" s="504"/>
      <c r="N99" s="504"/>
      <c r="O99" s="504"/>
      <c r="P99" s="504"/>
      <c r="Q99" s="504"/>
      <c r="R99" s="504"/>
      <c r="S99" s="504"/>
      <c r="T99" s="504"/>
      <c r="U99" s="504"/>
      <c r="V99" s="504"/>
      <c r="W99" s="504"/>
      <c r="X99" s="504"/>
    </row>
    <row r="100" spans="1:24">
      <c r="A100" s="91" t="s">
        <v>2</v>
      </c>
      <c r="B100" s="30"/>
      <c r="C100" s="89"/>
      <c r="D100" s="502"/>
      <c r="E100" s="504"/>
      <c r="F100" s="504"/>
      <c r="G100" s="504"/>
      <c r="H100" s="504"/>
      <c r="I100" s="504"/>
      <c r="J100" s="504"/>
      <c r="K100" s="504"/>
      <c r="L100" s="504"/>
      <c r="M100" s="504"/>
      <c r="N100" s="504"/>
      <c r="O100" s="504"/>
      <c r="P100" s="504"/>
      <c r="Q100" s="504"/>
      <c r="R100" s="504"/>
      <c r="S100" s="504"/>
      <c r="T100" s="504"/>
      <c r="U100" s="504"/>
      <c r="V100" s="504"/>
      <c r="W100" s="504"/>
      <c r="X100" s="504"/>
    </row>
    <row r="101" spans="1:24">
      <c r="A101" s="88" t="str">
        <f>'BH Tariffs'!A44</f>
        <v>Commerical Rent (Seasonal Kiosk(s)/Vendor(s))</v>
      </c>
      <c r="B101" s="30"/>
      <c r="C101" s="89"/>
      <c r="D101" s="502">
        <v>0</v>
      </c>
      <c r="E101" s="504">
        <f>'BH Tariffs'!D44*'P&amp;L - Concept B2 - Carnival'!E63</f>
        <v>0</v>
      </c>
      <c r="F101" s="504">
        <f>'BH Tariffs'!E44*'P&amp;L - Concept B2 - Carnival'!F63</f>
        <v>0</v>
      </c>
      <c r="G101" s="504">
        <f>'BH Tariffs'!F44*'P&amp;L - Concept B2 - Carnival'!G63*6</f>
        <v>6242.4000000000005</v>
      </c>
      <c r="H101" s="504">
        <f>'BH Tariffs'!G44*'P&amp;L - Concept B2 - Carnival'!H63*6</f>
        <v>6367.2479999999996</v>
      </c>
      <c r="I101" s="504">
        <f>'BH Tariffs'!H44*'P&amp;L - Concept B2 - Carnival'!I63*6</f>
        <v>6494.5929599999999</v>
      </c>
      <c r="J101" s="504">
        <f>'BH Tariffs'!I44*'P&amp;L - Concept B2 - Carnival'!J63*6</f>
        <v>6624.4848191999999</v>
      </c>
      <c r="K101" s="504">
        <f>'BH Tariffs'!J44*'P&amp;L - Concept B2 - Carnival'!K63*6</f>
        <v>6756.974515584001</v>
      </c>
      <c r="L101" s="504">
        <f>'BH Tariffs'!K44*'P&amp;L - Concept B2 - Carnival'!L63*6</f>
        <v>6892.1140058956807</v>
      </c>
      <c r="M101" s="504">
        <f>'BH Tariffs'!L44*'P&amp;L - Concept B2 - Carnival'!M63*6</f>
        <v>7029.9562860135939</v>
      </c>
      <c r="N101" s="504">
        <f>'BH Tariffs'!M44*'P&amp;L - Concept B2 - Carnival'!N63*6</f>
        <v>7170.555411733867</v>
      </c>
      <c r="O101" s="504">
        <f>'BH Tariffs'!N44*'P&amp;L - Concept B2 - Carnival'!O63*6</f>
        <v>7313.9665199685442</v>
      </c>
      <c r="P101" s="504">
        <f>'BH Tariffs'!O44*'P&amp;L - Concept B2 - Carnival'!P63*6</f>
        <v>7460.2458503679145</v>
      </c>
      <c r="Q101" s="504">
        <f>'BH Tariffs'!P44*'P&amp;L - Concept B2 - Carnival'!Q63*6</f>
        <v>7609.4507673752723</v>
      </c>
      <c r="R101" s="504">
        <f>'BH Tariffs'!Q44*'P&amp;L - Concept B2 - Carnival'!R63*6</f>
        <v>7761.6397827227775</v>
      </c>
      <c r="S101" s="504">
        <f>'BH Tariffs'!R44*'P&amp;L - Concept B2 - Carnival'!S63*6</f>
        <v>7916.8725783772334</v>
      </c>
      <c r="T101" s="504">
        <f>'BH Tariffs'!S44*'P&amp;L - Concept B2 - Carnival'!T63*6</f>
        <v>8075.2100299447793</v>
      </c>
      <c r="U101" s="504">
        <f>'BH Tariffs'!T44*'P&amp;L - Concept B2 - Carnival'!U63*6</f>
        <v>8236.7142305436755</v>
      </c>
      <c r="V101" s="504">
        <f>'BH Tariffs'!U44*'P&amp;L - Concept B2 - Carnival'!V63*6</f>
        <v>8401.4485151545487</v>
      </c>
      <c r="W101" s="504">
        <f>'BH Tariffs'!V44*'P&amp;L - Concept B2 - Carnival'!W63*6</f>
        <v>8569.4774854576408</v>
      </c>
      <c r="X101" s="504">
        <f>'BH Tariffs'!W44*'P&amp;L - Concept B2 - Carnival'!X63*6</f>
        <v>8740.8670351667934</v>
      </c>
    </row>
    <row r="102" spans="1:24" s="96" customFormat="1">
      <c r="A102" s="90" t="s">
        <v>541</v>
      </c>
      <c r="B102" s="606"/>
      <c r="C102" s="356"/>
      <c r="D102" s="502">
        <v>0</v>
      </c>
      <c r="E102" s="504">
        <v>0</v>
      </c>
      <c r="F102" s="504">
        <v>0</v>
      </c>
      <c r="G102" s="504">
        <f>G64*0.05</f>
        <v>10000</v>
      </c>
      <c r="H102" s="504">
        <f t="shared" ref="H102:X102" si="11">H64*0.05</f>
        <v>10000</v>
      </c>
      <c r="I102" s="504">
        <f t="shared" si="11"/>
        <v>10000</v>
      </c>
      <c r="J102" s="504">
        <f t="shared" si="11"/>
        <v>10000</v>
      </c>
      <c r="K102" s="504">
        <f t="shared" si="11"/>
        <v>10000</v>
      </c>
      <c r="L102" s="504">
        <f t="shared" si="11"/>
        <v>10000</v>
      </c>
      <c r="M102" s="504">
        <f t="shared" si="11"/>
        <v>10000</v>
      </c>
      <c r="N102" s="504">
        <f t="shared" si="11"/>
        <v>10000</v>
      </c>
      <c r="O102" s="504">
        <f t="shared" si="11"/>
        <v>10000</v>
      </c>
      <c r="P102" s="504">
        <f t="shared" si="11"/>
        <v>10000</v>
      </c>
      <c r="Q102" s="504">
        <f t="shared" si="11"/>
        <v>10000</v>
      </c>
      <c r="R102" s="504">
        <f t="shared" si="11"/>
        <v>10000</v>
      </c>
      <c r="S102" s="504">
        <f t="shared" si="11"/>
        <v>10000</v>
      </c>
      <c r="T102" s="504">
        <f t="shared" si="11"/>
        <v>10000</v>
      </c>
      <c r="U102" s="504">
        <f t="shared" si="11"/>
        <v>10000</v>
      </c>
      <c r="V102" s="504">
        <f t="shared" si="11"/>
        <v>10000</v>
      </c>
      <c r="W102" s="504">
        <f t="shared" si="11"/>
        <v>10000</v>
      </c>
      <c r="X102" s="504">
        <f t="shared" si="11"/>
        <v>10000</v>
      </c>
    </row>
    <row r="103" spans="1:24">
      <c r="A103" s="88" t="str">
        <f>'BH Tariffs'!A45</f>
        <v>Motorcoach Access/Tour Operator Licenses</v>
      </c>
      <c r="B103" s="30"/>
      <c r="C103" s="89"/>
      <c r="D103" s="502">
        <v>0</v>
      </c>
      <c r="E103" s="504">
        <v>0</v>
      </c>
      <c r="F103" s="504">
        <f>'BH Tariffs'!E45*'P&amp;L - Concept B2 - Carnival'!F66</f>
        <v>3060</v>
      </c>
      <c r="G103" s="504">
        <f>'BH Tariffs'!F45*'P&amp;L - Concept B2 - Carnival'!G66</f>
        <v>3121.2000000000003</v>
      </c>
      <c r="H103" s="504">
        <f>'BH Tariffs'!G45*'P&amp;L - Concept B2 - Carnival'!H66</f>
        <v>3183.6239999999998</v>
      </c>
      <c r="I103" s="504">
        <f>'BH Tariffs'!H45*'P&amp;L - Concept B2 - Carnival'!I66</f>
        <v>3247.29648</v>
      </c>
      <c r="J103" s="504">
        <f>'BH Tariffs'!I45*'P&amp;L - Concept B2 - Carnival'!J66</f>
        <v>3312.2424096</v>
      </c>
      <c r="K103" s="504">
        <f>'BH Tariffs'!J45*'P&amp;L - Concept B2 - Carnival'!K66</f>
        <v>3378.4872577920005</v>
      </c>
      <c r="L103" s="504">
        <f>'BH Tariffs'!K45*'P&amp;L - Concept B2 - Carnival'!L66</f>
        <v>3446.0570029478404</v>
      </c>
      <c r="M103" s="504">
        <f>'BH Tariffs'!L45*'P&amp;L - Concept B2 - Carnival'!M66</f>
        <v>3514.9781430067969</v>
      </c>
      <c r="N103" s="504">
        <f>'BH Tariffs'!M45*'P&amp;L - Concept B2 - Carnival'!N66</f>
        <v>3585.2777058669335</v>
      </c>
      <c r="O103" s="504">
        <f>'BH Tariffs'!N45*'P&amp;L - Concept B2 - Carnival'!O66</f>
        <v>3656.9832599842721</v>
      </c>
      <c r="P103" s="504">
        <f>'BH Tariffs'!O45*'P&amp;L - Concept B2 - Carnival'!P66</f>
        <v>3730.1229251839572</v>
      </c>
      <c r="Q103" s="504">
        <f>'BH Tariffs'!P45*'P&amp;L - Concept B2 - Carnival'!Q66</f>
        <v>3804.7253836876362</v>
      </c>
      <c r="R103" s="504">
        <f>'BH Tariffs'!Q45*'P&amp;L - Concept B2 - Carnival'!R66</f>
        <v>3880.8198913613887</v>
      </c>
      <c r="S103" s="504">
        <f>'BH Tariffs'!R45*'P&amp;L - Concept B2 - Carnival'!S66</f>
        <v>3958.4362891886167</v>
      </c>
      <c r="T103" s="504">
        <f>'BH Tariffs'!S45*'P&amp;L - Concept B2 - Carnival'!T66</f>
        <v>4037.6050149723897</v>
      </c>
      <c r="U103" s="504">
        <f>'BH Tariffs'!T45*'P&amp;L - Concept B2 - Carnival'!U66</f>
        <v>4118.3571152718378</v>
      </c>
      <c r="V103" s="504">
        <f>'BH Tariffs'!U45*'P&amp;L - Concept B2 - Carnival'!V66</f>
        <v>4200.7242575772743</v>
      </c>
      <c r="W103" s="504">
        <f>'BH Tariffs'!V45*'P&amp;L - Concept B2 - Carnival'!W66</f>
        <v>4284.7387427288204</v>
      </c>
      <c r="X103" s="504">
        <f>'BH Tariffs'!W45*'P&amp;L - Concept B2 - Carnival'!X66</f>
        <v>4370.4335175833967</v>
      </c>
    </row>
    <row r="104" spans="1:24">
      <c r="A104" s="299" t="s">
        <v>217</v>
      </c>
      <c r="B104" s="299"/>
      <c r="C104" s="299"/>
      <c r="D104" s="505">
        <v>0</v>
      </c>
      <c r="E104" s="506">
        <v>0</v>
      </c>
      <c r="F104" s="506">
        <f>'BH Tariffs'!E46*'P&amp;L - Concept B2 - Carnival'!F65</f>
        <v>500</v>
      </c>
      <c r="G104" s="506">
        <f>'BH Tariffs'!F46*'P&amp;L - Concept B2 - Carnival'!G65</f>
        <v>1000</v>
      </c>
      <c r="H104" s="506">
        <f>'BH Tariffs'!G46*'P&amp;L - Concept B2 - Carnival'!H65</f>
        <v>1000</v>
      </c>
      <c r="I104" s="506">
        <f>'BH Tariffs'!H46*'P&amp;L - Concept B2 - Carnival'!I65</f>
        <v>1000</v>
      </c>
      <c r="J104" s="506">
        <f>'BH Tariffs'!I46*'P&amp;L - Concept B2 - Carnival'!J65</f>
        <v>1650</v>
      </c>
      <c r="K104" s="506">
        <f>'BH Tariffs'!J46*'P&amp;L - Concept B2 - Carnival'!K65</f>
        <v>1650</v>
      </c>
      <c r="L104" s="506">
        <f>'BH Tariffs'!K46*'P&amp;L - Concept B2 - Carnival'!L65</f>
        <v>1650</v>
      </c>
      <c r="M104" s="506">
        <f>'BH Tariffs'!L46*'P&amp;L - Concept B2 - Carnival'!M65</f>
        <v>1650</v>
      </c>
      <c r="N104" s="506">
        <f>'BH Tariffs'!M46*'P&amp;L - Concept B2 - Carnival'!N65</f>
        <v>1650</v>
      </c>
      <c r="O104" s="506">
        <f>'BH Tariffs'!N46*'P&amp;L - Concept B2 - Carnival'!O65</f>
        <v>2400</v>
      </c>
      <c r="P104" s="506">
        <f>'BH Tariffs'!O46*'P&amp;L - Concept B2 - Carnival'!P65</f>
        <v>2400</v>
      </c>
      <c r="Q104" s="506">
        <f>'BH Tariffs'!P46*'P&amp;L - Concept B2 - Carnival'!Q65</f>
        <v>2400</v>
      </c>
      <c r="R104" s="506">
        <f>'BH Tariffs'!Q46*'P&amp;L - Concept B2 - Carnival'!R65</f>
        <v>2400</v>
      </c>
      <c r="S104" s="506">
        <f>'BH Tariffs'!R46*'P&amp;L - Concept B2 - Carnival'!S65</f>
        <v>2400</v>
      </c>
      <c r="T104" s="506">
        <f>'BH Tariffs'!S46*'P&amp;L - Concept B2 - Carnival'!T65</f>
        <v>3250</v>
      </c>
      <c r="U104" s="506">
        <f>'BH Tariffs'!T46*'P&amp;L - Concept B2 - Carnival'!U65</f>
        <v>3250</v>
      </c>
      <c r="V104" s="506">
        <f>'BH Tariffs'!U46*'P&amp;L - Concept B2 - Carnival'!V65</f>
        <v>3250</v>
      </c>
      <c r="W104" s="506">
        <f>'BH Tariffs'!V46*'P&amp;L - Concept B2 - Carnival'!W65</f>
        <v>3250</v>
      </c>
      <c r="X104" s="506">
        <f>'BH Tariffs'!W46*'P&amp;L - Concept B2 - Carnival'!X65</f>
        <v>3250</v>
      </c>
    </row>
    <row r="105" spans="1:24">
      <c r="A105" s="278" t="s">
        <v>145</v>
      </c>
      <c r="D105" s="507">
        <f>SUM(D71:D104)</f>
        <v>0</v>
      </c>
      <c r="E105" s="508">
        <f>SUM(E70:E104)</f>
        <v>0</v>
      </c>
      <c r="F105" s="508">
        <f t="shared" ref="F105:X105" si="12">SUM(F70:F104)</f>
        <v>1346091.5575133858</v>
      </c>
      <c r="G105" s="508">
        <f t="shared" si="12"/>
        <v>1389745.7886636534</v>
      </c>
      <c r="H105" s="508">
        <f t="shared" si="12"/>
        <v>1417320.7044369264</v>
      </c>
      <c r="I105" s="508">
        <f t="shared" si="12"/>
        <v>1445447.1185256653</v>
      </c>
      <c r="J105" s="508">
        <f t="shared" si="12"/>
        <v>1721051.5608961782</v>
      </c>
      <c r="K105" s="508">
        <f t="shared" si="12"/>
        <v>1750314.2821141023</v>
      </c>
      <c r="L105" s="508">
        <f t="shared" si="12"/>
        <v>1780162.2577563843</v>
      </c>
      <c r="M105" s="508">
        <f t="shared" si="12"/>
        <v>1810607.192911512</v>
      </c>
      <c r="N105" s="508">
        <f t="shared" si="12"/>
        <v>1841661.0267697424</v>
      </c>
      <c r="O105" s="508">
        <f t="shared" si="12"/>
        <v>1935652.312305137</v>
      </c>
      <c r="P105" s="508">
        <f t="shared" si="12"/>
        <v>1967960.7210512399</v>
      </c>
      <c r="Q105" s="508">
        <f t="shared" si="12"/>
        <v>2000915.2979722642</v>
      </c>
      <c r="R105" s="508">
        <f t="shared" si="12"/>
        <v>2034528.9664317099</v>
      </c>
      <c r="S105" s="508">
        <f t="shared" si="12"/>
        <v>2068814.9082603441</v>
      </c>
      <c r="T105" s="508">
        <f t="shared" si="12"/>
        <v>2166202.9439255511</v>
      </c>
      <c r="U105" s="508">
        <f t="shared" si="12"/>
        <v>2201874.037804062</v>
      </c>
      <c r="V105" s="508">
        <f t="shared" si="12"/>
        <v>2238258.5535601429</v>
      </c>
      <c r="W105" s="508">
        <f t="shared" si="12"/>
        <v>2275370.759631346</v>
      </c>
      <c r="X105" s="508">
        <f t="shared" si="12"/>
        <v>2313225.209823973</v>
      </c>
    </row>
    <row r="106" spans="1:24">
      <c r="D106" s="507"/>
      <c r="E106" s="413"/>
      <c r="F106" s="413"/>
      <c r="G106" s="413"/>
      <c r="H106" s="413"/>
      <c r="I106" s="413"/>
      <c r="J106" s="413"/>
      <c r="K106" s="413"/>
      <c r="L106" s="413"/>
      <c r="M106" s="413"/>
      <c r="N106" s="413"/>
      <c r="O106" s="413"/>
      <c r="P106" s="413"/>
      <c r="Q106" s="413"/>
      <c r="R106" s="413"/>
      <c r="S106" s="413"/>
      <c r="T106" s="413"/>
      <c r="U106" s="413"/>
      <c r="V106" s="413"/>
      <c r="W106" s="413"/>
      <c r="X106" s="413"/>
    </row>
    <row r="107" spans="1:24">
      <c r="A107" s="271" t="s">
        <v>146</v>
      </c>
      <c r="B107" s="149"/>
      <c r="C107" s="149"/>
      <c r="D107" s="509"/>
      <c r="E107" s="510"/>
      <c r="F107" s="510"/>
      <c r="G107" s="510"/>
      <c r="H107" s="510"/>
      <c r="I107" s="510"/>
      <c r="J107" s="510"/>
      <c r="K107" s="510"/>
      <c r="L107" s="510"/>
      <c r="M107" s="510"/>
      <c r="N107" s="510"/>
      <c r="O107" s="510"/>
      <c r="P107" s="510"/>
      <c r="Q107" s="510"/>
      <c r="R107" s="510"/>
      <c r="S107" s="510"/>
      <c r="T107" s="510"/>
      <c r="U107" s="510"/>
      <c r="V107" s="510"/>
      <c r="W107" s="510"/>
      <c r="X107" s="510"/>
    </row>
    <row r="108" spans="1:24">
      <c r="D108" s="507"/>
      <c r="E108" s="413"/>
      <c r="F108" s="413"/>
      <c r="G108" s="413"/>
      <c r="H108" s="413"/>
      <c r="I108" s="413"/>
      <c r="J108" s="413"/>
      <c r="K108" s="413"/>
      <c r="L108" s="413"/>
      <c r="M108" s="413"/>
      <c r="N108" s="413"/>
      <c r="O108" s="413"/>
      <c r="P108" s="413"/>
      <c r="Q108" s="413"/>
      <c r="R108" s="413"/>
      <c r="S108" s="413"/>
      <c r="T108" s="413"/>
      <c r="U108" s="413"/>
      <c r="V108" s="413"/>
      <c r="W108" s="413"/>
      <c r="X108" s="413"/>
    </row>
    <row r="109" spans="1:24">
      <c r="A109" s="91" t="s">
        <v>380</v>
      </c>
      <c r="B109" s="89"/>
      <c r="C109" s="89"/>
      <c r="D109" s="502"/>
      <c r="E109" s="504"/>
      <c r="F109" s="504"/>
      <c r="G109" s="504"/>
      <c r="H109" s="504"/>
      <c r="I109" s="504"/>
      <c r="J109" s="504"/>
      <c r="K109" s="504"/>
      <c r="L109" s="504"/>
      <c r="M109" s="504"/>
      <c r="N109" s="504"/>
      <c r="O109" s="504"/>
      <c r="P109" s="504"/>
      <c r="Q109" s="504"/>
      <c r="R109" s="504"/>
      <c r="S109" s="504"/>
      <c r="T109" s="504"/>
      <c r="U109" s="504"/>
      <c r="V109" s="504"/>
      <c r="W109" s="504"/>
      <c r="X109" s="504"/>
    </row>
    <row r="110" spans="1:24">
      <c r="A110" s="88" t="s">
        <v>432</v>
      </c>
      <c r="B110" s="89"/>
      <c r="C110" s="89"/>
      <c r="D110" s="502">
        <v>0</v>
      </c>
      <c r="E110" s="504">
        <v>0</v>
      </c>
      <c r="F110" s="504">
        <v>0</v>
      </c>
      <c r="G110" s="504">
        <v>0</v>
      </c>
      <c r="H110" s="504">
        <v>0</v>
      </c>
      <c r="I110" s="504">
        <v>0</v>
      </c>
      <c r="J110" s="504">
        <v>0</v>
      </c>
      <c r="K110" s="504">
        <v>0</v>
      </c>
      <c r="L110" s="504">
        <v>0</v>
      </c>
      <c r="M110" s="504">
        <v>0</v>
      </c>
      <c r="N110" s="504">
        <v>0</v>
      </c>
      <c r="O110" s="504">
        <v>0</v>
      </c>
      <c r="P110" s="504">
        <v>0</v>
      </c>
      <c r="Q110" s="504">
        <v>0</v>
      </c>
      <c r="R110" s="504">
        <v>0</v>
      </c>
      <c r="S110" s="504">
        <v>0</v>
      </c>
      <c r="T110" s="504">
        <v>0</v>
      </c>
      <c r="U110" s="504">
        <v>0</v>
      </c>
      <c r="V110" s="504">
        <v>0</v>
      </c>
      <c r="W110" s="504">
        <v>0</v>
      </c>
      <c r="X110" s="504">
        <v>0</v>
      </c>
    </row>
    <row r="111" spans="1:24">
      <c r="A111" s="88" t="s">
        <v>433</v>
      </c>
      <c r="B111" s="89"/>
      <c r="C111" s="89"/>
      <c r="D111" s="502">
        <v>0</v>
      </c>
      <c r="E111" s="504">
        <v>0</v>
      </c>
      <c r="F111" s="504">
        <v>0</v>
      </c>
      <c r="G111" s="504">
        <v>0</v>
      </c>
      <c r="H111" s="504">
        <v>0</v>
      </c>
      <c r="I111" s="504">
        <v>0</v>
      </c>
      <c r="J111" s="504">
        <v>0</v>
      </c>
      <c r="K111" s="504">
        <v>0</v>
      </c>
      <c r="L111" s="504">
        <v>0</v>
      </c>
      <c r="M111" s="504">
        <v>0</v>
      </c>
      <c r="N111" s="504">
        <v>0</v>
      </c>
      <c r="O111" s="504">
        <v>0</v>
      </c>
      <c r="P111" s="504">
        <v>0</v>
      </c>
      <c r="Q111" s="504">
        <v>0</v>
      </c>
      <c r="R111" s="504">
        <v>0</v>
      </c>
      <c r="S111" s="504">
        <v>0</v>
      </c>
      <c r="T111" s="504">
        <v>0</v>
      </c>
      <c r="U111" s="504">
        <v>0</v>
      </c>
      <c r="V111" s="504">
        <v>0</v>
      </c>
      <c r="W111" s="504">
        <v>0</v>
      </c>
      <c r="X111" s="504">
        <v>0</v>
      </c>
    </row>
    <row r="112" spans="1:24">
      <c r="A112" s="88" t="s">
        <v>434</v>
      </c>
      <c r="B112" s="89"/>
      <c r="C112" s="89"/>
      <c r="D112" s="502">
        <v>0</v>
      </c>
      <c r="E112" s="504">
        <v>0</v>
      </c>
      <c r="F112" s="504">
        <v>0</v>
      </c>
      <c r="G112" s="504">
        <v>0</v>
      </c>
      <c r="H112" s="504">
        <v>0</v>
      </c>
      <c r="I112" s="504">
        <v>0</v>
      </c>
      <c r="J112" s="504">
        <v>0</v>
      </c>
      <c r="K112" s="504">
        <v>0</v>
      </c>
      <c r="L112" s="504">
        <v>0</v>
      </c>
      <c r="M112" s="504">
        <v>0</v>
      </c>
      <c r="N112" s="504">
        <v>0</v>
      </c>
      <c r="O112" s="504">
        <v>0</v>
      </c>
      <c r="P112" s="504">
        <v>0</v>
      </c>
      <c r="Q112" s="504">
        <v>0</v>
      </c>
      <c r="R112" s="504">
        <v>0</v>
      </c>
      <c r="S112" s="504">
        <v>0</v>
      </c>
      <c r="T112" s="504">
        <v>0</v>
      </c>
      <c r="U112" s="504">
        <v>0</v>
      </c>
      <c r="V112" s="504">
        <v>0</v>
      </c>
      <c r="W112" s="504">
        <v>0</v>
      </c>
      <c r="X112" s="504">
        <v>0</v>
      </c>
    </row>
    <row r="113" spans="1:27">
      <c r="A113" s="88" t="s">
        <v>229</v>
      </c>
      <c r="B113" s="30"/>
      <c r="C113" s="89"/>
      <c r="D113" s="502">
        <v>0</v>
      </c>
      <c r="E113" s="504">
        <v>0</v>
      </c>
      <c r="F113" s="504">
        <v>0</v>
      </c>
      <c r="G113" s="504">
        <v>0</v>
      </c>
      <c r="H113" s="504">
        <v>0</v>
      </c>
      <c r="I113" s="504">
        <v>0</v>
      </c>
      <c r="J113" s="504">
        <v>0</v>
      </c>
      <c r="K113" s="504">
        <v>0</v>
      </c>
      <c r="L113" s="504">
        <v>0</v>
      </c>
      <c r="M113" s="504">
        <v>0</v>
      </c>
      <c r="N113" s="504">
        <v>0</v>
      </c>
      <c r="O113" s="504">
        <v>0</v>
      </c>
      <c r="P113" s="504">
        <v>0</v>
      </c>
      <c r="Q113" s="504">
        <v>0</v>
      </c>
      <c r="R113" s="504">
        <v>0</v>
      </c>
      <c r="S113" s="504">
        <v>0</v>
      </c>
      <c r="T113" s="504">
        <v>0</v>
      </c>
      <c r="U113" s="504">
        <v>0</v>
      </c>
      <c r="V113" s="504">
        <v>0</v>
      </c>
      <c r="W113" s="504">
        <v>0</v>
      </c>
      <c r="X113" s="504">
        <v>0</v>
      </c>
    </row>
    <row r="114" spans="1:27" s="32" customFormat="1">
      <c r="A114" s="299" t="s">
        <v>297</v>
      </c>
      <c r="B114" s="299"/>
      <c r="C114" s="299"/>
      <c r="D114" s="505">
        <v>0</v>
      </c>
      <c r="E114" s="506">
        <v>0</v>
      </c>
      <c r="F114" s="506">
        <v>0</v>
      </c>
      <c r="G114" s="506">
        <f t="shared" ref="G114:X114" si="13">G53</f>
        <v>100000</v>
      </c>
      <c r="H114" s="506">
        <f t="shared" si="13"/>
        <v>100000</v>
      </c>
      <c r="I114" s="506">
        <f t="shared" si="13"/>
        <v>100000</v>
      </c>
      <c r="J114" s="506">
        <f t="shared" si="13"/>
        <v>100000</v>
      </c>
      <c r="K114" s="506">
        <f t="shared" si="13"/>
        <v>100000</v>
      </c>
      <c r="L114" s="506">
        <f t="shared" si="13"/>
        <v>100000</v>
      </c>
      <c r="M114" s="506">
        <f t="shared" si="13"/>
        <v>100000</v>
      </c>
      <c r="N114" s="506">
        <f t="shared" si="13"/>
        <v>100000</v>
      </c>
      <c r="O114" s="506">
        <f t="shared" si="13"/>
        <v>100000</v>
      </c>
      <c r="P114" s="506">
        <f t="shared" si="13"/>
        <v>100000</v>
      </c>
      <c r="Q114" s="506">
        <f t="shared" si="13"/>
        <v>100000</v>
      </c>
      <c r="R114" s="506">
        <f t="shared" si="13"/>
        <v>100000</v>
      </c>
      <c r="S114" s="506">
        <f t="shared" si="13"/>
        <v>100000</v>
      </c>
      <c r="T114" s="506">
        <f t="shared" si="13"/>
        <v>100000</v>
      </c>
      <c r="U114" s="506">
        <f t="shared" si="13"/>
        <v>100000</v>
      </c>
      <c r="V114" s="506">
        <f t="shared" si="13"/>
        <v>100000</v>
      </c>
      <c r="W114" s="506">
        <f t="shared" si="13"/>
        <v>100000</v>
      </c>
      <c r="X114" s="506">
        <f t="shared" si="13"/>
        <v>100000</v>
      </c>
    </row>
    <row r="115" spans="1:27">
      <c r="A115" s="278" t="s">
        <v>147</v>
      </c>
      <c r="D115" s="507">
        <f>SUM(D113:D114)</f>
        <v>0</v>
      </c>
      <c r="E115" s="508">
        <f>SUM(E110:E114)</f>
        <v>0</v>
      </c>
      <c r="F115" s="508">
        <f t="shared" ref="F115:X115" si="14">SUM(F110:F114)</f>
        <v>0</v>
      </c>
      <c r="G115" s="508">
        <f t="shared" si="14"/>
        <v>100000</v>
      </c>
      <c r="H115" s="508">
        <f t="shared" si="14"/>
        <v>100000</v>
      </c>
      <c r="I115" s="508">
        <f t="shared" si="14"/>
        <v>100000</v>
      </c>
      <c r="J115" s="508">
        <f t="shared" si="14"/>
        <v>100000</v>
      </c>
      <c r="K115" s="508">
        <f t="shared" si="14"/>
        <v>100000</v>
      </c>
      <c r="L115" s="508">
        <f t="shared" si="14"/>
        <v>100000</v>
      </c>
      <c r="M115" s="508">
        <f t="shared" si="14"/>
        <v>100000</v>
      </c>
      <c r="N115" s="508">
        <f t="shared" si="14"/>
        <v>100000</v>
      </c>
      <c r="O115" s="508">
        <f t="shared" si="14"/>
        <v>100000</v>
      </c>
      <c r="P115" s="508">
        <f t="shared" si="14"/>
        <v>100000</v>
      </c>
      <c r="Q115" s="508">
        <f t="shared" si="14"/>
        <v>100000</v>
      </c>
      <c r="R115" s="508">
        <f t="shared" si="14"/>
        <v>100000</v>
      </c>
      <c r="S115" s="508">
        <f t="shared" si="14"/>
        <v>100000</v>
      </c>
      <c r="T115" s="508">
        <f t="shared" si="14"/>
        <v>100000</v>
      </c>
      <c r="U115" s="508">
        <f t="shared" si="14"/>
        <v>100000</v>
      </c>
      <c r="V115" s="508">
        <f t="shared" si="14"/>
        <v>100000</v>
      </c>
      <c r="W115" s="508">
        <f t="shared" si="14"/>
        <v>100000</v>
      </c>
      <c r="X115" s="508">
        <f t="shared" si="14"/>
        <v>100000</v>
      </c>
    </row>
    <row r="116" spans="1:27">
      <c r="D116" s="507"/>
      <c r="E116" s="413"/>
      <c r="F116" s="413"/>
      <c r="G116" s="413"/>
      <c r="H116" s="413"/>
      <c r="I116" s="413"/>
      <c r="J116" s="413"/>
      <c r="K116" s="413"/>
      <c r="L116" s="413"/>
      <c r="M116" s="413"/>
      <c r="N116" s="413"/>
      <c r="O116" s="413"/>
      <c r="P116" s="413"/>
      <c r="Q116" s="413"/>
      <c r="R116" s="413"/>
      <c r="S116" s="413"/>
      <c r="T116" s="413"/>
      <c r="U116" s="413"/>
      <c r="V116" s="413"/>
      <c r="W116" s="413"/>
      <c r="X116" s="413"/>
    </row>
    <row r="117" spans="1:27">
      <c r="A117" s="88" t="s">
        <v>608</v>
      </c>
      <c r="D117" s="507">
        <f t="shared" ref="D117" si="15">SUM(D115:D116)</f>
        <v>0</v>
      </c>
      <c r="E117" s="413">
        <v>58025</v>
      </c>
      <c r="F117" s="413">
        <v>0</v>
      </c>
      <c r="G117" s="413">
        <v>0</v>
      </c>
      <c r="H117" s="413">
        <v>0</v>
      </c>
      <c r="I117" s="413">
        <v>0</v>
      </c>
      <c r="J117" s="413">
        <v>0</v>
      </c>
      <c r="K117" s="413">
        <v>0</v>
      </c>
      <c r="L117" s="413">
        <v>0</v>
      </c>
      <c r="M117" s="413">
        <v>0</v>
      </c>
      <c r="N117" s="413">
        <v>0</v>
      </c>
      <c r="O117" s="413">
        <v>0</v>
      </c>
      <c r="P117" s="413">
        <v>0</v>
      </c>
      <c r="Q117" s="413">
        <v>0</v>
      </c>
      <c r="R117" s="413">
        <v>0</v>
      </c>
      <c r="S117" s="413">
        <v>0</v>
      </c>
      <c r="T117" s="413">
        <v>0</v>
      </c>
      <c r="U117" s="413">
        <v>0</v>
      </c>
      <c r="V117" s="413">
        <v>0</v>
      </c>
      <c r="W117" s="413">
        <v>0</v>
      </c>
      <c r="X117" s="413">
        <v>0</v>
      </c>
    </row>
    <row r="118" spans="1:27">
      <c r="D118" s="507"/>
      <c r="E118" s="413"/>
      <c r="F118" s="413"/>
      <c r="G118" s="413"/>
      <c r="H118" s="413"/>
      <c r="I118" s="413"/>
      <c r="J118" s="413"/>
      <c r="K118" s="413"/>
      <c r="L118" s="413"/>
      <c r="M118" s="413"/>
      <c r="N118" s="413"/>
      <c r="O118" s="413"/>
      <c r="P118" s="413"/>
      <c r="Q118" s="413"/>
      <c r="R118" s="413"/>
      <c r="S118" s="413"/>
      <c r="T118" s="413"/>
      <c r="U118" s="413"/>
      <c r="V118" s="413"/>
      <c r="W118" s="413"/>
      <c r="X118" s="413"/>
    </row>
    <row r="119" spans="1:27" s="16" customFormat="1" ht="14.25">
      <c r="A119" s="295" t="s">
        <v>148</v>
      </c>
      <c r="B119" s="295"/>
      <c r="C119" s="295"/>
      <c r="D119" s="511">
        <f>SUM(D105,D115)</f>
        <v>0</v>
      </c>
      <c r="E119" s="511">
        <f>SUM(E105,E115,E117)</f>
        <v>58025</v>
      </c>
      <c r="F119" s="511">
        <f t="shared" ref="F119:X119" si="16">SUM(F105,F115,F117)</f>
        <v>1346091.5575133858</v>
      </c>
      <c r="G119" s="511">
        <f t="shared" si="16"/>
        <v>1489745.7886636534</v>
      </c>
      <c r="H119" s="511">
        <f t="shared" si="16"/>
        <v>1517320.7044369264</v>
      </c>
      <c r="I119" s="511">
        <f t="shared" si="16"/>
        <v>1545447.1185256653</v>
      </c>
      <c r="J119" s="511">
        <f t="shared" si="16"/>
        <v>1821051.5608961782</v>
      </c>
      <c r="K119" s="511">
        <f t="shared" si="16"/>
        <v>1850314.2821141023</v>
      </c>
      <c r="L119" s="511">
        <f t="shared" si="16"/>
        <v>1880162.2577563843</v>
      </c>
      <c r="M119" s="511">
        <f t="shared" si="16"/>
        <v>1910607.192911512</v>
      </c>
      <c r="N119" s="511">
        <f t="shared" si="16"/>
        <v>1941661.0267697424</v>
      </c>
      <c r="O119" s="511">
        <f t="shared" si="16"/>
        <v>2035652.312305137</v>
      </c>
      <c r="P119" s="511">
        <f t="shared" si="16"/>
        <v>2067960.7210512399</v>
      </c>
      <c r="Q119" s="511">
        <f t="shared" si="16"/>
        <v>2100915.2979722642</v>
      </c>
      <c r="R119" s="511">
        <f t="shared" si="16"/>
        <v>2134528.9664317099</v>
      </c>
      <c r="S119" s="511">
        <f t="shared" si="16"/>
        <v>2168814.9082603441</v>
      </c>
      <c r="T119" s="511">
        <f t="shared" si="16"/>
        <v>2266202.9439255511</v>
      </c>
      <c r="U119" s="511">
        <f t="shared" si="16"/>
        <v>2301874.037804062</v>
      </c>
      <c r="V119" s="511">
        <f t="shared" si="16"/>
        <v>2338258.5535601429</v>
      </c>
      <c r="W119" s="511">
        <f t="shared" si="16"/>
        <v>2375370.759631346</v>
      </c>
      <c r="X119" s="511">
        <f t="shared" si="16"/>
        <v>2413225.209823973</v>
      </c>
      <c r="Y119" s="622">
        <f>SUM(D119:X119)</f>
        <v>37563230.200353324</v>
      </c>
      <c r="AA119" s="370">
        <f>(Y76+Y78)/Y119</f>
        <v>0.76612731381500943</v>
      </c>
    </row>
    <row r="120" spans="1:27">
      <c r="A120" s="30"/>
      <c r="B120" s="30"/>
      <c r="C120" s="30"/>
      <c r="D120" s="502"/>
      <c r="E120" s="512"/>
      <c r="F120" s="512"/>
      <c r="G120" s="512"/>
      <c r="H120" s="512"/>
      <c r="I120" s="512"/>
      <c r="J120" s="512"/>
      <c r="K120" s="512"/>
      <c r="L120" s="512"/>
      <c r="M120" s="512"/>
      <c r="N120" s="512"/>
      <c r="O120" s="512"/>
      <c r="P120" s="512"/>
      <c r="Q120" s="512"/>
      <c r="R120" s="512"/>
      <c r="S120" s="512"/>
      <c r="T120" s="512"/>
      <c r="U120" s="512"/>
      <c r="V120" s="512"/>
      <c r="W120" s="512"/>
      <c r="X120" s="512"/>
    </row>
    <row r="121" spans="1:27" s="33" customFormat="1">
      <c r="A121" s="47" t="s">
        <v>7</v>
      </c>
      <c r="B121" s="47" t="s">
        <v>7</v>
      </c>
      <c r="C121" s="78" t="s">
        <v>7</v>
      </c>
      <c r="D121" s="604" t="s">
        <v>7</v>
      </c>
      <c r="E121" s="78" t="s">
        <v>7</v>
      </c>
      <c r="F121" s="78" t="s">
        <v>7</v>
      </c>
      <c r="G121" s="78" t="s">
        <v>7</v>
      </c>
      <c r="H121" s="78" t="s">
        <v>7</v>
      </c>
      <c r="I121" s="78" t="s">
        <v>7</v>
      </c>
      <c r="J121" s="78" t="s">
        <v>7</v>
      </c>
      <c r="K121" s="78" t="s">
        <v>7</v>
      </c>
      <c r="L121" s="78" t="s">
        <v>7</v>
      </c>
      <c r="M121" s="78" t="s">
        <v>7</v>
      </c>
      <c r="N121" s="78" t="s">
        <v>7</v>
      </c>
      <c r="O121" s="78" t="s">
        <v>7</v>
      </c>
      <c r="P121" s="78" t="s">
        <v>7</v>
      </c>
      <c r="Q121" s="78" t="s">
        <v>7</v>
      </c>
      <c r="R121" s="78" t="s">
        <v>7</v>
      </c>
      <c r="S121" s="78" t="s">
        <v>7</v>
      </c>
      <c r="T121" s="78" t="s">
        <v>7</v>
      </c>
      <c r="U121" s="78" t="s">
        <v>7</v>
      </c>
      <c r="V121" s="78" t="s">
        <v>7</v>
      </c>
      <c r="W121" s="78" t="s">
        <v>7</v>
      </c>
      <c r="X121" s="78" t="s">
        <v>7</v>
      </c>
    </row>
    <row r="122" spans="1:27">
      <c r="A122" s="30"/>
      <c r="B122" s="30"/>
      <c r="C122" s="30"/>
      <c r="D122" s="502"/>
      <c r="E122" s="512"/>
      <c r="F122" s="512"/>
      <c r="G122" s="512"/>
      <c r="H122" s="512"/>
      <c r="I122" s="512"/>
      <c r="J122" s="512"/>
      <c r="K122" s="512"/>
      <c r="L122" s="512"/>
      <c r="M122" s="512"/>
      <c r="N122" s="512"/>
      <c r="O122" s="512"/>
      <c r="P122" s="512"/>
      <c r="Q122" s="512"/>
      <c r="R122" s="512"/>
      <c r="S122" s="512"/>
      <c r="T122" s="512"/>
      <c r="U122" s="512"/>
      <c r="V122" s="512"/>
      <c r="W122" s="512"/>
      <c r="X122" s="512"/>
    </row>
    <row r="123" spans="1:27">
      <c r="A123" s="269" t="s">
        <v>131</v>
      </c>
      <c r="B123" s="269"/>
      <c r="C123" s="270"/>
      <c r="D123" s="513"/>
      <c r="E123" s="513"/>
      <c r="F123" s="513"/>
      <c r="G123" s="513"/>
      <c r="H123" s="513"/>
      <c r="I123" s="513"/>
      <c r="J123" s="513"/>
      <c r="K123" s="513"/>
      <c r="L123" s="513"/>
      <c r="M123" s="513"/>
      <c r="N123" s="513"/>
      <c r="O123" s="513"/>
      <c r="P123" s="513"/>
      <c r="Q123" s="513"/>
      <c r="R123" s="513"/>
      <c r="S123" s="513"/>
      <c r="T123" s="513"/>
      <c r="U123" s="513"/>
      <c r="V123" s="513"/>
      <c r="W123" s="513"/>
      <c r="X123" s="513"/>
    </row>
    <row r="124" spans="1:27">
      <c r="A124" s="69"/>
      <c r="B124" s="69"/>
      <c r="C124" s="69"/>
      <c r="D124" s="502"/>
      <c r="E124" s="504"/>
      <c r="F124" s="504"/>
      <c r="G124" s="504"/>
      <c r="H124" s="504"/>
      <c r="I124" s="504"/>
      <c r="J124" s="504"/>
      <c r="K124" s="504"/>
      <c r="L124" s="504"/>
      <c r="M124" s="504"/>
      <c r="N124" s="504"/>
      <c r="O124" s="504"/>
      <c r="P124" s="504"/>
      <c r="Q124" s="504"/>
      <c r="R124" s="504"/>
      <c r="S124" s="504"/>
      <c r="T124" s="504"/>
      <c r="U124" s="504"/>
      <c r="V124" s="504"/>
      <c r="W124" s="504"/>
      <c r="X124" s="504"/>
    </row>
    <row r="125" spans="1:27" s="96" customFormat="1">
      <c r="A125" s="69" t="s">
        <v>13</v>
      </c>
      <c r="B125" s="69"/>
      <c r="C125" s="69"/>
      <c r="D125" s="514">
        <v>0</v>
      </c>
      <c r="E125" s="515">
        <f>'OPEX - Concept B2 - Carnival'!L79</f>
        <v>12250</v>
      </c>
      <c r="F125" s="515">
        <f>'OPEX - Concept B2 - Carnival'!M79</f>
        <v>150500</v>
      </c>
      <c r="G125" s="515">
        <f>'OPEX - Concept B2 - Carnival'!N79</f>
        <v>153510</v>
      </c>
      <c r="H125" s="515">
        <f>'OPEX - Concept B2 - Carnival'!O79</f>
        <v>156580.19999999998</v>
      </c>
      <c r="I125" s="515">
        <f>'OPEX - Concept B2 - Carnival'!P79</f>
        <v>159711.80399999997</v>
      </c>
      <c r="J125" s="515">
        <f>'OPEX - Concept B2 - Carnival'!Q79</f>
        <v>162906.04007999998</v>
      </c>
      <c r="K125" s="515">
        <f>'OPEX - Concept B2 - Carnival'!R79</f>
        <v>166164.16088159999</v>
      </c>
      <c r="L125" s="515">
        <f>'OPEX - Concept B2 - Carnival'!S79</f>
        <v>169487.444099232</v>
      </c>
      <c r="M125" s="515">
        <f>'OPEX - Concept B2 - Carnival'!T79</f>
        <v>172877.19298121665</v>
      </c>
      <c r="N125" s="515">
        <f>'OPEX - Concept B2 - Carnival'!U79</f>
        <v>176334.73684084098</v>
      </c>
      <c r="O125" s="515">
        <f>'OPEX - Concept B2 - Carnival'!V79</f>
        <v>179861.43157765782</v>
      </c>
      <c r="P125" s="515">
        <f>'OPEX - Concept B2 - Carnival'!W79</f>
        <v>183458.66020921097</v>
      </c>
      <c r="Q125" s="515">
        <f>'OPEX - Concept B2 - Carnival'!X79</f>
        <v>187127.83341339519</v>
      </c>
      <c r="R125" s="515">
        <f>'OPEX - Concept B2 - Carnival'!Y79</f>
        <v>190870.39008166309</v>
      </c>
      <c r="S125" s="515">
        <f>'OPEX - Concept B2 - Carnival'!Z79</f>
        <v>194687.79788329633</v>
      </c>
      <c r="T125" s="515">
        <f>'OPEX - Concept B2 - Carnival'!AA79</f>
        <v>198581.5538409623</v>
      </c>
      <c r="U125" s="515">
        <f>'OPEX - Concept B2 - Carnival'!AB79</f>
        <v>202553.18491778153</v>
      </c>
      <c r="V125" s="515">
        <f>'OPEX - Concept B2 - Carnival'!AC79</f>
        <v>206604.24861613716</v>
      </c>
      <c r="W125" s="515">
        <f>'OPEX - Concept B2 - Carnival'!AD79</f>
        <v>210736.33358845994</v>
      </c>
      <c r="X125" s="515">
        <f>'OPEX - Concept B2 - Carnival'!AE79</f>
        <v>214951.06026022913</v>
      </c>
    </row>
    <row r="126" spans="1:27" s="96" customFormat="1">
      <c r="A126" s="69" t="s">
        <v>41</v>
      </c>
      <c r="B126" s="69"/>
      <c r="C126" s="69"/>
      <c r="D126" s="514">
        <v>0</v>
      </c>
      <c r="E126" s="515">
        <f>'OPEX - Concept B2 - Carnival'!L87</f>
        <v>25000</v>
      </c>
      <c r="F126" s="515">
        <f>'OPEX - Concept B2 - Carnival'!M87</f>
        <v>25500</v>
      </c>
      <c r="G126" s="515">
        <f>'OPEX - Concept B2 - Carnival'!N87</f>
        <v>26010</v>
      </c>
      <c r="H126" s="515">
        <f>'OPEX - Concept B2 - Carnival'!O87</f>
        <v>26530.199999999997</v>
      </c>
      <c r="I126" s="515">
        <f>'OPEX - Concept B2 - Carnival'!P87</f>
        <v>27060.804</v>
      </c>
      <c r="J126" s="515">
        <f>'OPEX - Concept B2 - Carnival'!Q87</f>
        <v>27602.020080000002</v>
      </c>
      <c r="K126" s="515">
        <f>'OPEX - Concept B2 - Carnival'!R87</f>
        <v>28154.060481600001</v>
      </c>
      <c r="L126" s="515">
        <f>'OPEX - Concept B2 - Carnival'!S87</f>
        <v>28717.141691232002</v>
      </c>
      <c r="M126" s="515">
        <f>'OPEX - Concept B2 - Carnival'!T87</f>
        <v>29291.484525056643</v>
      </c>
      <c r="N126" s="515">
        <f>'OPEX - Concept B2 - Carnival'!U87</f>
        <v>29877.314215557777</v>
      </c>
      <c r="O126" s="515">
        <f>'OPEX - Concept B2 - Carnival'!V87</f>
        <v>30474.860499868933</v>
      </c>
      <c r="P126" s="515">
        <f>'OPEX - Concept B2 - Carnival'!W87</f>
        <v>31084.357709866312</v>
      </c>
      <c r="Q126" s="515">
        <f>'OPEX - Concept B2 - Carnival'!X87</f>
        <v>31706.044864063639</v>
      </c>
      <c r="R126" s="515">
        <f>'OPEX - Concept B2 - Carnival'!Y87</f>
        <v>32340.165761344906</v>
      </c>
      <c r="S126" s="515">
        <f>'OPEX - Concept B2 - Carnival'!Z87</f>
        <v>32986.969076571811</v>
      </c>
      <c r="T126" s="515">
        <f>'OPEX - Concept B2 - Carnival'!AA87</f>
        <v>33646.708458103247</v>
      </c>
      <c r="U126" s="515">
        <f>'OPEX - Concept B2 - Carnival'!AB87</f>
        <v>34319.642627265312</v>
      </c>
      <c r="V126" s="515">
        <f>'OPEX - Concept B2 - Carnival'!AC87</f>
        <v>35006.03547981062</v>
      </c>
      <c r="W126" s="515">
        <f>'OPEX - Concept B2 - Carnival'!AD87</f>
        <v>35706.156189406836</v>
      </c>
      <c r="X126" s="515">
        <f>'OPEX - Concept B2 - Carnival'!AE87</f>
        <v>36420.279313194973</v>
      </c>
    </row>
    <row r="127" spans="1:27" s="96" customFormat="1">
      <c r="A127" s="69" t="s">
        <v>424</v>
      </c>
      <c r="B127" s="69"/>
      <c r="C127" s="69"/>
      <c r="D127" s="514">
        <v>0</v>
      </c>
      <c r="E127" s="515">
        <f>'OPEX - Concept B2 - Carnival'!L88</f>
        <v>10000</v>
      </c>
      <c r="F127" s="515">
        <f>'OPEX - Concept B2 - Carnival'!M88</f>
        <v>500</v>
      </c>
      <c r="G127" s="515">
        <f>'OPEX - Concept B2 - Carnival'!N88</f>
        <v>520.20000000000005</v>
      </c>
      <c r="H127" s="515">
        <f>'OPEX - Concept B2 - Carnival'!O88</f>
        <v>530.60399999999993</v>
      </c>
      <c r="I127" s="515">
        <f>'OPEX - Concept B2 - Carnival'!P88</f>
        <v>541.21608000000003</v>
      </c>
      <c r="J127" s="515">
        <f>'OPEX - Concept B2 - Carnival'!Q88</f>
        <v>5000</v>
      </c>
      <c r="K127" s="515">
        <f>'OPEX - Concept B2 - Carnival'!R88</f>
        <v>563.08120963200008</v>
      </c>
      <c r="L127" s="515">
        <f>'OPEX - Concept B2 - Carnival'!S88</f>
        <v>574.34283382464002</v>
      </c>
      <c r="M127" s="515">
        <f>'OPEX - Concept B2 - Carnival'!T88</f>
        <v>585.82969050113286</v>
      </c>
      <c r="N127" s="515">
        <f>'OPEX - Concept B2 - Carnival'!U88</f>
        <v>597.54628431115555</v>
      </c>
      <c r="O127" s="515">
        <f>'OPEX - Concept B2 - Carnival'!V88</f>
        <v>5000</v>
      </c>
      <c r="P127" s="515">
        <f>'OPEX - Concept B2 - Carnival'!W88</f>
        <v>621.68715419732621</v>
      </c>
      <c r="Q127" s="515">
        <f>'OPEX - Concept B2 - Carnival'!X88</f>
        <v>634.12089728127273</v>
      </c>
      <c r="R127" s="515">
        <f>'OPEX - Concept B2 - Carnival'!Y88</f>
        <v>646.80331522689812</v>
      </c>
      <c r="S127" s="515">
        <f>'OPEX - Concept B2 - Carnival'!Z88</f>
        <v>659.73938153143615</v>
      </c>
      <c r="T127" s="515">
        <f>'OPEX - Concept B2 - Carnival'!AA88</f>
        <v>5000</v>
      </c>
      <c r="U127" s="515">
        <f>'OPEX - Concept B2 - Carnival'!AB88</f>
        <v>686.39285254530625</v>
      </c>
      <c r="V127" s="515">
        <f>'OPEX - Concept B2 - Carnival'!AC88</f>
        <v>700.12070959621246</v>
      </c>
      <c r="W127" s="515">
        <f>'OPEX - Concept B2 - Carnival'!AD88</f>
        <v>714.1231237881367</v>
      </c>
      <c r="X127" s="515">
        <f>'OPEX - Concept B2 - Carnival'!AE88</f>
        <v>728.40558626389941</v>
      </c>
    </row>
    <row r="128" spans="1:27" s="96" customFormat="1">
      <c r="A128" s="69" t="s">
        <v>42</v>
      </c>
      <c r="B128" s="69"/>
      <c r="C128" s="69"/>
      <c r="D128" s="514">
        <v>0</v>
      </c>
      <c r="E128" s="515">
        <f>'OPEX - Concept B2 - Carnival'!L89</f>
        <v>50000</v>
      </c>
      <c r="F128" s="515">
        <f>'OPEX - Concept B2 - Carnival'!M89</f>
        <v>51000</v>
      </c>
      <c r="G128" s="515">
        <f>'OPEX - Concept B2 - Carnival'!N89</f>
        <v>52020</v>
      </c>
      <c r="H128" s="515">
        <f>'OPEX - Concept B2 - Carnival'!O89</f>
        <v>53060.399999999994</v>
      </c>
      <c r="I128" s="515">
        <f>'OPEX - Concept B2 - Carnival'!P89</f>
        <v>54121.608</v>
      </c>
      <c r="J128" s="515">
        <f>'OPEX - Concept B2 - Carnival'!Q89</f>
        <v>55204.040160000004</v>
      </c>
      <c r="K128" s="515">
        <f>'OPEX - Concept B2 - Carnival'!R89</f>
        <v>56308.120963200003</v>
      </c>
      <c r="L128" s="515">
        <f>'OPEX - Concept B2 - Carnival'!S89</f>
        <v>57434.283382464004</v>
      </c>
      <c r="M128" s="515">
        <f>'OPEX - Concept B2 - Carnival'!T89</f>
        <v>58582.969050113286</v>
      </c>
      <c r="N128" s="515">
        <f>'OPEX - Concept B2 - Carnival'!U89</f>
        <v>59754.628431115554</v>
      </c>
      <c r="O128" s="515">
        <f>'OPEX - Concept B2 - Carnival'!V89</f>
        <v>60949.720999737867</v>
      </c>
      <c r="P128" s="515">
        <f>'OPEX - Concept B2 - Carnival'!W89</f>
        <v>62168.715419732624</v>
      </c>
      <c r="Q128" s="515">
        <f>'OPEX - Concept B2 - Carnival'!X89</f>
        <v>63412.089728127277</v>
      </c>
      <c r="R128" s="515">
        <f>'OPEX - Concept B2 - Carnival'!Y89</f>
        <v>64680.331522689812</v>
      </c>
      <c r="S128" s="515">
        <f>'OPEX - Concept B2 - Carnival'!Z89</f>
        <v>65973.938153143623</v>
      </c>
      <c r="T128" s="515">
        <f>'OPEX - Concept B2 - Carnival'!AA89</f>
        <v>67293.416916206494</v>
      </c>
      <c r="U128" s="515">
        <f>'OPEX - Concept B2 - Carnival'!AB89</f>
        <v>68639.285254530623</v>
      </c>
      <c r="V128" s="515">
        <f>'OPEX - Concept B2 - Carnival'!AC89</f>
        <v>70012.07095962124</v>
      </c>
      <c r="W128" s="515">
        <f>'OPEX - Concept B2 - Carnival'!AD89</f>
        <v>71412.312378813673</v>
      </c>
      <c r="X128" s="515">
        <f>'OPEX - Concept B2 - Carnival'!AE89</f>
        <v>72840.558626389946</v>
      </c>
    </row>
    <row r="129" spans="1:24" s="96" customFormat="1">
      <c r="A129" s="69" t="s">
        <v>43</v>
      </c>
      <c r="B129" s="69"/>
      <c r="C129" s="69"/>
      <c r="D129" s="514">
        <v>0</v>
      </c>
      <c r="E129" s="515">
        <f>'OPEX - Concept B2 - Carnival'!L90</f>
        <v>500</v>
      </c>
      <c r="F129" s="515">
        <f>'OPEX - Concept B2 - Carnival'!M90</f>
        <v>1530</v>
      </c>
      <c r="G129" s="515">
        <f>'OPEX - Concept B2 - Carnival'!N90</f>
        <v>1560.6</v>
      </c>
      <c r="H129" s="515">
        <f>'OPEX - Concept B2 - Carnival'!O90</f>
        <v>1591.8119999999999</v>
      </c>
      <c r="I129" s="515">
        <f>'OPEX - Concept B2 - Carnival'!P90</f>
        <v>1623.64824</v>
      </c>
      <c r="J129" s="515">
        <f>'OPEX - Concept B2 - Carnival'!Q90</f>
        <v>1656.1212048</v>
      </c>
      <c r="K129" s="515">
        <f>'OPEX - Concept B2 - Carnival'!R90</f>
        <v>1689.243628896</v>
      </c>
      <c r="L129" s="515">
        <f>'OPEX - Concept B2 - Carnival'!S90</f>
        <v>1723.02850147392</v>
      </c>
      <c r="M129" s="515">
        <f>'OPEX - Concept B2 - Carnival'!T90</f>
        <v>1757.4890715033987</v>
      </c>
      <c r="N129" s="515">
        <f>'OPEX - Concept B2 - Carnival'!U90</f>
        <v>1792.6388529334665</v>
      </c>
      <c r="O129" s="515">
        <f>'OPEX - Concept B2 - Carnival'!V90</f>
        <v>1828.491629992136</v>
      </c>
      <c r="P129" s="515">
        <f>'OPEX - Concept B2 - Carnival'!W90</f>
        <v>1865.0614625919786</v>
      </c>
      <c r="Q129" s="515">
        <f>'OPEX - Concept B2 - Carnival'!X90</f>
        <v>1902.3626918438183</v>
      </c>
      <c r="R129" s="515">
        <f>'OPEX - Concept B2 - Carnival'!Y90</f>
        <v>1940.4099456806944</v>
      </c>
      <c r="S129" s="515">
        <f>'OPEX - Concept B2 - Carnival'!Z90</f>
        <v>1979.2181445943086</v>
      </c>
      <c r="T129" s="515">
        <f>'OPEX - Concept B2 - Carnival'!AA90</f>
        <v>2018.8025074861948</v>
      </c>
      <c r="U129" s="515">
        <f>'OPEX - Concept B2 - Carnival'!AB90</f>
        <v>2059.1785576359189</v>
      </c>
      <c r="V129" s="515">
        <f>'OPEX - Concept B2 - Carnival'!AC90</f>
        <v>2100.3621287886372</v>
      </c>
      <c r="W129" s="515">
        <f>'OPEX - Concept B2 - Carnival'!AD90</f>
        <v>2142.3693713644102</v>
      </c>
      <c r="X129" s="515">
        <f>'OPEX - Concept B2 - Carnival'!AE90</f>
        <v>2185.2167587916983</v>
      </c>
    </row>
    <row r="130" spans="1:24" s="96" customFormat="1">
      <c r="A130" s="69" t="s">
        <v>44</v>
      </c>
      <c r="B130" s="69"/>
      <c r="C130" s="69"/>
      <c r="D130" s="514">
        <v>0</v>
      </c>
      <c r="E130" s="515">
        <f>'OPEX - Concept B2 - Carnival'!L91</f>
        <v>250</v>
      </c>
      <c r="F130" s="515">
        <f>'OPEX - Concept B2 - Carnival'!M91</f>
        <v>765</v>
      </c>
      <c r="G130" s="515">
        <f>'OPEX - Concept B2 - Carnival'!N91</f>
        <v>780.3</v>
      </c>
      <c r="H130" s="515">
        <f>'OPEX - Concept B2 - Carnival'!O91</f>
        <v>795.90599999999995</v>
      </c>
      <c r="I130" s="515">
        <f>'OPEX - Concept B2 - Carnival'!P91</f>
        <v>811.82411999999999</v>
      </c>
      <c r="J130" s="515">
        <f>'OPEX - Concept B2 - Carnival'!Q91</f>
        <v>828.06060239999999</v>
      </c>
      <c r="K130" s="515">
        <f>'OPEX - Concept B2 - Carnival'!R91</f>
        <v>844.62181444800001</v>
      </c>
      <c r="L130" s="515">
        <f>'OPEX - Concept B2 - Carnival'!S91</f>
        <v>861.51425073695998</v>
      </c>
      <c r="M130" s="515">
        <f>'OPEX - Concept B2 - Carnival'!T91</f>
        <v>878.74453575169935</v>
      </c>
      <c r="N130" s="515">
        <f>'OPEX - Concept B2 - Carnival'!U91</f>
        <v>896.31942646673326</v>
      </c>
      <c r="O130" s="515">
        <f>'OPEX - Concept B2 - Carnival'!V91</f>
        <v>914.24581499606802</v>
      </c>
      <c r="P130" s="515">
        <f>'OPEX - Concept B2 - Carnival'!W91</f>
        <v>932.53073129598931</v>
      </c>
      <c r="Q130" s="515">
        <f>'OPEX - Concept B2 - Carnival'!X91</f>
        <v>951.18134592190916</v>
      </c>
      <c r="R130" s="515">
        <f>'OPEX - Concept B2 - Carnival'!Y91</f>
        <v>970.20497284034718</v>
      </c>
      <c r="S130" s="515">
        <f>'OPEX - Concept B2 - Carnival'!Z91</f>
        <v>989.60907229715428</v>
      </c>
      <c r="T130" s="515">
        <f>'OPEX - Concept B2 - Carnival'!AA91</f>
        <v>1009.4012537430974</v>
      </c>
      <c r="U130" s="515">
        <f>'OPEX - Concept B2 - Carnival'!AB91</f>
        <v>1029.5892788179594</v>
      </c>
      <c r="V130" s="515">
        <f>'OPEX - Concept B2 - Carnival'!AC91</f>
        <v>1050.1810643943186</v>
      </c>
      <c r="W130" s="515">
        <f>'OPEX - Concept B2 - Carnival'!AD91</f>
        <v>1071.1846856822051</v>
      </c>
      <c r="X130" s="515">
        <f>'OPEX - Concept B2 - Carnival'!AE91</f>
        <v>1092.6083793958492</v>
      </c>
    </row>
    <row r="131" spans="1:24" s="96" customFormat="1">
      <c r="A131" s="69" t="s">
        <v>2</v>
      </c>
      <c r="B131" s="69"/>
      <c r="C131" s="69"/>
      <c r="D131" s="514">
        <v>0</v>
      </c>
      <c r="E131" s="515">
        <f>'OPEX - Concept B2 - Carnival'!L92</f>
        <v>1000</v>
      </c>
      <c r="F131" s="515">
        <f>'OPEX - Concept B2 - Carnival'!M92</f>
        <v>1020</v>
      </c>
      <c r="G131" s="515">
        <f>'OPEX - Concept B2 - Carnival'!N92</f>
        <v>1040.4000000000001</v>
      </c>
      <c r="H131" s="515">
        <f>'OPEX - Concept B2 - Carnival'!O92</f>
        <v>1061.2079999999999</v>
      </c>
      <c r="I131" s="515">
        <f>'OPEX - Concept B2 - Carnival'!P92</f>
        <v>1082.4321600000001</v>
      </c>
      <c r="J131" s="515">
        <f>'OPEX - Concept B2 - Carnival'!Q92</f>
        <v>1104.0808032</v>
      </c>
      <c r="K131" s="515">
        <f>'OPEX - Concept B2 - Carnival'!R92</f>
        <v>1126.1624192640002</v>
      </c>
      <c r="L131" s="515">
        <f>'OPEX - Concept B2 - Carnival'!S92</f>
        <v>1148.68566764928</v>
      </c>
      <c r="M131" s="515">
        <f>'OPEX - Concept B2 - Carnival'!T92</f>
        <v>1171.6593810022657</v>
      </c>
      <c r="N131" s="515">
        <f>'OPEX - Concept B2 - Carnival'!U92</f>
        <v>1195.0925686223111</v>
      </c>
      <c r="O131" s="515">
        <f>'OPEX - Concept B2 - Carnival'!V92</f>
        <v>1218.9944199947574</v>
      </c>
      <c r="P131" s="515">
        <f>'OPEX - Concept B2 - Carnival'!W92</f>
        <v>1243.3743083946524</v>
      </c>
      <c r="Q131" s="515">
        <f>'OPEX - Concept B2 - Carnival'!X92</f>
        <v>1268.2417945625455</v>
      </c>
      <c r="R131" s="515">
        <f>'OPEX - Concept B2 - Carnival'!Y92</f>
        <v>1293.6066304537962</v>
      </c>
      <c r="S131" s="515">
        <f>'OPEX - Concept B2 - Carnival'!Z92</f>
        <v>1319.4787630628723</v>
      </c>
      <c r="T131" s="515">
        <f>'OPEX - Concept B2 - Carnival'!AA92</f>
        <v>1345.8683383241298</v>
      </c>
      <c r="U131" s="515">
        <f>'OPEX - Concept B2 - Carnival'!AB92</f>
        <v>1372.7857050906125</v>
      </c>
      <c r="V131" s="515">
        <f>'OPEX - Concept B2 - Carnival'!AC92</f>
        <v>1400.2414191924249</v>
      </c>
      <c r="W131" s="515">
        <f>'OPEX - Concept B2 - Carnival'!AD92</f>
        <v>1428.2462475762734</v>
      </c>
      <c r="X131" s="515">
        <f>'OPEX - Concept B2 - Carnival'!AE92</f>
        <v>1456.8111725277988</v>
      </c>
    </row>
    <row r="132" spans="1:24" s="96" customFormat="1">
      <c r="A132" s="69"/>
      <c r="B132" s="69"/>
      <c r="C132" s="69"/>
      <c r="D132" s="514"/>
      <c r="E132" s="515"/>
      <c r="F132" s="515"/>
      <c r="G132" s="515"/>
      <c r="H132" s="515"/>
      <c r="I132" s="515"/>
      <c r="J132" s="515"/>
      <c r="K132" s="515"/>
      <c r="L132" s="515"/>
      <c r="M132" s="515"/>
      <c r="N132" s="515"/>
      <c r="O132" s="515"/>
      <c r="P132" s="515"/>
      <c r="Q132" s="515"/>
      <c r="R132" s="515"/>
      <c r="S132" s="515"/>
      <c r="T132" s="515"/>
      <c r="U132" s="515"/>
      <c r="V132" s="515"/>
      <c r="W132" s="515"/>
      <c r="X132" s="515"/>
    </row>
    <row r="133" spans="1:24" s="96" customFormat="1">
      <c r="A133" s="69" t="s">
        <v>25</v>
      </c>
      <c r="B133" s="69"/>
      <c r="C133" s="69"/>
      <c r="D133" s="514">
        <v>0</v>
      </c>
      <c r="E133" s="515">
        <f>'OPEX - Concept B2 - Carnival'!L108</f>
        <v>23741.666666666664</v>
      </c>
      <c r="F133" s="515">
        <f>'OPEX - Concept B2 - Carnival'!M108</f>
        <v>24216.5</v>
      </c>
      <c r="G133" s="515">
        <f>'OPEX - Concept B2 - Carnival'!N108</f>
        <v>24700.83</v>
      </c>
      <c r="H133" s="515">
        <f>'OPEX - Concept B2 - Carnival'!O108</f>
        <v>25194.846599999997</v>
      </c>
      <c r="I133" s="515">
        <f>'OPEX - Concept B2 - Carnival'!P108</f>
        <v>25698.743532</v>
      </c>
      <c r="J133" s="515">
        <f>'OPEX - Concept B2 - Carnival'!Q108</f>
        <v>26212.718402639999</v>
      </c>
      <c r="K133" s="515">
        <f>'OPEX - Concept B2 - Carnival'!R108</f>
        <v>26736.972770692802</v>
      </c>
      <c r="L133" s="515">
        <f>'OPEX - Concept B2 - Carnival'!S108</f>
        <v>27271.712226106654</v>
      </c>
      <c r="M133" s="515">
        <f>'OPEX - Concept B2 - Carnival'!T108</f>
        <v>27817.146470628788</v>
      </c>
      <c r="N133" s="515">
        <f>'OPEX - Concept B2 - Carnival'!U108</f>
        <v>28373.48940004137</v>
      </c>
      <c r="O133" s="515">
        <f>'OPEX - Concept B2 - Carnival'!V108</f>
        <v>28940.959188042198</v>
      </c>
      <c r="P133" s="515">
        <f>'OPEX - Concept B2 - Carnival'!W108</f>
        <v>29519.77837180304</v>
      </c>
      <c r="Q133" s="515">
        <f>'OPEX - Concept B2 - Carnival'!X108</f>
        <v>30110.173939239099</v>
      </c>
      <c r="R133" s="515">
        <f>'OPEX - Concept B2 - Carnival'!Y108</f>
        <v>30712.37741802388</v>
      </c>
      <c r="S133" s="515">
        <f>'OPEX - Concept B2 - Carnival'!Z108</f>
        <v>31326.624966384359</v>
      </c>
      <c r="T133" s="515">
        <f>'OPEX - Concept B2 - Carnival'!AA108</f>
        <v>31953.157465712051</v>
      </c>
      <c r="U133" s="515">
        <f>'OPEX - Concept B2 - Carnival'!AB108</f>
        <v>32592.220615026294</v>
      </c>
      <c r="V133" s="515">
        <f>'OPEX - Concept B2 - Carnival'!AC108</f>
        <v>33244.065027326818</v>
      </c>
      <c r="W133" s="515">
        <f>'OPEX - Concept B2 - Carnival'!AD108</f>
        <v>33908.946327873353</v>
      </c>
      <c r="X133" s="515">
        <f>'OPEX - Concept B2 - Carnival'!AE108</f>
        <v>34587.125254430823</v>
      </c>
    </row>
    <row r="134" spans="1:24" s="96" customFormat="1">
      <c r="A134" s="782" t="s">
        <v>426</v>
      </c>
      <c r="B134" s="69"/>
      <c r="C134" s="69"/>
      <c r="D134" s="514">
        <v>0</v>
      </c>
      <c r="E134" s="515">
        <f>'OPEX - Concept B2 - Carnival'!L96</f>
        <v>1000</v>
      </c>
      <c r="F134" s="515">
        <f>'OPEX - Concept B2 - Carnival'!M96</f>
        <v>1020</v>
      </c>
      <c r="G134" s="515">
        <f>'OPEX - Concept B2 - Carnival'!N96</f>
        <v>1040.4000000000001</v>
      </c>
      <c r="H134" s="515">
        <f>'OPEX - Concept B2 - Carnival'!O96</f>
        <v>1061.2079999999999</v>
      </c>
      <c r="I134" s="515">
        <f>'OPEX - Concept B2 - Carnival'!P96</f>
        <v>1082.4321600000001</v>
      </c>
      <c r="J134" s="515">
        <f>'OPEX - Concept B2 - Carnival'!Q96</f>
        <v>25000</v>
      </c>
      <c r="K134" s="515">
        <f>'OPEX - Concept B2 - Carnival'!R96</f>
        <v>25500</v>
      </c>
      <c r="L134" s="515">
        <f>'OPEX - Concept B2 - Carnival'!S96</f>
        <v>26010</v>
      </c>
      <c r="M134" s="515">
        <f>'OPEX - Concept B2 - Carnival'!T96</f>
        <v>26530.199999999997</v>
      </c>
      <c r="N134" s="515">
        <f>'OPEX - Concept B2 - Carnival'!U96</f>
        <v>27060.804</v>
      </c>
      <c r="O134" s="515">
        <f>'OPEX - Concept B2 - Carnival'!V96</f>
        <v>27602.020080000002</v>
      </c>
      <c r="P134" s="515">
        <f>'OPEX - Concept B2 - Carnival'!W96</f>
        <v>28154.060481600001</v>
      </c>
      <c r="Q134" s="515">
        <f>'OPEX - Concept B2 - Carnival'!X96</f>
        <v>28717.141691232002</v>
      </c>
      <c r="R134" s="515">
        <f>'OPEX - Concept B2 - Carnival'!Y96</f>
        <v>29291.484525056643</v>
      </c>
      <c r="S134" s="515">
        <f>'OPEX - Concept B2 - Carnival'!Z96</f>
        <v>29877.314215557777</v>
      </c>
      <c r="T134" s="515">
        <f>'OPEX - Concept B2 - Carnival'!AA96</f>
        <v>30474.860499868933</v>
      </c>
      <c r="U134" s="515">
        <f>'OPEX - Concept B2 - Carnival'!AB96</f>
        <v>31084.357709866312</v>
      </c>
      <c r="V134" s="515">
        <f>'OPEX - Concept B2 - Carnival'!AC96</f>
        <v>31706.044864063639</v>
      </c>
      <c r="W134" s="515">
        <f>'OPEX - Concept B2 - Carnival'!AD96</f>
        <v>32340.165761344906</v>
      </c>
      <c r="X134" s="515">
        <f>'OPEX - Concept B2 - Carnival'!AE96</f>
        <v>32986.969076571811</v>
      </c>
    </row>
    <row r="135" spans="1:24" s="96" customFormat="1">
      <c r="A135" s="644" t="s">
        <v>302</v>
      </c>
      <c r="B135" s="69"/>
      <c r="C135" s="69"/>
      <c r="D135" s="514">
        <v>0</v>
      </c>
      <c r="E135" s="515">
        <f>'Shuttle Projections'!C28/2</f>
        <v>233675</v>
      </c>
      <c r="F135" s="515">
        <f>'Shuttle Projections'!D28</f>
        <v>476697</v>
      </c>
      <c r="G135" s="515">
        <f>'Shuttle Projections'!E28</f>
        <v>486230.94000000006</v>
      </c>
      <c r="H135" s="515">
        <f>'Shuttle Projections'!F28</f>
        <v>495955.55879999994</v>
      </c>
      <c r="I135" s="515">
        <f>'Shuttle Projections'!G28</f>
        <v>505874.66997599998</v>
      </c>
      <c r="J135" s="515">
        <f>'Shuttle Projections'!H28</f>
        <v>515992.16337552003</v>
      </c>
      <c r="K135" s="515">
        <f>'Shuttle Projections'!I28</f>
        <v>526312.00664303044</v>
      </c>
      <c r="L135" s="515">
        <f>'Shuttle Projections'!J28</f>
        <v>536838.24677589093</v>
      </c>
      <c r="M135" s="515">
        <f>'Shuttle Projections'!K28</f>
        <v>547575.01171140897</v>
      </c>
      <c r="N135" s="515">
        <f>'Shuttle Projections'!L28</f>
        <v>558526.51194563706</v>
      </c>
      <c r="O135" s="515">
        <f>'Shuttle Projections'!M28</f>
        <v>569697.04218454985</v>
      </c>
      <c r="P135" s="515">
        <f>'Shuttle Projections'!N28</f>
        <v>581090.98302824085</v>
      </c>
      <c r="Q135" s="515">
        <f>'Shuttle Projections'!O28</f>
        <v>592712.80268880562</v>
      </c>
      <c r="R135" s="515">
        <f>'Shuttle Projections'!P28</f>
        <v>604567.05874258175</v>
      </c>
      <c r="S135" s="515">
        <f>'Shuttle Projections'!Q28</f>
        <v>616658.39991743339</v>
      </c>
      <c r="T135" s="515">
        <f>'Shuttle Projections'!R28</f>
        <v>628991.5679157821</v>
      </c>
      <c r="U135" s="515">
        <f>'Shuttle Projections'!S28</f>
        <v>641571.39927409776</v>
      </c>
      <c r="V135" s="515">
        <f>'Shuttle Projections'!T28</f>
        <v>654402.82725957979</v>
      </c>
      <c r="W135" s="515">
        <f>'Shuttle Projections'!U28</f>
        <v>667490.88380477135</v>
      </c>
      <c r="X135" s="515">
        <f>'Shuttle Projections'!V28</f>
        <v>680840.70148086676</v>
      </c>
    </row>
    <row r="136" spans="1:24" s="16" customFormat="1" ht="14.25">
      <c r="A136" s="282" t="s">
        <v>132</v>
      </c>
      <c r="B136" s="276"/>
      <c r="C136" s="276"/>
      <c r="D136" s="516">
        <f>SUM(D124:D135)</f>
        <v>0</v>
      </c>
      <c r="E136" s="517">
        <f t="shared" ref="E136:X136" si="17">SUM(E125:E135)</f>
        <v>357416.66666666663</v>
      </c>
      <c r="F136" s="517">
        <f t="shared" si="17"/>
        <v>732748.5</v>
      </c>
      <c r="G136" s="517">
        <f t="shared" si="17"/>
        <v>747413.67</v>
      </c>
      <c r="H136" s="517">
        <f t="shared" si="17"/>
        <v>762361.94339999987</v>
      </c>
      <c r="I136" s="517">
        <f t="shared" si="17"/>
        <v>777609.18226799998</v>
      </c>
      <c r="J136" s="517">
        <f t="shared" si="17"/>
        <v>821505.24470855994</v>
      </c>
      <c r="K136" s="517">
        <f t="shared" si="17"/>
        <v>833398.43081236328</v>
      </c>
      <c r="L136" s="517">
        <f t="shared" si="17"/>
        <v>850066.39942861046</v>
      </c>
      <c r="M136" s="517">
        <f t="shared" si="17"/>
        <v>867067.72741718288</v>
      </c>
      <c r="N136" s="517">
        <f t="shared" si="17"/>
        <v>884409.08196552633</v>
      </c>
      <c r="O136" s="517">
        <f t="shared" si="17"/>
        <v>906487.76639483962</v>
      </c>
      <c r="P136" s="517">
        <f t="shared" si="17"/>
        <v>920139.20887693379</v>
      </c>
      <c r="Q136" s="517">
        <f t="shared" si="17"/>
        <v>938541.99305447238</v>
      </c>
      <c r="R136" s="517">
        <f t="shared" si="17"/>
        <v>957312.83291556174</v>
      </c>
      <c r="S136" s="517">
        <f t="shared" si="17"/>
        <v>976459.08957387297</v>
      </c>
      <c r="T136" s="517">
        <f t="shared" si="17"/>
        <v>1000315.3371961885</v>
      </c>
      <c r="U136" s="517">
        <f t="shared" si="17"/>
        <v>1015908.0367926576</v>
      </c>
      <c r="V136" s="517">
        <f t="shared" si="17"/>
        <v>1036226.1975285108</v>
      </c>
      <c r="W136" s="517">
        <f t="shared" si="17"/>
        <v>1056950.7214790811</v>
      </c>
      <c r="X136" s="517">
        <f t="shared" si="17"/>
        <v>1078089.7359086627</v>
      </c>
    </row>
    <row r="137" spans="1:24">
      <c r="A137" s="92"/>
      <c r="B137" s="69"/>
      <c r="C137" s="69"/>
      <c r="D137" s="514"/>
      <c r="E137" s="515"/>
      <c r="F137" s="515"/>
      <c r="G137" s="515"/>
      <c r="H137" s="515"/>
      <c r="I137" s="515"/>
      <c r="J137" s="515"/>
      <c r="K137" s="515"/>
      <c r="L137" s="515"/>
      <c r="M137" s="515"/>
      <c r="N137" s="515"/>
      <c r="O137" s="515"/>
      <c r="P137" s="515"/>
      <c r="Q137" s="515"/>
      <c r="R137" s="515"/>
      <c r="S137" s="515"/>
      <c r="T137" s="515"/>
      <c r="U137" s="515"/>
      <c r="V137" s="515"/>
      <c r="W137" s="515"/>
      <c r="X137" s="515"/>
    </row>
    <row r="138" spans="1:24">
      <c r="A138" s="269" t="s">
        <v>85</v>
      </c>
      <c r="B138" s="269"/>
      <c r="C138" s="270"/>
      <c r="D138" s="513"/>
      <c r="E138" s="513"/>
      <c r="F138" s="513"/>
      <c r="G138" s="513"/>
      <c r="H138" s="513"/>
      <c r="I138" s="513"/>
      <c r="J138" s="513"/>
      <c r="K138" s="513"/>
      <c r="L138" s="513"/>
      <c r="M138" s="513"/>
      <c r="N138" s="513"/>
      <c r="O138" s="513"/>
      <c r="P138" s="513"/>
      <c r="Q138" s="513"/>
      <c r="R138" s="513"/>
      <c r="S138" s="513"/>
      <c r="T138" s="513"/>
      <c r="U138" s="513"/>
      <c r="V138" s="513"/>
      <c r="W138" s="513"/>
      <c r="X138" s="513"/>
    </row>
    <row r="139" spans="1:24" s="368" customFormat="1">
      <c r="A139" s="263"/>
      <c r="B139" s="263"/>
      <c r="C139" s="367"/>
      <c r="D139" s="514"/>
      <c r="E139" s="515"/>
      <c r="F139" s="515"/>
      <c r="G139" s="515"/>
      <c r="H139" s="515"/>
      <c r="I139" s="515"/>
      <c r="J139" s="515"/>
      <c r="K139" s="515"/>
      <c r="L139" s="515"/>
      <c r="M139" s="515"/>
      <c r="N139" s="515"/>
      <c r="O139" s="515"/>
      <c r="P139" s="515"/>
      <c r="Q139" s="515"/>
      <c r="R139" s="515"/>
      <c r="S139" s="515"/>
      <c r="T139" s="515"/>
      <c r="U139" s="515"/>
      <c r="V139" s="515"/>
      <c r="W139" s="515"/>
      <c r="X139" s="515"/>
    </row>
    <row r="140" spans="1:24" s="58" customFormat="1">
      <c r="A140" s="69" t="s">
        <v>0</v>
      </c>
      <c r="B140" s="263"/>
      <c r="C140" s="783"/>
      <c r="D140" s="514">
        <v>0</v>
      </c>
      <c r="E140" s="515">
        <f>'OPEX - Concept B2 - Carnival'!L131</f>
        <v>0</v>
      </c>
      <c r="F140" s="515">
        <f>'OPEX - Concept B2 - Carnival'!M131</f>
        <v>54570</v>
      </c>
      <c r="G140" s="515">
        <f>'OPEX - Concept B2 - Carnival'!N131</f>
        <v>56774.628000000004</v>
      </c>
      <c r="H140" s="515">
        <f>'OPEX - Concept B2 - Carnival'!O131</f>
        <v>57910.120559999996</v>
      </c>
      <c r="I140" s="515">
        <f>'OPEX - Concept B2 - Carnival'!P131</f>
        <v>59068.322971199988</v>
      </c>
      <c r="J140" s="515">
        <f>'OPEX - Concept B2 - Carnival'!Q131</f>
        <v>60249.689430623999</v>
      </c>
      <c r="K140" s="515">
        <f>'OPEX - Concept B2 - Carnival'!R131</f>
        <v>61454.683219236475</v>
      </c>
      <c r="L140" s="515">
        <f>'OPEX - Concept B2 - Carnival'!S131</f>
        <v>62683.776883621205</v>
      </c>
      <c r="M140" s="515">
        <f>'OPEX - Concept B2 - Carnival'!T131</f>
        <v>63937.452421293638</v>
      </c>
      <c r="N140" s="515">
        <f>'OPEX - Concept B2 - Carnival'!U131</f>
        <v>65216.201469719512</v>
      </c>
      <c r="O140" s="515">
        <f>'OPEX - Concept B2 - Carnival'!V131</f>
        <v>66520.525499113894</v>
      </c>
      <c r="P140" s="515">
        <f>'OPEX - Concept B2 - Carnival'!W131</f>
        <v>67850.936009096185</v>
      </c>
      <c r="Q140" s="515">
        <f>'OPEX - Concept B2 - Carnival'!X131</f>
        <v>69207.954729278121</v>
      </c>
      <c r="R140" s="515">
        <f>'OPEX - Concept B2 - Carnival'!Y131</f>
        <v>70592.113823863678</v>
      </c>
      <c r="S140" s="515">
        <f>'OPEX - Concept B2 - Carnival'!Z131</f>
        <v>72003.956100340947</v>
      </c>
      <c r="T140" s="515">
        <f>'OPEX - Concept B2 - Carnival'!AA131</f>
        <v>73444.035222347768</v>
      </c>
      <c r="U140" s="515">
        <f>'OPEX - Concept B2 - Carnival'!AB131</f>
        <v>74912.915926794725</v>
      </c>
      <c r="V140" s="515">
        <f>'OPEX - Concept B2 - Carnival'!AC131</f>
        <v>76411.174245330621</v>
      </c>
      <c r="W140" s="515">
        <f>'OPEX - Concept B2 - Carnival'!AD131</f>
        <v>77939.397730237237</v>
      </c>
      <c r="X140" s="515">
        <f>'OPEX - Concept B2 - Carnival'!AE131</f>
        <v>79498.18568484197</v>
      </c>
    </row>
    <row r="141" spans="1:24" s="58" customFormat="1">
      <c r="A141" s="69" t="s">
        <v>4</v>
      </c>
      <c r="B141" s="263"/>
      <c r="C141" s="783"/>
      <c r="D141" s="514">
        <v>0</v>
      </c>
      <c r="E141" s="515">
        <f>'OPEX - Concept B2 - Carnival'!L154</f>
        <v>0</v>
      </c>
      <c r="F141" s="515">
        <f>'OPEX - Concept B2 - Carnival'!M154</f>
        <v>85335.846153846156</v>
      </c>
      <c r="G141" s="515">
        <f>'OPEX - Concept B2 - Carnival'!N154</f>
        <v>87042.563076923077</v>
      </c>
      <c r="H141" s="515">
        <f>'OPEX - Concept B2 - Carnival'!O154</f>
        <v>88783.41433846156</v>
      </c>
      <c r="I141" s="515">
        <f>'OPEX - Concept B2 - Carnival'!P154</f>
        <v>90559.082625230774</v>
      </c>
      <c r="J141" s="515">
        <f>'OPEX - Concept B2 - Carnival'!Q154</f>
        <v>92370.264277735376</v>
      </c>
      <c r="K141" s="515">
        <f>'OPEX - Concept B2 - Carnival'!R154</f>
        <v>94217.669563290081</v>
      </c>
      <c r="L141" s="515">
        <f>'OPEX - Concept B2 - Carnival'!S154</f>
        <v>96102.022954555898</v>
      </c>
      <c r="M141" s="515">
        <f>'OPEX - Concept B2 - Carnival'!T154</f>
        <v>98024.063413647003</v>
      </c>
      <c r="N141" s="515">
        <f>'OPEX - Concept B2 - Carnival'!U154</f>
        <v>99984.544681919942</v>
      </c>
      <c r="O141" s="515">
        <f>'OPEX - Concept B2 - Carnival'!V154</f>
        <v>101984.23557555837</v>
      </c>
      <c r="P141" s="515">
        <f>'OPEX - Concept B2 - Carnival'!W154</f>
        <v>104023.92028706953</v>
      </c>
      <c r="Q141" s="515">
        <f>'OPEX - Concept B2 - Carnival'!X154</f>
        <v>106104.39869281092</v>
      </c>
      <c r="R141" s="515">
        <f>'OPEX - Concept B2 - Carnival'!Y154</f>
        <v>108226.48666666714</v>
      </c>
      <c r="S141" s="515">
        <f>'OPEX - Concept B2 - Carnival'!Z154</f>
        <v>110391.01640000047</v>
      </c>
      <c r="T141" s="515">
        <f>'OPEX - Concept B2 - Carnival'!AA154</f>
        <v>112598.8367280005</v>
      </c>
      <c r="U141" s="515">
        <f>'OPEX - Concept B2 - Carnival'!AB154</f>
        <v>114850.8134625605</v>
      </c>
      <c r="V141" s="515">
        <f>'OPEX - Concept B2 - Carnival'!AC154</f>
        <v>117147.82973181173</v>
      </c>
      <c r="W141" s="515">
        <f>'OPEX - Concept B2 - Carnival'!AD154</f>
        <v>119490.78632644797</v>
      </c>
      <c r="X141" s="515">
        <f>'OPEX - Concept B2 - Carnival'!AE154</f>
        <v>121880.60205297693</v>
      </c>
    </row>
    <row r="142" spans="1:24" s="16" customFormat="1" ht="14.25">
      <c r="A142" s="282" t="s">
        <v>133</v>
      </c>
      <c r="B142" s="276"/>
      <c r="C142" s="276"/>
      <c r="D142" s="516">
        <f>SUM(D140:D141)</f>
        <v>0</v>
      </c>
      <c r="E142" s="517">
        <f>SUM(E140:E141)</f>
        <v>0</v>
      </c>
      <c r="F142" s="517">
        <f t="shared" ref="F142:X142" si="18">SUM(F140:F141)</f>
        <v>139905.84615384616</v>
      </c>
      <c r="G142" s="517">
        <f t="shared" si="18"/>
        <v>143817.19107692307</v>
      </c>
      <c r="H142" s="517">
        <f t="shared" si="18"/>
        <v>146693.53489846154</v>
      </c>
      <c r="I142" s="517">
        <f t="shared" si="18"/>
        <v>149627.40559643076</v>
      </c>
      <c r="J142" s="517">
        <f t="shared" si="18"/>
        <v>152619.95370835939</v>
      </c>
      <c r="K142" s="517">
        <f t="shared" si="18"/>
        <v>155672.35278252655</v>
      </c>
      <c r="L142" s="517">
        <f t="shared" si="18"/>
        <v>158785.7998381771</v>
      </c>
      <c r="M142" s="517">
        <f t="shared" si="18"/>
        <v>161961.51583494066</v>
      </c>
      <c r="N142" s="517">
        <f t="shared" si="18"/>
        <v>165200.74615163944</v>
      </c>
      <c r="O142" s="517">
        <f t="shared" si="18"/>
        <v>168504.76107467228</v>
      </c>
      <c r="P142" s="517">
        <f t="shared" si="18"/>
        <v>171874.85629616573</v>
      </c>
      <c r="Q142" s="517">
        <f t="shared" si="18"/>
        <v>175312.35342208904</v>
      </c>
      <c r="R142" s="517">
        <f t="shared" si="18"/>
        <v>178818.60049053084</v>
      </c>
      <c r="S142" s="517">
        <f t="shared" si="18"/>
        <v>182394.97250034142</v>
      </c>
      <c r="T142" s="517">
        <f t="shared" si="18"/>
        <v>186042.87195034826</v>
      </c>
      <c r="U142" s="517">
        <f t="shared" si="18"/>
        <v>189763.72938935523</v>
      </c>
      <c r="V142" s="517">
        <f t="shared" si="18"/>
        <v>193559.00397714233</v>
      </c>
      <c r="W142" s="517">
        <f t="shared" si="18"/>
        <v>197430.18405668519</v>
      </c>
      <c r="X142" s="517">
        <f t="shared" si="18"/>
        <v>201378.7877378189</v>
      </c>
    </row>
    <row r="143" spans="1:24">
      <c r="A143" s="92"/>
      <c r="B143" s="92"/>
      <c r="C143" s="69"/>
      <c r="D143" s="514"/>
      <c r="E143" s="515"/>
      <c r="F143" s="515"/>
      <c r="G143" s="515"/>
      <c r="H143" s="515"/>
      <c r="I143" s="515"/>
      <c r="J143" s="515"/>
      <c r="K143" s="515"/>
      <c r="L143" s="515"/>
      <c r="M143" s="515"/>
      <c r="N143" s="515"/>
      <c r="O143" s="515"/>
      <c r="P143" s="515"/>
      <c r="Q143" s="515"/>
      <c r="R143" s="515"/>
      <c r="S143" s="515"/>
      <c r="T143" s="515"/>
      <c r="U143" s="515"/>
      <c r="V143" s="515"/>
      <c r="W143" s="515"/>
      <c r="X143" s="515"/>
    </row>
    <row r="144" spans="1:24" s="16" customFormat="1" ht="14.25">
      <c r="A144" s="350" t="s">
        <v>118</v>
      </c>
      <c r="B144" s="350"/>
      <c r="C144" s="351"/>
      <c r="D144" s="519">
        <f t="shared" ref="D144:X144" si="19">SUM(D136,D142)</f>
        <v>0</v>
      </c>
      <c r="E144" s="519">
        <f t="shared" si="19"/>
        <v>357416.66666666663</v>
      </c>
      <c r="F144" s="519">
        <f t="shared" si="19"/>
        <v>872654.34615384613</v>
      </c>
      <c r="G144" s="519">
        <f t="shared" si="19"/>
        <v>891230.86107692309</v>
      </c>
      <c r="H144" s="519">
        <f t="shared" si="19"/>
        <v>909055.47829846141</v>
      </c>
      <c r="I144" s="519">
        <f t="shared" si="19"/>
        <v>927236.58786443074</v>
      </c>
      <c r="J144" s="519">
        <f t="shared" si="19"/>
        <v>974125.19841691933</v>
      </c>
      <c r="K144" s="519">
        <f t="shared" si="19"/>
        <v>989070.7835948898</v>
      </c>
      <c r="L144" s="519">
        <f t="shared" si="19"/>
        <v>1008852.1992667876</v>
      </c>
      <c r="M144" s="519">
        <f t="shared" si="19"/>
        <v>1029029.2432521235</v>
      </c>
      <c r="N144" s="519">
        <f t="shared" si="19"/>
        <v>1049609.8281171657</v>
      </c>
      <c r="O144" s="519">
        <f t="shared" si="19"/>
        <v>1074992.5274695118</v>
      </c>
      <c r="P144" s="519">
        <f t="shared" si="19"/>
        <v>1092014.0651730995</v>
      </c>
      <c r="Q144" s="519">
        <f t="shared" si="19"/>
        <v>1113854.3464765614</v>
      </c>
      <c r="R144" s="519">
        <f t="shared" si="19"/>
        <v>1136131.4334060927</v>
      </c>
      <c r="S144" s="519">
        <f t="shared" si="19"/>
        <v>1158854.0620742145</v>
      </c>
      <c r="T144" s="519">
        <f t="shared" si="19"/>
        <v>1186358.2091465369</v>
      </c>
      <c r="U144" s="519">
        <f t="shared" si="19"/>
        <v>1205671.7661820129</v>
      </c>
      <c r="V144" s="519">
        <f t="shared" si="19"/>
        <v>1229785.2015056531</v>
      </c>
      <c r="W144" s="519">
        <f t="shared" si="19"/>
        <v>1254380.9055357664</v>
      </c>
      <c r="X144" s="519">
        <f t="shared" si="19"/>
        <v>1279468.5236464816</v>
      </c>
    </row>
    <row r="145" spans="1:24" s="222" customFormat="1" ht="14.25">
      <c r="A145" s="280"/>
      <c r="B145" s="280"/>
      <c r="C145" s="263"/>
      <c r="D145" s="518"/>
      <c r="E145" s="520"/>
      <c r="F145" s="520"/>
      <c r="G145" s="520"/>
      <c r="H145" s="520"/>
      <c r="I145" s="520"/>
      <c r="J145" s="520"/>
      <c r="K145" s="520"/>
      <c r="L145" s="520"/>
      <c r="M145" s="520"/>
      <c r="N145" s="520"/>
      <c r="O145" s="520"/>
      <c r="P145" s="520"/>
      <c r="Q145" s="520"/>
      <c r="R145" s="520"/>
      <c r="S145" s="520"/>
      <c r="T145" s="520"/>
      <c r="U145" s="520"/>
      <c r="V145" s="520"/>
      <c r="W145" s="520"/>
      <c r="X145" s="520"/>
    </row>
    <row r="146" spans="1:24" s="222" customFormat="1" ht="14.25">
      <c r="A146" s="271" t="s">
        <v>295</v>
      </c>
      <c r="B146" s="271"/>
      <c r="C146" s="269"/>
      <c r="D146" s="521"/>
      <c r="E146" s="521"/>
      <c r="F146" s="521"/>
      <c r="G146" s="521"/>
      <c r="H146" s="521"/>
      <c r="I146" s="521"/>
      <c r="J146" s="521"/>
      <c r="K146" s="521"/>
      <c r="L146" s="521"/>
      <c r="M146" s="521"/>
      <c r="N146" s="521"/>
      <c r="O146" s="521"/>
      <c r="P146" s="521"/>
      <c r="Q146" s="521"/>
      <c r="R146" s="521"/>
      <c r="S146" s="521"/>
      <c r="T146" s="521"/>
      <c r="U146" s="521"/>
      <c r="V146" s="521"/>
      <c r="W146" s="521"/>
      <c r="X146" s="521"/>
    </row>
    <row r="147" spans="1:24" s="222" customFormat="1" ht="14.25">
      <c r="A147" s="280"/>
      <c r="B147" s="280"/>
      <c r="C147" s="263"/>
      <c r="D147" s="518"/>
      <c r="E147" s="520"/>
      <c r="F147" s="520"/>
      <c r="G147" s="520"/>
      <c r="H147" s="520"/>
      <c r="I147" s="520"/>
      <c r="J147" s="520"/>
      <c r="K147" s="520"/>
      <c r="L147" s="520"/>
      <c r="M147" s="520"/>
      <c r="N147" s="520"/>
      <c r="O147" s="520"/>
      <c r="P147" s="520"/>
      <c r="Q147" s="520"/>
      <c r="R147" s="520"/>
      <c r="S147" s="520"/>
      <c r="T147" s="520"/>
      <c r="U147" s="520"/>
      <c r="V147" s="520"/>
      <c r="W147" s="520"/>
      <c r="X147" s="520"/>
    </row>
    <row r="148" spans="1:24" s="725" customFormat="1">
      <c r="A148" s="353" t="s">
        <v>228</v>
      </c>
      <c r="B148" s="691"/>
      <c r="C148" s="724"/>
      <c r="D148" s="699">
        <v>0</v>
      </c>
      <c r="E148" s="700"/>
      <c r="F148" s="700"/>
      <c r="G148" s="700"/>
      <c r="H148" s="700"/>
      <c r="I148" s="700"/>
      <c r="J148" s="700"/>
      <c r="K148" s="700"/>
      <c r="L148" s="700"/>
      <c r="M148" s="700"/>
      <c r="N148" s="700"/>
      <c r="O148" s="700"/>
      <c r="P148" s="700"/>
      <c r="Q148" s="700"/>
      <c r="R148" s="700"/>
      <c r="S148" s="700"/>
      <c r="T148" s="700"/>
      <c r="U148" s="700"/>
      <c r="V148" s="700"/>
      <c r="W148" s="700"/>
      <c r="X148" s="700"/>
    </row>
    <row r="149" spans="1:24" s="725" customFormat="1">
      <c r="A149" s="726" t="s">
        <v>228</v>
      </c>
      <c r="B149" s="727"/>
      <c r="C149" s="728"/>
      <c r="D149" s="729">
        <v>0</v>
      </c>
      <c r="E149" s="730"/>
      <c r="F149" s="730"/>
      <c r="G149" s="730"/>
      <c r="H149" s="730"/>
      <c r="I149" s="730"/>
      <c r="J149" s="730"/>
      <c r="K149" s="730"/>
      <c r="L149" s="730"/>
      <c r="M149" s="730"/>
      <c r="N149" s="730"/>
      <c r="O149" s="730"/>
      <c r="P149" s="730"/>
      <c r="Q149" s="730"/>
      <c r="R149" s="730"/>
      <c r="S149" s="730"/>
      <c r="T149" s="730"/>
      <c r="U149" s="730"/>
      <c r="V149" s="730"/>
      <c r="W149" s="730"/>
      <c r="X149" s="730"/>
    </row>
    <row r="150" spans="1:24" s="725" customFormat="1" ht="14.25">
      <c r="A150" s="691" t="s">
        <v>296</v>
      </c>
      <c r="B150" s="691"/>
      <c r="C150" s="724"/>
      <c r="D150" s="731">
        <f t="shared" ref="D150:X150" si="20">SUM(D148:D149)</f>
        <v>0</v>
      </c>
      <c r="E150" s="732">
        <f t="shared" si="20"/>
        <v>0</v>
      </c>
      <c r="F150" s="732">
        <f t="shared" si="20"/>
        <v>0</v>
      </c>
      <c r="G150" s="732">
        <f t="shared" si="20"/>
        <v>0</v>
      </c>
      <c r="H150" s="732">
        <f t="shared" si="20"/>
        <v>0</v>
      </c>
      <c r="I150" s="732">
        <f t="shared" si="20"/>
        <v>0</v>
      </c>
      <c r="J150" s="732">
        <f t="shared" si="20"/>
        <v>0</v>
      </c>
      <c r="K150" s="732">
        <f t="shared" si="20"/>
        <v>0</v>
      </c>
      <c r="L150" s="732">
        <f t="shared" si="20"/>
        <v>0</v>
      </c>
      <c r="M150" s="732">
        <f t="shared" si="20"/>
        <v>0</v>
      </c>
      <c r="N150" s="732">
        <f t="shared" si="20"/>
        <v>0</v>
      </c>
      <c r="O150" s="732">
        <f t="shared" si="20"/>
        <v>0</v>
      </c>
      <c r="P150" s="732">
        <f t="shared" si="20"/>
        <v>0</v>
      </c>
      <c r="Q150" s="732">
        <f t="shared" si="20"/>
        <v>0</v>
      </c>
      <c r="R150" s="732">
        <f t="shared" si="20"/>
        <v>0</v>
      </c>
      <c r="S150" s="732">
        <f t="shared" si="20"/>
        <v>0</v>
      </c>
      <c r="T150" s="732">
        <f t="shared" si="20"/>
        <v>0</v>
      </c>
      <c r="U150" s="732">
        <f t="shared" si="20"/>
        <v>0</v>
      </c>
      <c r="V150" s="732">
        <f t="shared" si="20"/>
        <v>0</v>
      </c>
      <c r="W150" s="732">
        <f t="shared" si="20"/>
        <v>0</v>
      </c>
      <c r="X150" s="732">
        <f t="shared" si="20"/>
        <v>0</v>
      </c>
    </row>
    <row r="151" spans="1:24" s="222" customFormat="1">
      <c r="A151" s="280"/>
      <c r="B151" s="280"/>
      <c r="C151" s="263"/>
      <c r="D151" s="514"/>
      <c r="E151" s="515"/>
      <c r="F151" s="520"/>
      <c r="G151" s="520"/>
      <c r="H151" s="520"/>
      <c r="I151" s="520"/>
      <c r="J151" s="520"/>
      <c r="K151" s="520"/>
      <c r="L151" s="520"/>
      <c r="M151" s="520"/>
      <c r="N151" s="520"/>
      <c r="O151" s="520"/>
      <c r="P151" s="520"/>
      <c r="Q151" s="520"/>
      <c r="R151" s="520"/>
      <c r="S151" s="520"/>
      <c r="T151" s="520"/>
      <c r="U151" s="520"/>
      <c r="V151" s="520"/>
      <c r="W151" s="520"/>
      <c r="X151" s="520"/>
    </row>
    <row r="152" spans="1:24" s="222" customFormat="1" ht="14.25">
      <c r="A152" s="296" t="s">
        <v>140</v>
      </c>
      <c r="B152" s="296"/>
      <c r="C152" s="297"/>
      <c r="D152" s="522">
        <f t="shared" ref="D152:X152" si="21">SUM(D144,D150)</f>
        <v>0</v>
      </c>
      <c r="E152" s="522">
        <f t="shared" si="21"/>
        <v>357416.66666666663</v>
      </c>
      <c r="F152" s="522">
        <f t="shared" si="21"/>
        <v>872654.34615384613</v>
      </c>
      <c r="G152" s="522">
        <f t="shared" si="21"/>
        <v>891230.86107692309</v>
      </c>
      <c r="H152" s="522">
        <f t="shared" si="21"/>
        <v>909055.47829846141</v>
      </c>
      <c r="I152" s="522">
        <f t="shared" si="21"/>
        <v>927236.58786443074</v>
      </c>
      <c r="J152" s="522">
        <f t="shared" si="21"/>
        <v>974125.19841691933</v>
      </c>
      <c r="K152" s="522">
        <f t="shared" si="21"/>
        <v>989070.7835948898</v>
      </c>
      <c r="L152" s="522">
        <f t="shared" si="21"/>
        <v>1008852.1992667876</v>
      </c>
      <c r="M152" s="522">
        <f t="shared" si="21"/>
        <v>1029029.2432521235</v>
      </c>
      <c r="N152" s="522">
        <f t="shared" si="21"/>
        <v>1049609.8281171657</v>
      </c>
      <c r="O152" s="522">
        <f t="shared" si="21"/>
        <v>1074992.5274695118</v>
      </c>
      <c r="P152" s="522">
        <f t="shared" si="21"/>
        <v>1092014.0651730995</v>
      </c>
      <c r="Q152" s="522">
        <f t="shared" si="21"/>
        <v>1113854.3464765614</v>
      </c>
      <c r="R152" s="522">
        <f t="shared" si="21"/>
        <v>1136131.4334060927</v>
      </c>
      <c r="S152" s="522">
        <f t="shared" si="21"/>
        <v>1158854.0620742145</v>
      </c>
      <c r="T152" s="522">
        <f t="shared" si="21"/>
        <v>1186358.2091465369</v>
      </c>
      <c r="U152" s="522">
        <f t="shared" si="21"/>
        <v>1205671.7661820129</v>
      </c>
      <c r="V152" s="522">
        <f t="shared" si="21"/>
        <v>1229785.2015056531</v>
      </c>
      <c r="W152" s="522">
        <f t="shared" si="21"/>
        <v>1254380.9055357664</v>
      </c>
      <c r="X152" s="522">
        <f t="shared" si="21"/>
        <v>1279468.5236464816</v>
      </c>
    </row>
    <row r="153" spans="1:24">
      <c r="A153" s="92"/>
      <c r="B153" s="92"/>
      <c r="C153" s="69"/>
      <c r="D153" s="514"/>
      <c r="E153" s="515"/>
      <c r="F153" s="515"/>
      <c r="G153" s="515"/>
      <c r="H153" s="515"/>
      <c r="I153" s="515"/>
      <c r="J153" s="515"/>
      <c r="K153" s="515"/>
      <c r="L153" s="515"/>
      <c r="M153" s="515"/>
      <c r="N153" s="515"/>
      <c r="O153" s="515"/>
      <c r="P153" s="515"/>
      <c r="Q153" s="515"/>
      <c r="R153" s="515"/>
      <c r="S153" s="515"/>
      <c r="T153" s="515"/>
      <c r="U153" s="515"/>
      <c r="V153" s="515"/>
      <c r="W153" s="515"/>
      <c r="X153" s="515"/>
    </row>
    <row r="154" spans="1:24" s="33" customFormat="1">
      <c r="A154" s="47" t="s">
        <v>7</v>
      </c>
      <c r="B154" s="47" t="s">
        <v>7</v>
      </c>
      <c r="C154" s="78" t="s">
        <v>7</v>
      </c>
      <c r="D154" s="604" t="s">
        <v>7</v>
      </c>
      <c r="E154" s="78" t="s">
        <v>7</v>
      </c>
      <c r="F154" s="78" t="s">
        <v>7</v>
      </c>
      <c r="G154" s="78" t="s">
        <v>7</v>
      </c>
      <c r="H154" s="78" t="s">
        <v>7</v>
      </c>
      <c r="I154" s="78" t="s">
        <v>7</v>
      </c>
      <c r="J154" s="78" t="s">
        <v>7</v>
      </c>
      <c r="K154" s="78" t="s">
        <v>7</v>
      </c>
      <c r="L154" s="78" t="s">
        <v>7</v>
      </c>
      <c r="M154" s="78" t="s">
        <v>7</v>
      </c>
      <c r="N154" s="78" t="s">
        <v>7</v>
      </c>
      <c r="O154" s="78" t="s">
        <v>7</v>
      </c>
      <c r="P154" s="78" t="s">
        <v>7</v>
      </c>
      <c r="Q154" s="78" t="s">
        <v>7</v>
      </c>
      <c r="R154" s="78" t="s">
        <v>7</v>
      </c>
      <c r="S154" s="78" t="s">
        <v>7</v>
      </c>
      <c r="T154" s="78" t="s">
        <v>7</v>
      </c>
      <c r="U154" s="78" t="s">
        <v>7</v>
      </c>
      <c r="V154" s="78" t="s">
        <v>7</v>
      </c>
      <c r="W154" s="78" t="s">
        <v>7</v>
      </c>
      <c r="X154" s="78" t="s">
        <v>7</v>
      </c>
    </row>
    <row r="155" spans="1:24">
      <c r="A155" s="92"/>
      <c r="B155" s="92"/>
      <c r="C155" s="69"/>
      <c r="D155" s="518"/>
      <c r="E155" s="515"/>
      <c r="F155" s="515"/>
      <c r="G155" s="515"/>
      <c r="H155" s="515"/>
      <c r="I155" s="515"/>
      <c r="J155" s="515"/>
      <c r="K155" s="515"/>
      <c r="L155" s="515"/>
      <c r="M155" s="515"/>
      <c r="N155" s="515"/>
      <c r="O155" s="515"/>
      <c r="P155" s="515"/>
      <c r="Q155" s="515"/>
      <c r="R155" s="515"/>
      <c r="S155" s="515"/>
      <c r="T155" s="515"/>
      <c r="U155" s="515"/>
      <c r="V155" s="515"/>
      <c r="W155" s="515"/>
      <c r="X155" s="515"/>
    </row>
    <row r="156" spans="1:24" s="16" customFormat="1" ht="14.25">
      <c r="A156" s="278" t="s">
        <v>116</v>
      </c>
      <c r="B156" s="263"/>
      <c r="C156" s="263"/>
      <c r="D156" s="518">
        <f>D119-(D136+D142)</f>
        <v>0</v>
      </c>
      <c r="E156" s="520">
        <f>E119-E152</f>
        <v>-299391.66666666663</v>
      </c>
      <c r="F156" s="520">
        <f t="shared" ref="F156:X156" si="22">F119-F152</f>
        <v>473437.21135953965</v>
      </c>
      <c r="G156" s="520">
        <f t="shared" si="22"/>
        <v>598514.92758673034</v>
      </c>
      <c r="H156" s="520">
        <f t="shared" si="22"/>
        <v>608265.22613846499</v>
      </c>
      <c r="I156" s="520">
        <f t="shared" si="22"/>
        <v>618210.53066123452</v>
      </c>
      <c r="J156" s="520">
        <f t="shared" si="22"/>
        <v>846926.36247925891</v>
      </c>
      <c r="K156" s="520">
        <f t="shared" si="22"/>
        <v>861243.49851921247</v>
      </c>
      <c r="L156" s="520">
        <f t="shared" si="22"/>
        <v>871310.0584895967</v>
      </c>
      <c r="M156" s="520">
        <f t="shared" si="22"/>
        <v>881577.94965938851</v>
      </c>
      <c r="N156" s="520">
        <f t="shared" si="22"/>
        <v>892051.19865257666</v>
      </c>
      <c r="O156" s="520">
        <f t="shared" si="22"/>
        <v>960659.78483562521</v>
      </c>
      <c r="P156" s="520">
        <f t="shared" si="22"/>
        <v>975946.65587814036</v>
      </c>
      <c r="Q156" s="520">
        <f t="shared" si="22"/>
        <v>987060.95149570284</v>
      </c>
      <c r="R156" s="520">
        <f t="shared" si="22"/>
        <v>998397.53302561725</v>
      </c>
      <c r="S156" s="520">
        <f t="shared" si="22"/>
        <v>1009960.8461861296</v>
      </c>
      <c r="T156" s="520">
        <f t="shared" si="22"/>
        <v>1079844.7347790143</v>
      </c>
      <c r="U156" s="520">
        <f t="shared" si="22"/>
        <v>1096202.2716220492</v>
      </c>
      <c r="V156" s="520">
        <f t="shared" si="22"/>
        <v>1108473.3520544898</v>
      </c>
      <c r="W156" s="520">
        <f t="shared" si="22"/>
        <v>1120989.8540955796</v>
      </c>
      <c r="X156" s="520">
        <f t="shared" si="22"/>
        <v>1133756.6861774914</v>
      </c>
    </row>
    <row r="157" spans="1:24">
      <c r="A157" s="30"/>
      <c r="B157" s="92"/>
      <c r="C157" s="69"/>
      <c r="D157" s="514"/>
      <c r="E157" s="515"/>
      <c r="F157" s="515"/>
      <c r="G157" s="515"/>
      <c r="H157" s="515"/>
      <c r="I157" s="515"/>
      <c r="J157" s="515"/>
      <c r="K157" s="515"/>
      <c r="L157" s="515"/>
      <c r="M157" s="515"/>
      <c r="N157" s="515"/>
      <c r="O157" s="515"/>
      <c r="P157" s="515"/>
      <c r="Q157" s="515"/>
      <c r="R157" s="515"/>
      <c r="S157" s="515"/>
      <c r="T157" s="515"/>
      <c r="U157" s="515"/>
      <c r="V157" s="515"/>
      <c r="W157" s="515"/>
      <c r="X157" s="515"/>
    </row>
    <row r="158" spans="1:24" s="594" customFormat="1">
      <c r="A158" s="589" t="s">
        <v>125</v>
      </c>
      <c r="B158" s="590"/>
      <c r="C158" s="591"/>
      <c r="D158" s="592">
        <v>0</v>
      </c>
      <c r="E158" s="593">
        <v>0</v>
      </c>
      <c r="F158" s="593">
        <v>0</v>
      </c>
      <c r="G158" s="593">
        <v>0</v>
      </c>
      <c r="H158" s="593">
        <v>0</v>
      </c>
      <c r="I158" s="593">
        <v>0</v>
      </c>
      <c r="J158" s="593">
        <v>0</v>
      </c>
      <c r="K158" s="593">
        <v>0</v>
      </c>
      <c r="L158" s="593">
        <v>0</v>
      </c>
      <c r="M158" s="593">
        <v>0</v>
      </c>
      <c r="N158" s="593">
        <v>0</v>
      </c>
      <c r="O158" s="593">
        <v>0</v>
      </c>
      <c r="P158" s="593">
        <v>0</v>
      </c>
      <c r="Q158" s="593">
        <v>0</v>
      </c>
      <c r="R158" s="593">
        <v>0</v>
      </c>
      <c r="S158" s="593">
        <v>0</v>
      </c>
      <c r="T158" s="593">
        <v>0</v>
      </c>
      <c r="U158" s="593">
        <v>0</v>
      </c>
      <c r="V158" s="593">
        <v>0</v>
      </c>
      <c r="W158" s="593">
        <v>0</v>
      </c>
      <c r="X158" s="593">
        <v>0</v>
      </c>
    </row>
    <row r="159" spans="1:24">
      <c r="A159" s="92"/>
      <c r="B159" s="92"/>
      <c r="C159" s="69"/>
      <c r="D159" s="514"/>
      <c r="E159" s="515"/>
      <c r="F159" s="515"/>
      <c r="G159" s="515"/>
      <c r="H159" s="515"/>
      <c r="I159" s="515"/>
      <c r="J159" s="515"/>
      <c r="K159" s="515"/>
      <c r="L159" s="515"/>
      <c r="M159" s="515"/>
      <c r="N159" s="515"/>
      <c r="O159" s="515"/>
      <c r="P159" s="515"/>
      <c r="Q159" s="515"/>
      <c r="R159" s="515"/>
      <c r="S159" s="515"/>
      <c r="T159" s="515"/>
      <c r="U159" s="515"/>
      <c r="V159" s="515"/>
      <c r="W159" s="515"/>
      <c r="X159" s="515"/>
    </row>
    <row r="160" spans="1:24" s="16" customFormat="1" ht="14.25">
      <c r="A160" s="278" t="s">
        <v>117</v>
      </c>
      <c r="B160" s="278"/>
      <c r="C160" s="263"/>
      <c r="D160" s="518">
        <v>0</v>
      </c>
      <c r="E160" s="520">
        <f>E156-E158</f>
        <v>-299391.66666666663</v>
      </c>
      <c r="F160" s="520">
        <f t="shared" ref="F160:X160" si="23">F156-F158</f>
        <v>473437.21135953965</v>
      </c>
      <c r="G160" s="520">
        <f t="shared" si="23"/>
        <v>598514.92758673034</v>
      </c>
      <c r="H160" s="520">
        <f t="shared" si="23"/>
        <v>608265.22613846499</v>
      </c>
      <c r="I160" s="520">
        <f t="shared" si="23"/>
        <v>618210.53066123452</v>
      </c>
      <c r="J160" s="520">
        <f t="shared" si="23"/>
        <v>846926.36247925891</v>
      </c>
      <c r="K160" s="520">
        <f t="shared" si="23"/>
        <v>861243.49851921247</v>
      </c>
      <c r="L160" s="520">
        <f t="shared" si="23"/>
        <v>871310.0584895967</v>
      </c>
      <c r="M160" s="520">
        <f t="shared" si="23"/>
        <v>881577.94965938851</v>
      </c>
      <c r="N160" s="520">
        <f t="shared" si="23"/>
        <v>892051.19865257666</v>
      </c>
      <c r="O160" s="520">
        <f t="shared" si="23"/>
        <v>960659.78483562521</v>
      </c>
      <c r="P160" s="520">
        <f t="shared" si="23"/>
        <v>975946.65587814036</v>
      </c>
      <c r="Q160" s="520">
        <f t="shared" si="23"/>
        <v>987060.95149570284</v>
      </c>
      <c r="R160" s="520">
        <f t="shared" si="23"/>
        <v>998397.53302561725</v>
      </c>
      <c r="S160" s="520">
        <f t="shared" si="23"/>
        <v>1009960.8461861296</v>
      </c>
      <c r="T160" s="520">
        <f t="shared" si="23"/>
        <v>1079844.7347790143</v>
      </c>
      <c r="U160" s="520">
        <f t="shared" si="23"/>
        <v>1096202.2716220492</v>
      </c>
      <c r="V160" s="520">
        <f t="shared" si="23"/>
        <v>1108473.3520544898</v>
      </c>
      <c r="W160" s="520">
        <f t="shared" si="23"/>
        <v>1120989.8540955796</v>
      </c>
      <c r="X160" s="520">
        <f t="shared" si="23"/>
        <v>1133756.6861774914</v>
      </c>
    </row>
    <row r="161" spans="1:24">
      <c r="A161" s="92"/>
      <c r="B161" s="92"/>
      <c r="C161" s="69"/>
      <c r="D161" s="514"/>
      <c r="E161" s="515"/>
      <c r="F161" s="515"/>
      <c r="G161" s="515"/>
      <c r="H161" s="515"/>
      <c r="I161" s="515"/>
      <c r="J161" s="515"/>
      <c r="K161" s="515"/>
      <c r="L161" s="515"/>
      <c r="M161" s="515"/>
      <c r="N161" s="515"/>
      <c r="O161" s="515"/>
      <c r="P161" s="515"/>
      <c r="Q161" s="515"/>
      <c r="R161" s="515"/>
      <c r="S161" s="515"/>
      <c r="T161" s="515"/>
      <c r="U161" s="515"/>
      <c r="V161" s="515"/>
      <c r="W161" s="515"/>
      <c r="X161" s="515"/>
    </row>
    <row r="162" spans="1:24">
      <c r="A162" s="271" t="s">
        <v>126</v>
      </c>
      <c r="B162" s="272"/>
      <c r="C162" s="273"/>
      <c r="D162" s="523"/>
      <c r="E162" s="523"/>
      <c r="F162" s="523"/>
      <c r="G162" s="523"/>
      <c r="H162" s="523"/>
      <c r="I162" s="523"/>
      <c r="J162" s="523"/>
      <c r="K162" s="523"/>
      <c r="L162" s="523"/>
      <c r="M162" s="523"/>
      <c r="N162" s="523"/>
      <c r="O162" s="523"/>
      <c r="P162" s="523"/>
      <c r="Q162" s="523"/>
      <c r="R162" s="523"/>
      <c r="S162" s="523"/>
      <c r="T162" s="523"/>
      <c r="U162" s="523"/>
      <c r="V162" s="523"/>
      <c r="W162" s="523"/>
      <c r="X162" s="523"/>
    </row>
    <row r="163" spans="1:24" s="32" customFormat="1">
      <c r="A163" s="280"/>
      <c r="B163" s="91"/>
      <c r="C163" s="69"/>
      <c r="D163" s="514"/>
      <c r="E163" s="515"/>
      <c r="F163" s="515"/>
      <c r="G163" s="515"/>
      <c r="H163" s="515"/>
      <c r="I163" s="515"/>
      <c r="J163" s="515"/>
      <c r="K163" s="515"/>
      <c r="L163" s="515"/>
      <c r="M163" s="515"/>
      <c r="N163" s="515"/>
      <c r="O163" s="515"/>
      <c r="P163" s="515"/>
      <c r="Q163" s="515"/>
      <c r="R163" s="515"/>
      <c r="S163" s="515"/>
      <c r="T163" s="515"/>
      <c r="U163" s="515"/>
      <c r="V163" s="515"/>
      <c r="W163" s="515"/>
      <c r="X163" s="515"/>
    </row>
    <row r="164" spans="1:24" s="96" customFormat="1">
      <c r="A164" s="885" t="s">
        <v>136</v>
      </c>
      <c r="B164" s="719"/>
      <c r="C164" s="69"/>
      <c r="D164" s="514">
        <v>0</v>
      </c>
      <c r="E164" s="515">
        <f>'OPEX - Concept B2 - Carnival'!L169</f>
        <v>0</v>
      </c>
      <c r="F164" s="515">
        <f>'OPEX - Concept B2 - Carnival'!M169</f>
        <v>49995</v>
      </c>
      <c r="G164" s="515">
        <f>'OPEX - Concept B2 - Carnival'!N169</f>
        <v>50994.9</v>
      </c>
      <c r="H164" s="515">
        <f>'OPEX - Concept B2 - Carnival'!O169</f>
        <v>52014.798000000003</v>
      </c>
      <c r="I164" s="515">
        <f>'OPEX - Concept B2 - Carnival'!P169</f>
        <v>53055.093959999998</v>
      </c>
      <c r="J164" s="515">
        <f>'OPEX - Concept B2 - Carnival'!Q169</f>
        <v>54116.195839200002</v>
      </c>
      <c r="K164" s="515">
        <f>'OPEX - Concept B2 - Carnival'!R169</f>
        <v>55198.519755984002</v>
      </c>
      <c r="L164" s="515">
        <f>'OPEX - Concept B2 - Carnival'!S169</f>
        <v>56302.490151103681</v>
      </c>
      <c r="M164" s="515">
        <f>'OPEX - Concept B2 - Carnival'!T169</f>
        <v>57428.539954125758</v>
      </c>
      <c r="N164" s="515">
        <f>'OPEX - Concept B2 - Carnival'!U169</f>
        <v>58577.110753208275</v>
      </c>
      <c r="O164" s="515">
        <f>'OPEX - Concept B2 - Carnival'!V169</f>
        <v>59748.652968272443</v>
      </c>
      <c r="P164" s="515">
        <f>'OPEX - Concept B2 - Carnival'!W169</f>
        <v>60943.626027637896</v>
      </c>
      <c r="Q164" s="515">
        <f>'OPEX - Concept B2 - Carnival'!X169</f>
        <v>62162.498548190648</v>
      </c>
      <c r="R164" s="515">
        <f>'OPEX - Concept B2 - Carnival'!Y169</f>
        <v>63405.748519154462</v>
      </c>
      <c r="S164" s="515">
        <f>'OPEX - Concept B2 - Carnival'!Z169</f>
        <v>64673.863489537544</v>
      </c>
      <c r="T164" s="515">
        <f>'OPEX - Concept B2 - Carnival'!AA169</f>
        <v>65967.340759328305</v>
      </c>
      <c r="U164" s="515">
        <f>'OPEX - Concept B2 - Carnival'!AB169</f>
        <v>67286.687574514872</v>
      </c>
      <c r="V164" s="515">
        <f>'OPEX - Concept B2 - Carnival'!AC169</f>
        <v>68632.421326005177</v>
      </c>
      <c r="W164" s="515">
        <f>'OPEX - Concept B2 - Carnival'!AD169</f>
        <v>70005.069752525276</v>
      </c>
      <c r="X164" s="515">
        <f>'OPEX - Concept B2 - Carnival'!AE169</f>
        <v>71405.171147575791</v>
      </c>
    </row>
    <row r="165" spans="1:24" s="96" customFormat="1">
      <c r="A165" s="885" t="s">
        <v>458</v>
      </c>
      <c r="B165" s="719"/>
      <c r="C165" s="69"/>
      <c r="D165" s="514">
        <v>0</v>
      </c>
      <c r="E165" s="515">
        <f>'OPEX - Concept B2 - Carnival'!L171</f>
        <v>591295.19999999995</v>
      </c>
      <c r="F165" s="515">
        <f>'OPEX - Concept B2 - Carnival'!M171</f>
        <v>591295.19999999995</v>
      </c>
      <c r="G165" s="515">
        <f>'OPEX - Concept B2 - Carnival'!N171</f>
        <v>591295.19999999995</v>
      </c>
      <c r="H165" s="515">
        <f>'OPEX - Concept B2 - Carnival'!O171</f>
        <v>591295.19999999995</v>
      </c>
      <c r="I165" s="515">
        <f>'OPEX - Concept B2 - Carnival'!P171</f>
        <v>591295.19999999995</v>
      </c>
      <c r="J165" s="515">
        <f>'OPEX - Concept B2 - Carnival'!Q171</f>
        <v>591295.19999999995</v>
      </c>
      <c r="K165" s="515">
        <f>'OPEX - Concept B2 - Carnival'!R171</f>
        <v>591295.19999999995</v>
      </c>
      <c r="L165" s="515">
        <f>'OPEX - Concept B2 - Carnival'!S171</f>
        <v>591295.19999999995</v>
      </c>
      <c r="M165" s="515">
        <f>'OPEX - Concept B2 - Carnival'!T171</f>
        <v>591295.19999999995</v>
      </c>
      <c r="N165" s="515">
        <f>'OPEX - Concept B2 - Carnival'!U171</f>
        <v>591295.19999999995</v>
      </c>
      <c r="O165" s="515">
        <f>'OPEX - Concept B2 - Carnival'!V171</f>
        <v>591295.19999999995</v>
      </c>
      <c r="P165" s="515">
        <f>'OPEX - Concept B2 - Carnival'!W171</f>
        <v>591295.19999999995</v>
      </c>
      <c r="Q165" s="515">
        <f>'OPEX - Concept B2 - Carnival'!X171</f>
        <v>591295.19999999995</v>
      </c>
      <c r="R165" s="515">
        <f>'OPEX - Concept B2 - Carnival'!Y171</f>
        <v>591295.19999999995</v>
      </c>
      <c r="S165" s="515">
        <f>'OPEX - Concept B2 - Carnival'!Z171</f>
        <v>591295.19999999995</v>
      </c>
      <c r="T165" s="515">
        <f>'OPEX - Concept B2 - Carnival'!AA171</f>
        <v>591295.19999999995</v>
      </c>
      <c r="U165" s="515">
        <f>'OPEX - Concept B2 - Carnival'!AB171</f>
        <v>591295.19999999995</v>
      </c>
      <c r="V165" s="515">
        <f>'OPEX - Concept B2 - Carnival'!AC171</f>
        <v>591295.19999999995</v>
      </c>
      <c r="W165" s="515">
        <f>'OPEX - Concept B2 - Carnival'!AD171</f>
        <v>591295.19999999995</v>
      </c>
      <c r="X165" s="515">
        <f>'OPEX - Concept B2 - Carnival'!AE171</f>
        <v>591295.19999999995</v>
      </c>
    </row>
    <row r="166" spans="1:24" s="341" customFormat="1">
      <c r="A166" s="696" t="s">
        <v>315</v>
      </c>
      <c r="B166" s="697"/>
      <c r="C166" s="698"/>
      <c r="D166" s="699">
        <v>0</v>
      </c>
      <c r="E166" s="700">
        <v>0</v>
      </c>
      <c r="F166" s="700">
        <v>0</v>
      </c>
      <c r="G166" s="700">
        <v>0</v>
      </c>
      <c r="H166" s="700">
        <v>0</v>
      </c>
      <c r="I166" s="700">
        <v>0</v>
      </c>
      <c r="J166" s="700">
        <v>0</v>
      </c>
      <c r="K166" s="700">
        <v>0</v>
      </c>
      <c r="L166" s="700">
        <v>0</v>
      </c>
      <c r="M166" s="700">
        <v>0</v>
      </c>
      <c r="N166" s="700">
        <v>0</v>
      </c>
      <c r="O166" s="700">
        <v>0</v>
      </c>
      <c r="P166" s="700">
        <v>0</v>
      </c>
      <c r="Q166" s="700">
        <v>0</v>
      </c>
      <c r="R166" s="700">
        <v>0</v>
      </c>
      <c r="S166" s="700">
        <v>0</v>
      </c>
      <c r="T166" s="700">
        <v>0</v>
      </c>
      <c r="U166" s="700">
        <v>0</v>
      </c>
      <c r="V166" s="700">
        <v>0</v>
      </c>
      <c r="W166" s="700">
        <v>0</v>
      </c>
      <c r="X166" s="700">
        <v>0</v>
      </c>
    </row>
    <row r="167" spans="1:24" s="32" customFormat="1">
      <c r="A167" s="93" t="s">
        <v>316</v>
      </c>
      <c r="B167" s="298"/>
      <c r="C167" s="298"/>
      <c r="D167" s="505">
        <v>0</v>
      </c>
      <c r="E167" s="506">
        <v>246000</v>
      </c>
      <c r="F167" s="506">
        <v>246000</v>
      </c>
      <c r="G167" s="506">
        <v>246000</v>
      </c>
      <c r="H167" s="506">
        <v>246000</v>
      </c>
      <c r="I167" s="506">
        <v>246000</v>
      </c>
      <c r="J167" s="506">
        <v>246000</v>
      </c>
      <c r="K167" s="506">
        <v>246000</v>
      </c>
      <c r="L167" s="506">
        <v>246000</v>
      </c>
      <c r="M167" s="506">
        <v>246000</v>
      </c>
      <c r="N167" s="506">
        <v>246000</v>
      </c>
      <c r="O167" s="506">
        <v>246000</v>
      </c>
      <c r="P167" s="506">
        <v>246000</v>
      </c>
      <c r="Q167" s="506">
        <v>246000</v>
      </c>
      <c r="R167" s="506">
        <v>246000</v>
      </c>
      <c r="S167" s="506">
        <v>246000</v>
      </c>
      <c r="T167" s="506">
        <v>246000</v>
      </c>
      <c r="U167" s="506">
        <v>246000</v>
      </c>
      <c r="V167" s="506">
        <v>246000</v>
      </c>
      <c r="W167" s="506">
        <v>246000</v>
      </c>
      <c r="X167" s="506">
        <v>246000</v>
      </c>
    </row>
    <row r="168" spans="1:24" s="222" customFormat="1" ht="14.25">
      <c r="A168" s="263" t="s">
        <v>134</v>
      </c>
      <c r="B168" s="264"/>
      <c r="C168" s="264"/>
      <c r="D168" s="524">
        <f>SUM(D164:D167)</f>
        <v>0</v>
      </c>
      <c r="E168" s="525">
        <f t="shared" ref="E168:X168" si="24">SUM(E164:E167)</f>
        <v>837295.2</v>
      </c>
      <c r="F168" s="525">
        <f t="shared" si="24"/>
        <v>887290.2</v>
      </c>
      <c r="G168" s="525">
        <f t="shared" si="24"/>
        <v>888290.1</v>
      </c>
      <c r="H168" s="525">
        <f t="shared" si="24"/>
        <v>889309.99799999991</v>
      </c>
      <c r="I168" s="525">
        <f t="shared" si="24"/>
        <v>890350.29395999992</v>
      </c>
      <c r="J168" s="525">
        <f t="shared" si="24"/>
        <v>891411.39583920001</v>
      </c>
      <c r="K168" s="525">
        <f t="shared" si="24"/>
        <v>892493.71975598391</v>
      </c>
      <c r="L168" s="525">
        <f t="shared" si="24"/>
        <v>893597.69015110366</v>
      </c>
      <c r="M168" s="525">
        <f t="shared" si="24"/>
        <v>894723.73995412572</v>
      </c>
      <c r="N168" s="525">
        <f t="shared" si="24"/>
        <v>895872.31075320824</v>
      </c>
      <c r="O168" s="525">
        <f t="shared" si="24"/>
        <v>897043.8529682724</v>
      </c>
      <c r="P168" s="525">
        <f t="shared" si="24"/>
        <v>898238.82602763781</v>
      </c>
      <c r="Q168" s="525">
        <f t="shared" si="24"/>
        <v>899457.69854819064</v>
      </c>
      <c r="R168" s="525">
        <f t="shared" si="24"/>
        <v>900700.94851915445</v>
      </c>
      <c r="S168" s="525">
        <f t="shared" si="24"/>
        <v>901969.06348953745</v>
      </c>
      <c r="T168" s="525">
        <f t="shared" si="24"/>
        <v>903262.54075932829</v>
      </c>
      <c r="U168" s="525">
        <f t="shared" si="24"/>
        <v>904581.88757451484</v>
      </c>
      <c r="V168" s="525">
        <f t="shared" si="24"/>
        <v>905927.62132600509</v>
      </c>
      <c r="W168" s="525">
        <f t="shared" si="24"/>
        <v>907300.26975252526</v>
      </c>
      <c r="X168" s="525">
        <f t="shared" si="24"/>
        <v>908700.37114757579</v>
      </c>
    </row>
    <row r="169" spans="1:24" s="32" customFormat="1">
      <c r="A169" s="69"/>
      <c r="B169" s="90"/>
      <c r="C169" s="90"/>
      <c r="D169" s="526"/>
      <c r="E169" s="527"/>
      <c r="F169" s="527"/>
      <c r="G169" s="527"/>
      <c r="H169" s="527"/>
      <c r="I169" s="527"/>
      <c r="J169" s="527"/>
      <c r="K169" s="527"/>
      <c r="L169" s="527"/>
      <c r="M169" s="527"/>
      <c r="N169" s="527"/>
      <c r="O169" s="527"/>
      <c r="P169" s="527"/>
      <c r="Q169" s="527"/>
      <c r="R169" s="527"/>
      <c r="S169" s="527"/>
      <c r="T169" s="527"/>
      <c r="U169" s="527"/>
      <c r="V169" s="527"/>
      <c r="W169" s="527"/>
      <c r="X169" s="527"/>
    </row>
    <row r="170" spans="1:24" s="32" customFormat="1">
      <c r="A170" s="94" t="s">
        <v>137</v>
      </c>
      <c r="C170" s="69"/>
      <c r="D170" s="514">
        <v>0</v>
      </c>
      <c r="E170" s="515">
        <f>E160-E164</f>
        <v>-299391.66666666663</v>
      </c>
      <c r="F170" s="515">
        <f t="shared" ref="F170:X170" si="25">F156-F164</f>
        <v>423442.21135953965</v>
      </c>
      <c r="G170" s="515">
        <f t="shared" si="25"/>
        <v>547520.02758673031</v>
      </c>
      <c r="H170" s="515">
        <f t="shared" si="25"/>
        <v>556250.42813846504</v>
      </c>
      <c r="I170" s="515">
        <f t="shared" si="25"/>
        <v>565155.43670123455</v>
      </c>
      <c r="J170" s="515">
        <f t="shared" si="25"/>
        <v>792810.16664005886</v>
      </c>
      <c r="K170" s="515">
        <f t="shared" si="25"/>
        <v>806044.97876322852</v>
      </c>
      <c r="L170" s="515">
        <f t="shared" si="25"/>
        <v>815007.568338493</v>
      </c>
      <c r="M170" s="515">
        <f t="shared" si="25"/>
        <v>824149.40970526275</v>
      </c>
      <c r="N170" s="515">
        <f t="shared" si="25"/>
        <v>833474.08789936837</v>
      </c>
      <c r="O170" s="515">
        <f t="shared" si="25"/>
        <v>900911.13186735276</v>
      </c>
      <c r="P170" s="515">
        <f t="shared" si="25"/>
        <v>915003.0298505025</v>
      </c>
      <c r="Q170" s="515">
        <f t="shared" si="25"/>
        <v>924898.45294751215</v>
      </c>
      <c r="R170" s="515">
        <f t="shared" si="25"/>
        <v>934991.78450646275</v>
      </c>
      <c r="S170" s="515">
        <f t="shared" si="25"/>
        <v>945286.98269659211</v>
      </c>
      <c r="T170" s="515">
        <f t="shared" si="25"/>
        <v>1013877.3940196859</v>
      </c>
      <c r="U170" s="515">
        <f t="shared" si="25"/>
        <v>1028915.5840475343</v>
      </c>
      <c r="V170" s="515">
        <f t="shared" si="25"/>
        <v>1039840.9307284846</v>
      </c>
      <c r="W170" s="515">
        <f t="shared" si="25"/>
        <v>1050984.7843430543</v>
      </c>
      <c r="X170" s="515">
        <f t="shared" si="25"/>
        <v>1062351.5150299156</v>
      </c>
    </row>
    <row r="171" spans="1:24" ht="16.5" customHeight="1">
      <c r="A171" s="88" t="s">
        <v>128</v>
      </c>
      <c r="B171" s="98"/>
      <c r="C171" s="98"/>
      <c r="D171" s="528">
        <v>0</v>
      </c>
      <c r="E171" s="529">
        <f>E160-E168</f>
        <v>-1136686.8666666667</v>
      </c>
      <c r="F171" s="529">
        <f t="shared" ref="F171:X171" si="26">F160-F168</f>
        <v>-413852.9886404603</v>
      </c>
      <c r="G171" s="529">
        <f t="shared" si="26"/>
        <v>-289775.17241326964</v>
      </c>
      <c r="H171" s="529">
        <f t="shared" si="26"/>
        <v>-281044.77186153491</v>
      </c>
      <c r="I171" s="529">
        <f t="shared" si="26"/>
        <v>-272139.76329876541</v>
      </c>
      <c r="J171" s="529">
        <f t="shared" si="26"/>
        <v>-44485.033359941095</v>
      </c>
      <c r="K171" s="529">
        <f t="shared" si="26"/>
        <v>-31250.221236771438</v>
      </c>
      <c r="L171" s="529">
        <f t="shared" si="26"/>
        <v>-22287.631661506952</v>
      </c>
      <c r="M171" s="529">
        <f t="shared" si="26"/>
        <v>-13145.790294737206</v>
      </c>
      <c r="N171" s="529">
        <f t="shared" si="26"/>
        <v>-3821.1121006315807</v>
      </c>
      <c r="O171" s="529">
        <f t="shared" si="26"/>
        <v>63615.931867352803</v>
      </c>
      <c r="P171" s="529">
        <f t="shared" si="26"/>
        <v>77707.829850502545</v>
      </c>
      <c r="Q171" s="529">
        <f t="shared" si="26"/>
        <v>87603.252947512199</v>
      </c>
      <c r="R171" s="529">
        <f t="shared" si="26"/>
        <v>97696.584506462794</v>
      </c>
      <c r="S171" s="529">
        <f t="shared" si="26"/>
        <v>107991.78269659216</v>
      </c>
      <c r="T171" s="529">
        <f t="shared" si="26"/>
        <v>176582.19401968597</v>
      </c>
      <c r="U171" s="529">
        <f t="shared" si="26"/>
        <v>191620.38404753432</v>
      </c>
      <c r="V171" s="529">
        <f t="shared" si="26"/>
        <v>202545.73072848469</v>
      </c>
      <c r="W171" s="529">
        <f t="shared" si="26"/>
        <v>213689.58434305433</v>
      </c>
      <c r="X171" s="529">
        <f t="shared" si="26"/>
        <v>225056.31502991566</v>
      </c>
    </row>
    <row r="172" spans="1:24" ht="16.5" customHeight="1">
      <c r="A172" s="88"/>
      <c r="B172" s="88"/>
      <c r="C172" s="88"/>
      <c r="D172" s="526"/>
      <c r="E172" s="527"/>
      <c r="F172" s="527"/>
      <c r="G172" s="527"/>
      <c r="H172" s="527"/>
      <c r="I172" s="527"/>
      <c r="J172" s="527"/>
      <c r="K172" s="527"/>
      <c r="L172" s="527"/>
      <c r="M172" s="527"/>
      <c r="N172" s="527"/>
      <c r="O172" s="527"/>
      <c r="P172" s="527"/>
      <c r="Q172" s="527"/>
      <c r="R172" s="527"/>
      <c r="S172" s="527"/>
      <c r="T172" s="527"/>
      <c r="U172" s="527"/>
      <c r="V172" s="527"/>
      <c r="W172" s="527"/>
      <c r="X172" s="527"/>
    </row>
    <row r="173" spans="1:24" ht="16.5" customHeight="1">
      <c r="A173" s="88" t="s">
        <v>129</v>
      </c>
      <c r="B173" s="632">
        <f>NPV(Cost_of_Money__DPC,E160:X160)</f>
        <v>16823437.967029173</v>
      </c>
      <c r="C173" s="88"/>
      <c r="D173" s="526"/>
      <c r="E173" s="527"/>
      <c r="F173" s="527"/>
      <c r="G173" s="527"/>
      <c r="H173" s="527"/>
      <c r="I173" s="527"/>
      <c r="J173" s="527"/>
      <c r="K173" s="527"/>
      <c r="L173" s="527"/>
      <c r="M173" s="527"/>
      <c r="N173" s="527"/>
      <c r="O173" s="527"/>
      <c r="P173" s="527"/>
      <c r="Q173" s="527"/>
      <c r="R173" s="527"/>
      <c r="S173" s="527"/>
      <c r="T173" s="527"/>
      <c r="U173" s="527"/>
      <c r="V173" s="527"/>
      <c r="W173" s="527"/>
      <c r="X173" s="527"/>
    </row>
    <row r="174" spans="1:24" ht="16.5" customHeight="1">
      <c r="A174" s="300" t="s">
        <v>130</v>
      </c>
      <c r="B174" s="733">
        <f>SUM(E171:X171)</f>
        <v>-1064379.7614971877</v>
      </c>
      <c r="C174" s="301"/>
      <c r="D174" s="530">
        <v>0</v>
      </c>
      <c r="E174" s="530">
        <f>E160-E168</f>
        <v>-1136686.8666666667</v>
      </c>
      <c r="F174" s="530">
        <f t="shared" ref="F174:X174" si="27">F160-F168</f>
        <v>-413852.9886404603</v>
      </c>
      <c r="G174" s="530">
        <f t="shared" si="27"/>
        <v>-289775.17241326964</v>
      </c>
      <c r="H174" s="530">
        <f t="shared" si="27"/>
        <v>-281044.77186153491</v>
      </c>
      <c r="I174" s="530">
        <f t="shared" si="27"/>
        <v>-272139.76329876541</v>
      </c>
      <c r="J174" s="530">
        <f t="shared" si="27"/>
        <v>-44485.033359941095</v>
      </c>
      <c r="K174" s="530">
        <f t="shared" si="27"/>
        <v>-31250.221236771438</v>
      </c>
      <c r="L174" s="530">
        <f t="shared" si="27"/>
        <v>-22287.631661506952</v>
      </c>
      <c r="M174" s="530">
        <f t="shared" si="27"/>
        <v>-13145.790294737206</v>
      </c>
      <c r="N174" s="530">
        <f t="shared" si="27"/>
        <v>-3821.1121006315807</v>
      </c>
      <c r="O174" s="530">
        <f t="shared" si="27"/>
        <v>63615.931867352803</v>
      </c>
      <c r="P174" s="530">
        <f t="shared" si="27"/>
        <v>77707.829850502545</v>
      </c>
      <c r="Q174" s="530">
        <f t="shared" si="27"/>
        <v>87603.252947512199</v>
      </c>
      <c r="R174" s="530">
        <f t="shared" si="27"/>
        <v>97696.584506462794</v>
      </c>
      <c r="S174" s="530">
        <f t="shared" si="27"/>
        <v>107991.78269659216</v>
      </c>
      <c r="T174" s="530">
        <f t="shared" si="27"/>
        <v>176582.19401968597</v>
      </c>
      <c r="U174" s="530">
        <f t="shared" si="27"/>
        <v>191620.38404753432</v>
      </c>
      <c r="V174" s="530">
        <f t="shared" si="27"/>
        <v>202545.73072848469</v>
      </c>
      <c r="W174" s="530">
        <f t="shared" si="27"/>
        <v>213689.58434305433</v>
      </c>
      <c r="X174" s="530">
        <f t="shared" si="27"/>
        <v>225056.31502991566</v>
      </c>
    </row>
    <row r="175" spans="1:24" s="58" customFormat="1" ht="16.5" customHeight="1">
      <c r="A175" s="90" t="s">
        <v>32</v>
      </c>
      <c r="B175" s="792">
        <f>IRR(E174:X174)</f>
        <v>-3.7939547459992951E-2</v>
      </c>
      <c r="C175" s="356"/>
      <c r="D175" s="502"/>
      <c r="E175" s="504"/>
      <c r="F175" s="504"/>
      <c r="G175" s="504"/>
      <c r="H175" s="504"/>
      <c r="I175" s="504"/>
      <c r="J175" s="504"/>
      <c r="K175" s="504"/>
      <c r="L175" s="504"/>
      <c r="M175" s="504"/>
      <c r="N175" s="504"/>
      <c r="O175" s="504"/>
      <c r="P175" s="504"/>
      <c r="Q175" s="504"/>
      <c r="R175" s="504"/>
      <c r="S175" s="504"/>
      <c r="T175" s="504"/>
      <c r="U175" s="504"/>
      <c r="V175" s="504"/>
      <c r="W175" s="504"/>
      <c r="X175" s="504"/>
    </row>
    <row r="176" spans="1:24">
      <c r="A176" s="30"/>
      <c r="B176" s="30"/>
      <c r="C176" s="30"/>
      <c r="D176" s="502"/>
      <c r="E176" s="512"/>
      <c r="F176" s="512"/>
      <c r="G176" s="512"/>
      <c r="H176" s="512"/>
      <c r="I176" s="512"/>
      <c r="J176" s="512"/>
      <c r="K176" s="512"/>
      <c r="L176" s="512"/>
      <c r="M176" s="512"/>
      <c r="N176" s="512"/>
      <c r="O176" s="512"/>
      <c r="P176" s="512"/>
      <c r="Q176" s="512"/>
      <c r="R176" s="512"/>
      <c r="S176" s="512"/>
      <c r="T176" s="512"/>
      <c r="U176" s="512"/>
      <c r="V176" s="512"/>
      <c r="W176" s="512"/>
      <c r="X176" s="512"/>
    </row>
    <row r="177" spans="1:24">
      <c r="A177" s="274" t="s">
        <v>28</v>
      </c>
      <c r="B177" s="275"/>
      <c r="C177" s="275"/>
      <c r="D177" s="531"/>
      <c r="E177" s="531"/>
      <c r="F177" s="531"/>
      <c r="G177" s="531"/>
      <c r="H177" s="531"/>
      <c r="I177" s="531"/>
      <c r="J177" s="531"/>
      <c r="K177" s="531"/>
      <c r="L177" s="531"/>
      <c r="M177" s="531"/>
      <c r="N177" s="531"/>
      <c r="O177" s="531"/>
      <c r="P177" s="531"/>
      <c r="Q177" s="531"/>
      <c r="R177" s="531"/>
      <c r="S177" s="531"/>
      <c r="T177" s="531"/>
      <c r="U177" s="531"/>
      <c r="V177" s="531"/>
      <c r="W177" s="531"/>
      <c r="X177" s="531"/>
    </row>
    <row r="178" spans="1:24">
      <c r="A178" s="30"/>
      <c r="B178" s="30"/>
      <c r="C178" s="30"/>
      <c r="D178" s="502"/>
      <c r="E178" s="512"/>
      <c r="F178" s="512"/>
      <c r="G178" s="512"/>
      <c r="H178" s="512"/>
      <c r="I178" s="512"/>
      <c r="J178" s="512"/>
      <c r="K178" s="512"/>
      <c r="L178" s="512"/>
      <c r="M178" s="512"/>
      <c r="N178" s="512"/>
      <c r="O178" s="512"/>
      <c r="P178" s="512"/>
      <c r="Q178" s="512"/>
      <c r="R178" s="512"/>
      <c r="S178" s="512"/>
      <c r="T178" s="512"/>
      <c r="U178" s="512"/>
      <c r="V178" s="512"/>
      <c r="W178" s="512"/>
      <c r="X178" s="512"/>
    </row>
    <row r="179" spans="1:24">
      <c r="A179" s="30" t="s">
        <v>300</v>
      </c>
      <c r="B179" s="30"/>
      <c r="C179" s="87"/>
      <c r="D179" s="502">
        <v>0</v>
      </c>
      <c r="E179" s="512"/>
      <c r="F179" s="512"/>
      <c r="G179" s="512"/>
      <c r="H179" s="512"/>
      <c r="I179" s="512"/>
      <c r="J179" s="512"/>
      <c r="K179" s="512"/>
      <c r="L179" s="512"/>
      <c r="M179" s="512"/>
      <c r="N179" s="512"/>
      <c r="O179" s="512"/>
      <c r="P179" s="512"/>
      <c r="Q179" s="512"/>
      <c r="R179" s="512"/>
      <c r="S179" s="512"/>
      <c r="T179" s="512"/>
      <c r="U179" s="512"/>
      <c r="V179" s="512"/>
      <c r="W179" s="512"/>
      <c r="X179" s="512"/>
    </row>
    <row r="180" spans="1:24">
      <c r="A180" s="30" t="s">
        <v>301</v>
      </c>
      <c r="B180" s="30"/>
      <c r="C180" s="30"/>
      <c r="D180" s="502">
        <v>0</v>
      </c>
      <c r="E180" s="512"/>
      <c r="F180" s="512"/>
      <c r="G180" s="512"/>
      <c r="H180" s="512"/>
      <c r="I180" s="512"/>
      <c r="J180" s="512"/>
      <c r="K180" s="512"/>
      <c r="L180" s="512"/>
      <c r="M180" s="512"/>
      <c r="N180" s="512"/>
      <c r="O180" s="512"/>
      <c r="P180" s="512"/>
      <c r="Q180" s="512"/>
      <c r="R180" s="512"/>
      <c r="S180" s="512"/>
      <c r="T180" s="512"/>
      <c r="U180" s="512"/>
      <c r="V180" s="512"/>
      <c r="W180" s="512"/>
      <c r="X180" s="512"/>
    </row>
    <row r="181" spans="1:24">
      <c r="A181" s="30"/>
      <c r="B181" s="30"/>
      <c r="C181" s="30"/>
      <c r="D181" s="502"/>
      <c r="E181" s="512"/>
      <c r="F181" s="512"/>
      <c r="G181" s="512"/>
      <c r="H181" s="512"/>
      <c r="I181" s="512"/>
      <c r="J181" s="512"/>
      <c r="K181" s="512"/>
      <c r="L181" s="512"/>
      <c r="M181" s="512"/>
      <c r="N181" s="512"/>
      <c r="O181" s="512"/>
      <c r="P181" s="512"/>
      <c r="Q181" s="512"/>
      <c r="R181" s="512"/>
      <c r="S181" s="512"/>
      <c r="T181" s="512"/>
      <c r="U181" s="512"/>
      <c r="V181" s="512"/>
      <c r="W181" s="512"/>
      <c r="X181" s="512"/>
    </row>
    <row r="182" spans="1:24">
      <c r="A182" s="30" t="s">
        <v>298</v>
      </c>
      <c r="B182" s="30"/>
      <c r="C182" s="30"/>
      <c r="D182" s="502">
        <v>0</v>
      </c>
      <c r="E182" s="512"/>
      <c r="F182" s="512"/>
      <c r="G182" s="512"/>
      <c r="H182" s="512"/>
      <c r="I182" s="512"/>
      <c r="J182" s="512"/>
      <c r="K182" s="512"/>
      <c r="L182" s="512"/>
      <c r="M182" s="512"/>
      <c r="N182" s="512"/>
      <c r="O182" s="512"/>
      <c r="P182" s="512"/>
      <c r="Q182" s="512"/>
      <c r="R182" s="512"/>
      <c r="S182" s="512"/>
      <c r="T182" s="512"/>
      <c r="U182" s="512"/>
      <c r="V182" s="512"/>
      <c r="W182" s="512"/>
      <c r="X182" s="512"/>
    </row>
    <row r="183" spans="1:24">
      <c r="A183" s="30" t="s">
        <v>299</v>
      </c>
      <c r="B183" s="30"/>
      <c r="C183" s="30"/>
      <c r="D183" s="502">
        <v>0</v>
      </c>
      <c r="E183" s="512"/>
      <c r="F183" s="512"/>
      <c r="G183" s="512"/>
      <c r="H183" s="512"/>
      <c r="I183" s="512"/>
      <c r="J183" s="512"/>
      <c r="K183" s="512"/>
      <c r="L183" s="512"/>
      <c r="M183" s="512"/>
      <c r="N183" s="512"/>
      <c r="O183" s="512"/>
      <c r="P183" s="512"/>
      <c r="Q183" s="512"/>
      <c r="R183" s="512"/>
      <c r="S183" s="512"/>
      <c r="T183" s="512"/>
      <c r="U183" s="512"/>
      <c r="V183" s="512"/>
      <c r="W183" s="512"/>
      <c r="X183" s="512"/>
    </row>
    <row r="184" spans="1:24">
      <c r="D184" s="502"/>
      <c r="E184" s="532"/>
      <c r="F184" s="532"/>
      <c r="G184" s="532"/>
      <c r="H184" s="532"/>
      <c r="I184" s="532"/>
      <c r="J184" s="532"/>
      <c r="K184" s="532"/>
      <c r="L184" s="532"/>
      <c r="M184" s="532"/>
      <c r="N184" s="532"/>
      <c r="O184" s="532"/>
      <c r="P184" s="532"/>
      <c r="Q184" s="532"/>
      <c r="R184" s="532"/>
      <c r="S184" s="532"/>
      <c r="T184" s="532"/>
      <c r="U184" s="532"/>
      <c r="V184" s="532"/>
      <c r="W184" s="532"/>
      <c r="X184" s="532"/>
    </row>
    <row r="185" spans="1:24">
      <c r="A185" s="131"/>
      <c r="B185" s="131"/>
      <c r="C185" s="131"/>
      <c r="D185" s="493"/>
      <c r="E185" s="334"/>
      <c r="F185" s="334"/>
      <c r="G185" s="334"/>
      <c r="H185" s="334"/>
      <c r="I185" s="334"/>
      <c r="J185" s="334"/>
      <c r="K185" s="334"/>
      <c r="L185" s="334"/>
      <c r="M185" s="334"/>
      <c r="N185" s="334"/>
      <c r="O185" s="334"/>
      <c r="P185" s="334"/>
      <c r="Q185" s="334"/>
      <c r="R185" s="334"/>
      <c r="S185" s="334"/>
      <c r="T185" s="334"/>
      <c r="U185" s="334"/>
      <c r="V185" s="334"/>
      <c r="W185" s="334"/>
      <c r="X185" s="334"/>
    </row>
    <row r="186" spans="1:24">
      <c r="D186" s="494"/>
      <c r="E186" s="327"/>
      <c r="F186" s="327"/>
      <c r="G186" s="327"/>
      <c r="H186" s="327"/>
      <c r="I186" s="327"/>
      <c r="J186" s="327"/>
      <c r="K186" s="327"/>
      <c r="L186" s="327"/>
      <c r="M186" s="327"/>
      <c r="N186" s="327"/>
      <c r="O186" s="327"/>
      <c r="P186" s="327"/>
      <c r="Q186" s="327"/>
      <c r="R186" s="327"/>
      <c r="S186" s="327"/>
      <c r="T186" s="327"/>
      <c r="U186" s="327"/>
      <c r="V186" s="327"/>
      <c r="W186" s="327"/>
      <c r="X186" s="327"/>
    </row>
    <row r="187" spans="1:24">
      <c r="A187"/>
      <c r="D187" s="494"/>
      <c r="E187" s="327"/>
      <c r="F187" s="327"/>
      <c r="G187" s="327"/>
      <c r="H187" s="327"/>
      <c r="I187" s="327"/>
      <c r="J187" s="327"/>
      <c r="K187" s="327"/>
      <c r="L187" s="327"/>
      <c r="M187" s="327"/>
      <c r="N187" s="327"/>
      <c r="O187" s="327"/>
      <c r="P187" s="327"/>
      <c r="Q187" s="327"/>
      <c r="R187" s="327"/>
      <c r="S187" s="327"/>
      <c r="T187" s="327"/>
      <c r="U187" s="327"/>
      <c r="V187" s="327"/>
      <c r="W187" s="327"/>
      <c r="X187" s="327"/>
    </row>
    <row r="188" spans="1:24">
      <c r="A188"/>
      <c r="D188" s="494"/>
      <c r="E188" s="327"/>
      <c r="F188" s="327"/>
      <c r="G188" s="327"/>
      <c r="H188" s="327"/>
      <c r="I188" s="327"/>
      <c r="J188" s="327"/>
      <c r="K188" s="327"/>
      <c r="L188" s="327"/>
      <c r="M188" s="327"/>
      <c r="N188" s="327"/>
      <c r="O188" s="327"/>
      <c r="P188" s="327"/>
      <c r="Q188" s="327"/>
      <c r="R188" s="327"/>
      <c r="S188" s="327"/>
      <c r="T188" s="327"/>
      <c r="U188" s="327"/>
      <c r="V188" s="327"/>
      <c r="W188" s="327"/>
      <c r="X188" s="327"/>
    </row>
    <row r="189" spans="1:24">
      <c r="D189" s="494"/>
      <c r="E189" s="327"/>
      <c r="F189" s="327"/>
      <c r="G189" s="327"/>
      <c r="H189" s="362"/>
      <c r="I189" s="327"/>
      <c r="J189" s="327"/>
      <c r="K189" s="327"/>
      <c r="L189" s="327"/>
      <c r="M189" s="327"/>
      <c r="N189" s="327"/>
      <c r="O189" s="327"/>
      <c r="P189" s="327"/>
      <c r="Q189" s="327"/>
      <c r="R189" s="327"/>
      <c r="S189" s="327"/>
      <c r="T189" s="327"/>
      <c r="U189" s="327"/>
      <c r="V189" s="327"/>
      <c r="W189" s="327"/>
      <c r="X189" s="327"/>
    </row>
    <row r="190" spans="1:24">
      <c r="D190" s="326"/>
      <c r="E190" s="327"/>
      <c r="F190" s="327"/>
      <c r="G190" s="327"/>
      <c r="H190" s="359"/>
      <c r="I190" s="327"/>
      <c r="J190" s="327"/>
      <c r="K190" s="327"/>
      <c r="L190" s="327"/>
      <c r="M190" s="327"/>
      <c r="N190" s="327"/>
      <c r="O190" s="327"/>
      <c r="P190" s="327"/>
      <c r="Q190" s="327"/>
      <c r="R190" s="327"/>
      <c r="S190" s="327"/>
      <c r="T190" s="327"/>
      <c r="U190" s="327"/>
      <c r="V190" s="327"/>
      <c r="W190" s="327"/>
      <c r="X190" s="327"/>
    </row>
    <row r="191" spans="1:24">
      <c r="H191" s="305"/>
    </row>
    <row r="192" spans="1:24">
      <c r="H192" s="30"/>
    </row>
    <row r="193" spans="8:8">
      <c r="H193" s="87"/>
    </row>
    <row r="195" spans="8:8">
      <c r="H195" s="360"/>
    </row>
    <row r="196" spans="8:8">
      <c r="H196" s="361"/>
    </row>
  </sheetData>
  <pageMargins left="0.7" right="0.7" top="0.75" bottom="0.75" header="0.3" footer="0.3"/>
  <pageSetup paperSize="9" scale="2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XFD196"/>
  <sheetViews>
    <sheetView topLeftCell="A70" zoomScale="62" zoomScaleNormal="55" workbookViewId="0">
      <selection activeCell="A117" sqref="A117:XFD117"/>
    </sheetView>
  </sheetViews>
  <sheetFormatPr defaultColWidth="9" defaultRowHeight="16.5"/>
  <cols>
    <col min="1" max="1" width="71.875" style="18" customWidth="1"/>
    <col min="2" max="2" width="50.5" style="18" bestFit="1" customWidth="1"/>
    <col min="3" max="3" width="8" style="18" bestFit="1" customWidth="1"/>
    <col min="4" max="4" width="8" style="262" bestFit="1" customWidth="1"/>
    <col min="5" max="5" width="16.875" style="18" bestFit="1" customWidth="1"/>
    <col min="6" max="6" width="16.5" style="18" bestFit="1" customWidth="1"/>
    <col min="7" max="9" width="17.25" style="18" bestFit="1" customWidth="1"/>
    <col min="10" max="10" width="16.5" style="18" bestFit="1" customWidth="1"/>
    <col min="11" max="15" width="17.25" style="18" bestFit="1" customWidth="1"/>
    <col min="16" max="16" width="16.875" style="18" bestFit="1" customWidth="1"/>
    <col min="17" max="17" width="17.25" style="18" bestFit="1" customWidth="1"/>
    <col min="18" max="18" width="16.5" style="18" bestFit="1" customWidth="1"/>
    <col min="19" max="21" width="17.625" style="18" bestFit="1" customWidth="1"/>
    <col min="22" max="22" width="17.25" style="18" bestFit="1" customWidth="1"/>
    <col min="23" max="23" width="17.625" style="18" bestFit="1" customWidth="1"/>
    <col min="24" max="24" width="17.25" style="18" bestFit="1" customWidth="1"/>
    <col min="25" max="25" width="22.625" style="18" bestFit="1" customWidth="1"/>
    <col min="26" max="16384" width="9" style="18"/>
  </cols>
  <sheetData>
    <row r="1" spans="1:25" ht="18.75" thickBot="1">
      <c r="A1" s="11" t="str">
        <f>Intro!A1</f>
        <v>Town of Bar Harbor</v>
      </c>
      <c r="B1" s="27"/>
      <c r="C1" s="17"/>
      <c r="D1" s="260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</row>
    <row r="2" spans="1:25" ht="17.25" thickBot="1">
      <c r="A2" s="380" t="str">
        <f>Intro!A2</f>
        <v>Ferry Property Business Plan</v>
      </c>
      <c r="B2" s="13"/>
      <c r="C2" s="17"/>
      <c r="D2" s="260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</row>
    <row r="3" spans="1:25" s="381" customFormat="1" ht="14.25" thickBot="1">
      <c r="A3" s="384" t="str">
        <f>Intro!A3</f>
        <v>05.23.2018</v>
      </c>
      <c r="B3" s="304"/>
      <c r="C3" s="387"/>
      <c r="D3" s="388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7"/>
      <c r="X3" s="387"/>
    </row>
    <row r="4" spans="1:25" s="381" customFormat="1" ht="13.5">
      <c r="A4" s="384" t="str">
        <f ca="1">Intro!A4</f>
        <v>Town of Bar Harbor</v>
      </c>
      <c r="B4" s="382"/>
      <c r="C4" s="383">
        <f ca="1">NOW()</f>
        <v>43242.835659143515</v>
      </c>
      <c r="D4" s="388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  <c r="Q4" s="387"/>
      <c r="R4" s="387"/>
      <c r="S4" s="387"/>
      <c r="T4" s="387"/>
      <c r="U4" s="387"/>
      <c r="V4" s="387"/>
      <c r="W4" s="387"/>
      <c r="X4" s="387"/>
    </row>
    <row r="5" spans="1:25">
      <c r="A5" s="244" t="s">
        <v>343</v>
      </c>
      <c r="B5" s="244"/>
      <c r="C5" s="245"/>
      <c r="D5" s="261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</row>
    <row r="6" spans="1:25">
      <c r="D6" s="485"/>
    </row>
    <row r="7" spans="1:25">
      <c r="A7" s="22"/>
      <c r="B7" s="71"/>
      <c r="C7" s="71"/>
      <c r="D7" s="72">
        <f>'Cruise Projections'!T7</f>
        <v>2018</v>
      </c>
      <c r="E7" s="72">
        <f>'Cruise Projections'!U7</f>
        <v>2019</v>
      </c>
      <c r="F7" s="72">
        <f>'Cruise Projections'!V7</f>
        <v>2020</v>
      </c>
      <c r="G7" s="72">
        <f>'Cruise Projections'!W7</f>
        <v>2021</v>
      </c>
      <c r="H7" s="72">
        <f>'Cruise Projections'!X7</f>
        <v>2022</v>
      </c>
      <c r="I7" s="72">
        <f>'Cruise Projections'!Y7</f>
        <v>2023</v>
      </c>
      <c r="J7" s="72">
        <f>'Cruise Projections'!Z7</f>
        <v>2024</v>
      </c>
      <c r="K7" s="72">
        <f>'Cruise Projections'!AA7</f>
        <v>2025</v>
      </c>
      <c r="L7" s="72">
        <f>'Cruise Projections'!AB7</f>
        <v>2026</v>
      </c>
      <c r="M7" s="72">
        <f>'Cruise Projections'!AC7</f>
        <v>2027</v>
      </c>
      <c r="N7" s="72">
        <f>'Cruise Projections'!AD7</f>
        <v>2028</v>
      </c>
      <c r="O7" s="72">
        <f>'Cruise Projections'!AE7</f>
        <v>2029</v>
      </c>
      <c r="P7" s="72">
        <f>'Cruise Projections'!AF7</f>
        <v>2030</v>
      </c>
      <c r="Q7" s="72">
        <f>'Cruise Projections'!AG7</f>
        <v>2031</v>
      </c>
      <c r="R7" s="72">
        <f>'Cruise Projections'!AH7</f>
        <v>2032</v>
      </c>
      <c r="S7" s="72">
        <f>'Cruise Projections'!AI7</f>
        <v>2033</v>
      </c>
      <c r="T7" s="72">
        <f>'Cruise Projections'!AJ7</f>
        <v>2034</v>
      </c>
      <c r="U7" s="72">
        <f>'Cruise Projections'!AK7</f>
        <v>2035</v>
      </c>
      <c r="V7" s="72">
        <f>'Cruise Projections'!AL7</f>
        <v>2036</v>
      </c>
      <c r="W7" s="72">
        <f>'Cruise Projections'!AM7</f>
        <v>2037</v>
      </c>
      <c r="X7" s="72">
        <f>'Cruise Projections'!AN7</f>
        <v>2038</v>
      </c>
    </row>
    <row r="8" spans="1:25" ht="17.25" thickBot="1">
      <c r="D8" s="488"/>
    </row>
    <row r="9" spans="1:25" ht="17.25" thickBot="1">
      <c r="A9" s="117" t="s">
        <v>34</v>
      </c>
      <c r="B9" s="484" t="str">
        <f>'Cruise Projections'!A83</f>
        <v>Scenario 4 - Percent of 2018 Business - RCCL</v>
      </c>
      <c r="D9" s="489"/>
      <c r="E9" s="327"/>
      <c r="F9" s="327"/>
      <c r="G9" s="327"/>
      <c r="H9" s="327"/>
      <c r="I9" s="327"/>
      <c r="J9" s="327"/>
      <c r="K9" s="327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</row>
    <row r="10" spans="1:25">
      <c r="D10" s="489"/>
      <c r="E10" s="327"/>
      <c r="F10" s="327"/>
      <c r="G10" s="327"/>
      <c r="H10" s="327"/>
      <c r="I10" s="327"/>
      <c r="J10" s="327"/>
      <c r="K10" s="327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</row>
    <row r="11" spans="1:25" s="279" customFormat="1" ht="14.25">
      <c r="A11" s="279" t="s">
        <v>83</v>
      </c>
      <c r="D11" s="490"/>
      <c r="E11" s="328"/>
      <c r="F11" s="328"/>
      <c r="G11" s="328"/>
      <c r="H11" s="328"/>
      <c r="I11" s="328"/>
      <c r="J11" s="328"/>
      <c r="K11" s="328"/>
      <c r="L11" s="328"/>
      <c r="M11" s="328"/>
      <c r="N11" s="328"/>
      <c r="O11" s="328"/>
      <c r="P11" s="328"/>
      <c r="Q11" s="328"/>
      <c r="R11" s="328"/>
      <c r="S11" s="328"/>
      <c r="T11" s="328"/>
      <c r="U11" s="328"/>
      <c r="V11" s="328"/>
      <c r="W11" s="328"/>
      <c r="X11" s="328"/>
    </row>
    <row r="12" spans="1:25">
      <c r="A12" s="53" t="str">
        <f>'Cruise Projections'!A67</f>
        <v>Passengers</v>
      </c>
      <c r="B12" s="21"/>
      <c r="C12" s="21"/>
      <c r="D12" s="486">
        <f>'Cruise Projections'!T67</f>
        <v>0</v>
      </c>
      <c r="E12" s="313">
        <v>0</v>
      </c>
      <c r="F12" s="313">
        <f>'Cruise Projections'!V85</f>
        <v>89162.177869620791</v>
      </c>
      <c r="G12" s="313">
        <f>'Cruise Projections'!W85</f>
        <v>89162.177869620791</v>
      </c>
      <c r="H12" s="313">
        <f>'Cruise Projections'!X85</f>
        <v>89162.177869620791</v>
      </c>
      <c r="I12" s="313">
        <f>'Cruise Projections'!Y85</f>
        <v>89162.177869620791</v>
      </c>
      <c r="J12" s="313">
        <f>'Cruise Projections'!Z85</f>
        <v>89162.177869620791</v>
      </c>
      <c r="K12" s="313">
        <f>'Cruise Projections'!AA85</f>
        <v>89162.177869620791</v>
      </c>
      <c r="L12" s="313">
        <f>'Cruise Projections'!AB85</f>
        <v>89162.177869620791</v>
      </c>
      <c r="M12" s="313">
        <f>'Cruise Projections'!AC85</f>
        <v>89162.177869620791</v>
      </c>
      <c r="N12" s="313">
        <f>'Cruise Projections'!AD85</f>
        <v>89162.177869620791</v>
      </c>
      <c r="O12" s="313">
        <f>'Cruise Projections'!AE85</f>
        <v>89162.177869620791</v>
      </c>
      <c r="P12" s="313">
        <f>'Cruise Projections'!AF85</f>
        <v>89162.177869620791</v>
      </c>
      <c r="Q12" s="313">
        <f>'Cruise Projections'!AG85</f>
        <v>89162.177869620791</v>
      </c>
      <c r="R12" s="313">
        <f>'Cruise Projections'!AH85</f>
        <v>89162.177869620791</v>
      </c>
      <c r="S12" s="313">
        <f>'Cruise Projections'!AI85</f>
        <v>89162.177869620791</v>
      </c>
      <c r="T12" s="313">
        <f>'Cruise Projections'!AJ85</f>
        <v>89162.177869620791</v>
      </c>
      <c r="U12" s="313">
        <f>'Cruise Projections'!AK85</f>
        <v>89162.177869620791</v>
      </c>
      <c r="V12" s="313">
        <f>'Cruise Projections'!AL85</f>
        <v>89162.177869620791</v>
      </c>
      <c r="W12" s="313">
        <f>'Cruise Projections'!AM85</f>
        <v>89162.177869620791</v>
      </c>
      <c r="X12" s="313">
        <f>'Cruise Projections'!AN85</f>
        <v>89162.177869620791</v>
      </c>
      <c r="Y12" s="312"/>
    </row>
    <row r="13" spans="1:25">
      <c r="A13" s="53" t="str">
        <f>'Cruise Projections'!A68</f>
        <v>Calls</v>
      </c>
      <c r="B13" s="21"/>
      <c r="C13" s="21"/>
      <c r="D13" s="486">
        <f>'Cruise Projections'!T68</f>
        <v>0</v>
      </c>
      <c r="E13" s="313">
        <v>0</v>
      </c>
      <c r="F13" s="313">
        <f>'Cruise Projections'!V86</f>
        <v>28.666666666666664</v>
      </c>
      <c r="G13" s="313">
        <f>'Cruise Projections'!W86</f>
        <v>28.666666666666664</v>
      </c>
      <c r="H13" s="313">
        <f>'Cruise Projections'!X86</f>
        <v>28.666666666666664</v>
      </c>
      <c r="I13" s="313">
        <f>'Cruise Projections'!Y86</f>
        <v>28.666666666666664</v>
      </c>
      <c r="J13" s="313">
        <f>'Cruise Projections'!Z86</f>
        <v>28.666666666666664</v>
      </c>
      <c r="K13" s="313">
        <f>'Cruise Projections'!AA86</f>
        <v>28.666666666666664</v>
      </c>
      <c r="L13" s="313">
        <f>'Cruise Projections'!AB86</f>
        <v>28.666666666666664</v>
      </c>
      <c r="M13" s="313">
        <f>'Cruise Projections'!AC86</f>
        <v>28.666666666666664</v>
      </c>
      <c r="N13" s="313">
        <f>'Cruise Projections'!AD86</f>
        <v>28.666666666666664</v>
      </c>
      <c r="O13" s="313">
        <f>'Cruise Projections'!AE86</f>
        <v>28.666666666666664</v>
      </c>
      <c r="P13" s="313">
        <f>'Cruise Projections'!AF86</f>
        <v>28.666666666666664</v>
      </c>
      <c r="Q13" s="313">
        <f>'Cruise Projections'!AG86</f>
        <v>28.666666666666664</v>
      </c>
      <c r="R13" s="313">
        <f>'Cruise Projections'!AH86</f>
        <v>28.666666666666664</v>
      </c>
      <c r="S13" s="313">
        <f>'Cruise Projections'!AI86</f>
        <v>28.666666666666664</v>
      </c>
      <c r="T13" s="313">
        <f>'Cruise Projections'!AJ86</f>
        <v>28.666666666666664</v>
      </c>
      <c r="U13" s="313">
        <f>'Cruise Projections'!AK86</f>
        <v>28.666666666666664</v>
      </c>
      <c r="V13" s="313">
        <f>'Cruise Projections'!AL86</f>
        <v>28.666666666666664</v>
      </c>
      <c r="W13" s="313">
        <f>'Cruise Projections'!AM86</f>
        <v>28.666666666666664</v>
      </c>
      <c r="X13" s="313">
        <f>'Cruise Projections'!AN86</f>
        <v>28.666666666666664</v>
      </c>
      <c r="Y13" s="312"/>
    </row>
    <row r="14" spans="1:25">
      <c r="A14" s="53" t="str">
        <f>'Cruise Projections'!A69</f>
        <v>Passengers per Call</v>
      </c>
      <c r="B14" s="21"/>
      <c r="C14" s="21"/>
      <c r="D14" s="486">
        <f>'Cruise Projections'!T69</f>
        <v>0</v>
      </c>
      <c r="E14" s="313">
        <v>0</v>
      </c>
      <c r="F14" s="313">
        <f>'Cruise Projections'!V87</f>
        <v>3110.3085303356092</v>
      </c>
      <c r="G14" s="313">
        <f>'Cruise Projections'!W87</f>
        <v>3110.3085303356092</v>
      </c>
      <c r="H14" s="313">
        <f>'Cruise Projections'!X87</f>
        <v>3110.3085303356092</v>
      </c>
      <c r="I14" s="313">
        <f>'Cruise Projections'!Y87</f>
        <v>3110.3085303356092</v>
      </c>
      <c r="J14" s="313">
        <f>'Cruise Projections'!Z87</f>
        <v>3110.3085303356092</v>
      </c>
      <c r="K14" s="313">
        <f>'Cruise Projections'!AA87</f>
        <v>3110.3085303356092</v>
      </c>
      <c r="L14" s="313">
        <f>'Cruise Projections'!AB87</f>
        <v>3110.3085303356092</v>
      </c>
      <c r="M14" s="313">
        <f>'Cruise Projections'!AC87</f>
        <v>3110.3085303356092</v>
      </c>
      <c r="N14" s="313">
        <f>'Cruise Projections'!AD87</f>
        <v>3110.3085303356092</v>
      </c>
      <c r="O14" s="313">
        <f>'Cruise Projections'!AE87</f>
        <v>3110.3085303356092</v>
      </c>
      <c r="P14" s="313">
        <f>'Cruise Projections'!AF87</f>
        <v>3110.3085303356092</v>
      </c>
      <c r="Q14" s="313">
        <f>'Cruise Projections'!AG87</f>
        <v>3110.3085303356092</v>
      </c>
      <c r="R14" s="313">
        <f>'Cruise Projections'!AH87</f>
        <v>3110.3085303356092</v>
      </c>
      <c r="S14" s="313">
        <f>'Cruise Projections'!AI87</f>
        <v>3110.3085303356092</v>
      </c>
      <c r="T14" s="313">
        <f>'Cruise Projections'!AJ87</f>
        <v>3110.3085303356092</v>
      </c>
      <c r="U14" s="313">
        <f>'Cruise Projections'!AK87</f>
        <v>3110.3085303356092</v>
      </c>
      <c r="V14" s="313">
        <f>'Cruise Projections'!AL87</f>
        <v>3110.3085303356092</v>
      </c>
      <c r="W14" s="313">
        <f>'Cruise Projections'!AM87</f>
        <v>3110.3085303356092</v>
      </c>
      <c r="X14" s="313">
        <f>'Cruise Projections'!AN87</f>
        <v>3110.3085303356092</v>
      </c>
      <c r="Y14" s="312"/>
    </row>
    <row r="15" spans="1:25" s="96" customFormat="1">
      <c r="A15" s="54" t="s">
        <v>313</v>
      </c>
      <c r="B15" s="487"/>
      <c r="C15" s="487"/>
      <c r="D15" s="486">
        <f>'Cruise Projections'!T70</f>
        <v>0</v>
      </c>
      <c r="E15" s="313">
        <v>0</v>
      </c>
      <c r="F15" s="313">
        <f>'Shuttle Projections'!D24</f>
        <v>4120</v>
      </c>
      <c r="G15" s="313">
        <f>'Shuttle Projections'!E24</f>
        <v>4120</v>
      </c>
      <c r="H15" s="313">
        <f>'Shuttle Projections'!F24</f>
        <v>4120</v>
      </c>
      <c r="I15" s="313">
        <f>'Shuttle Projections'!G24</f>
        <v>4120</v>
      </c>
      <c r="J15" s="313">
        <f>'Shuttle Projections'!H24</f>
        <v>4120</v>
      </c>
      <c r="K15" s="313">
        <f>'Shuttle Projections'!I24</f>
        <v>4120</v>
      </c>
      <c r="L15" s="313">
        <f>'Shuttle Projections'!J24</f>
        <v>4120</v>
      </c>
      <c r="M15" s="313">
        <f>'Shuttle Projections'!K24</f>
        <v>4120</v>
      </c>
      <c r="N15" s="313">
        <f>'Shuttle Projections'!L24</f>
        <v>4120</v>
      </c>
      <c r="O15" s="313">
        <f>'Shuttle Projections'!M24</f>
        <v>4120</v>
      </c>
      <c r="P15" s="313">
        <f>'Shuttle Projections'!N24</f>
        <v>4120</v>
      </c>
      <c r="Q15" s="313">
        <f>'Shuttle Projections'!O24</f>
        <v>4120</v>
      </c>
      <c r="R15" s="313">
        <f>'Shuttle Projections'!P24</f>
        <v>4120</v>
      </c>
      <c r="S15" s="313">
        <f>'Shuttle Projections'!Q24</f>
        <v>4120</v>
      </c>
      <c r="T15" s="313">
        <f>'Shuttle Projections'!R24</f>
        <v>4120</v>
      </c>
      <c r="U15" s="313">
        <f>'Shuttle Projections'!S24</f>
        <v>4120</v>
      </c>
      <c r="V15" s="313">
        <f>'Shuttle Projections'!T24</f>
        <v>4120</v>
      </c>
      <c r="W15" s="313">
        <f>'Shuttle Projections'!U24</f>
        <v>4120</v>
      </c>
      <c r="X15" s="313">
        <f>'Shuttle Projections'!V24</f>
        <v>4120</v>
      </c>
      <c r="Y15" s="313"/>
    </row>
    <row r="16" spans="1:25">
      <c r="A16" s="54"/>
      <c r="B16" s="21"/>
      <c r="C16" s="21"/>
      <c r="D16" s="486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</row>
    <row r="17" spans="1:25" s="547" customFormat="1" ht="14.25">
      <c r="A17" s="549" t="s">
        <v>163</v>
      </c>
      <c r="B17" s="550"/>
      <c r="C17" s="550"/>
      <c r="D17" s="610"/>
      <c r="E17" s="551"/>
      <c r="F17" s="551"/>
      <c r="G17" s="551"/>
      <c r="H17" s="551"/>
      <c r="I17" s="551"/>
      <c r="J17" s="551"/>
      <c r="K17" s="551"/>
      <c r="L17" s="551"/>
      <c r="M17" s="551"/>
      <c r="N17" s="551"/>
      <c r="O17" s="551"/>
      <c r="P17" s="551"/>
      <c r="Q17" s="551"/>
      <c r="R17" s="551"/>
      <c r="S17" s="551"/>
      <c r="T17" s="551"/>
      <c r="U17" s="551"/>
      <c r="V17" s="551"/>
      <c r="W17" s="551"/>
      <c r="X17" s="551"/>
    </row>
    <row r="18" spans="1:25" s="341" customFormat="1">
      <c r="A18" s="552" t="str">
        <f>'International Ferry Projections'!A11</f>
        <v>Passengers</v>
      </c>
      <c r="B18" s="553"/>
      <c r="C18" s="553"/>
      <c r="D18" s="554">
        <f>'International Ferry Projections'!B11</f>
        <v>0</v>
      </c>
      <c r="E18" s="555">
        <f>'International Ferry Projections'!C11</f>
        <v>60000</v>
      </c>
      <c r="F18" s="555">
        <f>'International Ferry Projections'!D11</f>
        <v>70000</v>
      </c>
      <c r="G18" s="555">
        <f>'International Ferry Projections'!E11</f>
        <v>80000</v>
      </c>
      <c r="H18" s="555">
        <f>'International Ferry Projections'!F11</f>
        <v>80000</v>
      </c>
      <c r="I18" s="555">
        <f>'International Ferry Projections'!G11</f>
        <v>80000</v>
      </c>
      <c r="J18" s="555">
        <f>'International Ferry Projections'!H11</f>
        <v>80000</v>
      </c>
      <c r="K18" s="555">
        <f>'International Ferry Projections'!I11</f>
        <v>80000</v>
      </c>
      <c r="L18" s="555">
        <f>'International Ferry Projections'!J11</f>
        <v>80000</v>
      </c>
      <c r="M18" s="555">
        <f>'International Ferry Projections'!K11</f>
        <v>80000</v>
      </c>
      <c r="N18" s="555">
        <f>'International Ferry Projections'!L11</f>
        <v>80000</v>
      </c>
      <c r="O18" s="555">
        <f>'International Ferry Projections'!M11</f>
        <v>80000</v>
      </c>
      <c r="P18" s="555">
        <f>'International Ferry Projections'!N11</f>
        <v>80000</v>
      </c>
      <c r="Q18" s="555">
        <f>'International Ferry Projections'!O11</f>
        <v>80000</v>
      </c>
      <c r="R18" s="555">
        <f>'International Ferry Projections'!P11</f>
        <v>80000</v>
      </c>
      <c r="S18" s="555">
        <f>'International Ferry Projections'!Q11</f>
        <v>80000</v>
      </c>
      <c r="T18" s="555">
        <f>'International Ferry Projections'!R11</f>
        <v>80000</v>
      </c>
      <c r="U18" s="555">
        <f>'International Ferry Projections'!S11</f>
        <v>80000</v>
      </c>
      <c r="V18" s="555">
        <f>'International Ferry Projections'!T11</f>
        <v>80000</v>
      </c>
      <c r="W18" s="555">
        <f>'International Ferry Projections'!U11</f>
        <v>80000</v>
      </c>
      <c r="X18" s="555">
        <f>'International Ferry Projections'!V11</f>
        <v>80000</v>
      </c>
    </row>
    <row r="19" spans="1:25" s="341" customFormat="1">
      <c r="A19" s="552" t="str">
        <f>'International Ferry Projections'!A12</f>
        <v>Cars</v>
      </c>
      <c r="B19" s="553"/>
      <c r="C19" s="553"/>
      <c r="D19" s="554">
        <f>'International Ferry Projections'!B12</f>
        <v>0</v>
      </c>
      <c r="E19" s="555">
        <f>'International Ferry Projections'!C12</f>
        <v>24000</v>
      </c>
      <c r="F19" s="555">
        <f>'International Ferry Projections'!D12</f>
        <v>28000</v>
      </c>
      <c r="G19" s="555">
        <f>'International Ferry Projections'!E12</f>
        <v>32000</v>
      </c>
      <c r="H19" s="555">
        <f>'International Ferry Projections'!F12</f>
        <v>32000</v>
      </c>
      <c r="I19" s="555">
        <f>'International Ferry Projections'!G12</f>
        <v>32000</v>
      </c>
      <c r="J19" s="555">
        <f>'International Ferry Projections'!H12</f>
        <v>32000</v>
      </c>
      <c r="K19" s="555">
        <f>'International Ferry Projections'!I12</f>
        <v>32000</v>
      </c>
      <c r="L19" s="555">
        <f>'International Ferry Projections'!J12</f>
        <v>32000</v>
      </c>
      <c r="M19" s="555">
        <f>'International Ferry Projections'!K12</f>
        <v>32000</v>
      </c>
      <c r="N19" s="555">
        <f>'International Ferry Projections'!L12</f>
        <v>32000</v>
      </c>
      <c r="O19" s="555">
        <f>'International Ferry Projections'!M12</f>
        <v>32000</v>
      </c>
      <c r="P19" s="555">
        <f>'International Ferry Projections'!N12</f>
        <v>32000</v>
      </c>
      <c r="Q19" s="555">
        <f>'International Ferry Projections'!O12</f>
        <v>32000</v>
      </c>
      <c r="R19" s="555">
        <f>'International Ferry Projections'!P12</f>
        <v>32000</v>
      </c>
      <c r="S19" s="555">
        <f>'International Ferry Projections'!Q12</f>
        <v>32000</v>
      </c>
      <c r="T19" s="555">
        <f>'International Ferry Projections'!R12</f>
        <v>32000</v>
      </c>
      <c r="U19" s="555">
        <f>'International Ferry Projections'!S12</f>
        <v>32000</v>
      </c>
      <c r="V19" s="555">
        <f>'International Ferry Projections'!T12</f>
        <v>32000</v>
      </c>
      <c r="W19" s="555">
        <f>'International Ferry Projections'!U12</f>
        <v>32000</v>
      </c>
      <c r="X19" s="555">
        <f>'International Ferry Projections'!V12</f>
        <v>32000</v>
      </c>
    </row>
    <row r="20" spans="1:25" s="341" customFormat="1">
      <c r="A20" s="552" t="str">
        <f>'International Ferry Projections'!A13</f>
        <v>Buses</v>
      </c>
      <c r="B20" s="553"/>
      <c r="C20" s="553"/>
      <c r="D20" s="554">
        <f>'International Ferry Projections'!B13</f>
        <v>0</v>
      </c>
      <c r="E20" s="555">
        <f>'International Ferry Projections'!C13</f>
        <v>40</v>
      </c>
      <c r="F20" s="555">
        <f>'International Ferry Projections'!D13</f>
        <v>50</v>
      </c>
      <c r="G20" s="555">
        <f>'International Ferry Projections'!E13</f>
        <v>60</v>
      </c>
      <c r="H20" s="555">
        <f>'International Ferry Projections'!F13</f>
        <v>60</v>
      </c>
      <c r="I20" s="555">
        <f>'International Ferry Projections'!G13</f>
        <v>60</v>
      </c>
      <c r="J20" s="555">
        <f>'International Ferry Projections'!H13</f>
        <v>60</v>
      </c>
      <c r="K20" s="555">
        <f>'International Ferry Projections'!I13</f>
        <v>60</v>
      </c>
      <c r="L20" s="555">
        <f>'International Ferry Projections'!J13</f>
        <v>60</v>
      </c>
      <c r="M20" s="555">
        <f>'International Ferry Projections'!K13</f>
        <v>60</v>
      </c>
      <c r="N20" s="555">
        <f>'International Ferry Projections'!L13</f>
        <v>60</v>
      </c>
      <c r="O20" s="555">
        <f>'International Ferry Projections'!M13</f>
        <v>60</v>
      </c>
      <c r="P20" s="555">
        <f>'International Ferry Projections'!N13</f>
        <v>60</v>
      </c>
      <c r="Q20" s="555">
        <f>'International Ferry Projections'!O13</f>
        <v>60</v>
      </c>
      <c r="R20" s="555">
        <f>'International Ferry Projections'!P13</f>
        <v>60</v>
      </c>
      <c r="S20" s="555">
        <f>'International Ferry Projections'!Q13</f>
        <v>60</v>
      </c>
      <c r="T20" s="555">
        <f>'International Ferry Projections'!R13</f>
        <v>60</v>
      </c>
      <c r="U20" s="555">
        <f>'International Ferry Projections'!S13</f>
        <v>60</v>
      </c>
      <c r="V20" s="555">
        <f>'International Ferry Projections'!T13</f>
        <v>60</v>
      </c>
      <c r="W20" s="555">
        <f>'International Ferry Projections'!U13</f>
        <v>60</v>
      </c>
      <c r="X20" s="555">
        <f>'International Ferry Projections'!V13</f>
        <v>60</v>
      </c>
    </row>
    <row r="21" spans="1:25">
      <c r="A21" s="54"/>
      <c r="B21" s="21"/>
      <c r="C21" s="21"/>
      <c r="D21" s="486"/>
      <c r="E21" s="313"/>
      <c r="F21" s="313"/>
      <c r="G21" s="313"/>
      <c r="H21" s="313"/>
      <c r="I21" s="313"/>
      <c r="J21" s="313"/>
      <c r="K21" s="313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</row>
    <row r="22" spans="1:25" s="582" customFormat="1">
      <c r="A22" s="293" t="str">
        <f>'BH Tariffs'!A30</f>
        <v>Local Ferry</v>
      </c>
      <c r="B22" s="581"/>
      <c r="C22" s="581"/>
      <c r="D22" s="486">
        <v>0</v>
      </c>
      <c r="E22" s="329"/>
      <c r="F22" s="329"/>
      <c r="G22" s="329"/>
      <c r="H22" s="329"/>
      <c r="I22" s="329"/>
      <c r="J22" s="329"/>
      <c r="K22" s="329"/>
      <c r="L22" s="329"/>
      <c r="M22" s="329"/>
      <c r="N22" s="329"/>
      <c r="O22" s="329"/>
      <c r="P22" s="329"/>
      <c r="Q22" s="329"/>
      <c r="R22" s="329"/>
      <c r="S22" s="329"/>
      <c r="T22" s="329"/>
      <c r="U22" s="329"/>
      <c r="V22" s="329"/>
      <c r="W22" s="329"/>
      <c r="X22" s="329"/>
    </row>
    <row r="23" spans="1:25" s="96" customFormat="1">
      <c r="A23" s="54" t="str">
        <f>'BH Tariffs'!A31</f>
        <v>Dock Rent (6 Months Only)</v>
      </c>
      <c r="B23" s="487"/>
      <c r="C23" s="487"/>
      <c r="D23" s="486">
        <v>0</v>
      </c>
      <c r="E23" s="623" t="s">
        <v>286</v>
      </c>
      <c r="F23" s="623" t="s">
        <v>286</v>
      </c>
      <c r="G23" s="623" t="s">
        <v>286</v>
      </c>
      <c r="H23" s="623" t="s">
        <v>286</v>
      </c>
      <c r="I23" s="623" t="s">
        <v>286</v>
      </c>
      <c r="J23" s="623" t="s">
        <v>286</v>
      </c>
      <c r="K23" s="623" t="s">
        <v>286</v>
      </c>
      <c r="L23" s="623" t="s">
        <v>286</v>
      </c>
      <c r="M23" s="623" t="s">
        <v>286</v>
      </c>
      <c r="N23" s="623" t="s">
        <v>286</v>
      </c>
      <c r="O23" s="623" t="s">
        <v>286</v>
      </c>
      <c r="P23" s="623" t="s">
        <v>286</v>
      </c>
      <c r="Q23" s="623" t="s">
        <v>286</v>
      </c>
      <c r="R23" s="623" t="s">
        <v>286</v>
      </c>
      <c r="S23" s="623" t="s">
        <v>286</v>
      </c>
      <c r="T23" s="623" t="s">
        <v>286</v>
      </c>
      <c r="U23" s="623" t="s">
        <v>286</v>
      </c>
      <c r="V23" s="623" t="s">
        <v>286</v>
      </c>
      <c r="W23" s="623" t="s">
        <v>286</v>
      </c>
      <c r="X23" s="623" t="s">
        <v>286</v>
      </c>
    </row>
    <row r="24" spans="1:25" s="341" customFormat="1">
      <c r="A24" s="552"/>
      <c r="B24" s="553"/>
      <c r="C24" s="553"/>
      <c r="D24" s="554"/>
      <c r="E24" s="555"/>
      <c r="F24" s="555"/>
      <c r="G24" s="555"/>
      <c r="H24" s="555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</row>
    <row r="25" spans="1:25" s="96" customFormat="1">
      <c r="A25" s="559" t="s">
        <v>227</v>
      </c>
      <c r="B25" s="487"/>
      <c r="C25" s="487"/>
      <c r="D25" s="486"/>
      <c r="E25" s="313"/>
      <c r="F25" s="313"/>
      <c r="G25" s="313"/>
      <c r="H25" s="313"/>
      <c r="I25" s="313"/>
      <c r="J25" s="313"/>
      <c r="K25" s="313"/>
      <c r="L25" s="313"/>
      <c r="M25" s="313"/>
      <c r="N25" s="313"/>
      <c r="O25" s="313"/>
      <c r="P25" s="313"/>
      <c r="Q25" s="313"/>
      <c r="R25" s="313"/>
      <c r="S25" s="313"/>
      <c r="T25" s="313"/>
      <c r="U25" s="313"/>
      <c r="V25" s="313"/>
      <c r="W25" s="313"/>
      <c r="X25" s="313"/>
    </row>
    <row r="26" spans="1:25">
      <c r="A26" s="54"/>
      <c r="B26" s="21"/>
      <c r="C26" s="21"/>
      <c r="D26" s="486"/>
      <c r="E26" s="313"/>
      <c r="F26" s="313"/>
      <c r="G26" s="313"/>
      <c r="H26" s="313"/>
      <c r="I26" s="313"/>
      <c r="J26" s="313"/>
      <c r="K26" s="313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</row>
    <row r="27" spans="1:25">
      <c r="A27" s="54" t="s">
        <v>420</v>
      </c>
      <c r="B27" s="21"/>
      <c r="C27" s="21"/>
      <c r="D27" s="486">
        <v>0</v>
      </c>
      <c r="E27" s="313">
        <f>'Marina Projections'!C9</f>
        <v>0</v>
      </c>
      <c r="F27" s="313">
        <f>'Marina Projections'!D9</f>
        <v>214</v>
      </c>
      <c r="G27" s="313">
        <f>'Marina Projections'!E9</f>
        <v>214</v>
      </c>
      <c r="H27" s="313">
        <f>'Marina Projections'!F9</f>
        <v>214</v>
      </c>
      <c r="I27" s="313">
        <f>'Marina Projections'!G9</f>
        <v>214</v>
      </c>
      <c r="J27" s="313">
        <f>'Marina Projections'!H9</f>
        <v>214</v>
      </c>
      <c r="K27" s="313">
        <f>'Marina Projections'!I9</f>
        <v>214</v>
      </c>
      <c r="L27" s="313">
        <f>'Marina Projections'!J9</f>
        <v>214</v>
      </c>
      <c r="M27" s="313">
        <f>'Marina Projections'!K9</f>
        <v>214</v>
      </c>
      <c r="N27" s="313">
        <f>'Marina Projections'!L9</f>
        <v>214</v>
      </c>
      <c r="O27" s="313">
        <f>'Marina Projections'!M9</f>
        <v>214</v>
      </c>
      <c r="P27" s="313">
        <f>'Marina Projections'!N9</f>
        <v>214</v>
      </c>
      <c r="Q27" s="313">
        <f>'Marina Projections'!O9</f>
        <v>214</v>
      </c>
      <c r="R27" s="313">
        <f>'Marina Projections'!P9</f>
        <v>214</v>
      </c>
      <c r="S27" s="313">
        <f>'Marina Projections'!Q9</f>
        <v>214</v>
      </c>
      <c r="T27" s="313">
        <f>'Marina Projections'!R9</f>
        <v>214</v>
      </c>
      <c r="U27" s="313">
        <f>'Marina Projections'!S9</f>
        <v>214</v>
      </c>
      <c r="V27" s="313">
        <f>'Marina Projections'!T9</f>
        <v>214</v>
      </c>
      <c r="W27" s="313">
        <f>'Marina Projections'!U9</f>
        <v>214</v>
      </c>
      <c r="X27" s="313">
        <f>'Marina Projections'!V9</f>
        <v>214</v>
      </c>
    </row>
    <row r="28" spans="1:25">
      <c r="A28" s="54" t="s">
        <v>205</v>
      </c>
      <c r="B28" s="21"/>
      <c r="C28" s="21"/>
      <c r="D28" s="486">
        <v>0</v>
      </c>
      <c r="E28" s="330">
        <v>0</v>
      </c>
      <c r="F28" s="330">
        <f>'Cruise Projections'!V86</f>
        <v>28.666666666666664</v>
      </c>
      <c r="G28" s="330">
        <f>'Cruise Projections'!W86</f>
        <v>28.666666666666664</v>
      </c>
      <c r="H28" s="330">
        <f>'Cruise Projections'!X86</f>
        <v>28.666666666666664</v>
      </c>
      <c r="I28" s="330">
        <f>'Cruise Projections'!Y86</f>
        <v>28.666666666666664</v>
      </c>
      <c r="J28" s="330">
        <f>'Cruise Projections'!Z86</f>
        <v>28.666666666666664</v>
      </c>
      <c r="K28" s="330">
        <f>'Cruise Projections'!AA86</f>
        <v>28.666666666666664</v>
      </c>
      <c r="L28" s="330">
        <f>'Cruise Projections'!AB86</f>
        <v>28.666666666666664</v>
      </c>
      <c r="M28" s="330">
        <f>'Cruise Projections'!AC86</f>
        <v>28.666666666666664</v>
      </c>
      <c r="N28" s="330">
        <f>'Cruise Projections'!AD86</f>
        <v>28.666666666666664</v>
      </c>
      <c r="O28" s="330">
        <f>'Cruise Projections'!AE86</f>
        <v>28.666666666666664</v>
      </c>
      <c r="P28" s="330">
        <f>'Cruise Projections'!AF86</f>
        <v>28.666666666666664</v>
      </c>
      <c r="Q28" s="330">
        <f>'Cruise Projections'!AG86</f>
        <v>28.666666666666664</v>
      </c>
      <c r="R28" s="330">
        <f>'Cruise Projections'!AH86</f>
        <v>28.666666666666664</v>
      </c>
      <c r="S28" s="330">
        <f>'Cruise Projections'!AI86</f>
        <v>28.666666666666664</v>
      </c>
      <c r="T28" s="330">
        <f>'Cruise Projections'!AJ86</f>
        <v>28.666666666666664</v>
      </c>
      <c r="U28" s="330">
        <f>'Cruise Projections'!AK86</f>
        <v>28.666666666666664</v>
      </c>
      <c r="V28" s="330">
        <f>'Cruise Projections'!AL86</f>
        <v>28.666666666666664</v>
      </c>
      <c r="W28" s="330">
        <f>'Cruise Projections'!AM86</f>
        <v>28.666666666666664</v>
      </c>
      <c r="X28" s="330">
        <f>'Cruise Projections'!AN86</f>
        <v>28.666666666666664</v>
      </c>
      <c r="Y28" s="32"/>
    </row>
    <row r="29" spans="1:25" s="341" customFormat="1">
      <c r="A29" s="552" t="s">
        <v>219</v>
      </c>
      <c r="B29" s="553"/>
      <c r="C29" s="553"/>
      <c r="D29" s="554">
        <v>0</v>
      </c>
      <c r="E29" s="560">
        <v>150</v>
      </c>
      <c r="F29" s="560">
        <f>E29</f>
        <v>150</v>
      </c>
      <c r="G29" s="560">
        <f t="shared" ref="G29:X29" si="0">F29</f>
        <v>150</v>
      </c>
      <c r="H29" s="560">
        <f t="shared" si="0"/>
        <v>150</v>
      </c>
      <c r="I29" s="560">
        <f t="shared" si="0"/>
        <v>150</v>
      </c>
      <c r="J29" s="560">
        <f t="shared" si="0"/>
        <v>150</v>
      </c>
      <c r="K29" s="560">
        <f t="shared" si="0"/>
        <v>150</v>
      </c>
      <c r="L29" s="560">
        <f t="shared" si="0"/>
        <v>150</v>
      </c>
      <c r="M29" s="560">
        <f t="shared" si="0"/>
        <v>150</v>
      </c>
      <c r="N29" s="560">
        <f t="shared" si="0"/>
        <v>150</v>
      </c>
      <c r="O29" s="560">
        <f t="shared" si="0"/>
        <v>150</v>
      </c>
      <c r="P29" s="560">
        <f t="shared" si="0"/>
        <v>150</v>
      </c>
      <c r="Q29" s="560">
        <f t="shared" si="0"/>
        <v>150</v>
      </c>
      <c r="R29" s="560">
        <f t="shared" si="0"/>
        <v>150</v>
      </c>
      <c r="S29" s="560">
        <f t="shared" si="0"/>
        <v>150</v>
      </c>
      <c r="T29" s="560">
        <f t="shared" si="0"/>
        <v>150</v>
      </c>
      <c r="U29" s="560">
        <f t="shared" si="0"/>
        <v>150</v>
      </c>
      <c r="V29" s="560">
        <f t="shared" si="0"/>
        <v>150</v>
      </c>
      <c r="W29" s="560">
        <f t="shared" si="0"/>
        <v>150</v>
      </c>
      <c r="X29" s="560">
        <f t="shared" si="0"/>
        <v>150</v>
      </c>
      <c r="Y29" s="561"/>
    </row>
    <row r="30" spans="1:25" s="341" customFormat="1">
      <c r="A30" s="552" t="s">
        <v>220</v>
      </c>
      <c r="B30" s="553"/>
      <c r="C30" s="553"/>
      <c r="D30" s="554">
        <v>0</v>
      </c>
      <c r="E30" s="611">
        <f>E28/E29</f>
        <v>0</v>
      </c>
      <c r="F30" s="611">
        <f t="shared" ref="F30:X30" si="1">F28/F29</f>
        <v>0.19111111111111109</v>
      </c>
      <c r="G30" s="611">
        <f t="shared" si="1"/>
        <v>0.19111111111111109</v>
      </c>
      <c r="H30" s="611">
        <f t="shared" si="1"/>
        <v>0.19111111111111109</v>
      </c>
      <c r="I30" s="611">
        <f t="shared" si="1"/>
        <v>0.19111111111111109</v>
      </c>
      <c r="J30" s="611">
        <f t="shared" si="1"/>
        <v>0.19111111111111109</v>
      </c>
      <c r="K30" s="611">
        <f t="shared" si="1"/>
        <v>0.19111111111111109</v>
      </c>
      <c r="L30" s="611">
        <f t="shared" si="1"/>
        <v>0.19111111111111109</v>
      </c>
      <c r="M30" s="611">
        <f t="shared" si="1"/>
        <v>0.19111111111111109</v>
      </c>
      <c r="N30" s="611">
        <f t="shared" si="1"/>
        <v>0.19111111111111109</v>
      </c>
      <c r="O30" s="611">
        <f t="shared" si="1"/>
        <v>0.19111111111111109</v>
      </c>
      <c r="P30" s="611">
        <f t="shared" si="1"/>
        <v>0.19111111111111109</v>
      </c>
      <c r="Q30" s="611">
        <f t="shared" si="1"/>
        <v>0.19111111111111109</v>
      </c>
      <c r="R30" s="611">
        <f t="shared" si="1"/>
        <v>0.19111111111111109</v>
      </c>
      <c r="S30" s="611">
        <f t="shared" si="1"/>
        <v>0.19111111111111109</v>
      </c>
      <c r="T30" s="611">
        <f t="shared" si="1"/>
        <v>0.19111111111111109</v>
      </c>
      <c r="U30" s="611">
        <f t="shared" si="1"/>
        <v>0.19111111111111109</v>
      </c>
      <c r="V30" s="611">
        <f t="shared" si="1"/>
        <v>0.19111111111111109</v>
      </c>
      <c r="W30" s="611">
        <f t="shared" si="1"/>
        <v>0.19111111111111109</v>
      </c>
      <c r="X30" s="611">
        <f t="shared" si="1"/>
        <v>0.19111111111111109</v>
      </c>
      <c r="Y30" s="561"/>
    </row>
    <row r="31" spans="1:25" s="96" customFormat="1">
      <c r="A31" s="54" t="s">
        <v>226</v>
      </c>
      <c r="B31" s="487"/>
      <c r="C31" s="487"/>
      <c r="D31" s="486">
        <v>0</v>
      </c>
      <c r="E31" s="330">
        <v>0</v>
      </c>
      <c r="F31" s="330">
        <v>125</v>
      </c>
      <c r="G31" s="330">
        <v>125</v>
      </c>
      <c r="H31" s="330">
        <v>125</v>
      </c>
      <c r="I31" s="330">
        <v>125</v>
      </c>
      <c r="J31" s="330">
        <v>125</v>
      </c>
      <c r="K31" s="330">
        <v>125</v>
      </c>
      <c r="L31" s="330">
        <v>125</v>
      </c>
      <c r="M31" s="330">
        <v>125</v>
      </c>
      <c r="N31" s="330">
        <v>125</v>
      </c>
      <c r="O31" s="330">
        <v>125</v>
      </c>
      <c r="P31" s="330">
        <v>125</v>
      </c>
      <c r="Q31" s="330">
        <v>125</v>
      </c>
      <c r="R31" s="330">
        <v>125</v>
      </c>
      <c r="S31" s="330">
        <v>125</v>
      </c>
      <c r="T31" s="330">
        <v>125</v>
      </c>
      <c r="U31" s="330">
        <v>125</v>
      </c>
      <c r="V31" s="330">
        <v>125</v>
      </c>
      <c r="W31" s="330">
        <v>125</v>
      </c>
      <c r="X31" s="330">
        <v>125</v>
      </c>
      <c r="Y31" s="58"/>
    </row>
    <row r="32" spans="1:25">
      <c r="A32" s="54"/>
      <c r="B32" s="21"/>
      <c r="C32" s="21"/>
      <c r="D32" s="486"/>
      <c r="E32" s="495"/>
      <c r="F32" s="495"/>
      <c r="G32" s="495"/>
      <c r="H32" s="495"/>
      <c r="I32" s="495"/>
      <c r="J32" s="495"/>
      <c r="K32" s="495"/>
      <c r="L32" s="495"/>
      <c r="M32" s="495"/>
      <c r="N32" s="495"/>
      <c r="O32" s="495"/>
      <c r="P32" s="495"/>
      <c r="Q32" s="495"/>
      <c r="R32" s="495"/>
      <c r="S32" s="495"/>
      <c r="T32" s="495"/>
      <c r="U32" s="495"/>
      <c r="V32" s="495"/>
      <c r="W32" s="495"/>
      <c r="X32" s="495"/>
      <c r="Y32" s="32"/>
    </row>
    <row r="33" spans="1:24">
      <c r="A33" s="54" t="s">
        <v>206</v>
      </c>
      <c r="B33" s="21"/>
      <c r="C33" s="21"/>
      <c r="D33" s="486">
        <v>0</v>
      </c>
      <c r="E33" s="313">
        <v>0</v>
      </c>
      <c r="F33" s="313">
        <f t="shared" ref="F33:X33" si="2">F12/F28</f>
        <v>3110.3085303356092</v>
      </c>
      <c r="G33" s="313">
        <f t="shared" si="2"/>
        <v>3110.3085303356092</v>
      </c>
      <c r="H33" s="313">
        <f t="shared" si="2"/>
        <v>3110.3085303356092</v>
      </c>
      <c r="I33" s="313">
        <f t="shared" si="2"/>
        <v>3110.3085303356092</v>
      </c>
      <c r="J33" s="313">
        <f t="shared" si="2"/>
        <v>3110.3085303356092</v>
      </c>
      <c r="K33" s="313">
        <f t="shared" si="2"/>
        <v>3110.3085303356092</v>
      </c>
      <c r="L33" s="313">
        <f t="shared" si="2"/>
        <v>3110.3085303356092</v>
      </c>
      <c r="M33" s="313">
        <f t="shared" si="2"/>
        <v>3110.3085303356092</v>
      </c>
      <c r="N33" s="313">
        <f t="shared" si="2"/>
        <v>3110.3085303356092</v>
      </c>
      <c r="O33" s="313">
        <f t="shared" si="2"/>
        <v>3110.3085303356092</v>
      </c>
      <c r="P33" s="313">
        <f t="shared" si="2"/>
        <v>3110.3085303356092</v>
      </c>
      <c r="Q33" s="313">
        <f t="shared" si="2"/>
        <v>3110.3085303356092</v>
      </c>
      <c r="R33" s="313">
        <f t="shared" si="2"/>
        <v>3110.3085303356092</v>
      </c>
      <c r="S33" s="313">
        <f t="shared" si="2"/>
        <v>3110.3085303356092</v>
      </c>
      <c r="T33" s="313">
        <f t="shared" si="2"/>
        <v>3110.3085303356092</v>
      </c>
      <c r="U33" s="313">
        <f t="shared" si="2"/>
        <v>3110.3085303356092</v>
      </c>
      <c r="V33" s="313">
        <f t="shared" si="2"/>
        <v>3110.3085303356092</v>
      </c>
      <c r="W33" s="313">
        <f t="shared" si="2"/>
        <v>3110.3085303356092</v>
      </c>
      <c r="X33" s="313">
        <f t="shared" si="2"/>
        <v>3110.3085303356092</v>
      </c>
    </row>
    <row r="34" spans="1:24">
      <c r="A34" s="54" t="s">
        <v>207</v>
      </c>
      <c r="B34" s="21"/>
      <c r="C34" s="21"/>
      <c r="D34" s="486">
        <v>0</v>
      </c>
      <c r="E34" s="313">
        <v>0</v>
      </c>
      <c r="F34" s="313">
        <v>5500</v>
      </c>
      <c r="G34" s="313">
        <v>5500</v>
      </c>
      <c r="H34" s="313">
        <v>5500</v>
      </c>
      <c r="I34" s="313">
        <v>5500</v>
      </c>
      <c r="J34" s="313">
        <v>5500</v>
      </c>
      <c r="K34" s="313">
        <v>5500</v>
      </c>
      <c r="L34" s="313">
        <v>5500</v>
      </c>
      <c r="M34" s="313">
        <v>5500</v>
      </c>
      <c r="N34" s="313">
        <v>5500</v>
      </c>
      <c r="O34" s="313">
        <v>5500</v>
      </c>
      <c r="P34" s="313">
        <v>5500</v>
      </c>
      <c r="Q34" s="313">
        <v>5500</v>
      </c>
      <c r="R34" s="313">
        <v>5500</v>
      </c>
      <c r="S34" s="313">
        <v>5500</v>
      </c>
      <c r="T34" s="313">
        <v>5500</v>
      </c>
      <c r="U34" s="313">
        <v>5500</v>
      </c>
      <c r="V34" s="313">
        <v>5500</v>
      </c>
      <c r="W34" s="313">
        <v>5500</v>
      </c>
      <c r="X34" s="313">
        <v>5500</v>
      </c>
    </row>
    <row r="35" spans="1:24" s="341" customFormat="1">
      <c r="A35" s="552" t="s">
        <v>221</v>
      </c>
      <c r="B35" s="553"/>
      <c r="C35" s="553"/>
      <c r="D35" s="554">
        <v>0</v>
      </c>
      <c r="E35" s="560">
        <f>E18/E29</f>
        <v>400</v>
      </c>
      <c r="F35" s="560">
        <f t="shared" ref="F35:X35" si="3">F18/F29</f>
        <v>466.66666666666669</v>
      </c>
      <c r="G35" s="560">
        <f t="shared" si="3"/>
        <v>533.33333333333337</v>
      </c>
      <c r="H35" s="560">
        <f t="shared" si="3"/>
        <v>533.33333333333337</v>
      </c>
      <c r="I35" s="560">
        <f t="shared" si="3"/>
        <v>533.33333333333337</v>
      </c>
      <c r="J35" s="560">
        <f t="shared" si="3"/>
        <v>533.33333333333337</v>
      </c>
      <c r="K35" s="560">
        <f t="shared" si="3"/>
        <v>533.33333333333337</v>
      </c>
      <c r="L35" s="560">
        <f t="shared" si="3"/>
        <v>533.33333333333337</v>
      </c>
      <c r="M35" s="560">
        <f t="shared" si="3"/>
        <v>533.33333333333337</v>
      </c>
      <c r="N35" s="560">
        <f t="shared" si="3"/>
        <v>533.33333333333337</v>
      </c>
      <c r="O35" s="560">
        <f t="shared" si="3"/>
        <v>533.33333333333337</v>
      </c>
      <c r="P35" s="560">
        <f t="shared" si="3"/>
        <v>533.33333333333337</v>
      </c>
      <c r="Q35" s="560">
        <f t="shared" si="3"/>
        <v>533.33333333333337</v>
      </c>
      <c r="R35" s="560">
        <f t="shared" si="3"/>
        <v>533.33333333333337</v>
      </c>
      <c r="S35" s="560">
        <f t="shared" si="3"/>
        <v>533.33333333333337</v>
      </c>
      <c r="T35" s="560">
        <f t="shared" si="3"/>
        <v>533.33333333333337</v>
      </c>
      <c r="U35" s="560">
        <f t="shared" si="3"/>
        <v>533.33333333333337</v>
      </c>
      <c r="V35" s="560">
        <f t="shared" si="3"/>
        <v>533.33333333333337</v>
      </c>
      <c r="W35" s="560">
        <f t="shared" si="3"/>
        <v>533.33333333333337</v>
      </c>
      <c r="X35" s="560">
        <f t="shared" si="3"/>
        <v>533.33333333333337</v>
      </c>
    </row>
    <row r="36" spans="1:24" s="341" customFormat="1">
      <c r="A36" s="552" t="s">
        <v>222</v>
      </c>
      <c r="B36" s="553"/>
      <c r="C36" s="553"/>
      <c r="D36" s="554">
        <v>0</v>
      </c>
      <c r="E36" s="560">
        <v>800</v>
      </c>
      <c r="F36" s="560">
        <v>800</v>
      </c>
      <c r="G36" s="560">
        <v>800</v>
      </c>
      <c r="H36" s="560">
        <v>800</v>
      </c>
      <c r="I36" s="560">
        <v>800</v>
      </c>
      <c r="J36" s="560">
        <v>800</v>
      </c>
      <c r="K36" s="560">
        <v>800</v>
      </c>
      <c r="L36" s="560">
        <v>800</v>
      </c>
      <c r="M36" s="560">
        <v>800</v>
      </c>
      <c r="N36" s="560">
        <v>800</v>
      </c>
      <c r="O36" s="560">
        <v>800</v>
      </c>
      <c r="P36" s="560">
        <v>800</v>
      </c>
      <c r="Q36" s="560">
        <v>800</v>
      </c>
      <c r="R36" s="560">
        <v>800</v>
      </c>
      <c r="S36" s="560">
        <v>800</v>
      </c>
      <c r="T36" s="560">
        <v>800</v>
      </c>
      <c r="U36" s="560">
        <v>800</v>
      </c>
      <c r="V36" s="560">
        <v>800</v>
      </c>
      <c r="W36" s="560">
        <v>800</v>
      </c>
      <c r="X36" s="560">
        <v>800</v>
      </c>
    </row>
    <row r="37" spans="1:24" s="341" customFormat="1">
      <c r="A37" s="552" t="s">
        <v>208</v>
      </c>
      <c r="B37" s="553"/>
      <c r="C37" s="553"/>
      <c r="D37" s="554">
        <v>0</v>
      </c>
      <c r="E37" s="560">
        <f>SUM(E34,E36)</f>
        <v>800</v>
      </c>
      <c r="F37" s="560">
        <f t="shared" ref="F37:X37" si="4">SUM(F34,F36)</f>
        <v>6300</v>
      </c>
      <c r="G37" s="560">
        <f t="shared" si="4"/>
        <v>6300</v>
      </c>
      <c r="H37" s="560">
        <f t="shared" si="4"/>
        <v>6300</v>
      </c>
      <c r="I37" s="560">
        <f t="shared" si="4"/>
        <v>6300</v>
      </c>
      <c r="J37" s="560">
        <f t="shared" si="4"/>
        <v>6300</v>
      </c>
      <c r="K37" s="560">
        <f t="shared" si="4"/>
        <v>6300</v>
      </c>
      <c r="L37" s="560">
        <f t="shared" si="4"/>
        <v>6300</v>
      </c>
      <c r="M37" s="560">
        <f t="shared" si="4"/>
        <v>6300</v>
      </c>
      <c r="N37" s="560">
        <f t="shared" si="4"/>
        <v>6300</v>
      </c>
      <c r="O37" s="560">
        <f t="shared" si="4"/>
        <v>6300</v>
      </c>
      <c r="P37" s="560">
        <f t="shared" si="4"/>
        <v>6300</v>
      </c>
      <c r="Q37" s="560">
        <f t="shared" si="4"/>
        <v>6300</v>
      </c>
      <c r="R37" s="560">
        <f t="shared" si="4"/>
        <v>6300</v>
      </c>
      <c r="S37" s="560">
        <f t="shared" si="4"/>
        <v>6300</v>
      </c>
      <c r="T37" s="560">
        <f t="shared" si="4"/>
        <v>6300</v>
      </c>
      <c r="U37" s="560">
        <f t="shared" si="4"/>
        <v>6300</v>
      </c>
      <c r="V37" s="560">
        <f t="shared" si="4"/>
        <v>6300</v>
      </c>
      <c r="W37" s="560">
        <f t="shared" si="4"/>
        <v>6300</v>
      </c>
      <c r="X37" s="560">
        <f t="shared" si="4"/>
        <v>6300</v>
      </c>
    </row>
    <row r="38" spans="1:24">
      <c r="A38" s="54"/>
      <c r="B38" s="21"/>
      <c r="C38" s="21"/>
      <c r="D38" s="486"/>
      <c r="E38" s="330"/>
      <c r="F38" s="330"/>
      <c r="G38" s="330"/>
      <c r="H38" s="330"/>
      <c r="I38" s="330"/>
      <c r="J38" s="330"/>
      <c r="K38" s="330"/>
      <c r="L38" s="330"/>
      <c r="M38" s="330"/>
      <c r="N38" s="330"/>
      <c r="O38" s="330"/>
      <c r="P38" s="330"/>
      <c r="Q38" s="330"/>
      <c r="R38" s="330"/>
      <c r="S38" s="330"/>
      <c r="T38" s="330"/>
      <c r="U38" s="330"/>
      <c r="V38" s="330"/>
      <c r="W38" s="330"/>
      <c r="X38" s="330"/>
    </row>
    <row r="39" spans="1:24" s="341" customFormat="1">
      <c r="A39" s="552" t="s">
        <v>223</v>
      </c>
      <c r="B39" s="557"/>
      <c r="C39" s="557"/>
      <c r="D39" s="554">
        <v>0</v>
      </c>
      <c r="E39" s="555">
        <f>(E19+E20)/E29</f>
        <v>160.26666666666668</v>
      </c>
      <c r="F39" s="555">
        <f t="shared" ref="F39:X39" si="5">(F19+F20)/F29</f>
        <v>187</v>
      </c>
      <c r="G39" s="555">
        <f t="shared" si="5"/>
        <v>213.73333333333332</v>
      </c>
      <c r="H39" s="555">
        <f t="shared" si="5"/>
        <v>213.73333333333332</v>
      </c>
      <c r="I39" s="555">
        <f t="shared" si="5"/>
        <v>213.73333333333332</v>
      </c>
      <c r="J39" s="555">
        <f t="shared" si="5"/>
        <v>213.73333333333332</v>
      </c>
      <c r="K39" s="555">
        <f t="shared" si="5"/>
        <v>213.73333333333332</v>
      </c>
      <c r="L39" s="555">
        <f t="shared" si="5"/>
        <v>213.73333333333332</v>
      </c>
      <c r="M39" s="555">
        <f t="shared" si="5"/>
        <v>213.73333333333332</v>
      </c>
      <c r="N39" s="555">
        <f t="shared" si="5"/>
        <v>213.73333333333332</v>
      </c>
      <c r="O39" s="555">
        <f t="shared" si="5"/>
        <v>213.73333333333332</v>
      </c>
      <c r="P39" s="555">
        <f t="shared" si="5"/>
        <v>213.73333333333332</v>
      </c>
      <c r="Q39" s="555">
        <f t="shared" si="5"/>
        <v>213.73333333333332</v>
      </c>
      <c r="R39" s="555">
        <f t="shared" si="5"/>
        <v>213.73333333333332</v>
      </c>
      <c r="S39" s="555">
        <f t="shared" si="5"/>
        <v>213.73333333333332</v>
      </c>
      <c r="T39" s="555">
        <f t="shared" si="5"/>
        <v>213.73333333333332</v>
      </c>
      <c r="U39" s="555">
        <f t="shared" si="5"/>
        <v>213.73333333333332</v>
      </c>
      <c r="V39" s="555">
        <f t="shared" si="5"/>
        <v>213.73333333333332</v>
      </c>
      <c r="W39" s="555">
        <f t="shared" si="5"/>
        <v>213.73333333333332</v>
      </c>
      <c r="X39" s="555">
        <f t="shared" si="5"/>
        <v>213.73333333333332</v>
      </c>
    </row>
    <row r="40" spans="1:24">
      <c r="A40" s="54"/>
      <c r="B40" s="74"/>
      <c r="C40" s="74"/>
      <c r="D40" s="492"/>
      <c r="E40" s="308"/>
      <c r="F40" s="308"/>
      <c r="G40" s="308"/>
      <c r="H40" s="308"/>
      <c r="I40" s="308"/>
      <c r="J40" s="308"/>
      <c r="K40" s="308"/>
      <c r="L40" s="308"/>
      <c r="M40" s="308"/>
      <c r="N40" s="308"/>
      <c r="O40" s="308"/>
      <c r="P40" s="308"/>
      <c r="Q40" s="308"/>
      <c r="R40" s="308"/>
      <c r="S40" s="308"/>
      <c r="T40" s="308"/>
      <c r="U40" s="308"/>
      <c r="V40" s="308"/>
      <c r="W40" s="308"/>
      <c r="X40" s="308"/>
    </row>
    <row r="41" spans="1:24">
      <c r="A41" s="293" t="s">
        <v>26</v>
      </c>
      <c r="B41" s="74"/>
      <c r="C41" s="74"/>
      <c r="D41" s="492"/>
      <c r="E41" s="308"/>
      <c r="F41" s="308"/>
      <c r="G41" s="308"/>
      <c r="H41" s="308"/>
      <c r="I41" s="308"/>
      <c r="J41" s="308"/>
      <c r="K41" s="308"/>
      <c r="L41" s="308"/>
      <c r="M41" s="308"/>
      <c r="N41" s="308"/>
      <c r="O41" s="308"/>
      <c r="P41" s="308"/>
      <c r="Q41" s="308"/>
      <c r="R41" s="308"/>
      <c r="S41" s="308"/>
      <c r="T41" s="308"/>
      <c r="U41" s="308"/>
      <c r="V41" s="308"/>
      <c r="W41" s="308"/>
      <c r="X41" s="308"/>
    </row>
    <row r="42" spans="1:24">
      <c r="A42" s="54" t="s">
        <v>264</v>
      </c>
      <c r="B42" s="277"/>
      <c r="C42" s="74"/>
      <c r="D42" s="486">
        <v>0</v>
      </c>
      <c r="E42" s="313">
        <f>'Parking Projections'!C55/2</f>
        <v>1381.6770833333335</v>
      </c>
      <c r="F42" s="313">
        <f>'Parking Projections'!D55</f>
        <v>2763.354166666667</v>
      </c>
      <c r="G42" s="313">
        <f>'Parking Projections'!E55</f>
        <v>2763.354166666667</v>
      </c>
      <c r="H42" s="313">
        <f>'Parking Projections'!F55</f>
        <v>2763.354166666667</v>
      </c>
      <c r="I42" s="313">
        <f>'Parking Projections'!G55</f>
        <v>2763.354166666667</v>
      </c>
      <c r="J42" s="313">
        <f>'Parking Projections'!H55</f>
        <v>2763.354166666667</v>
      </c>
      <c r="K42" s="313">
        <f>'Parking Projections'!I55</f>
        <v>2763.354166666667</v>
      </c>
      <c r="L42" s="313">
        <f>'Parking Projections'!J55</f>
        <v>2763.354166666667</v>
      </c>
      <c r="M42" s="313">
        <f>'Parking Projections'!K55</f>
        <v>2763.354166666667</v>
      </c>
      <c r="N42" s="313">
        <f>'Parking Projections'!L55</f>
        <v>2763.354166666667</v>
      </c>
      <c r="O42" s="313">
        <f>'Parking Projections'!M55</f>
        <v>2763.354166666667</v>
      </c>
      <c r="P42" s="313">
        <f>'Parking Projections'!N55</f>
        <v>2763.354166666667</v>
      </c>
      <c r="Q42" s="313">
        <f>'Parking Projections'!O55</f>
        <v>2763.354166666667</v>
      </c>
      <c r="R42" s="313">
        <f>'Parking Projections'!P55</f>
        <v>2763.354166666667</v>
      </c>
      <c r="S42" s="313">
        <f>'Parking Projections'!Q55</f>
        <v>2763.354166666667</v>
      </c>
      <c r="T42" s="313">
        <f>'Parking Projections'!R55</f>
        <v>2763.354166666667</v>
      </c>
      <c r="U42" s="313">
        <f>'Parking Projections'!S55</f>
        <v>2763.354166666667</v>
      </c>
      <c r="V42" s="313">
        <f>'Parking Projections'!T55</f>
        <v>2763.354166666667</v>
      </c>
      <c r="W42" s="313">
        <f>'Parking Projections'!U55</f>
        <v>2763.354166666667</v>
      </c>
      <c r="X42" s="313">
        <f>'Parking Projections'!V55</f>
        <v>2763.354166666667</v>
      </c>
    </row>
    <row r="43" spans="1:24">
      <c r="A43" s="54" t="s">
        <v>267</v>
      </c>
      <c r="B43" s="277"/>
      <c r="C43" s="74"/>
      <c r="D43" s="486">
        <v>0</v>
      </c>
      <c r="E43" s="313">
        <f>'Parking Projections'!C59/2</f>
        <v>14009.916666666664</v>
      </c>
      <c r="F43" s="313">
        <f>'Parking Projections'!D59</f>
        <v>28019.833333333328</v>
      </c>
      <c r="G43" s="313">
        <f>'Parking Projections'!E59</f>
        <v>28019.833333333328</v>
      </c>
      <c r="H43" s="313">
        <f>'Parking Projections'!F59</f>
        <v>28019.833333333328</v>
      </c>
      <c r="I43" s="313">
        <f>'Parking Projections'!G59</f>
        <v>28019.833333333328</v>
      </c>
      <c r="J43" s="313">
        <f>'Parking Projections'!H59</f>
        <v>28019.833333333328</v>
      </c>
      <c r="K43" s="313">
        <f>'Parking Projections'!I59</f>
        <v>28019.833333333328</v>
      </c>
      <c r="L43" s="313">
        <f>'Parking Projections'!J59</f>
        <v>28019.833333333328</v>
      </c>
      <c r="M43" s="313">
        <f>'Parking Projections'!K59</f>
        <v>28019.833333333328</v>
      </c>
      <c r="N43" s="313">
        <f>'Parking Projections'!L59</f>
        <v>28019.833333333328</v>
      </c>
      <c r="O43" s="313">
        <f>'Parking Projections'!M59</f>
        <v>28019.833333333328</v>
      </c>
      <c r="P43" s="313">
        <f>'Parking Projections'!N59</f>
        <v>28019.833333333328</v>
      </c>
      <c r="Q43" s="313">
        <f>'Parking Projections'!O59</f>
        <v>28019.833333333328</v>
      </c>
      <c r="R43" s="313">
        <f>'Parking Projections'!P59</f>
        <v>28019.833333333328</v>
      </c>
      <c r="S43" s="313">
        <f>'Parking Projections'!Q59</f>
        <v>28019.833333333328</v>
      </c>
      <c r="T43" s="313">
        <f>'Parking Projections'!R59</f>
        <v>28019.833333333328</v>
      </c>
      <c r="U43" s="313">
        <f>'Parking Projections'!S59</f>
        <v>28019.833333333328</v>
      </c>
      <c r="V43" s="313">
        <f>'Parking Projections'!T59</f>
        <v>28019.833333333328</v>
      </c>
      <c r="W43" s="313">
        <f>'Parking Projections'!U59</f>
        <v>28019.833333333328</v>
      </c>
      <c r="X43" s="313">
        <f>'Parking Projections'!V59</f>
        <v>28019.833333333328</v>
      </c>
    </row>
    <row r="44" spans="1:24" s="96" customFormat="1">
      <c r="A44" s="54" t="s">
        <v>274</v>
      </c>
      <c r="B44" s="435"/>
      <c r="C44" s="583"/>
      <c r="D44" s="486">
        <v>0</v>
      </c>
      <c r="E44" s="313">
        <f>SUM(E42:E43)</f>
        <v>15391.593749999998</v>
      </c>
      <c r="F44" s="313">
        <f t="shared" ref="F44:X44" si="6">SUM(F42:F43)</f>
        <v>30783.187499999996</v>
      </c>
      <c r="G44" s="313">
        <f t="shared" si="6"/>
        <v>30783.187499999996</v>
      </c>
      <c r="H44" s="313">
        <f t="shared" si="6"/>
        <v>30783.187499999996</v>
      </c>
      <c r="I44" s="313">
        <f t="shared" si="6"/>
        <v>30783.187499999996</v>
      </c>
      <c r="J44" s="313">
        <f t="shared" si="6"/>
        <v>30783.187499999996</v>
      </c>
      <c r="K44" s="313">
        <f t="shared" si="6"/>
        <v>30783.187499999996</v>
      </c>
      <c r="L44" s="313">
        <f t="shared" si="6"/>
        <v>30783.187499999996</v>
      </c>
      <c r="M44" s="313">
        <f t="shared" si="6"/>
        <v>30783.187499999996</v>
      </c>
      <c r="N44" s="313">
        <f t="shared" si="6"/>
        <v>30783.187499999996</v>
      </c>
      <c r="O44" s="313">
        <f t="shared" si="6"/>
        <v>30783.187499999996</v>
      </c>
      <c r="P44" s="313">
        <f t="shared" si="6"/>
        <v>30783.187499999996</v>
      </c>
      <c r="Q44" s="313">
        <f t="shared" si="6"/>
        <v>30783.187499999996</v>
      </c>
      <c r="R44" s="313">
        <f t="shared" si="6"/>
        <v>30783.187499999996</v>
      </c>
      <c r="S44" s="313">
        <f t="shared" si="6"/>
        <v>30783.187499999996</v>
      </c>
      <c r="T44" s="313">
        <f t="shared" si="6"/>
        <v>30783.187499999996</v>
      </c>
      <c r="U44" s="313">
        <f t="shared" si="6"/>
        <v>30783.187499999996</v>
      </c>
      <c r="V44" s="313">
        <f t="shared" si="6"/>
        <v>30783.187499999996</v>
      </c>
      <c r="W44" s="313">
        <f t="shared" si="6"/>
        <v>30783.187499999996</v>
      </c>
      <c r="X44" s="313">
        <f t="shared" si="6"/>
        <v>30783.187499999996</v>
      </c>
    </row>
    <row r="45" spans="1:24">
      <c r="A45" s="54"/>
      <c r="B45" s="277"/>
      <c r="C45" s="74"/>
      <c r="D45" s="499"/>
      <c r="E45" s="308"/>
      <c r="F45" s="308"/>
      <c r="G45" s="308"/>
      <c r="H45" s="308"/>
      <c r="I45" s="308"/>
      <c r="J45" s="308"/>
      <c r="K45" s="308"/>
      <c r="L45" s="308"/>
      <c r="M45" s="308"/>
      <c r="N45" s="308"/>
      <c r="O45" s="308"/>
      <c r="P45" s="308"/>
      <c r="Q45" s="308"/>
      <c r="R45" s="308"/>
      <c r="S45" s="308"/>
      <c r="T45" s="308"/>
      <c r="U45" s="308"/>
      <c r="V45" s="308"/>
      <c r="W45" s="308"/>
      <c r="X45" s="308"/>
    </row>
    <row r="46" spans="1:24" s="341" customFormat="1">
      <c r="A46" s="552" t="s">
        <v>224</v>
      </c>
      <c r="B46" s="556"/>
      <c r="C46" s="557"/>
      <c r="D46" s="554">
        <v>0</v>
      </c>
      <c r="E46" s="558">
        <v>3</v>
      </c>
      <c r="F46" s="558">
        <v>3</v>
      </c>
      <c r="G46" s="558">
        <v>3</v>
      </c>
      <c r="H46" s="558">
        <v>3</v>
      </c>
      <c r="I46" s="558">
        <v>3</v>
      </c>
      <c r="J46" s="558">
        <v>3</v>
      </c>
      <c r="K46" s="558">
        <v>3</v>
      </c>
      <c r="L46" s="558">
        <v>3</v>
      </c>
      <c r="M46" s="558">
        <v>3</v>
      </c>
      <c r="N46" s="558">
        <v>3</v>
      </c>
      <c r="O46" s="558">
        <v>3</v>
      </c>
      <c r="P46" s="558">
        <v>3</v>
      </c>
      <c r="Q46" s="558">
        <v>3</v>
      </c>
      <c r="R46" s="558">
        <v>3</v>
      </c>
      <c r="S46" s="558">
        <v>3</v>
      </c>
      <c r="T46" s="558">
        <v>3</v>
      </c>
      <c r="U46" s="558">
        <v>3</v>
      </c>
      <c r="V46" s="558">
        <v>3</v>
      </c>
      <c r="W46" s="558">
        <v>3</v>
      </c>
      <c r="X46" s="558">
        <v>3</v>
      </c>
    </row>
    <row r="47" spans="1:24" s="96" customFormat="1">
      <c r="A47" s="54" t="s">
        <v>225</v>
      </c>
      <c r="B47" s="435"/>
      <c r="C47" s="583"/>
      <c r="D47" s="486">
        <v>0</v>
      </c>
      <c r="E47" s="496">
        <v>1</v>
      </c>
      <c r="F47" s="496">
        <v>1</v>
      </c>
      <c r="G47" s="496">
        <v>1</v>
      </c>
      <c r="H47" s="496">
        <v>1</v>
      </c>
      <c r="I47" s="496">
        <v>1</v>
      </c>
      <c r="J47" s="496">
        <v>1</v>
      </c>
      <c r="K47" s="496">
        <v>1</v>
      </c>
      <c r="L47" s="496">
        <v>1</v>
      </c>
      <c r="M47" s="496">
        <v>1</v>
      </c>
      <c r="N47" s="496">
        <v>1</v>
      </c>
      <c r="O47" s="496">
        <v>1</v>
      </c>
      <c r="P47" s="496">
        <v>1</v>
      </c>
      <c r="Q47" s="496">
        <v>1</v>
      </c>
      <c r="R47" s="496">
        <v>1</v>
      </c>
      <c r="S47" s="496">
        <v>1</v>
      </c>
      <c r="T47" s="496">
        <v>1</v>
      </c>
      <c r="U47" s="496">
        <v>1</v>
      </c>
      <c r="V47" s="496">
        <v>1</v>
      </c>
      <c r="W47" s="496">
        <v>1</v>
      </c>
      <c r="X47" s="496">
        <v>1</v>
      </c>
    </row>
    <row r="48" spans="1:24">
      <c r="A48" s="54" t="s">
        <v>209</v>
      </c>
      <c r="B48" s="277"/>
      <c r="C48" s="74"/>
      <c r="D48" s="486">
        <v>0</v>
      </c>
      <c r="E48" s="496">
        <v>0.5</v>
      </c>
      <c r="F48" s="496">
        <v>0.5</v>
      </c>
      <c r="G48" s="496">
        <v>0.5</v>
      </c>
      <c r="H48" s="496">
        <v>0.5</v>
      </c>
      <c r="I48" s="496">
        <v>0.5</v>
      </c>
      <c r="J48" s="496">
        <v>0.5</v>
      </c>
      <c r="K48" s="496">
        <v>0.5</v>
      </c>
      <c r="L48" s="496">
        <v>0.5</v>
      </c>
      <c r="M48" s="496">
        <v>0.5</v>
      </c>
      <c r="N48" s="496">
        <v>0.5</v>
      </c>
      <c r="O48" s="496">
        <v>0.5</v>
      </c>
      <c r="P48" s="496">
        <v>0.5</v>
      </c>
      <c r="Q48" s="496">
        <v>0.5</v>
      </c>
      <c r="R48" s="496">
        <v>0.5</v>
      </c>
      <c r="S48" s="496">
        <v>0.5</v>
      </c>
      <c r="T48" s="496">
        <v>0.5</v>
      </c>
      <c r="U48" s="496">
        <v>0.5</v>
      </c>
      <c r="V48" s="496">
        <v>0.5</v>
      </c>
      <c r="W48" s="496">
        <v>0.5</v>
      </c>
      <c r="X48" s="496">
        <v>0.5</v>
      </c>
    </row>
    <row r="49" spans="1:25 16384:16384">
      <c r="A49" s="54" t="s">
        <v>289</v>
      </c>
      <c r="B49" s="277"/>
      <c r="C49" s="74"/>
      <c r="D49" s="486">
        <v>0</v>
      </c>
      <c r="E49" s="496">
        <f>SUM(E47:E48)/2</f>
        <v>0.75</v>
      </c>
      <c r="F49" s="496">
        <f t="shared" ref="F49:X49" si="7">SUM(F47:F48)/2</f>
        <v>0.75</v>
      </c>
      <c r="G49" s="496">
        <f t="shared" si="7"/>
        <v>0.75</v>
      </c>
      <c r="H49" s="496">
        <f t="shared" si="7"/>
        <v>0.75</v>
      </c>
      <c r="I49" s="496">
        <f t="shared" si="7"/>
        <v>0.75</v>
      </c>
      <c r="J49" s="496">
        <f t="shared" si="7"/>
        <v>0.75</v>
      </c>
      <c r="K49" s="496">
        <f t="shared" si="7"/>
        <v>0.75</v>
      </c>
      <c r="L49" s="496">
        <f t="shared" si="7"/>
        <v>0.75</v>
      </c>
      <c r="M49" s="496">
        <f t="shared" si="7"/>
        <v>0.75</v>
      </c>
      <c r="N49" s="496">
        <f t="shared" si="7"/>
        <v>0.75</v>
      </c>
      <c r="O49" s="496">
        <f t="shared" si="7"/>
        <v>0.75</v>
      </c>
      <c r="P49" s="496">
        <f t="shared" si="7"/>
        <v>0.75</v>
      </c>
      <c r="Q49" s="496">
        <f t="shared" si="7"/>
        <v>0.75</v>
      </c>
      <c r="R49" s="496">
        <f t="shared" si="7"/>
        <v>0.75</v>
      </c>
      <c r="S49" s="496">
        <f t="shared" si="7"/>
        <v>0.75</v>
      </c>
      <c r="T49" s="496">
        <f t="shared" si="7"/>
        <v>0.75</v>
      </c>
      <c r="U49" s="496">
        <f t="shared" si="7"/>
        <v>0.75</v>
      </c>
      <c r="V49" s="496">
        <f t="shared" si="7"/>
        <v>0.75</v>
      </c>
      <c r="W49" s="496">
        <f t="shared" si="7"/>
        <v>0.75</v>
      </c>
      <c r="X49" s="496">
        <f t="shared" si="7"/>
        <v>0.75</v>
      </c>
      <c r="XFD49" s="570">
        <f>SUM(D49:XFC49)</f>
        <v>15</v>
      </c>
    </row>
    <row r="50" spans="1:25 16384:16384">
      <c r="A50" s="54"/>
      <c r="B50" s="277"/>
      <c r="C50" s="74"/>
      <c r="D50" s="486"/>
      <c r="E50" s="496"/>
      <c r="F50" s="496"/>
      <c r="G50" s="496"/>
      <c r="H50" s="496"/>
      <c r="I50" s="496"/>
      <c r="J50" s="496"/>
      <c r="K50" s="496"/>
      <c r="L50" s="496"/>
      <c r="M50" s="496"/>
      <c r="N50" s="496"/>
      <c r="O50" s="496"/>
      <c r="P50" s="496"/>
      <c r="Q50" s="496"/>
      <c r="R50" s="496"/>
      <c r="S50" s="496"/>
      <c r="T50" s="496"/>
      <c r="U50" s="496"/>
      <c r="V50" s="496"/>
      <c r="W50" s="496"/>
      <c r="X50" s="496"/>
      <c r="XFD50" s="570"/>
    </row>
    <row r="51" spans="1:25 16384:16384">
      <c r="A51" s="54" t="s">
        <v>312</v>
      </c>
      <c r="B51" s="277"/>
      <c r="C51" s="74"/>
      <c r="D51" s="486">
        <v>0</v>
      </c>
      <c r="E51" s="313">
        <f>'Shuttle Projections'!C22*0.5</f>
        <v>3595</v>
      </c>
      <c r="F51" s="313">
        <f>'Shuttle Projections'!D22</f>
        <v>7190</v>
      </c>
      <c r="G51" s="313">
        <f>'Shuttle Projections'!E22</f>
        <v>7190</v>
      </c>
      <c r="H51" s="313">
        <f>'Shuttle Projections'!F22</f>
        <v>7190</v>
      </c>
      <c r="I51" s="313">
        <f>'Shuttle Projections'!G22</f>
        <v>7190</v>
      </c>
      <c r="J51" s="313">
        <f>'Shuttle Projections'!H22</f>
        <v>7190</v>
      </c>
      <c r="K51" s="313">
        <f>'Shuttle Projections'!I22</f>
        <v>7190</v>
      </c>
      <c r="L51" s="313">
        <f>'Shuttle Projections'!J22</f>
        <v>7190</v>
      </c>
      <c r="M51" s="313">
        <f>'Shuttle Projections'!K22</f>
        <v>7190</v>
      </c>
      <c r="N51" s="313">
        <f>'Shuttle Projections'!L22</f>
        <v>7190</v>
      </c>
      <c r="O51" s="313">
        <f>'Shuttle Projections'!M22</f>
        <v>7190</v>
      </c>
      <c r="P51" s="313">
        <f>'Shuttle Projections'!N22</f>
        <v>7190</v>
      </c>
      <c r="Q51" s="313">
        <f>'Shuttle Projections'!O22</f>
        <v>7190</v>
      </c>
      <c r="R51" s="313">
        <f>'Shuttle Projections'!P22</f>
        <v>7190</v>
      </c>
      <c r="S51" s="313">
        <f>'Shuttle Projections'!Q22</f>
        <v>7190</v>
      </c>
      <c r="T51" s="313">
        <f>'Shuttle Projections'!R22</f>
        <v>7190</v>
      </c>
      <c r="U51" s="313">
        <f>'Shuttle Projections'!S22</f>
        <v>7190</v>
      </c>
      <c r="V51" s="313">
        <f>'Shuttle Projections'!T22</f>
        <v>7190</v>
      </c>
      <c r="W51" s="313">
        <f>'Shuttle Projections'!U22</f>
        <v>7190</v>
      </c>
      <c r="X51" s="313">
        <f>'Shuttle Projections'!V22</f>
        <v>7190</v>
      </c>
      <c r="XFD51" s="570"/>
    </row>
    <row r="52" spans="1:25 16384:16384">
      <c r="A52" s="54"/>
      <c r="B52" s="277"/>
      <c r="C52" s="74"/>
      <c r="D52" s="486"/>
      <c r="E52" s="308"/>
      <c r="F52" s="308"/>
      <c r="G52" s="308"/>
      <c r="H52" s="308"/>
      <c r="I52" s="308"/>
      <c r="J52" s="308"/>
      <c r="K52" s="308"/>
      <c r="L52" s="308"/>
      <c r="M52" s="308"/>
      <c r="N52" s="308"/>
      <c r="O52" s="308"/>
      <c r="P52" s="308"/>
      <c r="Q52" s="308"/>
      <c r="R52" s="308"/>
      <c r="S52" s="308"/>
      <c r="T52" s="308"/>
      <c r="U52" s="308"/>
      <c r="V52" s="308"/>
      <c r="W52" s="308"/>
      <c r="X52" s="308"/>
    </row>
    <row r="53" spans="1:25 16384:16384" s="612" customFormat="1">
      <c r="A53" s="613" t="s">
        <v>292</v>
      </c>
      <c r="B53" s="614"/>
      <c r="C53" s="615"/>
      <c r="D53" s="616">
        <v>0</v>
      </c>
      <c r="E53" s="617">
        <v>0</v>
      </c>
      <c r="F53" s="617">
        <v>0</v>
      </c>
      <c r="G53" s="617">
        <v>100000</v>
      </c>
      <c r="H53" s="617">
        <v>100000</v>
      </c>
      <c r="I53" s="617">
        <v>100000</v>
      </c>
      <c r="J53" s="617">
        <v>100000</v>
      </c>
      <c r="K53" s="617">
        <v>100000</v>
      </c>
      <c r="L53" s="617">
        <v>100000</v>
      </c>
      <c r="M53" s="617">
        <v>100000</v>
      </c>
      <c r="N53" s="617">
        <v>100000</v>
      </c>
      <c r="O53" s="617">
        <v>100000</v>
      </c>
      <c r="P53" s="617">
        <v>100000</v>
      </c>
      <c r="Q53" s="617">
        <v>100000</v>
      </c>
      <c r="R53" s="617">
        <v>100000</v>
      </c>
      <c r="S53" s="617">
        <v>100000</v>
      </c>
      <c r="T53" s="617">
        <v>100000</v>
      </c>
      <c r="U53" s="617">
        <v>100000</v>
      </c>
      <c r="V53" s="617">
        <v>100000</v>
      </c>
      <c r="W53" s="617">
        <v>100000</v>
      </c>
      <c r="X53" s="618">
        <v>100000</v>
      </c>
    </row>
    <row r="54" spans="1:25 16384:16384">
      <c r="A54" s="54"/>
      <c r="B54" s="277"/>
      <c r="C54" s="74"/>
      <c r="D54" s="486"/>
      <c r="E54" s="308"/>
      <c r="F54" s="308"/>
      <c r="G54" s="308"/>
      <c r="H54" s="308"/>
      <c r="I54" s="308"/>
      <c r="J54" s="308"/>
      <c r="K54" s="308"/>
      <c r="L54" s="308"/>
      <c r="M54" s="308"/>
      <c r="N54" s="308"/>
      <c r="O54" s="308"/>
      <c r="P54" s="308"/>
      <c r="Q54" s="308"/>
      <c r="R54" s="308"/>
      <c r="S54" s="308"/>
      <c r="T54" s="308"/>
      <c r="U54" s="308"/>
      <c r="V54" s="308"/>
      <c r="W54" s="308"/>
      <c r="X54" s="308"/>
    </row>
    <row r="55" spans="1:25 16384:16384" s="582" customFormat="1">
      <c r="A55" s="293" t="str">
        <f>'BH Tariffs'!A33</f>
        <v>Recreational/Commercial Marina</v>
      </c>
      <c r="B55" s="584"/>
      <c r="C55" s="585"/>
      <c r="D55" s="486"/>
      <c r="E55" s="586"/>
      <c r="F55" s="586"/>
      <c r="G55" s="586"/>
      <c r="H55" s="586"/>
      <c r="I55" s="586"/>
      <c r="J55" s="586"/>
      <c r="K55" s="586"/>
      <c r="L55" s="586"/>
      <c r="M55" s="586"/>
      <c r="N55" s="586"/>
      <c r="O55" s="586"/>
      <c r="P55" s="586"/>
      <c r="Q55" s="586"/>
      <c r="R55" s="586"/>
      <c r="S55" s="586"/>
      <c r="T55" s="586"/>
      <c r="U55" s="586"/>
      <c r="V55" s="586"/>
      <c r="W55" s="586"/>
      <c r="X55" s="586"/>
    </row>
    <row r="56" spans="1:25 16384:16384" s="96" customFormat="1">
      <c r="A56" s="54" t="s">
        <v>291</v>
      </c>
      <c r="B56" s="435"/>
      <c r="C56" s="583"/>
      <c r="D56" s="486">
        <v>0</v>
      </c>
      <c r="E56" s="313">
        <v>0</v>
      </c>
      <c r="F56" s="313">
        <f>'Marina Projections'!D67</f>
        <v>12</v>
      </c>
      <c r="G56" s="313">
        <f>'Marina Projections'!E67</f>
        <v>12</v>
      </c>
      <c r="H56" s="313">
        <f>'Marina Projections'!F67</f>
        <v>12</v>
      </c>
      <c r="I56" s="313">
        <f>'Marina Projections'!G67</f>
        <v>12</v>
      </c>
      <c r="J56" s="313">
        <f>'Marina Projections'!H67</f>
        <v>12</v>
      </c>
      <c r="K56" s="313">
        <f>'Marina Projections'!I67</f>
        <v>12</v>
      </c>
      <c r="L56" s="313">
        <f>'Marina Projections'!J67</f>
        <v>12</v>
      </c>
      <c r="M56" s="313">
        <f>'Marina Projections'!K67</f>
        <v>12</v>
      </c>
      <c r="N56" s="313">
        <f>'Marina Projections'!L67</f>
        <v>12</v>
      </c>
      <c r="O56" s="313">
        <f>'Marina Projections'!M67</f>
        <v>12</v>
      </c>
      <c r="P56" s="313">
        <f>'Marina Projections'!N67</f>
        <v>12</v>
      </c>
      <c r="Q56" s="313">
        <f>'Marina Projections'!O67</f>
        <v>12</v>
      </c>
      <c r="R56" s="313">
        <f>'Marina Projections'!P67</f>
        <v>12</v>
      </c>
      <c r="S56" s="313">
        <f>'Marina Projections'!Q67</f>
        <v>12</v>
      </c>
      <c r="T56" s="313">
        <f>'Marina Projections'!R67</f>
        <v>12</v>
      </c>
      <c r="U56" s="313">
        <f>'Marina Projections'!S67</f>
        <v>12</v>
      </c>
      <c r="V56" s="313">
        <f>'Marina Projections'!T67</f>
        <v>12</v>
      </c>
      <c r="W56" s="313">
        <f>'Marina Projections'!U67</f>
        <v>12</v>
      </c>
      <c r="X56" s="313">
        <f>'Marina Projections'!V67</f>
        <v>12</v>
      </c>
    </row>
    <row r="57" spans="1:25 16384:16384" s="96" customFormat="1">
      <c r="A57" s="54" t="s">
        <v>293</v>
      </c>
      <c r="B57" s="435"/>
      <c r="C57" s="583"/>
      <c r="D57" s="486">
        <v>0</v>
      </c>
      <c r="E57" s="313">
        <v>0</v>
      </c>
      <c r="F57" s="313">
        <f>'Marina Projections'!D74</f>
        <v>9557.1731249999993</v>
      </c>
      <c r="G57" s="313">
        <f>'Marina Projections'!E74</f>
        <v>9557.1731249999993</v>
      </c>
      <c r="H57" s="313">
        <f>'Marina Projections'!F74</f>
        <v>9557.1731249999993</v>
      </c>
      <c r="I57" s="313">
        <f>'Marina Projections'!G74</f>
        <v>9557.1731249999993</v>
      </c>
      <c r="J57" s="313">
        <f>'Marina Projections'!H74</f>
        <v>9557.1731249999993</v>
      </c>
      <c r="K57" s="313">
        <f>'Marina Projections'!I74</f>
        <v>9557.1731249999993</v>
      </c>
      <c r="L57" s="313">
        <f>'Marina Projections'!J74</f>
        <v>9557.1731249999993</v>
      </c>
      <c r="M57" s="313">
        <f>'Marina Projections'!K74</f>
        <v>9557.1731249999993</v>
      </c>
      <c r="N57" s="313">
        <f>'Marina Projections'!L74</f>
        <v>9557.1731249999993</v>
      </c>
      <c r="O57" s="313">
        <f>'Marina Projections'!M74</f>
        <v>9557.1731249999993</v>
      </c>
      <c r="P57" s="313">
        <f>'Marina Projections'!N74</f>
        <v>9557.1731249999993</v>
      </c>
      <c r="Q57" s="313">
        <f>'Marina Projections'!O74</f>
        <v>9557.1731249999993</v>
      </c>
      <c r="R57" s="313">
        <f>'Marina Projections'!P74</f>
        <v>9557.1731249999993</v>
      </c>
      <c r="S57" s="313">
        <f>'Marina Projections'!Q74</f>
        <v>9557.1731249999993</v>
      </c>
      <c r="T57" s="313">
        <f>'Marina Projections'!R74</f>
        <v>9557.1731249999993</v>
      </c>
      <c r="U57" s="313">
        <f>'Marina Projections'!S74</f>
        <v>9557.1731249999993</v>
      </c>
      <c r="V57" s="313">
        <f>'Marina Projections'!T74</f>
        <v>9557.1731249999993</v>
      </c>
      <c r="W57" s="313">
        <f>'Marina Projections'!U74</f>
        <v>9557.1731249999993</v>
      </c>
      <c r="X57" s="313">
        <f>'Marina Projections'!V74</f>
        <v>9557.1731249999993</v>
      </c>
    </row>
    <row r="58" spans="1:25 16384:16384" s="96" customFormat="1">
      <c r="A58" s="54" t="s">
        <v>294</v>
      </c>
      <c r="B58" s="435"/>
      <c r="C58" s="583"/>
      <c r="D58" s="486">
        <v>0</v>
      </c>
      <c r="E58" s="313">
        <v>0</v>
      </c>
      <c r="F58" s="313">
        <f>'Marina Projections'!D70</f>
        <v>359.1</v>
      </c>
      <c r="G58" s="313">
        <f>'Marina Projections'!E70</f>
        <v>359.1</v>
      </c>
      <c r="H58" s="313">
        <f>'Marina Projections'!F70</f>
        <v>359.1</v>
      </c>
      <c r="I58" s="313">
        <f>'Marina Projections'!G70</f>
        <v>359.1</v>
      </c>
      <c r="J58" s="313">
        <f>'Marina Projections'!H70</f>
        <v>359.1</v>
      </c>
      <c r="K58" s="313">
        <f>'Marina Projections'!I70</f>
        <v>359.1</v>
      </c>
      <c r="L58" s="313">
        <f>'Marina Projections'!J70</f>
        <v>359.1</v>
      </c>
      <c r="M58" s="313">
        <f>'Marina Projections'!K70</f>
        <v>359.1</v>
      </c>
      <c r="N58" s="313">
        <f>'Marina Projections'!L70</f>
        <v>359.1</v>
      </c>
      <c r="O58" s="313">
        <f>'Marina Projections'!M70</f>
        <v>359.1</v>
      </c>
      <c r="P58" s="313">
        <f>'Marina Projections'!N70</f>
        <v>359.1</v>
      </c>
      <c r="Q58" s="313">
        <f>'Marina Projections'!O70</f>
        <v>359.1</v>
      </c>
      <c r="R58" s="313">
        <f>'Marina Projections'!P70</f>
        <v>359.1</v>
      </c>
      <c r="S58" s="313">
        <f>'Marina Projections'!Q70</f>
        <v>359.1</v>
      </c>
      <c r="T58" s="313">
        <f>'Marina Projections'!R70</f>
        <v>359.1</v>
      </c>
      <c r="U58" s="313">
        <f>'Marina Projections'!S70</f>
        <v>359.1</v>
      </c>
      <c r="V58" s="313">
        <f>'Marina Projections'!T70</f>
        <v>359.1</v>
      </c>
      <c r="W58" s="313">
        <f>'Marina Projections'!U70</f>
        <v>359.1</v>
      </c>
      <c r="X58" s="313">
        <f>'Marina Projections'!V70</f>
        <v>359.1</v>
      </c>
    </row>
    <row r="59" spans="1:25 16384:16384" s="167" customFormat="1">
      <c r="A59" s="497" t="s">
        <v>170</v>
      </c>
      <c r="B59" s="450"/>
      <c r="C59" s="498"/>
      <c r="D59" s="486">
        <v>0</v>
      </c>
      <c r="E59" s="587">
        <v>0</v>
      </c>
      <c r="F59" s="587">
        <v>0</v>
      </c>
      <c r="G59" s="587">
        <v>0</v>
      </c>
      <c r="H59" s="587">
        <v>0</v>
      </c>
      <c r="I59" s="587">
        <v>0</v>
      </c>
      <c r="J59" s="587">
        <v>0</v>
      </c>
      <c r="K59" s="587">
        <v>0</v>
      </c>
      <c r="L59" s="587">
        <v>0</v>
      </c>
      <c r="M59" s="587">
        <v>0</v>
      </c>
      <c r="N59" s="587">
        <v>0</v>
      </c>
      <c r="O59" s="587">
        <v>0</v>
      </c>
      <c r="P59" s="587">
        <v>0</v>
      </c>
      <c r="Q59" s="587">
        <v>0</v>
      </c>
      <c r="R59" s="587">
        <v>0</v>
      </c>
      <c r="S59" s="587">
        <v>0</v>
      </c>
      <c r="T59" s="587">
        <v>0</v>
      </c>
      <c r="U59" s="587">
        <v>0</v>
      </c>
      <c r="V59" s="587">
        <v>0</v>
      </c>
      <c r="W59" s="587">
        <v>0</v>
      </c>
      <c r="X59" s="587">
        <v>0</v>
      </c>
      <c r="Y59" s="167" t="s">
        <v>282</v>
      </c>
    </row>
    <row r="60" spans="1:25 16384:16384" s="167" customFormat="1">
      <c r="A60" s="497" t="s">
        <v>16</v>
      </c>
      <c r="B60" s="450"/>
      <c r="C60" s="498"/>
      <c r="D60" s="499">
        <v>0</v>
      </c>
      <c r="E60" s="587">
        <v>0</v>
      </c>
      <c r="F60" s="587">
        <v>0</v>
      </c>
      <c r="G60" s="587">
        <v>0</v>
      </c>
      <c r="H60" s="587">
        <v>0</v>
      </c>
      <c r="I60" s="587">
        <v>0</v>
      </c>
      <c r="J60" s="587">
        <v>0</v>
      </c>
      <c r="K60" s="587">
        <v>0</v>
      </c>
      <c r="L60" s="587">
        <v>0</v>
      </c>
      <c r="M60" s="587">
        <v>0</v>
      </c>
      <c r="N60" s="587">
        <v>0</v>
      </c>
      <c r="O60" s="587">
        <v>0</v>
      </c>
      <c r="P60" s="587">
        <v>0</v>
      </c>
      <c r="Q60" s="587">
        <v>0</v>
      </c>
      <c r="R60" s="587">
        <v>0</v>
      </c>
      <c r="S60" s="587">
        <v>0</v>
      </c>
      <c r="T60" s="587">
        <v>0</v>
      </c>
      <c r="U60" s="587">
        <v>0</v>
      </c>
      <c r="V60" s="587">
        <v>0</v>
      </c>
      <c r="W60" s="587">
        <v>0</v>
      </c>
      <c r="X60" s="587">
        <v>0</v>
      </c>
      <c r="Y60" s="167" t="s">
        <v>282</v>
      </c>
    </row>
    <row r="61" spans="1:25 16384:16384">
      <c r="A61" s="54"/>
      <c r="B61" s="277"/>
      <c r="C61" s="74"/>
      <c r="D61" s="492"/>
      <c r="E61" s="308"/>
      <c r="F61" s="308"/>
      <c r="G61" s="308"/>
      <c r="H61" s="308"/>
      <c r="I61" s="308"/>
      <c r="J61" s="308"/>
      <c r="K61" s="308"/>
      <c r="L61" s="308"/>
      <c r="M61" s="308"/>
      <c r="N61" s="308"/>
      <c r="O61" s="308"/>
      <c r="P61" s="308"/>
      <c r="Q61" s="308"/>
      <c r="R61" s="308"/>
      <c r="S61" s="308"/>
      <c r="T61" s="308"/>
      <c r="U61" s="308"/>
      <c r="V61" s="308"/>
      <c r="W61" s="308"/>
      <c r="X61" s="308"/>
    </row>
    <row r="62" spans="1:25 16384:16384">
      <c r="A62" s="293" t="s">
        <v>2</v>
      </c>
      <c r="B62" s="277"/>
      <c r="C62" s="74"/>
      <c r="D62" s="492"/>
      <c r="E62" s="308"/>
      <c r="F62" s="308"/>
      <c r="G62" s="308"/>
      <c r="H62" s="308"/>
      <c r="I62" s="308"/>
      <c r="J62" s="308"/>
      <c r="K62" s="308"/>
      <c r="L62" s="308"/>
      <c r="M62" s="308"/>
      <c r="N62" s="308"/>
      <c r="O62" s="308"/>
      <c r="P62" s="308"/>
      <c r="Q62" s="308"/>
      <c r="R62" s="308"/>
      <c r="S62" s="308"/>
      <c r="T62" s="308"/>
      <c r="U62" s="308"/>
      <c r="V62" s="308"/>
      <c r="W62" s="308"/>
      <c r="X62" s="308"/>
    </row>
    <row r="63" spans="1:25 16384:16384" s="96" customFormat="1">
      <c r="A63" s="54" t="s">
        <v>290</v>
      </c>
      <c r="B63" s="435">
        <v>500</v>
      </c>
      <c r="C63" s="487"/>
      <c r="D63" s="486">
        <v>0</v>
      </c>
      <c r="E63" s="313">
        <v>0</v>
      </c>
      <c r="F63" s="313">
        <v>0</v>
      </c>
      <c r="G63" s="313">
        <f t="shared" ref="G63:X63" si="8">$B$63</f>
        <v>500</v>
      </c>
      <c r="H63" s="313">
        <f t="shared" si="8"/>
        <v>500</v>
      </c>
      <c r="I63" s="313">
        <f t="shared" si="8"/>
        <v>500</v>
      </c>
      <c r="J63" s="313">
        <f t="shared" si="8"/>
        <v>500</v>
      </c>
      <c r="K63" s="313">
        <f t="shared" si="8"/>
        <v>500</v>
      </c>
      <c r="L63" s="313">
        <f t="shared" si="8"/>
        <v>500</v>
      </c>
      <c r="M63" s="313">
        <f t="shared" si="8"/>
        <v>500</v>
      </c>
      <c r="N63" s="313">
        <f t="shared" si="8"/>
        <v>500</v>
      </c>
      <c r="O63" s="313">
        <f t="shared" si="8"/>
        <v>500</v>
      </c>
      <c r="P63" s="313">
        <f t="shared" si="8"/>
        <v>500</v>
      </c>
      <c r="Q63" s="313">
        <f t="shared" si="8"/>
        <v>500</v>
      </c>
      <c r="R63" s="313">
        <f t="shared" si="8"/>
        <v>500</v>
      </c>
      <c r="S63" s="313">
        <f t="shared" si="8"/>
        <v>500</v>
      </c>
      <c r="T63" s="313">
        <f t="shared" si="8"/>
        <v>500</v>
      </c>
      <c r="U63" s="313">
        <f t="shared" si="8"/>
        <v>500</v>
      </c>
      <c r="V63" s="313">
        <f t="shared" si="8"/>
        <v>500</v>
      </c>
      <c r="W63" s="313">
        <f t="shared" si="8"/>
        <v>500</v>
      </c>
      <c r="X63" s="313">
        <f t="shared" si="8"/>
        <v>500</v>
      </c>
    </row>
    <row r="64" spans="1:25 16384:16384" s="96" customFormat="1">
      <c r="A64" s="54" t="s">
        <v>540</v>
      </c>
      <c r="B64" s="435"/>
      <c r="C64" s="487"/>
      <c r="D64" s="1055">
        <v>0</v>
      </c>
      <c r="E64" s="1056">
        <v>0</v>
      </c>
      <c r="F64" s="1056">
        <v>0</v>
      </c>
      <c r="G64" s="1056">
        <v>200000</v>
      </c>
      <c r="H64" s="1056">
        <f>G64</f>
        <v>200000</v>
      </c>
      <c r="I64" s="1056">
        <f t="shared" ref="I64:X64" si="9">H64</f>
        <v>200000</v>
      </c>
      <c r="J64" s="1056">
        <f t="shared" si="9"/>
        <v>200000</v>
      </c>
      <c r="K64" s="1056">
        <f t="shared" si="9"/>
        <v>200000</v>
      </c>
      <c r="L64" s="1056">
        <f t="shared" si="9"/>
        <v>200000</v>
      </c>
      <c r="M64" s="1056">
        <f t="shared" si="9"/>
        <v>200000</v>
      </c>
      <c r="N64" s="1056">
        <f t="shared" si="9"/>
        <v>200000</v>
      </c>
      <c r="O64" s="1056">
        <f t="shared" si="9"/>
        <v>200000</v>
      </c>
      <c r="P64" s="1056">
        <f t="shared" si="9"/>
        <v>200000</v>
      </c>
      <c r="Q64" s="1056">
        <f t="shared" si="9"/>
        <v>200000</v>
      </c>
      <c r="R64" s="1056">
        <f t="shared" si="9"/>
        <v>200000</v>
      </c>
      <c r="S64" s="1056">
        <f t="shared" si="9"/>
        <v>200000</v>
      </c>
      <c r="T64" s="1056">
        <f t="shared" si="9"/>
        <v>200000</v>
      </c>
      <c r="U64" s="1056">
        <f t="shared" si="9"/>
        <v>200000</v>
      </c>
      <c r="V64" s="1056">
        <f t="shared" si="9"/>
        <v>200000</v>
      </c>
      <c r="W64" s="1056">
        <f t="shared" si="9"/>
        <v>200000</v>
      </c>
      <c r="X64" s="1056">
        <f t="shared" si="9"/>
        <v>200000</v>
      </c>
    </row>
    <row r="65" spans="1:25" s="96" customFormat="1">
      <c r="A65" s="54" t="s">
        <v>210</v>
      </c>
      <c r="B65" s="487"/>
      <c r="C65" s="487"/>
      <c r="D65" s="486">
        <v>0</v>
      </c>
      <c r="E65" s="313">
        <v>0</v>
      </c>
      <c r="F65" s="313">
        <v>1</v>
      </c>
      <c r="G65" s="313">
        <v>2</v>
      </c>
      <c r="H65" s="313">
        <v>2</v>
      </c>
      <c r="I65" s="313">
        <v>2</v>
      </c>
      <c r="J65" s="313">
        <v>3</v>
      </c>
      <c r="K65" s="313">
        <v>3</v>
      </c>
      <c r="L65" s="313">
        <v>3</v>
      </c>
      <c r="M65" s="313">
        <v>3</v>
      </c>
      <c r="N65" s="313">
        <v>3</v>
      </c>
      <c r="O65" s="313">
        <v>4</v>
      </c>
      <c r="P65" s="313">
        <v>4</v>
      </c>
      <c r="Q65" s="313">
        <v>4</v>
      </c>
      <c r="R65" s="313">
        <v>4</v>
      </c>
      <c r="S65" s="313">
        <v>4</v>
      </c>
      <c r="T65" s="313">
        <v>5</v>
      </c>
      <c r="U65" s="313">
        <v>5</v>
      </c>
      <c r="V65" s="313">
        <v>5</v>
      </c>
      <c r="W65" s="313">
        <v>5</v>
      </c>
      <c r="X65" s="313">
        <v>5</v>
      </c>
      <c r="Y65" s="313"/>
    </row>
    <row r="66" spans="1:25" s="96" customFormat="1">
      <c r="A66" s="96" t="s">
        <v>211</v>
      </c>
      <c r="D66" s="486">
        <v>0</v>
      </c>
      <c r="E66" s="435">
        <v>0</v>
      </c>
      <c r="F66" s="435">
        <v>3</v>
      </c>
      <c r="G66" s="435">
        <v>3</v>
      </c>
      <c r="H66" s="435">
        <v>3</v>
      </c>
      <c r="I66" s="435">
        <v>3</v>
      </c>
      <c r="J66" s="435">
        <v>3</v>
      </c>
      <c r="K66" s="435">
        <v>3</v>
      </c>
      <c r="L66" s="435">
        <v>3</v>
      </c>
      <c r="M66" s="435">
        <v>3</v>
      </c>
      <c r="N66" s="435">
        <v>3</v>
      </c>
      <c r="O66" s="435">
        <v>3</v>
      </c>
      <c r="P66" s="435">
        <v>3</v>
      </c>
      <c r="Q66" s="435">
        <v>3</v>
      </c>
      <c r="R66" s="435">
        <v>3</v>
      </c>
      <c r="S66" s="435">
        <v>3</v>
      </c>
      <c r="T66" s="435">
        <v>3</v>
      </c>
      <c r="U66" s="435">
        <v>3</v>
      </c>
      <c r="V66" s="435">
        <v>3</v>
      </c>
      <c r="W66" s="435">
        <v>3</v>
      </c>
      <c r="X66" s="435">
        <v>3</v>
      </c>
    </row>
    <row r="67" spans="1:25" s="167" customFormat="1">
      <c r="A67" s="497"/>
      <c r="B67" s="501"/>
      <c r="C67" s="501"/>
      <c r="D67" s="499"/>
      <c r="E67" s="500"/>
      <c r="F67" s="500"/>
      <c r="G67" s="500"/>
      <c r="H67" s="500"/>
      <c r="I67" s="500"/>
      <c r="J67" s="500"/>
      <c r="K67" s="500"/>
      <c r="L67" s="500"/>
      <c r="M67" s="500"/>
      <c r="N67" s="500"/>
      <c r="O67" s="500"/>
      <c r="P67" s="500"/>
      <c r="Q67" s="500"/>
      <c r="R67" s="500"/>
      <c r="S67" s="500"/>
      <c r="T67" s="500"/>
      <c r="U67" s="500"/>
      <c r="V67" s="500"/>
      <c r="W67" s="500"/>
      <c r="X67" s="500"/>
      <c r="Y67" s="500"/>
    </row>
    <row r="68" spans="1:25">
      <c r="A68" s="28"/>
      <c r="D68" s="486"/>
      <c r="E68" s="331"/>
      <c r="F68" s="333"/>
      <c r="G68" s="331"/>
      <c r="H68" s="331"/>
      <c r="I68" s="331"/>
      <c r="J68" s="331"/>
      <c r="K68" s="331"/>
      <c r="L68" s="331"/>
      <c r="M68" s="331"/>
      <c r="N68" s="331"/>
      <c r="O68" s="331"/>
      <c r="P68" s="331"/>
      <c r="Q68" s="331"/>
      <c r="R68" s="331"/>
      <c r="S68" s="331"/>
      <c r="T68" s="331"/>
      <c r="U68" s="331"/>
      <c r="V68" s="331"/>
      <c r="W68" s="331"/>
      <c r="X68" s="331"/>
    </row>
    <row r="69" spans="1:25">
      <c r="A69" s="266" t="s">
        <v>135</v>
      </c>
      <c r="B69" s="223"/>
      <c r="C69" s="267"/>
      <c r="D69" s="332"/>
      <c r="E69" s="332"/>
      <c r="F69" s="349"/>
      <c r="G69" s="332"/>
      <c r="H69" s="332"/>
      <c r="I69" s="332"/>
      <c r="J69" s="332"/>
      <c r="K69" s="332"/>
      <c r="L69" s="332"/>
      <c r="M69" s="332"/>
      <c r="N69" s="332"/>
      <c r="O69" s="332"/>
      <c r="P69" s="332"/>
      <c r="Q69" s="332"/>
      <c r="R69" s="332"/>
      <c r="S69" s="332"/>
      <c r="T69" s="332"/>
      <c r="U69" s="332"/>
      <c r="V69" s="332"/>
      <c r="W69" s="332"/>
      <c r="X69" s="332"/>
    </row>
    <row r="70" spans="1:25" s="341" customFormat="1">
      <c r="A70" s="353"/>
      <c r="B70" s="355"/>
      <c r="C70" s="355"/>
      <c r="D70" s="502"/>
      <c r="E70" s="503"/>
      <c r="F70" s="503"/>
      <c r="G70" s="503"/>
      <c r="H70" s="503"/>
      <c r="I70" s="503"/>
      <c r="J70" s="503"/>
      <c r="K70" s="503"/>
      <c r="L70" s="503"/>
      <c r="M70" s="503"/>
      <c r="N70" s="503"/>
      <c r="O70" s="503"/>
      <c r="P70" s="503"/>
      <c r="Q70" s="503"/>
      <c r="R70" s="503"/>
      <c r="S70" s="503"/>
      <c r="T70" s="503"/>
      <c r="U70" s="503"/>
      <c r="V70" s="503"/>
      <c r="W70" s="503"/>
      <c r="X70" s="503"/>
    </row>
    <row r="71" spans="1:25" s="341" customFormat="1">
      <c r="A71" s="691" t="s">
        <v>144</v>
      </c>
      <c r="B71" s="355"/>
      <c r="C71" s="355"/>
      <c r="D71" s="548"/>
      <c r="E71" s="503"/>
      <c r="F71" s="503"/>
      <c r="G71" s="503"/>
      <c r="H71" s="503"/>
      <c r="I71" s="503"/>
      <c r="J71" s="503"/>
      <c r="K71" s="503"/>
      <c r="L71" s="503"/>
      <c r="M71" s="503"/>
      <c r="N71" s="503"/>
      <c r="O71" s="503"/>
      <c r="P71" s="503"/>
      <c r="Q71" s="503"/>
      <c r="R71" s="503"/>
      <c r="S71" s="503"/>
      <c r="T71" s="503"/>
      <c r="U71" s="503"/>
      <c r="V71" s="503"/>
      <c r="W71" s="503"/>
      <c r="X71" s="503"/>
    </row>
    <row r="72" spans="1:25" s="561" customFormat="1">
      <c r="A72" s="353" t="str">
        <f>'BH Tariffs'!A11</f>
        <v>Port Fee</v>
      </c>
      <c r="B72" s="355"/>
      <c r="C72" s="355"/>
      <c r="D72" s="548">
        <v>0</v>
      </c>
      <c r="E72" s="503">
        <f>'BH Tariffs'!D11*'P&amp;L - Concept B2 - RCCL'!E12</f>
        <v>0</v>
      </c>
      <c r="F72" s="503">
        <v>0</v>
      </c>
      <c r="G72" s="503">
        <v>0</v>
      </c>
      <c r="H72" s="503">
        <v>0</v>
      </c>
      <c r="I72" s="503">
        <v>0</v>
      </c>
      <c r="J72" s="503">
        <v>0</v>
      </c>
      <c r="K72" s="503">
        <v>0</v>
      </c>
      <c r="L72" s="503">
        <v>0</v>
      </c>
      <c r="M72" s="503">
        <v>0</v>
      </c>
      <c r="N72" s="503">
        <v>0</v>
      </c>
      <c r="O72" s="503">
        <v>0</v>
      </c>
      <c r="P72" s="503">
        <v>0</v>
      </c>
      <c r="Q72" s="503">
        <v>0</v>
      </c>
      <c r="R72" s="503">
        <v>0</v>
      </c>
      <c r="S72" s="503">
        <v>0</v>
      </c>
      <c r="T72" s="503">
        <v>0</v>
      </c>
      <c r="U72" s="503">
        <v>0</v>
      </c>
      <c r="V72" s="503">
        <v>0</v>
      </c>
      <c r="W72" s="503">
        <v>0</v>
      </c>
      <c r="X72" s="503">
        <v>0</v>
      </c>
    </row>
    <row r="73" spans="1:25">
      <c r="A73" s="88"/>
      <c r="B73" s="89"/>
      <c r="C73" s="89"/>
      <c r="D73" s="502"/>
      <c r="E73" s="504"/>
      <c r="F73" s="504"/>
      <c r="G73" s="504"/>
      <c r="H73" s="504"/>
      <c r="I73" s="504"/>
      <c r="J73" s="504"/>
      <c r="K73" s="504"/>
      <c r="L73" s="504"/>
      <c r="M73" s="504"/>
      <c r="N73" s="504"/>
      <c r="O73" s="504"/>
      <c r="P73" s="504"/>
      <c r="Q73" s="504"/>
      <c r="R73" s="504"/>
      <c r="S73" s="504"/>
      <c r="T73" s="504"/>
      <c r="U73" s="504"/>
      <c r="V73" s="504"/>
      <c r="W73" s="504"/>
      <c r="X73" s="504"/>
    </row>
    <row r="74" spans="1:25" s="16" customFormat="1" ht="14.25">
      <c r="A74" s="280" t="s">
        <v>124</v>
      </c>
      <c r="B74" s="533"/>
      <c r="C74" s="533"/>
      <c r="D74" s="534"/>
      <c r="E74" s="535"/>
      <c r="F74" s="535"/>
      <c r="G74" s="535"/>
      <c r="H74" s="535"/>
      <c r="I74" s="535"/>
      <c r="J74" s="535"/>
      <c r="K74" s="535"/>
      <c r="L74" s="535"/>
      <c r="M74" s="535"/>
      <c r="N74" s="535"/>
      <c r="O74" s="535"/>
      <c r="P74" s="535"/>
      <c r="Q74" s="535"/>
      <c r="R74" s="535"/>
      <c r="S74" s="535"/>
      <c r="T74" s="535"/>
      <c r="U74" s="535"/>
      <c r="V74" s="535"/>
      <c r="W74" s="535"/>
      <c r="X74" s="535"/>
    </row>
    <row r="75" spans="1:25" s="279" customFormat="1" ht="14.25">
      <c r="A75" s="91" t="s">
        <v>83</v>
      </c>
      <c r="B75" s="536"/>
      <c r="C75" s="536"/>
      <c r="D75" s="537"/>
      <c r="E75" s="538"/>
      <c r="F75" s="538"/>
      <c r="G75" s="538"/>
      <c r="H75" s="538"/>
      <c r="I75" s="538"/>
      <c r="J75" s="538"/>
      <c r="K75" s="538"/>
      <c r="L75" s="538"/>
      <c r="M75" s="538"/>
      <c r="N75" s="538"/>
      <c r="O75" s="538"/>
      <c r="P75" s="538"/>
      <c r="Q75" s="538"/>
      <c r="R75" s="538"/>
      <c r="S75" s="538"/>
      <c r="T75" s="538"/>
      <c r="U75" s="538"/>
      <c r="V75" s="538"/>
      <c r="W75" s="538"/>
      <c r="X75" s="538"/>
    </row>
    <row r="76" spans="1:25">
      <c r="A76" s="90" t="str">
        <f>'BH Tariffs'!A19</f>
        <v>Town Wharfage (Exclusive Use, Ferry Property Only)</v>
      </c>
      <c r="B76" s="89"/>
      <c r="C76" s="89"/>
      <c r="D76" s="502">
        <v>0</v>
      </c>
      <c r="E76" s="504">
        <f>'BH Tariffs'!D19*'P&amp;L - Concept B2 - RCCL'!E12</f>
        <v>0</v>
      </c>
      <c r="F76" s="504">
        <f>'BH Tariffs'!E19*'P&amp;L - Concept B2 - RCCL'!F12</f>
        <v>623885.59098931064</v>
      </c>
      <c r="G76" s="504">
        <f>'BH Tariffs'!F19*'P&amp;L - Concept B2 - RCCL'!G12</f>
        <v>636363.30280909687</v>
      </c>
      <c r="H76" s="504">
        <f>'BH Tariffs'!G19*'P&amp;L - Concept B2 - RCCL'!H12</f>
        <v>649090.56886527874</v>
      </c>
      <c r="I76" s="504">
        <f>'BH Tariffs'!H19*'P&amp;L - Concept B2 - RCCL'!I12</f>
        <v>662072.38024258439</v>
      </c>
      <c r="J76" s="504">
        <f>'BH Tariffs'!I19*'P&amp;L - Concept B2 - RCCL'!J12</f>
        <v>675313.82784743607</v>
      </c>
      <c r="K76" s="504">
        <f>'BH Tariffs'!J19*'P&amp;L - Concept B2 - RCCL'!K12</f>
        <v>688820.10440438474</v>
      </c>
      <c r="L76" s="504">
        <f>'BH Tariffs'!K19*'P&amp;L - Concept B2 - RCCL'!L12</f>
        <v>702596.50649247249</v>
      </c>
      <c r="M76" s="504">
        <f>'BH Tariffs'!L19*'P&amp;L - Concept B2 - RCCL'!M12</f>
        <v>716648.43662232207</v>
      </c>
      <c r="N76" s="504">
        <f>'BH Tariffs'!M19*'P&amp;L - Concept B2 - RCCL'!N12</f>
        <v>730981.40535476839</v>
      </c>
      <c r="O76" s="504">
        <f>'BH Tariffs'!N19*'P&amp;L - Concept B2 - RCCL'!O12</f>
        <v>745601.03346186387</v>
      </c>
      <c r="P76" s="504">
        <f>'BH Tariffs'!O19*'P&amp;L - Concept B2 - RCCL'!P12</f>
        <v>760513.05413110112</v>
      </c>
      <c r="Q76" s="504">
        <f>'BH Tariffs'!P19*'P&amp;L - Concept B2 - RCCL'!Q12</f>
        <v>775723.31521372311</v>
      </c>
      <c r="R76" s="504">
        <f>'BH Tariffs'!Q19*'P&amp;L - Concept B2 - RCCL'!R12</f>
        <v>791237.7815179975</v>
      </c>
      <c r="S76" s="504">
        <f>'BH Tariffs'!R19*'P&amp;L - Concept B2 - RCCL'!S12</f>
        <v>807062.53714835749</v>
      </c>
      <c r="T76" s="504">
        <f>'BH Tariffs'!S19*'P&amp;L - Concept B2 - RCCL'!T12</f>
        <v>823203.78789132461</v>
      </c>
      <c r="U76" s="504">
        <f>'BH Tariffs'!T19*'P&amp;L - Concept B2 - RCCL'!U12</f>
        <v>839667.86364915129</v>
      </c>
      <c r="V76" s="504">
        <f>'BH Tariffs'!U19*'P&amp;L - Concept B2 - RCCL'!V12</f>
        <v>856461.22092213423</v>
      </c>
      <c r="W76" s="504">
        <f>'BH Tariffs'!V19*'P&amp;L - Concept B2 - RCCL'!W12</f>
        <v>873590.44534057705</v>
      </c>
      <c r="X76" s="504">
        <f>'BH Tariffs'!W19*'P&amp;L - Concept B2 - RCCL'!X12</f>
        <v>891062.25424738857</v>
      </c>
      <c r="Y76" s="413">
        <f>SUM(D76:X76)</f>
        <v>14249895.417151274</v>
      </c>
    </row>
    <row r="77" spans="1:25" s="341" customFormat="1">
      <c r="A77" s="353" t="str">
        <f>'BH Tariffs'!A21</f>
        <v>CBP Infastructure Fee (Ferry Property Only)</v>
      </c>
      <c r="B77" s="355"/>
      <c r="C77" s="355"/>
      <c r="D77" s="548">
        <v>0</v>
      </c>
      <c r="E77" s="503">
        <v>0</v>
      </c>
      <c r="F77" s="503">
        <v>0</v>
      </c>
      <c r="G77" s="503">
        <v>0</v>
      </c>
      <c r="H77" s="503">
        <v>0</v>
      </c>
      <c r="I77" s="503">
        <v>0</v>
      </c>
      <c r="J77" s="503">
        <v>0</v>
      </c>
      <c r="K77" s="503">
        <v>0</v>
      </c>
      <c r="L77" s="503">
        <v>0</v>
      </c>
      <c r="M77" s="503">
        <v>0</v>
      </c>
      <c r="N77" s="503">
        <v>0</v>
      </c>
      <c r="O77" s="503">
        <v>0</v>
      </c>
      <c r="P77" s="503">
        <v>0</v>
      </c>
      <c r="Q77" s="503">
        <v>0</v>
      </c>
      <c r="R77" s="503">
        <v>0</v>
      </c>
      <c r="S77" s="503">
        <v>0</v>
      </c>
      <c r="T77" s="503">
        <v>0</v>
      </c>
      <c r="U77" s="503">
        <v>0</v>
      </c>
      <c r="V77" s="503">
        <v>0</v>
      </c>
      <c r="W77" s="503">
        <v>0</v>
      </c>
      <c r="X77" s="503">
        <v>0</v>
      </c>
      <c r="Y77" s="413"/>
    </row>
    <row r="78" spans="1:25" s="96" customFormat="1">
      <c r="A78" s="90" t="str">
        <f>'BH Tariffs'!A22</f>
        <v>Infrastructure Fee</v>
      </c>
      <c r="B78" s="356"/>
      <c r="C78" s="356"/>
      <c r="D78" s="502">
        <v>0</v>
      </c>
      <c r="E78" s="504">
        <v>0</v>
      </c>
      <c r="F78" s="504">
        <f>'BH Tariffs'!E22*'Cruise Projections'!V97</f>
        <v>522936.74160000001</v>
      </c>
      <c r="G78" s="504">
        <f>'BH Tariffs'!F22*'Cruise Projections'!W97</f>
        <v>533395.47643200005</v>
      </c>
      <c r="H78" s="504">
        <f>'BH Tariffs'!G22*'Cruise Projections'!X97</f>
        <v>544063.38596063992</v>
      </c>
      <c r="I78" s="504">
        <f>'BH Tariffs'!H22*'Cruise Projections'!Y97</f>
        <v>554944.65367985272</v>
      </c>
      <c r="J78" s="504">
        <f>'BH Tariffs'!I22*'Cruise Projections'!Z97</f>
        <v>566043.54675344983</v>
      </c>
      <c r="K78" s="504">
        <f>'BH Tariffs'!J22*'Cruise Projections'!AA97</f>
        <v>577364.41768851888</v>
      </c>
      <c r="L78" s="504">
        <f>'BH Tariffs'!K22*'Cruise Projections'!AB97</f>
        <v>588911.70604228915</v>
      </c>
      <c r="M78" s="504">
        <f>'BH Tariffs'!L22*'Cruise Projections'!AC97</f>
        <v>600689.94016313506</v>
      </c>
      <c r="N78" s="504">
        <f>'BH Tariffs'!M22*'Cruise Projections'!AD97</f>
        <v>612703.73896639771</v>
      </c>
      <c r="O78" s="504">
        <f>'BH Tariffs'!N22*'Cruise Projections'!AE97</f>
        <v>624957.81374572578</v>
      </c>
      <c r="P78" s="504">
        <f>'BH Tariffs'!O22*'Cruise Projections'!AF97</f>
        <v>637456.97002064029</v>
      </c>
      <c r="Q78" s="504">
        <f>'BH Tariffs'!P22*'Cruise Projections'!AG97</f>
        <v>650206.10942105309</v>
      </c>
      <c r="R78" s="504">
        <f>'BH Tariffs'!Q22*'Cruise Projections'!AH97</f>
        <v>663210.23160947405</v>
      </c>
      <c r="S78" s="504">
        <f>'BH Tariffs'!R22*'Cruise Projections'!AI97</f>
        <v>676474.43624166364</v>
      </c>
      <c r="T78" s="504">
        <f>'BH Tariffs'!S22*'Cruise Projections'!AJ97</f>
        <v>690003.924966497</v>
      </c>
      <c r="U78" s="504">
        <f>'BH Tariffs'!T22*'Cruise Projections'!AK97</f>
        <v>703804.00346582686</v>
      </c>
      <c r="V78" s="504">
        <f>'BH Tariffs'!U22*'Cruise Projections'!AL97</f>
        <v>717880.08353514341</v>
      </c>
      <c r="W78" s="504">
        <f>'BH Tariffs'!V22*'Cruise Projections'!AM97</f>
        <v>732237.68520584644</v>
      </c>
      <c r="X78" s="504">
        <f>'BH Tariffs'!W22*'Cruise Projections'!AN97</f>
        <v>746882.43890996324</v>
      </c>
      <c r="Y78" s="413">
        <f t="shared" ref="Y78" si="10">SUM(D78:X78)</f>
        <v>11944167.30440812</v>
      </c>
    </row>
    <row r="79" spans="1:25">
      <c r="A79" s="90"/>
      <c r="B79" s="89"/>
      <c r="C79" s="89"/>
      <c r="D79" s="502"/>
      <c r="E79" s="504"/>
      <c r="F79" s="504"/>
      <c r="G79" s="504"/>
      <c r="H79" s="504"/>
      <c r="I79" s="504"/>
      <c r="J79" s="504"/>
      <c r="K79" s="504"/>
      <c r="L79" s="504"/>
      <c r="M79" s="504"/>
      <c r="N79" s="504"/>
      <c r="O79" s="504"/>
      <c r="P79" s="504"/>
      <c r="Q79" s="504"/>
      <c r="R79" s="504"/>
      <c r="S79" s="504"/>
      <c r="T79" s="504"/>
      <c r="U79" s="504"/>
      <c r="V79" s="504"/>
      <c r="W79" s="504"/>
      <c r="X79" s="504"/>
    </row>
    <row r="80" spans="1:25" s="341" customFormat="1">
      <c r="A80" s="543" t="s">
        <v>163</v>
      </c>
      <c r="B80" s="354"/>
      <c r="C80" s="355"/>
      <c r="D80" s="548"/>
      <c r="E80" s="503"/>
      <c r="F80" s="503"/>
      <c r="G80" s="503"/>
      <c r="H80" s="503"/>
      <c r="I80" s="503"/>
      <c r="J80" s="503"/>
      <c r="K80" s="503"/>
      <c r="L80" s="503"/>
      <c r="M80" s="503"/>
      <c r="N80" s="503"/>
      <c r="O80" s="503"/>
      <c r="P80" s="503"/>
      <c r="Q80" s="503"/>
      <c r="R80" s="503"/>
      <c r="S80" s="503"/>
      <c r="T80" s="503"/>
      <c r="U80" s="503"/>
      <c r="V80" s="503"/>
      <c r="W80" s="503"/>
      <c r="X80" s="503"/>
    </row>
    <row r="81" spans="1:25" s="341" customFormat="1">
      <c r="A81" s="353" t="str">
        <f>'BH Tariffs'!A25</f>
        <v>Dock Rent (12 months)</v>
      </c>
      <c r="B81" s="354"/>
      <c r="C81" s="355"/>
      <c r="D81" s="548">
        <v>0</v>
      </c>
      <c r="E81" s="503">
        <v>0</v>
      </c>
      <c r="F81" s="503">
        <v>0</v>
      </c>
      <c r="G81" s="503">
        <v>0</v>
      </c>
      <c r="H81" s="503">
        <v>0</v>
      </c>
      <c r="I81" s="503">
        <v>0</v>
      </c>
      <c r="J81" s="503">
        <v>0</v>
      </c>
      <c r="K81" s="503">
        <v>0</v>
      </c>
      <c r="L81" s="503">
        <v>0</v>
      </c>
      <c r="M81" s="503">
        <v>0</v>
      </c>
      <c r="N81" s="503">
        <v>0</v>
      </c>
      <c r="O81" s="503">
        <v>0</v>
      </c>
      <c r="P81" s="503">
        <v>0</v>
      </c>
      <c r="Q81" s="503">
        <v>0</v>
      </c>
      <c r="R81" s="503">
        <v>0</v>
      </c>
      <c r="S81" s="503">
        <v>0</v>
      </c>
      <c r="T81" s="503">
        <v>0</v>
      </c>
      <c r="U81" s="503">
        <v>0</v>
      </c>
      <c r="V81" s="503">
        <v>0</v>
      </c>
      <c r="W81" s="503">
        <v>0</v>
      </c>
      <c r="X81" s="503">
        <v>0</v>
      </c>
    </row>
    <row r="82" spans="1:25" s="341" customFormat="1">
      <c r="A82" s="353" t="str">
        <f>'BH Tariffs'!A26</f>
        <v>Ferry Passenger Wharfage</v>
      </c>
      <c r="B82" s="354"/>
      <c r="C82" s="355"/>
      <c r="D82" s="548">
        <v>0</v>
      </c>
      <c r="E82" s="503">
        <v>0</v>
      </c>
      <c r="F82" s="503">
        <v>0</v>
      </c>
      <c r="G82" s="503">
        <v>0</v>
      </c>
      <c r="H82" s="503">
        <v>0</v>
      </c>
      <c r="I82" s="503">
        <v>0</v>
      </c>
      <c r="J82" s="503">
        <v>0</v>
      </c>
      <c r="K82" s="503">
        <v>0</v>
      </c>
      <c r="L82" s="503">
        <v>0</v>
      </c>
      <c r="M82" s="503">
        <v>0</v>
      </c>
      <c r="N82" s="503">
        <v>0</v>
      </c>
      <c r="O82" s="503">
        <v>0</v>
      </c>
      <c r="P82" s="503">
        <v>0</v>
      </c>
      <c r="Q82" s="503">
        <v>0</v>
      </c>
      <c r="R82" s="503">
        <v>0</v>
      </c>
      <c r="S82" s="503">
        <v>0</v>
      </c>
      <c r="T82" s="503">
        <v>0</v>
      </c>
      <c r="U82" s="503">
        <v>0</v>
      </c>
      <c r="V82" s="503">
        <v>0</v>
      </c>
      <c r="W82" s="503">
        <v>0</v>
      </c>
      <c r="X82" s="503">
        <v>0</v>
      </c>
    </row>
    <row r="83" spans="1:25" s="341" customFormat="1">
      <c r="A83" s="353" t="str">
        <f>'BH Tariffs'!A27</f>
        <v>Ferry Passenger Vehicle Wharfage</v>
      </c>
      <c r="B83" s="354"/>
      <c r="C83" s="355"/>
      <c r="D83" s="548">
        <v>0</v>
      </c>
      <c r="E83" s="503">
        <v>0</v>
      </c>
      <c r="F83" s="503">
        <v>0</v>
      </c>
      <c r="G83" s="503">
        <v>0</v>
      </c>
      <c r="H83" s="503">
        <v>0</v>
      </c>
      <c r="I83" s="503">
        <v>0</v>
      </c>
      <c r="J83" s="503">
        <v>0</v>
      </c>
      <c r="K83" s="503">
        <v>0</v>
      </c>
      <c r="L83" s="503">
        <v>0</v>
      </c>
      <c r="M83" s="503">
        <v>0</v>
      </c>
      <c r="N83" s="503">
        <v>0</v>
      </c>
      <c r="O83" s="503">
        <v>0</v>
      </c>
      <c r="P83" s="503">
        <v>0</v>
      </c>
      <c r="Q83" s="503">
        <v>0</v>
      </c>
      <c r="R83" s="503">
        <v>0</v>
      </c>
      <c r="S83" s="503">
        <v>0</v>
      </c>
      <c r="T83" s="503">
        <v>0</v>
      </c>
      <c r="U83" s="503">
        <v>0</v>
      </c>
      <c r="V83" s="503">
        <v>0</v>
      </c>
      <c r="W83" s="503">
        <v>0</v>
      </c>
      <c r="X83" s="503">
        <v>0</v>
      </c>
    </row>
    <row r="84" spans="1:25" s="341" customFormat="1">
      <c r="A84" s="353" t="str">
        <f>'BH Tariffs'!A28</f>
        <v>Ferry Bus Wharfage</v>
      </c>
      <c r="B84" s="354"/>
      <c r="C84" s="355"/>
      <c r="D84" s="548">
        <v>0</v>
      </c>
      <c r="E84" s="503">
        <v>0</v>
      </c>
      <c r="F84" s="503">
        <v>0</v>
      </c>
      <c r="G84" s="503">
        <v>0</v>
      </c>
      <c r="H84" s="503">
        <v>0</v>
      </c>
      <c r="I84" s="503">
        <v>0</v>
      </c>
      <c r="J84" s="503">
        <v>0</v>
      </c>
      <c r="K84" s="503">
        <v>0</v>
      </c>
      <c r="L84" s="503">
        <v>0</v>
      </c>
      <c r="M84" s="503">
        <v>0</v>
      </c>
      <c r="N84" s="503">
        <v>0</v>
      </c>
      <c r="O84" s="503">
        <v>0</v>
      </c>
      <c r="P84" s="503">
        <v>0</v>
      </c>
      <c r="Q84" s="503">
        <v>0</v>
      </c>
      <c r="R84" s="503">
        <v>0</v>
      </c>
      <c r="S84" s="503">
        <v>0</v>
      </c>
      <c r="T84" s="503">
        <v>0</v>
      </c>
      <c r="U84" s="503">
        <v>0</v>
      </c>
      <c r="V84" s="503">
        <v>0</v>
      </c>
      <c r="W84" s="503">
        <v>0</v>
      </c>
      <c r="X84" s="503">
        <v>0</v>
      </c>
    </row>
    <row r="85" spans="1:25">
      <c r="A85" s="88"/>
      <c r="B85" s="30"/>
      <c r="C85" s="89"/>
      <c r="D85" s="502"/>
      <c r="E85" s="504"/>
      <c r="F85" s="504"/>
      <c r="G85" s="504"/>
      <c r="H85" s="504"/>
      <c r="I85" s="504"/>
      <c r="J85" s="504"/>
      <c r="K85" s="504"/>
      <c r="L85" s="504"/>
      <c r="M85" s="504"/>
      <c r="N85" s="504"/>
      <c r="O85" s="504"/>
      <c r="P85" s="504"/>
      <c r="Q85" s="504"/>
      <c r="R85" s="504"/>
      <c r="S85" s="504"/>
      <c r="T85" s="504"/>
      <c r="U85" s="504"/>
      <c r="V85" s="504"/>
      <c r="W85" s="504"/>
      <c r="X85" s="504"/>
    </row>
    <row r="86" spans="1:25" s="96" customFormat="1">
      <c r="A86" s="605" t="s">
        <v>164</v>
      </c>
      <c r="B86" s="606"/>
      <c r="C86" s="356"/>
      <c r="D86" s="502"/>
      <c r="E86" s="504"/>
      <c r="F86" s="504"/>
      <c r="G86" s="504"/>
      <c r="H86" s="504"/>
      <c r="I86" s="504"/>
      <c r="J86" s="504"/>
      <c r="K86" s="504"/>
      <c r="L86" s="504"/>
      <c r="M86" s="504"/>
      <c r="N86" s="504"/>
      <c r="O86" s="504"/>
      <c r="P86" s="504"/>
      <c r="Q86" s="504"/>
      <c r="R86" s="504"/>
      <c r="S86" s="504"/>
      <c r="T86" s="504"/>
      <c r="U86" s="504"/>
      <c r="V86" s="504"/>
      <c r="W86" s="504"/>
      <c r="X86" s="504"/>
    </row>
    <row r="87" spans="1:25" s="96" customFormat="1">
      <c r="A87" s="90" t="str">
        <f>'BH Tariffs'!A31</f>
        <v>Dock Rent (6 Months Only)</v>
      </c>
      <c r="B87" s="606"/>
      <c r="C87" s="356"/>
      <c r="D87" s="502">
        <v>0</v>
      </c>
      <c r="E87" s="504">
        <v>0</v>
      </c>
      <c r="F87" s="504">
        <f>'BH Tariffs'!E31*6</f>
        <v>12240</v>
      </c>
      <c r="G87" s="504">
        <f>'BH Tariffs'!F31*6</f>
        <v>12484.800000000001</v>
      </c>
      <c r="H87" s="504">
        <f>'BH Tariffs'!G31*6</f>
        <v>12734.495999999999</v>
      </c>
      <c r="I87" s="504">
        <f>'BH Tariffs'!H31*6</f>
        <v>12989.18592</v>
      </c>
      <c r="J87" s="504">
        <f>'BH Tariffs'!I31*6</f>
        <v>13248.9696384</v>
      </c>
      <c r="K87" s="504">
        <f>'BH Tariffs'!J31*6</f>
        <v>13513.949031168002</v>
      </c>
      <c r="L87" s="504">
        <f>'BH Tariffs'!K31*6</f>
        <v>13784.228011791361</v>
      </c>
      <c r="M87" s="504">
        <f>'BH Tariffs'!L31*6</f>
        <v>14059.912572027188</v>
      </c>
      <c r="N87" s="504">
        <f>'BH Tariffs'!M31*6</f>
        <v>14341.110823467734</v>
      </c>
      <c r="O87" s="504">
        <f>'BH Tariffs'!N31*6</f>
        <v>14627.933039937088</v>
      </c>
      <c r="P87" s="504">
        <f>'BH Tariffs'!O31*6</f>
        <v>14920.491700735829</v>
      </c>
      <c r="Q87" s="504">
        <f>'BH Tariffs'!P31*6</f>
        <v>15218.901534750545</v>
      </c>
      <c r="R87" s="504">
        <f>'BH Tariffs'!Q31*6</f>
        <v>15523.279565445555</v>
      </c>
      <c r="S87" s="504">
        <f>'BH Tariffs'!R31*6</f>
        <v>15833.745156754467</v>
      </c>
      <c r="T87" s="504">
        <f>'BH Tariffs'!S31*6</f>
        <v>16150.420059889559</v>
      </c>
      <c r="U87" s="504">
        <f>'BH Tariffs'!T31*6</f>
        <v>16473.428461087351</v>
      </c>
      <c r="V87" s="504">
        <f>'BH Tariffs'!U31*6</f>
        <v>16802.897030309097</v>
      </c>
      <c r="W87" s="504">
        <f>'BH Tariffs'!V31*6</f>
        <v>17138.954970915282</v>
      </c>
      <c r="X87" s="504">
        <f>'BH Tariffs'!W31*6</f>
        <v>17481.734070333587</v>
      </c>
    </row>
    <row r="88" spans="1:25" s="96" customFormat="1">
      <c r="A88" s="90"/>
      <c r="B88" s="606"/>
      <c r="C88" s="356"/>
      <c r="D88" s="502"/>
      <c r="E88" s="504"/>
      <c r="F88" s="504"/>
      <c r="G88" s="504"/>
      <c r="H88" s="504"/>
      <c r="I88" s="504"/>
      <c r="J88" s="504"/>
      <c r="K88" s="504"/>
      <c r="L88" s="504"/>
      <c r="M88" s="504"/>
      <c r="N88" s="504"/>
      <c r="O88" s="504"/>
      <c r="P88" s="504"/>
      <c r="Q88" s="504"/>
      <c r="R88" s="504"/>
      <c r="S88" s="504"/>
      <c r="T88" s="504"/>
      <c r="U88" s="504"/>
      <c r="V88" s="504"/>
      <c r="W88" s="504"/>
      <c r="X88" s="504"/>
    </row>
    <row r="89" spans="1:25" s="582" customFormat="1" ht="14.25">
      <c r="A89" s="605" t="str">
        <f>'BH Tariffs'!A33</f>
        <v>Recreational/Commercial Marina</v>
      </c>
      <c r="B89" s="607"/>
      <c r="C89" s="608"/>
      <c r="D89" s="537"/>
      <c r="E89" s="538"/>
      <c r="F89" s="538"/>
      <c r="G89" s="538"/>
      <c r="H89" s="538"/>
      <c r="I89" s="538"/>
      <c r="J89" s="538"/>
      <c r="K89" s="538"/>
      <c r="L89" s="538"/>
      <c r="M89" s="538"/>
      <c r="N89" s="538"/>
      <c r="O89" s="538"/>
      <c r="P89" s="538"/>
      <c r="Q89" s="538"/>
      <c r="R89" s="538"/>
      <c r="S89" s="538"/>
      <c r="T89" s="538"/>
      <c r="U89" s="538"/>
      <c r="V89" s="538"/>
      <c r="W89" s="538"/>
      <c r="X89" s="538"/>
    </row>
    <row r="90" spans="1:25" s="96" customFormat="1">
      <c r="A90" s="90" t="str">
        <f>'BH Tariffs'!A34</f>
        <v>Transient Slip Rent</v>
      </c>
      <c r="B90" s="606"/>
      <c r="C90" s="356"/>
      <c r="D90" s="502">
        <v>0</v>
      </c>
      <c r="E90" s="504">
        <v>0</v>
      </c>
      <c r="F90" s="504">
        <f>'BH Tariffs'!E34*'P&amp;L - Concept B2 - RCCL'!F57</f>
        <v>24370.791468749998</v>
      </c>
      <c r="G90" s="504">
        <f>'BH Tariffs'!F34*'P&amp;L - Concept B2 - RCCL'!G57</f>
        <v>24858.207298124998</v>
      </c>
      <c r="H90" s="504">
        <f>'BH Tariffs'!G34*'P&amp;L - Concept B2 - RCCL'!H57</f>
        <v>25355.371444087494</v>
      </c>
      <c r="I90" s="504">
        <f>'BH Tariffs'!H34*'P&amp;L - Concept B2 - RCCL'!I57</f>
        <v>25862.478872969248</v>
      </c>
      <c r="J90" s="504">
        <f>'BH Tariffs'!I34*'P&amp;L - Concept B2 - RCCL'!J57</f>
        <v>26379.728450428636</v>
      </c>
      <c r="K90" s="504">
        <f>'BH Tariffs'!J34*'P&amp;L - Concept B2 - RCCL'!K57</f>
        <v>26907.323019437208</v>
      </c>
      <c r="L90" s="504">
        <f>'BH Tariffs'!K34*'P&amp;L - Concept B2 - RCCL'!L57</f>
        <v>27445.469479825952</v>
      </c>
      <c r="M90" s="504">
        <f>'BH Tariffs'!L34*'P&amp;L - Concept B2 - RCCL'!M57</f>
        <v>27994.378869422475</v>
      </c>
      <c r="N90" s="504">
        <f>'BH Tariffs'!M34*'P&amp;L - Concept B2 - RCCL'!N57</f>
        <v>28554.266446810921</v>
      </c>
      <c r="O90" s="504">
        <f>'BH Tariffs'!N34*'P&amp;L - Concept B2 - RCCL'!O57</f>
        <v>29125.351775747142</v>
      </c>
      <c r="P90" s="504">
        <f>'BH Tariffs'!O34*'P&amp;L - Concept B2 - RCCL'!P57</f>
        <v>29707.858811262082</v>
      </c>
      <c r="Q90" s="504">
        <f>'BH Tariffs'!P34*'P&amp;L - Concept B2 - RCCL'!Q57</f>
        <v>30302.015987487324</v>
      </c>
      <c r="R90" s="504">
        <f>'BH Tariffs'!Q34*'P&amp;L - Concept B2 - RCCL'!R57</f>
        <v>30908.056307237068</v>
      </c>
      <c r="S90" s="504">
        <f>'BH Tariffs'!R34*'P&amp;L - Concept B2 - RCCL'!S57</f>
        <v>31526.217433381815</v>
      </c>
      <c r="T90" s="504">
        <f>'BH Tariffs'!S34*'P&amp;L - Concept B2 - RCCL'!T57</f>
        <v>32156.741782049452</v>
      </c>
      <c r="U90" s="504">
        <f>'BH Tariffs'!T34*'P&amp;L - Concept B2 - RCCL'!U57</f>
        <v>32799.876617690439</v>
      </c>
      <c r="V90" s="504">
        <f>'BH Tariffs'!U34*'P&amp;L - Concept B2 - RCCL'!V57</f>
        <v>33455.874150044256</v>
      </c>
      <c r="W90" s="504">
        <f>'BH Tariffs'!V34*'P&amp;L - Concept B2 - RCCL'!W57</f>
        <v>34124.991633045138</v>
      </c>
      <c r="X90" s="504">
        <f>'BH Tariffs'!W34*'P&amp;L - Concept B2 - RCCL'!X57</f>
        <v>34807.491465706036</v>
      </c>
    </row>
    <row r="91" spans="1:25" s="96" customFormat="1">
      <c r="A91" s="90" t="s">
        <v>280</v>
      </c>
      <c r="B91" s="606"/>
      <c r="C91" s="356"/>
      <c r="D91" s="502">
        <v>0</v>
      </c>
      <c r="E91" s="504">
        <v>0</v>
      </c>
      <c r="F91" s="504">
        <f>'BH Tariffs'!E35*'P&amp;L - Concept B2 - RCCL'!F58</f>
        <v>38459.610000000008</v>
      </c>
      <c r="G91" s="504">
        <f>'BH Tariffs'!F35*'P&amp;L - Concept B2 - RCCL'!G58</f>
        <v>39228.802200000006</v>
      </c>
      <c r="H91" s="504">
        <f>'BH Tariffs'!G35*'P&amp;L - Concept B2 - RCCL'!H58</f>
        <v>40013.378244</v>
      </c>
      <c r="I91" s="504">
        <f>'BH Tariffs'!H35*'P&amp;L - Concept B2 - RCCL'!I58</f>
        <v>40813.645808879999</v>
      </c>
      <c r="J91" s="504">
        <f>'BH Tariffs'!I35*'P&amp;L - Concept B2 - RCCL'!J58</f>
        <v>41629.9187250576</v>
      </c>
      <c r="K91" s="504">
        <f>'BH Tariffs'!J35*'P&amp;L - Concept B2 - RCCL'!K58</f>
        <v>42462.517099558754</v>
      </c>
      <c r="L91" s="504">
        <f>'BH Tariffs'!K35*'P&amp;L - Concept B2 - RCCL'!L58</f>
        <v>43311.767441549935</v>
      </c>
      <c r="M91" s="504">
        <f>'BH Tariffs'!L35*'P&amp;L - Concept B2 - RCCL'!M58</f>
        <v>44178.002790380931</v>
      </c>
      <c r="N91" s="504">
        <f>'BH Tariffs'!M35*'P&amp;L - Concept B2 - RCCL'!N58</f>
        <v>45061.56284618855</v>
      </c>
      <c r="O91" s="504">
        <f>'BH Tariffs'!N35*'P&amp;L - Concept B2 - RCCL'!O58</f>
        <v>45962.794103112326</v>
      </c>
      <c r="P91" s="504">
        <f>'BH Tariffs'!O35*'P&amp;L - Concept B2 - RCCL'!P58</f>
        <v>46882.04998517457</v>
      </c>
      <c r="Q91" s="504">
        <f>'BH Tariffs'!P35*'P&amp;L - Concept B2 - RCCL'!Q58</f>
        <v>47819.690984878056</v>
      </c>
      <c r="R91" s="504">
        <f>'BH Tariffs'!Q35*'P&amp;L - Concept B2 - RCCL'!R58</f>
        <v>48776.084804575621</v>
      </c>
      <c r="S91" s="504">
        <f>'BH Tariffs'!R35*'P&amp;L - Concept B2 - RCCL'!S58</f>
        <v>49751.606500667134</v>
      </c>
      <c r="T91" s="504">
        <f>'BH Tariffs'!S35*'P&amp;L - Concept B2 - RCCL'!T58</f>
        <v>50746.638630680485</v>
      </c>
      <c r="U91" s="504">
        <f>'BH Tariffs'!T35*'P&amp;L - Concept B2 - RCCL'!U58</f>
        <v>51761.571403294096</v>
      </c>
      <c r="V91" s="504">
        <f>'BH Tariffs'!U35*'P&amp;L - Concept B2 - RCCL'!V58</f>
        <v>52796.802831359972</v>
      </c>
      <c r="W91" s="504">
        <f>'BH Tariffs'!V35*'P&amp;L - Concept B2 - RCCL'!W58</f>
        <v>53852.738887987187</v>
      </c>
      <c r="X91" s="504">
        <f>'BH Tariffs'!W35*'P&amp;L - Concept B2 - RCCL'!X58</f>
        <v>54929.793665746925</v>
      </c>
    </row>
    <row r="92" spans="1:25" s="167" customFormat="1">
      <c r="A92" s="539" t="str">
        <f>'BH Tariffs'!A36</f>
        <v>Water/Sewer</v>
      </c>
      <c r="B92" s="609"/>
      <c r="C92" s="540"/>
      <c r="D92" s="541">
        <v>0</v>
      </c>
      <c r="E92" s="542">
        <v>0</v>
      </c>
      <c r="F92" s="542">
        <v>0</v>
      </c>
      <c r="G92" s="542">
        <v>0</v>
      </c>
      <c r="H92" s="542">
        <v>0</v>
      </c>
      <c r="I92" s="542">
        <v>0</v>
      </c>
      <c r="J92" s="542">
        <v>0</v>
      </c>
      <c r="K92" s="542">
        <v>0</v>
      </c>
      <c r="L92" s="542">
        <v>0</v>
      </c>
      <c r="M92" s="542">
        <v>0</v>
      </c>
      <c r="N92" s="542">
        <v>0</v>
      </c>
      <c r="O92" s="542">
        <v>0</v>
      </c>
      <c r="P92" s="542">
        <v>0</v>
      </c>
      <c r="Q92" s="542">
        <v>0</v>
      </c>
      <c r="R92" s="542">
        <v>0</v>
      </c>
      <c r="S92" s="542">
        <v>0</v>
      </c>
      <c r="T92" s="542">
        <v>0</v>
      </c>
      <c r="U92" s="542">
        <v>0</v>
      </c>
      <c r="V92" s="542">
        <v>0</v>
      </c>
      <c r="W92" s="542">
        <v>0</v>
      </c>
      <c r="X92" s="542">
        <v>0</v>
      </c>
      <c r="Y92" s="167" t="s">
        <v>282</v>
      </c>
    </row>
    <row r="93" spans="1:25" s="167" customFormat="1">
      <c r="A93" s="539" t="str">
        <f>'BH Tariffs'!A37</f>
        <v xml:space="preserve">Power (Electricity) </v>
      </c>
      <c r="B93" s="609"/>
      <c r="C93" s="540"/>
      <c r="D93" s="541">
        <v>0</v>
      </c>
      <c r="E93" s="542">
        <v>0</v>
      </c>
      <c r="F93" s="542">
        <v>0</v>
      </c>
      <c r="G93" s="542">
        <v>0</v>
      </c>
      <c r="H93" s="542">
        <v>0</v>
      </c>
      <c r="I93" s="542">
        <v>0</v>
      </c>
      <c r="J93" s="542">
        <v>0</v>
      </c>
      <c r="K93" s="542">
        <v>0</v>
      </c>
      <c r="L93" s="542">
        <v>0</v>
      </c>
      <c r="M93" s="542">
        <v>0</v>
      </c>
      <c r="N93" s="542">
        <v>0</v>
      </c>
      <c r="O93" s="542">
        <v>0</v>
      </c>
      <c r="P93" s="542">
        <v>0</v>
      </c>
      <c r="Q93" s="542">
        <v>0</v>
      </c>
      <c r="R93" s="542">
        <v>0</v>
      </c>
      <c r="S93" s="542">
        <v>0</v>
      </c>
      <c r="T93" s="542">
        <v>0</v>
      </c>
      <c r="U93" s="542">
        <v>0</v>
      </c>
      <c r="V93" s="542">
        <v>0</v>
      </c>
      <c r="W93" s="542">
        <v>0</v>
      </c>
      <c r="X93" s="542">
        <v>0</v>
      </c>
      <c r="Y93" s="167" t="s">
        <v>282</v>
      </c>
    </row>
    <row r="94" spans="1:25" s="96" customFormat="1">
      <c r="A94" s="90" t="s">
        <v>526</v>
      </c>
      <c r="B94" s="606"/>
      <c r="C94" s="356"/>
      <c r="D94" s="502">
        <v>0</v>
      </c>
      <c r="E94" s="504">
        <v>0</v>
      </c>
      <c r="F94" s="504">
        <f>'BH Tariffs'!E38*'P&amp;L - Concept B2 - RCCL'!F56</f>
        <v>7500</v>
      </c>
      <c r="G94" s="504">
        <f>'BH Tariffs'!F38*'P&amp;L - Concept B2 - RCCL'!G56</f>
        <v>7650</v>
      </c>
      <c r="H94" s="504">
        <f>'BH Tariffs'!G38*'P&amp;L - Concept B2 - RCCL'!H56</f>
        <v>7803</v>
      </c>
      <c r="I94" s="504">
        <f>'BH Tariffs'!H38*'P&amp;L - Concept B2 - RCCL'!I56</f>
        <v>7959.0599999999995</v>
      </c>
      <c r="J94" s="504">
        <f>'BH Tariffs'!I38*'P&amp;L - Concept B2 - RCCL'!J56</f>
        <v>8118.2411999999995</v>
      </c>
      <c r="K94" s="504">
        <f>'BH Tariffs'!J38*'P&amp;L - Concept B2 - RCCL'!K56</f>
        <v>8280.6060240000006</v>
      </c>
      <c r="L94" s="504">
        <f>'BH Tariffs'!K38*'P&amp;L - Concept B2 - RCCL'!L56</f>
        <v>8446.2181444800008</v>
      </c>
      <c r="M94" s="504">
        <f>'BH Tariffs'!L38*'P&amp;L - Concept B2 - RCCL'!M56</f>
        <v>8615.1425073696009</v>
      </c>
      <c r="N94" s="504">
        <f>'BH Tariffs'!M38*'P&amp;L - Concept B2 - RCCL'!N56</f>
        <v>8787.4453575169937</v>
      </c>
      <c r="O94" s="504">
        <f>'BH Tariffs'!N38*'P&amp;L - Concept B2 - RCCL'!O56</f>
        <v>8963.1942646673324</v>
      </c>
      <c r="P94" s="504">
        <f>'BH Tariffs'!O38*'P&amp;L - Concept B2 - RCCL'!P56</f>
        <v>9142.4581499606793</v>
      </c>
      <c r="Q94" s="504">
        <f>'BH Tariffs'!P38*'P&amp;L - Concept B2 - RCCL'!Q56</f>
        <v>9325.3073129598943</v>
      </c>
      <c r="R94" s="504">
        <f>'BH Tariffs'!Q38*'P&amp;L - Concept B2 - RCCL'!R56</f>
        <v>9511.8134592190909</v>
      </c>
      <c r="S94" s="504">
        <f>'BH Tariffs'!R38*'P&amp;L - Concept B2 - RCCL'!S56</f>
        <v>9702.0497284034718</v>
      </c>
      <c r="T94" s="504">
        <f>'BH Tariffs'!S38*'P&amp;L - Concept B2 - RCCL'!T56</f>
        <v>9896.0907229715431</v>
      </c>
      <c r="U94" s="504">
        <f>'BH Tariffs'!T38*'P&amp;L - Concept B2 - RCCL'!U56</f>
        <v>10094.012537430975</v>
      </c>
      <c r="V94" s="504">
        <f>'BH Tariffs'!U38*'P&amp;L - Concept B2 - RCCL'!V56</f>
        <v>10295.892788179593</v>
      </c>
      <c r="W94" s="504">
        <f>'BH Tariffs'!V38*'P&amp;L - Concept B2 - RCCL'!W56</f>
        <v>10501.810643943187</v>
      </c>
      <c r="X94" s="504">
        <f>'BH Tariffs'!W38*'P&amp;L - Concept B2 - RCCL'!X56</f>
        <v>10711.846856822051</v>
      </c>
    </row>
    <row r="95" spans="1:25">
      <c r="A95" s="88"/>
      <c r="B95" s="30"/>
      <c r="C95" s="89"/>
      <c r="D95" s="502"/>
      <c r="E95" s="504"/>
      <c r="F95" s="504"/>
      <c r="G95" s="504"/>
      <c r="H95" s="504"/>
      <c r="I95" s="504"/>
      <c r="J95" s="504"/>
      <c r="K95" s="504"/>
      <c r="L95" s="504"/>
      <c r="M95" s="504"/>
      <c r="N95" s="504"/>
      <c r="O95" s="504"/>
      <c r="P95" s="504"/>
      <c r="Q95" s="504"/>
      <c r="R95" s="504"/>
      <c r="S95" s="504"/>
      <c r="T95" s="504"/>
      <c r="U95" s="504"/>
      <c r="V95" s="504"/>
      <c r="W95" s="504"/>
      <c r="X95" s="504"/>
    </row>
    <row r="96" spans="1:25">
      <c r="A96" s="91" t="s">
        <v>26</v>
      </c>
      <c r="B96" s="30"/>
      <c r="C96" s="89"/>
      <c r="D96" s="502"/>
      <c r="E96" s="504"/>
      <c r="F96" s="504"/>
      <c r="G96" s="504"/>
      <c r="H96" s="504"/>
      <c r="I96" s="504"/>
      <c r="J96" s="504"/>
      <c r="K96" s="504"/>
      <c r="L96" s="504"/>
      <c r="M96" s="504"/>
      <c r="N96" s="504"/>
      <c r="O96" s="504"/>
      <c r="P96" s="504"/>
      <c r="Q96" s="504"/>
      <c r="R96" s="504"/>
      <c r="S96" s="504"/>
      <c r="T96" s="504"/>
      <c r="U96" s="504"/>
      <c r="V96" s="504"/>
      <c r="W96" s="504"/>
      <c r="X96" s="504"/>
    </row>
    <row r="97" spans="1:24" s="341" customFormat="1">
      <c r="A97" s="353" t="s">
        <v>214</v>
      </c>
      <c r="B97" s="354"/>
      <c r="C97" s="355"/>
      <c r="D97" s="548">
        <v>0</v>
      </c>
      <c r="E97" s="503">
        <v>0</v>
      </c>
      <c r="F97" s="503">
        <v>0</v>
      </c>
      <c r="G97" s="503">
        <v>0</v>
      </c>
      <c r="H97" s="503">
        <v>0</v>
      </c>
      <c r="I97" s="503">
        <v>0</v>
      </c>
      <c r="J97" s="503">
        <v>0</v>
      </c>
      <c r="K97" s="503">
        <v>0</v>
      </c>
      <c r="L97" s="503">
        <v>0</v>
      </c>
      <c r="M97" s="503">
        <v>0</v>
      </c>
      <c r="N97" s="503">
        <v>0</v>
      </c>
      <c r="O97" s="503">
        <v>0</v>
      </c>
      <c r="P97" s="503">
        <v>0</v>
      </c>
      <c r="Q97" s="503">
        <v>0</v>
      </c>
      <c r="R97" s="503">
        <v>0</v>
      </c>
      <c r="S97" s="503">
        <v>0</v>
      </c>
      <c r="T97" s="503">
        <v>0</v>
      </c>
      <c r="U97" s="503">
        <v>0</v>
      </c>
      <c r="V97" s="503">
        <v>0</v>
      </c>
      <c r="W97" s="503">
        <v>0</v>
      </c>
      <c r="X97" s="503">
        <v>0</v>
      </c>
    </row>
    <row r="98" spans="1:24">
      <c r="A98" s="88" t="s">
        <v>215</v>
      </c>
      <c r="B98" s="30"/>
      <c r="C98" s="89"/>
      <c r="D98" s="502">
        <v>0</v>
      </c>
      <c r="E98" s="504">
        <f>'BH Tariffs'!D43*'P&amp;L - Concept B2 - RCCL'!E44</f>
        <v>0</v>
      </c>
      <c r="F98" s="504">
        <f>'BH Tariffs'!E43*'P&amp;L - Concept B2 - RCCL'!F44</f>
        <v>0</v>
      </c>
      <c r="G98" s="504">
        <f>'BH Tariffs'!F43*'P&amp;L - Concept B2 - RCCL'!G44</f>
        <v>0</v>
      </c>
      <c r="H98" s="504">
        <f>'BH Tariffs'!G43*'P&amp;L - Concept B2 - RCCL'!H44</f>
        <v>0</v>
      </c>
      <c r="I98" s="504">
        <f>'BH Tariffs'!H43*'P&amp;L - Concept B2 - RCCL'!I44</f>
        <v>0</v>
      </c>
      <c r="J98" s="504">
        <f>'BH Tariffs'!I43*'P&amp;L - Concept B2 - RCCL'!J44</f>
        <v>246265.49999999997</v>
      </c>
      <c r="K98" s="504">
        <f>'BH Tariffs'!J43*'P&amp;L - Concept B2 - RCCL'!K44</f>
        <v>246265.49999999997</v>
      </c>
      <c r="L98" s="504">
        <f>'BH Tariffs'!K43*'P&amp;L - Concept B2 - RCCL'!L44</f>
        <v>246265.49999999997</v>
      </c>
      <c r="M98" s="504">
        <f>'BH Tariffs'!L43*'P&amp;L - Concept B2 - RCCL'!M44</f>
        <v>246265.49999999997</v>
      </c>
      <c r="N98" s="504">
        <f>'BH Tariffs'!M43*'P&amp;L - Concept B2 - RCCL'!N44</f>
        <v>246265.49999999997</v>
      </c>
      <c r="O98" s="504">
        <f>'BH Tariffs'!N43*'P&amp;L - Concept B2 - RCCL'!O44</f>
        <v>307831.87499999994</v>
      </c>
      <c r="P98" s="504">
        <f>'BH Tariffs'!O43*'P&amp;L - Concept B2 - RCCL'!P44</f>
        <v>307831.87499999994</v>
      </c>
      <c r="Q98" s="504">
        <f>'BH Tariffs'!P43*'P&amp;L - Concept B2 - RCCL'!Q44</f>
        <v>307831.87499999994</v>
      </c>
      <c r="R98" s="504">
        <f>'BH Tariffs'!Q43*'P&amp;L - Concept B2 - RCCL'!R44</f>
        <v>307831.87499999994</v>
      </c>
      <c r="S98" s="504">
        <f>'BH Tariffs'!R43*'P&amp;L - Concept B2 - RCCL'!S44</f>
        <v>307831.87499999994</v>
      </c>
      <c r="T98" s="504">
        <f>'BH Tariffs'!S43*'P&amp;L - Concept B2 - RCCL'!T44</f>
        <v>369398.24999999994</v>
      </c>
      <c r="U98" s="504">
        <f>'BH Tariffs'!T43*'P&amp;L - Concept B2 - RCCL'!U44</f>
        <v>369398.24999999994</v>
      </c>
      <c r="V98" s="504">
        <f>'BH Tariffs'!U43*'P&amp;L - Concept B2 - RCCL'!V44</f>
        <v>369398.24999999994</v>
      </c>
      <c r="W98" s="504">
        <f>'BH Tariffs'!V43*'P&amp;L - Concept B2 - RCCL'!W44</f>
        <v>369398.24999999994</v>
      </c>
      <c r="X98" s="504">
        <f>'BH Tariffs'!W43*'P&amp;L - Concept B2 - RCCL'!X44</f>
        <v>369398.24999999994</v>
      </c>
    </row>
    <row r="99" spans="1:24">
      <c r="A99" s="91"/>
      <c r="B99" s="30"/>
      <c r="C99" s="89"/>
      <c r="D99" s="502"/>
      <c r="E99" s="504"/>
      <c r="F99" s="504"/>
      <c r="G99" s="504"/>
      <c r="H99" s="504"/>
      <c r="I99" s="504"/>
      <c r="J99" s="504"/>
      <c r="K99" s="504"/>
      <c r="L99" s="504"/>
      <c r="M99" s="504"/>
      <c r="N99" s="504"/>
      <c r="O99" s="504"/>
      <c r="P99" s="504"/>
      <c r="Q99" s="504"/>
      <c r="R99" s="504"/>
      <c r="S99" s="504"/>
      <c r="T99" s="504"/>
      <c r="U99" s="504"/>
      <c r="V99" s="504"/>
      <c r="W99" s="504"/>
      <c r="X99" s="504"/>
    </row>
    <row r="100" spans="1:24">
      <c r="A100" s="91" t="s">
        <v>2</v>
      </c>
      <c r="B100" s="30"/>
      <c r="C100" s="89"/>
      <c r="D100" s="502"/>
      <c r="E100" s="504"/>
      <c r="F100" s="504"/>
      <c r="G100" s="504"/>
      <c r="H100" s="504"/>
      <c r="I100" s="504"/>
      <c r="J100" s="504"/>
      <c r="K100" s="504"/>
      <c r="L100" s="504"/>
      <c r="M100" s="504"/>
      <c r="N100" s="504"/>
      <c r="O100" s="504"/>
      <c r="P100" s="504"/>
      <c r="Q100" s="504"/>
      <c r="R100" s="504"/>
      <c r="S100" s="504"/>
      <c r="T100" s="504"/>
      <c r="U100" s="504"/>
      <c r="V100" s="504"/>
      <c r="W100" s="504"/>
      <c r="X100" s="504"/>
    </row>
    <row r="101" spans="1:24">
      <c r="A101" s="88" t="str">
        <f>'BH Tariffs'!A44</f>
        <v>Commerical Rent (Seasonal Kiosk(s)/Vendor(s))</v>
      </c>
      <c r="B101" s="30"/>
      <c r="C101" s="89"/>
      <c r="D101" s="502">
        <v>0</v>
      </c>
      <c r="E101" s="504">
        <f>'BH Tariffs'!D44*'P&amp;L - Concept B2 - RCCL'!E63</f>
        <v>0</v>
      </c>
      <c r="F101" s="504">
        <f>'BH Tariffs'!E44*'P&amp;L - Concept B2 - RCCL'!F63</f>
        <v>0</v>
      </c>
      <c r="G101" s="504">
        <f>'BH Tariffs'!F44*'P&amp;L - Concept B2 - RCCL'!G63*6</f>
        <v>6242.4000000000005</v>
      </c>
      <c r="H101" s="504">
        <f>'BH Tariffs'!G44*'P&amp;L - Concept B2 - RCCL'!H63*6</f>
        <v>6367.2479999999996</v>
      </c>
      <c r="I101" s="504">
        <f>'BH Tariffs'!H44*'P&amp;L - Concept B2 - RCCL'!I63*6</f>
        <v>6494.5929599999999</v>
      </c>
      <c r="J101" s="504">
        <f>'BH Tariffs'!I44*'P&amp;L - Concept B2 - RCCL'!J63*6</f>
        <v>6624.4848191999999</v>
      </c>
      <c r="K101" s="504">
        <f>'BH Tariffs'!J44*'P&amp;L - Concept B2 - RCCL'!K63*6</f>
        <v>6756.974515584001</v>
      </c>
      <c r="L101" s="504">
        <f>'BH Tariffs'!K44*'P&amp;L - Concept B2 - RCCL'!L63*6</f>
        <v>6892.1140058956807</v>
      </c>
      <c r="M101" s="504">
        <f>'BH Tariffs'!L44*'P&amp;L - Concept B2 - RCCL'!M63*6</f>
        <v>7029.9562860135939</v>
      </c>
      <c r="N101" s="504">
        <f>'BH Tariffs'!M44*'P&amp;L - Concept B2 - RCCL'!N63*6</f>
        <v>7170.555411733867</v>
      </c>
      <c r="O101" s="504">
        <f>'BH Tariffs'!N44*'P&amp;L - Concept B2 - RCCL'!O63*6</f>
        <v>7313.9665199685442</v>
      </c>
      <c r="P101" s="504">
        <f>'BH Tariffs'!O44*'P&amp;L - Concept B2 - RCCL'!P63*6</f>
        <v>7460.2458503679145</v>
      </c>
      <c r="Q101" s="504">
        <f>'BH Tariffs'!P44*'P&amp;L - Concept B2 - RCCL'!Q63*6</f>
        <v>7609.4507673752723</v>
      </c>
      <c r="R101" s="504">
        <f>'BH Tariffs'!Q44*'P&amp;L - Concept B2 - RCCL'!R63*6</f>
        <v>7761.6397827227775</v>
      </c>
      <c r="S101" s="504">
        <f>'BH Tariffs'!R44*'P&amp;L - Concept B2 - RCCL'!S63*6</f>
        <v>7916.8725783772334</v>
      </c>
      <c r="T101" s="504">
        <f>'BH Tariffs'!S44*'P&amp;L - Concept B2 - RCCL'!T63*6</f>
        <v>8075.2100299447793</v>
      </c>
      <c r="U101" s="504">
        <f>'BH Tariffs'!T44*'P&amp;L - Concept B2 - RCCL'!U63*6</f>
        <v>8236.7142305436755</v>
      </c>
      <c r="V101" s="504">
        <f>'BH Tariffs'!U44*'P&amp;L - Concept B2 - RCCL'!V63*6</f>
        <v>8401.4485151545487</v>
      </c>
      <c r="W101" s="504">
        <f>'BH Tariffs'!V44*'P&amp;L - Concept B2 - RCCL'!W63*6</f>
        <v>8569.4774854576408</v>
      </c>
      <c r="X101" s="504">
        <f>'BH Tariffs'!W44*'P&amp;L - Concept B2 - RCCL'!X63*6</f>
        <v>8740.8670351667934</v>
      </c>
    </row>
    <row r="102" spans="1:24" s="96" customFormat="1">
      <c r="A102" s="90" t="s">
        <v>541</v>
      </c>
      <c r="B102" s="606"/>
      <c r="C102" s="356"/>
      <c r="D102" s="502">
        <v>0</v>
      </c>
      <c r="E102" s="504">
        <v>0</v>
      </c>
      <c r="F102" s="504">
        <v>0</v>
      </c>
      <c r="G102" s="504">
        <f>G64*0.05</f>
        <v>10000</v>
      </c>
      <c r="H102" s="504">
        <f t="shared" ref="H102:X102" si="11">H64*0.05</f>
        <v>10000</v>
      </c>
      <c r="I102" s="504">
        <f t="shared" si="11"/>
        <v>10000</v>
      </c>
      <c r="J102" s="504">
        <f t="shared" si="11"/>
        <v>10000</v>
      </c>
      <c r="K102" s="504">
        <f t="shared" si="11"/>
        <v>10000</v>
      </c>
      <c r="L102" s="504">
        <f t="shared" si="11"/>
        <v>10000</v>
      </c>
      <c r="M102" s="504">
        <f t="shared" si="11"/>
        <v>10000</v>
      </c>
      <c r="N102" s="504">
        <f t="shared" si="11"/>
        <v>10000</v>
      </c>
      <c r="O102" s="504">
        <f t="shared" si="11"/>
        <v>10000</v>
      </c>
      <c r="P102" s="504">
        <f t="shared" si="11"/>
        <v>10000</v>
      </c>
      <c r="Q102" s="504">
        <f t="shared" si="11"/>
        <v>10000</v>
      </c>
      <c r="R102" s="504">
        <f t="shared" si="11"/>
        <v>10000</v>
      </c>
      <c r="S102" s="504">
        <f t="shared" si="11"/>
        <v>10000</v>
      </c>
      <c r="T102" s="504">
        <f t="shared" si="11"/>
        <v>10000</v>
      </c>
      <c r="U102" s="504">
        <f t="shared" si="11"/>
        <v>10000</v>
      </c>
      <c r="V102" s="504">
        <f t="shared" si="11"/>
        <v>10000</v>
      </c>
      <c r="W102" s="504">
        <f t="shared" si="11"/>
        <v>10000</v>
      </c>
      <c r="X102" s="504">
        <f t="shared" si="11"/>
        <v>10000</v>
      </c>
    </row>
    <row r="103" spans="1:24">
      <c r="A103" s="88" t="str">
        <f>'BH Tariffs'!A45</f>
        <v>Motorcoach Access/Tour Operator Licenses</v>
      </c>
      <c r="B103" s="30"/>
      <c r="C103" s="89"/>
      <c r="D103" s="502">
        <v>0</v>
      </c>
      <c r="E103" s="504">
        <v>0</v>
      </c>
      <c r="F103" s="504">
        <f>'BH Tariffs'!E45*'P&amp;L - Concept B2 - RCCL'!F66</f>
        <v>3060</v>
      </c>
      <c r="G103" s="504">
        <f>'BH Tariffs'!F45*'P&amp;L - Concept B2 - RCCL'!G66</f>
        <v>3121.2000000000003</v>
      </c>
      <c r="H103" s="504">
        <f>'BH Tariffs'!G45*'P&amp;L - Concept B2 - RCCL'!H66</f>
        <v>3183.6239999999998</v>
      </c>
      <c r="I103" s="504">
        <f>'BH Tariffs'!H45*'P&amp;L - Concept B2 - RCCL'!I66</f>
        <v>3247.29648</v>
      </c>
      <c r="J103" s="504">
        <f>'BH Tariffs'!I45*'P&amp;L - Concept B2 - RCCL'!J66</f>
        <v>3312.2424096</v>
      </c>
      <c r="K103" s="504">
        <f>'BH Tariffs'!J45*'P&amp;L - Concept B2 - RCCL'!K66</f>
        <v>3378.4872577920005</v>
      </c>
      <c r="L103" s="504">
        <f>'BH Tariffs'!K45*'P&amp;L - Concept B2 - RCCL'!L66</f>
        <v>3446.0570029478404</v>
      </c>
      <c r="M103" s="504">
        <f>'BH Tariffs'!L45*'P&amp;L - Concept B2 - RCCL'!M66</f>
        <v>3514.9781430067969</v>
      </c>
      <c r="N103" s="504">
        <f>'BH Tariffs'!M45*'P&amp;L - Concept B2 - RCCL'!N66</f>
        <v>3585.2777058669335</v>
      </c>
      <c r="O103" s="504">
        <f>'BH Tariffs'!N45*'P&amp;L - Concept B2 - RCCL'!O66</f>
        <v>3656.9832599842721</v>
      </c>
      <c r="P103" s="504">
        <f>'BH Tariffs'!O45*'P&amp;L - Concept B2 - RCCL'!P66</f>
        <v>3730.1229251839572</v>
      </c>
      <c r="Q103" s="504">
        <f>'BH Tariffs'!P45*'P&amp;L - Concept B2 - RCCL'!Q66</f>
        <v>3804.7253836876362</v>
      </c>
      <c r="R103" s="504">
        <f>'BH Tariffs'!Q45*'P&amp;L - Concept B2 - RCCL'!R66</f>
        <v>3880.8198913613887</v>
      </c>
      <c r="S103" s="504">
        <f>'BH Tariffs'!R45*'P&amp;L - Concept B2 - RCCL'!S66</f>
        <v>3958.4362891886167</v>
      </c>
      <c r="T103" s="504">
        <f>'BH Tariffs'!S45*'P&amp;L - Concept B2 - RCCL'!T66</f>
        <v>4037.6050149723897</v>
      </c>
      <c r="U103" s="504">
        <f>'BH Tariffs'!T45*'P&amp;L - Concept B2 - RCCL'!U66</f>
        <v>4118.3571152718378</v>
      </c>
      <c r="V103" s="504">
        <f>'BH Tariffs'!U45*'P&amp;L - Concept B2 - RCCL'!V66</f>
        <v>4200.7242575772743</v>
      </c>
      <c r="W103" s="504">
        <f>'BH Tariffs'!V45*'P&amp;L - Concept B2 - RCCL'!W66</f>
        <v>4284.7387427288204</v>
      </c>
      <c r="X103" s="504">
        <f>'BH Tariffs'!W45*'P&amp;L - Concept B2 - RCCL'!X66</f>
        <v>4370.4335175833967</v>
      </c>
    </row>
    <row r="104" spans="1:24">
      <c r="A104" s="299" t="s">
        <v>217</v>
      </c>
      <c r="B104" s="299"/>
      <c r="C104" s="299"/>
      <c r="D104" s="505">
        <v>0</v>
      </c>
      <c r="E104" s="506">
        <v>0</v>
      </c>
      <c r="F104" s="506">
        <f>'BH Tariffs'!E46*'P&amp;L - Concept B2 - RCCL'!F65</f>
        <v>500</v>
      </c>
      <c r="G104" s="506">
        <f>'BH Tariffs'!F46*'P&amp;L - Concept B2 - RCCL'!G65</f>
        <v>1000</v>
      </c>
      <c r="H104" s="506">
        <f>'BH Tariffs'!G46*'P&amp;L - Concept B2 - RCCL'!H65</f>
        <v>1000</v>
      </c>
      <c r="I104" s="506">
        <f>'BH Tariffs'!H46*'P&amp;L - Concept B2 - RCCL'!I65</f>
        <v>1000</v>
      </c>
      <c r="J104" s="506">
        <f>'BH Tariffs'!I46*'P&amp;L - Concept B2 - RCCL'!J65</f>
        <v>1650</v>
      </c>
      <c r="K104" s="506">
        <f>'BH Tariffs'!J46*'P&amp;L - Concept B2 - RCCL'!K65</f>
        <v>1650</v>
      </c>
      <c r="L104" s="506">
        <f>'BH Tariffs'!K46*'P&amp;L - Concept B2 - RCCL'!L65</f>
        <v>1650</v>
      </c>
      <c r="M104" s="506">
        <f>'BH Tariffs'!L46*'P&amp;L - Concept B2 - RCCL'!M65</f>
        <v>1650</v>
      </c>
      <c r="N104" s="506">
        <f>'BH Tariffs'!M46*'P&amp;L - Concept B2 - RCCL'!N65</f>
        <v>1650</v>
      </c>
      <c r="O104" s="506">
        <f>'BH Tariffs'!N46*'P&amp;L - Concept B2 - RCCL'!O65</f>
        <v>2400</v>
      </c>
      <c r="P104" s="506">
        <f>'BH Tariffs'!O46*'P&amp;L - Concept B2 - RCCL'!P65</f>
        <v>2400</v>
      </c>
      <c r="Q104" s="506">
        <f>'BH Tariffs'!P46*'P&amp;L - Concept B2 - RCCL'!Q65</f>
        <v>2400</v>
      </c>
      <c r="R104" s="506">
        <f>'BH Tariffs'!Q46*'P&amp;L - Concept B2 - RCCL'!R65</f>
        <v>2400</v>
      </c>
      <c r="S104" s="506">
        <f>'BH Tariffs'!R46*'P&amp;L - Concept B2 - RCCL'!S65</f>
        <v>2400</v>
      </c>
      <c r="T104" s="506">
        <f>'BH Tariffs'!S46*'P&amp;L - Concept B2 - RCCL'!T65</f>
        <v>3250</v>
      </c>
      <c r="U104" s="506">
        <f>'BH Tariffs'!T46*'P&amp;L - Concept B2 - RCCL'!U65</f>
        <v>3250</v>
      </c>
      <c r="V104" s="506">
        <f>'BH Tariffs'!U46*'P&amp;L - Concept B2 - RCCL'!V65</f>
        <v>3250</v>
      </c>
      <c r="W104" s="506">
        <f>'BH Tariffs'!V46*'P&amp;L - Concept B2 - RCCL'!W65</f>
        <v>3250</v>
      </c>
      <c r="X104" s="506">
        <f>'BH Tariffs'!W46*'P&amp;L - Concept B2 - RCCL'!X65</f>
        <v>3250</v>
      </c>
    </row>
    <row r="105" spans="1:24">
      <c r="A105" s="278" t="s">
        <v>145</v>
      </c>
      <c r="D105" s="507">
        <f>SUM(D71:D104)</f>
        <v>0</v>
      </c>
      <c r="E105" s="508">
        <f>SUM(E70:E104)</f>
        <v>0</v>
      </c>
      <c r="F105" s="508">
        <f t="shared" ref="F105:X105" si="12">SUM(F70:F104)</f>
        <v>1232952.7340580607</v>
      </c>
      <c r="G105" s="508">
        <f t="shared" si="12"/>
        <v>1274344.1887392218</v>
      </c>
      <c r="H105" s="508">
        <f t="shared" si="12"/>
        <v>1299611.0725140062</v>
      </c>
      <c r="I105" s="508">
        <f t="shared" si="12"/>
        <v>1325383.2939642866</v>
      </c>
      <c r="J105" s="508">
        <f t="shared" si="12"/>
        <v>1598586.459843572</v>
      </c>
      <c r="K105" s="508">
        <f t="shared" si="12"/>
        <v>1625399.8790404436</v>
      </c>
      <c r="L105" s="508">
        <f t="shared" si="12"/>
        <v>1652749.5666212526</v>
      </c>
      <c r="M105" s="508">
        <f t="shared" si="12"/>
        <v>1680646.2479536778</v>
      </c>
      <c r="N105" s="508">
        <f t="shared" si="12"/>
        <v>1709100.8629127513</v>
      </c>
      <c r="O105" s="508">
        <f t="shared" si="12"/>
        <v>1800440.9451710065</v>
      </c>
      <c r="P105" s="508">
        <f t="shared" si="12"/>
        <v>1830045.1265744267</v>
      </c>
      <c r="Q105" s="508">
        <f t="shared" si="12"/>
        <v>1860241.3916059146</v>
      </c>
      <c r="R105" s="508">
        <f t="shared" si="12"/>
        <v>1891041.5819380332</v>
      </c>
      <c r="S105" s="508">
        <f t="shared" si="12"/>
        <v>1922457.7760767939</v>
      </c>
      <c r="T105" s="508">
        <f t="shared" si="12"/>
        <v>2016918.6690983297</v>
      </c>
      <c r="U105" s="508">
        <f t="shared" si="12"/>
        <v>2049604.0774802966</v>
      </c>
      <c r="V105" s="508">
        <f t="shared" si="12"/>
        <v>2082943.1940299023</v>
      </c>
      <c r="W105" s="508">
        <f t="shared" si="12"/>
        <v>2116949.0929105007</v>
      </c>
      <c r="X105" s="508">
        <f t="shared" si="12"/>
        <v>2151635.1097687106</v>
      </c>
    </row>
    <row r="106" spans="1:24">
      <c r="D106" s="507"/>
      <c r="E106" s="413"/>
      <c r="F106" s="413"/>
      <c r="G106" s="413"/>
      <c r="H106" s="413"/>
      <c r="I106" s="413"/>
      <c r="J106" s="413"/>
      <c r="K106" s="413"/>
      <c r="L106" s="413"/>
      <c r="M106" s="413"/>
      <c r="N106" s="413"/>
      <c r="O106" s="413"/>
      <c r="P106" s="413"/>
      <c r="Q106" s="413"/>
      <c r="R106" s="413"/>
      <c r="S106" s="413"/>
      <c r="T106" s="413"/>
      <c r="U106" s="413"/>
      <c r="V106" s="413"/>
      <c r="W106" s="413"/>
      <c r="X106" s="413"/>
    </row>
    <row r="107" spans="1:24">
      <c r="A107" s="271" t="s">
        <v>146</v>
      </c>
      <c r="B107" s="149"/>
      <c r="C107" s="149"/>
      <c r="D107" s="509"/>
      <c r="E107" s="510"/>
      <c r="F107" s="510"/>
      <c r="G107" s="510"/>
      <c r="H107" s="510"/>
      <c r="I107" s="510"/>
      <c r="J107" s="510"/>
      <c r="K107" s="510"/>
      <c r="L107" s="510"/>
      <c r="M107" s="510"/>
      <c r="N107" s="510"/>
      <c r="O107" s="510"/>
      <c r="P107" s="510"/>
      <c r="Q107" s="510"/>
      <c r="R107" s="510"/>
      <c r="S107" s="510"/>
      <c r="T107" s="510"/>
      <c r="U107" s="510"/>
      <c r="V107" s="510"/>
      <c r="W107" s="510"/>
      <c r="X107" s="510"/>
    </row>
    <row r="108" spans="1:24">
      <c r="D108" s="507"/>
      <c r="E108" s="413"/>
      <c r="F108" s="413"/>
      <c r="G108" s="413"/>
      <c r="H108" s="413"/>
      <c r="I108" s="413"/>
      <c r="J108" s="413"/>
      <c r="K108" s="413"/>
      <c r="L108" s="413"/>
      <c r="M108" s="413"/>
      <c r="N108" s="413"/>
      <c r="O108" s="413"/>
      <c r="P108" s="413"/>
      <c r="Q108" s="413"/>
      <c r="R108" s="413"/>
      <c r="S108" s="413"/>
      <c r="T108" s="413"/>
      <c r="U108" s="413"/>
      <c r="V108" s="413"/>
      <c r="W108" s="413"/>
      <c r="X108" s="413"/>
    </row>
    <row r="109" spans="1:24">
      <c r="A109" s="91" t="s">
        <v>380</v>
      </c>
      <c r="B109" s="89"/>
      <c r="C109" s="89"/>
      <c r="D109" s="502"/>
      <c r="E109" s="504"/>
      <c r="F109" s="504"/>
      <c r="G109" s="504"/>
      <c r="H109" s="504"/>
      <c r="I109" s="504"/>
      <c r="J109" s="504"/>
      <c r="K109" s="504"/>
      <c r="L109" s="504"/>
      <c r="M109" s="504"/>
      <c r="N109" s="504"/>
      <c r="O109" s="504"/>
      <c r="P109" s="504"/>
      <c r="Q109" s="504"/>
      <c r="R109" s="504"/>
      <c r="S109" s="504"/>
      <c r="T109" s="504"/>
      <c r="U109" s="504"/>
      <c r="V109" s="504"/>
      <c r="W109" s="504"/>
      <c r="X109" s="504"/>
    </row>
    <row r="110" spans="1:24">
      <c r="A110" s="88" t="s">
        <v>432</v>
      </c>
      <c r="B110" s="89"/>
      <c r="C110" s="89"/>
      <c r="D110" s="502">
        <v>0</v>
      </c>
      <c r="E110" s="504">
        <v>0</v>
      </c>
      <c r="F110" s="504">
        <v>0</v>
      </c>
      <c r="G110" s="504">
        <v>0</v>
      </c>
      <c r="H110" s="504">
        <v>0</v>
      </c>
      <c r="I110" s="504">
        <v>0</v>
      </c>
      <c r="J110" s="504">
        <v>0</v>
      </c>
      <c r="K110" s="504">
        <v>0</v>
      </c>
      <c r="L110" s="504">
        <v>0</v>
      </c>
      <c r="M110" s="504">
        <v>0</v>
      </c>
      <c r="N110" s="504">
        <v>0</v>
      </c>
      <c r="O110" s="504">
        <v>0</v>
      </c>
      <c r="P110" s="504">
        <v>0</v>
      </c>
      <c r="Q110" s="504">
        <v>0</v>
      </c>
      <c r="R110" s="504">
        <v>0</v>
      </c>
      <c r="S110" s="504">
        <v>0</v>
      </c>
      <c r="T110" s="504">
        <v>0</v>
      </c>
      <c r="U110" s="504">
        <v>0</v>
      </c>
      <c r="V110" s="504">
        <v>0</v>
      </c>
      <c r="W110" s="504">
        <v>0</v>
      </c>
      <c r="X110" s="504">
        <v>0</v>
      </c>
    </row>
    <row r="111" spans="1:24">
      <c r="A111" s="88" t="s">
        <v>433</v>
      </c>
      <c r="B111" s="89"/>
      <c r="C111" s="89"/>
      <c r="D111" s="502">
        <v>0</v>
      </c>
      <c r="E111" s="504">
        <v>0</v>
      </c>
      <c r="F111" s="504">
        <v>0</v>
      </c>
      <c r="G111" s="504">
        <v>0</v>
      </c>
      <c r="H111" s="504">
        <v>0</v>
      </c>
      <c r="I111" s="504">
        <v>0</v>
      </c>
      <c r="J111" s="504">
        <v>0</v>
      </c>
      <c r="K111" s="504">
        <v>0</v>
      </c>
      <c r="L111" s="504">
        <v>0</v>
      </c>
      <c r="M111" s="504">
        <v>0</v>
      </c>
      <c r="N111" s="504">
        <v>0</v>
      </c>
      <c r="O111" s="504">
        <v>0</v>
      </c>
      <c r="P111" s="504">
        <v>0</v>
      </c>
      <c r="Q111" s="504">
        <v>0</v>
      </c>
      <c r="R111" s="504">
        <v>0</v>
      </c>
      <c r="S111" s="504">
        <v>0</v>
      </c>
      <c r="T111" s="504">
        <v>0</v>
      </c>
      <c r="U111" s="504">
        <v>0</v>
      </c>
      <c r="V111" s="504">
        <v>0</v>
      </c>
      <c r="W111" s="504">
        <v>0</v>
      </c>
      <c r="X111" s="504">
        <v>0</v>
      </c>
    </row>
    <row r="112" spans="1:24">
      <c r="A112" s="88" t="s">
        <v>434</v>
      </c>
      <c r="B112" s="89"/>
      <c r="C112" s="89"/>
      <c r="D112" s="502">
        <v>0</v>
      </c>
      <c r="E112" s="504">
        <v>0</v>
      </c>
      <c r="F112" s="504">
        <v>0</v>
      </c>
      <c r="G112" s="504">
        <v>0</v>
      </c>
      <c r="H112" s="504">
        <v>0</v>
      </c>
      <c r="I112" s="504">
        <v>0</v>
      </c>
      <c r="J112" s="504">
        <v>0</v>
      </c>
      <c r="K112" s="504">
        <v>0</v>
      </c>
      <c r="L112" s="504">
        <v>0</v>
      </c>
      <c r="M112" s="504">
        <v>0</v>
      </c>
      <c r="N112" s="504">
        <v>0</v>
      </c>
      <c r="O112" s="504">
        <v>0</v>
      </c>
      <c r="P112" s="504">
        <v>0</v>
      </c>
      <c r="Q112" s="504">
        <v>0</v>
      </c>
      <c r="R112" s="504">
        <v>0</v>
      </c>
      <c r="S112" s="504">
        <v>0</v>
      </c>
      <c r="T112" s="504">
        <v>0</v>
      </c>
      <c r="U112" s="504">
        <v>0</v>
      </c>
      <c r="V112" s="504">
        <v>0</v>
      </c>
      <c r="W112" s="504">
        <v>0</v>
      </c>
      <c r="X112" s="504">
        <v>0</v>
      </c>
    </row>
    <row r="113" spans="1:27">
      <c r="A113" s="88" t="s">
        <v>229</v>
      </c>
      <c r="B113" s="30"/>
      <c r="C113" s="89"/>
      <c r="D113" s="502">
        <v>0</v>
      </c>
      <c r="E113" s="504">
        <v>0</v>
      </c>
      <c r="F113" s="504">
        <v>0</v>
      </c>
      <c r="G113" s="504">
        <v>0</v>
      </c>
      <c r="H113" s="504">
        <v>0</v>
      </c>
      <c r="I113" s="504">
        <v>0</v>
      </c>
      <c r="J113" s="504">
        <v>0</v>
      </c>
      <c r="K113" s="504">
        <v>0</v>
      </c>
      <c r="L113" s="504">
        <v>0</v>
      </c>
      <c r="M113" s="504">
        <v>0</v>
      </c>
      <c r="N113" s="504">
        <v>0</v>
      </c>
      <c r="O113" s="504">
        <v>0</v>
      </c>
      <c r="P113" s="504">
        <v>0</v>
      </c>
      <c r="Q113" s="504">
        <v>0</v>
      </c>
      <c r="R113" s="504">
        <v>0</v>
      </c>
      <c r="S113" s="504">
        <v>0</v>
      </c>
      <c r="T113" s="504">
        <v>0</v>
      </c>
      <c r="U113" s="504">
        <v>0</v>
      </c>
      <c r="V113" s="504">
        <v>0</v>
      </c>
      <c r="W113" s="504">
        <v>0</v>
      </c>
      <c r="X113" s="504">
        <v>0</v>
      </c>
    </row>
    <row r="114" spans="1:27" s="32" customFormat="1">
      <c r="A114" s="299" t="s">
        <v>297</v>
      </c>
      <c r="B114" s="299"/>
      <c r="C114" s="299"/>
      <c r="D114" s="505">
        <v>0</v>
      </c>
      <c r="E114" s="506">
        <v>0</v>
      </c>
      <c r="F114" s="506">
        <v>0</v>
      </c>
      <c r="G114" s="506">
        <f t="shared" ref="G114:X114" si="13">G53</f>
        <v>100000</v>
      </c>
      <c r="H114" s="506">
        <f t="shared" si="13"/>
        <v>100000</v>
      </c>
      <c r="I114" s="506">
        <f t="shared" si="13"/>
        <v>100000</v>
      </c>
      <c r="J114" s="506">
        <f t="shared" si="13"/>
        <v>100000</v>
      </c>
      <c r="K114" s="506">
        <f t="shared" si="13"/>
        <v>100000</v>
      </c>
      <c r="L114" s="506">
        <f t="shared" si="13"/>
        <v>100000</v>
      </c>
      <c r="M114" s="506">
        <f t="shared" si="13"/>
        <v>100000</v>
      </c>
      <c r="N114" s="506">
        <f t="shared" si="13"/>
        <v>100000</v>
      </c>
      <c r="O114" s="506">
        <f t="shared" si="13"/>
        <v>100000</v>
      </c>
      <c r="P114" s="506">
        <f t="shared" si="13"/>
        <v>100000</v>
      </c>
      <c r="Q114" s="506">
        <f t="shared" si="13"/>
        <v>100000</v>
      </c>
      <c r="R114" s="506">
        <f t="shared" si="13"/>
        <v>100000</v>
      </c>
      <c r="S114" s="506">
        <f t="shared" si="13"/>
        <v>100000</v>
      </c>
      <c r="T114" s="506">
        <f t="shared" si="13"/>
        <v>100000</v>
      </c>
      <c r="U114" s="506">
        <f t="shared" si="13"/>
        <v>100000</v>
      </c>
      <c r="V114" s="506">
        <f t="shared" si="13"/>
        <v>100000</v>
      </c>
      <c r="W114" s="506">
        <f t="shared" si="13"/>
        <v>100000</v>
      </c>
      <c r="X114" s="506">
        <f t="shared" si="13"/>
        <v>100000</v>
      </c>
    </row>
    <row r="115" spans="1:27">
      <c r="A115" s="278" t="s">
        <v>147</v>
      </c>
      <c r="D115" s="507">
        <f>SUM(D113:D114)</f>
        <v>0</v>
      </c>
      <c r="E115" s="508">
        <f>SUM(E110:E114)</f>
        <v>0</v>
      </c>
      <c r="F115" s="508">
        <f t="shared" ref="F115:X115" si="14">SUM(F110:F114)</f>
        <v>0</v>
      </c>
      <c r="G115" s="508">
        <f t="shared" si="14"/>
        <v>100000</v>
      </c>
      <c r="H115" s="508">
        <f t="shared" si="14"/>
        <v>100000</v>
      </c>
      <c r="I115" s="508">
        <f t="shared" si="14"/>
        <v>100000</v>
      </c>
      <c r="J115" s="508">
        <f t="shared" si="14"/>
        <v>100000</v>
      </c>
      <c r="K115" s="508">
        <f t="shared" si="14"/>
        <v>100000</v>
      </c>
      <c r="L115" s="508">
        <f t="shared" si="14"/>
        <v>100000</v>
      </c>
      <c r="M115" s="508">
        <f t="shared" si="14"/>
        <v>100000</v>
      </c>
      <c r="N115" s="508">
        <f t="shared" si="14"/>
        <v>100000</v>
      </c>
      <c r="O115" s="508">
        <f t="shared" si="14"/>
        <v>100000</v>
      </c>
      <c r="P115" s="508">
        <f t="shared" si="14"/>
        <v>100000</v>
      </c>
      <c r="Q115" s="508">
        <f t="shared" si="14"/>
        <v>100000</v>
      </c>
      <c r="R115" s="508">
        <f t="shared" si="14"/>
        <v>100000</v>
      </c>
      <c r="S115" s="508">
        <f t="shared" si="14"/>
        <v>100000</v>
      </c>
      <c r="T115" s="508">
        <f t="shared" si="14"/>
        <v>100000</v>
      </c>
      <c r="U115" s="508">
        <f t="shared" si="14"/>
        <v>100000</v>
      </c>
      <c r="V115" s="508">
        <f t="shared" si="14"/>
        <v>100000</v>
      </c>
      <c r="W115" s="508">
        <f t="shared" si="14"/>
        <v>100000</v>
      </c>
      <c r="X115" s="508">
        <f t="shared" si="14"/>
        <v>100000</v>
      </c>
    </row>
    <row r="116" spans="1:27">
      <c r="D116" s="507"/>
      <c r="E116" s="413"/>
      <c r="F116" s="413"/>
      <c r="G116" s="413"/>
      <c r="H116" s="413"/>
      <c r="I116" s="413"/>
      <c r="J116" s="413"/>
      <c r="K116" s="413"/>
      <c r="L116" s="413"/>
      <c r="M116" s="413"/>
      <c r="N116" s="413"/>
      <c r="O116" s="413"/>
      <c r="P116" s="413"/>
      <c r="Q116" s="413"/>
      <c r="R116" s="413"/>
      <c r="S116" s="413"/>
      <c r="T116" s="413"/>
      <c r="U116" s="413"/>
      <c r="V116" s="413"/>
      <c r="W116" s="413"/>
      <c r="X116" s="413"/>
    </row>
    <row r="117" spans="1:27">
      <c r="A117" s="88" t="s">
        <v>608</v>
      </c>
      <c r="D117" s="507">
        <f t="shared" ref="D117" si="15">SUM(D115:D116)</f>
        <v>0</v>
      </c>
      <c r="E117" s="413">
        <v>58025</v>
      </c>
      <c r="F117" s="413">
        <v>0</v>
      </c>
      <c r="G117" s="413">
        <v>0</v>
      </c>
      <c r="H117" s="413">
        <v>0</v>
      </c>
      <c r="I117" s="413">
        <v>0</v>
      </c>
      <c r="J117" s="413">
        <v>0</v>
      </c>
      <c r="K117" s="413">
        <v>0</v>
      </c>
      <c r="L117" s="413">
        <v>0</v>
      </c>
      <c r="M117" s="413">
        <v>0</v>
      </c>
      <c r="N117" s="413">
        <v>0</v>
      </c>
      <c r="O117" s="413">
        <v>0</v>
      </c>
      <c r="P117" s="413">
        <v>0</v>
      </c>
      <c r="Q117" s="413">
        <v>0</v>
      </c>
      <c r="R117" s="413">
        <v>0</v>
      </c>
      <c r="S117" s="413">
        <v>0</v>
      </c>
      <c r="T117" s="413">
        <v>0</v>
      </c>
      <c r="U117" s="413">
        <v>0</v>
      </c>
      <c r="V117" s="413">
        <v>0</v>
      </c>
      <c r="W117" s="413">
        <v>0</v>
      </c>
      <c r="X117" s="413">
        <v>0</v>
      </c>
    </row>
    <row r="118" spans="1:27">
      <c r="D118" s="507"/>
      <c r="E118" s="413"/>
      <c r="F118" s="413"/>
      <c r="G118" s="413"/>
      <c r="H118" s="413"/>
      <c r="I118" s="413"/>
      <c r="J118" s="413"/>
      <c r="K118" s="413"/>
      <c r="L118" s="413"/>
      <c r="M118" s="413"/>
      <c r="N118" s="413"/>
      <c r="O118" s="413"/>
      <c r="P118" s="413"/>
      <c r="Q118" s="413"/>
      <c r="R118" s="413"/>
      <c r="S118" s="413"/>
      <c r="T118" s="413"/>
      <c r="U118" s="413"/>
      <c r="V118" s="413"/>
      <c r="W118" s="413"/>
      <c r="X118" s="413"/>
    </row>
    <row r="119" spans="1:27" s="16" customFormat="1" ht="14.25">
      <c r="A119" s="295" t="s">
        <v>148</v>
      </c>
      <c r="B119" s="295"/>
      <c r="C119" s="295"/>
      <c r="D119" s="511">
        <f>SUM(D105,D115)</f>
        <v>0</v>
      </c>
      <c r="E119" s="511">
        <f>SUM(E105,E115,E117)</f>
        <v>58025</v>
      </c>
      <c r="F119" s="511">
        <f t="shared" ref="F119:X119" si="16">SUM(F105,F115,F117)</f>
        <v>1232952.7340580607</v>
      </c>
      <c r="G119" s="511">
        <f t="shared" si="16"/>
        <v>1374344.1887392218</v>
      </c>
      <c r="H119" s="511">
        <f t="shared" si="16"/>
        <v>1399611.0725140062</v>
      </c>
      <c r="I119" s="511">
        <f t="shared" si="16"/>
        <v>1425383.2939642866</v>
      </c>
      <c r="J119" s="511">
        <f t="shared" si="16"/>
        <v>1698586.459843572</v>
      </c>
      <c r="K119" s="511">
        <f t="shared" si="16"/>
        <v>1725399.8790404436</v>
      </c>
      <c r="L119" s="511">
        <f t="shared" si="16"/>
        <v>1752749.5666212526</v>
      </c>
      <c r="M119" s="511">
        <f t="shared" si="16"/>
        <v>1780646.2479536778</v>
      </c>
      <c r="N119" s="511">
        <f t="shared" si="16"/>
        <v>1809100.8629127513</v>
      </c>
      <c r="O119" s="511">
        <f t="shared" si="16"/>
        <v>1900440.9451710065</v>
      </c>
      <c r="P119" s="511">
        <f t="shared" si="16"/>
        <v>1930045.1265744267</v>
      </c>
      <c r="Q119" s="511">
        <f t="shared" si="16"/>
        <v>1960241.3916059146</v>
      </c>
      <c r="R119" s="511">
        <f t="shared" si="16"/>
        <v>1991041.5819380332</v>
      </c>
      <c r="S119" s="511">
        <f t="shared" si="16"/>
        <v>2022457.7760767939</v>
      </c>
      <c r="T119" s="511">
        <f t="shared" si="16"/>
        <v>2116918.6690983297</v>
      </c>
      <c r="U119" s="511">
        <f t="shared" si="16"/>
        <v>2149604.0774802966</v>
      </c>
      <c r="V119" s="511">
        <f t="shared" si="16"/>
        <v>2182943.1940299021</v>
      </c>
      <c r="W119" s="511">
        <f t="shared" si="16"/>
        <v>2216949.0929105007</v>
      </c>
      <c r="X119" s="511">
        <f t="shared" si="16"/>
        <v>2251635.1097687106</v>
      </c>
      <c r="Y119" s="622">
        <f>SUM(D119:X119)</f>
        <v>34979076.270301186</v>
      </c>
      <c r="AA119" s="370">
        <f>(Y76+Y78)/Y119</f>
        <v>0.74884946987005874</v>
      </c>
    </row>
    <row r="120" spans="1:27">
      <c r="A120" s="30"/>
      <c r="B120" s="30"/>
      <c r="C120" s="30"/>
      <c r="D120" s="502"/>
      <c r="E120" s="512"/>
      <c r="F120" s="512"/>
      <c r="G120" s="512"/>
      <c r="H120" s="512"/>
      <c r="I120" s="512"/>
      <c r="J120" s="512"/>
      <c r="K120" s="512"/>
      <c r="L120" s="512"/>
      <c r="M120" s="512"/>
      <c r="N120" s="512"/>
      <c r="O120" s="512"/>
      <c r="P120" s="512"/>
      <c r="Q120" s="512"/>
      <c r="R120" s="512"/>
      <c r="S120" s="512"/>
      <c r="T120" s="512"/>
      <c r="U120" s="512"/>
      <c r="V120" s="512"/>
      <c r="W120" s="512"/>
      <c r="X120" s="512"/>
    </row>
    <row r="121" spans="1:27" s="33" customFormat="1">
      <c r="A121" s="47" t="s">
        <v>7</v>
      </c>
      <c r="B121" s="47" t="s">
        <v>7</v>
      </c>
      <c r="C121" s="78" t="s">
        <v>7</v>
      </c>
      <c r="D121" s="604" t="s">
        <v>7</v>
      </c>
      <c r="E121" s="78" t="s">
        <v>7</v>
      </c>
      <c r="F121" s="78" t="s">
        <v>7</v>
      </c>
      <c r="G121" s="78" t="s">
        <v>7</v>
      </c>
      <c r="H121" s="78" t="s">
        <v>7</v>
      </c>
      <c r="I121" s="78" t="s">
        <v>7</v>
      </c>
      <c r="J121" s="78" t="s">
        <v>7</v>
      </c>
      <c r="K121" s="78" t="s">
        <v>7</v>
      </c>
      <c r="L121" s="78" t="s">
        <v>7</v>
      </c>
      <c r="M121" s="78" t="s">
        <v>7</v>
      </c>
      <c r="N121" s="78" t="s">
        <v>7</v>
      </c>
      <c r="O121" s="78" t="s">
        <v>7</v>
      </c>
      <c r="P121" s="78" t="s">
        <v>7</v>
      </c>
      <c r="Q121" s="78" t="s">
        <v>7</v>
      </c>
      <c r="R121" s="78" t="s">
        <v>7</v>
      </c>
      <c r="S121" s="78" t="s">
        <v>7</v>
      </c>
      <c r="T121" s="78" t="s">
        <v>7</v>
      </c>
      <c r="U121" s="78" t="s">
        <v>7</v>
      </c>
      <c r="V121" s="78" t="s">
        <v>7</v>
      </c>
      <c r="W121" s="78" t="s">
        <v>7</v>
      </c>
      <c r="X121" s="78" t="s">
        <v>7</v>
      </c>
    </row>
    <row r="122" spans="1:27">
      <c r="A122" s="30"/>
      <c r="B122" s="30"/>
      <c r="C122" s="30"/>
      <c r="D122" s="502"/>
      <c r="E122" s="512"/>
      <c r="F122" s="512"/>
      <c r="G122" s="512"/>
      <c r="H122" s="512"/>
      <c r="I122" s="512"/>
      <c r="J122" s="512"/>
      <c r="K122" s="512"/>
      <c r="L122" s="512"/>
      <c r="M122" s="512"/>
      <c r="N122" s="512"/>
      <c r="O122" s="512"/>
      <c r="P122" s="512"/>
      <c r="Q122" s="512"/>
      <c r="R122" s="512"/>
      <c r="S122" s="512"/>
      <c r="T122" s="512"/>
      <c r="U122" s="512"/>
      <c r="V122" s="512"/>
      <c r="W122" s="512"/>
      <c r="X122" s="512"/>
    </row>
    <row r="123" spans="1:27">
      <c r="A123" s="269" t="s">
        <v>131</v>
      </c>
      <c r="B123" s="269"/>
      <c r="C123" s="270"/>
      <c r="D123" s="513"/>
      <c r="E123" s="513"/>
      <c r="F123" s="513"/>
      <c r="G123" s="513"/>
      <c r="H123" s="513"/>
      <c r="I123" s="513"/>
      <c r="J123" s="513"/>
      <c r="K123" s="513"/>
      <c r="L123" s="513"/>
      <c r="M123" s="513"/>
      <c r="N123" s="513"/>
      <c r="O123" s="513"/>
      <c r="P123" s="513"/>
      <c r="Q123" s="513"/>
      <c r="R123" s="513"/>
      <c r="S123" s="513"/>
      <c r="T123" s="513"/>
      <c r="U123" s="513"/>
      <c r="V123" s="513"/>
      <c r="W123" s="513"/>
      <c r="X123" s="513"/>
    </row>
    <row r="124" spans="1:27">
      <c r="A124" s="69"/>
      <c r="B124" s="69"/>
      <c r="C124" s="69"/>
      <c r="D124" s="502"/>
      <c r="E124" s="504"/>
      <c r="F124" s="504"/>
      <c r="G124" s="504"/>
      <c r="H124" s="504"/>
      <c r="I124" s="504"/>
      <c r="J124" s="504"/>
      <c r="K124" s="504"/>
      <c r="L124" s="504"/>
      <c r="M124" s="504"/>
      <c r="N124" s="504"/>
      <c r="O124" s="504"/>
      <c r="P124" s="504"/>
      <c r="Q124" s="504"/>
      <c r="R124" s="504"/>
      <c r="S124" s="504"/>
      <c r="T124" s="504"/>
      <c r="U124" s="504"/>
      <c r="V124" s="504"/>
      <c r="W124" s="504"/>
      <c r="X124" s="504"/>
    </row>
    <row r="125" spans="1:27" s="96" customFormat="1">
      <c r="A125" s="69" t="s">
        <v>13</v>
      </c>
      <c r="B125" s="69"/>
      <c r="C125" s="69"/>
      <c r="D125" s="514">
        <v>0</v>
      </c>
      <c r="E125" s="515">
        <f>'OPEX - Concept B2 - RCCL'!L79</f>
        <v>12250</v>
      </c>
      <c r="F125" s="515">
        <f>'OPEX - Concept B2 - RCCL'!M79</f>
        <v>150500</v>
      </c>
      <c r="G125" s="515">
        <f>'OPEX - Concept B2 - RCCL'!N79</f>
        <v>153510</v>
      </c>
      <c r="H125" s="515">
        <f>'OPEX - Concept B2 - RCCL'!O79</f>
        <v>156580.19999999998</v>
      </c>
      <c r="I125" s="515">
        <f>'OPEX - Concept B2 - RCCL'!P79</f>
        <v>159711.80399999997</v>
      </c>
      <c r="J125" s="515">
        <f>'OPEX - Concept B2 - RCCL'!Q79</f>
        <v>162906.04007999998</v>
      </c>
      <c r="K125" s="515">
        <f>'OPEX - Concept B2 - RCCL'!R79</f>
        <v>166164.16088159999</v>
      </c>
      <c r="L125" s="515">
        <f>'OPEX - Concept B2 - RCCL'!S79</f>
        <v>169487.444099232</v>
      </c>
      <c r="M125" s="515">
        <f>'OPEX - Concept B2 - RCCL'!T79</f>
        <v>172877.19298121665</v>
      </c>
      <c r="N125" s="515">
        <f>'OPEX - Concept B2 - RCCL'!U79</f>
        <v>176334.73684084098</v>
      </c>
      <c r="O125" s="515">
        <f>'OPEX - Concept B2 - RCCL'!V79</f>
        <v>179861.43157765782</v>
      </c>
      <c r="P125" s="515">
        <f>'OPEX - Concept B2 - RCCL'!W79</f>
        <v>183458.66020921097</v>
      </c>
      <c r="Q125" s="515">
        <f>'OPEX - Concept B2 - RCCL'!X79</f>
        <v>187127.83341339519</v>
      </c>
      <c r="R125" s="515">
        <f>'OPEX - Concept B2 - RCCL'!Y79</f>
        <v>190870.39008166309</v>
      </c>
      <c r="S125" s="515">
        <f>'OPEX - Concept B2 - RCCL'!Z79</f>
        <v>194687.79788329633</v>
      </c>
      <c r="T125" s="515">
        <f>'OPEX - Concept B2 - RCCL'!AA79</f>
        <v>198581.5538409623</v>
      </c>
      <c r="U125" s="515">
        <f>'OPEX - Concept B2 - RCCL'!AB79</f>
        <v>202553.18491778153</v>
      </c>
      <c r="V125" s="515">
        <f>'OPEX - Concept B2 - RCCL'!AC79</f>
        <v>206604.24861613716</v>
      </c>
      <c r="W125" s="515">
        <f>'OPEX - Concept B2 - RCCL'!AD79</f>
        <v>210736.33358845994</v>
      </c>
      <c r="X125" s="515">
        <f>'OPEX - Concept B2 - RCCL'!AE79</f>
        <v>214951.06026022913</v>
      </c>
    </row>
    <row r="126" spans="1:27" s="96" customFormat="1">
      <c r="A126" s="69" t="s">
        <v>41</v>
      </c>
      <c r="B126" s="69"/>
      <c r="C126" s="69"/>
      <c r="D126" s="514">
        <v>0</v>
      </c>
      <c r="E126" s="515">
        <f>'OPEX - Concept B2 - RCCL'!L87</f>
        <v>25000</v>
      </c>
      <c r="F126" s="515">
        <f>'OPEX - Concept B2 - RCCL'!M87</f>
        <v>25500</v>
      </c>
      <c r="G126" s="515">
        <f>'OPEX - Concept B2 - RCCL'!N87</f>
        <v>26010</v>
      </c>
      <c r="H126" s="515">
        <f>'OPEX - Concept B2 - RCCL'!O87</f>
        <v>26530.199999999997</v>
      </c>
      <c r="I126" s="515">
        <f>'OPEX - Concept B2 - RCCL'!P87</f>
        <v>27060.804</v>
      </c>
      <c r="J126" s="515">
        <f>'OPEX - Concept B2 - RCCL'!Q87</f>
        <v>27602.020080000002</v>
      </c>
      <c r="K126" s="515">
        <f>'OPEX - Concept B2 - RCCL'!R87</f>
        <v>28154.060481600001</v>
      </c>
      <c r="L126" s="515">
        <f>'OPEX - Concept B2 - RCCL'!S87</f>
        <v>28717.141691232002</v>
      </c>
      <c r="M126" s="515">
        <f>'OPEX - Concept B2 - RCCL'!T87</f>
        <v>29291.484525056643</v>
      </c>
      <c r="N126" s="515">
        <f>'OPEX - Concept B2 - RCCL'!U87</f>
        <v>29877.314215557777</v>
      </c>
      <c r="O126" s="515">
        <f>'OPEX - Concept B2 - RCCL'!V87</f>
        <v>30474.860499868933</v>
      </c>
      <c r="P126" s="515">
        <f>'OPEX - Concept B2 - RCCL'!W87</f>
        <v>31084.357709866312</v>
      </c>
      <c r="Q126" s="515">
        <f>'OPEX - Concept B2 - RCCL'!X87</f>
        <v>31706.044864063639</v>
      </c>
      <c r="R126" s="515">
        <f>'OPEX - Concept B2 - RCCL'!Y87</f>
        <v>32340.165761344906</v>
      </c>
      <c r="S126" s="515">
        <f>'OPEX - Concept B2 - RCCL'!Z87</f>
        <v>32986.969076571811</v>
      </c>
      <c r="T126" s="515">
        <f>'OPEX - Concept B2 - RCCL'!AA87</f>
        <v>33646.708458103247</v>
      </c>
      <c r="U126" s="515">
        <f>'OPEX - Concept B2 - RCCL'!AB87</f>
        <v>34319.642627265312</v>
      </c>
      <c r="V126" s="515">
        <f>'OPEX - Concept B2 - RCCL'!AC87</f>
        <v>35006.03547981062</v>
      </c>
      <c r="W126" s="515">
        <f>'OPEX - Concept B2 - RCCL'!AD87</f>
        <v>35706.156189406836</v>
      </c>
      <c r="X126" s="515">
        <f>'OPEX - Concept B2 - RCCL'!AE87</f>
        <v>36420.279313194973</v>
      </c>
    </row>
    <row r="127" spans="1:27" s="96" customFormat="1">
      <c r="A127" s="69" t="s">
        <v>424</v>
      </c>
      <c r="B127" s="69"/>
      <c r="C127" s="69"/>
      <c r="D127" s="514">
        <v>0</v>
      </c>
      <c r="E127" s="515">
        <f>'OPEX - Concept B2 - RCCL'!L88</f>
        <v>10000</v>
      </c>
      <c r="F127" s="515">
        <f>'OPEX - Concept B2 - RCCL'!M88</f>
        <v>500</v>
      </c>
      <c r="G127" s="515">
        <f>'OPEX - Concept B2 - RCCL'!N88</f>
        <v>520.20000000000005</v>
      </c>
      <c r="H127" s="515">
        <f>'OPEX - Concept B2 - RCCL'!O88</f>
        <v>530.60399999999993</v>
      </c>
      <c r="I127" s="515">
        <f>'OPEX - Concept B2 - RCCL'!P88</f>
        <v>541.21608000000003</v>
      </c>
      <c r="J127" s="515">
        <f>'OPEX - Concept B2 - RCCL'!Q88</f>
        <v>5000</v>
      </c>
      <c r="K127" s="515">
        <f>'OPEX - Concept B2 - RCCL'!R88</f>
        <v>563.08120963200008</v>
      </c>
      <c r="L127" s="515">
        <f>'OPEX - Concept B2 - RCCL'!S88</f>
        <v>574.34283382464002</v>
      </c>
      <c r="M127" s="515">
        <f>'OPEX - Concept B2 - RCCL'!T88</f>
        <v>585.82969050113286</v>
      </c>
      <c r="N127" s="515">
        <f>'OPEX - Concept B2 - RCCL'!U88</f>
        <v>597.54628431115555</v>
      </c>
      <c r="O127" s="515">
        <f>'OPEX - Concept B2 - RCCL'!V88</f>
        <v>5000</v>
      </c>
      <c r="P127" s="515">
        <f>'OPEX - Concept B2 - RCCL'!W88</f>
        <v>621.68715419732621</v>
      </c>
      <c r="Q127" s="515">
        <f>'OPEX - Concept B2 - RCCL'!X88</f>
        <v>634.12089728127273</v>
      </c>
      <c r="R127" s="515">
        <f>'OPEX - Concept B2 - RCCL'!Y88</f>
        <v>646.80331522689812</v>
      </c>
      <c r="S127" s="515">
        <f>'OPEX - Concept B2 - RCCL'!Z88</f>
        <v>659.73938153143615</v>
      </c>
      <c r="T127" s="515">
        <f>'OPEX - Concept B2 - RCCL'!AA88</f>
        <v>5000</v>
      </c>
      <c r="U127" s="515">
        <f>'OPEX - Concept B2 - RCCL'!AB88</f>
        <v>686.39285254530625</v>
      </c>
      <c r="V127" s="515">
        <f>'OPEX - Concept B2 - RCCL'!AC88</f>
        <v>700.12070959621246</v>
      </c>
      <c r="W127" s="515">
        <f>'OPEX - Concept B2 - RCCL'!AD88</f>
        <v>714.1231237881367</v>
      </c>
      <c r="X127" s="515">
        <f>'OPEX - Concept B2 - RCCL'!AE88</f>
        <v>728.40558626389941</v>
      </c>
    </row>
    <row r="128" spans="1:27" s="96" customFormat="1">
      <c r="A128" s="69" t="s">
        <v>42</v>
      </c>
      <c r="B128" s="69"/>
      <c r="C128" s="69"/>
      <c r="D128" s="514">
        <v>0</v>
      </c>
      <c r="E128" s="515">
        <f>'OPEX - Concept B2 - RCCL'!L89</f>
        <v>50000</v>
      </c>
      <c r="F128" s="515">
        <f>'OPEX - Concept B2 - RCCL'!M89</f>
        <v>51000</v>
      </c>
      <c r="G128" s="515">
        <f>'OPEX - Concept B2 - RCCL'!N89</f>
        <v>52020</v>
      </c>
      <c r="H128" s="515">
        <f>'OPEX - Concept B2 - RCCL'!O89</f>
        <v>53060.399999999994</v>
      </c>
      <c r="I128" s="515">
        <f>'OPEX - Concept B2 - RCCL'!P89</f>
        <v>54121.608</v>
      </c>
      <c r="J128" s="515">
        <f>'OPEX - Concept B2 - RCCL'!Q89</f>
        <v>55204.040160000004</v>
      </c>
      <c r="K128" s="515">
        <f>'OPEX - Concept B2 - RCCL'!R89</f>
        <v>56308.120963200003</v>
      </c>
      <c r="L128" s="515">
        <f>'OPEX - Concept B2 - RCCL'!S89</f>
        <v>57434.283382464004</v>
      </c>
      <c r="M128" s="515">
        <f>'OPEX - Concept B2 - RCCL'!T89</f>
        <v>58582.969050113286</v>
      </c>
      <c r="N128" s="515">
        <f>'OPEX - Concept B2 - RCCL'!U89</f>
        <v>59754.628431115554</v>
      </c>
      <c r="O128" s="515">
        <f>'OPEX - Concept B2 - RCCL'!V89</f>
        <v>60949.720999737867</v>
      </c>
      <c r="P128" s="515">
        <f>'OPEX - Concept B2 - RCCL'!W89</f>
        <v>62168.715419732624</v>
      </c>
      <c r="Q128" s="515">
        <f>'OPEX - Concept B2 - RCCL'!X89</f>
        <v>63412.089728127277</v>
      </c>
      <c r="R128" s="515">
        <f>'OPEX - Concept B2 - RCCL'!Y89</f>
        <v>64680.331522689812</v>
      </c>
      <c r="S128" s="515">
        <f>'OPEX - Concept B2 - RCCL'!Z89</f>
        <v>65973.938153143623</v>
      </c>
      <c r="T128" s="515">
        <f>'OPEX - Concept B2 - RCCL'!AA89</f>
        <v>67293.416916206494</v>
      </c>
      <c r="U128" s="515">
        <f>'OPEX - Concept B2 - RCCL'!AB89</f>
        <v>68639.285254530623</v>
      </c>
      <c r="V128" s="515">
        <f>'OPEX - Concept B2 - RCCL'!AC89</f>
        <v>70012.07095962124</v>
      </c>
      <c r="W128" s="515">
        <f>'OPEX - Concept B2 - RCCL'!AD89</f>
        <v>71412.312378813673</v>
      </c>
      <c r="X128" s="515">
        <f>'OPEX - Concept B2 - RCCL'!AE89</f>
        <v>72840.558626389946</v>
      </c>
    </row>
    <row r="129" spans="1:24" s="96" customFormat="1">
      <c r="A129" s="69" t="s">
        <v>43</v>
      </c>
      <c r="B129" s="69"/>
      <c r="C129" s="69"/>
      <c r="D129" s="514">
        <v>0</v>
      </c>
      <c r="E129" s="515">
        <f>'OPEX - Concept B2 - RCCL'!L90</f>
        <v>500</v>
      </c>
      <c r="F129" s="515">
        <f>'OPEX - Concept B2 - RCCL'!M90</f>
        <v>1530</v>
      </c>
      <c r="G129" s="515">
        <f>'OPEX - Concept B2 - RCCL'!N90</f>
        <v>1560.6</v>
      </c>
      <c r="H129" s="515">
        <f>'OPEX - Concept B2 - RCCL'!O90</f>
        <v>1591.8119999999999</v>
      </c>
      <c r="I129" s="515">
        <f>'OPEX - Concept B2 - RCCL'!P90</f>
        <v>1623.64824</v>
      </c>
      <c r="J129" s="515">
        <f>'OPEX - Concept B2 - RCCL'!Q90</f>
        <v>1656.1212048</v>
      </c>
      <c r="K129" s="515">
        <f>'OPEX - Concept B2 - RCCL'!R90</f>
        <v>1689.243628896</v>
      </c>
      <c r="L129" s="515">
        <f>'OPEX - Concept B2 - RCCL'!S90</f>
        <v>1723.02850147392</v>
      </c>
      <c r="M129" s="515">
        <f>'OPEX - Concept B2 - RCCL'!T90</f>
        <v>1757.4890715033987</v>
      </c>
      <c r="N129" s="515">
        <f>'OPEX - Concept B2 - RCCL'!U90</f>
        <v>1792.6388529334665</v>
      </c>
      <c r="O129" s="515">
        <f>'OPEX - Concept B2 - RCCL'!V90</f>
        <v>1828.491629992136</v>
      </c>
      <c r="P129" s="515">
        <f>'OPEX - Concept B2 - RCCL'!W90</f>
        <v>1865.0614625919786</v>
      </c>
      <c r="Q129" s="515">
        <f>'OPEX - Concept B2 - RCCL'!X90</f>
        <v>1902.3626918438183</v>
      </c>
      <c r="R129" s="515">
        <f>'OPEX - Concept B2 - RCCL'!Y90</f>
        <v>1940.4099456806944</v>
      </c>
      <c r="S129" s="515">
        <f>'OPEX - Concept B2 - RCCL'!Z90</f>
        <v>1979.2181445943086</v>
      </c>
      <c r="T129" s="515">
        <f>'OPEX - Concept B2 - RCCL'!AA90</f>
        <v>2018.8025074861948</v>
      </c>
      <c r="U129" s="515">
        <f>'OPEX - Concept B2 - RCCL'!AB90</f>
        <v>2059.1785576359189</v>
      </c>
      <c r="V129" s="515">
        <f>'OPEX - Concept B2 - RCCL'!AC90</f>
        <v>2100.3621287886372</v>
      </c>
      <c r="W129" s="515">
        <f>'OPEX - Concept B2 - RCCL'!AD90</f>
        <v>2142.3693713644102</v>
      </c>
      <c r="X129" s="515">
        <f>'OPEX - Concept B2 - RCCL'!AE90</f>
        <v>2185.2167587916983</v>
      </c>
    </row>
    <row r="130" spans="1:24" s="96" customFormat="1">
      <c r="A130" s="69" t="s">
        <v>44</v>
      </c>
      <c r="B130" s="69"/>
      <c r="C130" s="69"/>
      <c r="D130" s="514">
        <v>0</v>
      </c>
      <c r="E130" s="515">
        <f>'OPEX - Concept B2 - RCCL'!L91</f>
        <v>250</v>
      </c>
      <c r="F130" s="515">
        <f>'OPEX - Concept B2 - RCCL'!M91</f>
        <v>765</v>
      </c>
      <c r="G130" s="515">
        <f>'OPEX - Concept B2 - RCCL'!N91</f>
        <v>780.3</v>
      </c>
      <c r="H130" s="515">
        <f>'OPEX - Concept B2 - RCCL'!O91</f>
        <v>795.90599999999995</v>
      </c>
      <c r="I130" s="515">
        <f>'OPEX - Concept B2 - RCCL'!P91</f>
        <v>811.82411999999999</v>
      </c>
      <c r="J130" s="515">
        <f>'OPEX - Concept B2 - RCCL'!Q91</f>
        <v>828.06060239999999</v>
      </c>
      <c r="K130" s="515">
        <f>'OPEX - Concept B2 - RCCL'!R91</f>
        <v>844.62181444800001</v>
      </c>
      <c r="L130" s="515">
        <f>'OPEX - Concept B2 - RCCL'!S91</f>
        <v>861.51425073695998</v>
      </c>
      <c r="M130" s="515">
        <f>'OPEX - Concept B2 - RCCL'!T91</f>
        <v>878.74453575169935</v>
      </c>
      <c r="N130" s="515">
        <f>'OPEX - Concept B2 - RCCL'!U91</f>
        <v>896.31942646673326</v>
      </c>
      <c r="O130" s="515">
        <f>'OPEX - Concept B2 - RCCL'!V91</f>
        <v>914.24581499606802</v>
      </c>
      <c r="P130" s="515">
        <f>'OPEX - Concept B2 - RCCL'!W91</f>
        <v>932.53073129598931</v>
      </c>
      <c r="Q130" s="515">
        <f>'OPEX - Concept B2 - RCCL'!X91</f>
        <v>951.18134592190916</v>
      </c>
      <c r="R130" s="515">
        <f>'OPEX - Concept B2 - RCCL'!Y91</f>
        <v>970.20497284034718</v>
      </c>
      <c r="S130" s="515">
        <f>'OPEX - Concept B2 - RCCL'!Z91</f>
        <v>989.60907229715428</v>
      </c>
      <c r="T130" s="515">
        <f>'OPEX - Concept B2 - RCCL'!AA91</f>
        <v>1009.4012537430974</v>
      </c>
      <c r="U130" s="515">
        <f>'OPEX - Concept B2 - RCCL'!AB91</f>
        <v>1029.5892788179594</v>
      </c>
      <c r="V130" s="515">
        <f>'OPEX - Concept B2 - RCCL'!AC91</f>
        <v>1050.1810643943186</v>
      </c>
      <c r="W130" s="515">
        <f>'OPEX - Concept B2 - RCCL'!AD91</f>
        <v>1071.1846856822051</v>
      </c>
      <c r="X130" s="515">
        <f>'OPEX - Concept B2 - RCCL'!AE91</f>
        <v>1092.6083793958492</v>
      </c>
    </row>
    <row r="131" spans="1:24" s="96" customFormat="1">
      <c r="A131" s="69" t="s">
        <v>2</v>
      </c>
      <c r="B131" s="69"/>
      <c r="C131" s="69"/>
      <c r="D131" s="514">
        <v>0</v>
      </c>
      <c r="E131" s="515">
        <f>'OPEX - Concept B2 - RCCL'!L92</f>
        <v>1000</v>
      </c>
      <c r="F131" s="515">
        <f>'OPEX - Concept B2 - RCCL'!M92</f>
        <v>1020</v>
      </c>
      <c r="G131" s="515">
        <f>'OPEX - Concept B2 - RCCL'!N92</f>
        <v>1040.4000000000001</v>
      </c>
      <c r="H131" s="515">
        <f>'OPEX - Concept B2 - RCCL'!O92</f>
        <v>1061.2079999999999</v>
      </c>
      <c r="I131" s="515">
        <f>'OPEX - Concept B2 - RCCL'!P92</f>
        <v>1082.4321600000001</v>
      </c>
      <c r="J131" s="515">
        <f>'OPEX - Concept B2 - RCCL'!Q92</f>
        <v>1104.0808032</v>
      </c>
      <c r="K131" s="515">
        <f>'OPEX - Concept B2 - RCCL'!R92</f>
        <v>1126.1624192640002</v>
      </c>
      <c r="L131" s="515">
        <f>'OPEX - Concept B2 - RCCL'!S92</f>
        <v>1148.68566764928</v>
      </c>
      <c r="M131" s="515">
        <f>'OPEX - Concept B2 - RCCL'!T92</f>
        <v>1171.6593810022657</v>
      </c>
      <c r="N131" s="515">
        <f>'OPEX - Concept B2 - RCCL'!U92</f>
        <v>1195.0925686223111</v>
      </c>
      <c r="O131" s="515">
        <f>'OPEX - Concept B2 - RCCL'!V92</f>
        <v>1218.9944199947574</v>
      </c>
      <c r="P131" s="515">
        <f>'OPEX - Concept B2 - RCCL'!W92</f>
        <v>1243.3743083946524</v>
      </c>
      <c r="Q131" s="515">
        <f>'OPEX - Concept B2 - RCCL'!X92</f>
        <v>1268.2417945625455</v>
      </c>
      <c r="R131" s="515">
        <f>'OPEX - Concept B2 - RCCL'!Y92</f>
        <v>1293.6066304537962</v>
      </c>
      <c r="S131" s="515">
        <f>'OPEX - Concept B2 - RCCL'!Z92</f>
        <v>1319.4787630628723</v>
      </c>
      <c r="T131" s="515">
        <f>'OPEX - Concept B2 - RCCL'!AA92</f>
        <v>1345.8683383241298</v>
      </c>
      <c r="U131" s="515">
        <f>'OPEX - Concept B2 - RCCL'!AB92</f>
        <v>1372.7857050906125</v>
      </c>
      <c r="V131" s="515">
        <f>'OPEX - Concept B2 - RCCL'!AC92</f>
        <v>1400.2414191924249</v>
      </c>
      <c r="W131" s="515">
        <f>'OPEX - Concept B2 - RCCL'!AD92</f>
        <v>1428.2462475762734</v>
      </c>
      <c r="X131" s="515">
        <f>'OPEX - Concept B2 - RCCL'!AE92</f>
        <v>1456.8111725277988</v>
      </c>
    </row>
    <row r="132" spans="1:24" s="167" customFormat="1">
      <c r="A132" s="591"/>
      <c r="B132" s="591"/>
      <c r="C132" s="591"/>
      <c r="D132" s="592"/>
      <c r="E132" s="593"/>
      <c r="F132" s="593"/>
      <c r="G132" s="593"/>
      <c r="H132" s="593"/>
      <c r="I132" s="593"/>
      <c r="J132" s="593"/>
      <c r="K132" s="593"/>
      <c r="L132" s="593"/>
      <c r="M132" s="593"/>
      <c r="N132" s="593"/>
      <c r="O132" s="593"/>
      <c r="P132" s="593"/>
      <c r="Q132" s="593"/>
      <c r="R132" s="593"/>
      <c r="S132" s="593"/>
      <c r="T132" s="593"/>
      <c r="U132" s="593"/>
      <c r="V132" s="593"/>
      <c r="W132" s="593"/>
      <c r="X132" s="593"/>
    </row>
    <row r="133" spans="1:24" s="96" customFormat="1">
      <c r="A133" s="69" t="s">
        <v>25</v>
      </c>
      <c r="B133" s="69"/>
      <c r="C133" s="69"/>
      <c r="D133" s="514">
        <v>0</v>
      </c>
      <c r="E133" s="515">
        <f>'OPEX - Concept B2 - RCCL'!L108</f>
        <v>23741.666666666664</v>
      </c>
      <c r="F133" s="515">
        <f>'OPEX - Concept B2 - RCCL'!M108</f>
        <v>24216.5</v>
      </c>
      <c r="G133" s="515">
        <f>'OPEX - Concept B2 - RCCL'!N108</f>
        <v>24700.83</v>
      </c>
      <c r="H133" s="515">
        <f>'OPEX - Concept B2 - RCCL'!O108</f>
        <v>25194.846599999997</v>
      </c>
      <c r="I133" s="515">
        <f>'OPEX - Concept B2 - RCCL'!P108</f>
        <v>25698.743532</v>
      </c>
      <c r="J133" s="515">
        <f>'OPEX - Concept B2 - RCCL'!Q108</f>
        <v>26212.718402639999</v>
      </c>
      <c r="K133" s="515">
        <f>'OPEX - Concept B2 - RCCL'!R108</f>
        <v>26736.972770692802</v>
      </c>
      <c r="L133" s="515">
        <f>'OPEX - Concept B2 - RCCL'!S108</f>
        <v>27271.712226106654</v>
      </c>
      <c r="M133" s="515">
        <f>'OPEX - Concept B2 - RCCL'!T108</f>
        <v>27817.146470628788</v>
      </c>
      <c r="N133" s="515">
        <f>'OPEX - Concept B2 - RCCL'!U108</f>
        <v>28373.48940004137</v>
      </c>
      <c r="O133" s="515">
        <f>'OPEX - Concept B2 - RCCL'!V108</f>
        <v>28940.959188042198</v>
      </c>
      <c r="P133" s="515">
        <f>'OPEX - Concept B2 - RCCL'!W108</f>
        <v>29519.77837180304</v>
      </c>
      <c r="Q133" s="515">
        <f>'OPEX - Concept B2 - RCCL'!X108</f>
        <v>30110.173939239099</v>
      </c>
      <c r="R133" s="515">
        <f>'OPEX - Concept B2 - RCCL'!Y108</f>
        <v>30712.37741802388</v>
      </c>
      <c r="S133" s="515">
        <f>'OPEX - Concept B2 - RCCL'!Z108</f>
        <v>31326.624966384359</v>
      </c>
      <c r="T133" s="515">
        <f>'OPEX - Concept B2 - RCCL'!AA108</f>
        <v>31953.157465712051</v>
      </c>
      <c r="U133" s="515">
        <f>'OPEX - Concept B2 - RCCL'!AB108</f>
        <v>32592.220615026294</v>
      </c>
      <c r="V133" s="515">
        <f>'OPEX - Concept B2 - RCCL'!AC108</f>
        <v>33244.065027326818</v>
      </c>
      <c r="W133" s="515">
        <f>'OPEX - Concept B2 - RCCL'!AD108</f>
        <v>33908.946327873353</v>
      </c>
      <c r="X133" s="515">
        <f>'OPEX - Concept B2 - RCCL'!AE108</f>
        <v>34587.125254430823</v>
      </c>
    </row>
    <row r="134" spans="1:24" s="96" customFormat="1">
      <c r="A134" s="782" t="s">
        <v>426</v>
      </c>
      <c r="B134" s="69"/>
      <c r="C134" s="69"/>
      <c r="D134" s="514">
        <v>0</v>
      </c>
      <c r="E134" s="515">
        <f>'OPEX - Concept B2 - RCCL'!L96</f>
        <v>1000</v>
      </c>
      <c r="F134" s="515">
        <f>'OPEX - Concept B2 - RCCL'!M96</f>
        <v>1020</v>
      </c>
      <c r="G134" s="515">
        <f>'OPEX - Concept B2 - RCCL'!N96</f>
        <v>1040.4000000000001</v>
      </c>
      <c r="H134" s="515">
        <f>'OPEX - Concept B2 - RCCL'!O96</f>
        <v>1061.2079999999999</v>
      </c>
      <c r="I134" s="515">
        <f>'OPEX - Concept B2 - RCCL'!P96</f>
        <v>1082.4321600000001</v>
      </c>
      <c r="J134" s="515">
        <f>'OPEX - Concept B2 - RCCL'!Q96</f>
        <v>25000</v>
      </c>
      <c r="K134" s="515">
        <f>'OPEX - Concept B2 - RCCL'!R96</f>
        <v>25500</v>
      </c>
      <c r="L134" s="515">
        <f>'OPEX - Concept B2 - RCCL'!S96</f>
        <v>26010</v>
      </c>
      <c r="M134" s="515">
        <f>'OPEX - Concept B2 - RCCL'!T96</f>
        <v>26530.199999999997</v>
      </c>
      <c r="N134" s="515">
        <f>'OPEX - Concept B2 - RCCL'!U96</f>
        <v>27060.804</v>
      </c>
      <c r="O134" s="515">
        <f>'OPEX - Concept B2 - RCCL'!V96</f>
        <v>27602.020080000002</v>
      </c>
      <c r="P134" s="515">
        <f>'OPEX - Concept B2 - RCCL'!W96</f>
        <v>28154.060481600001</v>
      </c>
      <c r="Q134" s="515">
        <f>'OPEX - Concept B2 - RCCL'!X96</f>
        <v>28717.141691232002</v>
      </c>
      <c r="R134" s="515">
        <f>'OPEX - Concept B2 - RCCL'!Y96</f>
        <v>29291.484525056643</v>
      </c>
      <c r="S134" s="515">
        <f>'OPEX - Concept B2 - RCCL'!Z96</f>
        <v>29877.314215557777</v>
      </c>
      <c r="T134" s="515">
        <f>'OPEX - Concept B2 - RCCL'!AA96</f>
        <v>30474.860499868933</v>
      </c>
      <c r="U134" s="515">
        <f>'OPEX - Concept B2 - RCCL'!AB96</f>
        <v>31084.357709866312</v>
      </c>
      <c r="V134" s="515">
        <f>'OPEX - Concept B2 - RCCL'!AC96</f>
        <v>31706.044864063639</v>
      </c>
      <c r="W134" s="515">
        <f>'OPEX - Concept B2 - RCCL'!AD96</f>
        <v>32340.165761344906</v>
      </c>
      <c r="X134" s="515">
        <f>'OPEX - Concept B2 - RCCL'!AE96</f>
        <v>32986.969076571811</v>
      </c>
    </row>
    <row r="135" spans="1:24" s="96" customFormat="1">
      <c r="A135" s="644" t="s">
        <v>302</v>
      </c>
      <c r="B135" s="69"/>
      <c r="C135" s="69"/>
      <c r="D135" s="514">
        <v>0</v>
      </c>
      <c r="E135" s="515">
        <f>'Shuttle Projections'!C28/2</f>
        <v>233675</v>
      </c>
      <c r="F135" s="515">
        <f>'Shuttle Projections'!D28</f>
        <v>476697</v>
      </c>
      <c r="G135" s="515">
        <f>'Shuttle Projections'!E28</f>
        <v>486230.94000000006</v>
      </c>
      <c r="H135" s="515">
        <f>'Shuttle Projections'!F28</f>
        <v>495955.55879999994</v>
      </c>
      <c r="I135" s="515">
        <f>'Shuttle Projections'!G28</f>
        <v>505874.66997599998</v>
      </c>
      <c r="J135" s="515">
        <f>'Shuttle Projections'!H28</f>
        <v>515992.16337552003</v>
      </c>
      <c r="K135" s="515">
        <f>'Shuttle Projections'!I28</f>
        <v>526312.00664303044</v>
      </c>
      <c r="L135" s="515">
        <f>'Shuttle Projections'!J28</f>
        <v>536838.24677589093</v>
      </c>
      <c r="M135" s="515">
        <f>'Shuttle Projections'!K28</f>
        <v>547575.01171140897</v>
      </c>
      <c r="N135" s="515">
        <f>'Shuttle Projections'!L28</f>
        <v>558526.51194563706</v>
      </c>
      <c r="O135" s="515">
        <f>'Shuttle Projections'!M28</f>
        <v>569697.04218454985</v>
      </c>
      <c r="P135" s="515">
        <f>'Shuttle Projections'!N28</f>
        <v>581090.98302824085</v>
      </c>
      <c r="Q135" s="515">
        <f>'Shuttle Projections'!O28</f>
        <v>592712.80268880562</v>
      </c>
      <c r="R135" s="515">
        <f>'Shuttle Projections'!P28</f>
        <v>604567.05874258175</v>
      </c>
      <c r="S135" s="515">
        <f>'Shuttle Projections'!Q28</f>
        <v>616658.39991743339</v>
      </c>
      <c r="T135" s="515">
        <f>'Shuttle Projections'!R28</f>
        <v>628991.5679157821</v>
      </c>
      <c r="U135" s="515">
        <f>'Shuttle Projections'!S28</f>
        <v>641571.39927409776</v>
      </c>
      <c r="V135" s="515">
        <f>'Shuttle Projections'!T28</f>
        <v>654402.82725957979</v>
      </c>
      <c r="W135" s="515">
        <f>'Shuttle Projections'!U28</f>
        <v>667490.88380477135</v>
      </c>
      <c r="X135" s="515">
        <f>'Shuttle Projections'!V28</f>
        <v>680840.70148086676</v>
      </c>
    </row>
    <row r="136" spans="1:24" s="422" customFormat="1" ht="14.25">
      <c r="A136" s="790" t="s">
        <v>132</v>
      </c>
      <c r="B136" s="276"/>
      <c r="C136" s="276"/>
      <c r="D136" s="516">
        <f>SUM(D124:D135)</f>
        <v>0</v>
      </c>
      <c r="E136" s="517">
        <f>SUM(E125:E135)</f>
        <v>357416.66666666663</v>
      </c>
      <c r="F136" s="517">
        <f t="shared" ref="F136:X136" si="17">SUM(F125:F135)</f>
        <v>732748.5</v>
      </c>
      <c r="G136" s="517">
        <f t="shared" si="17"/>
        <v>747413.67</v>
      </c>
      <c r="H136" s="517">
        <f t="shared" si="17"/>
        <v>762361.94339999987</v>
      </c>
      <c r="I136" s="517">
        <f t="shared" si="17"/>
        <v>777609.18226799998</v>
      </c>
      <c r="J136" s="517">
        <f t="shared" si="17"/>
        <v>821505.24470855994</v>
      </c>
      <c r="K136" s="517">
        <f t="shared" si="17"/>
        <v>833398.43081236328</v>
      </c>
      <c r="L136" s="517">
        <f t="shared" si="17"/>
        <v>850066.39942861046</v>
      </c>
      <c r="M136" s="517">
        <f t="shared" si="17"/>
        <v>867067.72741718288</v>
      </c>
      <c r="N136" s="517">
        <f t="shared" si="17"/>
        <v>884409.08196552633</v>
      </c>
      <c r="O136" s="517">
        <f t="shared" si="17"/>
        <v>906487.76639483962</v>
      </c>
      <c r="P136" s="517">
        <f t="shared" si="17"/>
        <v>920139.20887693379</v>
      </c>
      <c r="Q136" s="517">
        <f t="shared" si="17"/>
        <v>938541.99305447238</v>
      </c>
      <c r="R136" s="517">
        <f t="shared" si="17"/>
        <v>957312.83291556174</v>
      </c>
      <c r="S136" s="517">
        <f t="shared" si="17"/>
        <v>976459.08957387297</v>
      </c>
      <c r="T136" s="517">
        <f t="shared" si="17"/>
        <v>1000315.3371961885</v>
      </c>
      <c r="U136" s="517">
        <f t="shared" si="17"/>
        <v>1015908.0367926576</v>
      </c>
      <c r="V136" s="517">
        <f t="shared" si="17"/>
        <v>1036226.1975285108</v>
      </c>
      <c r="W136" s="517">
        <f t="shared" si="17"/>
        <v>1056950.7214790811</v>
      </c>
      <c r="X136" s="517">
        <f t="shared" si="17"/>
        <v>1078089.7359086627</v>
      </c>
    </row>
    <row r="137" spans="1:24" s="96" customFormat="1">
      <c r="A137" s="719"/>
      <c r="B137" s="69"/>
      <c r="C137" s="69"/>
      <c r="D137" s="514"/>
      <c r="E137" s="515"/>
      <c r="F137" s="515"/>
      <c r="G137" s="515"/>
      <c r="H137" s="515"/>
      <c r="I137" s="515"/>
      <c r="J137" s="515"/>
      <c r="K137" s="515"/>
      <c r="L137" s="515"/>
      <c r="M137" s="515"/>
      <c r="N137" s="515"/>
      <c r="O137" s="515"/>
      <c r="P137" s="515"/>
      <c r="Q137" s="515"/>
      <c r="R137" s="515"/>
      <c r="S137" s="515"/>
      <c r="T137" s="515"/>
      <c r="U137" s="515"/>
      <c r="V137" s="515"/>
      <c r="W137" s="515"/>
      <c r="X137" s="515"/>
    </row>
    <row r="138" spans="1:24" s="96" customFormat="1">
      <c r="A138" s="269" t="s">
        <v>85</v>
      </c>
      <c r="B138" s="269"/>
      <c r="C138" s="793"/>
      <c r="D138" s="513"/>
      <c r="E138" s="513"/>
      <c r="F138" s="513"/>
      <c r="G138" s="513"/>
      <c r="H138" s="513"/>
      <c r="I138" s="513"/>
      <c r="J138" s="513"/>
      <c r="K138" s="513"/>
      <c r="L138" s="513"/>
      <c r="M138" s="513"/>
      <c r="N138" s="513"/>
      <c r="O138" s="513"/>
      <c r="P138" s="513"/>
      <c r="Q138" s="513"/>
      <c r="R138" s="513"/>
      <c r="S138" s="513"/>
      <c r="T138" s="513"/>
      <c r="U138" s="513"/>
      <c r="V138" s="513"/>
      <c r="W138" s="513"/>
      <c r="X138" s="513"/>
    </row>
    <row r="139" spans="1:24" s="58" customFormat="1">
      <c r="A139" s="263"/>
      <c r="B139" s="263"/>
      <c r="C139" s="783"/>
      <c r="D139" s="514"/>
      <c r="E139" s="515"/>
      <c r="F139" s="515"/>
      <c r="G139" s="515"/>
      <c r="H139" s="515"/>
      <c r="I139" s="515"/>
      <c r="J139" s="515"/>
      <c r="K139" s="515"/>
      <c r="L139" s="515"/>
      <c r="M139" s="515"/>
      <c r="N139" s="515"/>
      <c r="O139" s="515"/>
      <c r="P139" s="515"/>
      <c r="Q139" s="515"/>
      <c r="R139" s="515"/>
      <c r="S139" s="515"/>
      <c r="T139" s="515"/>
      <c r="U139" s="515"/>
      <c r="V139" s="515"/>
      <c r="W139" s="515"/>
      <c r="X139" s="515"/>
    </row>
    <row r="140" spans="1:24" s="58" customFormat="1">
      <c r="A140" s="69" t="s">
        <v>0</v>
      </c>
      <c r="B140" s="263"/>
      <c r="C140" s="783"/>
      <c r="D140" s="514">
        <v>0</v>
      </c>
      <c r="E140" s="515">
        <f>'OPEX - Concept B2 - RCCL'!L131</f>
        <v>0</v>
      </c>
      <c r="F140" s="515">
        <f>'OPEX - Concept B2 - RCCL'!M131</f>
        <v>54570</v>
      </c>
      <c r="G140" s="515">
        <f>'OPEX - Concept B2 - RCCL'!N131</f>
        <v>56774.628000000004</v>
      </c>
      <c r="H140" s="515">
        <f>'OPEX - Concept B2 - RCCL'!O131</f>
        <v>57910.120559999996</v>
      </c>
      <c r="I140" s="515">
        <f>'OPEX - Concept B2 - RCCL'!P131</f>
        <v>59068.322971199988</v>
      </c>
      <c r="J140" s="515">
        <f>'OPEX - Concept B2 - RCCL'!Q131</f>
        <v>60249.689430623999</v>
      </c>
      <c r="K140" s="515">
        <f>'OPEX - Concept B2 - RCCL'!R131</f>
        <v>61454.683219236475</v>
      </c>
      <c r="L140" s="515">
        <f>'OPEX - Concept B2 - RCCL'!S131</f>
        <v>62683.776883621205</v>
      </c>
      <c r="M140" s="515">
        <f>'OPEX - Concept B2 - RCCL'!T131</f>
        <v>63937.452421293638</v>
      </c>
      <c r="N140" s="515">
        <f>'OPEX - Concept B2 - RCCL'!U131</f>
        <v>65216.201469719512</v>
      </c>
      <c r="O140" s="515">
        <f>'OPEX - Concept B2 - RCCL'!V131</f>
        <v>66520.525499113894</v>
      </c>
      <c r="P140" s="515">
        <f>'OPEX - Concept B2 - RCCL'!W131</f>
        <v>67850.936009096185</v>
      </c>
      <c r="Q140" s="515">
        <f>'OPEX - Concept B2 - RCCL'!X131</f>
        <v>69207.954729278121</v>
      </c>
      <c r="R140" s="515">
        <f>'OPEX - Concept B2 - RCCL'!Y131</f>
        <v>70592.113823863678</v>
      </c>
      <c r="S140" s="515">
        <f>'OPEX - Concept B2 - RCCL'!Z131</f>
        <v>72003.956100340947</v>
      </c>
      <c r="T140" s="515">
        <f>'OPEX - Concept B2 - RCCL'!AA131</f>
        <v>73444.035222347768</v>
      </c>
      <c r="U140" s="515">
        <f>'OPEX - Concept B2 - RCCL'!AB131</f>
        <v>74912.915926794725</v>
      </c>
      <c r="V140" s="515">
        <f>'OPEX - Concept B2 - RCCL'!AC131</f>
        <v>76411.174245330621</v>
      </c>
      <c r="W140" s="515">
        <f>'OPEX - Concept B2 - RCCL'!AD131</f>
        <v>77939.397730237237</v>
      </c>
      <c r="X140" s="515">
        <f>'OPEX - Concept B2 - RCCL'!AE131</f>
        <v>79498.18568484197</v>
      </c>
    </row>
    <row r="141" spans="1:24" s="58" customFormat="1">
      <c r="A141" s="69" t="s">
        <v>4</v>
      </c>
      <c r="B141" s="263"/>
      <c r="C141" s="783"/>
      <c r="D141" s="514">
        <v>0</v>
      </c>
      <c r="E141" s="515">
        <f>'OPEX - Concept B2 - RCCL'!L154</f>
        <v>0</v>
      </c>
      <c r="F141" s="515">
        <f>'OPEX - Concept B2 - RCCL'!M154</f>
        <v>85335.846153846156</v>
      </c>
      <c r="G141" s="515">
        <f>'OPEX - Concept B2 - RCCL'!N154</f>
        <v>87042.563076923077</v>
      </c>
      <c r="H141" s="515">
        <f>'OPEX - Concept B2 - RCCL'!O154</f>
        <v>88783.41433846156</v>
      </c>
      <c r="I141" s="515">
        <f>'OPEX - Concept B2 - RCCL'!P154</f>
        <v>90559.082625230774</v>
      </c>
      <c r="J141" s="515">
        <f>'OPEX - Concept B2 - RCCL'!Q154</f>
        <v>92370.264277735376</v>
      </c>
      <c r="K141" s="515">
        <f>'OPEX - Concept B2 - RCCL'!R154</f>
        <v>94217.669563290081</v>
      </c>
      <c r="L141" s="515">
        <f>'OPEX - Concept B2 - RCCL'!S154</f>
        <v>96102.022954555898</v>
      </c>
      <c r="M141" s="515">
        <f>'OPEX - Concept B2 - RCCL'!T154</f>
        <v>98024.063413647003</v>
      </c>
      <c r="N141" s="515">
        <f>'OPEX - Concept B2 - RCCL'!U154</f>
        <v>99984.544681919942</v>
      </c>
      <c r="O141" s="515">
        <f>'OPEX - Concept B2 - RCCL'!V154</f>
        <v>101984.23557555837</v>
      </c>
      <c r="P141" s="515">
        <f>'OPEX - Concept B2 - RCCL'!W154</f>
        <v>104023.92028706953</v>
      </c>
      <c r="Q141" s="515">
        <f>'OPEX - Concept B2 - RCCL'!X154</f>
        <v>106104.39869281092</v>
      </c>
      <c r="R141" s="515">
        <f>'OPEX - Concept B2 - RCCL'!Y154</f>
        <v>108226.48666666714</v>
      </c>
      <c r="S141" s="515">
        <f>'OPEX - Concept B2 - RCCL'!Z154</f>
        <v>110391.01640000047</v>
      </c>
      <c r="T141" s="515">
        <f>'OPEX - Concept B2 - RCCL'!AA154</f>
        <v>112598.8367280005</v>
      </c>
      <c r="U141" s="515">
        <f>'OPEX - Concept B2 - RCCL'!AB154</f>
        <v>114850.8134625605</v>
      </c>
      <c r="V141" s="515">
        <f>'OPEX - Concept B2 - RCCL'!AC154</f>
        <v>117147.82973181173</v>
      </c>
      <c r="W141" s="515">
        <f>'OPEX - Concept B2 - RCCL'!AD154</f>
        <v>119490.78632644797</v>
      </c>
      <c r="X141" s="515">
        <f>'OPEX - Concept B2 - RCCL'!AE154</f>
        <v>121880.60205297693</v>
      </c>
    </row>
    <row r="142" spans="1:24" s="16" customFormat="1" ht="14.25">
      <c r="A142" s="282" t="s">
        <v>133</v>
      </c>
      <c r="B142" s="276"/>
      <c r="C142" s="276"/>
      <c r="D142" s="516">
        <f>SUM(D140:D141)</f>
        <v>0</v>
      </c>
      <c r="E142" s="517">
        <f>SUM(E140:E141)</f>
        <v>0</v>
      </c>
      <c r="F142" s="517">
        <f t="shared" ref="F142:X142" si="18">SUM(F140:F141)</f>
        <v>139905.84615384616</v>
      </c>
      <c r="G142" s="517">
        <f t="shared" si="18"/>
        <v>143817.19107692307</v>
      </c>
      <c r="H142" s="517">
        <f t="shared" si="18"/>
        <v>146693.53489846154</v>
      </c>
      <c r="I142" s="517">
        <f t="shared" si="18"/>
        <v>149627.40559643076</v>
      </c>
      <c r="J142" s="517">
        <f t="shared" si="18"/>
        <v>152619.95370835939</v>
      </c>
      <c r="K142" s="517">
        <f t="shared" si="18"/>
        <v>155672.35278252655</v>
      </c>
      <c r="L142" s="517">
        <f t="shared" si="18"/>
        <v>158785.7998381771</v>
      </c>
      <c r="M142" s="517">
        <f t="shared" si="18"/>
        <v>161961.51583494066</v>
      </c>
      <c r="N142" s="517">
        <f t="shared" si="18"/>
        <v>165200.74615163944</v>
      </c>
      <c r="O142" s="517">
        <f t="shared" si="18"/>
        <v>168504.76107467228</v>
      </c>
      <c r="P142" s="517">
        <f t="shared" si="18"/>
        <v>171874.85629616573</v>
      </c>
      <c r="Q142" s="517">
        <f t="shared" si="18"/>
        <v>175312.35342208904</v>
      </c>
      <c r="R142" s="517">
        <f t="shared" si="18"/>
        <v>178818.60049053084</v>
      </c>
      <c r="S142" s="517">
        <f t="shared" si="18"/>
        <v>182394.97250034142</v>
      </c>
      <c r="T142" s="517">
        <f t="shared" si="18"/>
        <v>186042.87195034826</v>
      </c>
      <c r="U142" s="517">
        <f t="shared" si="18"/>
        <v>189763.72938935523</v>
      </c>
      <c r="V142" s="517">
        <f t="shared" si="18"/>
        <v>193559.00397714233</v>
      </c>
      <c r="W142" s="517">
        <f t="shared" si="18"/>
        <v>197430.18405668519</v>
      </c>
      <c r="X142" s="517">
        <f t="shared" si="18"/>
        <v>201378.7877378189</v>
      </c>
    </row>
    <row r="143" spans="1:24">
      <c r="A143" s="92"/>
      <c r="B143" s="92"/>
      <c r="C143" s="69"/>
      <c r="D143" s="514"/>
      <c r="E143" s="515"/>
      <c r="F143" s="515"/>
      <c r="G143" s="515"/>
      <c r="H143" s="515"/>
      <c r="I143" s="515"/>
      <c r="J143" s="515"/>
      <c r="K143" s="515"/>
      <c r="L143" s="515"/>
      <c r="M143" s="515"/>
      <c r="N143" s="515"/>
      <c r="O143" s="515"/>
      <c r="P143" s="515"/>
      <c r="Q143" s="515"/>
      <c r="R143" s="515"/>
      <c r="S143" s="515"/>
      <c r="T143" s="515"/>
      <c r="U143" s="515"/>
      <c r="V143" s="515"/>
      <c r="W143" s="515"/>
      <c r="X143" s="515"/>
    </row>
    <row r="144" spans="1:24" s="16" customFormat="1" ht="14.25">
      <c r="A144" s="350" t="s">
        <v>118</v>
      </c>
      <c r="B144" s="350"/>
      <c r="C144" s="351"/>
      <c r="D144" s="519">
        <f t="shared" ref="D144:X144" si="19">SUM(D136,D142)</f>
        <v>0</v>
      </c>
      <c r="E144" s="519">
        <f t="shared" si="19"/>
        <v>357416.66666666663</v>
      </c>
      <c r="F144" s="519">
        <f t="shared" si="19"/>
        <v>872654.34615384613</v>
      </c>
      <c r="G144" s="519">
        <f t="shared" si="19"/>
        <v>891230.86107692309</v>
      </c>
      <c r="H144" s="519">
        <f t="shared" si="19"/>
        <v>909055.47829846141</v>
      </c>
      <c r="I144" s="519">
        <f t="shared" si="19"/>
        <v>927236.58786443074</v>
      </c>
      <c r="J144" s="519">
        <f t="shared" si="19"/>
        <v>974125.19841691933</v>
      </c>
      <c r="K144" s="519">
        <f t="shared" si="19"/>
        <v>989070.7835948898</v>
      </c>
      <c r="L144" s="519">
        <f t="shared" si="19"/>
        <v>1008852.1992667876</v>
      </c>
      <c r="M144" s="519">
        <f t="shared" si="19"/>
        <v>1029029.2432521235</v>
      </c>
      <c r="N144" s="519">
        <f t="shared" si="19"/>
        <v>1049609.8281171657</v>
      </c>
      <c r="O144" s="519">
        <f t="shared" si="19"/>
        <v>1074992.5274695118</v>
      </c>
      <c r="P144" s="519">
        <f t="shared" si="19"/>
        <v>1092014.0651730995</v>
      </c>
      <c r="Q144" s="519">
        <f t="shared" si="19"/>
        <v>1113854.3464765614</v>
      </c>
      <c r="R144" s="519">
        <f t="shared" si="19"/>
        <v>1136131.4334060927</v>
      </c>
      <c r="S144" s="519">
        <f t="shared" si="19"/>
        <v>1158854.0620742145</v>
      </c>
      <c r="T144" s="519">
        <f t="shared" si="19"/>
        <v>1186358.2091465369</v>
      </c>
      <c r="U144" s="519">
        <f t="shared" si="19"/>
        <v>1205671.7661820129</v>
      </c>
      <c r="V144" s="519">
        <f t="shared" si="19"/>
        <v>1229785.2015056531</v>
      </c>
      <c r="W144" s="519">
        <f t="shared" si="19"/>
        <v>1254380.9055357664</v>
      </c>
      <c r="X144" s="519">
        <f t="shared" si="19"/>
        <v>1279468.5236464816</v>
      </c>
    </row>
    <row r="145" spans="1:24" s="222" customFormat="1" ht="14.25">
      <c r="A145" s="280"/>
      <c r="B145" s="280"/>
      <c r="C145" s="263"/>
      <c r="D145" s="518"/>
      <c r="E145" s="520"/>
      <c r="F145" s="520"/>
      <c r="G145" s="520"/>
      <c r="H145" s="520"/>
      <c r="I145" s="520"/>
      <c r="J145" s="520"/>
      <c r="K145" s="520"/>
      <c r="L145" s="520"/>
      <c r="M145" s="520"/>
      <c r="N145" s="520"/>
      <c r="O145" s="520"/>
      <c r="P145" s="520"/>
      <c r="Q145" s="520"/>
      <c r="R145" s="520"/>
      <c r="S145" s="520"/>
      <c r="T145" s="520"/>
      <c r="U145" s="520"/>
      <c r="V145" s="520"/>
      <c r="W145" s="520"/>
      <c r="X145" s="520"/>
    </row>
    <row r="146" spans="1:24" s="222" customFormat="1" ht="14.25">
      <c r="A146" s="271" t="s">
        <v>295</v>
      </c>
      <c r="B146" s="271"/>
      <c r="C146" s="269"/>
      <c r="D146" s="521"/>
      <c r="E146" s="521"/>
      <c r="F146" s="521"/>
      <c r="G146" s="521"/>
      <c r="H146" s="521"/>
      <c r="I146" s="521"/>
      <c r="J146" s="521"/>
      <c r="K146" s="521"/>
      <c r="L146" s="521"/>
      <c r="M146" s="521"/>
      <c r="N146" s="521"/>
      <c r="O146" s="521"/>
      <c r="P146" s="521"/>
      <c r="Q146" s="521"/>
      <c r="R146" s="521"/>
      <c r="S146" s="521"/>
      <c r="T146" s="521"/>
      <c r="U146" s="521"/>
      <c r="V146" s="521"/>
      <c r="W146" s="521"/>
      <c r="X146" s="521"/>
    </row>
    <row r="147" spans="1:24" s="222" customFormat="1" ht="14.25">
      <c r="A147" s="280"/>
      <c r="B147" s="280"/>
      <c r="C147" s="263"/>
      <c r="D147" s="518"/>
      <c r="E147" s="520"/>
      <c r="F147" s="520"/>
      <c r="G147" s="520"/>
      <c r="H147" s="520"/>
      <c r="I147" s="520"/>
      <c r="J147" s="520"/>
      <c r="K147" s="520"/>
      <c r="L147" s="520"/>
      <c r="M147" s="520"/>
      <c r="N147" s="520"/>
      <c r="O147" s="520"/>
      <c r="P147" s="520"/>
      <c r="Q147" s="520"/>
      <c r="R147" s="520"/>
      <c r="S147" s="520"/>
      <c r="T147" s="520"/>
      <c r="U147" s="520"/>
      <c r="V147" s="520"/>
      <c r="W147" s="520"/>
      <c r="X147" s="520"/>
    </row>
    <row r="148" spans="1:24" s="725" customFormat="1">
      <c r="A148" s="353" t="s">
        <v>228</v>
      </c>
      <c r="B148" s="691"/>
      <c r="C148" s="724"/>
      <c r="D148" s="699">
        <v>0</v>
      </c>
      <c r="E148" s="700"/>
      <c r="F148" s="700"/>
      <c r="G148" s="700"/>
      <c r="H148" s="700"/>
      <c r="I148" s="700"/>
      <c r="J148" s="700"/>
      <c r="K148" s="700"/>
      <c r="L148" s="700"/>
      <c r="M148" s="700"/>
      <c r="N148" s="700"/>
      <c r="O148" s="700"/>
      <c r="P148" s="700"/>
      <c r="Q148" s="700"/>
      <c r="R148" s="700"/>
      <c r="S148" s="700"/>
      <c r="T148" s="700"/>
      <c r="U148" s="700"/>
      <c r="V148" s="700"/>
      <c r="W148" s="700"/>
      <c r="X148" s="700"/>
    </row>
    <row r="149" spans="1:24" s="725" customFormat="1">
      <c r="A149" s="726" t="s">
        <v>228</v>
      </c>
      <c r="B149" s="727"/>
      <c r="C149" s="728"/>
      <c r="D149" s="729">
        <v>0</v>
      </c>
      <c r="E149" s="730"/>
      <c r="F149" s="730"/>
      <c r="G149" s="730"/>
      <c r="H149" s="730"/>
      <c r="I149" s="730"/>
      <c r="J149" s="730"/>
      <c r="K149" s="730"/>
      <c r="L149" s="730"/>
      <c r="M149" s="730"/>
      <c r="N149" s="730"/>
      <c r="O149" s="730"/>
      <c r="P149" s="730"/>
      <c r="Q149" s="730"/>
      <c r="R149" s="730"/>
      <c r="S149" s="730"/>
      <c r="T149" s="730"/>
      <c r="U149" s="730"/>
      <c r="V149" s="730"/>
      <c r="W149" s="730"/>
      <c r="X149" s="730"/>
    </row>
    <row r="150" spans="1:24" s="725" customFormat="1" ht="14.25">
      <c r="A150" s="691" t="s">
        <v>296</v>
      </c>
      <c r="B150" s="691"/>
      <c r="C150" s="724"/>
      <c r="D150" s="731">
        <f t="shared" ref="D150:X150" si="20">SUM(D148:D149)</f>
        <v>0</v>
      </c>
      <c r="E150" s="732">
        <f t="shared" si="20"/>
        <v>0</v>
      </c>
      <c r="F150" s="732">
        <f t="shared" si="20"/>
        <v>0</v>
      </c>
      <c r="G150" s="732">
        <f t="shared" si="20"/>
        <v>0</v>
      </c>
      <c r="H150" s="732">
        <f t="shared" si="20"/>
        <v>0</v>
      </c>
      <c r="I150" s="732">
        <f t="shared" si="20"/>
        <v>0</v>
      </c>
      <c r="J150" s="732">
        <f t="shared" si="20"/>
        <v>0</v>
      </c>
      <c r="K150" s="732">
        <f t="shared" si="20"/>
        <v>0</v>
      </c>
      <c r="L150" s="732">
        <f t="shared" si="20"/>
        <v>0</v>
      </c>
      <c r="M150" s="732">
        <f t="shared" si="20"/>
        <v>0</v>
      </c>
      <c r="N150" s="732">
        <f t="shared" si="20"/>
        <v>0</v>
      </c>
      <c r="O150" s="732">
        <f t="shared" si="20"/>
        <v>0</v>
      </c>
      <c r="P150" s="732">
        <f t="shared" si="20"/>
        <v>0</v>
      </c>
      <c r="Q150" s="732">
        <f t="shared" si="20"/>
        <v>0</v>
      </c>
      <c r="R150" s="732">
        <f t="shared" si="20"/>
        <v>0</v>
      </c>
      <c r="S150" s="732">
        <f t="shared" si="20"/>
        <v>0</v>
      </c>
      <c r="T150" s="732">
        <f t="shared" si="20"/>
        <v>0</v>
      </c>
      <c r="U150" s="732">
        <f t="shared" si="20"/>
        <v>0</v>
      </c>
      <c r="V150" s="732">
        <f t="shared" si="20"/>
        <v>0</v>
      </c>
      <c r="W150" s="732">
        <f t="shared" si="20"/>
        <v>0</v>
      </c>
      <c r="X150" s="732">
        <f t="shared" si="20"/>
        <v>0</v>
      </c>
    </row>
    <row r="151" spans="1:24" s="222" customFormat="1">
      <c r="A151" s="280"/>
      <c r="B151" s="280"/>
      <c r="C151" s="263"/>
      <c r="D151" s="514"/>
      <c r="E151" s="515"/>
      <c r="F151" s="520"/>
      <c r="G151" s="520"/>
      <c r="H151" s="520"/>
      <c r="I151" s="520"/>
      <c r="J151" s="520"/>
      <c r="K151" s="520"/>
      <c r="L151" s="520"/>
      <c r="M151" s="520"/>
      <c r="N151" s="520"/>
      <c r="O151" s="520"/>
      <c r="P151" s="520"/>
      <c r="Q151" s="520"/>
      <c r="R151" s="520"/>
      <c r="S151" s="520"/>
      <c r="T151" s="520"/>
      <c r="U151" s="520"/>
      <c r="V151" s="520"/>
      <c r="W151" s="520"/>
      <c r="X151" s="520"/>
    </row>
    <row r="152" spans="1:24" s="222" customFormat="1" ht="14.25">
      <c r="A152" s="296" t="s">
        <v>140</v>
      </c>
      <c r="B152" s="296"/>
      <c r="C152" s="297"/>
      <c r="D152" s="522">
        <f t="shared" ref="D152:X152" si="21">SUM(D144,D150)</f>
        <v>0</v>
      </c>
      <c r="E152" s="522">
        <f t="shared" si="21"/>
        <v>357416.66666666663</v>
      </c>
      <c r="F152" s="522">
        <f t="shared" si="21"/>
        <v>872654.34615384613</v>
      </c>
      <c r="G152" s="522">
        <f t="shared" si="21"/>
        <v>891230.86107692309</v>
      </c>
      <c r="H152" s="522">
        <f t="shared" si="21"/>
        <v>909055.47829846141</v>
      </c>
      <c r="I152" s="522">
        <f t="shared" si="21"/>
        <v>927236.58786443074</v>
      </c>
      <c r="J152" s="522">
        <f t="shared" si="21"/>
        <v>974125.19841691933</v>
      </c>
      <c r="K152" s="522">
        <f t="shared" si="21"/>
        <v>989070.7835948898</v>
      </c>
      <c r="L152" s="522">
        <f t="shared" si="21"/>
        <v>1008852.1992667876</v>
      </c>
      <c r="M152" s="522">
        <f t="shared" si="21"/>
        <v>1029029.2432521235</v>
      </c>
      <c r="N152" s="522">
        <f t="shared" si="21"/>
        <v>1049609.8281171657</v>
      </c>
      <c r="O152" s="522">
        <f t="shared" si="21"/>
        <v>1074992.5274695118</v>
      </c>
      <c r="P152" s="522">
        <f t="shared" si="21"/>
        <v>1092014.0651730995</v>
      </c>
      <c r="Q152" s="522">
        <f t="shared" si="21"/>
        <v>1113854.3464765614</v>
      </c>
      <c r="R152" s="522">
        <f t="shared" si="21"/>
        <v>1136131.4334060927</v>
      </c>
      <c r="S152" s="522">
        <f t="shared" si="21"/>
        <v>1158854.0620742145</v>
      </c>
      <c r="T152" s="522">
        <f t="shared" si="21"/>
        <v>1186358.2091465369</v>
      </c>
      <c r="U152" s="522">
        <f t="shared" si="21"/>
        <v>1205671.7661820129</v>
      </c>
      <c r="V152" s="522">
        <f t="shared" si="21"/>
        <v>1229785.2015056531</v>
      </c>
      <c r="W152" s="522">
        <f t="shared" si="21"/>
        <v>1254380.9055357664</v>
      </c>
      <c r="X152" s="522">
        <f t="shared" si="21"/>
        <v>1279468.5236464816</v>
      </c>
    </row>
    <row r="153" spans="1:24">
      <c r="A153" s="92"/>
      <c r="B153" s="92"/>
      <c r="C153" s="69"/>
      <c r="D153" s="514"/>
      <c r="E153" s="515"/>
      <c r="F153" s="515"/>
      <c r="G153" s="515"/>
      <c r="H153" s="515"/>
      <c r="I153" s="515"/>
      <c r="J153" s="515"/>
      <c r="K153" s="515"/>
      <c r="L153" s="515"/>
      <c r="M153" s="515"/>
      <c r="N153" s="515"/>
      <c r="O153" s="515"/>
      <c r="P153" s="515"/>
      <c r="Q153" s="515"/>
      <c r="R153" s="515"/>
      <c r="S153" s="515"/>
      <c r="T153" s="515"/>
      <c r="U153" s="515"/>
      <c r="V153" s="515"/>
      <c r="W153" s="515"/>
      <c r="X153" s="515"/>
    </row>
    <row r="154" spans="1:24" s="33" customFormat="1">
      <c r="A154" s="47" t="s">
        <v>7</v>
      </c>
      <c r="B154" s="47" t="s">
        <v>7</v>
      </c>
      <c r="C154" s="78" t="s">
        <v>7</v>
      </c>
      <c r="D154" s="604" t="s">
        <v>7</v>
      </c>
      <c r="E154" s="78" t="s">
        <v>7</v>
      </c>
      <c r="F154" s="78" t="s">
        <v>7</v>
      </c>
      <c r="G154" s="78" t="s">
        <v>7</v>
      </c>
      <c r="H154" s="78" t="s">
        <v>7</v>
      </c>
      <c r="I154" s="78" t="s">
        <v>7</v>
      </c>
      <c r="J154" s="78" t="s">
        <v>7</v>
      </c>
      <c r="K154" s="78" t="s">
        <v>7</v>
      </c>
      <c r="L154" s="78" t="s">
        <v>7</v>
      </c>
      <c r="M154" s="78" t="s">
        <v>7</v>
      </c>
      <c r="N154" s="78" t="s">
        <v>7</v>
      </c>
      <c r="O154" s="78" t="s">
        <v>7</v>
      </c>
      <c r="P154" s="78" t="s">
        <v>7</v>
      </c>
      <c r="Q154" s="78" t="s">
        <v>7</v>
      </c>
      <c r="R154" s="78" t="s">
        <v>7</v>
      </c>
      <c r="S154" s="78" t="s">
        <v>7</v>
      </c>
      <c r="T154" s="78" t="s">
        <v>7</v>
      </c>
      <c r="U154" s="78" t="s">
        <v>7</v>
      </c>
      <c r="V154" s="78" t="s">
        <v>7</v>
      </c>
      <c r="W154" s="78" t="s">
        <v>7</v>
      </c>
      <c r="X154" s="78" t="s">
        <v>7</v>
      </c>
    </row>
    <row r="155" spans="1:24">
      <c r="A155" s="92"/>
      <c r="B155" s="92"/>
      <c r="C155" s="69"/>
      <c r="D155" s="518"/>
      <c r="E155" s="515"/>
      <c r="F155" s="515"/>
      <c r="G155" s="515"/>
      <c r="H155" s="515"/>
      <c r="I155" s="515"/>
      <c r="J155" s="515"/>
      <c r="K155" s="515"/>
      <c r="L155" s="515"/>
      <c r="M155" s="515"/>
      <c r="N155" s="515"/>
      <c r="O155" s="515"/>
      <c r="P155" s="515"/>
      <c r="Q155" s="515"/>
      <c r="R155" s="515"/>
      <c r="S155" s="515"/>
      <c r="T155" s="515"/>
      <c r="U155" s="515"/>
      <c r="V155" s="515"/>
      <c r="W155" s="515"/>
      <c r="X155" s="515"/>
    </row>
    <row r="156" spans="1:24" s="16" customFormat="1" ht="14.25">
      <c r="A156" s="278" t="s">
        <v>116</v>
      </c>
      <c r="B156" s="263"/>
      <c r="C156" s="263"/>
      <c r="D156" s="518">
        <f>D119-(D136+D142)</f>
        <v>0</v>
      </c>
      <c r="E156" s="520">
        <f>E119-E152</f>
        <v>-299391.66666666663</v>
      </c>
      <c r="F156" s="520">
        <f t="shared" ref="F156:X156" si="22">F119-F152</f>
        <v>360298.38790421456</v>
      </c>
      <c r="G156" s="520">
        <f t="shared" si="22"/>
        <v>483113.32766229869</v>
      </c>
      <c r="H156" s="520">
        <f t="shared" si="22"/>
        <v>490555.59421554476</v>
      </c>
      <c r="I156" s="520">
        <f t="shared" si="22"/>
        <v>498146.70609985583</v>
      </c>
      <c r="J156" s="520">
        <f t="shared" si="22"/>
        <v>724461.26142665267</v>
      </c>
      <c r="K156" s="520">
        <f t="shared" si="22"/>
        <v>736329.09544555377</v>
      </c>
      <c r="L156" s="520">
        <f t="shared" si="22"/>
        <v>743897.36735446495</v>
      </c>
      <c r="M156" s="520">
        <f t="shared" si="22"/>
        <v>751617.00470155431</v>
      </c>
      <c r="N156" s="520">
        <f t="shared" si="22"/>
        <v>759491.03479558555</v>
      </c>
      <c r="O156" s="520">
        <f t="shared" si="22"/>
        <v>825448.41770149465</v>
      </c>
      <c r="P156" s="520">
        <f t="shared" si="22"/>
        <v>838031.06140132714</v>
      </c>
      <c r="Q156" s="520">
        <f t="shared" si="22"/>
        <v>846387.04512935318</v>
      </c>
      <c r="R156" s="520">
        <f t="shared" si="22"/>
        <v>854910.14853194053</v>
      </c>
      <c r="S156" s="520">
        <f t="shared" si="22"/>
        <v>863603.71400257945</v>
      </c>
      <c r="T156" s="520">
        <f t="shared" si="22"/>
        <v>930560.45995179284</v>
      </c>
      <c r="U156" s="520">
        <f t="shared" si="22"/>
        <v>943932.31129828375</v>
      </c>
      <c r="V156" s="520">
        <f t="shared" si="22"/>
        <v>953157.99252424901</v>
      </c>
      <c r="W156" s="520">
        <f t="shared" si="22"/>
        <v>962568.18737473432</v>
      </c>
      <c r="X156" s="520">
        <f t="shared" si="22"/>
        <v>972166.586122229</v>
      </c>
    </row>
    <row r="157" spans="1:24">
      <c r="A157" s="30"/>
      <c r="B157" s="92"/>
      <c r="C157" s="69"/>
      <c r="D157" s="514"/>
      <c r="E157" s="515"/>
      <c r="F157" s="515"/>
      <c r="G157" s="515"/>
      <c r="H157" s="515"/>
      <c r="I157" s="515"/>
      <c r="J157" s="515"/>
      <c r="K157" s="515"/>
      <c r="L157" s="515"/>
      <c r="M157" s="515"/>
      <c r="N157" s="515"/>
      <c r="O157" s="515"/>
      <c r="P157" s="515"/>
      <c r="Q157" s="515"/>
      <c r="R157" s="515"/>
      <c r="S157" s="515"/>
      <c r="T157" s="515"/>
      <c r="U157" s="515"/>
      <c r="V157" s="515"/>
      <c r="W157" s="515"/>
      <c r="X157" s="515"/>
    </row>
    <row r="158" spans="1:24" s="594" customFormat="1">
      <c r="A158" s="589" t="s">
        <v>125</v>
      </c>
      <c r="B158" s="590"/>
      <c r="C158" s="591"/>
      <c r="D158" s="592">
        <v>0</v>
      </c>
      <c r="E158" s="593">
        <v>0</v>
      </c>
      <c r="F158" s="593">
        <v>0</v>
      </c>
      <c r="G158" s="593">
        <v>0</v>
      </c>
      <c r="H158" s="593">
        <v>0</v>
      </c>
      <c r="I158" s="593">
        <v>0</v>
      </c>
      <c r="J158" s="593">
        <v>0</v>
      </c>
      <c r="K158" s="593">
        <v>0</v>
      </c>
      <c r="L158" s="593">
        <v>0</v>
      </c>
      <c r="M158" s="593">
        <v>0</v>
      </c>
      <c r="N158" s="593">
        <v>0</v>
      </c>
      <c r="O158" s="593">
        <v>0</v>
      </c>
      <c r="P158" s="593">
        <v>0</v>
      </c>
      <c r="Q158" s="593">
        <v>0</v>
      </c>
      <c r="R158" s="593">
        <v>0</v>
      </c>
      <c r="S158" s="593">
        <v>0</v>
      </c>
      <c r="T158" s="593">
        <v>0</v>
      </c>
      <c r="U158" s="593">
        <v>0</v>
      </c>
      <c r="V158" s="593">
        <v>0</v>
      </c>
      <c r="W158" s="593">
        <v>0</v>
      </c>
      <c r="X158" s="593">
        <v>0</v>
      </c>
    </row>
    <row r="159" spans="1:24">
      <c r="A159" s="92"/>
      <c r="B159" s="92"/>
      <c r="C159" s="69"/>
      <c r="D159" s="514"/>
      <c r="E159" s="515"/>
      <c r="F159" s="515"/>
      <c r="G159" s="515"/>
      <c r="H159" s="515"/>
      <c r="I159" s="515"/>
      <c r="J159" s="515"/>
      <c r="K159" s="515"/>
      <c r="L159" s="515"/>
      <c r="M159" s="515"/>
      <c r="N159" s="515"/>
      <c r="O159" s="515"/>
      <c r="P159" s="515"/>
      <c r="Q159" s="515"/>
      <c r="R159" s="515"/>
      <c r="S159" s="515"/>
      <c r="T159" s="515"/>
      <c r="U159" s="515"/>
      <c r="V159" s="515"/>
      <c r="W159" s="515"/>
      <c r="X159" s="515"/>
    </row>
    <row r="160" spans="1:24" s="16" customFormat="1" ht="14.25">
      <c r="A160" s="278" t="s">
        <v>117</v>
      </c>
      <c r="B160" s="278"/>
      <c r="C160" s="263"/>
      <c r="D160" s="518">
        <v>0</v>
      </c>
      <c r="E160" s="520">
        <f>E156-E158</f>
        <v>-299391.66666666663</v>
      </c>
      <c r="F160" s="520">
        <f t="shared" ref="F160:X160" si="23">F156-F158</f>
        <v>360298.38790421456</v>
      </c>
      <c r="G160" s="520">
        <f t="shared" si="23"/>
        <v>483113.32766229869</v>
      </c>
      <c r="H160" s="520">
        <f t="shared" si="23"/>
        <v>490555.59421554476</v>
      </c>
      <c r="I160" s="520">
        <f t="shared" si="23"/>
        <v>498146.70609985583</v>
      </c>
      <c r="J160" s="520">
        <f t="shared" si="23"/>
        <v>724461.26142665267</v>
      </c>
      <c r="K160" s="520">
        <f t="shared" si="23"/>
        <v>736329.09544555377</v>
      </c>
      <c r="L160" s="520">
        <f t="shared" si="23"/>
        <v>743897.36735446495</v>
      </c>
      <c r="M160" s="520">
        <f t="shared" si="23"/>
        <v>751617.00470155431</v>
      </c>
      <c r="N160" s="520">
        <f t="shared" si="23"/>
        <v>759491.03479558555</v>
      </c>
      <c r="O160" s="520">
        <f t="shared" si="23"/>
        <v>825448.41770149465</v>
      </c>
      <c r="P160" s="520">
        <f t="shared" si="23"/>
        <v>838031.06140132714</v>
      </c>
      <c r="Q160" s="520">
        <f t="shared" si="23"/>
        <v>846387.04512935318</v>
      </c>
      <c r="R160" s="520">
        <f t="shared" si="23"/>
        <v>854910.14853194053</v>
      </c>
      <c r="S160" s="520">
        <f t="shared" si="23"/>
        <v>863603.71400257945</v>
      </c>
      <c r="T160" s="520">
        <f t="shared" si="23"/>
        <v>930560.45995179284</v>
      </c>
      <c r="U160" s="520">
        <f t="shared" si="23"/>
        <v>943932.31129828375</v>
      </c>
      <c r="V160" s="520">
        <f t="shared" si="23"/>
        <v>953157.99252424901</v>
      </c>
      <c r="W160" s="520">
        <f t="shared" si="23"/>
        <v>962568.18737473432</v>
      </c>
      <c r="X160" s="520">
        <f t="shared" si="23"/>
        <v>972166.586122229</v>
      </c>
    </row>
    <row r="161" spans="1:24">
      <c r="A161" s="92"/>
      <c r="B161" s="92"/>
      <c r="C161" s="69"/>
      <c r="D161" s="514"/>
      <c r="E161" s="515"/>
      <c r="F161" s="515"/>
      <c r="G161" s="515"/>
      <c r="H161" s="515"/>
      <c r="I161" s="515"/>
      <c r="J161" s="515"/>
      <c r="K161" s="515"/>
      <c r="L161" s="515"/>
      <c r="M161" s="515"/>
      <c r="N161" s="515"/>
      <c r="O161" s="515"/>
      <c r="P161" s="515"/>
      <c r="Q161" s="515"/>
      <c r="R161" s="515"/>
      <c r="S161" s="515"/>
      <c r="T161" s="515"/>
      <c r="U161" s="515"/>
      <c r="V161" s="515"/>
      <c r="W161" s="515"/>
      <c r="X161" s="515"/>
    </row>
    <row r="162" spans="1:24">
      <c r="A162" s="271" t="s">
        <v>126</v>
      </c>
      <c r="B162" s="272"/>
      <c r="C162" s="273"/>
      <c r="D162" s="523"/>
      <c r="E162" s="523"/>
      <c r="F162" s="523"/>
      <c r="G162" s="523"/>
      <c r="H162" s="523"/>
      <c r="I162" s="523"/>
      <c r="J162" s="523"/>
      <c r="K162" s="523"/>
      <c r="L162" s="523"/>
      <c r="M162" s="523"/>
      <c r="N162" s="523"/>
      <c r="O162" s="523"/>
      <c r="P162" s="523"/>
      <c r="Q162" s="523"/>
      <c r="R162" s="523"/>
      <c r="S162" s="523"/>
      <c r="T162" s="523"/>
      <c r="U162" s="523"/>
      <c r="V162" s="523"/>
      <c r="W162" s="523"/>
      <c r="X162" s="523"/>
    </row>
    <row r="163" spans="1:24" s="32" customFormat="1">
      <c r="A163" s="280"/>
      <c r="B163" s="91"/>
      <c r="C163" s="69"/>
      <c r="D163" s="514"/>
      <c r="E163" s="515"/>
      <c r="F163" s="515"/>
      <c r="G163" s="515"/>
      <c r="H163" s="515"/>
      <c r="I163" s="515"/>
      <c r="J163" s="515"/>
      <c r="K163" s="515"/>
      <c r="L163" s="515"/>
      <c r="M163" s="515"/>
      <c r="N163" s="515"/>
      <c r="O163" s="515"/>
      <c r="P163" s="515"/>
      <c r="Q163" s="515"/>
      <c r="R163" s="515"/>
      <c r="S163" s="515"/>
      <c r="T163" s="515"/>
      <c r="U163" s="515"/>
      <c r="V163" s="515"/>
      <c r="W163" s="515"/>
      <c r="X163" s="515"/>
    </row>
    <row r="164" spans="1:24" s="96" customFormat="1">
      <c r="A164" s="885" t="s">
        <v>136</v>
      </c>
      <c r="B164" s="719"/>
      <c r="C164" s="69"/>
      <c r="D164" s="514">
        <v>0</v>
      </c>
      <c r="E164" s="515">
        <f>'OPEX - Concept B2 - RCCL'!L169</f>
        <v>0</v>
      </c>
      <c r="F164" s="515">
        <f>'OPEX - Concept B2 - RCCL'!M169</f>
        <v>49995</v>
      </c>
      <c r="G164" s="515">
        <f>'OPEX - Concept B2 - RCCL'!N169</f>
        <v>50994.9</v>
      </c>
      <c r="H164" s="515">
        <f>'OPEX - Concept B2 - RCCL'!O169</f>
        <v>52014.798000000003</v>
      </c>
      <c r="I164" s="515">
        <f>'OPEX - Concept B2 - RCCL'!P169</f>
        <v>53055.093959999998</v>
      </c>
      <c r="J164" s="515">
        <f>'OPEX - Concept B2 - RCCL'!Q169</f>
        <v>54116.195839200002</v>
      </c>
      <c r="K164" s="515">
        <f>'OPEX - Concept B2 - RCCL'!R169</f>
        <v>55198.519755984002</v>
      </c>
      <c r="L164" s="515">
        <f>'OPEX - Concept B2 - RCCL'!S169</f>
        <v>56302.490151103681</v>
      </c>
      <c r="M164" s="515">
        <f>'OPEX - Concept B2 - RCCL'!T169</f>
        <v>57428.539954125758</v>
      </c>
      <c r="N164" s="515">
        <f>'OPEX - Concept B2 - RCCL'!U169</f>
        <v>58577.110753208275</v>
      </c>
      <c r="O164" s="515">
        <f>'OPEX - Concept B2 - RCCL'!V169</f>
        <v>59748.652968272443</v>
      </c>
      <c r="P164" s="515">
        <f>'OPEX - Concept B2 - RCCL'!W169</f>
        <v>60943.626027637896</v>
      </c>
      <c r="Q164" s="515">
        <f>'OPEX - Concept B2 - RCCL'!X169</f>
        <v>62162.498548190648</v>
      </c>
      <c r="R164" s="515">
        <f>'OPEX - Concept B2 - RCCL'!Y169</f>
        <v>63405.748519154462</v>
      </c>
      <c r="S164" s="515">
        <f>'OPEX - Concept B2 - RCCL'!Z169</f>
        <v>64673.863489537544</v>
      </c>
      <c r="T164" s="515">
        <f>'OPEX - Concept B2 - RCCL'!AA169</f>
        <v>65967.340759328305</v>
      </c>
      <c r="U164" s="515">
        <f>'OPEX - Concept B2 - RCCL'!AB169</f>
        <v>67286.687574514872</v>
      </c>
      <c r="V164" s="515">
        <f>'OPEX - Concept B2 - RCCL'!AC169</f>
        <v>68632.421326005177</v>
      </c>
      <c r="W164" s="515">
        <f>'OPEX - Concept B2 - RCCL'!AD169</f>
        <v>70005.069752525276</v>
      </c>
      <c r="X164" s="515">
        <f>'OPEX - Concept B2 - RCCL'!AE169</f>
        <v>71405.171147575791</v>
      </c>
    </row>
    <row r="165" spans="1:24" s="96" customFormat="1">
      <c r="A165" s="885" t="s">
        <v>458</v>
      </c>
      <c r="B165" s="719"/>
      <c r="C165" s="69"/>
      <c r="D165" s="514">
        <v>0</v>
      </c>
      <c r="E165" s="515">
        <f>'OPEX - Concept B2 - RCCL'!L171</f>
        <v>591295.19999999995</v>
      </c>
      <c r="F165" s="515">
        <f>'OPEX - Concept B2 - RCCL'!M171</f>
        <v>591295.19999999995</v>
      </c>
      <c r="G165" s="515">
        <f>'OPEX - Concept B2 - RCCL'!N171</f>
        <v>591295.19999999995</v>
      </c>
      <c r="H165" s="515">
        <f>'OPEX - Concept B2 - RCCL'!O171</f>
        <v>591295.19999999995</v>
      </c>
      <c r="I165" s="515">
        <f>'OPEX - Concept B2 - RCCL'!P171</f>
        <v>591295.19999999995</v>
      </c>
      <c r="J165" s="515">
        <f>'OPEX - Concept B2 - RCCL'!Q171</f>
        <v>591295.19999999995</v>
      </c>
      <c r="K165" s="515">
        <f>'OPEX - Concept B2 - RCCL'!R171</f>
        <v>591295.19999999995</v>
      </c>
      <c r="L165" s="515">
        <f>'OPEX - Concept B2 - RCCL'!S171</f>
        <v>591295.19999999995</v>
      </c>
      <c r="M165" s="515">
        <f>'OPEX - Concept B2 - RCCL'!T171</f>
        <v>591295.19999999995</v>
      </c>
      <c r="N165" s="515">
        <f>'OPEX - Concept B2 - RCCL'!U171</f>
        <v>591295.19999999995</v>
      </c>
      <c r="O165" s="515">
        <f>'OPEX - Concept B2 - RCCL'!V171</f>
        <v>591295.19999999995</v>
      </c>
      <c r="P165" s="515">
        <f>'OPEX - Concept B2 - RCCL'!W171</f>
        <v>591295.19999999995</v>
      </c>
      <c r="Q165" s="515">
        <f>'OPEX - Concept B2 - RCCL'!X171</f>
        <v>591295.19999999995</v>
      </c>
      <c r="R165" s="515">
        <f>'OPEX - Concept B2 - RCCL'!Y171</f>
        <v>591295.19999999995</v>
      </c>
      <c r="S165" s="515">
        <f>'OPEX - Concept B2 - RCCL'!Z171</f>
        <v>591295.19999999995</v>
      </c>
      <c r="T165" s="515">
        <f>'OPEX - Concept B2 - RCCL'!AA171</f>
        <v>591295.19999999995</v>
      </c>
      <c r="U165" s="515">
        <f>'OPEX - Concept B2 - RCCL'!AB171</f>
        <v>591295.19999999995</v>
      </c>
      <c r="V165" s="515">
        <f>'OPEX - Concept B2 - RCCL'!AC171</f>
        <v>591295.19999999995</v>
      </c>
      <c r="W165" s="515">
        <f>'OPEX - Concept B2 - RCCL'!AD171</f>
        <v>591295.19999999995</v>
      </c>
      <c r="X165" s="515">
        <f>'OPEX - Concept B2 - RCCL'!AE171</f>
        <v>591295.19999999995</v>
      </c>
    </row>
    <row r="166" spans="1:24" s="341" customFormat="1">
      <c r="A166" s="696" t="s">
        <v>315</v>
      </c>
      <c r="B166" s="697"/>
      <c r="C166" s="698"/>
      <c r="D166" s="699">
        <v>0</v>
      </c>
      <c r="E166" s="700">
        <v>0</v>
      </c>
      <c r="F166" s="700">
        <v>0</v>
      </c>
      <c r="G166" s="700">
        <v>0</v>
      </c>
      <c r="H166" s="700">
        <v>0</v>
      </c>
      <c r="I166" s="700">
        <v>0</v>
      </c>
      <c r="J166" s="700">
        <v>0</v>
      </c>
      <c r="K166" s="700">
        <v>0</v>
      </c>
      <c r="L166" s="700">
        <v>0</v>
      </c>
      <c r="M166" s="700">
        <v>0</v>
      </c>
      <c r="N166" s="700">
        <v>0</v>
      </c>
      <c r="O166" s="700">
        <v>0</v>
      </c>
      <c r="P166" s="700">
        <v>0</v>
      </c>
      <c r="Q166" s="700">
        <v>0</v>
      </c>
      <c r="R166" s="700">
        <v>0</v>
      </c>
      <c r="S166" s="700">
        <v>0</v>
      </c>
      <c r="T166" s="700">
        <v>0</v>
      </c>
      <c r="U166" s="700">
        <v>0</v>
      </c>
      <c r="V166" s="700">
        <v>0</v>
      </c>
      <c r="W166" s="700">
        <v>0</v>
      </c>
      <c r="X166" s="700">
        <v>0</v>
      </c>
    </row>
    <row r="167" spans="1:24" s="32" customFormat="1">
      <c r="A167" s="93" t="s">
        <v>316</v>
      </c>
      <c r="B167" s="298"/>
      <c r="C167" s="298"/>
      <c r="D167" s="505">
        <v>0</v>
      </c>
      <c r="E167" s="506">
        <v>246000</v>
      </c>
      <c r="F167" s="506">
        <v>246000</v>
      </c>
      <c r="G167" s="506">
        <v>246000</v>
      </c>
      <c r="H167" s="506">
        <v>246000</v>
      </c>
      <c r="I167" s="506">
        <v>246000</v>
      </c>
      <c r="J167" s="506">
        <v>246000</v>
      </c>
      <c r="K167" s="506">
        <v>246000</v>
      </c>
      <c r="L167" s="506">
        <v>246000</v>
      </c>
      <c r="M167" s="506">
        <v>246000</v>
      </c>
      <c r="N167" s="506">
        <v>246000</v>
      </c>
      <c r="O167" s="506">
        <v>246000</v>
      </c>
      <c r="P167" s="506">
        <v>246000</v>
      </c>
      <c r="Q167" s="506">
        <v>246000</v>
      </c>
      <c r="R167" s="506">
        <v>246000</v>
      </c>
      <c r="S167" s="506">
        <v>246000</v>
      </c>
      <c r="T167" s="506">
        <v>246000</v>
      </c>
      <c r="U167" s="506">
        <v>246000</v>
      </c>
      <c r="V167" s="506">
        <v>246000</v>
      </c>
      <c r="W167" s="506">
        <v>246000</v>
      </c>
      <c r="X167" s="506">
        <v>246000</v>
      </c>
    </row>
    <row r="168" spans="1:24" s="222" customFormat="1" ht="14.25">
      <c r="A168" s="263" t="s">
        <v>134</v>
      </c>
      <c r="B168" s="264"/>
      <c r="C168" s="264"/>
      <c r="D168" s="524">
        <f>SUM(D164:D167)</f>
        <v>0</v>
      </c>
      <c r="E168" s="525">
        <f t="shared" ref="E168:X168" si="24">SUM(E164:E167)</f>
        <v>837295.2</v>
      </c>
      <c r="F168" s="525">
        <f t="shared" si="24"/>
        <v>887290.2</v>
      </c>
      <c r="G168" s="525">
        <f t="shared" si="24"/>
        <v>888290.1</v>
      </c>
      <c r="H168" s="525">
        <f t="shared" si="24"/>
        <v>889309.99799999991</v>
      </c>
      <c r="I168" s="525">
        <f t="shared" si="24"/>
        <v>890350.29395999992</v>
      </c>
      <c r="J168" s="525">
        <f>SUM(J164:J167)</f>
        <v>891411.39583920001</v>
      </c>
      <c r="K168" s="525">
        <f t="shared" si="24"/>
        <v>892493.71975598391</v>
      </c>
      <c r="L168" s="525">
        <f t="shared" si="24"/>
        <v>893597.69015110366</v>
      </c>
      <c r="M168" s="525">
        <f t="shared" si="24"/>
        <v>894723.73995412572</v>
      </c>
      <c r="N168" s="525">
        <f t="shared" si="24"/>
        <v>895872.31075320824</v>
      </c>
      <c r="O168" s="525">
        <f t="shared" si="24"/>
        <v>897043.8529682724</v>
      </c>
      <c r="P168" s="525">
        <f t="shared" si="24"/>
        <v>898238.82602763781</v>
      </c>
      <c r="Q168" s="525">
        <f t="shared" si="24"/>
        <v>899457.69854819064</v>
      </c>
      <c r="R168" s="525">
        <f t="shared" si="24"/>
        <v>900700.94851915445</v>
      </c>
      <c r="S168" s="525">
        <f t="shared" si="24"/>
        <v>901969.06348953745</v>
      </c>
      <c r="T168" s="525">
        <f t="shared" si="24"/>
        <v>903262.54075932829</v>
      </c>
      <c r="U168" s="525">
        <f t="shared" si="24"/>
        <v>904581.88757451484</v>
      </c>
      <c r="V168" s="525">
        <f t="shared" si="24"/>
        <v>905927.62132600509</v>
      </c>
      <c r="W168" s="525">
        <f t="shared" si="24"/>
        <v>907300.26975252526</v>
      </c>
      <c r="X168" s="525">
        <f t="shared" si="24"/>
        <v>908700.37114757579</v>
      </c>
    </row>
    <row r="169" spans="1:24" s="32" customFormat="1">
      <c r="A169" s="69"/>
      <c r="B169" s="90"/>
      <c r="C169" s="90"/>
      <c r="D169" s="526"/>
      <c r="E169" s="527"/>
      <c r="F169" s="527"/>
      <c r="G169" s="527"/>
      <c r="H169" s="527"/>
      <c r="I169" s="527"/>
      <c r="J169" s="527"/>
      <c r="K169" s="527"/>
      <c r="L169" s="527"/>
      <c r="M169" s="527"/>
      <c r="N169" s="527"/>
      <c r="O169" s="527"/>
      <c r="P169" s="527"/>
      <c r="Q169" s="527"/>
      <c r="R169" s="527"/>
      <c r="S169" s="527"/>
      <c r="T169" s="527"/>
      <c r="U169" s="527"/>
      <c r="V169" s="527"/>
      <c r="W169" s="527"/>
      <c r="X169" s="527"/>
    </row>
    <row r="170" spans="1:24" s="32" customFormat="1">
      <c r="A170" s="94" t="s">
        <v>137</v>
      </c>
      <c r="C170" s="69"/>
      <c r="D170" s="514">
        <v>0</v>
      </c>
      <c r="E170" s="515">
        <f>E160-E164</f>
        <v>-299391.66666666663</v>
      </c>
      <c r="F170" s="515">
        <f t="shared" ref="F170:X170" si="25">F156-F164</f>
        <v>310303.38790421456</v>
      </c>
      <c r="G170" s="515">
        <f t="shared" si="25"/>
        <v>432118.42766229867</v>
      </c>
      <c r="H170" s="515">
        <f t="shared" si="25"/>
        <v>438540.79621554475</v>
      </c>
      <c r="I170" s="515">
        <f t="shared" si="25"/>
        <v>445091.61213985586</v>
      </c>
      <c r="J170" s="515">
        <f t="shared" si="25"/>
        <v>670345.06558745261</v>
      </c>
      <c r="K170" s="515">
        <f t="shared" si="25"/>
        <v>681130.57568956981</v>
      </c>
      <c r="L170" s="515">
        <f t="shared" si="25"/>
        <v>687594.87720336125</v>
      </c>
      <c r="M170" s="515">
        <f t="shared" si="25"/>
        <v>694188.46474742854</v>
      </c>
      <c r="N170" s="515">
        <f t="shared" si="25"/>
        <v>700913.92404237727</v>
      </c>
      <c r="O170" s="515">
        <f t="shared" si="25"/>
        <v>765699.7647332222</v>
      </c>
      <c r="P170" s="515">
        <f t="shared" si="25"/>
        <v>777087.43537368928</v>
      </c>
      <c r="Q170" s="515">
        <f t="shared" si="25"/>
        <v>784224.54658116249</v>
      </c>
      <c r="R170" s="515">
        <f t="shared" si="25"/>
        <v>791504.40001278603</v>
      </c>
      <c r="S170" s="515">
        <f t="shared" si="25"/>
        <v>798929.85051304195</v>
      </c>
      <c r="T170" s="515">
        <f t="shared" si="25"/>
        <v>864593.11919246451</v>
      </c>
      <c r="U170" s="515">
        <f t="shared" si="25"/>
        <v>876645.62372376886</v>
      </c>
      <c r="V170" s="515">
        <f t="shared" si="25"/>
        <v>884525.57119824388</v>
      </c>
      <c r="W170" s="515">
        <f t="shared" si="25"/>
        <v>892563.11762220901</v>
      </c>
      <c r="X170" s="515">
        <f t="shared" si="25"/>
        <v>900761.41497465316</v>
      </c>
    </row>
    <row r="171" spans="1:24" ht="16.5" customHeight="1">
      <c r="A171" s="88" t="s">
        <v>128</v>
      </c>
      <c r="B171" s="98"/>
      <c r="C171" s="98"/>
      <c r="D171" s="528">
        <v>0</v>
      </c>
      <c r="E171" s="529">
        <f>E160-E168</f>
        <v>-1136686.8666666667</v>
      </c>
      <c r="F171" s="529">
        <f t="shared" ref="F171:X171" si="26">F160-F168</f>
        <v>-526991.8120957854</v>
      </c>
      <c r="G171" s="529">
        <f t="shared" si="26"/>
        <v>-405176.77233770129</v>
      </c>
      <c r="H171" s="529">
        <f t="shared" si="26"/>
        <v>-398754.40378445515</v>
      </c>
      <c r="I171" s="529">
        <f t="shared" si="26"/>
        <v>-392203.58786014409</v>
      </c>
      <c r="J171" s="529">
        <f t="shared" si="26"/>
        <v>-166950.13441254734</v>
      </c>
      <c r="K171" s="529">
        <f t="shared" si="26"/>
        <v>-156164.62431043014</v>
      </c>
      <c r="L171" s="529">
        <f t="shared" si="26"/>
        <v>-149700.32279663871</v>
      </c>
      <c r="M171" s="529">
        <f t="shared" si="26"/>
        <v>-143106.73525257141</v>
      </c>
      <c r="N171" s="529">
        <f t="shared" si="26"/>
        <v>-136381.27595762268</v>
      </c>
      <c r="O171" s="529">
        <f t="shared" si="26"/>
        <v>-71595.435266777757</v>
      </c>
      <c r="P171" s="529">
        <f t="shared" si="26"/>
        <v>-60207.764626310673</v>
      </c>
      <c r="Q171" s="529">
        <f t="shared" si="26"/>
        <v>-53070.653418837464</v>
      </c>
      <c r="R171" s="529">
        <f t="shared" si="26"/>
        <v>-45790.799987213919</v>
      </c>
      <c r="S171" s="529">
        <f t="shared" si="26"/>
        <v>-38365.349486958003</v>
      </c>
      <c r="T171" s="529">
        <f t="shared" si="26"/>
        <v>27297.919192464557</v>
      </c>
      <c r="U171" s="529">
        <f t="shared" si="26"/>
        <v>39350.423723768909</v>
      </c>
      <c r="V171" s="529">
        <f t="shared" si="26"/>
        <v>47230.371198243927</v>
      </c>
      <c r="W171" s="529">
        <f t="shared" si="26"/>
        <v>55267.917622209061</v>
      </c>
      <c r="X171" s="529">
        <f t="shared" si="26"/>
        <v>63466.214974653209</v>
      </c>
    </row>
    <row r="172" spans="1:24" ht="16.5" customHeight="1">
      <c r="A172" s="88"/>
      <c r="B172" s="88"/>
      <c r="C172" s="88"/>
      <c r="D172" s="526"/>
      <c r="E172" s="527"/>
      <c r="F172" s="527"/>
      <c r="G172" s="527"/>
      <c r="H172" s="527"/>
      <c r="I172" s="527"/>
      <c r="J172" s="527"/>
      <c r="K172" s="527"/>
      <c r="L172" s="527"/>
      <c r="M172" s="527"/>
      <c r="N172" s="527"/>
      <c r="O172" s="527"/>
      <c r="P172" s="527"/>
      <c r="Q172" s="527"/>
      <c r="R172" s="527"/>
      <c r="S172" s="527"/>
      <c r="T172" s="527"/>
      <c r="U172" s="527"/>
      <c r="V172" s="527"/>
      <c r="W172" s="527"/>
      <c r="X172" s="527"/>
    </row>
    <row r="173" spans="1:24" ht="16.5" customHeight="1">
      <c r="A173" s="88" t="s">
        <v>129</v>
      </c>
      <c r="B173" s="632">
        <f>NPV(Cost_of_Money__DPC,E160:X160)</f>
        <v>14239284.036977045</v>
      </c>
      <c r="C173" s="88"/>
      <c r="D173" s="526"/>
      <c r="E173" s="527"/>
      <c r="F173" s="527"/>
      <c r="G173" s="527"/>
      <c r="H173" s="527"/>
      <c r="I173" s="527"/>
      <c r="J173" s="527"/>
      <c r="K173" s="527"/>
      <c r="L173" s="527"/>
      <c r="M173" s="527"/>
      <c r="N173" s="527"/>
      <c r="O173" s="527"/>
      <c r="P173" s="527"/>
      <c r="Q173" s="527"/>
      <c r="R173" s="527"/>
      <c r="S173" s="527"/>
      <c r="T173" s="527"/>
      <c r="U173" s="527"/>
      <c r="V173" s="527"/>
      <c r="W173" s="527"/>
      <c r="X173" s="527"/>
    </row>
    <row r="174" spans="1:24" ht="16.5" customHeight="1">
      <c r="A174" s="300" t="s">
        <v>130</v>
      </c>
      <c r="B174" s="733">
        <f>SUM(E171:X171)</f>
        <v>-3648533.6915493216</v>
      </c>
      <c r="C174" s="301"/>
      <c r="D174" s="530">
        <v>0</v>
      </c>
      <c r="E174" s="530">
        <f>E160-E168</f>
        <v>-1136686.8666666667</v>
      </c>
      <c r="F174" s="530">
        <f t="shared" ref="F174:X174" si="27">F160-F168</f>
        <v>-526991.8120957854</v>
      </c>
      <c r="G174" s="530">
        <f t="shared" si="27"/>
        <v>-405176.77233770129</v>
      </c>
      <c r="H174" s="530">
        <f t="shared" si="27"/>
        <v>-398754.40378445515</v>
      </c>
      <c r="I174" s="530">
        <f t="shared" si="27"/>
        <v>-392203.58786014409</v>
      </c>
      <c r="J174" s="530">
        <f t="shared" si="27"/>
        <v>-166950.13441254734</v>
      </c>
      <c r="K174" s="530">
        <f t="shared" si="27"/>
        <v>-156164.62431043014</v>
      </c>
      <c r="L174" s="530">
        <f t="shared" si="27"/>
        <v>-149700.32279663871</v>
      </c>
      <c r="M174" s="530">
        <f t="shared" si="27"/>
        <v>-143106.73525257141</v>
      </c>
      <c r="N174" s="530">
        <f t="shared" si="27"/>
        <v>-136381.27595762268</v>
      </c>
      <c r="O174" s="530">
        <f t="shared" si="27"/>
        <v>-71595.435266777757</v>
      </c>
      <c r="P174" s="530">
        <f t="shared" si="27"/>
        <v>-60207.764626310673</v>
      </c>
      <c r="Q174" s="530">
        <f t="shared" si="27"/>
        <v>-53070.653418837464</v>
      </c>
      <c r="R174" s="530">
        <f t="shared" si="27"/>
        <v>-45790.799987213919</v>
      </c>
      <c r="S174" s="530">
        <f t="shared" si="27"/>
        <v>-38365.349486958003</v>
      </c>
      <c r="T174" s="530">
        <f t="shared" si="27"/>
        <v>27297.919192464557</v>
      </c>
      <c r="U174" s="530">
        <f t="shared" si="27"/>
        <v>39350.423723768909</v>
      </c>
      <c r="V174" s="530">
        <f t="shared" si="27"/>
        <v>47230.371198243927</v>
      </c>
      <c r="W174" s="530">
        <f t="shared" si="27"/>
        <v>55267.917622209061</v>
      </c>
      <c r="X174" s="530">
        <f t="shared" si="27"/>
        <v>63466.214974653209</v>
      </c>
    </row>
    <row r="175" spans="1:24" s="58" customFormat="1" ht="16.5" customHeight="1">
      <c r="A175" s="90" t="s">
        <v>32</v>
      </c>
      <c r="B175" s="792" t="e">
        <f>IRR(E174:X174)</f>
        <v>#NUM!</v>
      </c>
      <c r="C175" s="356"/>
      <c r="D175" s="502"/>
      <c r="E175" s="504"/>
      <c r="F175" s="504"/>
      <c r="G175" s="504"/>
      <c r="H175" s="504"/>
      <c r="I175" s="504"/>
      <c r="J175" s="504"/>
      <c r="K175" s="504"/>
      <c r="L175" s="504"/>
      <c r="M175" s="504"/>
      <c r="N175" s="504"/>
      <c r="O175" s="504"/>
      <c r="P175" s="504"/>
      <c r="Q175" s="504"/>
      <c r="R175" s="504"/>
      <c r="S175" s="504"/>
      <c r="T175" s="504"/>
      <c r="U175" s="504"/>
      <c r="V175" s="504"/>
      <c r="W175" s="504"/>
      <c r="X175" s="504"/>
    </row>
    <row r="176" spans="1:24">
      <c r="A176" s="30"/>
      <c r="B176" s="30"/>
      <c r="C176" s="30"/>
      <c r="D176" s="502"/>
      <c r="E176" s="512"/>
      <c r="F176" s="512"/>
      <c r="G176" s="512"/>
      <c r="H176" s="512"/>
      <c r="I176" s="512"/>
      <c r="J176" s="512"/>
      <c r="K176" s="512"/>
      <c r="L176" s="512"/>
      <c r="M176" s="512"/>
      <c r="N176" s="512"/>
      <c r="O176" s="512"/>
      <c r="P176" s="512"/>
      <c r="Q176" s="512"/>
      <c r="R176" s="512"/>
      <c r="S176" s="512"/>
      <c r="T176" s="512"/>
      <c r="U176" s="512"/>
      <c r="V176" s="512"/>
      <c r="W176" s="512"/>
      <c r="X176" s="512"/>
    </row>
    <row r="177" spans="1:24">
      <c r="A177" s="274" t="s">
        <v>28</v>
      </c>
      <c r="B177" s="275"/>
      <c r="C177" s="275"/>
      <c r="D177" s="531"/>
      <c r="E177" s="531"/>
      <c r="F177" s="531"/>
      <c r="G177" s="531"/>
      <c r="H177" s="531"/>
      <c r="I177" s="531"/>
      <c r="J177" s="531"/>
      <c r="K177" s="531"/>
      <c r="L177" s="531"/>
      <c r="M177" s="531"/>
      <c r="N177" s="531"/>
      <c r="O177" s="531"/>
      <c r="P177" s="531"/>
      <c r="Q177" s="531"/>
      <c r="R177" s="531"/>
      <c r="S177" s="531"/>
      <c r="T177" s="531"/>
      <c r="U177" s="531"/>
      <c r="V177" s="531"/>
      <c r="W177" s="531"/>
      <c r="X177" s="531"/>
    </row>
    <row r="178" spans="1:24">
      <c r="A178" s="30"/>
      <c r="B178" s="30"/>
      <c r="C178" s="30"/>
      <c r="D178" s="502"/>
      <c r="E178" s="512"/>
      <c r="F178" s="512"/>
      <c r="G178" s="512"/>
      <c r="H178" s="512"/>
      <c r="I178" s="512"/>
      <c r="J178" s="512"/>
      <c r="K178" s="512"/>
      <c r="L178" s="512"/>
      <c r="M178" s="512"/>
      <c r="N178" s="512"/>
      <c r="O178" s="512"/>
      <c r="P178" s="512"/>
      <c r="Q178" s="512"/>
      <c r="R178" s="512"/>
      <c r="S178" s="512"/>
      <c r="T178" s="512"/>
      <c r="U178" s="512"/>
      <c r="V178" s="512"/>
      <c r="W178" s="512"/>
      <c r="X178" s="512"/>
    </row>
    <row r="179" spans="1:24">
      <c r="A179" s="30" t="s">
        <v>300</v>
      </c>
      <c r="B179" s="30"/>
      <c r="C179" s="87"/>
      <c r="D179" s="502">
        <v>0</v>
      </c>
      <c r="E179" s="512"/>
      <c r="F179" s="512"/>
      <c r="G179" s="512"/>
      <c r="H179" s="512"/>
      <c r="I179" s="512"/>
      <c r="J179" s="512"/>
      <c r="K179" s="512"/>
      <c r="L179" s="512"/>
      <c r="M179" s="512"/>
      <c r="N179" s="512"/>
      <c r="O179" s="512"/>
      <c r="P179" s="512"/>
      <c r="Q179" s="512"/>
      <c r="R179" s="512"/>
      <c r="S179" s="512"/>
      <c r="T179" s="512"/>
      <c r="U179" s="512"/>
      <c r="V179" s="512"/>
      <c r="W179" s="512"/>
      <c r="X179" s="512"/>
    </row>
    <row r="180" spans="1:24">
      <c r="A180" s="30" t="s">
        <v>301</v>
      </c>
      <c r="B180" s="30"/>
      <c r="C180" s="30"/>
      <c r="D180" s="502">
        <v>0</v>
      </c>
      <c r="E180" s="512"/>
      <c r="F180" s="512"/>
      <c r="G180" s="512"/>
      <c r="H180" s="512"/>
      <c r="I180" s="512"/>
      <c r="J180" s="512"/>
      <c r="K180" s="512"/>
      <c r="L180" s="512"/>
      <c r="M180" s="512"/>
      <c r="N180" s="512"/>
      <c r="O180" s="512"/>
      <c r="P180" s="512"/>
      <c r="Q180" s="512"/>
      <c r="R180" s="512"/>
      <c r="S180" s="512"/>
      <c r="T180" s="512"/>
      <c r="U180" s="512"/>
      <c r="V180" s="512"/>
      <c r="W180" s="512"/>
      <c r="X180" s="512"/>
    </row>
    <row r="181" spans="1:24">
      <c r="A181" s="30"/>
      <c r="B181" s="30"/>
      <c r="C181" s="30"/>
      <c r="D181" s="502"/>
      <c r="E181" s="512"/>
      <c r="F181" s="512"/>
      <c r="G181" s="512"/>
      <c r="H181" s="512"/>
      <c r="I181" s="512"/>
      <c r="J181" s="512"/>
      <c r="K181" s="512"/>
      <c r="L181" s="512"/>
      <c r="M181" s="512"/>
      <c r="N181" s="512"/>
      <c r="O181" s="512"/>
      <c r="P181" s="512"/>
      <c r="Q181" s="512"/>
      <c r="R181" s="512"/>
      <c r="S181" s="512"/>
      <c r="T181" s="512"/>
      <c r="U181" s="512"/>
      <c r="V181" s="512"/>
      <c r="W181" s="512"/>
      <c r="X181" s="512"/>
    </row>
    <row r="182" spans="1:24">
      <c r="A182" s="30" t="s">
        <v>298</v>
      </c>
      <c r="B182" s="30"/>
      <c r="C182" s="30"/>
      <c r="D182" s="502">
        <v>0</v>
      </c>
      <c r="E182" s="512"/>
      <c r="F182" s="512"/>
      <c r="G182" s="512"/>
      <c r="H182" s="512"/>
      <c r="I182" s="512"/>
      <c r="J182" s="512"/>
      <c r="K182" s="512"/>
      <c r="L182" s="512"/>
      <c r="M182" s="512"/>
      <c r="N182" s="512"/>
      <c r="O182" s="512"/>
      <c r="P182" s="512"/>
      <c r="Q182" s="512"/>
      <c r="R182" s="512"/>
      <c r="S182" s="512"/>
      <c r="T182" s="512"/>
      <c r="U182" s="512"/>
      <c r="V182" s="512"/>
      <c r="W182" s="512"/>
      <c r="X182" s="512"/>
    </row>
    <row r="183" spans="1:24">
      <c r="A183" s="30" t="s">
        <v>299</v>
      </c>
      <c r="B183" s="30"/>
      <c r="C183" s="30"/>
      <c r="D183" s="502">
        <v>0</v>
      </c>
      <c r="E183" s="512"/>
      <c r="F183" s="512"/>
      <c r="G183" s="512"/>
      <c r="H183" s="512"/>
      <c r="I183" s="512"/>
      <c r="J183" s="512"/>
      <c r="K183" s="512"/>
      <c r="L183" s="512"/>
      <c r="M183" s="512"/>
      <c r="N183" s="512"/>
      <c r="O183" s="512"/>
      <c r="P183" s="512"/>
      <c r="Q183" s="512"/>
      <c r="R183" s="512"/>
      <c r="S183" s="512"/>
      <c r="T183" s="512"/>
      <c r="U183" s="512"/>
      <c r="V183" s="512"/>
      <c r="W183" s="512"/>
      <c r="X183" s="512"/>
    </row>
    <row r="184" spans="1:24">
      <c r="D184" s="502"/>
      <c r="E184" s="532"/>
      <c r="F184" s="532"/>
      <c r="G184" s="532"/>
      <c r="H184" s="532"/>
      <c r="I184" s="532"/>
      <c r="J184" s="532"/>
      <c r="K184" s="532"/>
      <c r="L184" s="532"/>
      <c r="M184" s="532"/>
      <c r="N184" s="532"/>
      <c r="O184" s="532"/>
      <c r="P184" s="532"/>
      <c r="Q184" s="532"/>
      <c r="R184" s="532"/>
      <c r="S184" s="532"/>
      <c r="T184" s="532"/>
      <c r="U184" s="532"/>
      <c r="V184" s="532"/>
      <c r="W184" s="532"/>
      <c r="X184" s="532"/>
    </row>
    <row r="185" spans="1:24">
      <c r="A185" s="131"/>
      <c r="B185" s="131"/>
      <c r="C185" s="131"/>
      <c r="D185" s="493"/>
      <c r="E185" s="334"/>
      <c r="F185" s="334"/>
      <c r="G185" s="334"/>
      <c r="H185" s="334"/>
      <c r="I185" s="334"/>
      <c r="J185" s="334"/>
      <c r="K185" s="334"/>
      <c r="L185" s="334"/>
      <c r="M185" s="334"/>
      <c r="N185" s="334"/>
      <c r="O185" s="334"/>
      <c r="P185" s="334"/>
      <c r="Q185" s="334"/>
      <c r="R185" s="334"/>
      <c r="S185" s="334"/>
      <c r="T185" s="334"/>
      <c r="U185" s="334"/>
      <c r="V185" s="334"/>
      <c r="W185" s="334"/>
      <c r="X185" s="334"/>
    </row>
    <row r="186" spans="1:24">
      <c r="D186" s="494"/>
      <c r="E186" s="327"/>
      <c r="F186" s="327"/>
      <c r="G186" s="327"/>
      <c r="H186" s="327"/>
      <c r="I186" s="327"/>
      <c r="J186" s="327"/>
      <c r="K186" s="327"/>
      <c r="L186" s="327"/>
      <c r="M186" s="327"/>
      <c r="N186" s="327"/>
      <c r="O186" s="327"/>
      <c r="P186" s="327"/>
      <c r="Q186" s="327"/>
      <c r="R186" s="327"/>
      <c r="S186" s="327"/>
      <c r="T186" s="327"/>
      <c r="U186" s="327"/>
      <c r="V186" s="327"/>
      <c r="W186" s="327"/>
      <c r="X186" s="327"/>
    </row>
    <row r="187" spans="1:24">
      <c r="A187"/>
      <c r="D187" s="494"/>
      <c r="E187" s="327"/>
      <c r="F187" s="327"/>
      <c r="G187" s="327"/>
      <c r="H187" s="327"/>
      <c r="I187" s="327"/>
      <c r="J187" s="327"/>
      <c r="K187" s="327"/>
      <c r="L187" s="327"/>
      <c r="M187" s="327"/>
      <c r="N187" s="327"/>
      <c r="O187" s="327"/>
      <c r="P187" s="327"/>
      <c r="Q187" s="327"/>
      <c r="R187" s="327"/>
      <c r="S187" s="327"/>
      <c r="T187" s="327"/>
      <c r="U187" s="327"/>
      <c r="V187" s="327"/>
      <c r="W187" s="327"/>
      <c r="X187" s="327"/>
    </row>
    <row r="188" spans="1:24">
      <c r="A188"/>
      <c r="D188" s="494"/>
      <c r="E188" s="327"/>
      <c r="F188" s="327"/>
      <c r="G188" s="327"/>
      <c r="H188" s="327"/>
      <c r="I188" s="327"/>
      <c r="J188" s="327"/>
      <c r="K188" s="327"/>
      <c r="L188" s="327"/>
      <c r="M188" s="327"/>
      <c r="N188" s="327"/>
      <c r="O188" s="327"/>
      <c r="P188" s="327"/>
      <c r="Q188" s="327"/>
      <c r="R188" s="327"/>
      <c r="S188" s="327"/>
      <c r="T188" s="327"/>
      <c r="U188" s="327"/>
      <c r="V188" s="327"/>
      <c r="W188" s="327"/>
      <c r="X188" s="327"/>
    </row>
    <row r="189" spans="1:24">
      <c r="D189" s="494"/>
      <c r="E189" s="327"/>
      <c r="F189" s="327"/>
      <c r="G189" s="327"/>
      <c r="H189" s="362"/>
      <c r="I189" s="327"/>
      <c r="J189" s="327"/>
      <c r="K189" s="327"/>
      <c r="L189" s="327"/>
      <c r="M189" s="327"/>
      <c r="N189" s="327"/>
      <c r="O189" s="327"/>
      <c r="P189" s="327"/>
      <c r="Q189" s="327"/>
      <c r="R189" s="327"/>
      <c r="S189" s="327"/>
      <c r="T189" s="327"/>
      <c r="U189" s="327"/>
      <c r="V189" s="327"/>
      <c r="W189" s="327"/>
      <c r="X189" s="327"/>
    </row>
    <row r="190" spans="1:24">
      <c r="D190" s="326"/>
      <c r="E190" s="327"/>
      <c r="F190" s="327"/>
      <c r="G190" s="327"/>
      <c r="H190" s="359"/>
      <c r="I190" s="327"/>
      <c r="J190" s="327"/>
      <c r="K190" s="327"/>
      <c r="L190" s="327"/>
      <c r="M190" s="327"/>
      <c r="N190" s="327"/>
      <c r="O190" s="327"/>
      <c r="P190" s="327"/>
      <c r="Q190" s="327"/>
      <c r="R190" s="327"/>
      <c r="S190" s="327"/>
      <c r="T190" s="327"/>
      <c r="U190" s="327"/>
      <c r="V190" s="327"/>
      <c r="W190" s="327"/>
      <c r="X190" s="327"/>
    </row>
    <row r="191" spans="1:24">
      <c r="H191" s="305"/>
    </row>
    <row r="192" spans="1:24">
      <c r="H192" s="30"/>
    </row>
    <row r="193" spans="8:8">
      <c r="H193" s="87"/>
    </row>
    <row r="195" spans="8:8">
      <c r="H195" s="360"/>
    </row>
    <row r="196" spans="8:8">
      <c r="H196" s="361"/>
    </row>
  </sheetData>
  <pageMargins left="0.7" right="0.7" top="0.75" bottom="0.75" header="0.3" footer="0.3"/>
  <pageSetup paperSize="9" scale="2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XFD196"/>
  <sheetViews>
    <sheetView topLeftCell="A82" zoomScale="62" zoomScaleNormal="55" workbookViewId="0">
      <selection activeCell="A117" sqref="A117:XFD117"/>
    </sheetView>
  </sheetViews>
  <sheetFormatPr defaultColWidth="9" defaultRowHeight="16.5"/>
  <cols>
    <col min="1" max="1" width="71.875" style="18" customWidth="1"/>
    <col min="2" max="2" width="50.5" style="18" bestFit="1" customWidth="1"/>
    <col min="3" max="3" width="8" style="18" bestFit="1" customWidth="1"/>
    <col min="4" max="4" width="8" style="262" bestFit="1" customWidth="1"/>
    <col min="5" max="5" width="16.875" style="18" bestFit="1" customWidth="1"/>
    <col min="6" max="6" width="16.625" style="18" bestFit="1" customWidth="1"/>
    <col min="7" max="7" width="16.875" style="18" bestFit="1" customWidth="1"/>
    <col min="8" max="8" width="17.25" style="18" bestFit="1" customWidth="1"/>
    <col min="9" max="11" width="16.875" style="18" bestFit="1" customWidth="1"/>
    <col min="12" max="16" width="17.25" style="18" bestFit="1" customWidth="1"/>
    <col min="17" max="20" width="16.875" style="18" bestFit="1" customWidth="1"/>
    <col min="21" max="24" width="17.25" style="18" bestFit="1" customWidth="1"/>
    <col min="25" max="25" width="22.625" style="18" bestFit="1" customWidth="1"/>
    <col min="26" max="16384" width="9" style="18"/>
  </cols>
  <sheetData>
    <row r="1" spans="1:25" ht="18.75" thickBot="1">
      <c r="A1" s="11" t="str">
        <f>Intro!A1</f>
        <v>Town of Bar Harbor</v>
      </c>
      <c r="B1" s="27"/>
      <c r="C1" s="17"/>
      <c r="D1" s="260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</row>
    <row r="2" spans="1:25" ht="17.25" thickBot="1">
      <c r="A2" s="380" t="str">
        <f>Intro!A2</f>
        <v>Ferry Property Business Plan</v>
      </c>
      <c r="B2" s="13"/>
      <c r="C2" s="17"/>
      <c r="D2" s="260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</row>
    <row r="3" spans="1:25" s="381" customFormat="1" ht="14.25" thickBot="1">
      <c r="A3" s="384" t="str">
        <f>Intro!A3</f>
        <v>05.23.2018</v>
      </c>
      <c r="B3" s="304"/>
      <c r="C3" s="387"/>
      <c r="D3" s="388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7"/>
      <c r="X3" s="387"/>
    </row>
    <row r="4" spans="1:25" s="381" customFormat="1" ht="13.5">
      <c r="A4" s="384" t="str">
        <f ca="1">Intro!A4</f>
        <v>Town of Bar Harbor</v>
      </c>
      <c r="B4" s="382"/>
      <c r="C4" s="383">
        <f ca="1">NOW()</f>
        <v>43242.835659143515</v>
      </c>
      <c r="D4" s="388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  <c r="Q4" s="387"/>
      <c r="R4" s="387"/>
      <c r="S4" s="387"/>
      <c r="T4" s="387"/>
      <c r="U4" s="387"/>
      <c r="V4" s="387"/>
      <c r="W4" s="387"/>
      <c r="X4" s="387"/>
    </row>
    <row r="5" spans="1:25">
      <c r="A5" s="244" t="s">
        <v>343</v>
      </c>
      <c r="B5" s="244"/>
      <c r="C5" s="245"/>
      <c r="D5" s="261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</row>
    <row r="6" spans="1:25">
      <c r="D6" s="485"/>
    </row>
    <row r="7" spans="1:25">
      <c r="A7" s="22"/>
      <c r="B7" s="71"/>
      <c r="C7" s="71"/>
      <c r="D7" s="72">
        <f>'Cruise Projections'!T7</f>
        <v>2018</v>
      </c>
      <c r="E7" s="72">
        <f>'Cruise Projections'!U7</f>
        <v>2019</v>
      </c>
      <c r="F7" s="72">
        <f>'Cruise Projections'!V7</f>
        <v>2020</v>
      </c>
      <c r="G7" s="72">
        <f>'Cruise Projections'!W7</f>
        <v>2021</v>
      </c>
      <c r="H7" s="72">
        <f>'Cruise Projections'!X7</f>
        <v>2022</v>
      </c>
      <c r="I7" s="72">
        <f>'Cruise Projections'!Y7</f>
        <v>2023</v>
      </c>
      <c r="J7" s="72">
        <f>'Cruise Projections'!Z7</f>
        <v>2024</v>
      </c>
      <c r="K7" s="72">
        <f>'Cruise Projections'!AA7</f>
        <v>2025</v>
      </c>
      <c r="L7" s="72">
        <f>'Cruise Projections'!AB7</f>
        <v>2026</v>
      </c>
      <c r="M7" s="72">
        <f>'Cruise Projections'!AC7</f>
        <v>2027</v>
      </c>
      <c r="N7" s="72">
        <f>'Cruise Projections'!AD7</f>
        <v>2028</v>
      </c>
      <c r="O7" s="72">
        <f>'Cruise Projections'!AE7</f>
        <v>2029</v>
      </c>
      <c r="P7" s="72">
        <f>'Cruise Projections'!AF7</f>
        <v>2030</v>
      </c>
      <c r="Q7" s="72">
        <f>'Cruise Projections'!AG7</f>
        <v>2031</v>
      </c>
      <c r="R7" s="72">
        <f>'Cruise Projections'!AH7</f>
        <v>2032</v>
      </c>
      <c r="S7" s="72">
        <f>'Cruise Projections'!AI7</f>
        <v>2033</v>
      </c>
      <c r="T7" s="72">
        <f>'Cruise Projections'!AJ7</f>
        <v>2034</v>
      </c>
      <c r="U7" s="72">
        <f>'Cruise Projections'!AK7</f>
        <v>2035</v>
      </c>
      <c r="V7" s="72">
        <f>'Cruise Projections'!AL7</f>
        <v>2036</v>
      </c>
      <c r="W7" s="72">
        <f>'Cruise Projections'!AM7</f>
        <v>2037</v>
      </c>
      <c r="X7" s="72">
        <f>'Cruise Projections'!AN7</f>
        <v>2038</v>
      </c>
    </row>
    <row r="8" spans="1:25" ht="17.25" thickBot="1">
      <c r="D8" s="488"/>
    </row>
    <row r="9" spans="1:25" ht="17.25" thickBot="1">
      <c r="A9" s="117" t="s">
        <v>34</v>
      </c>
      <c r="B9" s="484" t="str">
        <f>'Cruise Projections'!A89</f>
        <v>Scenario 5 - Percent of 2018 Business - NCLH</v>
      </c>
      <c r="D9" s="489"/>
      <c r="E9" s="327"/>
      <c r="F9" s="327"/>
      <c r="G9" s="327"/>
      <c r="H9" s="327"/>
      <c r="I9" s="327"/>
      <c r="J9" s="327"/>
      <c r="K9" s="327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</row>
    <row r="10" spans="1:25">
      <c r="D10" s="489"/>
      <c r="E10" s="327"/>
      <c r="F10" s="327"/>
      <c r="G10" s="327"/>
      <c r="H10" s="327"/>
      <c r="I10" s="327"/>
      <c r="J10" s="327"/>
      <c r="K10" s="327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</row>
    <row r="11" spans="1:25" s="279" customFormat="1" ht="14.25">
      <c r="A11" s="279" t="s">
        <v>83</v>
      </c>
      <c r="D11" s="490"/>
      <c r="E11" s="328"/>
      <c r="F11" s="328"/>
      <c r="G11" s="328"/>
      <c r="H11" s="328"/>
      <c r="I11" s="328"/>
      <c r="J11" s="328"/>
      <c r="K11" s="328"/>
      <c r="L11" s="328"/>
      <c r="M11" s="328"/>
      <c r="N11" s="328"/>
      <c r="O11" s="328"/>
      <c r="P11" s="328"/>
      <c r="Q11" s="328"/>
      <c r="R11" s="328"/>
      <c r="S11" s="328"/>
      <c r="T11" s="328"/>
      <c r="U11" s="328"/>
      <c r="V11" s="328"/>
      <c r="W11" s="328"/>
      <c r="X11" s="328"/>
    </row>
    <row r="12" spans="1:25">
      <c r="A12" s="53" t="str">
        <f>'Cruise Projections'!A67</f>
        <v>Passengers</v>
      </c>
      <c r="B12" s="21"/>
      <c r="C12" s="21"/>
      <c r="D12" s="486">
        <f>'Cruise Projections'!T67</f>
        <v>0</v>
      </c>
      <c r="E12" s="313">
        <v>0</v>
      </c>
      <c r="F12" s="313">
        <f>'Cruise Projections'!V91</f>
        <v>51920.067226246269</v>
      </c>
      <c r="G12" s="313">
        <f>'Cruise Projections'!W91</f>
        <v>51920.067226246269</v>
      </c>
      <c r="H12" s="313">
        <f>'Cruise Projections'!X91</f>
        <v>51920.067226246269</v>
      </c>
      <c r="I12" s="313">
        <f>'Cruise Projections'!Y91</f>
        <v>51920.067226246269</v>
      </c>
      <c r="J12" s="313">
        <f>'Cruise Projections'!Z91</f>
        <v>51920.067226246269</v>
      </c>
      <c r="K12" s="313">
        <f>'Cruise Projections'!AA91</f>
        <v>51920.067226246269</v>
      </c>
      <c r="L12" s="313">
        <f>'Cruise Projections'!AB91</f>
        <v>51920.067226246269</v>
      </c>
      <c r="M12" s="313">
        <f>'Cruise Projections'!AC91</f>
        <v>51920.067226246269</v>
      </c>
      <c r="N12" s="313">
        <f>'Cruise Projections'!AD91</f>
        <v>51920.067226246269</v>
      </c>
      <c r="O12" s="313">
        <f>'Cruise Projections'!AE91</f>
        <v>51920.067226246269</v>
      </c>
      <c r="P12" s="313">
        <f>'Cruise Projections'!AF91</f>
        <v>51920.067226246269</v>
      </c>
      <c r="Q12" s="313">
        <f>'Cruise Projections'!AG91</f>
        <v>51920.067226246269</v>
      </c>
      <c r="R12" s="313">
        <f>'Cruise Projections'!AH91</f>
        <v>51920.067226246269</v>
      </c>
      <c r="S12" s="313">
        <f>'Cruise Projections'!AI91</f>
        <v>51920.067226246269</v>
      </c>
      <c r="T12" s="313">
        <f>'Cruise Projections'!AJ91</f>
        <v>51920.067226246269</v>
      </c>
      <c r="U12" s="313">
        <f>'Cruise Projections'!AK91</f>
        <v>51920.067226246269</v>
      </c>
      <c r="V12" s="313">
        <f>'Cruise Projections'!AL91</f>
        <v>51920.067226246269</v>
      </c>
      <c r="W12" s="313">
        <f>'Cruise Projections'!AM91</f>
        <v>51920.067226246269</v>
      </c>
      <c r="X12" s="313">
        <f>'Cruise Projections'!AN91</f>
        <v>51920.067226246269</v>
      </c>
      <c r="Y12" s="312"/>
    </row>
    <row r="13" spans="1:25">
      <c r="A13" s="53" t="str">
        <f>'Cruise Projections'!A68</f>
        <v>Calls</v>
      </c>
      <c r="B13" s="21"/>
      <c r="C13" s="21"/>
      <c r="D13" s="486">
        <f>'Cruise Projections'!T68</f>
        <v>0</v>
      </c>
      <c r="E13" s="313">
        <v>0</v>
      </c>
      <c r="F13" s="313">
        <f>'Cruise Projections'!V92</f>
        <v>27.711111111111112</v>
      </c>
      <c r="G13" s="313">
        <f>'Cruise Projections'!W92</f>
        <v>27.711111111111112</v>
      </c>
      <c r="H13" s="313">
        <f>'Cruise Projections'!X92</f>
        <v>27.711111111111112</v>
      </c>
      <c r="I13" s="313">
        <f>'Cruise Projections'!Y92</f>
        <v>27.711111111111112</v>
      </c>
      <c r="J13" s="313">
        <f>'Cruise Projections'!Z92</f>
        <v>27.711111111111112</v>
      </c>
      <c r="K13" s="313">
        <f>'Cruise Projections'!AA92</f>
        <v>27.711111111111112</v>
      </c>
      <c r="L13" s="313">
        <f>'Cruise Projections'!AB92</f>
        <v>27.711111111111112</v>
      </c>
      <c r="M13" s="313">
        <f>'Cruise Projections'!AC92</f>
        <v>27.711111111111112</v>
      </c>
      <c r="N13" s="313">
        <f>'Cruise Projections'!AD92</f>
        <v>27.711111111111112</v>
      </c>
      <c r="O13" s="313">
        <f>'Cruise Projections'!AE92</f>
        <v>27.711111111111112</v>
      </c>
      <c r="P13" s="313">
        <f>'Cruise Projections'!AF92</f>
        <v>27.711111111111112</v>
      </c>
      <c r="Q13" s="313">
        <f>'Cruise Projections'!AG92</f>
        <v>27.711111111111112</v>
      </c>
      <c r="R13" s="313">
        <f>'Cruise Projections'!AH92</f>
        <v>27.711111111111112</v>
      </c>
      <c r="S13" s="313">
        <f>'Cruise Projections'!AI92</f>
        <v>27.711111111111112</v>
      </c>
      <c r="T13" s="313">
        <f>'Cruise Projections'!AJ92</f>
        <v>27.711111111111112</v>
      </c>
      <c r="U13" s="313">
        <f>'Cruise Projections'!AK92</f>
        <v>27.711111111111112</v>
      </c>
      <c r="V13" s="313">
        <f>'Cruise Projections'!AL92</f>
        <v>27.711111111111112</v>
      </c>
      <c r="W13" s="313">
        <f>'Cruise Projections'!AM92</f>
        <v>27.711111111111112</v>
      </c>
      <c r="X13" s="313">
        <f>'Cruise Projections'!AN92</f>
        <v>27.711111111111112</v>
      </c>
      <c r="Y13" s="312"/>
    </row>
    <row r="14" spans="1:25">
      <c r="A14" s="53" t="str">
        <f>'Cruise Projections'!A69</f>
        <v>Passengers per Call</v>
      </c>
      <c r="B14" s="21"/>
      <c r="C14" s="21"/>
      <c r="D14" s="486">
        <f>'Cruise Projections'!T69</f>
        <v>0</v>
      </c>
      <c r="E14" s="313">
        <v>0</v>
      </c>
      <c r="F14" s="313">
        <f>'Cruise Projections'!V93</f>
        <v>1873.6191059992639</v>
      </c>
      <c r="G14" s="313">
        <f>'Cruise Projections'!W93</f>
        <v>1873.6191059992639</v>
      </c>
      <c r="H14" s="313">
        <f>'Cruise Projections'!X93</f>
        <v>1873.6191059992639</v>
      </c>
      <c r="I14" s="313">
        <f>'Cruise Projections'!Y93</f>
        <v>1873.6191059992639</v>
      </c>
      <c r="J14" s="313">
        <f>'Cruise Projections'!Z93</f>
        <v>1873.6191059992639</v>
      </c>
      <c r="K14" s="313">
        <f>'Cruise Projections'!AA93</f>
        <v>1873.6191059992639</v>
      </c>
      <c r="L14" s="313">
        <f>'Cruise Projections'!AB93</f>
        <v>1873.6191059992639</v>
      </c>
      <c r="M14" s="313">
        <f>'Cruise Projections'!AC93</f>
        <v>1873.6191059992639</v>
      </c>
      <c r="N14" s="313">
        <f>'Cruise Projections'!AD93</f>
        <v>1873.6191059992639</v>
      </c>
      <c r="O14" s="313">
        <f>'Cruise Projections'!AE93</f>
        <v>1873.6191059992639</v>
      </c>
      <c r="P14" s="313">
        <f>'Cruise Projections'!AF93</f>
        <v>1873.6191059992639</v>
      </c>
      <c r="Q14" s="313">
        <f>'Cruise Projections'!AG93</f>
        <v>1873.6191059992639</v>
      </c>
      <c r="R14" s="313">
        <f>'Cruise Projections'!AH93</f>
        <v>1873.6191059992639</v>
      </c>
      <c r="S14" s="313">
        <f>'Cruise Projections'!AI93</f>
        <v>1873.6191059992639</v>
      </c>
      <c r="T14" s="313">
        <f>'Cruise Projections'!AJ93</f>
        <v>1873.6191059992639</v>
      </c>
      <c r="U14" s="313">
        <f>'Cruise Projections'!AK93</f>
        <v>1873.6191059992639</v>
      </c>
      <c r="V14" s="313">
        <f>'Cruise Projections'!AL93</f>
        <v>1873.6191059992639</v>
      </c>
      <c r="W14" s="313">
        <f>'Cruise Projections'!AM93</f>
        <v>1873.6191059992639</v>
      </c>
      <c r="X14" s="313">
        <f>'Cruise Projections'!AN93</f>
        <v>1873.6191059992639</v>
      </c>
      <c r="Y14" s="312"/>
    </row>
    <row r="15" spans="1:25" s="96" customFormat="1">
      <c r="A15" s="54" t="s">
        <v>313</v>
      </c>
      <c r="B15" s="487"/>
      <c r="C15" s="487"/>
      <c r="D15" s="486">
        <f>'Cruise Projections'!T70</f>
        <v>0</v>
      </c>
      <c r="E15" s="313">
        <v>0</v>
      </c>
      <c r="F15" s="313">
        <f>'Shuttle Projections'!D24</f>
        <v>4120</v>
      </c>
      <c r="G15" s="313">
        <f>'Shuttle Projections'!E24</f>
        <v>4120</v>
      </c>
      <c r="H15" s="313">
        <f>'Shuttle Projections'!F24</f>
        <v>4120</v>
      </c>
      <c r="I15" s="313">
        <f>'Shuttle Projections'!G24</f>
        <v>4120</v>
      </c>
      <c r="J15" s="313">
        <f>'Shuttle Projections'!H24</f>
        <v>4120</v>
      </c>
      <c r="K15" s="313">
        <f>'Shuttle Projections'!I24</f>
        <v>4120</v>
      </c>
      <c r="L15" s="313">
        <f>'Shuttle Projections'!J24</f>
        <v>4120</v>
      </c>
      <c r="M15" s="313">
        <f>'Shuttle Projections'!K24</f>
        <v>4120</v>
      </c>
      <c r="N15" s="313">
        <f>'Shuttle Projections'!L24</f>
        <v>4120</v>
      </c>
      <c r="O15" s="313">
        <f>'Shuttle Projections'!M24</f>
        <v>4120</v>
      </c>
      <c r="P15" s="313">
        <f>'Shuttle Projections'!N24</f>
        <v>4120</v>
      </c>
      <c r="Q15" s="313">
        <f>'Shuttle Projections'!O24</f>
        <v>4120</v>
      </c>
      <c r="R15" s="313">
        <f>'Shuttle Projections'!P24</f>
        <v>4120</v>
      </c>
      <c r="S15" s="313">
        <f>'Shuttle Projections'!Q24</f>
        <v>4120</v>
      </c>
      <c r="T15" s="313">
        <f>'Shuttle Projections'!R24</f>
        <v>4120</v>
      </c>
      <c r="U15" s="313">
        <f>'Shuttle Projections'!S24</f>
        <v>4120</v>
      </c>
      <c r="V15" s="313">
        <f>'Shuttle Projections'!T24</f>
        <v>4120</v>
      </c>
      <c r="W15" s="313">
        <f>'Shuttle Projections'!U24</f>
        <v>4120</v>
      </c>
      <c r="X15" s="313">
        <f>'Shuttle Projections'!V24</f>
        <v>4120</v>
      </c>
      <c r="Y15" s="313"/>
    </row>
    <row r="16" spans="1:25">
      <c r="A16" s="54"/>
      <c r="B16" s="21"/>
      <c r="C16" s="21"/>
      <c r="D16" s="486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</row>
    <row r="17" spans="1:25" s="547" customFormat="1" ht="14.25">
      <c r="A17" s="549" t="s">
        <v>163</v>
      </c>
      <c r="B17" s="550"/>
      <c r="C17" s="550"/>
      <c r="D17" s="610"/>
      <c r="E17" s="551"/>
      <c r="F17" s="551"/>
      <c r="G17" s="551"/>
      <c r="H17" s="551"/>
      <c r="I17" s="551"/>
      <c r="J17" s="551"/>
      <c r="K17" s="551"/>
      <c r="L17" s="551"/>
      <c r="M17" s="551"/>
      <c r="N17" s="551"/>
      <c r="O17" s="551"/>
      <c r="P17" s="551"/>
      <c r="Q17" s="551"/>
      <c r="R17" s="551"/>
      <c r="S17" s="551"/>
      <c r="T17" s="551"/>
      <c r="U17" s="551"/>
      <c r="V17" s="551"/>
      <c r="W17" s="551"/>
      <c r="X17" s="551"/>
    </row>
    <row r="18" spans="1:25" s="341" customFormat="1">
      <c r="A18" s="552" t="str">
        <f>'International Ferry Projections'!A11</f>
        <v>Passengers</v>
      </c>
      <c r="B18" s="553"/>
      <c r="C18" s="553"/>
      <c r="D18" s="554">
        <f>'International Ferry Projections'!B11</f>
        <v>0</v>
      </c>
      <c r="E18" s="555">
        <f>'International Ferry Projections'!C11</f>
        <v>60000</v>
      </c>
      <c r="F18" s="555">
        <f>'International Ferry Projections'!D11</f>
        <v>70000</v>
      </c>
      <c r="G18" s="555">
        <f>'International Ferry Projections'!E11</f>
        <v>80000</v>
      </c>
      <c r="H18" s="555">
        <f>'International Ferry Projections'!F11</f>
        <v>80000</v>
      </c>
      <c r="I18" s="555">
        <f>'International Ferry Projections'!G11</f>
        <v>80000</v>
      </c>
      <c r="J18" s="555">
        <f>'International Ferry Projections'!H11</f>
        <v>80000</v>
      </c>
      <c r="K18" s="555">
        <f>'International Ferry Projections'!I11</f>
        <v>80000</v>
      </c>
      <c r="L18" s="555">
        <f>'International Ferry Projections'!J11</f>
        <v>80000</v>
      </c>
      <c r="M18" s="555">
        <f>'International Ferry Projections'!K11</f>
        <v>80000</v>
      </c>
      <c r="N18" s="555">
        <f>'International Ferry Projections'!L11</f>
        <v>80000</v>
      </c>
      <c r="O18" s="555">
        <f>'International Ferry Projections'!M11</f>
        <v>80000</v>
      </c>
      <c r="P18" s="555">
        <f>'International Ferry Projections'!N11</f>
        <v>80000</v>
      </c>
      <c r="Q18" s="555">
        <f>'International Ferry Projections'!O11</f>
        <v>80000</v>
      </c>
      <c r="R18" s="555">
        <f>'International Ferry Projections'!P11</f>
        <v>80000</v>
      </c>
      <c r="S18" s="555">
        <f>'International Ferry Projections'!Q11</f>
        <v>80000</v>
      </c>
      <c r="T18" s="555">
        <f>'International Ferry Projections'!R11</f>
        <v>80000</v>
      </c>
      <c r="U18" s="555">
        <f>'International Ferry Projections'!S11</f>
        <v>80000</v>
      </c>
      <c r="V18" s="555">
        <f>'International Ferry Projections'!T11</f>
        <v>80000</v>
      </c>
      <c r="W18" s="555">
        <f>'International Ferry Projections'!U11</f>
        <v>80000</v>
      </c>
      <c r="X18" s="555">
        <f>'International Ferry Projections'!V11</f>
        <v>80000</v>
      </c>
    </row>
    <row r="19" spans="1:25" s="341" customFormat="1">
      <c r="A19" s="552" t="str">
        <f>'International Ferry Projections'!A12</f>
        <v>Cars</v>
      </c>
      <c r="B19" s="553"/>
      <c r="C19" s="553"/>
      <c r="D19" s="554">
        <f>'International Ferry Projections'!B12</f>
        <v>0</v>
      </c>
      <c r="E19" s="555">
        <f>'International Ferry Projections'!C12</f>
        <v>24000</v>
      </c>
      <c r="F19" s="555">
        <f>'International Ferry Projections'!D12</f>
        <v>28000</v>
      </c>
      <c r="G19" s="555">
        <f>'International Ferry Projections'!E12</f>
        <v>32000</v>
      </c>
      <c r="H19" s="555">
        <f>'International Ferry Projections'!F12</f>
        <v>32000</v>
      </c>
      <c r="I19" s="555">
        <f>'International Ferry Projections'!G12</f>
        <v>32000</v>
      </c>
      <c r="J19" s="555">
        <f>'International Ferry Projections'!H12</f>
        <v>32000</v>
      </c>
      <c r="K19" s="555">
        <f>'International Ferry Projections'!I12</f>
        <v>32000</v>
      </c>
      <c r="L19" s="555">
        <f>'International Ferry Projections'!J12</f>
        <v>32000</v>
      </c>
      <c r="M19" s="555">
        <f>'International Ferry Projections'!K12</f>
        <v>32000</v>
      </c>
      <c r="N19" s="555">
        <f>'International Ferry Projections'!L12</f>
        <v>32000</v>
      </c>
      <c r="O19" s="555">
        <f>'International Ferry Projections'!M12</f>
        <v>32000</v>
      </c>
      <c r="P19" s="555">
        <f>'International Ferry Projections'!N12</f>
        <v>32000</v>
      </c>
      <c r="Q19" s="555">
        <f>'International Ferry Projections'!O12</f>
        <v>32000</v>
      </c>
      <c r="R19" s="555">
        <f>'International Ferry Projections'!P12</f>
        <v>32000</v>
      </c>
      <c r="S19" s="555">
        <f>'International Ferry Projections'!Q12</f>
        <v>32000</v>
      </c>
      <c r="T19" s="555">
        <f>'International Ferry Projections'!R12</f>
        <v>32000</v>
      </c>
      <c r="U19" s="555">
        <f>'International Ferry Projections'!S12</f>
        <v>32000</v>
      </c>
      <c r="V19" s="555">
        <f>'International Ferry Projections'!T12</f>
        <v>32000</v>
      </c>
      <c r="W19" s="555">
        <f>'International Ferry Projections'!U12</f>
        <v>32000</v>
      </c>
      <c r="X19" s="555">
        <f>'International Ferry Projections'!V12</f>
        <v>32000</v>
      </c>
    </row>
    <row r="20" spans="1:25" s="341" customFormat="1">
      <c r="A20" s="552" t="str">
        <f>'International Ferry Projections'!A13</f>
        <v>Buses</v>
      </c>
      <c r="B20" s="553"/>
      <c r="C20" s="553"/>
      <c r="D20" s="554">
        <f>'International Ferry Projections'!B13</f>
        <v>0</v>
      </c>
      <c r="E20" s="555">
        <f>'International Ferry Projections'!C13</f>
        <v>40</v>
      </c>
      <c r="F20" s="555">
        <f>'International Ferry Projections'!D13</f>
        <v>50</v>
      </c>
      <c r="G20" s="555">
        <f>'International Ferry Projections'!E13</f>
        <v>60</v>
      </c>
      <c r="H20" s="555">
        <f>'International Ferry Projections'!F13</f>
        <v>60</v>
      </c>
      <c r="I20" s="555">
        <f>'International Ferry Projections'!G13</f>
        <v>60</v>
      </c>
      <c r="J20" s="555">
        <f>'International Ferry Projections'!H13</f>
        <v>60</v>
      </c>
      <c r="K20" s="555">
        <f>'International Ferry Projections'!I13</f>
        <v>60</v>
      </c>
      <c r="L20" s="555">
        <f>'International Ferry Projections'!J13</f>
        <v>60</v>
      </c>
      <c r="M20" s="555">
        <f>'International Ferry Projections'!K13</f>
        <v>60</v>
      </c>
      <c r="N20" s="555">
        <f>'International Ferry Projections'!L13</f>
        <v>60</v>
      </c>
      <c r="O20" s="555">
        <f>'International Ferry Projections'!M13</f>
        <v>60</v>
      </c>
      <c r="P20" s="555">
        <f>'International Ferry Projections'!N13</f>
        <v>60</v>
      </c>
      <c r="Q20" s="555">
        <f>'International Ferry Projections'!O13</f>
        <v>60</v>
      </c>
      <c r="R20" s="555">
        <f>'International Ferry Projections'!P13</f>
        <v>60</v>
      </c>
      <c r="S20" s="555">
        <f>'International Ferry Projections'!Q13</f>
        <v>60</v>
      </c>
      <c r="T20" s="555">
        <f>'International Ferry Projections'!R13</f>
        <v>60</v>
      </c>
      <c r="U20" s="555">
        <f>'International Ferry Projections'!S13</f>
        <v>60</v>
      </c>
      <c r="V20" s="555">
        <f>'International Ferry Projections'!T13</f>
        <v>60</v>
      </c>
      <c r="W20" s="555">
        <f>'International Ferry Projections'!U13</f>
        <v>60</v>
      </c>
      <c r="X20" s="555">
        <f>'International Ferry Projections'!V13</f>
        <v>60</v>
      </c>
    </row>
    <row r="21" spans="1:25">
      <c r="A21" s="54"/>
      <c r="B21" s="21"/>
      <c r="C21" s="21"/>
      <c r="D21" s="486"/>
      <c r="E21" s="313"/>
      <c r="F21" s="313"/>
      <c r="G21" s="313"/>
      <c r="H21" s="313"/>
      <c r="I21" s="313"/>
      <c r="J21" s="313"/>
      <c r="K21" s="313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</row>
    <row r="22" spans="1:25" s="582" customFormat="1">
      <c r="A22" s="293" t="str">
        <f>'BH Tariffs'!A30</f>
        <v>Local Ferry</v>
      </c>
      <c r="B22" s="581"/>
      <c r="C22" s="581"/>
      <c r="D22" s="486">
        <v>0</v>
      </c>
      <c r="E22" s="329"/>
      <c r="F22" s="329"/>
      <c r="G22" s="329"/>
      <c r="H22" s="329"/>
      <c r="I22" s="329"/>
      <c r="J22" s="329"/>
      <c r="K22" s="329"/>
      <c r="L22" s="329"/>
      <c r="M22" s="329"/>
      <c r="N22" s="329"/>
      <c r="O22" s="329"/>
      <c r="P22" s="329"/>
      <c r="Q22" s="329"/>
      <c r="R22" s="329"/>
      <c r="S22" s="329"/>
      <c r="T22" s="329"/>
      <c r="U22" s="329"/>
      <c r="V22" s="329"/>
      <c r="W22" s="329"/>
      <c r="X22" s="329"/>
    </row>
    <row r="23" spans="1:25" s="96" customFormat="1">
      <c r="A23" s="54" t="str">
        <f>'BH Tariffs'!A31</f>
        <v>Dock Rent (6 Months Only)</v>
      </c>
      <c r="B23" s="487"/>
      <c r="C23" s="487"/>
      <c r="D23" s="486">
        <v>0</v>
      </c>
      <c r="E23" s="623" t="s">
        <v>286</v>
      </c>
      <c r="F23" s="623" t="s">
        <v>286</v>
      </c>
      <c r="G23" s="623" t="s">
        <v>286</v>
      </c>
      <c r="H23" s="623" t="s">
        <v>286</v>
      </c>
      <c r="I23" s="623" t="s">
        <v>286</v>
      </c>
      <c r="J23" s="623" t="s">
        <v>286</v>
      </c>
      <c r="K23" s="623" t="s">
        <v>286</v>
      </c>
      <c r="L23" s="623" t="s">
        <v>286</v>
      </c>
      <c r="M23" s="623" t="s">
        <v>286</v>
      </c>
      <c r="N23" s="623" t="s">
        <v>286</v>
      </c>
      <c r="O23" s="623" t="s">
        <v>286</v>
      </c>
      <c r="P23" s="623" t="s">
        <v>286</v>
      </c>
      <c r="Q23" s="623" t="s">
        <v>286</v>
      </c>
      <c r="R23" s="623" t="s">
        <v>286</v>
      </c>
      <c r="S23" s="623" t="s">
        <v>286</v>
      </c>
      <c r="T23" s="623" t="s">
        <v>286</v>
      </c>
      <c r="U23" s="623" t="s">
        <v>286</v>
      </c>
      <c r="V23" s="623" t="s">
        <v>286</v>
      </c>
      <c r="W23" s="623" t="s">
        <v>286</v>
      </c>
      <c r="X23" s="623" t="s">
        <v>286</v>
      </c>
    </row>
    <row r="24" spans="1:25" s="341" customFormat="1">
      <c r="A24" s="552"/>
      <c r="B24" s="553"/>
      <c r="C24" s="553"/>
      <c r="D24" s="554"/>
      <c r="E24" s="555"/>
      <c r="F24" s="555"/>
      <c r="G24" s="555"/>
      <c r="H24" s="555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</row>
    <row r="25" spans="1:25" s="96" customFormat="1">
      <c r="A25" s="559" t="s">
        <v>227</v>
      </c>
      <c r="B25" s="487"/>
      <c r="C25" s="487"/>
      <c r="D25" s="486"/>
      <c r="E25" s="313"/>
      <c r="F25" s="313"/>
      <c r="G25" s="313"/>
      <c r="H25" s="313"/>
      <c r="I25" s="313"/>
      <c r="J25" s="313"/>
      <c r="K25" s="313"/>
      <c r="L25" s="313"/>
      <c r="M25" s="313"/>
      <c r="N25" s="313"/>
      <c r="O25" s="313"/>
      <c r="P25" s="313"/>
      <c r="Q25" s="313"/>
      <c r="R25" s="313"/>
      <c r="S25" s="313"/>
      <c r="T25" s="313"/>
      <c r="U25" s="313"/>
      <c r="V25" s="313"/>
      <c r="W25" s="313"/>
      <c r="X25" s="313"/>
    </row>
    <row r="26" spans="1:25">
      <c r="A26" s="54"/>
      <c r="B26" s="21"/>
      <c r="C26" s="21"/>
      <c r="D26" s="486"/>
      <c r="E26" s="313"/>
      <c r="F26" s="313"/>
      <c r="G26" s="313"/>
      <c r="H26" s="313"/>
      <c r="I26" s="313"/>
      <c r="J26" s="313"/>
      <c r="K26" s="313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</row>
    <row r="27" spans="1:25">
      <c r="A27" s="54" t="s">
        <v>420</v>
      </c>
      <c r="B27" s="21"/>
      <c r="C27" s="21"/>
      <c r="D27" s="486">
        <v>0</v>
      </c>
      <c r="E27" s="313">
        <f>'Marina Projections'!C9</f>
        <v>0</v>
      </c>
      <c r="F27" s="313">
        <f>'Marina Projections'!D9</f>
        <v>214</v>
      </c>
      <c r="G27" s="313">
        <f>'Marina Projections'!E9</f>
        <v>214</v>
      </c>
      <c r="H27" s="313">
        <f>'Marina Projections'!F9</f>
        <v>214</v>
      </c>
      <c r="I27" s="313">
        <f>'Marina Projections'!G9</f>
        <v>214</v>
      </c>
      <c r="J27" s="313">
        <f>'Marina Projections'!H9</f>
        <v>214</v>
      </c>
      <c r="K27" s="313">
        <f>'Marina Projections'!I9</f>
        <v>214</v>
      </c>
      <c r="L27" s="313">
        <f>'Marina Projections'!J9</f>
        <v>214</v>
      </c>
      <c r="M27" s="313">
        <f>'Marina Projections'!K9</f>
        <v>214</v>
      </c>
      <c r="N27" s="313">
        <f>'Marina Projections'!L9</f>
        <v>214</v>
      </c>
      <c r="O27" s="313">
        <f>'Marina Projections'!M9</f>
        <v>214</v>
      </c>
      <c r="P27" s="313">
        <f>'Marina Projections'!N9</f>
        <v>214</v>
      </c>
      <c r="Q27" s="313">
        <f>'Marina Projections'!O9</f>
        <v>214</v>
      </c>
      <c r="R27" s="313">
        <f>'Marina Projections'!P9</f>
        <v>214</v>
      </c>
      <c r="S27" s="313">
        <f>'Marina Projections'!Q9</f>
        <v>214</v>
      </c>
      <c r="T27" s="313">
        <f>'Marina Projections'!R9</f>
        <v>214</v>
      </c>
      <c r="U27" s="313">
        <f>'Marina Projections'!S9</f>
        <v>214</v>
      </c>
      <c r="V27" s="313">
        <f>'Marina Projections'!T9</f>
        <v>214</v>
      </c>
      <c r="W27" s="313">
        <f>'Marina Projections'!U9</f>
        <v>214</v>
      </c>
      <c r="X27" s="313">
        <f>'Marina Projections'!V9</f>
        <v>214</v>
      </c>
    </row>
    <row r="28" spans="1:25">
      <c r="A28" s="54" t="s">
        <v>205</v>
      </c>
      <c r="B28" s="21"/>
      <c r="C28" s="21"/>
      <c r="D28" s="486">
        <v>0</v>
      </c>
      <c r="E28" s="330">
        <v>0</v>
      </c>
      <c r="F28" s="330">
        <f>'Cruise Projections'!U92</f>
        <v>27.711111111111112</v>
      </c>
      <c r="G28" s="330">
        <f>'Cruise Projections'!V92</f>
        <v>27.711111111111112</v>
      </c>
      <c r="H28" s="330">
        <f>'Cruise Projections'!W92</f>
        <v>27.711111111111112</v>
      </c>
      <c r="I28" s="330">
        <f>'Cruise Projections'!X92</f>
        <v>27.711111111111112</v>
      </c>
      <c r="J28" s="330">
        <f>'Cruise Projections'!Y92</f>
        <v>27.711111111111112</v>
      </c>
      <c r="K28" s="330">
        <f>'Cruise Projections'!Z92</f>
        <v>27.711111111111112</v>
      </c>
      <c r="L28" s="330">
        <f>'Cruise Projections'!AA92</f>
        <v>27.711111111111112</v>
      </c>
      <c r="M28" s="330">
        <f>'Cruise Projections'!AB92</f>
        <v>27.711111111111112</v>
      </c>
      <c r="N28" s="330">
        <f>'Cruise Projections'!AC92</f>
        <v>27.711111111111112</v>
      </c>
      <c r="O28" s="330">
        <f>'Cruise Projections'!AD92</f>
        <v>27.711111111111112</v>
      </c>
      <c r="P28" s="330">
        <f>'Cruise Projections'!AE92</f>
        <v>27.711111111111112</v>
      </c>
      <c r="Q28" s="330">
        <f>'Cruise Projections'!AF92</f>
        <v>27.711111111111112</v>
      </c>
      <c r="R28" s="330">
        <f>'Cruise Projections'!AG92</f>
        <v>27.711111111111112</v>
      </c>
      <c r="S28" s="330">
        <f>'Cruise Projections'!AH92</f>
        <v>27.711111111111112</v>
      </c>
      <c r="T28" s="330">
        <f>'Cruise Projections'!AI92</f>
        <v>27.711111111111112</v>
      </c>
      <c r="U28" s="330">
        <f>'Cruise Projections'!AJ92</f>
        <v>27.711111111111112</v>
      </c>
      <c r="V28" s="330">
        <f>'Cruise Projections'!AK92</f>
        <v>27.711111111111112</v>
      </c>
      <c r="W28" s="330">
        <f>'Cruise Projections'!AL92</f>
        <v>27.711111111111112</v>
      </c>
      <c r="X28" s="330">
        <f>'Cruise Projections'!AM92</f>
        <v>27.711111111111112</v>
      </c>
      <c r="Y28" s="32"/>
    </row>
    <row r="29" spans="1:25" s="341" customFormat="1">
      <c r="A29" s="552" t="s">
        <v>219</v>
      </c>
      <c r="B29" s="553"/>
      <c r="C29" s="553"/>
      <c r="D29" s="554">
        <v>0</v>
      </c>
      <c r="E29" s="560">
        <v>150</v>
      </c>
      <c r="F29" s="560">
        <f>E29</f>
        <v>150</v>
      </c>
      <c r="G29" s="560">
        <f t="shared" ref="G29:X29" si="0">F29</f>
        <v>150</v>
      </c>
      <c r="H29" s="560">
        <f t="shared" si="0"/>
        <v>150</v>
      </c>
      <c r="I29" s="560">
        <f t="shared" si="0"/>
        <v>150</v>
      </c>
      <c r="J29" s="560">
        <f t="shared" si="0"/>
        <v>150</v>
      </c>
      <c r="K29" s="560">
        <f t="shared" si="0"/>
        <v>150</v>
      </c>
      <c r="L29" s="560">
        <f t="shared" si="0"/>
        <v>150</v>
      </c>
      <c r="M29" s="560">
        <f t="shared" si="0"/>
        <v>150</v>
      </c>
      <c r="N29" s="560">
        <f t="shared" si="0"/>
        <v>150</v>
      </c>
      <c r="O29" s="560">
        <f t="shared" si="0"/>
        <v>150</v>
      </c>
      <c r="P29" s="560">
        <f t="shared" si="0"/>
        <v>150</v>
      </c>
      <c r="Q29" s="560">
        <f t="shared" si="0"/>
        <v>150</v>
      </c>
      <c r="R29" s="560">
        <f t="shared" si="0"/>
        <v>150</v>
      </c>
      <c r="S29" s="560">
        <f t="shared" si="0"/>
        <v>150</v>
      </c>
      <c r="T29" s="560">
        <f t="shared" si="0"/>
        <v>150</v>
      </c>
      <c r="U29" s="560">
        <f t="shared" si="0"/>
        <v>150</v>
      </c>
      <c r="V29" s="560">
        <f t="shared" si="0"/>
        <v>150</v>
      </c>
      <c r="W29" s="560">
        <f t="shared" si="0"/>
        <v>150</v>
      </c>
      <c r="X29" s="560">
        <f t="shared" si="0"/>
        <v>150</v>
      </c>
      <c r="Y29" s="561"/>
    </row>
    <row r="30" spans="1:25" s="341" customFormat="1">
      <c r="A30" s="552" t="s">
        <v>220</v>
      </c>
      <c r="B30" s="553"/>
      <c r="C30" s="553"/>
      <c r="D30" s="554">
        <v>0</v>
      </c>
      <c r="E30" s="611">
        <f>E28/E29</f>
        <v>0</v>
      </c>
      <c r="F30" s="611">
        <f t="shared" ref="F30:X30" si="1">F28/F29</f>
        <v>0.18474074074074076</v>
      </c>
      <c r="G30" s="611">
        <f t="shared" si="1"/>
        <v>0.18474074074074076</v>
      </c>
      <c r="H30" s="611">
        <f t="shared" si="1"/>
        <v>0.18474074074074076</v>
      </c>
      <c r="I30" s="611">
        <f t="shared" si="1"/>
        <v>0.18474074074074076</v>
      </c>
      <c r="J30" s="611">
        <f t="shared" si="1"/>
        <v>0.18474074074074076</v>
      </c>
      <c r="K30" s="611">
        <f t="shared" si="1"/>
        <v>0.18474074074074076</v>
      </c>
      <c r="L30" s="611">
        <f t="shared" si="1"/>
        <v>0.18474074074074076</v>
      </c>
      <c r="M30" s="611">
        <f t="shared" si="1"/>
        <v>0.18474074074074076</v>
      </c>
      <c r="N30" s="611">
        <f t="shared" si="1"/>
        <v>0.18474074074074076</v>
      </c>
      <c r="O30" s="611">
        <f t="shared" si="1"/>
        <v>0.18474074074074076</v>
      </c>
      <c r="P30" s="611">
        <f t="shared" si="1"/>
        <v>0.18474074074074076</v>
      </c>
      <c r="Q30" s="611">
        <f t="shared" si="1"/>
        <v>0.18474074074074076</v>
      </c>
      <c r="R30" s="611">
        <f t="shared" si="1"/>
        <v>0.18474074074074076</v>
      </c>
      <c r="S30" s="611">
        <f t="shared" si="1"/>
        <v>0.18474074074074076</v>
      </c>
      <c r="T30" s="611">
        <f t="shared" si="1"/>
        <v>0.18474074074074076</v>
      </c>
      <c r="U30" s="611">
        <f t="shared" si="1"/>
        <v>0.18474074074074076</v>
      </c>
      <c r="V30" s="611">
        <f t="shared" si="1"/>
        <v>0.18474074074074076</v>
      </c>
      <c r="W30" s="611">
        <f t="shared" si="1"/>
        <v>0.18474074074074076</v>
      </c>
      <c r="X30" s="611">
        <f t="shared" si="1"/>
        <v>0.18474074074074076</v>
      </c>
      <c r="Y30" s="561"/>
    </row>
    <row r="31" spans="1:25" s="96" customFormat="1">
      <c r="A31" s="54" t="s">
        <v>226</v>
      </c>
      <c r="B31" s="487"/>
      <c r="C31" s="487"/>
      <c r="D31" s="486">
        <v>0</v>
      </c>
      <c r="E31" s="330">
        <v>0</v>
      </c>
      <c r="F31" s="330">
        <v>125</v>
      </c>
      <c r="G31" s="330">
        <v>125</v>
      </c>
      <c r="H31" s="330">
        <v>125</v>
      </c>
      <c r="I31" s="330">
        <v>125</v>
      </c>
      <c r="J31" s="330">
        <v>125</v>
      </c>
      <c r="K31" s="330">
        <v>125</v>
      </c>
      <c r="L31" s="330">
        <v>125</v>
      </c>
      <c r="M31" s="330">
        <v>125</v>
      </c>
      <c r="N31" s="330">
        <v>125</v>
      </c>
      <c r="O31" s="330">
        <v>125</v>
      </c>
      <c r="P31" s="330">
        <v>125</v>
      </c>
      <c r="Q31" s="330">
        <v>125</v>
      </c>
      <c r="R31" s="330">
        <v>125</v>
      </c>
      <c r="S31" s="330">
        <v>125</v>
      </c>
      <c r="T31" s="330">
        <v>125</v>
      </c>
      <c r="U31" s="330">
        <v>125</v>
      </c>
      <c r="V31" s="330">
        <v>125</v>
      </c>
      <c r="W31" s="330">
        <v>125</v>
      </c>
      <c r="X31" s="330">
        <v>125</v>
      </c>
      <c r="Y31" s="58"/>
    </row>
    <row r="32" spans="1:25">
      <c r="A32" s="54"/>
      <c r="B32" s="21"/>
      <c r="C32" s="21"/>
      <c r="D32" s="486"/>
      <c r="E32" s="495"/>
      <c r="F32" s="495"/>
      <c r="G32" s="495"/>
      <c r="H32" s="495"/>
      <c r="I32" s="495"/>
      <c r="J32" s="495"/>
      <c r="K32" s="495"/>
      <c r="L32" s="495"/>
      <c r="M32" s="495"/>
      <c r="N32" s="495"/>
      <c r="O32" s="495"/>
      <c r="P32" s="495"/>
      <c r="Q32" s="495"/>
      <c r="R32" s="495"/>
      <c r="S32" s="495"/>
      <c r="T32" s="495"/>
      <c r="U32" s="495"/>
      <c r="V32" s="495"/>
      <c r="W32" s="495"/>
      <c r="X32" s="495"/>
      <c r="Y32" s="32"/>
    </row>
    <row r="33" spans="1:24">
      <c r="A33" s="54" t="s">
        <v>206</v>
      </c>
      <c r="B33" s="21"/>
      <c r="C33" s="21"/>
      <c r="D33" s="486">
        <v>0</v>
      </c>
      <c r="E33" s="313">
        <v>0</v>
      </c>
      <c r="F33" s="313">
        <f t="shared" ref="F33:X33" si="2">F12/F28</f>
        <v>1873.6191059992639</v>
      </c>
      <c r="G33" s="313">
        <f t="shared" si="2"/>
        <v>1873.6191059992639</v>
      </c>
      <c r="H33" s="313">
        <f t="shared" si="2"/>
        <v>1873.6191059992639</v>
      </c>
      <c r="I33" s="313">
        <f t="shared" si="2"/>
        <v>1873.6191059992639</v>
      </c>
      <c r="J33" s="313">
        <f t="shared" si="2"/>
        <v>1873.6191059992639</v>
      </c>
      <c r="K33" s="313">
        <f t="shared" si="2"/>
        <v>1873.6191059992639</v>
      </c>
      <c r="L33" s="313">
        <f t="shared" si="2"/>
        <v>1873.6191059992639</v>
      </c>
      <c r="M33" s="313">
        <f t="shared" si="2"/>
        <v>1873.6191059992639</v>
      </c>
      <c r="N33" s="313">
        <f t="shared" si="2"/>
        <v>1873.6191059992639</v>
      </c>
      <c r="O33" s="313">
        <f t="shared" si="2"/>
        <v>1873.6191059992639</v>
      </c>
      <c r="P33" s="313">
        <f t="shared" si="2"/>
        <v>1873.6191059992639</v>
      </c>
      <c r="Q33" s="313">
        <f t="shared" si="2"/>
        <v>1873.6191059992639</v>
      </c>
      <c r="R33" s="313">
        <f t="shared" si="2"/>
        <v>1873.6191059992639</v>
      </c>
      <c r="S33" s="313">
        <f t="shared" si="2"/>
        <v>1873.6191059992639</v>
      </c>
      <c r="T33" s="313">
        <f t="shared" si="2"/>
        <v>1873.6191059992639</v>
      </c>
      <c r="U33" s="313">
        <f t="shared" si="2"/>
        <v>1873.6191059992639</v>
      </c>
      <c r="V33" s="313">
        <f t="shared" si="2"/>
        <v>1873.6191059992639</v>
      </c>
      <c r="W33" s="313">
        <f t="shared" si="2"/>
        <v>1873.6191059992639</v>
      </c>
      <c r="X33" s="313">
        <f t="shared" si="2"/>
        <v>1873.6191059992639</v>
      </c>
    </row>
    <row r="34" spans="1:24">
      <c r="A34" s="54" t="s">
        <v>207</v>
      </c>
      <c r="B34" s="21"/>
      <c r="C34" s="21"/>
      <c r="D34" s="486">
        <v>0</v>
      </c>
      <c r="E34" s="313">
        <v>0</v>
      </c>
      <c r="F34" s="313">
        <v>5500</v>
      </c>
      <c r="G34" s="313">
        <v>5500</v>
      </c>
      <c r="H34" s="313">
        <v>5500</v>
      </c>
      <c r="I34" s="313">
        <v>5500</v>
      </c>
      <c r="J34" s="313">
        <v>5500</v>
      </c>
      <c r="K34" s="313">
        <v>5500</v>
      </c>
      <c r="L34" s="313">
        <v>5500</v>
      </c>
      <c r="M34" s="313">
        <v>5500</v>
      </c>
      <c r="N34" s="313">
        <v>5500</v>
      </c>
      <c r="O34" s="313">
        <v>5500</v>
      </c>
      <c r="P34" s="313">
        <v>5500</v>
      </c>
      <c r="Q34" s="313">
        <v>5500</v>
      </c>
      <c r="R34" s="313">
        <v>5500</v>
      </c>
      <c r="S34" s="313">
        <v>5500</v>
      </c>
      <c r="T34" s="313">
        <v>5500</v>
      </c>
      <c r="U34" s="313">
        <v>5500</v>
      </c>
      <c r="V34" s="313">
        <v>5500</v>
      </c>
      <c r="W34" s="313">
        <v>5500</v>
      </c>
      <c r="X34" s="313">
        <v>5500</v>
      </c>
    </row>
    <row r="35" spans="1:24" s="341" customFormat="1">
      <c r="A35" s="552" t="s">
        <v>221</v>
      </c>
      <c r="B35" s="553"/>
      <c r="C35" s="553"/>
      <c r="D35" s="554">
        <v>0</v>
      </c>
      <c r="E35" s="560">
        <f>E18/E29</f>
        <v>400</v>
      </c>
      <c r="F35" s="560">
        <f t="shared" ref="F35:X35" si="3">F18/F29</f>
        <v>466.66666666666669</v>
      </c>
      <c r="G35" s="560">
        <f t="shared" si="3"/>
        <v>533.33333333333337</v>
      </c>
      <c r="H35" s="560">
        <f t="shared" si="3"/>
        <v>533.33333333333337</v>
      </c>
      <c r="I35" s="560">
        <f t="shared" si="3"/>
        <v>533.33333333333337</v>
      </c>
      <c r="J35" s="560">
        <f t="shared" si="3"/>
        <v>533.33333333333337</v>
      </c>
      <c r="K35" s="560">
        <f t="shared" si="3"/>
        <v>533.33333333333337</v>
      </c>
      <c r="L35" s="560">
        <f t="shared" si="3"/>
        <v>533.33333333333337</v>
      </c>
      <c r="M35" s="560">
        <f t="shared" si="3"/>
        <v>533.33333333333337</v>
      </c>
      <c r="N35" s="560">
        <f t="shared" si="3"/>
        <v>533.33333333333337</v>
      </c>
      <c r="O35" s="560">
        <f t="shared" si="3"/>
        <v>533.33333333333337</v>
      </c>
      <c r="P35" s="560">
        <f t="shared" si="3"/>
        <v>533.33333333333337</v>
      </c>
      <c r="Q35" s="560">
        <f t="shared" si="3"/>
        <v>533.33333333333337</v>
      </c>
      <c r="R35" s="560">
        <f t="shared" si="3"/>
        <v>533.33333333333337</v>
      </c>
      <c r="S35" s="560">
        <f t="shared" si="3"/>
        <v>533.33333333333337</v>
      </c>
      <c r="T35" s="560">
        <f t="shared" si="3"/>
        <v>533.33333333333337</v>
      </c>
      <c r="U35" s="560">
        <f t="shared" si="3"/>
        <v>533.33333333333337</v>
      </c>
      <c r="V35" s="560">
        <f t="shared" si="3"/>
        <v>533.33333333333337</v>
      </c>
      <c r="W35" s="560">
        <f t="shared" si="3"/>
        <v>533.33333333333337</v>
      </c>
      <c r="X35" s="560">
        <f t="shared" si="3"/>
        <v>533.33333333333337</v>
      </c>
    </row>
    <row r="36" spans="1:24" s="341" customFormat="1">
      <c r="A36" s="552" t="s">
        <v>222</v>
      </c>
      <c r="B36" s="553"/>
      <c r="C36" s="553"/>
      <c r="D36" s="554">
        <v>0</v>
      </c>
      <c r="E36" s="560">
        <v>800</v>
      </c>
      <c r="F36" s="560">
        <v>800</v>
      </c>
      <c r="G36" s="560">
        <v>800</v>
      </c>
      <c r="H36" s="560">
        <v>800</v>
      </c>
      <c r="I36" s="560">
        <v>800</v>
      </c>
      <c r="J36" s="560">
        <v>800</v>
      </c>
      <c r="K36" s="560">
        <v>800</v>
      </c>
      <c r="L36" s="560">
        <v>800</v>
      </c>
      <c r="M36" s="560">
        <v>800</v>
      </c>
      <c r="N36" s="560">
        <v>800</v>
      </c>
      <c r="O36" s="560">
        <v>800</v>
      </c>
      <c r="P36" s="560">
        <v>800</v>
      </c>
      <c r="Q36" s="560">
        <v>800</v>
      </c>
      <c r="R36" s="560">
        <v>800</v>
      </c>
      <c r="S36" s="560">
        <v>800</v>
      </c>
      <c r="T36" s="560">
        <v>800</v>
      </c>
      <c r="U36" s="560">
        <v>800</v>
      </c>
      <c r="V36" s="560">
        <v>800</v>
      </c>
      <c r="W36" s="560">
        <v>800</v>
      </c>
      <c r="X36" s="560">
        <v>800</v>
      </c>
    </row>
    <row r="37" spans="1:24" s="341" customFormat="1">
      <c r="A37" s="552" t="s">
        <v>208</v>
      </c>
      <c r="B37" s="553"/>
      <c r="C37" s="553"/>
      <c r="D37" s="554">
        <v>0</v>
      </c>
      <c r="E37" s="560">
        <f>SUM(E34,E36)</f>
        <v>800</v>
      </c>
      <c r="F37" s="560">
        <f t="shared" ref="F37:X37" si="4">SUM(F34,F36)</f>
        <v>6300</v>
      </c>
      <c r="G37" s="560">
        <f t="shared" si="4"/>
        <v>6300</v>
      </c>
      <c r="H37" s="560">
        <f t="shared" si="4"/>
        <v>6300</v>
      </c>
      <c r="I37" s="560">
        <f t="shared" si="4"/>
        <v>6300</v>
      </c>
      <c r="J37" s="560">
        <f t="shared" si="4"/>
        <v>6300</v>
      </c>
      <c r="K37" s="560">
        <f t="shared" si="4"/>
        <v>6300</v>
      </c>
      <c r="L37" s="560">
        <f t="shared" si="4"/>
        <v>6300</v>
      </c>
      <c r="M37" s="560">
        <f t="shared" si="4"/>
        <v>6300</v>
      </c>
      <c r="N37" s="560">
        <f t="shared" si="4"/>
        <v>6300</v>
      </c>
      <c r="O37" s="560">
        <f t="shared" si="4"/>
        <v>6300</v>
      </c>
      <c r="P37" s="560">
        <f t="shared" si="4"/>
        <v>6300</v>
      </c>
      <c r="Q37" s="560">
        <f t="shared" si="4"/>
        <v>6300</v>
      </c>
      <c r="R37" s="560">
        <f t="shared" si="4"/>
        <v>6300</v>
      </c>
      <c r="S37" s="560">
        <f t="shared" si="4"/>
        <v>6300</v>
      </c>
      <c r="T37" s="560">
        <f t="shared" si="4"/>
        <v>6300</v>
      </c>
      <c r="U37" s="560">
        <f t="shared" si="4"/>
        <v>6300</v>
      </c>
      <c r="V37" s="560">
        <f t="shared" si="4"/>
        <v>6300</v>
      </c>
      <c r="W37" s="560">
        <f t="shared" si="4"/>
        <v>6300</v>
      </c>
      <c r="X37" s="560">
        <f t="shared" si="4"/>
        <v>6300</v>
      </c>
    </row>
    <row r="38" spans="1:24">
      <c r="A38" s="54"/>
      <c r="B38" s="21"/>
      <c r="C38" s="21"/>
      <c r="D38" s="486"/>
      <c r="E38" s="330"/>
      <c r="F38" s="330"/>
      <c r="G38" s="330"/>
      <c r="H38" s="330"/>
      <c r="I38" s="330"/>
      <c r="J38" s="330"/>
      <c r="K38" s="330"/>
      <c r="L38" s="330"/>
      <c r="M38" s="330"/>
      <c r="N38" s="330"/>
      <c r="O38" s="330"/>
      <c r="P38" s="330"/>
      <c r="Q38" s="330"/>
      <c r="R38" s="330"/>
      <c r="S38" s="330"/>
      <c r="T38" s="330"/>
      <c r="U38" s="330"/>
      <c r="V38" s="330"/>
      <c r="W38" s="330"/>
      <c r="X38" s="330"/>
    </row>
    <row r="39" spans="1:24" s="341" customFormat="1">
      <c r="A39" s="552" t="s">
        <v>223</v>
      </c>
      <c r="B39" s="557"/>
      <c r="C39" s="557"/>
      <c r="D39" s="554">
        <v>0</v>
      </c>
      <c r="E39" s="555">
        <f>(E19+E20)/E29</f>
        <v>160.26666666666668</v>
      </c>
      <c r="F39" s="555">
        <f t="shared" ref="F39:X39" si="5">(F19+F20)/F29</f>
        <v>187</v>
      </c>
      <c r="G39" s="555">
        <f t="shared" si="5"/>
        <v>213.73333333333332</v>
      </c>
      <c r="H39" s="555">
        <f t="shared" si="5"/>
        <v>213.73333333333332</v>
      </c>
      <c r="I39" s="555">
        <f t="shared" si="5"/>
        <v>213.73333333333332</v>
      </c>
      <c r="J39" s="555">
        <f t="shared" si="5"/>
        <v>213.73333333333332</v>
      </c>
      <c r="K39" s="555">
        <f t="shared" si="5"/>
        <v>213.73333333333332</v>
      </c>
      <c r="L39" s="555">
        <f t="shared" si="5"/>
        <v>213.73333333333332</v>
      </c>
      <c r="M39" s="555">
        <f t="shared" si="5"/>
        <v>213.73333333333332</v>
      </c>
      <c r="N39" s="555">
        <f t="shared" si="5"/>
        <v>213.73333333333332</v>
      </c>
      <c r="O39" s="555">
        <f t="shared" si="5"/>
        <v>213.73333333333332</v>
      </c>
      <c r="P39" s="555">
        <f t="shared" si="5"/>
        <v>213.73333333333332</v>
      </c>
      <c r="Q39" s="555">
        <f t="shared" si="5"/>
        <v>213.73333333333332</v>
      </c>
      <c r="R39" s="555">
        <f t="shared" si="5"/>
        <v>213.73333333333332</v>
      </c>
      <c r="S39" s="555">
        <f t="shared" si="5"/>
        <v>213.73333333333332</v>
      </c>
      <c r="T39" s="555">
        <f t="shared" si="5"/>
        <v>213.73333333333332</v>
      </c>
      <c r="U39" s="555">
        <f t="shared" si="5"/>
        <v>213.73333333333332</v>
      </c>
      <c r="V39" s="555">
        <f t="shared" si="5"/>
        <v>213.73333333333332</v>
      </c>
      <c r="W39" s="555">
        <f t="shared" si="5"/>
        <v>213.73333333333332</v>
      </c>
      <c r="X39" s="555">
        <f t="shared" si="5"/>
        <v>213.73333333333332</v>
      </c>
    </row>
    <row r="40" spans="1:24">
      <c r="A40" s="54"/>
      <c r="B40" s="74"/>
      <c r="C40" s="74"/>
      <c r="D40" s="492"/>
      <c r="E40" s="308"/>
      <c r="F40" s="308"/>
      <c r="G40" s="308"/>
      <c r="H40" s="308"/>
      <c r="I40" s="308"/>
      <c r="J40" s="308"/>
      <c r="K40" s="308"/>
      <c r="L40" s="308"/>
      <c r="M40" s="308"/>
      <c r="N40" s="308"/>
      <c r="O40" s="308"/>
      <c r="P40" s="308"/>
      <c r="Q40" s="308"/>
      <c r="R40" s="308"/>
      <c r="S40" s="308"/>
      <c r="T40" s="308"/>
      <c r="U40" s="308"/>
      <c r="V40" s="308"/>
      <c r="W40" s="308"/>
      <c r="X40" s="308"/>
    </row>
    <row r="41" spans="1:24">
      <c r="A41" s="293" t="s">
        <v>26</v>
      </c>
      <c r="B41" s="74"/>
      <c r="C41" s="74"/>
      <c r="D41" s="492"/>
      <c r="E41" s="308"/>
      <c r="F41" s="308"/>
      <c r="G41" s="308"/>
      <c r="H41" s="308"/>
      <c r="I41" s="308"/>
      <c r="J41" s="308"/>
      <c r="K41" s="308"/>
      <c r="L41" s="308"/>
      <c r="M41" s="308"/>
      <c r="N41" s="308"/>
      <c r="O41" s="308"/>
      <c r="P41" s="308"/>
      <c r="Q41" s="308"/>
      <c r="R41" s="308"/>
      <c r="S41" s="308"/>
      <c r="T41" s="308"/>
      <c r="U41" s="308"/>
      <c r="V41" s="308"/>
      <c r="W41" s="308"/>
      <c r="X41" s="308"/>
    </row>
    <row r="42" spans="1:24">
      <c r="A42" s="54" t="s">
        <v>264</v>
      </c>
      <c r="B42" s="277"/>
      <c r="C42" s="74"/>
      <c r="D42" s="486">
        <v>0</v>
      </c>
      <c r="E42" s="313">
        <f>'Parking Projections'!C55/2</f>
        <v>1381.6770833333335</v>
      </c>
      <c r="F42" s="313">
        <f>'Parking Projections'!D55</f>
        <v>2763.354166666667</v>
      </c>
      <c r="G42" s="313">
        <f>'Parking Projections'!E55</f>
        <v>2763.354166666667</v>
      </c>
      <c r="H42" s="313">
        <f>'Parking Projections'!F55</f>
        <v>2763.354166666667</v>
      </c>
      <c r="I42" s="313">
        <f>'Parking Projections'!G55</f>
        <v>2763.354166666667</v>
      </c>
      <c r="J42" s="313">
        <f>'Parking Projections'!H55</f>
        <v>2763.354166666667</v>
      </c>
      <c r="K42" s="313">
        <f>'Parking Projections'!I55</f>
        <v>2763.354166666667</v>
      </c>
      <c r="L42" s="313">
        <f>'Parking Projections'!J55</f>
        <v>2763.354166666667</v>
      </c>
      <c r="M42" s="313">
        <f>'Parking Projections'!K55</f>
        <v>2763.354166666667</v>
      </c>
      <c r="N42" s="313">
        <f>'Parking Projections'!L55</f>
        <v>2763.354166666667</v>
      </c>
      <c r="O42" s="313">
        <f>'Parking Projections'!M55</f>
        <v>2763.354166666667</v>
      </c>
      <c r="P42" s="313">
        <f>'Parking Projections'!N55</f>
        <v>2763.354166666667</v>
      </c>
      <c r="Q42" s="313">
        <f>'Parking Projections'!O55</f>
        <v>2763.354166666667</v>
      </c>
      <c r="R42" s="313">
        <f>'Parking Projections'!P55</f>
        <v>2763.354166666667</v>
      </c>
      <c r="S42" s="313">
        <f>'Parking Projections'!Q55</f>
        <v>2763.354166666667</v>
      </c>
      <c r="T42" s="313">
        <f>'Parking Projections'!R55</f>
        <v>2763.354166666667</v>
      </c>
      <c r="U42" s="313">
        <f>'Parking Projections'!S55</f>
        <v>2763.354166666667</v>
      </c>
      <c r="V42" s="313">
        <f>'Parking Projections'!T55</f>
        <v>2763.354166666667</v>
      </c>
      <c r="W42" s="313">
        <f>'Parking Projections'!U55</f>
        <v>2763.354166666667</v>
      </c>
      <c r="X42" s="313">
        <f>'Parking Projections'!V55</f>
        <v>2763.354166666667</v>
      </c>
    </row>
    <row r="43" spans="1:24">
      <c r="A43" s="54" t="s">
        <v>267</v>
      </c>
      <c r="B43" s="277"/>
      <c r="C43" s="74"/>
      <c r="D43" s="486">
        <v>0</v>
      </c>
      <c r="E43" s="313">
        <f>'Parking Projections'!C59/2</f>
        <v>14009.916666666664</v>
      </c>
      <c r="F43" s="313">
        <f>'Parking Projections'!D59</f>
        <v>28019.833333333328</v>
      </c>
      <c r="G43" s="313">
        <f>'Parking Projections'!E59</f>
        <v>28019.833333333328</v>
      </c>
      <c r="H43" s="313">
        <f>'Parking Projections'!F59</f>
        <v>28019.833333333328</v>
      </c>
      <c r="I43" s="313">
        <f>'Parking Projections'!G59</f>
        <v>28019.833333333328</v>
      </c>
      <c r="J43" s="313">
        <f>'Parking Projections'!H59</f>
        <v>28019.833333333328</v>
      </c>
      <c r="K43" s="313">
        <f>'Parking Projections'!I59</f>
        <v>28019.833333333328</v>
      </c>
      <c r="L43" s="313">
        <f>'Parking Projections'!J59</f>
        <v>28019.833333333328</v>
      </c>
      <c r="M43" s="313">
        <f>'Parking Projections'!K59</f>
        <v>28019.833333333328</v>
      </c>
      <c r="N43" s="313">
        <f>'Parking Projections'!L59</f>
        <v>28019.833333333328</v>
      </c>
      <c r="O43" s="313">
        <f>'Parking Projections'!M59</f>
        <v>28019.833333333328</v>
      </c>
      <c r="P43" s="313">
        <f>'Parking Projections'!N59</f>
        <v>28019.833333333328</v>
      </c>
      <c r="Q43" s="313">
        <f>'Parking Projections'!O59</f>
        <v>28019.833333333328</v>
      </c>
      <c r="R43" s="313">
        <f>'Parking Projections'!P59</f>
        <v>28019.833333333328</v>
      </c>
      <c r="S43" s="313">
        <f>'Parking Projections'!Q59</f>
        <v>28019.833333333328</v>
      </c>
      <c r="T43" s="313">
        <f>'Parking Projections'!R59</f>
        <v>28019.833333333328</v>
      </c>
      <c r="U43" s="313">
        <f>'Parking Projections'!S59</f>
        <v>28019.833333333328</v>
      </c>
      <c r="V43" s="313">
        <f>'Parking Projections'!T59</f>
        <v>28019.833333333328</v>
      </c>
      <c r="W43" s="313">
        <f>'Parking Projections'!U59</f>
        <v>28019.833333333328</v>
      </c>
      <c r="X43" s="313">
        <f>'Parking Projections'!V59</f>
        <v>28019.833333333328</v>
      </c>
    </row>
    <row r="44" spans="1:24" s="96" customFormat="1">
      <c r="A44" s="54" t="s">
        <v>274</v>
      </c>
      <c r="B44" s="435"/>
      <c r="C44" s="583"/>
      <c r="D44" s="486">
        <v>0</v>
      </c>
      <c r="E44" s="313">
        <f>SUM(E42:E43)</f>
        <v>15391.593749999998</v>
      </c>
      <c r="F44" s="313">
        <f t="shared" ref="F44:X44" si="6">SUM(F42:F43)</f>
        <v>30783.187499999996</v>
      </c>
      <c r="G44" s="313">
        <f t="shared" si="6"/>
        <v>30783.187499999996</v>
      </c>
      <c r="H44" s="313">
        <f t="shared" si="6"/>
        <v>30783.187499999996</v>
      </c>
      <c r="I44" s="313">
        <f t="shared" si="6"/>
        <v>30783.187499999996</v>
      </c>
      <c r="J44" s="313">
        <f t="shared" si="6"/>
        <v>30783.187499999996</v>
      </c>
      <c r="K44" s="313">
        <f t="shared" si="6"/>
        <v>30783.187499999996</v>
      </c>
      <c r="L44" s="313">
        <f t="shared" si="6"/>
        <v>30783.187499999996</v>
      </c>
      <c r="M44" s="313">
        <f t="shared" si="6"/>
        <v>30783.187499999996</v>
      </c>
      <c r="N44" s="313">
        <f t="shared" si="6"/>
        <v>30783.187499999996</v>
      </c>
      <c r="O44" s="313">
        <f t="shared" si="6"/>
        <v>30783.187499999996</v>
      </c>
      <c r="P44" s="313">
        <f t="shared" si="6"/>
        <v>30783.187499999996</v>
      </c>
      <c r="Q44" s="313">
        <f t="shared" si="6"/>
        <v>30783.187499999996</v>
      </c>
      <c r="R44" s="313">
        <f t="shared" si="6"/>
        <v>30783.187499999996</v>
      </c>
      <c r="S44" s="313">
        <f t="shared" si="6"/>
        <v>30783.187499999996</v>
      </c>
      <c r="T44" s="313">
        <f t="shared" si="6"/>
        <v>30783.187499999996</v>
      </c>
      <c r="U44" s="313">
        <f t="shared" si="6"/>
        <v>30783.187499999996</v>
      </c>
      <c r="V44" s="313">
        <f t="shared" si="6"/>
        <v>30783.187499999996</v>
      </c>
      <c r="W44" s="313">
        <f t="shared" si="6"/>
        <v>30783.187499999996</v>
      </c>
      <c r="X44" s="313">
        <f t="shared" si="6"/>
        <v>30783.187499999996</v>
      </c>
    </row>
    <row r="45" spans="1:24">
      <c r="A45" s="54"/>
      <c r="B45" s="277"/>
      <c r="C45" s="74"/>
      <c r="D45" s="499"/>
      <c r="E45" s="308"/>
      <c r="F45" s="308"/>
      <c r="G45" s="308"/>
      <c r="H45" s="308"/>
      <c r="I45" s="308"/>
      <c r="J45" s="308"/>
      <c r="K45" s="308"/>
      <c r="L45" s="308"/>
      <c r="M45" s="308"/>
      <c r="N45" s="308"/>
      <c r="O45" s="308"/>
      <c r="P45" s="308"/>
      <c r="Q45" s="308"/>
      <c r="R45" s="308"/>
      <c r="S45" s="308"/>
      <c r="T45" s="308"/>
      <c r="U45" s="308"/>
      <c r="V45" s="308"/>
      <c r="W45" s="308"/>
      <c r="X45" s="308"/>
    </row>
    <row r="46" spans="1:24" s="341" customFormat="1">
      <c r="A46" s="552" t="s">
        <v>224</v>
      </c>
      <c r="B46" s="556"/>
      <c r="C46" s="557"/>
      <c r="D46" s="554">
        <v>0</v>
      </c>
      <c r="E46" s="558">
        <v>3</v>
      </c>
      <c r="F46" s="558">
        <v>3</v>
      </c>
      <c r="G46" s="558">
        <v>3</v>
      </c>
      <c r="H46" s="558">
        <v>3</v>
      </c>
      <c r="I46" s="558">
        <v>3</v>
      </c>
      <c r="J46" s="558">
        <v>3</v>
      </c>
      <c r="K46" s="558">
        <v>3</v>
      </c>
      <c r="L46" s="558">
        <v>3</v>
      </c>
      <c r="M46" s="558">
        <v>3</v>
      </c>
      <c r="N46" s="558">
        <v>3</v>
      </c>
      <c r="O46" s="558">
        <v>3</v>
      </c>
      <c r="P46" s="558">
        <v>3</v>
      </c>
      <c r="Q46" s="558">
        <v>3</v>
      </c>
      <c r="R46" s="558">
        <v>3</v>
      </c>
      <c r="S46" s="558">
        <v>3</v>
      </c>
      <c r="T46" s="558">
        <v>3</v>
      </c>
      <c r="U46" s="558">
        <v>3</v>
      </c>
      <c r="V46" s="558">
        <v>3</v>
      </c>
      <c r="W46" s="558">
        <v>3</v>
      </c>
      <c r="X46" s="558">
        <v>3</v>
      </c>
    </row>
    <row r="47" spans="1:24" s="96" customFormat="1">
      <c r="A47" s="54" t="s">
        <v>225</v>
      </c>
      <c r="B47" s="435"/>
      <c r="C47" s="583"/>
      <c r="D47" s="486">
        <v>0</v>
      </c>
      <c r="E47" s="496">
        <v>1</v>
      </c>
      <c r="F47" s="496">
        <v>1</v>
      </c>
      <c r="G47" s="496">
        <v>1</v>
      </c>
      <c r="H47" s="496">
        <v>1</v>
      </c>
      <c r="I47" s="496">
        <v>1</v>
      </c>
      <c r="J47" s="496">
        <v>1</v>
      </c>
      <c r="K47" s="496">
        <v>1</v>
      </c>
      <c r="L47" s="496">
        <v>1</v>
      </c>
      <c r="M47" s="496">
        <v>1</v>
      </c>
      <c r="N47" s="496">
        <v>1</v>
      </c>
      <c r="O47" s="496">
        <v>1</v>
      </c>
      <c r="P47" s="496">
        <v>1</v>
      </c>
      <c r="Q47" s="496">
        <v>1</v>
      </c>
      <c r="R47" s="496">
        <v>1</v>
      </c>
      <c r="S47" s="496">
        <v>1</v>
      </c>
      <c r="T47" s="496">
        <v>1</v>
      </c>
      <c r="U47" s="496">
        <v>1</v>
      </c>
      <c r="V47" s="496">
        <v>1</v>
      </c>
      <c r="W47" s="496">
        <v>1</v>
      </c>
      <c r="X47" s="496">
        <v>1</v>
      </c>
    </row>
    <row r="48" spans="1:24">
      <c r="A48" s="54" t="s">
        <v>209</v>
      </c>
      <c r="B48" s="277"/>
      <c r="C48" s="74"/>
      <c r="D48" s="486">
        <v>0</v>
      </c>
      <c r="E48" s="496">
        <v>0.5</v>
      </c>
      <c r="F48" s="496">
        <v>0.5</v>
      </c>
      <c r="G48" s="496">
        <v>0.5</v>
      </c>
      <c r="H48" s="496">
        <v>0.5</v>
      </c>
      <c r="I48" s="496">
        <v>0.5</v>
      </c>
      <c r="J48" s="496">
        <v>0.5</v>
      </c>
      <c r="K48" s="496">
        <v>0.5</v>
      </c>
      <c r="L48" s="496">
        <v>0.5</v>
      </c>
      <c r="M48" s="496">
        <v>0.5</v>
      </c>
      <c r="N48" s="496">
        <v>0.5</v>
      </c>
      <c r="O48" s="496">
        <v>0.5</v>
      </c>
      <c r="P48" s="496">
        <v>0.5</v>
      </c>
      <c r="Q48" s="496">
        <v>0.5</v>
      </c>
      <c r="R48" s="496">
        <v>0.5</v>
      </c>
      <c r="S48" s="496">
        <v>0.5</v>
      </c>
      <c r="T48" s="496">
        <v>0.5</v>
      </c>
      <c r="U48" s="496">
        <v>0.5</v>
      </c>
      <c r="V48" s="496">
        <v>0.5</v>
      </c>
      <c r="W48" s="496">
        <v>0.5</v>
      </c>
      <c r="X48" s="496">
        <v>0.5</v>
      </c>
    </row>
    <row r="49" spans="1:25 16384:16384">
      <c r="A49" s="54" t="s">
        <v>289</v>
      </c>
      <c r="B49" s="277"/>
      <c r="C49" s="74"/>
      <c r="D49" s="486">
        <v>0</v>
      </c>
      <c r="E49" s="496">
        <f>SUM(E47:E48)/2</f>
        <v>0.75</v>
      </c>
      <c r="F49" s="496">
        <f t="shared" ref="F49:X49" si="7">SUM(F47:F48)/2</f>
        <v>0.75</v>
      </c>
      <c r="G49" s="496">
        <f t="shared" si="7"/>
        <v>0.75</v>
      </c>
      <c r="H49" s="496">
        <f t="shared" si="7"/>
        <v>0.75</v>
      </c>
      <c r="I49" s="496">
        <f t="shared" si="7"/>
        <v>0.75</v>
      </c>
      <c r="J49" s="496">
        <f t="shared" si="7"/>
        <v>0.75</v>
      </c>
      <c r="K49" s="496">
        <f t="shared" si="7"/>
        <v>0.75</v>
      </c>
      <c r="L49" s="496">
        <f t="shared" si="7"/>
        <v>0.75</v>
      </c>
      <c r="M49" s="496">
        <f t="shared" si="7"/>
        <v>0.75</v>
      </c>
      <c r="N49" s="496">
        <f t="shared" si="7"/>
        <v>0.75</v>
      </c>
      <c r="O49" s="496">
        <f t="shared" si="7"/>
        <v>0.75</v>
      </c>
      <c r="P49" s="496">
        <f t="shared" si="7"/>
        <v>0.75</v>
      </c>
      <c r="Q49" s="496">
        <f t="shared" si="7"/>
        <v>0.75</v>
      </c>
      <c r="R49" s="496">
        <f t="shared" si="7"/>
        <v>0.75</v>
      </c>
      <c r="S49" s="496">
        <f t="shared" si="7"/>
        <v>0.75</v>
      </c>
      <c r="T49" s="496">
        <f t="shared" si="7"/>
        <v>0.75</v>
      </c>
      <c r="U49" s="496">
        <f t="shared" si="7"/>
        <v>0.75</v>
      </c>
      <c r="V49" s="496">
        <f t="shared" si="7"/>
        <v>0.75</v>
      </c>
      <c r="W49" s="496">
        <f t="shared" si="7"/>
        <v>0.75</v>
      </c>
      <c r="X49" s="496">
        <f t="shared" si="7"/>
        <v>0.75</v>
      </c>
      <c r="XFD49" s="570">
        <f>SUM(D49:XFC49)</f>
        <v>15</v>
      </c>
    </row>
    <row r="50" spans="1:25 16384:16384">
      <c r="A50" s="54"/>
      <c r="B50" s="277"/>
      <c r="C50" s="74"/>
      <c r="D50" s="486"/>
      <c r="E50" s="496"/>
      <c r="F50" s="496"/>
      <c r="G50" s="496"/>
      <c r="H50" s="496"/>
      <c r="I50" s="496"/>
      <c r="J50" s="496"/>
      <c r="K50" s="496"/>
      <c r="L50" s="496"/>
      <c r="M50" s="496"/>
      <c r="N50" s="496"/>
      <c r="O50" s="496"/>
      <c r="P50" s="496"/>
      <c r="Q50" s="496"/>
      <c r="R50" s="496"/>
      <c r="S50" s="496"/>
      <c r="T50" s="496"/>
      <c r="U50" s="496"/>
      <c r="V50" s="496"/>
      <c r="W50" s="496"/>
      <c r="X50" s="496"/>
      <c r="XFD50" s="570"/>
    </row>
    <row r="51" spans="1:25 16384:16384">
      <c r="A51" s="54" t="s">
        <v>312</v>
      </c>
      <c r="B51" s="277"/>
      <c r="C51" s="74"/>
      <c r="D51" s="486">
        <v>0</v>
      </c>
      <c r="E51" s="313">
        <f>'Shuttle Projections'!C22*0.5</f>
        <v>3595</v>
      </c>
      <c r="F51" s="313">
        <f>'Shuttle Projections'!D22</f>
        <v>7190</v>
      </c>
      <c r="G51" s="313">
        <f>'Shuttle Projections'!E22</f>
        <v>7190</v>
      </c>
      <c r="H51" s="313">
        <f>'Shuttle Projections'!F22</f>
        <v>7190</v>
      </c>
      <c r="I51" s="313">
        <f>'Shuttle Projections'!G22</f>
        <v>7190</v>
      </c>
      <c r="J51" s="313">
        <f>'Shuttle Projections'!H22</f>
        <v>7190</v>
      </c>
      <c r="K51" s="313">
        <f>'Shuttle Projections'!I22</f>
        <v>7190</v>
      </c>
      <c r="L51" s="313">
        <f>'Shuttle Projections'!J22</f>
        <v>7190</v>
      </c>
      <c r="M51" s="313">
        <f>'Shuttle Projections'!K22</f>
        <v>7190</v>
      </c>
      <c r="N51" s="313">
        <f>'Shuttle Projections'!L22</f>
        <v>7190</v>
      </c>
      <c r="O51" s="313">
        <f>'Shuttle Projections'!M22</f>
        <v>7190</v>
      </c>
      <c r="P51" s="313">
        <f>'Shuttle Projections'!N22</f>
        <v>7190</v>
      </c>
      <c r="Q51" s="313">
        <f>'Shuttle Projections'!O22</f>
        <v>7190</v>
      </c>
      <c r="R51" s="313">
        <f>'Shuttle Projections'!P22</f>
        <v>7190</v>
      </c>
      <c r="S51" s="313">
        <f>'Shuttle Projections'!Q22</f>
        <v>7190</v>
      </c>
      <c r="T51" s="313">
        <f>'Shuttle Projections'!R22</f>
        <v>7190</v>
      </c>
      <c r="U51" s="313">
        <f>'Shuttle Projections'!S22</f>
        <v>7190</v>
      </c>
      <c r="V51" s="313">
        <f>'Shuttle Projections'!T22</f>
        <v>7190</v>
      </c>
      <c r="W51" s="313">
        <f>'Shuttle Projections'!U22</f>
        <v>7190</v>
      </c>
      <c r="X51" s="313">
        <f>'Shuttle Projections'!V22</f>
        <v>7190</v>
      </c>
      <c r="XFD51" s="570"/>
    </row>
    <row r="52" spans="1:25 16384:16384">
      <c r="A52" s="54"/>
      <c r="B52" s="277"/>
      <c r="C52" s="74"/>
      <c r="D52" s="486"/>
      <c r="E52" s="308"/>
      <c r="F52" s="308"/>
      <c r="G52" s="308"/>
      <c r="H52" s="308"/>
      <c r="I52" s="308"/>
      <c r="J52" s="308"/>
      <c r="K52" s="308"/>
      <c r="L52" s="308"/>
      <c r="M52" s="308"/>
      <c r="N52" s="308"/>
      <c r="O52" s="308"/>
      <c r="P52" s="308"/>
      <c r="Q52" s="308"/>
      <c r="R52" s="308"/>
      <c r="S52" s="308"/>
      <c r="T52" s="308"/>
      <c r="U52" s="308"/>
      <c r="V52" s="308"/>
      <c r="W52" s="308"/>
      <c r="X52" s="308"/>
    </row>
    <row r="53" spans="1:25 16384:16384" s="612" customFormat="1">
      <c r="A53" s="613" t="s">
        <v>292</v>
      </c>
      <c r="B53" s="614"/>
      <c r="C53" s="615"/>
      <c r="D53" s="616">
        <v>0</v>
      </c>
      <c r="E53" s="617">
        <v>0</v>
      </c>
      <c r="F53" s="617">
        <v>0</v>
      </c>
      <c r="G53" s="617">
        <v>100000</v>
      </c>
      <c r="H53" s="617">
        <v>100000</v>
      </c>
      <c r="I53" s="617">
        <v>100000</v>
      </c>
      <c r="J53" s="617">
        <v>100000</v>
      </c>
      <c r="K53" s="617">
        <v>100000</v>
      </c>
      <c r="L53" s="617">
        <v>100000</v>
      </c>
      <c r="M53" s="617">
        <v>100000</v>
      </c>
      <c r="N53" s="617">
        <v>100000</v>
      </c>
      <c r="O53" s="617">
        <v>100000</v>
      </c>
      <c r="P53" s="617">
        <v>100000</v>
      </c>
      <c r="Q53" s="617">
        <v>100000</v>
      </c>
      <c r="R53" s="617">
        <v>100000</v>
      </c>
      <c r="S53" s="617">
        <v>100000</v>
      </c>
      <c r="T53" s="617">
        <v>100000</v>
      </c>
      <c r="U53" s="617">
        <v>100000</v>
      </c>
      <c r="V53" s="617">
        <v>100000</v>
      </c>
      <c r="W53" s="617">
        <v>100000</v>
      </c>
      <c r="X53" s="618">
        <v>100000</v>
      </c>
    </row>
    <row r="54" spans="1:25 16384:16384">
      <c r="A54" s="54"/>
      <c r="B54" s="277"/>
      <c r="C54" s="74"/>
      <c r="D54" s="486"/>
      <c r="E54" s="308"/>
      <c r="F54" s="308"/>
      <c r="G54" s="308"/>
      <c r="H54" s="308"/>
      <c r="I54" s="308"/>
      <c r="J54" s="308"/>
      <c r="K54" s="308"/>
      <c r="L54" s="308"/>
      <c r="M54" s="308"/>
      <c r="N54" s="308"/>
      <c r="O54" s="308"/>
      <c r="P54" s="308"/>
      <c r="Q54" s="308"/>
      <c r="R54" s="308"/>
      <c r="S54" s="308"/>
      <c r="T54" s="308"/>
      <c r="U54" s="308"/>
      <c r="V54" s="308"/>
      <c r="W54" s="308"/>
      <c r="X54" s="308"/>
    </row>
    <row r="55" spans="1:25 16384:16384" s="582" customFormat="1">
      <c r="A55" s="293" t="str">
        <f>'BH Tariffs'!A33</f>
        <v>Recreational/Commercial Marina</v>
      </c>
      <c r="B55" s="584"/>
      <c r="C55" s="585"/>
      <c r="D55" s="486"/>
      <c r="E55" s="586"/>
      <c r="F55" s="586"/>
      <c r="G55" s="586"/>
      <c r="H55" s="586"/>
      <c r="I55" s="586"/>
      <c r="J55" s="586"/>
      <c r="K55" s="586"/>
      <c r="L55" s="586"/>
      <c r="M55" s="586"/>
      <c r="N55" s="586"/>
      <c r="O55" s="586"/>
      <c r="P55" s="586"/>
      <c r="Q55" s="586"/>
      <c r="R55" s="586"/>
      <c r="S55" s="586"/>
      <c r="T55" s="586"/>
      <c r="U55" s="586"/>
      <c r="V55" s="586"/>
      <c r="W55" s="586"/>
      <c r="X55" s="586"/>
    </row>
    <row r="56" spans="1:25 16384:16384" s="96" customFormat="1">
      <c r="A56" s="54" t="s">
        <v>291</v>
      </c>
      <c r="B56" s="435"/>
      <c r="C56" s="583"/>
      <c r="D56" s="486">
        <v>0</v>
      </c>
      <c r="E56" s="313">
        <v>0</v>
      </c>
      <c r="F56" s="313">
        <f>'Marina Projections'!D67</f>
        <v>12</v>
      </c>
      <c r="G56" s="313">
        <f>'Marina Projections'!E67</f>
        <v>12</v>
      </c>
      <c r="H56" s="313">
        <f>'Marina Projections'!F67</f>
        <v>12</v>
      </c>
      <c r="I56" s="313">
        <f>'Marina Projections'!G67</f>
        <v>12</v>
      </c>
      <c r="J56" s="313">
        <f>'Marina Projections'!H67</f>
        <v>12</v>
      </c>
      <c r="K56" s="313">
        <f>'Marina Projections'!I67</f>
        <v>12</v>
      </c>
      <c r="L56" s="313">
        <f>'Marina Projections'!J67</f>
        <v>12</v>
      </c>
      <c r="M56" s="313">
        <f>'Marina Projections'!K67</f>
        <v>12</v>
      </c>
      <c r="N56" s="313">
        <f>'Marina Projections'!L67</f>
        <v>12</v>
      </c>
      <c r="O56" s="313">
        <f>'Marina Projections'!M67</f>
        <v>12</v>
      </c>
      <c r="P56" s="313">
        <f>'Marina Projections'!N67</f>
        <v>12</v>
      </c>
      <c r="Q56" s="313">
        <f>'Marina Projections'!O67</f>
        <v>12</v>
      </c>
      <c r="R56" s="313">
        <f>'Marina Projections'!P67</f>
        <v>12</v>
      </c>
      <c r="S56" s="313">
        <f>'Marina Projections'!Q67</f>
        <v>12</v>
      </c>
      <c r="T56" s="313">
        <f>'Marina Projections'!R67</f>
        <v>12</v>
      </c>
      <c r="U56" s="313">
        <f>'Marina Projections'!S67</f>
        <v>12</v>
      </c>
      <c r="V56" s="313">
        <f>'Marina Projections'!T67</f>
        <v>12</v>
      </c>
      <c r="W56" s="313">
        <f>'Marina Projections'!U67</f>
        <v>12</v>
      </c>
      <c r="X56" s="313">
        <f>'Marina Projections'!V67</f>
        <v>12</v>
      </c>
    </row>
    <row r="57" spans="1:25 16384:16384" s="96" customFormat="1">
      <c r="A57" s="54" t="s">
        <v>293</v>
      </c>
      <c r="B57" s="435"/>
      <c r="C57" s="583"/>
      <c r="D57" s="486">
        <v>0</v>
      </c>
      <c r="E57" s="313">
        <v>0</v>
      </c>
      <c r="F57" s="313">
        <f>'Marina Projections'!D74</f>
        <v>9557.1731249999993</v>
      </c>
      <c r="G57" s="313">
        <f>'Marina Projections'!E74</f>
        <v>9557.1731249999993</v>
      </c>
      <c r="H57" s="313">
        <f>'Marina Projections'!F74</f>
        <v>9557.1731249999993</v>
      </c>
      <c r="I57" s="313">
        <f>'Marina Projections'!G74</f>
        <v>9557.1731249999993</v>
      </c>
      <c r="J57" s="313">
        <f>'Marina Projections'!H74</f>
        <v>9557.1731249999993</v>
      </c>
      <c r="K57" s="313">
        <f>'Marina Projections'!I74</f>
        <v>9557.1731249999993</v>
      </c>
      <c r="L57" s="313">
        <f>'Marina Projections'!J74</f>
        <v>9557.1731249999993</v>
      </c>
      <c r="M57" s="313">
        <f>'Marina Projections'!K74</f>
        <v>9557.1731249999993</v>
      </c>
      <c r="N57" s="313">
        <f>'Marina Projections'!L74</f>
        <v>9557.1731249999993</v>
      </c>
      <c r="O57" s="313">
        <f>'Marina Projections'!M74</f>
        <v>9557.1731249999993</v>
      </c>
      <c r="P57" s="313">
        <f>'Marina Projections'!N74</f>
        <v>9557.1731249999993</v>
      </c>
      <c r="Q57" s="313">
        <f>'Marina Projections'!O74</f>
        <v>9557.1731249999993</v>
      </c>
      <c r="R57" s="313">
        <f>'Marina Projections'!P74</f>
        <v>9557.1731249999993</v>
      </c>
      <c r="S57" s="313">
        <f>'Marina Projections'!Q74</f>
        <v>9557.1731249999993</v>
      </c>
      <c r="T57" s="313">
        <f>'Marina Projections'!R74</f>
        <v>9557.1731249999993</v>
      </c>
      <c r="U57" s="313">
        <f>'Marina Projections'!S74</f>
        <v>9557.1731249999993</v>
      </c>
      <c r="V57" s="313">
        <f>'Marina Projections'!T74</f>
        <v>9557.1731249999993</v>
      </c>
      <c r="W57" s="313">
        <f>'Marina Projections'!U74</f>
        <v>9557.1731249999993</v>
      </c>
      <c r="X57" s="313">
        <f>'Marina Projections'!V74</f>
        <v>9557.1731249999993</v>
      </c>
    </row>
    <row r="58" spans="1:25 16384:16384" s="96" customFormat="1">
      <c r="A58" s="54" t="s">
        <v>294</v>
      </c>
      <c r="B58" s="435"/>
      <c r="C58" s="583"/>
      <c r="D58" s="486">
        <v>0</v>
      </c>
      <c r="E58" s="313">
        <v>0</v>
      </c>
      <c r="F58" s="313">
        <f>'Marina Projections'!D70</f>
        <v>359.1</v>
      </c>
      <c r="G58" s="313">
        <f>'Marina Projections'!E70</f>
        <v>359.1</v>
      </c>
      <c r="H58" s="313">
        <f>'Marina Projections'!F70</f>
        <v>359.1</v>
      </c>
      <c r="I58" s="313">
        <f>'Marina Projections'!G70</f>
        <v>359.1</v>
      </c>
      <c r="J58" s="313">
        <f>'Marina Projections'!H70</f>
        <v>359.1</v>
      </c>
      <c r="K58" s="313">
        <f>'Marina Projections'!I70</f>
        <v>359.1</v>
      </c>
      <c r="L58" s="313">
        <f>'Marina Projections'!J70</f>
        <v>359.1</v>
      </c>
      <c r="M58" s="313">
        <f>'Marina Projections'!K70</f>
        <v>359.1</v>
      </c>
      <c r="N58" s="313">
        <f>'Marina Projections'!L70</f>
        <v>359.1</v>
      </c>
      <c r="O58" s="313">
        <f>'Marina Projections'!M70</f>
        <v>359.1</v>
      </c>
      <c r="P58" s="313">
        <f>'Marina Projections'!N70</f>
        <v>359.1</v>
      </c>
      <c r="Q58" s="313">
        <f>'Marina Projections'!O70</f>
        <v>359.1</v>
      </c>
      <c r="R58" s="313">
        <f>'Marina Projections'!P70</f>
        <v>359.1</v>
      </c>
      <c r="S58" s="313">
        <f>'Marina Projections'!Q70</f>
        <v>359.1</v>
      </c>
      <c r="T58" s="313">
        <f>'Marina Projections'!R70</f>
        <v>359.1</v>
      </c>
      <c r="U58" s="313">
        <f>'Marina Projections'!S70</f>
        <v>359.1</v>
      </c>
      <c r="V58" s="313">
        <f>'Marina Projections'!T70</f>
        <v>359.1</v>
      </c>
      <c r="W58" s="313">
        <f>'Marina Projections'!U70</f>
        <v>359.1</v>
      </c>
      <c r="X58" s="313">
        <f>'Marina Projections'!V70</f>
        <v>359.1</v>
      </c>
    </row>
    <row r="59" spans="1:25 16384:16384" s="167" customFormat="1">
      <c r="A59" s="497" t="s">
        <v>170</v>
      </c>
      <c r="B59" s="450"/>
      <c r="C59" s="498"/>
      <c r="D59" s="486">
        <v>0</v>
      </c>
      <c r="E59" s="587">
        <v>0</v>
      </c>
      <c r="F59" s="587">
        <v>0</v>
      </c>
      <c r="G59" s="587">
        <v>0</v>
      </c>
      <c r="H59" s="587">
        <v>0</v>
      </c>
      <c r="I59" s="587">
        <v>0</v>
      </c>
      <c r="J59" s="587">
        <v>0</v>
      </c>
      <c r="K59" s="587">
        <v>0</v>
      </c>
      <c r="L59" s="587">
        <v>0</v>
      </c>
      <c r="M59" s="587">
        <v>0</v>
      </c>
      <c r="N59" s="587">
        <v>0</v>
      </c>
      <c r="O59" s="587">
        <v>0</v>
      </c>
      <c r="P59" s="587">
        <v>0</v>
      </c>
      <c r="Q59" s="587">
        <v>0</v>
      </c>
      <c r="R59" s="587">
        <v>0</v>
      </c>
      <c r="S59" s="587">
        <v>0</v>
      </c>
      <c r="T59" s="587">
        <v>0</v>
      </c>
      <c r="U59" s="587">
        <v>0</v>
      </c>
      <c r="V59" s="587">
        <v>0</v>
      </c>
      <c r="W59" s="587">
        <v>0</v>
      </c>
      <c r="X59" s="587">
        <v>0</v>
      </c>
      <c r="Y59" s="167" t="s">
        <v>282</v>
      </c>
    </row>
    <row r="60" spans="1:25 16384:16384" s="167" customFormat="1">
      <c r="A60" s="497" t="s">
        <v>16</v>
      </c>
      <c r="B60" s="450"/>
      <c r="C60" s="498"/>
      <c r="D60" s="499">
        <v>0</v>
      </c>
      <c r="E60" s="587">
        <v>0</v>
      </c>
      <c r="F60" s="587">
        <v>0</v>
      </c>
      <c r="G60" s="587">
        <v>0</v>
      </c>
      <c r="H60" s="587">
        <v>0</v>
      </c>
      <c r="I60" s="587">
        <v>0</v>
      </c>
      <c r="J60" s="587">
        <v>0</v>
      </c>
      <c r="K60" s="587">
        <v>0</v>
      </c>
      <c r="L60" s="587">
        <v>0</v>
      </c>
      <c r="M60" s="587">
        <v>0</v>
      </c>
      <c r="N60" s="587">
        <v>0</v>
      </c>
      <c r="O60" s="587">
        <v>0</v>
      </c>
      <c r="P60" s="587">
        <v>0</v>
      </c>
      <c r="Q60" s="587">
        <v>0</v>
      </c>
      <c r="R60" s="587">
        <v>0</v>
      </c>
      <c r="S60" s="587">
        <v>0</v>
      </c>
      <c r="T60" s="587">
        <v>0</v>
      </c>
      <c r="U60" s="587">
        <v>0</v>
      </c>
      <c r="V60" s="587">
        <v>0</v>
      </c>
      <c r="W60" s="587">
        <v>0</v>
      </c>
      <c r="X60" s="587">
        <v>0</v>
      </c>
      <c r="Y60" s="167" t="s">
        <v>282</v>
      </c>
    </row>
    <row r="61" spans="1:25 16384:16384">
      <c r="A61" s="54"/>
      <c r="B61" s="277"/>
      <c r="C61" s="74"/>
      <c r="D61" s="492"/>
      <c r="E61" s="308"/>
      <c r="F61" s="308"/>
      <c r="G61" s="308"/>
      <c r="H61" s="308"/>
      <c r="I61" s="308"/>
      <c r="J61" s="308"/>
      <c r="K61" s="308"/>
      <c r="L61" s="308"/>
      <c r="M61" s="308"/>
      <c r="N61" s="308"/>
      <c r="O61" s="308"/>
      <c r="P61" s="308"/>
      <c r="Q61" s="308"/>
      <c r="R61" s="308"/>
      <c r="S61" s="308"/>
      <c r="T61" s="308"/>
      <c r="U61" s="308"/>
      <c r="V61" s="308"/>
      <c r="W61" s="308"/>
      <c r="X61" s="308"/>
    </row>
    <row r="62" spans="1:25 16384:16384">
      <c r="A62" s="293" t="s">
        <v>2</v>
      </c>
      <c r="B62" s="277"/>
      <c r="C62" s="74"/>
      <c r="D62" s="492"/>
      <c r="E62" s="308"/>
      <c r="F62" s="308"/>
      <c r="G62" s="308"/>
      <c r="H62" s="308"/>
      <c r="I62" s="308"/>
      <c r="J62" s="308"/>
      <c r="K62" s="308"/>
      <c r="L62" s="308"/>
      <c r="M62" s="308"/>
      <c r="N62" s="308"/>
      <c r="O62" s="308"/>
      <c r="P62" s="308"/>
      <c r="Q62" s="308"/>
      <c r="R62" s="308"/>
      <c r="S62" s="308"/>
      <c r="T62" s="308"/>
      <c r="U62" s="308"/>
      <c r="V62" s="308"/>
      <c r="W62" s="308"/>
      <c r="X62" s="308"/>
    </row>
    <row r="63" spans="1:25 16384:16384" s="96" customFormat="1">
      <c r="A63" s="54" t="s">
        <v>290</v>
      </c>
      <c r="B63" s="435">
        <v>500</v>
      </c>
      <c r="C63" s="487"/>
      <c r="D63" s="486">
        <v>0</v>
      </c>
      <c r="E63" s="313">
        <v>0</v>
      </c>
      <c r="F63" s="313">
        <v>0</v>
      </c>
      <c r="G63" s="313">
        <f t="shared" ref="G63:X63" si="8">$B$63</f>
        <v>500</v>
      </c>
      <c r="H63" s="313">
        <f t="shared" si="8"/>
        <v>500</v>
      </c>
      <c r="I63" s="313">
        <f t="shared" si="8"/>
        <v>500</v>
      </c>
      <c r="J63" s="313">
        <f t="shared" si="8"/>
        <v>500</v>
      </c>
      <c r="K63" s="313">
        <f t="shared" si="8"/>
        <v>500</v>
      </c>
      <c r="L63" s="313">
        <f t="shared" si="8"/>
        <v>500</v>
      </c>
      <c r="M63" s="313">
        <f t="shared" si="8"/>
        <v>500</v>
      </c>
      <c r="N63" s="313">
        <f t="shared" si="8"/>
        <v>500</v>
      </c>
      <c r="O63" s="313">
        <f t="shared" si="8"/>
        <v>500</v>
      </c>
      <c r="P63" s="313">
        <f t="shared" si="8"/>
        <v>500</v>
      </c>
      <c r="Q63" s="313">
        <f t="shared" si="8"/>
        <v>500</v>
      </c>
      <c r="R63" s="313">
        <f t="shared" si="8"/>
        <v>500</v>
      </c>
      <c r="S63" s="313">
        <f t="shared" si="8"/>
        <v>500</v>
      </c>
      <c r="T63" s="313">
        <f t="shared" si="8"/>
        <v>500</v>
      </c>
      <c r="U63" s="313">
        <f t="shared" si="8"/>
        <v>500</v>
      </c>
      <c r="V63" s="313">
        <f t="shared" si="8"/>
        <v>500</v>
      </c>
      <c r="W63" s="313">
        <f t="shared" si="8"/>
        <v>500</v>
      </c>
      <c r="X63" s="313">
        <f t="shared" si="8"/>
        <v>500</v>
      </c>
    </row>
    <row r="64" spans="1:25 16384:16384" s="96" customFormat="1">
      <c r="A64" s="54" t="s">
        <v>540</v>
      </c>
      <c r="B64" s="435"/>
      <c r="C64" s="487"/>
      <c r="D64" s="1055">
        <v>0</v>
      </c>
      <c r="E64" s="1056">
        <v>0</v>
      </c>
      <c r="F64" s="1056">
        <v>0</v>
      </c>
      <c r="G64" s="1056">
        <v>200000</v>
      </c>
      <c r="H64" s="1056">
        <f>G64</f>
        <v>200000</v>
      </c>
      <c r="I64" s="1056">
        <f t="shared" ref="I64:X64" si="9">H64</f>
        <v>200000</v>
      </c>
      <c r="J64" s="1056">
        <f t="shared" si="9"/>
        <v>200000</v>
      </c>
      <c r="K64" s="1056">
        <f t="shared" si="9"/>
        <v>200000</v>
      </c>
      <c r="L64" s="1056">
        <f t="shared" si="9"/>
        <v>200000</v>
      </c>
      <c r="M64" s="1056">
        <f t="shared" si="9"/>
        <v>200000</v>
      </c>
      <c r="N64" s="1056">
        <f t="shared" si="9"/>
        <v>200000</v>
      </c>
      <c r="O64" s="1056">
        <f t="shared" si="9"/>
        <v>200000</v>
      </c>
      <c r="P64" s="1056">
        <f t="shared" si="9"/>
        <v>200000</v>
      </c>
      <c r="Q64" s="1056">
        <f t="shared" si="9"/>
        <v>200000</v>
      </c>
      <c r="R64" s="1056">
        <f t="shared" si="9"/>
        <v>200000</v>
      </c>
      <c r="S64" s="1056">
        <f t="shared" si="9"/>
        <v>200000</v>
      </c>
      <c r="T64" s="1056">
        <f t="shared" si="9"/>
        <v>200000</v>
      </c>
      <c r="U64" s="1056">
        <f t="shared" si="9"/>
        <v>200000</v>
      </c>
      <c r="V64" s="1056">
        <f t="shared" si="9"/>
        <v>200000</v>
      </c>
      <c r="W64" s="1056">
        <f t="shared" si="9"/>
        <v>200000</v>
      </c>
      <c r="X64" s="1056">
        <f t="shared" si="9"/>
        <v>200000</v>
      </c>
    </row>
    <row r="65" spans="1:25" s="96" customFormat="1">
      <c r="A65" s="54" t="s">
        <v>210</v>
      </c>
      <c r="B65" s="487"/>
      <c r="C65" s="487"/>
      <c r="D65" s="486">
        <v>0</v>
      </c>
      <c r="E65" s="313">
        <v>0</v>
      </c>
      <c r="F65" s="313">
        <v>1</v>
      </c>
      <c r="G65" s="313">
        <v>2</v>
      </c>
      <c r="H65" s="313">
        <v>2</v>
      </c>
      <c r="I65" s="313">
        <v>2</v>
      </c>
      <c r="J65" s="313">
        <v>3</v>
      </c>
      <c r="K65" s="313">
        <v>3</v>
      </c>
      <c r="L65" s="313">
        <v>3</v>
      </c>
      <c r="M65" s="313">
        <v>3</v>
      </c>
      <c r="N65" s="313">
        <v>3</v>
      </c>
      <c r="O65" s="313">
        <v>4</v>
      </c>
      <c r="P65" s="313">
        <v>4</v>
      </c>
      <c r="Q65" s="313">
        <v>4</v>
      </c>
      <c r="R65" s="313">
        <v>4</v>
      </c>
      <c r="S65" s="313">
        <v>4</v>
      </c>
      <c r="T65" s="313">
        <v>5</v>
      </c>
      <c r="U65" s="313">
        <v>5</v>
      </c>
      <c r="V65" s="313">
        <v>5</v>
      </c>
      <c r="W65" s="313">
        <v>5</v>
      </c>
      <c r="X65" s="313">
        <v>5</v>
      </c>
      <c r="Y65" s="313"/>
    </row>
    <row r="66" spans="1:25" s="96" customFormat="1">
      <c r="A66" s="96" t="s">
        <v>211</v>
      </c>
      <c r="D66" s="486">
        <v>0</v>
      </c>
      <c r="E66" s="435">
        <v>0</v>
      </c>
      <c r="F66" s="435">
        <v>3</v>
      </c>
      <c r="G66" s="435">
        <v>3</v>
      </c>
      <c r="H66" s="435">
        <v>3</v>
      </c>
      <c r="I66" s="435">
        <v>3</v>
      </c>
      <c r="J66" s="435">
        <v>3</v>
      </c>
      <c r="K66" s="435">
        <v>3</v>
      </c>
      <c r="L66" s="435">
        <v>3</v>
      </c>
      <c r="M66" s="435">
        <v>3</v>
      </c>
      <c r="N66" s="435">
        <v>3</v>
      </c>
      <c r="O66" s="435">
        <v>3</v>
      </c>
      <c r="P66" s="435">
        <v>3</v>
      </c>
      <c r="Q66" s="435">
        <v>3</v>
      </c>
      <c r="R66" s="435">
        <v>3</v>
      </c>
      <c r="S66" s="435">
        <v>3</v>
      </c>
      <c r="T66" s="435">
        <v>3</v>
      </c>
      <c r="U66" s="435">
        <v>3</v>
      </c>
      <c r="V66" s="435">
        <v>3</v>
      </c>
      <c r="W66" s="435">
        <v>3</v>
      </c>
      <c r="X66" s="435">
        <v>3</v>
      </c>
    </row>
    <row r="67" spans="1:25" s="167" customFormat="1">
      <c r="A67" s="497"/>
      <c r="B67" s="501"/>
      <c r="C67" s="501"/>
      <c r="D67" s="499"/>
      <c r="E67" s="500"/>
      <c r="F67" s="500"/>
      <c r="G67" s="500"/>
      <c r="H67" s="500"/>
      <c r="I67" s="500"/>
      <c r="J67" s="500"/>
      <c r="K67" s="500"/>
      <c r="L67" s="500"/>
      <c r="M67" s="500"/>
      <c r="N67" s="500"/>
      <c r="O67" s="500"/>
      <c r="P67" s="500"/>
      <c r="Q67" s="500"/>
      <c r="R67" s="500"/>
      <c r="S67" s="500"/>
      <c r="T67" s="500"/>
      <c r="U67" s="500"/>
      <c r="V67" s="500"/>
      <c r="W67" s="500"/>
      <c r="X67" s="500"/>
      <c r="Y67" s="500"/>
    </row>
    <row r="68" spans="1:25">
      <c r="A68" s="28"/>
      <c r="D68" s="486"/>
      <c r="E68" s="331"/>
      <c r="F68" s="333"/>
      <c r="G68" s="331"/>
      <c r="H68" s="331"/>
      <c r="I68" s="331"/>
      <c r="J68" s="331"/>
      <c r="K68" s="331"/>
      <c r="L68" s="331"/>
      <c r="M68" s="331"/>
      <c r="N68" s="331"/>
      <c r="O68" s="331"/>
      <c r="P68" s="331"/>
      <c r="Q68" s="331"/>
      <c r="R68" s="331"/>
      <c r="S68" s="331"/>
      <c r="T68" s="331"/>
      <c r="U68" s="331"/>
      <c r="V68" s="331"/>
      <c r="W68" s="331"/>
      <c r="X68" s="331"/>
    </row>
    <row r="69" spans="1:25">
      <c r="A69" s="266" t="s">
        <v>135</v>
      </c>
      <c r="B69" s="223"/>
      <c r="C69" s="267"/>
      <c r="D69" s="332"/>
      <c r="E69" s="332"/>
      <c r="F69" s="349"/>
      <c r="G69" s="332"/>
      <c r="H69" s="332"/>
      <c r="I69" s="332"/>
      <c r="J69" s="332"/>
      <c r="K69" s="332"/>
      <c r="L69" s="332"/>
      <c r="M69" s="332"/>
      <c r="N69" s="332"/>
      <c r="O69" s="332"/>
      <c r="P69" s="332"/>
      <c r="Q69" s="332"/>
      <c r="R69" s="332"/>
      <c r="S69" s="332"/>
      <c r="T69" s="332"/>
      <c r="U69" s="332"/>
      <c r="V69" s="332"/>
      <c r="W69" s="332"/>
      <c r="X69" s="332"/>
    </row>
    <row r="70" spans="1:25" s="341" customFormat="1">
      <c r="A70" s="353"/>
      <c r="B70" s="355"/>
      <c r="C70" s="355"/>
      <c r="D70" s="502"/>
      <c r="E70" s="503"/>
      <c r="F70" s="503"/>
      <c r="G70" s="503"/>
      <c r="H70" s="503"/>
      <c r="I70" s="503"/>
      <c r="J70" s="503"/>
      <c r="K70" s="503"/>
      <c r="L70" s="503"/>
      <c r="M70" s="503"/>
      <c r="N70" s="503"/>
      <c r="O70" s="503"/>
      <c r="P70" s="503"/>
      <c r="Q70" s="503"/>
      <c r="R70" s="503"/>
      <c r="S70" s="503"/>
      <c r="T70" s="503"/>
      <c r="U70" s="503"/>
      <c r="V70" s="503"/>
      <c r="W70" s="503"/>
      <c r="X70" s="503"/>
    </row>
    <row r="71" spans="1:25" s="341" customFormat="1">
      <c r="A71" s="691" t="s">
        <v>144</v>
      </c>
      <c r="B71" s="355"/>
      <c r="C71" s="355"/>
      <c r="D71" s="548"/>
      <c r="E71" s="503"/>
      <c r="F71" s="503"/>
      <c r="G71" s="503"/>
      <c r="H71" s="503"/>
      <c r="I71" s="503"/>
      <c r="J71" s="503"/>
      <c r="K71" s="503"/>
      <c r="L71" s="503"/>
      <c r="M71" s="503"/>
      <c r="N71" s="503"/>
      <c r="O71" s="503"/>
      <c r="P71" s="503"/>
      <c r="Q71" s="503"/>
      <c r="R71" s="503"/>
      <c r="S71" s="503"/>
      <c r="T71" s="503"/>
      <c r="U71" s="503"/>
      <c r="V71" s="503"/>
      <c r="W71" s="503"/>
      <c r="X71" s="503"/>
    </row>
    <row r="72" spans="1:25" s="561" customFormat="1">
      <c r="A72" s="353" t="str">
        <f>'BH Tariffs'!A11</f>
        <v>Port Fee</v>
      </c>
      <c r="B72" s="355"/>
      <c r="C72" s="355"/>
      <c r="D72" s="548">
        <v>0</v>
      </c>
      <c r="E72" s="503">
        <f>'BH Tariffs'!D11*'P&amp;L - Concept B2 - NCLH'!E12</f>
        <v>0</v>
      </c>
      <c r="F72" s="503">
        <v>0</v>
      </c>
      <c r="G72" s="503">
        <v>0</v>
      </c>
      <c r="H72" s="503">
        <v>0</v>
      </c>
      <c r="I72" s="503">
        <v>0</v>
      </c>
      <c r="J72" s="503">
        <v>0</v>
      </c>
      <c r="K72" s="503">
        <v>0</v>
      </c>
      <c r="L72" s="503">
        <v>0</v>
      </c>
      <c r="M72" s="503">
        <v>0</v>
      </c>
      <c r="N72" s="503">
        <v>0</v>
      </c>
      <c r="O72" s="503">
        <v>0</v>
      </c>
      <c r="P72" s="503">
        <v>0</v>
      </c>
      <c r="Q72" s="503">
        <v>0</v>
      </c>
      <c r="R72" s="503">
        <v>0</v>
      </c>
      <c r="S72" s="503">
        <v>0</v>
      </c>
      <c r="T72" s="503">
        <v>0</v>
      </c>
      <c r="U72" s="503">
        <v>0</v>
      </c>
      <c r="V72" s="503">
        <v>0</v>
      </c>
      <c r="W72" s="503">
        <v>0</v>
      </c>
      <c r="X72" s="503">
        <v>0</v>
      </c>
    </row>
    <row r="73" spans="1:25">
      <c r="A73" s="88"/>
      <c r="B73" s="89"/>
      <c r="C73" s="89"/>
      <c r="D73" s="502"/>
      <c r="E73" s="504"/>
      <c r="F73" s="504"/>
      <c r="G73" s="504"/>
      <c r="H73" s="504"/>
      <c r="I73" s="504"/>
      <c r="J73" s="504"/>
      <c r="K73" s="504"/>
      <c r="L73" s="504"/>
      <c r="M73" s="504"/>
      <c r="N73" s="504"/>
      <c r="O73" s="504"/>
      <c r="P73" s="504"/>
      <c r="Q73" s="504"/>
      <c r="R73" s="504"/>
      <c r="S73" s="504"/>
      <c r="T73" s="504"/>
      <c r="U73" s="504"/>
      <c r="V73" s="504"/>
      <c r="W73" s="504"/>
      <c r="X73" s="504"/>
    </row>
    <row r="74" spans="1:25" s="16" customFormat="1" ht="14.25">
      <c r="A74" s="280" t="s">
        <v>124</v>
      </c>
      <c r="B74" s="533"/>
      <c r="C74" s="533"/>
      <c r="D74" s="534"/>
      <c r="E74" s="535"/>
      <c r="F74" s="535"/>
      <c r="G74" s="535"/>
      <c r="H74" s="535"/>
      <c r="I74" s="535"/>
      <c r="J74" s="535"/>
      <c r="K74" s="535"/>
      <c r="L74" s="535"/>
      <c r="M74" s="535"/>
      <c r="N74" s="535"/>
      <c r="O74" s="535"/>
      <c r="P74" s="535"/>
      <c r="Q74" s="535"/>
      <c r="R74" s="535"/>
      <c r="S74" s="535"/>
      <c r="T74" s="535"/>
      <c r="U74" s="535"/>
      <c r="V74" s="535"/>
      <c r="W74" s="535"/>
      <c r="X74" s="535"/>
    </row>
    <row r="75" spans="1:25" s="279" customFormat="1" ht="14.25">
      <c r="A75" s="91" t="s">
        <v>83</v>
      </c>
      <c r="B75" s="536"/>
      <c r="C75" s="536"/>
      <c r="D75" s="537"/>
      <c r="E75" s="538"/>
      <c r="F75" s="538"/>
      <c r="G75" s="538"/>
      <c r="H75" s="538"/>
      <c r="I75" s="538"/>
      <c r="J75" s="538"/>
      <c r="K75" s="538"/>
      <c r="L75" s="538"/>
      <c r="M75" s="538"/>
      <c r="N75" s="538"/>
      <c r="O75" s="538"/>
      <c r="P75" s="538"/>
      <c r="Q75" s="538"/>
      <c r="R75" s="538"/>
      <c r="S75" s="538"/>
      <c r="T75" s="538"/>
      <c r="U75" s="538"/>
      <c r="V75" s="538"/>
      <c r="W75" s="538"/>
      <c r="X75" s="538"/>
    </row>
    <row r="76" spans="1:25">
      <c r="A76" s="90" t="str">
        <f>'BH Tariffs'!A19</f>
        <v>Town Wharfage (Exclusive Use, Ferry Property Only)</v>
      </c>
      <c r="B76" s="89"/>
      <c r="C76" s="89"/>
      <c r="D76" s="502">
        <v>0</v>
      </c>
      <c r="E76" s="504">
        <f>'BH Tariffs'!D19*'P&amp;L - Concept B2 - NCLH'!E12</f>
        <v>0</v>
      </c>
      <c r="F76" s="504">
        <f>'BH Tariffs'!E19*'P&amp;L - Concept B2 - NCLH'!F12</f>
        <v>363295.09439549042</v>
      </c>
      <c r="G76" s="504">
        <f>'BH Tariffs'!F19*'P&amp;L - Concept B2 - NCLH'!G12</f>
        <v>370560.99628340022</v>
      </c>
      <c r="H76" s="504">
        <f>'BH Tariffs'!G19*'P&amp;L - Concept B2 - NCLH'!H12</f>
        <v>377972.2162090682</v>
      </c>
      <c r="I76" s="504">
        <f>'BH Tariffs'!H19*'P&amp;L - Concept B2 - NCLH'!I12</f>
        <v>385531.66053324961</v>
      </c>
      <c r="J76" s="504">
        <f>'BH Tariffs'!I19*'P&amp;L - Concept B2 - NCLH'!J12</f>
        <v>393242.29374391458</v>
      </c>
      <c r="K76" s="504">
        <f>'BH Tariffs'!J19*'P&amp;L - Concept B2 - NCLH'!K12</f>
        <v>401107.13961879286</v>
      </c>
      <c r="L76" s="504">
        <f>'BH Tariffs'!K19*'P&amp;L - Concept B2 - NCLH'!L12</f>
        <v>409129.28241116874</v>
      </c>
      <c r="M76" s="504">
        <f>'BH Tariffs'!L19*'P&amp;L - Concept B2 - NCLH'!M12</f>
        <v>417311.86805939215</v>
      </c>
      <c r="N76" s="504">
        <f>'BH Tariffs'!M19*'P&amp;L - Concept B2 - NCLH'!N12</f>
        <v>425658.10542058002</v>
      </c>
      <c r="O76" s="504">
        <f>'BH Tariffs'!N19*'P&amp;L - Concept B2 - NCLH'!O12</f>
        <v>434171.26752899162</v>
      </c>
      <c r="P76" s="504">
        <f>'BH Tariffs'!O19*'P&amp;L - Concept B2 - NCLH'!P12</f>
        <v>442854.69287957146</v>
      </c>
      <c r="Q76" s="504">
        <f>'BH Tariffs'!P19*'P&amp;L - Concept B2 - NCLH'!Q12</f>
        <v>451711.78673716291</v>
      </c>
      <c r="R76" s="504">
        <f>'BH Tariffs'!Q19*'P&amp;L - Concept B2 - NCLH'!R12</f>
        <v>460746.02247190609</v>
      </c>
      <c r="S76" s="504">
        <f>'BH Tariffs'!R19*'P&amp;L - Concept B2 - NCLH'!S12</f>
        <v>469960.94292134425</v>
      </c>
      <c r="T76" s="504">
        <f>'BH Tariffs'!S19*'P&amp;L - Concept B2 - NCLH'!T12</f>
        <v>479360.16177977109</v>
      </c>
      <c r="U76" s="504">
        <f>'BH Tariffs'!T19*'P&amp;L - Concept B2 - NCLH'!U12</f>
        <v>488947.36501536664</v>
      </c>
      <c r="V76" s="504">
        <f>'BH Tariffs'!U19*'P&amp;L - Concept B2 - NCLH'!V12</f>
        <v>498726.31231567392</v>
      </c>
      <c r="W76" s="504">
        <f>'BH Tariffs'!V19*'P&amp;L - Concept B2 - NCLH'!W12</f>
        <v>508700.83856198745</v>
      </c>
      <c r="X76" s="504">
        <f>'BH Tariffs'!W19*'P&amp;L - Concept B2 - NCLH'!X12</f>
        <v>518874.8553332272</v>
      </c>
      <c r="Y76" s="413">
        <f>SUM(D76:X76)</f>
        <v>8297862.9022200592</v>
      </c>
    </row>
    <row r="77" spans="1:25" s="341" customFormat="1">
      <c r="A77" s="353" t="str">
        <f>'BH Tariffs'!A21</f>
        <v>CBP Infastructure Fee (Ferry Property Only)</v>
      </c>
      <c r="B77" s="355"/>
      <c r="C77" s="355"/>
      <c r="D77" s="548">
        <v>0</v>
      </c>
      <c r="E77" s="503">
        <v>0</v>
      </c>
      <c r="F77" s="503">
        <v>0</v>
      </c>
      <c r="G77" s="503">
        <v>0</v>
      </c>
      <c r="H77" s="503">
        <v>0</v>
      </c>
      <c r="I77" s="503">
        <v>0</v>
      </c>
      <c r="J77" s="503">
        <v>0</v>
      </c>
      <c r="K77" s="503">
        <v>0</v>
      </c>
      <c r="L77" s="503">
        <v>0</v>
      </c>
      <c r="M77" s="503">
        <v>0</v>
      </c>
      <c r="N77" s="503">
        <v>0</v>
      </c>
      <c r="O77" s="503">
        <v>0</v>
      </c>
      <c r="P77" s="503">
        <v>0</v>
      </c>
      <c r="Q77" s="503">
        <v>0</v>
      </c>
      <c r="R77" s="503">
        <v>0</v>
      </c>
      <c r="S77" s="503">
        <v>0</v>
      </c>
      <c r="T77" s="503">
        <v>0</v>
      </c>
      <c r="U77" s="503">
        <v>0</v>
      </c>
      <c r="V77" s="503">
        <v>0</v>
      </c>
      <c r="W77" s="503">
        <v>0</v>
      </c>
      <c r="X77" s="503">
        <v>0</v>
      </c>
      <c r="Y77" s="413"/>
    </row>
    <row r="78" spans="1:25" s="96" customFormat="1">
      <c r="A78" s="90" t="str">
        <f>'BH Tariffs'!A22</f>
        <v>Infrastructure Fee</v>
      </c>
      <c r="B78" s="356"/>
      <c r="C78" s="356"/>
      <c r="D78" s="502">
        <v>0</v>
      </c>
      <c r="E78" s="504">
        <v>0</v>
      </c>
      <c r="F78" s="504">
        <f>'BH Tariffs'!E22*'Cruise Projections'!V97</f>
        <v>522936.74160000001</v>
      </c>
      <c r="G78" s="504">
        <f>'BH Tariffs'!F22*'Cruise Projections'!W97</f>
        <v>533395.47643200005</v>
      </c>
      <c r="H78" s="504">
        <f>'BH Tariffs'!G22*'Cruise Projections'!X97</f>
        <v>544063.38596063992</v>
      </c>
      <c r="I78" s="504">
        <f>'BH Tariffs'!H22*'Cruise Projections'!Y97</f>
        <v>554944.65367985272</v>
      </c>
      <c r="J78" s="504">
        <f>'BH Tariffs'!I22*'Cruise Projections'!Z97</f>
        <v>566043.54675344983</v>
      </c>
      <c r="K78" s="504">
        <f>'BH Tariffs'!J22*'Cruise Projections'!AA97</f>
        <v>577364.41768851888</v>
      </c>
      <c r="L78" s="504">
        <f>'BH Tariffs'!K22*'Cruise Projections'!AB97</f>
        <v>588911.70604228915</v>
      </c>
      <c r="M78" s="504">
        <f>'BH Tariffs'!L22*'Cruise Projections'!AC97</f>
        <v>600689.94016313506</v>
      </c>
      <c r="N78" s="504">
        <f>'BH Tariffs'!M22*'Cruise Projections'!AD97</f>
        <v>612703.73896639771</v>
      </c>
      <c r="O78" s="504">
        <f>'BH Tariffs'!N22*'Cruise Projections'!AE97</f>
        <v>624957.81374572578</v>
      </c>
      <c r="P78" s="504">
        <f>'BH Tariffs'!O22*'Cruise Projections'!AF97</f>
        <v>637456.97002064029</v>
      </c>
      <c r="Q78" s="504">
        <f>'BH Tariffs'!P22*'Cruise Projections'!AG97</f>
        <v>650206.10942105309</v>
      </c>
      <c r="R78" s="504">
        <f>'BH Tariffs'!Q22*'Cruise Projections'!AH97</f>
        <v>663210.23160947405</v>
      </c>
      <c r="S78" s="504">
        <f>'BH Tariffs'!R22*'Cruise Projections'!AI97</f>
        <v>676474.43624166364</v>
      </c>
      <c r="T78" s="504">
        <f>'BH Tariffs'!S22*'Cruise Projections'!AJ97</f>
        <v>690003.924966497</v>
      </c>
      <c r="U78" s="504">
        <f>'BH Tariffs'!T22*'Cruise Projections'!AK97</f>
        <v>703804.00346582686</v>
      </c>
      <c r="V78" s="504">
        <f>'BH Tariffs'!U22*'Cruise Projections'!AL97</f>
        <v>717880.08353514341</v>
      </c>
      <c r="W78" s="504">
        <f>'BH Tariffs'!V22*'Cruise Projections'!AM97</f>
        <v>732237.68520584644</v>
      </c>
      <c r="X78" s="504">
        <f>'BH Tariffs'!W22*'Cruise Projections'!AN97</f>
        <v>746882.43890996324</v>
      </c>
      <c r="Y78" s="413">
        <f t="shared" ref="Y78" si="10">SUM(D78:X78)</f>
        <v>11944167.30440812</v>
      </c>
    </row>
    <row r="79" spans="1:25">
      <c r="A79" s="90"/>
      <c r="B79" s="89"/>
      <c r="C79" s="89"/>
      <c r="D79" s="502"/>
      <c r="E79" s="504"/>
      <c r="F79" s="504"/>
      <c r="G79" s="504"/>
      <c r="H79" s="504"/>
      <c r="I79" s="504"/>
      <c r="J79" s="504"/>
      <c r="K79" s="504"/>
      <c r="L79" s="504"/>
      <c r="M79" s="504"/>
      <c r="N79" s="504"/>
      <c r="O79" s="504"/>
      <c r="P79" s="504"/>
      <c r="Q79" s="504"/>
      <c r="R79" s="504"/>
      <c r="S79" s="504"/>
      <c r="T79" s="504"/>
      <c r="U79" s="504"/>
      <c r="V79" s="504"/>
      <c r="W79" s="504"/>
      <c r="X79" s="504"/>
    </row>
    <row r="80" spans="1:25" s="341" customFormat="1">
      <c r="A80" s="543" t="s">
        <v>163</v>
      </c>
      <c r="B80" s="354"/>
      <c r="C80" s="355"/>
      <c r="D80" s="548"/>
      <c r="E80" s="503"/>
      <c r="F80" s="503"/>
      <c r="G80" s="503"/>
      <c r="H80" s="503"/>
      <c r="I80" s="503"/>
      <c r="J80" s="503"/>
      <c r="K80" s="503"/>
      <c r="L80" s="503"/>
      <c r="M80" s="503"/>
      <c r="N80" s="503"/>
      <c r="O80" s="503"/>
      <c r="P80" s="503"/>
      <c r="Q80" s="503"/>
      <c r="R80" s="503"/>
      <c r="S80" s="503"/>
      <c r="T80" s="503"/>
      <c r="U80" s="503"/>
      <c r="V80" s="503"/>
      <c r="W80" s="503"/>
      <c r="X80" s="503"/>
    </row>
    <row r="81" spans="1:25" s="341" customFormat="1">
      <c r="A81" s="353" t="str">
        <f>'BH Tariffs'!A25</f>
        <v>Dock Rent (12 months)</v>
      </c>
      <c r="B81" s="354"/>
      <c r="C81" s="355"/>
      <c r="D81" s="548">
        <v>0</v>
      </c>
      <c r="E81" s="503">
        <v>0</v>
      </c>
      <c r="F81" s="503">
        <v>0</v>
      </c>
      <c r="G81" s="503">
        <v>0</v>
      </c>
      <c r="H81" s="503">
        <v>0</v>
      </c>
      <c r="I81" s="503">
        <v>0</v>
      </c>
      <c r="J81" s="503">
        <v>0</v>
      </c>
      <c r="K81" s="503">
        <v>0</v>
      </c>
      <c r="L81" s="503">
        <v>0</v>
      </c>
      <c r="M81" s="503">
        <v>0</v>
      </c>
      <c r="N81" s="503">
        <v>0</v>
      </c>
      <c r="O81" s="503">
        <v>0</v>
      </c>
      <c r="P81" s="503">
        <v>0</v>
      </c>
      <c r="Q81" s="503">
        <v>0</v>
      </c>
      <c r="R81" s="503">
        <v>0</v>
      </c>
      <c r="S81" s="503">
        <v>0</v>
      </c>
      <c r="T81" s="503">
        <v>0</v>
      </c>
      <c r="U81" s="503">
        <v>0</v>
      </c>
      <c r="V81" s="503">
        <v>0</v>
      </c>
      <c r="W81" s="503">
        <v>0</v>
      </c>
      <c r="X81" s="503">
        <v>0</v>
      </c>
    </row>
    <row r="82" spans="1:25" s="341" customFormat="1">
      <c r="A82" s="353" t="str">
        <f>'BH Tariffs'!A26</f>
        <v>Ferry Passenger Wharfage</v>
      </c>
      <c r="B82" s="354"/>
      <c r="C82" s="355"/>
      <c r="D82" s="548">
        <v>0</v>
      </c>
      <c r="E82" s="503">
        <v>0</v>
      </c>
      <c r="F82" s="503">
        <v>0</v>
      </c>
      <c r="G82" s="503">
        <v>0</v>
      </c>
      <c r="H82" s="503">
        <v>0</v>
      </c>
      <c r="I82" s="503">
        <v>0</v>
      </c>
      <c r="J82" s="503">
        <v>0</v>
      </c>
      <c r="K82" s="503">
        <v>0</v>
      </c>
      <c r="L82" s="503">
        <v>0</v>
      </c>
      <c r="M82" s="503">
        <v>0</v>
      </c>
      <c r="N82" s="503">
        <v>0</v>
      </c>
      <c r="O82" s="503">
        <v>0</v>
      </c>
      <c r="P82" s="503">
        <v>0</v>
      </c>
      <c r="Q82" s="503">
        <v>0</v>
      </c>
      <c r="R82" s="503">
        <v>0</v>
      </c>
      <c r="S82" s="503">
        <v>0</v>
      </c>
      <c r="T82" s="503">
        <v>0</v>
      </c>
      <c r="U82" s="503">
        <v>0</v>
      </c>
      <c r="V82" s="503">
        <v>0</v>
      </c>
      <c r="W82" s="503">
        <v>0</v>
      </c>
      <c r="X82" s="503">
        <v>0</v>
      </c>
    </row>
    <row r="83" spans="1:25" s="341" customFormat="1">
      <c r="A83" s="353" t="str">
        <f>'BH Tariffs'!A27</f>
        <v>Ferry Passenger Vehicle Wharfage</v>
      </c>
      <c r="B83" s="354"/>
      <c r="C83" s="355"/>
      <c r="D83" s="548">
        <v>0</v>
      </c>
      <c r="E83" s="503">
        <v>0</v>
      </c>
      <c r="F83" s="503">
        <v>0</v>
      </c>
      <c r="G83" s="503">
        <v>0</v>
      </c>
      <c r="H83" s="503">
        <v>0</v>
      </c>
      <c r="I83" s="503">
        <v>0</v>
      </c>
      <c r="J83" s="503">
        <v>0</v>
      </c>
      <c r="K83" s="503">
        <v>0</v>
      </c>
      <c r="L83" s="503">
        <v>0</v>
      </c>
      <c r="M83" s="503">
        <v>0</v>
      </c>
      <c r="N83" s="503">
        <v>0</v>
      </c>
      <c r="O83" s="503">
        <v>0</v>
      </c>
      <c r="P83" s="503">
        <v>0</v>
      </c>
      <c r="Q83" s="503">
        <v>0</v>
      </c>
      <c r="R83" s="503">
        <v>0</v>
      </c>
      <c r="S83" s="503">
        <v>0</v>
      </c>
      <c r="T83" s="503">
        <v>0</v>
      </c>
      <c r="U83" s="503">
        <v>0</v>
      </c>
      <c r="V83" s="503">
        <v>0</v>
      </c>
      <c r="W83" s="503">
        <v>0</v>
      </c>
      <c r="X83" s="503">
        <v>0</v>
      </c>
    </row>
    <row r="84" spans="1:25" s="341" customFormat="1">
      <c r="A84" s="353" t="str">
        <f>'BH Tariffs'!A28</f>
        <v>Ferry Bus Wharfage</v>
      </c>
      <c r="B84" s="354"/>
      <c r="C84" s="355"/>
      <c r="D84" s="548">
        <v>0</v>
      </c>
      <c r="E84" s="503">
        <v>0</v>
      </c>
      <c r="F84" s="503">
        <v>0</v>
      </c>
      <c r="G84" s="503">
        <v>0</v>
      </c>
      <c r="H84" s="503">
        <v>0</v>
      </c>
      <c r="I84" s="503">
        <v>0</v>
      </c>
      <c r="J84" s="503">
        <v>0</v>
      </c>
      <c r="K84" s="503">
        <v>0</v>
      </c>
      <c r="L84" s="503">
        <v>0</v>
      </c>
      <c r="M84" s="503">
        <v>0</v>
      </c>
      <c r="N84" s="503">
        <v>0</v>
      </c>
      <c r="O84" s="503">
        <v>0</v>
      </c>
      <c r="P84" s="503">
        <v>0</v>
      </c>
      <c r="Q84" s="503">
        <v>0</v>
      </c>
      <c r="R84" s="503">
        <v>0</v>
      </c>
      <c r="S84" s="503">
        <v>0</v>
      </c>
      <c r="T84" s="503">
        <v>0</v>
      </c>
      <c r="U84" s="503">
        <v>0</v>
      </c>
      <c r="V84" s="503">
        <v>0</v>
      </c>
      <c r="W84" s="503">
        <v>0</v>
      </c>
      <c r="X84" s="503">
        <v>0</v>
      </c>
    </row>
    <row r="85" spans="1:25">
      <c r="A85" s="88"/>
      <c r="B85" s="30"/>
      <c r="C85" s="89"/>
      <c r="D85" s="502"/>
      <c r="E85" s="504"/>
      <c r="F85" s="504"/>
      <c r="G85" s="504"/>
      <c r="H85" s="504"/>
      <c r="I85" s="504"/>
      <c r="J85" s="504"/>
      <c r="K85" s="504"/>
      <c r="L85" s="504"/>
      <c r="M85" s="504"/>
      <c r="N85" s="504"/>
      <c r="O85" s="504"/>
      <c r="P85" s="504"/>
      <c r="Q85" s="504"/>
      <c r="R85" s="504"/>
      <c r="S85" s="504"/>
      <c r="T85" s="504"/>
      <c r="U85" s="504"/>
      <c r="V85" s="504"/>
      <c r="W85" s="504"/>
      <c r="X85" s="504"/>
    </row>
    <row r="86" spans="1:25" s="96" customFormat="1">
      <c r="A86" s="605" t="s">
        <v>164</v>
      </c>
      <c r="B86" s="606"/>
      <c r="C86" s="356"/>
      <c r="D86" s="502"/>
      <c r="E86" s="504"/>
      <c r="F86" s="504"/>
      <c r="G86" s="504"/>
      <c r="H86" s="504"/>
      <c r="I86" s="504"/>
      <c r="J86" s="504"/>
      <c r="K86" s="504"/>
      <c r="L86" s="504"/>
      <c r="M86" s="504"/>
      <c r="N86" s="504"/>
      <c r="O86" s="504"/>
      <c r="P86" s="504"/>
      <c r="Q86" s="504"/>
      <c r="R86" s="504"/>
      <c r="S86" s="504"/>
      <c r="T86" s="504"/>
      <c r="U86" s="504"/>
      <c r="V86" s="504"/>
      <c r="W86" s="504"/>
      <c r="X86" s="504"/>
    </row>
    <row r="87" spans="1:25" s="96" customFormat="1">
      <c r="A87" s="90" t="str">
        <f>'BH Tariffs'!A31</f>
        <v>Dock Rent (6 Months Only)</v>
      </c>
      <c r="B87" s="606"/>
      <c r="C87" s="356"/>
      <c r="D87" s="502">
        <v>0</v>
      </c>
      <c r="E87" s="504">
        <v>0</v>
      </c>
      <c r="F87" s="504">
        <f>'BH Tariffs'!E31*6</f>
        <v>12240</v>
      </c>
      <c r="G87" s="504">
        <f>'BH Tariffs'!F31*6</f>
        <v>12484.800000000001</v>
      </c>
      <c r="H87" s="504">
        <f>'BH Tariffs'!G31*6</f>
        <v>12734.495999999999</v>
      </c>
      <c r="I87" s="504">
        <f>'BH Tariffs'!H31*6</f>
        <v>12989.18592</v>
      </c>
      <c r="J87" s="504">
        <f>'BH Tariffs'!I31*6</f>
        <v>13248.9696384</v>
      </c>
      <c r="K87" s="504">
        <f>'BH Tariffs'!J31*6</f>
        <v>13513.949031168002</v>
      </c>
      <c r="L87" s="504">
        <f>'BH Tariffs'!K31*6</f>
        <v>13784.228011791361</v>
      </c>
      <c r="M87" s="504">
        <f>'BH Tariffs'!L31*6</f>
        <v>14059.912572027188</v>
      </c>
      <c r="N87" s="504">
        <f>'BH Tariffs'!M31*6</f>
        <v>14341.110823467734</v>
      </c>
      <c r="O87" s="504">
        <f>'BH Tariffs'!N31*6</f>
        <v>14627.933039937088</v>
      </c>
      <c r="P87" s="504">
        <f>'BH Tariffs'!O31*6</f>
        <v>14920.491700735829</v>
      </c>
      <c r="Q87" s="504">
        <f>'BH Tariffs'!P31*6</f>
        <v>15218.901534750545</v>
      </c>
      <c r="R87" s="504">
        <f>'BH Tariffs'!Q31*6</f>
        <v>15523.279565445555</v>
      </c>
      <c r="S87" s="504">
        <f>'BH Tariffs'!R31*6</f>
        <v>15833.745156754467</v>
      </c>
      <c r="T87" s="504">
        <f>'BH Tariffs'!S31*6</f>
        <v>16150.420059889559</v>
      </c>
      <c r="U87" s="504">
        <f>'BH Tariffs'!T31*6</f>
        <v>16473.428461087351</v>
      </c>
      <c r="V87" s="504">
        <f>'BH Tariffs'!U31*6</f>
        <v>16802.897030309097</v>
      </c>
      <c r="W87" s="504">
        <f>'BH Tariffs'!V31*6</f>
        <v>17138.954970915282</v>
      </c>
      <c r="X87" s="504">
        <f>'BH Tariffs'!W31*6</f>
        <v>17481.734070333587</v>
      </c>
    </row>
    <row r="88" spans="1:25" s="96" customFormat="1">
      <c r="A88" s="90"/>
      <c r="B88" s="606"/>
      <c r="C88" s="356"/>
      <c r="D88" s="502"/>
      <c r="E88" s="504"/>
      <c r="F88" s="504"/>
      <c r="G88" s="504"/>
      <c r="H88" s="504"/>
      <c r="I88" s="504"/>
      <c r="J88" s="504"/>
      <c r="K88" s="504"/>
      <c r="L88" s="504"/>
      <c r="M88" s="504"/>
      <c r="N88" s="504"/>
      <c r="O88" s="504"/>
      <c r="P88" s="504"/>
      <c r="Q88" s="504"/>
      <c r="R88" s="504"/>
      <c r="S88" s="504"/>
      <c r="T88" s="504"/>
      <c r="U88" s="504"/>
      <c r="V88" s="504"/>
      <c r="W88" s="504"/>
      <c r="X88" s="504"/>
    </row>
    <row r="89" spans="1:25" s="582" customFormat="1" ht="14.25">
      <c r="A89" s="605" t="str">
        <f>'BH Tariffs'!A33</f>
        <v>Recreational/Commercial Marina</v>
      </c>
      <c r="B89" s="607"/>
      <c r="C89" s="608"/>
      <c r="D89" s="537"/>
      <c r="E89" s="538"/>
      <c r="F89" s="538"/>
      <c r="G89" s="538"/>
      <c r="H89" s="538"/>
      <c r="I89" s="538"/>
      <c r="J89" s="538"/>
      <c r="K89" s="538"/>
      <c r="L89" s="538"/>
      <c r="M89" s="538"/>
      <c r="N89" s="538"/>
      <c r="O89" s="538"/>
      <c r="P89" s="538"/>
      <c r="Q89" s="538"/>
      <c r="R89" s="538"/>
      <c r="S89" s="538"/>
      <c r="T89" s="538"/>
      <c r="U89" s="538"/>
      <c r="V89" s="538"/>
      <c r="W89" s="538"/>
      <c r="X89" s="538"/>
    </row>
    <row r="90" spans="1:25" s="96" customFormat="1">
      <c r="A90" s="90" t="str">
        <f>'BH Tariffs'!A34</f>
        <v>Transient Slip Rent</v>
      </c>
      <c r="B90" s="606"/>
      <c r="C90" s="356"/>
      <c r="D90" s="502">
        <v>0</v>
      </c>
      <c r="E90" s="504">
        <v>0</v>
      </c>
      <c r="F90" s="504">
        <f>'BH Tariffs'!E34*'P&amp;L - Concept B2 - NCLH'!F57</f>
        <v>24370.791468749998</v>
      </c>
      <c r="G90" s="504">
        <f>'BH Tariffs'!F34*'P&amp;L - Concept B2 - NCLH'!G57</f>
        <v>24858.207298124998</v>
      </c>
      <c r="H90" s="504">
        <f>'BH Tariffs'!G34*'P&amp;L - Concept B2 - NCLH'!H57</f>
        <v>25355.371444087494</v>
      </c>
      <c r="I90" s="504">
        <f>'BH Tariffs'!H34*'P&amp;L - Concept B2 - NCLH'!I57</f>
        <v>25862.478872969248</v>
      </c>
      <c r="J90" s="504">
        <f>'BH Tariffs'!I34*'P&amp;L - Concept B2 - NCLH'!J57</f>
        <v>26379.728450428636</v>
      </c>
      <c r="K90" s="504">
        <f>'BH Tariffs'!J34*'P&amp;L - Concept B2 - NCLH'!K57</f>
        <v>26907.323019437208</v>
      </c>
      <c r="L90" s="504">
        <f>'BH Tariffs'!K34*'P&amp;L - Concept B2 - NCLH'!L57</f>
        <v>27445.469479825952</v>
      </c>
      <c r="M90" s="504">
        <f>'BH Tariffs'!L34*'P&amp;L - Concept B2 - NCLH'!M57</f>
        <v>27994.378869422475</v>
      </c>
      <c r="N90" s="504">
        <f>'BH Tariffs'!M34*'P&amp;L - Concept B2 - NCLH'!N57</f>
        <v>28554.266446810921</v>
      </c>
      <c r="O90" s="504">
        <f>'BH Tariffs'!N34*'P&amp;L - Concept B2 - NCLH'!O57</f>
        <v>29125.351775747142</v>
      </c>
      <c r="P90" s="504">
        <f>'BH Tariffs'!O34*'P&amp;L - Concept B2 - NCLH'!P57</f>
        <v>29707.858811262082</v>
      </c>
      <c r="Q90" s="504">
        <f>'BH Tariffs'!P34*'P&amp;L - Concept B2 - NCLH'!Q57</f>
        <v>30302.015987487324</v>
      </c>
      <c r="R90" s="504">
        <f>'BH Tariffs'!Q34*'P&amp;L - Concept B2 - NCLH'!R57</f>
        <v>30908.056307237068</v>
      </c>
      <c r="S90" s="504">
        <f>'BH Tariffs'!R34*'P&amp;L - Concept B2 - NCLH'!S57</f>
        <v>31526.217433381815</v>
      </c>
      <c r="T90" s="504">
        <f>'BH Tariffs'!S34*'P&amp;L - Concept B2 - NCLH'!T57</f>
        <v>32156.741782049452</v>
      </c>
      <c r="U90" s="504">
        <f>'BH Tariffs'!T34*'P&amp;L - Concept B2 - NCLH'!U57</f>
        <v>32799.876617690439</v>
      </c>
      <c r="V90" s="504">
        <f>'BH Tariffs'!U34*'P&amp;L - Concept B2 - NCLH'!V57</f>
        <v>33455.874150044256</v>
      </c>
      <c r="W90" s="504">
        <f>'BH Tariffs'!V34*'P&amp;L - Concept B2 - NCLH'!W57</f>
        <v>34124.991633045138</v>
      </c>
      <c r="X90" s="504">
        <f>'BH Tariffs'!W34*'P&amp;L - Concept B2 - NCLH'!X57</f>
        <v>34807.491465706036</v>
      </c>
    </row>
    <row r="91" spans="1:25" s="96" customFormat="1">
      <c r="A91" s="90" t="s">
        <v>280</v>
      </c>
      <c r="B91" s="606"/>
      <c r="C91" s="356"/>
      <c r="D91" s="502">
        <v>0</v>
      </c>
      <c r="E91" s="504">
        <v>0</v>
      </c>
      <c r="F91" s="504">
        <f>'BH Tariffs'!E35*'P&amp;L - Concept B2 - NCLH'!F58</f>
        <v>38459.610000000008</v>
      </c>
      <c r="G91" s="504">
        <f>'BH Tariffs'!F35*'P&amp;L - Concept B2 - NCLH'!G58</f>
        <v>39228.802200000006</v>
      </c>
      <c r="H91" s="504">
        <f>'BH Tariffs'!G35*'P&amp;L - Concept B2 - NCLH'!H58</f>
        <v>40013.378244</v>
      </c>
      <c r="I91" s="504">
        <f>'BH Tariffs'!H35*'P&amp;L - Concept B2 - NCLH'!I58</f>
        <v>40813.645808879999</v>
      </c>
      <c r="J91" s="504">
        <f>'BH Tariffs'!I35*'P&amp;L - Concept B2 - NCLH'!J58</f>
        <v>41629.9187250576</v>
      </c>
      <c r="K91" s="504">
        <f>'BH Tariffs'!J35*'P&amp;L - Concept B2 - NCLH'!K58</f>
        <v>42462.517099558754</v>
      </c>
      <c r="L91" s="504">
        <f>'BH Tariffs'!K35*'P&amp;L - Concept B2 - NCLH'!L58</f>
        <v>43311.767441549935</v>
      </c>
      <c r="M91" s="504">
        <f>'BH Tariffs'!L35*'P&amp;L - Concept B2 - NCLH'!M58</f>
        <v>44178.002790380931</v>
      </c>
      <c r="N91" s="504">
        <f>'BH Tariffs'!M35*'P&amp;L - Concept B2 - NCLH'!N58</f>
        <v>45061.56284618855</v>
      </c>
      <c r="O91" s="504">
        <f>'BH Tariffs'!N35*'P&amp;L - Concept B2 - NCLH'!O58</f>
        <v>45962.794103112326</v>
      </c>
      <c r="P91" s="504">
        <f>'BH Tariffs'!O35*'P&amp;L - Concept B2 - NCLH'!P58</f>
        <v>46882.04998517457</v>
      </c>
      <c r="Q91" s="504">
        <f>'BH Tariffs'!P35*'P&amp;L - Concept B2 - NCLH'!Q58</f>
        <v>47819.690984878056</v>
      </c>
      <c r="R91" s="504">
        <f>'BH Tariffs'!Q35*'P&amp;L - Concept B2 - NCLH'!R58</f>
        <v>48776.084804575621</v>
      </c>
      <c r="S91" s="504">
        <f>'BH Tariffs'!R35*'P&amp;L - Concept B2 - NCLH'!S58</f>
        <v>49751.606500667134</v>
      </c>
      <c r="T91" s="504">
        <f>'BH Tariffs'!S35*'P&amp;L - Concept B2 - NCLH'!T58</f>
        <v>50746.638630680485</v>
      </c>
      <c r="U91" s="504">
        <f>'BH Tariffs'!T35*'P&amp;L - Concept B2 - NCLH'!U58</f>
        <v>51761.571403294096</v>
      </c>
      <c r="V91" s="504">
        <f>'BH Tariffs'!U35*'P&amp;L - Concept B2 - NCLH'!V58</f>
        <v>52796.802831359972</v>
      </c>
      <c r="W91" s="504">
        <f>'BH Tariffs'!V35*'P&amp;L - Concept B2 - NCLH'!W58</f>
        <v>53852.738887987187</v>
      </c>
      <c r="X91" s="504">
        <f>'BH Tariffs'!W35*'P&amp;L - Concept B2 - NCLH'!X58</f>
        <v>54929.793665746925</v>
      </c>
    </row>
    <row r="92" spans="1:25" s="167" customFormat="1">
      <c r="A92" s="539" t="str">
        <f>'BH Tariffs'!A36</f>
        <v>Water/Sewer</v>
      </c>
      <c r="B92" s="609"/>
      <c r="C92" s="540"/>
      <c r="D92" s="541">
        <v>0</v>
      </c>
      <c r="E92" s="542">
        <v>0</v>
      </c>
      <c r="F92" s="542">
        <v>0</v>
      </c>
      <c r="G92" s="542">
        <v>0</v>
      </c>
      <c r="H92" s="542">
        <v>0</v>
      </c>
      <c r="I92" s="542">
        <v>0</v>
      </c>
      <c r="J92" s="542">
        <v>0</v>
      </c>
      <c r="K92" s="542">
        <v>0</v>
      </c>
      <c r="L92" s="542">
        <v>0</v>
      </c>
      <c r="M92" s="542">
        <v>0</v>
      </c>
      <c r="N92" s="542">
        <v>0</v>
      </c>
      <c r="O92" s="542">
        <v>0</v>
      </c>
      <c r="P92" s="542">
        <v>0</v>
      </c>
      <c r="Q92" s="542">
        <v>0</v>
      </c>
      <c r="R92" s="542">
        <v>0</v>
      </c>
      <c r="S92" s="542">
        <v>0</v>
      </c>
      <c r="T92" s="542">
        <v>0</v>
      </c>
      <c r="U92" s="542">
        <v>0</v>
      </c>
      <c r="V92" s="542">
        <v>0</v>
      </c>
      <c r="W92" s="542">
        <v>0</v>
      </c>
      <c r="X92" s="542">
        <v>0</v>
      </c>
      <c r="Y92" s="167" t="s">
        <v>282</v>
      </c>
    </row>
    <row r="93" spans="1:25" s="167" customFormat="1">
      <c r="A93" s="539" t="str">
        <f>'BH Tariffs'!A37</f>
        <v xml:space="preserve">Power (Electricity) </v>
      </c>
      <c r="B93" s="609"/>
      <c r="C93" s="540"/>
      <c r="D93" s="541">
        <v>0</v>
      </c>
      <c r="E93" s="542">
        <v>0</v>
      </c>
      <c r="F93" s="542">
        <v>0</v>
      </c>
      <c r="G93" s="542">
        <v>0</v>
      </c>
      <c r="H93" s="542">
        <v>0</v>
      </c>
      <c r="I93" s="542">
        <v>0</v>
      </c>
      <c r="J93" s="542">
        <v>0</v>
      </c>
      <c r="K93" s="542">
        <v>0</v>
      </c>
      <c r="L93" s="542">
        <v>0</v>
      </c>
      <c r="M93" s="542">
        <v>0</v>
      </c>
      <c r="N93" s="542">
        <v>0</v>
      </c>
      <c r="O93" s="542">
        <v>0</v>
      </c>
      <c r="P93" s="542">
        <v>0</v>
      </c>
      <c r="Q93" s="542">
        <v>0</v>
      </c>
      <c r="R93" s="542">
        <v>0</v>
      </c>
      <c r="S93" s="542">
        <v>0</v>
      </c>
      <c r="T93" s="542">
        <v>0</v>
      </c>
      <c r="U93" s="542">
        <v>0</v>
      </c>
      <c r="V93" s="542">
        <v>0</v>
      </c>
      <c r="W93" s="542">
        <v>0</v>
      </c>
      <c r="X93" s="542">
        <v>0</v>
      </c>
      <c r="Y93" s="167" t="s">
        <v>282</v>
      </c>
    </row>
    <row r="94" spans="1:25" s="96" customFormat="1">
      <c r="A94" s="90" t="s">
        <v>526</v>
      </c>
      <c r="B94" s="606"/>
      <c r="C94" s="356"/>
      <c r="D94" s="502">
        <v>0</v>
      </c>
      <c r="E94" s="504">
        <v>0</v>
      </c>
      <c r="F94" s="504">
        <f>'BH Tariffs'!E38*'P&amp;L - Concept B2 - NCLH'!F56</f>
        <v>7500</v>
      </c>
      <c r="G94" s="504">
        <f>'BH Tariffs'!F38*'P&amp;L - Concept B2 - NCLH'!G56</f>
        <v>7650</v>
      </c>
      <c r="H94" s="504">
        <f>'BH Tariffs'!G38*'P&amp;L - Concept B2 - NCLH'!H56</f>
        <v>7803</v>
      </c>
      <c r="I94" s="504">
        <f>'BH Tariffs'!H38*'P&amp;L - Concept B2 - NCLH'!I56</f>
        <v>7959.0599999999995</v>
      </c>
      <c r="J94" s="504">
        <f>'BH Tariffs'!I38*'P&amp;L - Concept B2 - NCLH'!J56</f>
        <v>8118.2411999999995</v>
      </c>
      <c r="K94" s="504">
        <f>'BH Tariffs'!J38*'P&amp;L - Concept B2 - NCLH'!K56</f>
        <v>8280.6060240000006</v>
      </c>
      <c r="L94" s="504">
        <f>'BH Tariffs'!K38*'P&amp;L - Concept B2 - NCLH'!L56</f>
        <v>8446.2181444800008</v>
      </c>
      <c r="M94" s="504">
        <f>'BH Tariffs'!L38*'P&amp;L - Concept B2 - NCLH'!M56</f>
        <v>8615.1425073696009</v>
      </c>
      <c r="N94" s="504">
        <f>'BH Tariffs'!M38*'P&amp;L - Concept B2 - NCLH'!N56</f>
        <v>8787.4453575169937</v>
      </c>
      <c r="O94" s="504">
        <f>'BH Tariffs'!N38*'P&amp;L - Concept B2 - NCLH'!O56</f>
        <v>8963.1942646673324</v>
      </c>
      <c r="P94" s="504">
        <f>'BH Tariffs'!O38*'P&amp;L - Concept B2 - NCLH'!P56</f>
        <v>9142.4581499606793</v>
      </c>
      <c r="Q94" s="504">
        <f>'BH Tariffs'!P38*'P&amp;L - Concept B2 - NCLH'!Q56</f>
        <v>9325.3073129598943</v>
      </c>
      <c r="R94" s="504">
        <f>'BH Tariffs'!Q38*'P&amp;L - Concept B2 - NCLH'!R56</f>
        <v>9511.8134592190909</v>
      </c>
      <c r="S94" s="504">
        <f>'BH Tariffs'!R38*'P&amp;L - Concept B2 - NCLH'!S56</f>
        <v>9702.0497284034718</v>
      </c>
      <c r="T94" s="504">
        <f>'BH Tariffs'!S38*'P&amp;L - Concept B2 - NCLH'!T56</f>
        <v>9896.0907229715431</v>
      </c>
      <c r="U94" s="504">
        <f>'BH Tariffs'!T38*'P&amp;L - Concept B2 - NCLH'!U56</f>
        <v>10094.012537430975</v>
      </c>
      <c r="V94" s="504">
        <f>'BH Tariffs'!U38*'P&amp;L - Concept B2 - NCLH'!V56</f>
        <v>10295.892788179593</v>
      </c>
      <c r="W94" s="504">
        <f>'BH Tariffs'!V38*'P&amp;L - Concept B2 - NCLH'!W56</f>
        <v>10501.810643943187</v>
      </c>
      <c r="X94" s="504">
        <f>'BH Tariffs'!W38*'P&amp;L - Concept B2 - NCLH'!X56</f>
        <v>10711.846856822051</v>
      </c>
    </row>
    <row r="95" spans="1:25">
      <c r="A95" s="88"/>
      <c r="B95" s="30"/>
      <c r="C95" s="89"/>
      <c r="D95" s="502"/>
      <c r="E95" s="504"/>
      <c r="F95" s="504"/>
      <c r="G95" s="504"/>
      <c r="H95" s="504"/>
      <c r="I95" s="504"/>
      <c r="J95" s="504"/>
      <c r="K95" s="504"/>
      <c r="L95" s="504"/>
      <c r="M95" s="504"/>
      <c r="N95" s="504"/>
      <c r="O95" s="504"/>
      <c r="P95" s="504"/>
      <c r="Q95" s="504"/>
      <c r="R95" s="504"/>
      <c r="S95" s="504"/>
      <c r="T95" s="504"/>
      <c r="U95" s="504"/>
      <c r="V95" s="504"/>
      <c r="W95" s="504"/>
      <c r="X95" s="504"/>
    </row>
    <row r="96" spans="1:25">
      <c r="A96" s="91" t="s">
        <v>26</v>
      </c>
      <c r="B96" s="30"/>
      <c r="C96" s="89"/>
      <c r="D96" s="502"/>
      <c r="E96" s="504"/>
      <c r="F96" s="504"/>
      <c r="G96" s="504"/>
      <c r="H96" s="504"/>
      <c r="I96" s="504"/>
      <c r="J96" s="504"/>
      <c r="K96" s="504"/>
      <c r="L96" s="504"/>
      <c r="M96" s="504"/>
      <c r="N96" s="504"/>
      <c r="O96" s="504"/>
      <c r="P96" s="504"/>
      <c r="Q96" s="504"/>
      <c r="R96" s="504"/>
      <c r="S96" s="504"/>
      <c r="T96" s="504"/>
      <c r="U96" s="504"/>
      <c r="V96" s="504"/>
      <c r="W96" s="504"/>
      <c r="X96" s="504"/>
    </row>
    <row r="97" spans="1:24" s="341" customFormat="1">
      <c r="A97" s="353" t="s">
        <v>214</v>
      </c>
      <c r="B97" s="354"/>
      <c r="C97" s="355"/>
      <c r="D97" s="548">
        <v>0</v>
      </c>
      <c r="E97" s="503">
        <v>0</v>
      </c>
      <c r="F97" s="503">
        <v>0</v>
      </c>
      <c r="G97" s="503">
        <v>0</v>
      </c>
      <c r="H97" s="503">
        <v>0</v>
      </c>
      <c r="I97" s="503">
        <v>0</v>
      </c>
      <c r="J97" s="503">
        <v>0</v>
      </c>
      <c r="K97" s="503">
        <v>0</v>
      </c>
      <c r="L97" s="503">
        <v>0</v>
      </c>
      <c r="M97" s="503">
        <v>0</v>
      </c>
      <c r="N97" s="503">
        <v>0</v>
      </c>
      <c r="O97" s="503">
        <v>0</v>
      </c>
      <c r="P97" s="503">
        <v>0</v>
      </c>
      <c r="Q97" s="503">
        <v>0</v>
      </c>
      <c r="R97" s="503">
        <v>0</v>
      </c>
      <c r="S97" s="503">
        <v>0</v>
      </c>
      <c r="T97" s="503">
        <v>0</v>
      </c>
      <c r="U97" s="503">
        <v>0</v>
      </c>
      <c r="V97" s="503">
        <v>0</v>
      </c>
      <c r="W97" s="503">
        <v>0</v>
      </c>
      <c r="X97" s="503">
        <v>0</v>
      </c>
    </row>
    <row r="98" spans="1:24">
      <c r="A98" s="88" t="s">
        <v>215</v>
      </c>
      <c r="B98" s="30"/>
      <c r="C98" s="89"/>
      <c r="D98" s="502">
        <v>0</v>
      </c>
      <c r="E98" s="504">
        <f>'BH Tariffs'!D43*'P&amp;L - Concept B2 - NCLH'!E44</f>
        <v>0</v>
      </c>
      <c r="F98" s="504">
        <f>'BH Tariffs'!E43*'P&amp;L - Concept B2 - NCLH'!F44</f>
        <v>0</v>
      </c>
      <c r="G98" s="504">
        <f>'BH Tariffs'!F43*'P&amp;L - Concept B2 - NCLH'!G44</f>
        <v>0</v>
      </c>
      <c r="H98" s="504">
        <f>'BH Tariffs'!G43*'P&amp;L - Concept B2 - NCLH'!H44</f>
        <v>0</v>
      </c>
      <c r="I98" s="504">
        <f>'BH Tariffs'!H43*'P&amp;L - Concept B2 - NCLH'!I44</f>
        <v>0</v>
      </c>
      <c r="J98" s="504">
        <f>'BH Tariffs'!I43*'P&amp;L - Concept B2 - NCLH'!J44</f>
        <v>246265.49999999997</v>
      </c>
      <c r="K98" s="504">
        <f>'BH Tariffs'!J43*'P&amp;L - Concept B2 - NCLH'!K44</f>
        <v>246265.49999999997</v>
      </c>
      <c r="L98" s="504">
        <f>'BH Tariffs'!K43*'P&amp;L - Concept B2 - NCLH'!L44</f>
        <v>246265.49999999997</v>
      </c>
      <c r="M98" s="504">
        <f>'BH Tariffs'!L43*'P&amp;L - Concept B2 - NCLH'!M44</f>
        <v>246265.49999999997</v>
      </c>
      <c r="N98" s="504">
        <f>'BH Tariffs'!M43*'P&amp;L - Concept B2 - NCLH'!N44</f>
        <v>246265.49999999997</v>
      </c>
      <c r="O98" s="504">
        <f>'BH Tariffs'!N43*'P&amp;L - Concept B2 - NCLH'!O44</f>
        <v>307831.87499999994</v>
      </c>
      <c r="P98" s="504">
        <f>'BH Tariffs'!O43*'P&amp;L - Concept B2 - NCLH'!P44</f>
        <v>307831.87499999994</v>
      </c>
      <c r="Q98" s="504">
        <f>'BH Tariffs'!P43*'P&amp;L - Concept B2 - NCLH'!Q44</f>
        <v>307831.87499999994</v>
      </c>
      <c r="R98" s="504">
        <f>'BH Tariffs'!Q43*'P&amp;L - Concept B2 - NCLH'!R44</f>
        <v>307831.87499999994</v>
      </c>
      <c r="S98" s="504">
        <f>'BH Tariffs'!R43*'P&amp;L - Concept B2 - NCLH'!S44</f>
        <v>307831.87499999994</v>
      </c>
      <c r="T98" s="504">
        <f>'BH Tariffs'!S43*'P&amp;L - Concept B2 - NCLH'!T44</f>
        <v>369398.24999999994</v>
      </c>
      <c r="U98" s="504">
        <f>'BH Tariffs'!T43*'P&amp;L - Concept B2 - NCLH'!U44</f>
        <v>369398.24999999994</v>
      </c>
      <c r="V98" s="504">
        <f>'BH Tariffs'!U43*'P&amp;L - Concept B2 - NCLH'!V44</f>
        <v>369398.24999999994</v>
      </c>
      <c r="W98" s="504">
        <f>'BH Tariffs'!V43*'P&amp;L - Concept B2 - NCLH'!W44</f>
        <v>369398.24999999994</v>
      </c>
      <c r="X98" s="504">
        <f>'BH Tariffs'!W43*'P&amp;L - Concept B2 - NCLH'!X44</f>
        <v>369398.24999999994</v>
      </c>
    </row>
    <row r="99" spans="1:24">
      <c r="A99" s="91"/>
      <c r="B99" s="30"/>
      <c r="C99" s="89"/>
      <c r="D99" s="502"/>
      <c r="E99" s="504"/>
      <c r="F99" s="504"/>
      <c r="G99" s="504"/>
      <c r="H99" s="504"/>
      <c r="I99" s="504"/>
      <c r="J99" s="504"/>
      <c r="K99" s="504"/>
      <c r="L99" s="504"/>
      <c r="M99" s="504"/>
      <c r="N99" s="504"/>
      <c r="O99" s="504"/>
      <c r="P99" s="504"/>
      <c r="Q99" s="504"/>
      <c r="R99" s="504"/>
      <c r="S99" s="504"/>
      <c r="T99" s="504"/>
      <c r="U99" s="504"/>
      <c r="V99" s="504"/>
      <c r="W99" s="504"/>
      <c r="X99" s="504"/>
    </row>
    <row r="100" spans="1:24">
      <c r="A100" s="91" t="s">
        <v>2</v>
      </c>
      <c r="B100" s="30"/>
      <c r="C100" s="89"/>
      <c r="D100" s="502"/>
      <c r="E100" s="504"/>
      <c r="F100" s="504"/>
      <c r="G100" s="504"/>
      <c r="H100" s="504"/>
      <c r="I100" s="504"/>
      <c r="J100" s="504"/>
      <c r="K100" s="504"/>
      <c r="L100" s="504"/>
      <c r="M100" s="504"/>
      <c r="N100" s="504"/>
      <c r="O100" s="504"/>
      <c r="P100" s="504"/>
      <c r="Q100" s="504"/>
      <c r="R100" s="504"/>
      <c r="S100" s="504"/>
      <c r="T100" s="504"/>
      <c r="U100" s="504"/>
      <c r="V100" s="504"/>
      <c r="W100" s="504"/>
      <c r="X100" s="504"/>
    </row>
    <row r="101" spans="1:24">
      <c r="A101" s="88" t="str">
        <f>'BH Tariffs'!A44</f>
        <v>Commerical Rent (Seasonal Kiosk(s)/Vendor(s))</v>
      </c>
      <c r="B101" s="30"/>
      <c r="C101" s="89"/>
      <c r="D101" s="502">
        <v>0</v>
      </c>
      <c r="E101" s="504">
        <f>'BH Tariffs'!D44*'P&amp;L - Concept B2 - NCLH'!E63</f>
        <v>0</v>
      </c>
      <c r="F101" s="504">
        <f>'BH Tariffs'!E44*'P&amp;L - Concept B2 - NCLH'!F63</f>
        <v>0</v>
      </c>
      <c r="G101" s="504">
        <f>'BH Tariffs'!F44*'P&amp;L - Concept B2 - NCLH'!G63*6</f>
        <v>6242.4000000000005</v>
      </c>
      <c r="H101" s="504">
        <f>'BH Tariffs'!G44*'P&amp;L - Concept B2 - NCLH'!H63*6</f>
        <v>6367.2479999999996</v>
      </c>
      <c r="I101" s="504">
        <f>'BH Tariffs'!H44*'P&amp;L - Concept B2 - NCLH'!I63*6</f>
        <v>6494.5929599999999</v>
      </c>
      <c r="J101" s="504">
        <f>'BH Tariffs'!I44*'P&amp;L - Concept B2 - NCLH'!J63*6</f>
        <v>6624.4848191999999</v>
      </c>
      <c r="K101" s="504">
        <f>'BH Tariffs'!J44*'P&amp;L - Concept B2 - NCLH'!K63*6</f>
        <v>6756.974515584001</v>
      </c>
      <c r="L101" s="504">
        <f>'BH Tariffs'!K44*'P&amp;L - Concept B2 - NCLH'!L63*6</f>
        <v>6892.1140058956807</v>
      </c>
      <c r="M101" s="504">
        <f>'BH Tariffs'!L44*'P&amp;L - Concept B2 - NCLH'!M63*6</f>
        <v>7029.9562860135939</v>
      </c>
      <c r="N101" s="504">
        <f>'BH Tariffs'!M44*'P&amp;L - Concept B2 - NCLH'!N63*6</f>
        <v>7170.555411733867</v>
      </c>
      <c r="O101" s="504">
        <f>'BH Tariffs'!N44*'P&amp;L - Concept B2 - NCLH'!O63*6</f>
        <v>7313.9665199685442</v>
      </c>
      <c r="P101" s="504">
        <f>'BH Tariffs'!O44*'P&amp;L - Concept B2 - NCLH'!P63*6</f>
        <v>7460.2458503679145</v>
      </c>
      <c r="Q101" s="504">
        <f>'BH Tariffs'!P44*'P&amp;L - Concept B2 - NCLH'!Q63*6</f>
        <v>7609.4507673752723</v>
      </c>
      <c r="R101" s="504">
        <f>'BH Tariffs'!Q44*'P&amp;L - Concept B2 - NCLH'!R63*6</f>
        <v>7761.6397827227775</v>
      </c>
      <c r="S101" s="504">
        <f>'BH Tariffs'!R44*'P&amp;L - Concept B2 - NCLH'!S63*6</f>
        <v>7916.8725783772334</v>
      </c>
      <c r="T101" s="504">
        <f>'BH Tariffs'!S44*'P&amp;L - Concept B2 - NCLH'!T63*6</f>
        <v>8075.2100299447793</v>
      </c>
      <c r="U101" s="504">
        <f>'BH Tariffs'!T44*'P&amp;L - Concept B2 - NCLH'!U63*6</f>
        <v>8236.7142305436755</v>
      </c>
      <c r="V101" s="504">
        <f>'BH Tariffs'!U44*'P&amp;L - Concept B2 - NCLH'!V63*6</f>
        <v>8401.4485151545487</v>
      </c>
      <c r="W101" s="504">
        <f>'BH Tariffs'!V44*'P&amp;L - Concept B2 - NCLH'!W63*6</f>
        <v>8569.4774854576408</v>
      </c>
      <c r="X101" s="504">
        <f>'BH Tariffs'!W44*'P&amp;L - Concept B2 - NCLH'!X63*6</f>
        <v>8740.8670351667934</v>
      </c>
    </row>
    <row r="102" spans="1:24" s="96" customFormat="1">
      <c r="A102" s="90" t="s">
        <v>541</v>
      </c>
      <c r="B102" s="606"/>
      <c r="C102" s="356"/>
      <c r="D102" s="502">
        <v>0</v>
      </c>
      <c r="E102" s="504">
        <v>0</v>
      </c>
      <c r="F102" s="504">
        <v>0</v>
      </c>
      <c r="G102" s="504">
        <f>G64*0.05</f>
        <v>10000</v>
      </c>
      <c r="H102" s="504">
        <f t="shared" ref="H102:X102" si="11">H64*0.05</f>
        <v>10000</v>
      </c>
      <c r="I102" s="504">
        <f t="shared" si="11"/>
        <v>10000</v>
      </c>
      <c r="J102" s="504">
        <f t="shared" si="11"/>
        <v>10000</v>
      </c>
      <c r="K102" s="504">
        <f t="shared" si="11"/>
        <v>10000</v>
      </c>
      <c r="L102" s="504">
        <f t="shared" si="11"/>
        <v>10000</v>
      </c>
      <c r="M102" s="504">
        <f t="shared" si="11"/>
        <v>10000</v>
      </c>
      <c r="N102" s="504">
        <f t="shared" si="11"/>
        <v>10000</v>
      </c>
      <c r="O102" s="504">
        <f t="shared" si="11"/>
        <v>10000</v>
      </c>
      <c r="P102" s="504">
        <f t="shared" si="11"/>
        <v>10000</v>
      </c>
      <c r="Q102" s="504">
        <f t="shared" si="11"/>
        <v>10000</v>
      </c>
      <c r="R102" s="504">
        <f t="shared" si="11"/>
        <v>10000</v>
      </c>
      <c r="S102" s="504">
        <f t="shared" si="11"/>
        <v>10000</v>
      </c>
      <c r="T102" s="504">
        <f t="shared" si="11"/>
        <v>10000</v>
      </c>
      <c r="U102" s="504">
        <f t="shared" si="11"/>
        <v>10000</v>
      </c>
      <c r="V102" s="504">
        <f t="shared" si="11"/>
        <v>10000</v>
      </c>
      <c r="W102" s="504">
        <f t="shared" si="11"/>
        <v>10000</v>
      </c>
      <c r="X102" s="504">
        <f t="shared" si="11"/>
        <v>10000</v>
      </c>
    </row>
    <row r="103" spans="1:24">
      <c r="A103" s="88" t="str">
        <f>'BH Tariffs'!A45</f>
        <v>Motorcoach Access/Tour Operator Licenses</v>
      </c>
      <c r="B103" s="30"/>
      <c r="C103" s="89"/>
      <c r="D103" s="502">
        <v>0</v>
      </c>
      <c r="E103" s="504">
        <v>0</v>
      </c>
      <c r="F103" s="504">
        <f>'BH Tariffs'!E45*'P&amp;L - Concept B2 - NCLH'!F66</f>
        <v>3060</v>
      </c>
      <c r="G103" s="504">
        <f>'BH Tariffs'!F45*'P&amp;L - Concept B2 - NCLH'!G66</f>
        <v>3121.2000000000003</v>
      </c>
      <c r="H103" s="504">
        <f>'BH Tariffs'!G45*'P&amp;L - Concept B2 - NCLH'!H66</f>
        <v>3183.6239999999998</v>
      </c>
      <c r="I103" s="504">
        <f>'BH Tariffs'!H45*'P&amp;L - Concept B2 - NCLH'!I66</f>
        <v>3247.29648</v>
      </c>
      <c r="J103" s="504">
        <f>'BH Tariffs'!I45*'P&amp;L - Concept B2 - NCLH'!J66</f>
        <v>3312.2424096</v>
      </c>
      <c r="K103" s="504">
        <f>'BH Tariffs'!J45*'P&amp;L - Concept B2 - NCLH'!K66</f>
        <v>3378.4872577920005</v>
      </c>
      <c r="L103" s="504">
        <f>'BH Tariffs'!K45*'P&amp;L - Concept B2 - NCLH'!L66</f>
        <v>3446.0570029478404</v>
      </c>
      <c r="M103" s="504">
        <f>'BH Tariffs'!L45*'P&amp;L - Concept B2 - NCLH'!M66</f>
        <v>3514.9781430067969</v>
      </c>
      <c r="N103" s="504">
        <f>'BH Tariffs'!M45*'P&amp;L - Concept B2 - NCLH'!N66</f>
        <v>3585.2777058669335</v>
      </c>
      <c r="O103" s="504">
        <f>'BH Tariffs'!N45*'P&amp;L - Concept B2 - NCLH'!O66</f>
        <v>3656.9832599842721</v>
      </c>
      <c r="P103" s="504">
        <f>'BH Tariffs'!O45*'P&amp;L - Concept B2 - NCLH'!P66</f>
        <v>3730.1229251839572</v>
      </c>
      <c r="Q103" s="504">
        <f>'BH Tariffs'!P45*'P&amp;L - Concept B2 - NCLH'!Q66</f>
        <v>3804.7253836876362</v>
      </c>
      <c r="R103" s="504">
        <f>'BH Tariffs'!Q45*'P&amp;L - Concept B2 - NCLH'!R66</f>
        <v>3880.8198913613887</v>
      </c>
      <c r="S103" s="504">
        <f>'BH Tariffs'!R45*'P&amp;L - Concept B2 - NCLH'!S66</f>
        <v>3958.4362891886167</v>
      </c>
      <c r="T103" s="504">
        <f>'BH Tariffs'!S45*'P&amp;L - Concept B2 - NCLH'!T66</f>
        <v>4037.6050149723897</v>
      </c>
      <c r="U103" s="504">
        <f>'BH Tariffs'!T45*'P&amp;L - Concept B2 - NCLH'!U66</f>
        <v>4118.3571152718378</v>
      </c>
      <c r="V103" s="504">
        <f>'BH Tariffs'!U45*'P&amp;L - Concept B2 - NCLH'!V66</f>
        <v>4200.7242575772743</v>
      </c>
      <c r="W103" s="504">
        <f>'BH Tariffs'!V45*'P&amp;L - Concept B2 - NCLH'!W66</f>
        <v>4284.7387427288204</v>
      </c>
      <c r="X103" s="504">
        <f>'BH Tariffs'!W45*'P&amp;L - Concept B2 - NCLH'!X66</f>
        <v>4370.4335175833967</v>
      </c>
    </row>
    <row r="104" spans="1:24">
      <c r="A104" s="299" t="s">
        <v>217</v>
      </c>
      <c r="B104" s="299"/>
      <c r="C104" s="299"/>
      <c r="D104" s="505">
        <v>0</v>
      </c>
      <c r="E104" s="506">
        <v>0</v>
      </c>
      <c r="F104" s="506">
        <f>'BH Tariffs'!E46*'P&amp;L - Concept B2 - NCLH'!F65</f>
        <v>500</v>
      </c>
      <c r="G104" s="506">
        <f>'BH Tariffs'!F46*'P&amp;L - Concept B2 - NCLH'!G65</f>
        <v>1000</v>
      </c>
      <c r="H104" s="506">
        <f>'BH Tariffs'!G46*'P&amp;L - Concept B2 - NCLH'!H65</f>
        <v>1000</v>
      </c>
      <c r="I104" s="506">
        <f>'BH Tariffs'!H46*'P&amp;L - Concept B2 - NCLH'!I65</f>
        <v>1000</v>
      </c>
      <c r="J104" s="506">
        <f>'BH Tariffs'!I46*'P&amp;L - Concept B2 - NCLH'!J65</f>
        <v>1650</v>
      </c>
      <c r="K104" s="506">
        <f>'BH Tariffs'!J46*'P&amp;L - Concept B2 - NCLH'!K65</f>
        <v>1650</v>
      </c>
      <c r="L104" s="506">
        <f>'BH Tariffs'!K46*'P&amp;L - Concept B2 - NCLH'!L65</f>
        <v>1650</v>
      </c>
      <c r="M104" s="506">
        <f>'BH Tariffs'!L46*'P&amp;L - Concept B2 - NCLH'!M65</f>
        <v>1650</v>
      </c>
      <c r="N104" s="506">
        <f>'BH Tariffs'!M46*'P&amp;L - Concept B2 - NCLH'!N65</f>
        <v>1650</v>
      </c>
      <c r="O104" s="506">
        <f>'BH Tariffs'!N46*'P&amp;L - Concept B2 - NCLH'!O65</f>
        <v>2400</v>
      </c>
      <c r="P104" s="506">
        <f>'BH Tariffs'!O46*'P&amp;L - Concept B2 - NCLH'!P65</f>
        <v>2400</v>
      </c>
      <c r="Q104" s="506">
        <f>'BH Tariffs'!P46*'P&amp;L - Concept B2 - NCLH'!Q65</f>
        <v>2400</v>
      </c>
      <c r="R104" s="506">
        <f>'BH Tariffs'!Q46*'P&amp;L - Concept B2 - NCLH'!R65</f>
        <v>2400</v>
      </c>
      <c r="S104" s="506">
        <f>'BH Tariffs'!R46*'P&amp;L - Concept B2 - NCLH'!S65</f>
        <v>2400</v>
      </c>
      <c r="T104" s="506">
        <f>'BH Tariffs'!S46*'P&amp;L - Concept B2 - NCLH'!T65</f>
        <v>3250</v>
      </c>
      <c r="U104" s="506">
        <f>'BH Tariffs'!T46*'P&amp;L - Concept B2 - NCLH'!U65</f>
        <v>3250</v>
      </c>
      <c r="V104" s="506">
        <f>'BH Tariffs'!U46*'P&amp;L - Concept B2 - NCLH'!V65</f>
        <v>3250</v>
      </c>
      <c r="W104" s="506">
        <f>'BH Tariffs'!V46*'P&amp;L - Concept B2 - NCLH'!W65</f>
        <v>3250</v>
      </c>
      <c r="X104" s="506">
        <f>'BH Tariffs'!W46*'P&amp;L - Concept B2 - NCLH'!X65</f>
        <v>3250</v>
      </c>
    </row>
    <row r="105" spans="1:24">
      <c r="A105" s="278" t="s">
        <v>145</v>
      </c>
      <c r="D105" s="507">
        <f>SUM(D71:D104)</f>
        <v>0</v>
      </c>
      <c r="E105" s="508">
        <f>SUM(E70:E104)</f>
        <v>0</v>
      </c>
      <c r="F105" s="508">
        <f t="shared" ref="F105:X105" si="12">SUM(F70:F104)</f>
        <v>972362.2374642404</v>
      </c>
      <c r="G105" s="508">
        <f t="shared" si="12"/>
        <v>1008541.8822135254</v>
      </c>
      <c r="H105" s="508">
        <f t="shared" si="12"/>
        <v>1028492.7198577956</v>
      </c>
      <c r="I105" s="508">
        <f t="shared" si="12"/>
        <v>1048842.5742549517</v>
      </c>
      <c r="J105" s="508">
        <f t="shared" si="12"/>
        <v>1316514.9257400504</v>
      </c>
      <c r="K105" s="508">
        <f t="shared" si="12"/>
        <v>1337686.9142548519</v>
      </c>
      <c r="L105" s="508">
        <f t="shared" si="12"/>
        <v>1359282.3425399486</v>
      </c>
      <c r="M105" s="508">
        <f t="shared" si="12"/>
        <v>1381309.6793907478</v>
      </c>
      <c r="N105" s="508">
        <f t="shared" si="12"/>
        <v>1403777.5629785629</v>
      </c>
      <c r="O105" s="508">
        <f t="shared" si="12"/>
        <v>1489011.1792381341</v>
      </c>
      <c r="P105" s="508">
        <f t="shared" si="12"/>
        <v>1512386.7653228969</v>
      </c>
      <c r="Q105" s="508">
        <f t="shared" si="12"/>
        <v>1536229.8631293545</v>
      </c>
      <c r="R105" s="508">
        <f t="shared" si="12"/>
        <v>1560549.8228919418</v>
      </c>
      <c r="S105" s="508">
        <f t="shared" si="12"/>
        <v>1585356.1818497807</v>
      </c>
      <c r="T105" s="508">
        <f t="shared" si="12"/>
        <v>1673075.0429867762</v>
      </c>
      <c r="U105" s="508">
        <f t="shared" si="12"/>
        <v>1698883.5788465119</v>
      </c>
      <c r="V105" s="508">
        <f t="shared" si="12"/>
        <v>1725208.285423442</v>
      </c>
      <c r="W105" s="508">
        <f t="shared" si="12"/>
        <v>1752059.4861319112</v>
      </c>
      <c r="X105" s="508">
        <f t="shared" si="12"/>
        <v>1779447.7108545494</v>
      </c>
    </row>
    <row r="106" spans="1:24">
      <c r="D106" s="507"/>
      <c r="E106" s="413"/>
      <c r="F106" s="413"/>
      <c r="G106" s="413"/>
      <c r="H106" s="413"/>
      <c r="I106" s="413"/>
      <c r="J106" s="413"/>
      <c r="K106" s="413"/>
      <c r="L106" s="413"/>
      <c r="M106" s="413"/>
      <c r="N106" s="413"/>
      <c r="O106" s="413"/>
      <c r="P106" s="413"/>
      <c r="Q106" s="413"/>
      <c r="R106" s="413"/>
      <c r="S106" s="413"/>
      <c r="T106" s="413"/>
      <c r="U106" s="413"/>
      <c r="V106" s="413"/>
      <c r="W106" s="413"/>
      <c r="X106" s="413"/>
    </row>
    <row r="107" spans="1:24">
      <c r="A107" s="271" t="s">
        <v>146</v>
      </c>
      <c r="B107" s="149"/>
      <c r="C107" s="149"/>
      <c r="D107" s="509"/>
      <c r="E107" s="510"/>
      <c r="F107" s="510"/>
      <c r="G107" s="510"/>
      <c r="H107" s="510"/>
      <c r="I107" s="510"/>
      <c r="J107" s="510"/>
      <c r="K107" s="510"/>
      <c r="L107" s="510"/>
      <c r="M107" s="510"/>
      <c r="N107" s="510"/>
      <c r="O107" s="510"/>
      <c r="P107" s="510"/>
      <c r="Q107" s="510"/>
      <c r="R107" s="510"/>
      <c r="S107" s="510"/>
      <c r="T107" s="510"/>
      <c r="U107" s="510"/>
      <c r="V107" s="510"/>
      <c r="W107" s="510"/>
      <c r="X107" s="510"/>
    </row>
    <row r="108" spans="1:24">
      <c r="D108" s="507"/>
      <c r="E108" s="413"/>
      <c r="F108" s="413"/>
      <c r="G108" s="413"/>
      <c r="H108" s="413"/>
      <c r="I108" s="413"/>
      <c r="J108" s="413"/>
      <c r="K108" s="413"/>
      <c r="L108" s="413"/>
      <c r="M108" s="413"/>
      <c r="N108" s="413"/>
      <c r="O108" s="413"/>
      <c r="P108" s="413"/>
      <c r="Q108" s="413"/>
      <c r="R108" s="413"/>
      <c r="S108" s="413"/>
      <c r="T108" s="413"/>
      <c r="U108" s="413"/>
      <c r="V108" s="413"/>
      <c r="W108" s="413"/>
      <c r="X108" s="413"/>
    </row>
    <row r="109" spans="1:24">
      <c r="A109" s="91" t="s">
        <v>380</v>
      </c>
      <c r="B109" s="89"/>
      <c r="C109" s="89"/>
      <c r="D109" s="502"/>
      <c r="E109" s="504"/>
      <c r="F109" s="504"/>
      <c r="G109" s="504"/>
      <c r="H109" s="504"/>
      <c r="I109" s="504"/>
      <c r="J109" s="504"/>
      <c r="K109" s="504"/>
      <c r="L109" s="504"/>
      <c r="M109" s="504"/>
      <c r="N109" s="504"/>
      <c r="O109" s="504"/>
      <c r="P109" s="504"/>
      <c r="Q109" s="504"/>
      <c r="R109" s="504"/>
      <c r="S109" s="504"/>
      <c r="T109" s="504"/>
      <c r="U109" s="504"/>
      <c r="V109" s="504"/>
      <c r="W109" s="504"/>
      <c r="X109" s="504"/>
    </row>
    <row r="110" spans="1:24">
      <c r="A110" s="88" t="s">
        <v>432</v>
      </c>
      <c r="B110" s="89"/>
      <c r="C110" s="89"/>
      <c r="D110" s="502">
        <v>0</v>
      </c>
      <c r="E110" s="504">
        <v>0</v>
      </c>
      <c r="F110" s="504">
        <v>0</v>
      </c>
      <c r="G110" s="504">
        <v>0</v>
      </c>
      <c r="H110" s="504">
        <v>0</v>
      </c>
      <c r="I110" s="504">
        <v>0</v>
      </c>
      <c r="J110" s="504">
        <v>0</v>
      </c>
      <c r="K110" s="504">
        <v>0</v>
      </c>
      <c r="L110" s="504">
        <v>0</v>
      </c>
      <c r="M110" s="504">
        <v>0</v>
      </c>
      <c r="N110" s="504">
        <v>0</v>
      </c>
      <c r="O110" s="504">
        <v>0</v>
      </c>
      <c r="P110" s="504">
        <v>0</v>
      </c>
      <c r="Q110" s="504">
        <v>0</v>
      </c>
      <c r="R110" s="504">
        <v>0</v>
      </c>
      <c r="S110" s="504">
        <v>0</v>
      </c>
      <c r="T110" s="504">
        <v>0</v>
      </c>
      <c r="U110" s="504">
        <v>0</v>
      </c>
      <c r="V110" s="504">
        <v>0</v>
      </c>
      <c r="W110" s="504">
        <v>0</v>
      </c>
      <c r="X110" s="504">
        <v>0</v>
      </c>
    </row>
    <row r="111" spans="1:24">
      <c r="A111" s="88" t="s">
        <v>433</v>
      </c>
      <c r="B111" s="89"/>
      <c r="C111" s="89"/>
      <c r="D111" s="502">
        <v>0</v>
      </c>
      <c r="E111" s="504">
        <v>0</v>
      </c>
      <c r="F111" s="504">
        <v>0</v>
      </c>
      <c r="G111" s="504">
        <v>0</v>
      </c>
      <c r="H111" s="504">
        <v>0</v>
      </c>
      <c r="I111" s="504">
        <v>0</v>
      </c>
      <c r="J111" s="504">
        <v>0</v>
      </c>
      <c r="K111" s="504">
        <v>0</v>
      </c>
      <c r="L111" s="504">
        <v>0</v>
      </c>
      <c r="M111" s="504">
        <v>0</v>
      </c>
      <c r="N111" s="504">
        <v>0</v>
      </c>
      <c r="O111" s="504">
        <v>0</v>
      </c>
      <c r="P111" s="504">
        <v>0</v>
      </c>
      <c r="Q111" s="504">
        <v>0</v>
      </c>
      <c r="R111" s="504">
        <v>0</v>
      </c>
      <c r="S111" s="504">
        <v>0</v>
      </c>
      <c r="T111" s="504">
        <v>0</v>
      </c>
      <c r="U111" s="504">
        <v>0</v>
      </c>
      <c r="V111" s="504">
        <v>0</v>
      </c>
      <c r="W111" s="504">
        <v>0</v>
      </c>
      <c r="X111" s="504">
        <v>0</v>
      </c>
    </row>
    <row r="112" spans="1:24">
      <c r="A112" s="88" t="s">
        <v>434</v>
      </c>
      <c r="B112" s="89"/>
      <c r="C112" s="89"/>
      <c r="D112" s="502">
        <v>0</v>
      </c>
      <c r="E112" s="504">
        <v>0</v>
      </c>
      <c r="F112" s="504">
        <v>0</v>
      </c>
      <c r="G112" s="504">
        <v>0</v>
      </c>
      <c r="H112" s="504">
        <v>0</v>
      </c>
      <c r="I112" s="504">
        <v>0</v>
      </c>
      <c r="J112" s="504">
        <v>0</v>
      </c>
      <c r="K112" s="504">
        <v>0</v>
      </c>
      <c r="L112" s="504">
        <v>0</v>
      </c>
      <c r="M112" s="504">
        <v>0</v>
      </c>
      <c r="N112" s="504">
        <v>0</v>
      </c>
      <c r="O112" s="504">
        <v>0</v>
      </c>
      <c r="P112" s="504">
        <v>0</v>
      </c>
      <c r="Q112" s="504">
        <v>0</v>
      </c>
      <c r="R112" s="504">
        <v>0</v>
      </c>
      <c r="S112" s="504">
        <v>0</v>
      </c>
      <c r="T112" s="504">
        <v>0</v>
      </c>
      <c r="U112" s="504">
        <v>0</v>
      </c>
      <c r="V112" s="504">
        <v>0</v>
      </c>
      <c r="W112" s="504">
        <v>0</v>
      </c>
      <c r="X112" s="504">
        <v>0</v>
      </c>
    </row>
    <row r="113" spans="1:27">
      <c r="A113" s="88" t="s">
        <v>229</v>
      </c>
      <c r="B113" s="30"/>
      <c r="C113" s="89"/>
      <c r="D113" s="502">
        <v>0</v>
      </c>
      <c r="E113" s="504">
        <v>0</v>
      </c>
      <c r="F113" s="504">
        <v>0</v>
      </c>
      <c r="G113" s="504">
        <v>0</v>
      </c>
      <c r="H113" s="504">
        <v>0</v>
      </c>
      <c r="I113" s="504">
        <v>0</v>
      </c>
      <c r="J113" s="504">
        <v>0</v>
      </c>
      <c r="K113" s="504">
        <v>0</v>
      </c>
      <c r="L113" s="504">
        <v>0</v>
      </c>
      <c r="M113" s="504">
        <v>0</v>
      </c>
      <c r="N113" s="504">
        <v>0</v>
      </c>
      <c r="O113" s="504">
        <v>0</v>
      </c>
      <c r="P113" s="504">
        <v>0</v>
      </c>
      <c r="Q113" s="504">
        <v>0</v>
      </c>
      <c r="R113" s="504">
        <v>0</v>
      </c>
      <c r="S113" s="504">
        <v>0</v>
      </c>
      <c r="T113" s="504">
        <v>0</v>
      </c>
      <c r="U113" s="504">
        <v>0</v>
      </c>
      <c r="V113" s="504">
        <v>0</v>
      </c>
      <c r="W113" s="504">
        <v>0</v>
      </c>
      <c r="X113" s="504">
        <v>0</v>
      </c>
    </row>
    <row r="114" spans="1:27" s="32" customFormat="1">
      <c r="A114" s="299" t="s">
        <v>297</v>
      </c>
      <c r="B114" s="299"/>
      <c r="C114" s="299"/>
      <c r="D114" s="505">
        <v>0</v>
      </c>
      <c r="E114" s="506">
        <v>0</v>
      </c>
      <c r="F114" s="506">
        <v>0</v>
      </c>
      <c r="G114" s="506">
        <f t="shared" ref="G114:X114" si="13">G53</f>
        <v>100000</v>
      </c>
      <c r="H114" s="506">
        <f t="shared" si="13"/>
        <v>100000</v>
      </c>
      <c r="I114" s="506">
        <f t="shared" si="13"/>
        <v>100000</v>
      </c>
      <c r="J114" s="506">
        <f t="shared" si="13"/>
        <v>100000</v>
      </c>
      <c r="K114" s="506">
        <f t="shared" si="13"/>
        <v>100000</v>
      </c>
      <c r="L114" s="506">
        <f t="shared" si="13"/>
        <v>100000</v>
      </c>
      <c r="M114" s="506">
        <f t="shared" si="13"/>
        <v>100000</v>
      </c>
      <c r="N114" s="506">
        <f t="shared" si="13"/>
        <v>100000</v>
      </c>
      <c r="O114" s="506">
        <f t="shared" si="13"/>
        <v>100000</v>
      </c>
      <c r="P114" s="506">
        <f t="shared" si="13"/>
        <v>100000</v>
      </c>
      <c r="Q114" s="506">
        <f t="shared" si="13"/>
        <v>100000</v>
      </c>
      <c r="R114" s="506">
        <f t="shared" si="13"/>
        <v>100000</v>
      </c>
      <c r="S114" s="506">
        <f t="shared" si="13"/>
        <v>100000</v>
      </c>
      <c r="T114" s="506">
        <f t="shared" si="13"/>
        <v>100000</v>
      </c>
      <c r="U114" s="506">
        <f t="shared" si="13"/>
        <v>100000</v>
      </c>
      <c r="V114" s="506">
        <f t="shared" si="13"/>
        <v>100000</v>
      </c>
      <c r="W114" s="506">
        <f t="shared" si="13"/>
        <v>100000</v>
      </c>
      <c r="X114" s="506">
        <f t="shared" si="13"/>
        <v>100000</v>
      </c>
    </row>
    <row r="115" spans="1:27">
      <c r="A115" s="278" t="s">
        <v>147</v>
      </c>
      <c r="D115" s="507">
        <f>SUM(D113:D114)</f>
        <v>0</v>
      </c>
      <c r="E115" s="508">
        <f>SUM(E110:E114)</f>
        <v>0</v>
      </c>
      <c r="F115" s="508">
        <f t="shared" ref="F115:X115" si="14">SUM(F110:F114)</f>
        <v>0</v>
      </c>
      <c r="G115" s="508">
        <f t="shared" si="14"/>
        <v>100000</v>
      </c>
      <c r="H115" s="508">
        <f t="shared" si="14"/>
        <v>100000</v>
      </c>
      <c r="I115" s="508">
        <f t="shared" si="14"/>
        <v>100000</v>
      </c>
      <c r="J115" s="508">
        <f t="shared" si="14"/>
        <v>100000</v>
      </c>
      <c r="K115" s="508">
        <f t="shared" si="14"/>
        <v>100000</v>
      </c>
      <c r="L115" s="508">
        <f t="shared" si="14"/>
        <v>100000</v>
      </c>
      <c r="M115" s="508">
        <f t="shared" si="14"/>
        <v>100000</v>
      </c>
      <c r="N115" s="508">
        <f t="shared" si="14"/>
        <v>100000</v>
      </c>
      <c r="O115" s="508">
        <f t="shared" si="14"/>
        <v>100000</v>
      </c>
      <c r="P115" s="508">
        <f t="shared" si="14"/>
        <v>100000</v>
      </c>
      <c r="Q115" s="508">
        <f t="shared" si="14"/>
        <v>100000</v>
      </c>
      <c r="R115" s="508">
        <f t="shared" si="14"/>
        <v>100000</v>
      </c>
      <c r="S115" s="508">
        <f t="shared" si="14"/>
        <v>100000</v>
      </c>
      <c r="T115" s="508">
        <f t="shared" si="14"/>
        <v>100000</v>
      </c>
      <c r="U115" s="508">
        <f t="shared" si="14"/>
        <v>100000</v>
      </c>
      <c r="V115" s="508">
        <f t="shared" si="14"/>
        <v>100000</v>
      </c>
      <c r="W115" s="508">
        <f t="shared" si="14"/>
        <v>100000</v>
      </c>
      <c r="X115" s="508">
        <f t="shared" si="14"/>
        <v>100000</v>
      </c>
    </row>
    <row r="116" spans="1:27">
      <c r="D116" s="507"/>
      <c r="E116" s="413"/>
      <c r="F116" s="413"/>
      <c r="G116" s="413"/>
      <c r="H116" s="413"/>
      <c r="I116" s="413"/>
      <c r="J116" s="413"/>
      <c r="K116" s="413"/>
      <c r="L116" s="413"/>
      <c r="M116" s="413"/>
      <c r="N116" s="413"/>
      <c r="O116" s="413"/>
      <c r="P116" s="413"/>
      <c r="Q116" s="413"/>
      <c r="R116" s="413"/>
      <c r="S116" s="413"/>
      <c r="T116" s="413"/>
      <c r="U116" s="413"/>
      <c r="V116" s="413"/>
      <c r="W116" s="413"/>
      <c r="X116" s="413"/>
    </row>
    <row r="117" spans="1:27">
      <c r="A117" s="88" t="s">
        <v>608</v>
      </c>
      <c r="D117" s="507">
        <f t="shared" ref="D117" si="15">SUM(D115:D116)</f>
        <v>0</v>
      </c>
      <c r="E117" s="413">
        <v>58025</v>
      </c>
      <c r="F117" s="413">
        <v>0</v>
      </c>
      <c r="G117" s="413">
        <v>0</v>
      </c>
      <c r="H117" s="413">
        <v>0</v>
      </c>
      <c r="I117" s="413">
        <v>0</v>
      </c>
      <c r="J117" s="413">
        <v>0</v>
      </c>
      <c r="K117" s="413">
        <v>0</v>
      </c>
      <c r="L117" s="413">
        <v>0</v>
      </c>
      <c r="M117" s="413">
        <v>0</v>
      </c>
      <c r="N117" s="413">
        <v>0</v>
      </c>
      <c r="O117" s="413">
        <v>0</v>
      </c>
      <c r="P117" s="413">
        <v>0</v>
      </c>
      <c r="Q117" s="413">
        <v>0</v>
      </c>
      <c r="R117" s="413">
        <v>0</v>
      </c>
      <c r="S117" s="413">
        <v>0</v>
      </c>
      <c r="T117" s="413">
        <v>0</v>
      </c>
      <c r="U117" s="413">
        <v>0</v>
      </c>
      <c r="V117" s="413">
        <v>0</v>
      </c>
      <c r="W117" s="413">
        <v>0</v>
      </c>
      <c r="X117" s="413">
        <v>0</v>
      </c>
    </row>
    <row r="118" spans="1:27">
      <c r="D118" s="507"/>
      <c r="E118" s="413"/>
      <c r="F118" s="413"/>
      <c r="G118" s="413"/>
      <c r="H118" s="413"/>
      <c r="I118" s="413"/>
      <c r="J118" s="413"/>
      <c r="K118" s="413"/>
      <c r="L118" s="413"/>
      <c r="M118" s="413"/>
      <c r="N118" s="413"/>
      <c r="O118" s="413"/>
      <c r="P118" s="413"/>
      <c r="Q118" s="413"/>
      <c r="R118" s="413"/>
      <c r="S118" s="413"/>
      <c r="T118" s="413"/>
      <c r="U118" s="413"/>
      <c r="V118" s="413"/>
      <c r="W118" s="413"/>
      <c r="X118" s="413"/>
    </row>
    <row r="119" spans="1:27" s="16" customFormat="1" ht="14.25">
      <c r="A119" s="295" t="s">
        <v>148</v>
      </c>
      <c r="B119" s="295"/>
      <c r="C119" s="295"/>
      <c r="D119" s="511">
        <f>SUM(D105,D115)</f>
        <v>0</v>
      </c>
      <c r="E119" s="511">
        <f>SUM(E105,E115,E117)</f>
        <v>58025</v>
      </c>
      <c r="F119" s="511">
        <f t="shared" ref="F119:X119" si="16">SUM(F105,F115,F117)</f>
        <v>972362.2374642404</v>
      </c>
      <c r="G119" s="511">
        <f t="shared" si="16"/>
        <v>1108541.8822135255</v>
      </c>
      <c r="H119" s="511">
        <f t="shared" si="16"/>
        <v>1128492.7198577956</v>
      </c>
      <c r="I119" s="511">
        <f t="shared" si="16"/>
        <v>1148842.5742549517</v>
      </c>
      <c r="J119" s="511">
        <f t="shared" si="16"/>
        <v>1416514.9257400504</v>
      </c>
      <c r="K119" s="511">
        <f t="shared" si="16"/>
        <v>1437686.9142548519</v>
      </c>
      <c r="L119" s="511">
        <f t="shared" si="16"/>
        <v>1459282.3425399486</v>
      </c>
      <c r="M119" s="511">
        <f t="shared" si="16"/>
        <v>1481309.6793907478</v>
      </c>
      <c r="N119" s="511">
        <f t="shared" si="16"/>
        <v>1503777.5629785629</v>
      </c>
      <c r="O119" s="511">
        <f t="shared" si="16"/>
        <v>1589011.1792381341</v>
      </c>
      <c r="P119" s="511">
        <f t="shared" si="16"/>
        <v>1612386.7653228969</v>
      </c>
      <c r="Q119" s="511">
        <f t="shared" si="16"/>
        <v>1636229.8631293545</v>
      </c>
      <c r="R119" s="511">
        <f t="shared" si="16"/>
        <v>1660549.8228919418</v>
      </c>
      <c r="S119" s="511">
        <f t="shared" si="16"/>
        <v>1685356.1818497807</v>
      </c>
      <c r="T119" s="511">
        <f t="shared" si="16"/>
        <v>1773075.0429867762</v>
      </c>
      <c r="U119" s="511">
        <f t="shared" si="16"/>
        <v>1798883.5788465119</v>
      </c>
      <c r="V119" s="511">
        <f t="shared" si="16"/>
        <v>1825208.285423442</v>
      </c>
      <c r="W119" s="511">
        <f t="shared" si="16"/>
        <v>1852059.4861319112</v>
      </c>
      <c r="X119" s="511">
        <f t="shared" si="16"/>
        <v>1879447.7108545494</v>
      </c>
      <c r="Y119" s="622">
        <f>SUM(D119:X119)</f>
        <v>29027043.755369972</v>
      </c>
      <c r="AA119" s="370">
        <f>(Y76+Y78)/Y119</f>
        <v>0.69735073186305541</v>
      </c>
    </row>
    <row r="120" spans="1:27">
      <c r="A120" s="30"/>
      <c r="B120" s="30"/>
      <c r="C120" s="30"/>
      <c r="D120" s="502"/>
      <c r="E120" s="512"/>
      <c r="F120" s="512"/>
      <c r="G120" s="512"/>
      <c r="H120" s="512"/>
      <c r="I120" s="512"/>
      <c r="J120" s="512"/>
      <c r="K120" s="512"/>
      <c r="L120" s="512"/>
      <c r="M120" s="512"/>
      <c r="N120" s="512"/>
      <c r="O120" s="512"/>
      <c r="P120" s="512"/>
      <c r="Q120" s="512"/>
      <c r="R120" s="512"/>
      <c r="S120" s="512"/>
      <c r="T120" s="512"/>
      <c r="U120" s="512"/>
      <c r="V120" s="512"/>
      <c r="W120" s="512"/>
      <c r="X120" s="512"/>
    </row>
    <row r="121" spans="1:27" s="33" customFormat="1">
      <c r="A121" s="47" t="s">
        <v>7</v>
      </c>
      <c r="B121" s="47" t="s">
        <v>7</v>
      </c>
      <c r="C121" s="78" t="s">
        <v>7</v>
      </c>
      <c r="D121" s="604" t="s">
        <v>7</v>
      </c>
      <c r="E121" s="78" t="s">
        <v>7</v>
      </c>
      <c r="F121" s="78" t="s">
        <v>7</v>
      </c>
      <c r="G121" s="78" t="s">
        <v>7</v>
      </c>
      <c r="H121" s="78" t="s">
        <v>7</v>
      </c>
      <c r="I121" s="78" t="s">
        <v>7</v>
      </c>
      <c r="J121" s="78" t="s">
        <v>7</v>
      </c>
      <c r="K121" s="78" t="s">
        <v>7</v>
      </c>
      <c r="L121" s="78" t="s">
        <v>7</v>
      </c>
      <c r="M121" s="78" t="s">
        <v>7</v>
      </c>
      <c r="N121" s="78" t="s">
        <v>7</v>
      </c>
      <c r="O121" s="78" t="s">
        <v>7</v>
      </c>
      <c r="P121" s="78" t="s">
        <v>7</v>
      </c>
      <c r="Q121" s="78" t="s">
        <v>7</v>
      </c>
      <c r="R121" s="78" t="s">
        <v>7</v>
      </c>
      <c r="S121" s="78" t="s">
        <v>7</v>
      </c>
      <c r="T121" s="78" t="s">
        <v>7</v>
      </c>
      <c r="U121" s="78" t="s">
        <v>7</v>
      </c>
      <c r="V121" s="78" t="s">
        <v>7</v>
      </c>
      <c r="W121" s="78" t="s">
        <v>7</v>
      </c>
      <c r="X121" s="78" t="s">
        <v>7</v>
      </c>
    </row>
    <row r="122" spans="1:27">
      <c r="A122" s="30"/>
      <c r="B122" s="30"/>
      <c r="C122" s="30"/>
      <c r="D122" s="502"/>
      <c r="E122" s="512"/>
      <c r="F122" s="512"/>
      <c r="G122" s="512"/>
      <c r="H122" s="512"/>
      <c r="I122" s="512"/>
      <c r="J122" s="512"/>
      <c r="K122" s="512"/>
      <c r="L122" s="512"/>
      <c r="M122" s="512"/>
      <c r="N122" s="512"/>
      <c r="O122" s="512"/>
      <c r="P122" s="512"/>
      <c r="Q122" s="512"/>
      <c r="R122" s="512"/>
      <c r="S122" s="512"/>
      <c r="T122" s="512"/>
      <c r="U122" s="512"/>
      <c r="V122" s="512"/>
      <c r="W122" s="512"/>
      <c r="X122" s="512"/>
    </row>
    <row r="123" spans="1:27">
      <c r="A123" s="269" t="s">
        <v>131</v>
      </c>
      <c r="B123" s="269"/>
      <c r="C123" s="270"/>
      <c r="D123" s="513"/>
      <c r="E123" s="513"/>
      <c r="F123" s="513"/>
      <c r="G123" s="513"/>
      <c r="H123" s="513"/>
      <c r="I123" s="513"/>
      <c r="J123" s="513"/>
      <c r="K123" s="513"/>
      <c r="L123" s="513"/>
      <c r="M123" s="513"/>
      <c r="N123" s="513"/>
      <c r="O123" s="513"/>
      <c r="P123" s="513"/>
      <c r="Q123" s="513"/>
      <c r="R123" s="513"/>
      <c r="S123" s="513"/>
      <c r="T123" s="513"/>
      <c r="U123" s="513"/>
      <c r="V123" s="513"/>
      <c r="W123" s="513"/>
      <c r="X123" s="513"/>
    </row>
    <row r="124" spans="1:27">
      <c r="A124" s="69"/>
      <c r="B124" s="69"/>
      <c r="C124" s="69"/>
      <c r="D124" s="502"/>
      <c r="E124" s="504"/>
      <c r="F124" s="504"/>
      <c r="G124" s="504"/>
      <c r="H124" s="504"/>
      <c r="I124" s="504"/>
      <c r="J124" s="504"/>
      <c r="K124" s="504"/>
      <c r="L124" s="504"/>
      <c r="M124" s="504"/>
      <c r="N124" s="504"/>
      <c r="O124" s="504"/>
      <c r="P124" s="504"/>
      <c r="Q124" s="504"/>
      <c r="R124" s="504"/>
      <c r="S124" s="504"/>
      <c r="T124" s="504"/>
      <c r="U124" s="504"/>
      <c r="V124" s="504"/>
      <c r="W124" s="504"/>
      <c r="X124" s="504"/>
    </row>
    <row r="125" spans="1:27" s="167" customFormat="1">
      <c r="A125" s="69" t="s">
        <v>13</v>
      </c>
      <c r="B125" s="69"/>
      <c r="C125" s="69"/>
      <c r="D125" s="514">
        <v>0</v>
      </c>
      <c r="E125" s="515">
        <f>'OPEX - Concept B2 - NCLH'!L79</f>
        <v>12250</v>
      </c>
      <c r="F125" s="515">
        <f>'OPEX - Concept B2 - NCLH'!M79</f>
        <v>150500</v>
      </c>
      <c r="G125" s="515">
        <f>'OPEX - Concept B2 - NCLH'!N79</f>
        <v>153510</v>
      </c>
      <c r="H125" s="515">
        <f>'OPEX - Concept B2 - NCLH'!O79</f>
        <v>156580.19999999998</v>
      </c>
      <c r="I125" s="515">
        <f>'OPEX - Concept B2 - NCLH'!P79</f>
        <v>159711.80399999997</v>
      </c>
      <c r="J125" s="515">
        <f>'OPEX - Concept B2 - NCLH'!Q79</f>
        <v>162906.04007999998</v>
      </c>
      <c r="K125" s="515">
        <f>'OPEX - Concept B2 - NCLH'!R79</f>
        <v>166164.16088159999</v>
      </c>
      <c r="L125" s="515">
        <f>'OPEX - Concept B2 - NCLH'!S79</f>
        <v>169487.444099232</v>
      </c>
      <c r="M125" s="515">
        <f>'OPEX - Concept B2 - NCLH'!T79</f>
        <v>172877.19298121665</v>
      </c>
      <c r="N125" s="515">
        <f>'OPEX - Concept B2 - NCLH'!U79</f>
        <v>176334.73684084098</v>
      </c>
      <c r="O125" s="515">
        <f>'OPEX - Concept B2 - NCLH'!V79</f>
        <v>179861.43157765782</v>
      </c>
      <c r="P125" s="515">
        <f>'OPEX - Concept B2 - NCLH'!W79</f>
        <v>183458.66020921097</v>
      </c>
      <c r="Q125" s="515">
        <f>'OPEX - Concept B2 - NCLH'!X79</f>
        <v>187127.83341339519</v>
      </c>
      <c r="R125" s="515">
        <f>'OPEX - Concept B2 - NCLH'!Y79</f>
        <v>190870.39008166309</v>
      </c>
      <c r="S125" s="515">
        <f>'OPEX - Concept B2 - NCLH'!Z79</f>
        <v>194687.79788329633</v>
      </c>
      <c r="T125" s="515">
        <f>'OPEX - Concept B2 - NCLH'!AA79</f>
        <v>198581.5538409623</v>
      </c>
      <c r="U125" s="515">
        <f>'OPEX - Concept B2 - NCLH'!AB79</f>
        <v>202553.18491778153</v>
      </c>
      <c r="V125" s="515">
        <f>'OPEX - Concept B2 - NCLH'!AC79</f>
        <v>206604.24861613716</v>
      </c>
      <c r="W125" s="515">
        <f>'OPEX - Concept B2 - NCLH'!AD79</f>
        <v>210736.33358845994</v>
      </c>
      <c r="X125" s="515">
        <f>'OPEX - Concept B2 - NCLH'!AE79</f>
        <v>214951.06026022913</v>
      </c>
    </row>
    <row r="126" spans="1:27" s="167" customFormat="1">
      <c r="A126" s="69" t="s">
        <v>41</v>
      </c>
      <c r="B126" s="69"/>
      <c r="C126" s="69"/>
      <c r="D126" s="514">
        <v>0</v>
      </c>
      <c r="E126" s="515">
        <f>'OPEX - Concept B2 - NCLH'!L87</f>
        <v>25000</v>
      </c>
      <c r="F126" s="515">
        <f>'OPEX - Concept B2 - NCLH'!M87</f>
        <v>25500</v>
      </c>
      <c r="G126" s="515">
        <f>'OPEX - Concept B2 - NCLH'!N87</f>
        <v>26010</v>
      </c>
      <c r="H126" s="515">
        <f>'OPEX - Concept B2 - NCLH'!O87</f>
        <v>26530.199999999997</v>
      </c>
      <c r="I126" s="515">
        <f>'OPEX - Concept B2 - NCLH'!P87</f>
        <v>27060.804</v>
      </c>
      <c r="J126" s="515">
        <f>'OPEX - Concept B2 - NCLH'!Q87</f>
        <v>27602.020080000002</v>
      </c>
      <c r="K126" s="515">
        <f>'OPEX - Concept B2 - NCLH'!R87</f>
        <v>28154.060481600001</v>
      </c>
      <c r="L126" s="515">
        <f>'OPEX - Concept B2 - NCLH'!S87</f>
        <v>28717.141691232002</v>
      </c>
      <c r="M126" s="515">
        <f>'OPEX - Concept B2 - NCLH'!T87</f>
        <v>29291.484525056643</v>
      </c>
      <c r="N126" s="515">
        <f>'OPEX - Concept B2 - NCLH'!U87</f>
        <v>29877.314215557777</v>
      </c>
      <c r="O126" s="515">
        <f>'OPEX - Concept B2 - NCLH'!V87</f>
        <v>30474.860499868933</v>
      </c>
      <c r="P126" s="515">
        <f>'OPEX - Concept B2 - NCLH'!W87</f>
        <v>31084.357709866312</v>
      </c>
      <c r="Q126" s="515">
        <f>'OPEX - Concept B2 - NCLH'!X87</f>
        <v>31706.044864063639</v>
      </c>
      <c r="R126" s="515">
        <f>'OPEX - Concept B2 - NCLH'!Y87</f>
        <v>32340.165761344906</v>
      </c>
      <c r="S126" s="515">
        <f>'OPEX - Concept B2 - NCLH'!Z87</f>
        <v>32986.969076571811</v>
      </c>
      <c r="T126" s="515">
        <f>'OPEX - Concept B2 - NCLH'!AA87</f>
        <v>33646.708458103247</v>
      </c>
      <c r="U126" s="515">
        <f>'OPEX - Concept B2 - NCLH'!AB87</f>
        <v>34319.642627265312</v>
      </c>
      <c r="V126" s="515">
        <f>'OPEX - Concept B2 - NCLH'!AC87</f>
        <v>35006.03547981062</v>
      </c>
      <c r="W126" s="515">
        <f>'OPEX - Concept B2 - NCLH'!AD87</f>
        <v>35706.156189406836</v>
      </c>
      <c r="X126" s="515">
        <f>'OPEX - Concept B2 - NCLH'!AE87</f>
        <v>36420.279313194973</v>
      </c>
    </row>
    <row r="127" spans="1:27" s="167" customFormat="1">
      <c r="A127" s="69" t="s">
        <v>424</v>
      </c>
      <c r="B127" s="69"/>
      <c r="C127" s="69"/>
      <c r="D127" s="514">
        <v>0</v>
      </c>
      <c r="E127" s="515">
        <f>'OPEX - Concept B2 - NCLH'!L88</f>
        <v>10000</v>
      </c>
      <c r="F127" s="515">
        <f>'OPEX - Concept B2 - NCLH'!M88</f>
        <v>500</v>
      </c>
      <c r="G127" s="515">
        <f>'OPEX - Concept B2 - NCLH'!N88</f>
        <v>520.20000000000005</v>
      </c>
      <c r="H127" s="515">
        <f>'OPEX - Concept B2 - NCLH'!O88</f>
        <v>530.60399999999993</v>
      </c>
      <c r="I127" s="515">
        <f>'OPEX - Concept B2 - NCLH'!P88</f>
        <v>541.21608000000003</v>
      </c>
      <c r="J127" s="515">
        <f>'OPEX - Concept B2 - NCLH'!Q88</f>
        <v>5000</v>
      </c>
      <c r="K127" s="515">
        <f>'OPEX - Concept B2 - NCLH'!R88</f>
        <v>563.08120963200008</v>
      </c>
      <c r="L127" s="515">
        <f>'OPEX - Concept B2 - NCLH'!S88</f>
        <v>574.34283382464002</v>
      </c>
      <c r="M127" s="515">
        <f>'OPEX - Concept B2 - NCLH'!T88</f>
        <v>585.82969050113286</v>
      </c>
      <c r="N127" s="515">
        <f>'OPEX - Concept B2 - NCLH'!U88</f>
        <v>597.54628431115555</v>
      </c>
      <c r="O127" s="515">
        <f>'OPEX - Concept B2 - NCLH'!V88</f>
        <v>5000</v>
      </c>
      <c r="P127" s="515">
        <f>'OPEX - Concept B2 - NCLH'!W88</f>
        <v>621.68715419732621</v>
      </c>
      <c r="Q127" s="515">
        <f>'OPEX - Concept B2 - NCLH'!X88</f>
        <v>634.12089728127273</v>
      </c>
      <c r="R127" s="515">
        <f>'OPEX - Concept B2 - NCLH'!Y88</f>
        <v>646.80331522689812</v>
      </c>
      <c r="S127" s="515">
        <f>'OPEX - Concept B2 - NCLH'!Z88</f>
        <v>659.73938153143615</v>
      </c>
      <c r="T127" s="515">
        <f>'OPEX - Concept B2 - NCLH'!AA88</f>
        <v>5000</v>
      </c>
      <c r="U127" s="515">
        <f>'OPEX - Concept B2 - NCLH'!AB88</f>
        <v>686.39285254530625</v>
      </c>
      <c r="V127" s="515">
        <f>'OPEX - Concept B2 - NCLH'!AC88</f>
        <v>700.12070959621246</v>
      </c>
      <c r="W127" s="515">
        <f>'OPEX - Concept B2 - NCLH'!AD88</f>
        <v>714.1231237881367</v>
      </c>
      <c r="X127" s="515">
        <f>'OPEX - Concept B2 - NCLH'!AE88</f>
        <v>728.40558626389941</v>
      </c>
    </row>
    <row r="128" spans="1:27" s="167" customFormat="1">
      <c r="A128" s="69" t="s">
        <v>42</v>
      </c>
      <c r="B128" s="69"/>
      <c r="C128" s="69"/>
      <c r="D128" s="514">
        <v>0</v>
      </c>
      <c r="E128" s="515">
        <f>'OPEX - Concept B2 - NCLH'!L89</f>
        <v>50000</v>
      </c>
      <c r="F128" s="515">
        <f>'OPEX - Concept B2 - NCLH'!M89</f>
        <v>51000</v>
      </c>
      <c r="G128" s="515">
        <f>'OPEX - Concept B2 - NCLH'!N89</f>
        <v>52020</v>
      </c>
      <c r="H128" s="515">
        <f>'OPEX - Concept B2 - NCLH'!O89</f>
        <v>53060.399999999994</v>
      </c>
      <c r="I128" s="515">
        <f>'OPEX - Concept B2 - NCLH'!P89</f>
        <v>54121.608</v>
      </c>
      <c r="J128" s="515">
        <f>'OPEX - Concept B2 - NCLH'!Q89</f>
        <v>55204.040160000004</v>
      </c>
      <c r="K128" s="515">
        <f>'OPEX - Concept B2 - NCLH'!R89</f>
        <v>56308.120963200003</v>
      </c>
      <c r="L128" s="515">
        <f>'OPEX - Concept B2 - NCLH'!S89</f>
        <v>57434.283382464004</v>
      </c>
      <c r="M128" s="515">
        <f>'OPEX - Concept B2 - NCLH'!T89</f>
        <v>58582.969050113286</v>
      </c>
      <c r="N128" s="515">
        <f>'OPEX - Concept B2 - NCLH'!U89</f>
        <v>59754.628431115554</v>
      </c>
      <c r="O128" s="515">
        <f>'OPEX - Concept B2 - NCLH'!V89</f>
        <v>60949.720999737867</v>
      </c>
      <c r="P128" s="515">
        <f>'OPEX - Concept B2 - NCLH'!W89</f>
        <v>62168.715419732624</v>
      </c>
      <c r="Q128" s="515">
        <f>'OPEX - Concept B2 - NCLH'!X89</f>
        <v>63412.089728127277</v>
      </c>
      <c r="R128" s="515">
        <f>'OPEX - Concept B2 - NCLH'!Y89</f>
        <v>64680.331522689812</v>
      </c>
      <c r="S128" s="515">
        <f>'OPEX - Concept B2 - NCLH'!Z89</f>
        <v>65973.938153143623</v>
      </c>
      <c r="T128" s="515">
        <f>'OPEX - Concept B2 - NCLH'!AA89</f>
        <v>67293.416916206494</v>
      </c>
      <c r="U128" s="515">
        <f>'OPEX - Concept B2 - NCLH'!AB89</f>
        <v>68639.285254530623</v>
      </c>
      <c r="V128" s="515">
        <f>'OPEX - Concept B2 - NCLH'!AC89</f>
        <v>70012.07095962124</v>
      </c>
      <c r="W128" s="515">
        <f>'OPEX - Concept B2 - NCLH'!AD89</f>
        <v>71412.312378813673</v>
      </c>
      <c r="X128" s="515">
        <f>'OPEX - Concept B2 - NCLH'!AE89</f>
        <v>72840.558626389946</v>
      </c>
    </row>
    <row r="129" spans="1:24" s="167" customFormat="1">
      <c r="A129" s="69" t="s">
        <v>43</v>
      </c>
      <c r="B129" s="69"/>
      <c r="C129" s="69"/>
      <c r="D129" s="514">
        <v>0</v>
      </c>
      <c r="E129" s="515">
        <f>'OPEX - Concept B2 - NCLH'!L90</f>
        <v>500</v>
      </c>
      <c r="F129" s="515">
        <f>'OPEX - Concept B2 - NCLH'!M90</f>
        <v>1530</v>
      </c>
      <c r="G129" s="515">
        <f>'OPEX - Concept B2 - NCLH'!N90</f>
        <v>1560.6</v>
      </c>
      <c r="H129" s="515">
        <f>'OPEX - Concept B2 - NCLH'!O90</f>
        <v>1591.8119999999999</v>
      </c>
      <c r="I129" s="515">
        <f>'OPEX - Concept B2 - NCLH'!P90</f>
        <v>1623.64824</v>
      </c>
      <c r="J129" s="515">
        <f>'OPEX - Concept B2 - NCLH'!Q90</f>
        <v>1656.1212048</v>
      </c>
      <c r="K129" s="515">
        <f>'OPEX - Concept B2 - NCLH'!R90</f>
        <v>1689.243628896</v>
      </c>
      <c r="L129" s="515">
        <f>'OPEX - Concept B2 - NCLH'!S90</f>
        <v>1723.02850147392</v>
      </c>
      <c r="M129" s="515">
        <f>'OPEX - Concept B2 - NCLH'!T90</f>
        <v>1757.4890715033987</v>
      </c>
      <c r="N129" s="515">
        <f>'OPEX - Concept B2 - NCLH'!U90</f>
        <v>1792.6388529334665</v>
      </c>
      <c r="O129" s="515">
        <f>'OPEX - Concept B2 - NCLH'!V90</f>
        <v>1828.491629992136</v>
      </c>
      <c r="P129" s="515">
        <f>'OPEX - Concept B2 - NCLH'!W90</f>
        <v>1865.0614625919786</v>
      </c>
      <c r="Q129" s="515">
        <f>'OPEX - Concept B2 - NCLH'!X90</f>
        <v>1902.3626918438183</v>
      </c>
      <c r="R129" s="515">
        <f>'OPEX - Concept B2 - NCLH'!Y90</f>
        <v>1940.4099456806944</v>
      </c>
      <c r="S129" s="515">
        <f>'OPEX - Concept B2 - NCLH'!Z90</f>
        <v>1979.2181445943086</v>
      </c>
      <c r="T129" s="515">
        <f>'OPEX - Concept B2 - NCLH'!AA90</f>
        <v>2018.8025074861948</v>
      </c>
      <c r="U129" s="515">
        <f>'OPEX - Concept B2 - NCLH'!AB90</f>
        <v>2059.1785576359189</v>
      </c>
      <c r="V129" s="515">
        <f>'OPEX - Concept B2 - NCLH'!AC90</f>
        <v>2100.3621287886372</v>
      </c>
      <c r="W129" s="515">
        <f>'OPEX - Concept B2 - NCLH'!AD90</f>
        <v>2142.3693713644102</v>
      </c>
      <c r="X129" s="515">
        <f>'OPEX - Concept B2 - NCLH'!AE90</f>
        <v>2185.2167587916983</v>
      </c>
    </row>
    <row r="130" spans="1:24" s="167" customFormat="1">
      <c r="A130" s="69" t="s">
        <v>44</v>
      </c>
      <c r="B130" s="69"/>
      <c r="C130" s="69"/>
      <c r="D130" s="514">
        <v>0</v>
      </c>
      <c r="E130" s="515">
        <f>'OPEX - Concept B2 - NCLH'!L91</f>
        <v>250</v>
      </c>
      <c r="F130" s="515">
        <f>'OPEX - Concept B2 - NCLH'!M91</f>
        <v>765</v>
      </c>
      <c r="G130" s="515">
        <f>'OPEX - Concept B2 - NCLH'!N91</f>
        <v>780.3</v>
      </c>
      <c r="H130" s="515">
        <f>'OPEX - Concept B2 - NCLH'!O91</f>
        <v>795.90599999999995</v>
      </c>
      <c r="I130" s="515">
        <f>'OPEX - Concept B2 - NCLH'!P91</f>
        <v>811.82411999999999</v>
      </c>
      <c r="J130" s="515">
        <f>'OPEX - Concept B2 - NCLH'!Q91</f>
        <v>828.06060239999999</v>
      </c>
      <c r="K130" s="515">
        <f>'OPEX - Concept B2 - NCLH'!R91</f>
        <v>844.62181444800001</v>
      </c>
      <c r="L130" s="515">
        <f>'OPEX - Concept B2 - NCLH'!S91</f>
        <v>861.51425073695998</v>
      </c>
      <c r="M130" s="515">
        <f>'OPEX - Concept B2 - NCLH'!T91</f>
        <v>878.74453575169935</v>
      </c>
      <c r="N130" s="515">
        <f>'OPEX - Concept B2 - NCLH'!U91</f>
        <v>896.31942646673326</v>
      </c>
      <c r="O130" s="515">
        <f>'OPEX - Concept B2 - NCLH'!V91</f>
        <v>914.24581499606802</v>
      </c>
      <c r="P130" s="515">
        <f>'OPEX - Concept B2 - NCLH'!W91</f>
        <v>932.53073129598931</v>
      </c>
      <c r="Q130" s="515">
        <f>'OPEX - Concept B2 - NCLH'!X91</f>
        <v>951.18134592190916</v>
      </c>
      <c r="R130" s="515">
        <f>'OPEX - Concept B2 - NCLH'!Y91</f>
        <v>970.20497284034718</v>
      </c>
      <c r="S130" s="515">
        <f>'OPEX - Concept B2 - NCLH'!Z91</f>
        <v>989.60907229715428</v>
      </c>
      <c r="T130" s="515">
        <f>'OPEX - Concept B2 - NCLH'!AA91</f>
        <v>1009.4012537430974</v>
      </c>
      <c r="U130" s="515">
        <f>'OPEX - Concept B2 - NCLH'!AB91</f>
        <v>1029.5892788179594</v>
      </c>
      <c r="V130" s="515">
        <f>'OPEX - Concept B2 - NCLH'!AC91</f>
        <v>1050.1810643943186</v>
      </c>
      <c r="W130" s="515">
        <f>'OPEX - Concept B2 - NCLH'!AD91</f>
        <v>1071.1846856822051</v>
      </c>
      <c r="X130" s="515">
        <f>'OPEX - Concept B2 - NCLH'!AE91</f>
        <v>1092.6083793958492</v>
      </c>
    </row>
    <row r="131" spans="1:24" s="167" customFormat="1">
      <c r="A131" s="69" t="s">
        <v>2</v>
      </c>
      <c r="B131" s="69"/>
      <c r="C131" s="69"/>
      <c r="D131" s="514">
        <v>0</v>
      </c>
      <c r="E131" s="515">
        <f>'OPEX - Concept B2 - NCLH'!L92</f>
        <v>1000</v>
      </c>
      <c r="F131" s="515">
        <f>'OPEX - Concept B2 - NCLH'!M92</f>
        <v>1020</v>
      </c>
      <c r="G131" s="515">
        <f>'OPEX - Concept B2 - NCLH'!N92</f>
        <v>1040.4000000000001</v>
      </c>
      <c r="H131" s="515">
        <f>'OPEX - Concept B2 - NCLH'!O92</f>
        <v>1061.2079999999999</v>
      </c>
      <c r="I131" s="515">
        <f>'OPEX - Concept B2 - NCLH'!P92</f>
        <v>1082.4321600000001</v>
      </c>
      <c r="J131" s="515">
        <f>'OPEX - Concept B2 - NCLH'!Q92</f>
        <v>1104.0808032</v>
      </c>
      <c r="K131" s="515">
        <f>'OPEX - Concept B2 - NCLH'!R92</f>
        <v>1126.1624192640002</v>
      </c>
      <c r="L131" s="515">
        <f>'OPEX - Concept B2 - NCLH'!S92</f>
        <v>1148.68566764928</v>
      </c>
      <c r="M131" s="515">
        <f>'OPEX - Concept B2 - NCLH'!T92</f>
        <v>1171.6593810022657</v>
      </c>
      <c r="N131" s="515">
        <f>'OPEX - Concept B2 - NCLH'!U92</f>
        <v>1195.0925686223111</v>
      </c>
      <c r="O131" s="515">
        <f>'OPEX - Concept B2 - NCLH'!V92</f>
        <v>1218.9944199947574</v>
      </c>
      <c r="P131" s="515">
        <f>'OPEX - Concept B2 - NCLH'!W92</f>
        <v>1243.3743083946524</v>
      </c>
      <c r="Q131" s="515">
        <f>'OPEX - Concept B2 - NCLH'!X92</f>
        <v>1268.2417945625455</v>
      </c>
      <c r="R131" s="515">
        <f>'OPEX - Concept B2 - NCLH'!Y92</f>
        <v>1293.6066304537962</v>
      </c>
      <c r="S131" s="515">
        <f>'OPEX - Concept B2 - NCLH'!Z92</f>
        <v>1319.4787630628723</v>
      </c>
      <c r="T131" s="515">
        <f>'OPEX - Concept B2 - NCLH'!AA92</f>
        <v>1345.8683383241298</v>
      </c>
      <c r="U131" s="515">
        <f>'OPEX - Concept B2 - NCLH'!AB92</f>
        <v>1372.7857050906125</v>
      </c>
      <c r="V131" s="515">
        <f>'OPEX - Concept B2 - NCLH'!AC92</f>
        <v>1400.2414191924249</v>
      </c>
      <c r="W131" s="515">
        <f>'OPEX - Concept B2 - NCLH'!AD92</f>
        <v>1428.2462475762734</v>
      </c>
      <c r="X131" s="515">
        <f>'OPEX - Concept B2 - NCLH'!AE92</f>
        <v>1456.8111725277988</v>
      </c>
    </row>
    <row r="132" spans="1:24" s="167" customFormat="1">
      <c r="A132" s="591"/>
      <c r="B132" s="591"/>
      <c r="C132" s="591"/>
      <c r="D132" s="592"/>
      <c r="E132" s="593"/>
      <c r="F132" s="593"/>
      <c r="G132" s="593"/>
      <c r="H132" s="593"/>
      <c r="I132" s="593"/>
      <c r="J132" s="593"/>
      <c r="K132" s="593"/>
      <c r="L132" s="593"/>
      <c r="M132" s="593"/>
      <c r="N132" s="593"/>
      <c r="O132" s="593"/>
      <c r="P132" s="593"/>
      <c r="Q132" s="593"/>
      <c r="R132" s="593"/>
      <c r="S132" s="593"/>
      <c r="T132" s="593"/>
      <c r="U132" s="593"/>
      <c r="V132" s="593"/>
      <c r="W132" s="593"/>
      <c r="X132" s="593"/>
    </row>
    <row r="133" spans="1:24" s="96" customFormat="1">
      <c r="A133" s="69" t="s">
        <v>25</v>
      </c>
      <c r="B133" s="69"/>
      <c r="C133" s="69"/>
      <c r="D133" s="514">
        <v>0</v>
      </c>
      <c r="E133" s="515">
        <f>'OPEX - Concept B2 - NCLH'!L108</f>
        <v>23741.666666666664</v>
      </c>
      <c r="F133" s="515">
        <f>'OPEX - Concept B2 - NCLH'!M108</f>
        <v>24216.5</v>
      </c>
      <c r="G133" s="515">
        <f>'OPEX - Concept B2 - NCLH'!N108</f>
        <v>24700.83</v>
      </c>
      <c r="H133" s="515">
        <f>'OPEX - Concept B2 - NCLH'!O108</f>
        <v>25194.846599999997</v>
      </c>
      <c r="I133" s="515">
        <f>'OPEX - Concept B2 - NCLH'!P108</f>
        <v>25698.743532</v>
      </c>
      <c r="J133" s="515">
        <f>'OPEX - Concept B2 - NCLH'!Q108</f>
        <v>26212.718402639999</v>
      </c>
      <c r="K133" s="515">
        <f>'OPEX - Concept B2 - NCLH'!R108</f>
        <v>26736.972770692802</v>
      </c>
      <c r="L133" s="515">
        <f>'OPEX - Concept B2 - NCLH'!S108</f>
        <v>27271.712226106654</v>
      </c>
      <c r="M133" s="515">
        <f>'OPEX - Concept B2 - NCLH'!T108</f>
        <v>27817.146470628788</v>
      </c>
      <c r="N133" s="515">
        <f>'OPEX - Concept B2 - NCLH'!U108</f>
        <v>28373.48940004137</v>
      </c>
      <c r="O133" s="515">
        <f>'OPEX - Concept B2 - NCLH'!V108</f>
        <v>28940.959188042198</v>
      </c>
      <c r="P133" s="515">
        <f>'OPEX - Concept B2 - NCLH'!W108</f>
        <v>29519.77837180304</v>
      </c>
      <c r="Q133" s="515">
        <f>'OPEX - Concept B2 - NCLH'!X108</f>
        <v>30110.173939239099</v>
      </c>
      <c r="R133" s="515">
        <f>'OPEX - Concept B2 - NCLH'!Y108</f>
        <v>30712.37741802388</v>
      </c>
      <c r="S133" s="515">
        <f>'OPEX - Concept B2 - NCLH'!Z108</f>
        <v>31326.624966384359</v>
      </c>
      <c r="T133" s="515">
        <f>'OPEX - Concept B2 - NCLH'!AA108</f>
        <v>31953.157465712051</v>
      </c>
      <c r="U133" s="515">
        <f>'OPEX - Concept B2 - NCLH'!AB108</f>
        <v>32592.220615026294</v>
      </c>
      <c r="V133" s="515">
        <f>'OPEX - Concept B2 - NCLH'!AC108</f>
        <v>33244.065027326818</v>
      </c>
      <c r="W133" s="515">
        <f>'OPEX - Concept B2 - NCLH'!AD108</f>
        <v>33908.946327873353</v>
      </c>
      <c r="X133" s="515">
        <f>'OPEX - Concept B2 - NCLH'!AE108</f>
        <v>34587.125254430823</v>
      </c>
    </row>
    <row r="134" spans="1:24" s="96" customFormat="1">
      <c r="A134" s="782" t="s">
        <v>426</v>
      </c>
      <c r="B134" s="69"/>
      <c r="C134" s="69"/>
      <c r="D134" s="514">
        <v>0</v>
      </c>
      <c r="E134" s="515">
        <f>'OPEX - Concept B2 - NCLH'!L96</f>
        <v>1000</v>
      </c>
      <c r="F134" s="515">
        <f>'OPEX - Concept B2 - NCLH'!M96</f>
        <v>1020</v>
      </c>
      <c r="G134" s="515">
        <f>'OPEX - Concept B2 - NCLH'!N96</f>
        <v>1040.4000000000001</v>
      </c>
      <c r="H134" s="515">
        <f>'OPEX - Concept B2 - NCLH'!O96</f>
        <v>1061.2079999999999</v>
      </c>
      <c r="I134" s="515">
        <f>'OPEX - Concept B2 - NCLH'!P96</f>
        <v>1082.4321600000001</v>
      </c>
      <c r="J134" s="515">
        <f>'OPEX - Concept B2 - NCLH'!Q96</f>
        <v>25000</v>
      </c>
      <c r="K134" s="515">
        <f>'OPEX - Concept B2 - NCLH'!R96</f>
        <v>25500</v>
      </c>
      <c r="L134" s="515">
        <f>'OPEX - Concept B2 - NCLH'!S96</f>
        <v>26010</v>
      </c>
      <c r="M134" s="515">
        <f>'OPEX - Concept B2 - NCLH'!T96</f>
        <v>26530.199999999997</v>
      </c>
      <c r="N134" s="515">
        <f>'OPEX - Concept B2 - NCLH'!U96</f>
        <v>27060.804</v>
      </c>
      <c r="O134" s="515">
        <f>'OPEX - Concept B2 - NCLH'!V96</f>
        <v>27602.020080000002</v>
      </c>
      <c r="P134" s="515">
        <f>'OPEX - Concept B2 - NCLH'!W96</f>
        <v>28154.060481600001</v>
      </c>
      <c r="Q134" s="515">
        <f>'OPEX - Concept B2 - NCLH'!X96</f>
        <v>28717.141691232002</v>
      </c>
      <c r="R134" s="515">
        <f>'OPEX - Concept B2 - NCLH'!Y96</f>
        <v>29291.484525056643</v>
      </c>
      <c r="S134" s="515">
        <f>'OPEX - Concept B2 - NCLH'!Z96</f>
        <v>29877.314215557777</v>
      </c>
      <c r="T134" s="515">
        <f>'OPEX - Concept B2 - NCLH'!AA96</f>
        <v>30474.860499868933</v>
      </c>
      <c r="U134" s="515">
        <f>'OPEX - Concept B2 - NCLH'!AB96</f>
        <v>31084.357709866312</v>
      </c>
      <c r="V134" s="515">
        <f>'OPEX - Concept B2 - NCLH'!AC96</f>
        <v>31706.044864063639</v>
      </c>
      <c r="W134" s="515">
        <f>'OPEX - Concept B2 - NCLH'!AD96</f>
        <v>32340.165761344906</v>
      </c>
      <c r="X134" s="515">
        <f>'OPEX - Concept B2 - NCLH'!AE96</f>
        <v>32986.969076571811</v>
      </c>
    </row>
    <row r="135" spans="1:24" s="96" customFormat="1">
      <c r="A135" s="644" t="s">
        <v>302</v>
      </c>
      <c r="B135" s="69"/>
      <c r="C135" s="69"/>
      <c r="D135" s="514">
        <v>0</v>
      </c>
      <c r="E135" s="515">
        <f>'Shuttle Projections'!C28/2</f>
        <v>233675</v>
      </c>
      <c r="F135" s="515">
        <f>'Shuttle Projections'!D28</f>
        <v>476697</v>
      </c>
      <c r="G135" s="515">
        <f>'Shuttle Projections'!E28</f>
        <v>486230.94000000006</v>
      </c>
      <c r="H135" s="515">
        <f>'Shuttle Projections'!F28</f>
        <v>495955.55879999994</v>
      </c>
      <c r="I135" s="515">
        <f>'Shuttle Projections'!G28</f>
        <v>505874.66997599998</v>
      </c>
      <c r="J135" s="515">
        <f>'Shuttle Projections'!H28</f>
        <v>515992.16337552003</v>
      </c>
      <c r="K135" s="515">
        <f>'Shuttle Projections'!I28</f>
        <v>526312.00664303044</v>
      </c>
      <c r="L135" s="515">
        <f>'Shuttle Projections'!J28</f>
        <v>536838.24677589093</v>
      </c>
      <c r="M135" s="515">
        <f>'Shuttle Projections'!K28</f>
        <v>547575.01171140897</v>
      </c>
      <c r="N135" s="515">
        <f>'Shuttle Projections'!L28</f>
        <v>558526.51194563706</v>
      </c>
      <c r="O135" s="515">
        <f>'Shuttle Projections'!M28</f>
        <v>569697.04218454985</v>
      </c>
      <c r="P135" s="515">
        <f>'Shuttle Projections'!N28</f>
        <v>581090.98302824085</v>
      </c>
      <c r="Q135" s="515">
        <f>'Shuttle Projections'!O28</f>
        <v>592712.80268880562</v>
      </c>
      <c r="R135" s="515">
        <f>'Shuttle Projections'!P28</f>
        <v>604567.05874258175</v>
      </c>
      <c r="S135" s="515">
        <f>'Shuttle Projections'!Q28</f>
        <v>616658.39991743339</v>
      </c>
      <c r="T135" s="515">
        <f>'Shuttle Projections'!R28</f>
        <v>628991.5679157821</v>
      </c>
      <c r="U135" s="515">
        <f>'Shuttle Projections'!S28</f>
        <v>641571.39927409776</v>
      </c>
      <c r="V135" s="515">
        <f>'Shuttle Projections'!T28</f>
        <v>654402.82725957979</v>
      </c>
      <c r="W135" s="515">
        <f>'Shuttle Projections'!U28</f>
        <v>667490.88380477135</v>
      </c>
      <c r="X135" s="515">
        <f>'Shuttle Projections'!V28</f>
        <v>680840.70148086676</v>
      </c>
    </row>
    <row r="136" spans="1:24" s="16" customFormat="1" ht="14.25">
      <c r="A136" s="282" t="s">
        <v>132</v>
      </c>
      <c r="B136" s="276"/>
      <c r="C136" s="276"/>
      <c r="D136" s="516">
        <f>SUM(D124:D135)</f>
        <v>0</v>
      </c>
      <c r="E136" s="517">
        <f t="shared" ref="E136:X136" si="17">SUM(E125:E135)</f>
        <v>357416.66666666663</v>
      </c>
      <c r="F136" s="517">
        <f t="shared" si="17"/>
        <v>732748.5</v>
      </c>
      <c r="G136" s="517">
        <f t="shared" si="17"/>
        <v>747413.67</v>
      </c>
      <c r="H136" s="517">
        <f t="shared" si="17"/>
        <v>762361.94339999987</v>
      </c>
      <c r="I136" s="517">
        <f t="shared" si="17"/>
        <v>777609.18226799998</v>
      </c>
      <c r="J136" s="517">
        <f t="shared" si="17"/>
        <v>821505.24470855994</v>
      </c>
      <c r="K136" s="517">
        <f t="shared" si="17"/>
        <v>833398.43081236328</v>
      </c>
      <c r="L136" s="517">
        <f t="shared" si="17"/>
        <v>850066.39942861046</v>
      </c>
      <c r="M136" s="517">
        <f t="shared" si="17"/>
        <v>867067.72741718288</v>
      </c>
      <c r="N136" s="517">
        <f t="shared" si="17"/>
        <v>884409.08196552633</v>
      </c>
      <c r="O136" s="517">
        <f t="shared" si="17"/>
        <v>906487.76639483962</v>
      </c>
      <c r="P136" s="517">
        <f t="shared" si="17"/>
        <v>920139.20887693379</v>
      </c>
      <c r="Q136" s="517">
        <f t="shared" si="17"/>
        <v>938541.99305447238</v>
      </c>
      <c r="R136" s="517">
        <f t="shared" si="17"/>
        <v>957312.83291556174</v>
      </c>
      <c r="S136" s="517">
        <f t="shared" si="17"/>
        <v>976459.08957387297</v>
      </c>
      <c r="T136" s="517">
        <f t="shared" si="17"/>
        <v>1000315.3371961885</v>
      </c>
      <c r="U136" s="517">
        <f t="shared" si="17"/>
        <v>1015908.0367926576</v>
      </c>
      <c r="V136" s="517">
        <f t="shared" si="17"/>
        <v>1036226.1975285108</v>
      </c>
      <c r="W136" s="517">
        <f t="shared" si="17"/>
        <v>1056950.7214790811</v>
      </c>
      <c r="X136" s="517">
        <f t="shared" si="17"/>
        <v>1078089.7359086627</v>
      </c>
    </row>
    <row r="137" spans="1:24">
      <c r="A137" s="92"/>
      <c r="B137" s="69"/>
      <c r="C137" s="69"/>
      <c r="D137" s="514"/>
      <c r="E137" s="515"/>
      <c r="F137" s="515"/>
      <c r="G137" s="515"/>
      <c r="H137" s="515"/>
      <c r="I137" s="515"/>
      <c r="J137" s="515"/>
      <c r="K137" s="515"/>
      <c r="L137" s="515"/>
      <c r="M137" s="515"/>
      <c r="N137" s="515"/>
      <c r="O137" s="515"/>
      <c r="P137" s="515"/>
      <c r="Q137" s="515"/>
      <c r="R137" s="515"/>
      <c r="S137" s="515"/>
      <c r="T137" s="515"/>
      <c r="U137" s="515"/>
      <c r="V137" s="515"/>
      <c r="W137" s="515"/>
      <c r="X137" s="515"/>
    </row>
    <row r="138" spans="1:24">
      <c r="A138" s="269" t="s">
        <v>85</v>
      </c>
      <c r="B138" s="269"/>
      <c r="C138" s="270"/>
      <c r="D138" s="513"/>
      <c r="E138" s="513"/>
      <c r="F138" s="513"/>
      <c r="G138" s="513"/>
      <c r="H138" s="513"/>
      <c r="I138" s="513"/>
      <c r="J138" s="513"/>
      <c r="K138" s="513"/>
      <c r="L138" s="513"/>
      <c r="M138" s="513"/>
      <c r="N138" s="513"/>
      <c r="O138" s="513"/>
      <c r="P138" s="513"/>
      <c r="Q138" s="513"/>
      <c r="R138" s="513"/>
      <c r="S138" s="513"/>
      <c r="T138" s="513"/>
      <c r="U138" s="513"/>
      <c r="V138" s="513"/>
      <c r="W138" s="513"/>
      <c r="X138" s="513"/>
    </row>
    <row r="139" spans="1:24" s="368" customFormat="1">
      <c r="A139" s="263"/>
      <c r="B139" s="263"/>
      <c r="C139" s="367"/>
      <c r="D139" s="514"/>
      <c r="E139" s="515"/>
      <c r="F139" s="515"/>
      <c r="G139" s="515"/>
      <c r="H139" s="515"/>
      <c r="I139" s="515"/>
      <c r="J139" s="515"/>
      <c r="K139" s="515"/>
      <c r="L139" s="515"/>
      <c r="M139" s="515"/>
      <c r="N139" s="515"/>
      <c r="O139" s="515"/>
      <c r="P139" s="515"/>
      <c r="Q139" s="515"/>
      <c r="R139" s="515"/>
      <c r="S139" s="515"/>
      <c r="T139" s="515"/>
      <c r="U139" s="515"/>
      <c r="V139" s="515"/>
      <c r="W139" s="515"/>
      <c r="X139" s="515"/>
    </row>
    <row r="140" spans="1:24" s="58" customFormat="1">
      <c r="A140" s="69" t="s">
        <v>0</v>
      </c>
      <c r="B140" s="263"/>
      <c r="C140" s="783"/>
      <c r="D140" s="514">
        <v>0</v>
      </c>
      <c r="E140" s="515">
        <f>'OPEX - Concept B2 - NCLH'!L131</f>
        <v>0</v>
      </c>
      <c r="F140" s="515">
        <f>'OPEX - Concept B2 - NCLH'!M131</f>
        <v>54570</v>
      </c>
      <c r="G140" s="515">
        <f>'OPEX - Concept B2 - NCLH'!N131</f>
        <v>56774.628000000004</v>
      </c>
      <c r="H140" s="515">
        <f>'OPEX - Concept B2 - NCLH'!O131</f>
        <v>57910.120559999996</v>
      </c>
      <c r="I140" s="515">
        <f>'OPEX - Concept B2 - NCLH'!P131</f>
        <v>59068.322971199988</v>
      </c>
      <c r="J140" s="515">
        <f>'OPEX - Concept B2 - NCLH'!Q131</f>
        <v>60249.689430623999</v>
      </c>
      <c r="K140" s="515">
        <f>'OPEX - Concept B2 - NCLH'!R131</f>
        <v>61454.683219236475</v>
      </c>
      <c r="L140" s="515">
        <f>'OPEX - Concept B2 - NCLH'!S131</f>
        <v>62683.776883621205</v>
      </c>
      <c r="M140" s="515">
        <f>'OPEX - Concept B2 - NCLH'!T131</f>
        <v>63937.452421293638</v>
      </c>
      <c r="N140" s="515">
        <f>'OPEX - Concept B2 - NCLH'!U131</f>
        <v>65216.201469719512</v>
      </c>
      <c r="O140" s="515">
        <f>'OPEX - Concept B2 - NCLH'!V131</f>
        <v>66520.525499113894</v>
      </c>
      <c r="P140" s="515">
        <f>'OPEX - Concept B2 - NCLH'!W131</f>
        <v>67850.936009096185</v>
      </c>
      <c r="Q140" s="515">
        <f>'OPEX - Concept B2 - NCLH'!X131</f>
        <v>69207.954729278121</v>
      </c>
      <c r="R140" s="515">
        <f>'OPEX - Concept B2 - NCLH'!Y131</f>
        <v>70592.113823863678</v>
      </c>
      <c r="S140" s="515">
        <f>'OPEX - Concept B2 - NCLH'!Z131</f>
        <v>72003.956100340947</v>
      </c>
      <c r="T140" s="515">
        <f>'OPEX - Concept B2 - NCLH'!AA131</f>
        <v>73444.035222347768</v>
      </c>
      <c r="U140" s="515">
        <f>'OPEX - Concept B2 - NCLH'!AB131</f>
        <v>74912.915926794725</v>
      </c>
      <c r="V140" s="515">
        <f>'OPEX - Concept B2 - NCLH'!AC131</f>
        <v>76411.174245330621</v>
      </c>
      <c r="W140" s="515">
        <f>'OPEX - Concept B2 - NCLH'!AD131</f>
        <v>77939.397730237237</v>
      </c>
      <c r="X140" s="515">
        <f>'OPEX - Concept B2 - NCLH'!AE131</f>
        <v>79498.18568484197</v>
      </c>
    </row>
    <row r="141" spans="1:24" s="58" customFormat="1">
      <c r="A141" s="69" t="s">
        <v>4</v>
      </c>
      <c r="B141" s="263"/>
      <c r="C141" s="783"/>
      <c r="D141" s="514">
        <v>0</v>
      </c>
      <c r="E141" s="515">
        <f>'OPEX - Concept B2 - NCLH'!L154</f>
        <v>0</v>
      </c>
      <c r="F141" s="515">
        <f>'OPEX - Concept B2 - NCLH'!M154</f>
        <v>85335.846153846156</v>
      </c>
      <c r="G141" s="515">
        <f>'OPEX - Concept B2 - NCLH'!N154</f>
        <v>87042.563076923077</v>
      </c>
      <c r="H141" s="515">
        <f>'OPEX - Concept B2 - NCLH'!O154</f>
        <v>88783.41433846156</v>
      </c>
      <c r="I141" s="515">
        <f>'OPEX - Concept B2 - NCLH'!P154</f>
        <v>90559.082625230774</v>
      </c>
      <c r="J141" s="515">
        <f>'OPEX - Concept B2 - NCLH'!Q154</f>
        <v>92370.264277735376</v>
      </c>
      <c r="K141" s="515">
        <f>'OPEX - Concept B2 - NCLH'!R154</f>
        <v>94217.669563290081</v>
      </c>
      <c r="L141" s="515">
        <f>'OPEX - Concept B2 - NCLH'!S154</f>
        <v>96102.022954555898</v>
      </c>
      <c r="M141" s="515">
        <f>'OPEX - Concept B2 - NCLH'!T154</f>
        <v>98024.063413647003</v>
      </c>
      <c r="N141" s="515">
        <f>'OPEX - Concept B2 - NCLH'!U154</f>
        <v>99984.544681919942</v>
      </c>
      <c r="O141" s="515">
        <f>'OPEX - Concept B2 - NCLH'!V154</f>
        <v>101984.23557555837</v>
      </c>
      <c r="P141" s="515">
        <f>'OPEX - Concept B2 - NCLH'!W154</f>
        <v>104023.92028706953</v>
      </c>
      <c r="Q141" s="515">
        <f>'OPEX - Concept B2 - NCLH'!X154</f>
        <v>106104.39869281092</v>
      </c>
      <c r="R141" s="515">
        <f>'OPEX - Concept B2 - NCLH'!Y154</f>
        <v>108226.48666666714</v>
      </c>
      <c r="S141" s="515">
        <f>'OPEX - Concept B2 - NCLH'!Z154</f>
        <v>110391.01640000047</v>
      </c>
      <c r="T141" s="515">
        <f>'OPEX - Concept B2 - NCLH'!AA154</f>
        <v>112598.8367280005</v>
      </c>
      <c r="U141" s="515">
        <f>'OPEX - Concept B2 - NCLH'!AB154</f>
        <v>114850.8134625605</v>
      </c>
      <c r="V141" s="515">
        <f>'OPEX - Concept B2 - NCLH'!AC154</f>
        <v>117147.82973181173</v>
      </c>
      <c r="W141" s="515">
        <f>'OPEX - Concept B2 - NCLH'!AD154</f>
        <v>119490.78632644797</v>
      </c>
      <c r="X141" s="515">
        <f>'OPEX - Concept B2 - NCLH'!AE154</f>
        <v>121880.60205297693</v>
      </c>
    </row>
    <row r="142" spans="1:24" s="16" customFormat="1" ht="14.25">
      <c r="A142" s="282" t="s">
        <v>133</v>
      </c>
      <c r="B142" s="276"/>
      <c r="C142" s="276"/>
      <c r="D142" s="516">
        <f>SUM(D140:D141)</f>
        <v>0</v>
      </c>
      <c r="E142" s="517">
        <f>SUM(E140:E141)</f>
        <v>0</v>
      </c>
      <c r="F142" s="517">
        <f t="shared" ref="F142:X142" si="18">SUM(F140:F141)</f>
        <v>139905.84615384616</v>
      </c>
      <c r="G142" s="517">
        <f t="shared" si="18"/>
        <v>143817.19107692307</v>
      </c>
      <c r="H142" s="517">
        <f t="shared" si="18"/>
        <v>146693.53489846154</v>
      </c>
      <c r="I142" s="517">
        <f t="shared" si="18"/>
        <v>149627.40559643076</v>
      </c>
      <c r="J142" s="517">
        <f t="shared" si="18"/>
        <v>152619.95370835939</v>
      </c>
      <c r="K142" s="517">
        <f t="shared" si="18"/>
        <v>155672.35278252655</v>
      </c>
      <c r="L142" s="517">
        <f t="shared" si="18"/>
        <v>158785.7998381771</v>
      </c>
      <c r="M142" s="517">
        <f t="shared" si="18"/>
        <v>161961.51583494066</v>
      </c>
      <c r="N142" s="517">
        <f t="shared" si="18"/>
        <v>165200.74615163944</v>
      </c>
      <c r="O142" s="517">
        <f t="shared" si="18"/>
        <v>168504.76107467228</v>
      </c>
      <c r="P142" s="517">
        <f t="shared" si="18"/>
        <v>171874.85629616573</v>
      </c>
      <c r="Q142" s="517">
        <f t="shared" si="18"/>
        <v>175312.35342208904</v>
      </c>
      <c r="R142" s="517">
        <f t="shared" si="18"/>
        <v>178818.60049053084</v>
      </c>
      <c r="S142" s="517">
        <f t="shared" si="18"/>
        <v>182394.97250034142</v>
      </c>
      <c r="T142" s="517">
        <f t="shared" si="18"/>
        <v>186042.87195034826</v>
      </c>
      <c r="U142" s="517">
        <f t="shared" si="18"/>
        <v>189763.72938935523</v>
      </c>
      <c r="V142" s="517">
        <f t="shared" si="18"/>
        <v>193559.00397714233</v>
      </c>
      <c r="W142" s="517">
        <f t="shared" si="18"/>
        <v>197430.18405668519</v>
      </c>
      <c r="X142" s="517">
        <f t="shared" si="18"/>
        <v>201378.7877378189</v>
      </c>
    </row>
    <row r="143" spans="1:24">
      <c r="A143" s="92"/>
      <c r="B143" s="92"/>
      <c r="C143" s="69"/>
      <c r="D143" s="514"/>
      <c r="E143" s="515"/>
      <c r="F143" s="515"/>
      <c r="G143" s="515"/>
      <c r="H143" s="515"/>
      <c r="I143" s="515"/>
      <c r="J143" s="515"/>
      <c r="K143" s="515"/>
      <c r="L143" s="515"/>
      <c r="M143" s="515"/>
      <c r="N143" s="515"/>
      <c r="O143" s="515"/>
      <c r="P143" s="515"/>
      <c r="Q143" s="515"/>
      <c r="R143" s="515"/>
      <c r="S143" s="515"/>
      <c r="T143" s="515"/>
      <c r="U143" s="515"/>
      <c r="V143" s="515"/>
      <c r="W143" s="515"/>
      <c r="X143" s="515"/>
    </row>
    <row r="144" spans="1:24" s="16" customFormat="1" ht="14.25">
      <c r="A144" s="350" t="s">
        <v>118</v>
      </c>
      <c r="B144" s="350"/>
      <c r="C144" s="351"/>
      <c r="D144" s="519">
        <f t="shared" ref="D144:X144" si="19">SUM(D136,D142)</f>
        <v>0</v>
      </c>
      <c r="E144" s="519">
        <f t="shared" si="19"/>
        <v>357416.66666666663</v>
      </c>
      <c r="F144" s="519">
        <f t="shared" si="19"/>
        <v>872654.34615384613</v>
      </c>
      <c r="G144" s="519">
        <f t="shared" si="19"/>
        <v>891230.86107692309</v>
      </c>
      <c r="H144" s="519">
        <f t="shared" si="19"/>
        <v>909055.47829846141</v>
      </c>
      <c r="I144" s="519">
        <f t="shared" si="19"/>
        <v>927236.58786443074</v>
      </c>
      <c r="J144" s="519">
        <f t="shared" si="19"/>
        <v>974125.19841691933</v>
      </c>
      <c r="K144" s="519">
        <f t="shared" si="19"/>
        <v>989070.7835948898</v>
      </c>
      <c r="L144" s="519">
        <f t="shared" si="19"/>
        <v>1008852.1992667876</v>
      </c>
      <c r="M144" s="519">
        <f t="shared" si="19"/>
        <v>1029029.2432521235</v>
      </c>
      <c r="N144" s="519">
        <f t="shared" si="19"/>
        <v>1049609.8281171657</v>
      </c>
      <c r="O144" s="519">
        <f t="shared" si="19"/>
        <v>1074992.5274695118</v>
      </c>
      <c r="P144" s="519">
        <f t="shared" si="19"/>
        <v>1092014.0651730995</v>
      </c>
      <c r="Q144" s="519">
        <f t="shared" si="19"/>
        <v>1113854.3464765614</v>
      </c>
      <c r="R144" s="519">
        <f t="shared" si="19"/>
        <v>1136131.4334060927</v>
      </c>
      <c r="S144" s="519">
        <f t="shared" si="19"/>
        <v>1158854.0620742145</v>
      </c>
      <c r="T144" s="519">
        <f t="shared" si="19"/>
        <v>1186358.2091465369</v>
      </c>
      <c r="U144" s="519">
        <f t="shared" si="19"/>
        <v>1205671.7661820129</v>
      </c>
      <c r="V144" s="519">
        <f t="shared" si="19"/>
        <v>1229785.2015056531</v>
      </c>
      <c r="W144" s="519">
        <f t="shared" si="19"/>
        <v>1254380.9055357664</v>
      </c>
      <c r="X144" s="519">
        <f t="shared" si="19"/>
        <v>1279468.5236464816</v>
      </c>
    </row>
    <row r="145" spans="1:24" s="222" customFormat="1" ht="14.25">
      <c r="A145" s="280"/>
      <c r="B145" s="280"/>
      <c r="C145" s="263"/>
      <c r="D145" s="518"/>
      <c r="E145" s="520"/>
      <c r="F145" s="520"/>
      <c r="G145" s="520"/>
      <c r="H145" s="520"/>
      <c r="I145" s="520"/>
      <c r="J145" s="520"/>
      <c r="K145" s="520"/>
      <c r="L145" s="520"/>
      <c r="M145" s="520"/>
      <c r="N145" s="520"/>
      <c r="O145" s="520"/>
      <c r="P145" s="520"/>
      <c r="Q145" s="520"/>
      <c r="R145" s="520"/>
      <c r="S145" s="520"/>
      <c r="T145" s="520"/>
      <c r="U145" s="520"/>
      <c r="V145" s="520"/>
      <c r="W145" s="520"/>
      <c r="X145" s="520"/>
    </row>
    <row r="146" spans="1:24" s="222" customFormat="1" ht="14.25">
      <c r="A146" s="271" t="s">
        <v>295</v>
      </c>
      <c r="B146" s="271"/>
      <c r="C146" s="269"/>
      <c r="D146" s="521"/>
      <c r="E146" s="521"/>
      <c r="F146" s="521"/>
      <c r="G146" s="521"/>
      <c r="H146" s="521"/>
      <c r="I146" s="521"/>
      <c r="J146" s="521"/>
      <c r="K146" s="521"/>
      <c r="L146" s="521"/>
      <c r="M146" s="521"/>
      <c r="N146" s="521"/>
      <c r="O146" s="521"/>
      <c r="P146" s="521"/>
      <c r="Q146" s="521"/>
      <c r="R146" s="521"/>
      <c r="S146" s="521"/>
      <c r="T146" s="521"/>
      <c r="U146" s="521"/>
      <c r="V146" s="521"/>
      <c r="W146" s="521"/>
      <c r="X146" s="521"/>
    </row>
    <row r="147" spans="1:24" s="222" customFormat="1" ht="14.25">
      <c r="A147" s="280"/>
      <c r="B147" s="280"/>
      <c r="C147" s="263"/>
      <c r="D147" s="518"/>
      <c r="E147" s="520"/>
      <c r="F147" s="520"/>
      <c r="G147" s="520"/>
      <c r="H147" s="520"/>
      <c r="I147" s="520"/>
      <c r="J147" s="520"/>
      <c r="K147" s="520"/>
      <c r="L147" s="520"/>
      <c r="M147" s="520"/>
      <c r="N147" s="520"/>
      <c r="O147" s="520"/>
      <c r="P147" s="520"/>
      <c r="Q147" s="520"/>
      <c r="R147" s="520"/>
      <c r="S147" s="520"/>
      <c r="T147" s="520"/>
      <c r="U147" s="520"/>
      <c r="V147" s="520"/>
      <c r="W147" s="520"/>
      <c r="X147" s="520"/>
    </row>
    <row r="148" spans="1:24" s="725" customFormat="1">
      <c r="A148" s="353" t="s">
        <v>228</v>
      </c>
      <c r="B148" s="691"/>
      <c r="C148" s="724"/>
      <c r="D148" s="699">
        <v>0</v>
      </c>
      <c r="E148" s="700"/>
      <c r="F148" s="700"/>
      <c r="G148" s="700"/>
      <c r="H148" s="700"/>
      <c r="I148" s="700"/>
      <c r="J148" s="700"/>
      <c r="K148" s="700"/>
      <c r="L148" s="700"/>
      <c r="M148" s="700"/>
      <c r="N148" s="700"/>
      <c r="O148" s="700"/>
      <c r="P148" s="700"/>
      <c r="Q148" s="700"/>
      <c r="R148" s="700"/>
      <c r="S148" s="700"/>
      <c r="T148" s="700"/>
      <c r="U148" s="700"/>
      <c r="V148" s="700"/>
      <c r="W148" s="700"/>
      <c r="X148" s="700"/>
    </row>
    <row r="149" spans="1:24" s="725" customFormat="1">
      <c r="A149" s="726" t="s">
        <v>228</v>
      </c>
      <c r="B149" s="727"/>
      <c r="C149" s="728"/>
      <c r="D149" s="729">
        <v>0</v>
      </c>
      <c r="E149" s="730"/>
      <c r="F149" s="730"/>
      <c r="G149" s="730"/>
      <c r="H149" s="730"/>
      <c r="I149" s="730"/>
      <c r="J149" s="730"/>
      <c r="K149" s="730"/>
      <c r="L149" s="730"/>
      <c r="M149" s="730"/>
      <c r="N149" s="730"/>
      <c r="O149" s="730"/>
      <c r="P149" s="730"/>
      <c r="Q149" s="730"/>
      <c r="R149" s="730"/>
      <c r="S149" s="730"/>
      <c r="T149" s="730"/>
      <c r="U149" s="730"/>
      <c r="V149" s="730"/>
      <c r="W149" s="730"/>
      <c r="X149" s="730"/>
    </row>
    <row r="150" spans="1:24" s="725" customFormat="1" ht="14.25">
      <c r="A150" s="691" t="s">
        <v>296</v>
      </c>
      <c r="B150" s="691"/>
      <c r="C150" s="724"/>
      <c r="D150" s="731">
        <f t="shared" ref="D150:X150" si="20">SUM(D148:D149)</f>
        <v>0</v>
      </c>
      <c r="E150" s="732">
        <f t="shared" si="20"/>
        <v>0</v>
      </c>
      <c r="F150" s="732">
        <f t="shared" si="20"/>
        <v>0</v>
      </c>
      <c r="G150" s="732">
        <f t="shared" si="20"/>
        <v>0</v>
      </c>
      <c r="H150" s="732">
        <f t="shared" si="20"/>
        <v>0</v>
      </c>
      <c r="I150" s="732">
        <f t="shared" si="20"/>
        <v>0</v>
      </c>
      <c r="J150" s="732">
        <f t="shared" si="20"/>
        <v>0</v>
      </c>
      <c r="K150" s="732">
        <f t="shared" si="20"/>
        <v>0</v>
      </c>
      <c r="L150" s="732">
        <f t="shared" si="20"/>
        <v>0</v>
      </c>
      <c r="M150" s="732">
        <f t="shared" si="20"/>
        <v>0</v>
      </c>
      <c r="N150" s="732">
        <f t="shared" si="20"/>
        <v>0</v>
      </c>
      <c r="O150" s="732">
        <f t="shared" si="20"/>
        <v>0</v>
      </c>
      <c r="P150" s="732">
        <f t="shared" si="20"/>
        <v>0</v>
      </c>
      <c r="Q150" s="732">
        <f t="shared" si="20"/>
        <v>0</v>
      </c>
      <c r="R150" s="732">
        <f t="shared" si="20"/>
        <v>0</v>
      </c>
      <c r="S150" s="732">
        <f t="shared" si="20"/>
        <v>0</v>
      </c>
      <c r="T150" s="732">
        <f t="shared" si="20"/>
        <v>0</v>
      </c>
      <c r="U150" s="732">
        <f t="shared" si="20"/>
        <v>0</v>
      </c>
      <c r="V150" s="732">
        <f t="shared" si="20"/>
        <v>0</v>
      </c>
      <c r="W150" s="732">
        <f t="shared" si="20"/>
        <v>0</v>
      </c>
      <c r="X150" s="732">
        <f t="shared" si="20"/>
        <v>0</v>
      </c>
    </row>
    <row r="151" spans="1:24" s="222" customFormat="1">
      <c r="A151" s="280"/>
      <c r="B151" s="280"/>
      <c r="C151" s="263"/>
      <c r="D151" s="514"/>
      <c r="E151" s="515"/>
      <c r="F151" s="520"/>
      <c r="G151" s="520"/>
      <c r="H151" s="520"/>
      <c r="I151" s="520"/>
      <c r="J151" s="520"/>
      <c r="K151" s="520"/>
      <c r="L151" s="520"/>
      <c r="M151" s="520"/>
      <c r="N151" s="520"/>
      <c r="O151" s="520"/>
      <c r="P151" s="520"/>
      <c r="Q151" s="520"/>
      <c r="R151" s="520"/>
      <c r="S151" s="520"/>
      <c r="T151" s="520"/>
      <c r="U151" s="520"/>
      <c r="V151" s="520"/>
      <c r="W151" s="520"/>
      <c r="X151" s="520"/>
    </row>
    <row r="152" spans="1:24" s="222" customFormat="1" ht="14.25">
      <c r="A152" s="296" t="s">
        <v>140</v>
      </c>
      <c r="B152" s="296"/>
      <c r="C152" s="297"/>
      <c r="D152" s="522">
        <f t="shared" ref="D152:X152" si="21">SUM(D144,D150)</f>
        <v>0</v>
      </c>
      <c r="E152" s="522">
        <f t="shared" si="21"/>
        <v>357416.66666666663</v>
      </c>
      <c r="F152" s="522">
        <f t="shared" si="21"/>
        <v>872654.34615384613</v>
      </c>
      <c r="G152" s="522">
        <f t="shared" si="21"/>
        <v>891230.86107692309</v>
      </c>
      <c r="H152" s="522">
        <f t="shared" si="21"/>
        <v>909055.47829846141</v>
      </c>
      <c r="I152" s="522">
        <f t="shared" si="21"/>
        <v>927236.58786443074</v>
      </c>
      <c r="J152" s="522">
        <f t="shared" si="21"/>
        <v>974125.19841691933</v>
      </c>
      <c r="K152" s="522">
        <f t="shared" si="21"/>
        <v>989070.7835948898</v>
      </c>
      <c r="L152" s="522">
        <f t="shared" si="21"/>
        <v>1008852.1992667876</v>
      </c>
      <c r="M152" s="522">
        <f t="shared" si="21"/>
        <v>1029029.2432521235</v>
      </c>
      <c r="N152" s="522">
        <f t="shared" si="21"/>
        <v>1049609.8281171657</v>
      </c>
      <c r="O152" s="522">
        <f t="shared" si="21"/>
        <v>1074992.5274695118</v>
      </c>
      <c r="P152" s="522">
        <f t="shared" si="21"/>
        <v>1092014.0651730995</v>
      </c>
      <c r="Q152" s="522">
        <f t="shared" si="21"/>
        <v>1113854.3464765614</v>
      </c>
      <c r="R152" s="522">
        <f t="shared" si="21"/>
        <v>1136131.4334060927</v>
      </c>
      <c r="S152" s="522">
        <f t="shared" si="21"/>
        <v>1158854.0620742145</v>
      </c>
      <c r="T152" s="522">
        <f t="shared" si="21"/>
        <v>1186358.2091465369</v>
      </c>
      <c r="U152" s="522">
        <f t="shared" si="21"/>
        <v>1205671.7661820129</v>
      </c>
      <c r="V152" s="522">
        <f t="shared" si="21"/>
        <v>1229785.2015056531</v>
      </c>
      <c r="W152" s="522">
        <f t="shared" si="21"/>
        <v>1254380.9055357664</v>
      </c>
      <c r="X152" s="522">
        <f t="shared" si="21"/>
        <v>1279468.5236464816</v>
      </c>
    </row>
    <row r="153" spans="1:24">
      <c r="A153" s="92"/>
      <c r="B153" s="92"/>
      <c r="C153" s="69"/>
      <c r="D153" s="514"/>
      <c r="E153" s="515"/>
      <c r="F153" s="515"/>
      <c r="G153" s="515"/>
      <c r="H153" s="515"/>
      <c r="I153" s="515"/>
      <c r="J153" s="515"/>
      <c r="K153" s="515"/>
      <c r="L153" s="515"/>
      <c r="M153" s="515"/>
      <c r="N153" s="515"/>
      <c r="O153" s="515"/>
      <c r="P153" s="515"/>
      <c r="Q153" s="515"/>
      <c r="R153" s="515"/>
      <c r="S153" s="515"/>
      <c r="T153" s="515"/>
      <c r="U153" s="515"/>
      <c r="V153" s="515"/>
      <c r="W153" s="515"/>
      <c r="X153" s="515"/>
    </row>
    <row r="154" spans="1:24" s="33" customFormat="1">
      <c r="A154" s="47" t="s">
        <v>7</v>
      </c>
      <c r="B154" s="47" t="s">
        <v>7</v>
      </c>
      <c r="C154" s="78" t="s">
        <v>7</v>
      </c>
      <c r="D154" s="604" t="s">
        <v>7</v>
      </c>
      <c r="E154" s="78" t="s">
        <v>7</v>
      </c>
      <c r="F154" s="78" t="s">
        <v>7</v>
      </c>
      <c r="G154" s="78" t="s">
        <v>7</v>
      </c>
      <c r="H154" s="78" t="s">
        <v>7</v>
      </c>
      <c r="I154" s="78" t="s">
        <v>7</v>
      </c>
      <c r="J154" s="78" t="s">
        <v>7</v>
      </c>
      <c r="K154" s="78" t="s">
        <v>7</v>
      </c>
      <c r="L154" s="78" t="s">
        <v>7</v>
      </c>
      <c r="M154" s="78" t="s">
        <v>7</v>
      </c>
      <c r="N154" s="78" t="s">
        <v>7</v>
      </c>
      <c r="O154" s="78" t="s">
        <v>7</v>
      </c>
      <c r="P154" s="78" t="s">
        <v>7</v>
      </c>
      <c r="Q154" s="78" t="s">
        <v>7</v>
      </c>
      <c r="R154" s="78" t="s">
        <v>7</v>
      </c>
      <c r="S154" s="78" t="s">
        <v>7</v>
      </c>
      <c r="T154" s="78" t="s">
        <v>7</v>
      </c>
      <c r="U154" s="78" t="s">
        <v>7</v>
      </c>
      <c r="V154" s="78" t="s">
        <v>7</v>
      </c>
      <c r="W154" s="78" t="s">
        <v>7</v>
      </c>
      <c r="X154" s="78" t="s">
        <v>7</v>
      </c>
    </row>
    <row r="155" spans="1:24">
      <c r="A155" s="92"/>
      <c r="B155" s="92"/>
      <c r="C155" s="69"/>
      <c r="D155" s="518"/>
      <c r="E155" s="515"/>
      <c r="F155" s="515"/>
      <c r="G155" s="515"/>
      <c r="H155" s="515"/>
      <c r="I155" s="515"/>
      <c r="J155" s="515"/>
      <c r="K155" s="515"/>
      <c r="L155" s="515"/>
      <c r="M155" s="515"/>
      <c r="N155" s="515"/>
      <c r="O155" s="515"/>
      <c r="P155" s="515"/>
      <c r="Q155" s="515"/>
      <c r="R155" s="515"/>
      <c r="S155" s="515"/>
      <c r="T155" s="515"/>
      <c r="U155" s="515"/>
      <c r="V155" s="515"/>
      <c r="W155" s="515"/>
      <c r="X155" s="515"/>
    </row>
    <row r="156" spans="1:24" s="16" customFormat="1" ht="14.25">
      <c r="A156" s="278" t="s">
        <v>116</v>
      </c>
      <c r="B156" s="263"/>
      <c r="C156" s="263"/>
      <c r="D156" s="518">
        <f>D119-(D136+D142)</f>
        <v>0</v>
      </c>
      <c r="E156" s="520">
        <f>E119-E152</f>
        <v>-299391.66666666663</v>
      </c>
      <c r="F156" s="520">
        <f t="shared" ref="F156:X156" si="22">F119-F152</f>
        <v>99707.891310394276</v>
      </c>
      <c r="G156" s="520">
        <f t="shared" si="22"/>
        <v>217311.02113660239</v>
      </c>
      <c r="H156" s="520">
        <f t="shared" si="22"/>
        <v>219437.24155933422</v>
      </c>
      <c r="I156" s="520">
        <f t="shared" si="22"/>
        <v>221605.98639052093</v>
      </c>
      <c r="J156" s="520">
        <f t="shared" si="22"/>
        <v>442389.72732313105</v>
      </c>
      <c r="K156" s="520">
        <f t="shared" si="22"/>
        <v>448616.13065996207</v>
      </c>
      <c r="L156" s="520">
        <f t="shared" si="22"/>
        <v>450430.14327316103</v>
      </c>
      <c r="M156" s="520">
        <f t="shared" si="22"/>
        <v>452280.43613862433</v>
      </c>
      <c r="N156" s="520">
        <f t="shared" si="22"/>
        <v>454167.73486139718</v>
      </c>
      <c r="O156" s="520">
        <f t="shared" si="22"/>
        <v>514018.65176862222</v>
      </c>
      <c r="P156" s="520">
        <f t="shared" si="22"/>
        <v>520372.70014979737</v>
      </c>
      <c r="Q156" s="520">
        <f t="shared" si="22"/>
        <v>522375.51665279316</v>
      </c>
      <c r="R156" s="520">
        <f t="shared" si="22"/>
        <v>524418.38948584907</v>
      </c>
      <c r="S156" s="520">
        <f t="shared" si="22"/>
        <v>526502.11977556627</v>
      </c>
      <c r="T156" s="520">
        <f t="shared" si="22"/>
        <v>586716.83384023933</v>
      </c>
      <c r="U156" s="520">
        <f t="shared" si="22"/>
        <v>593211.81266449904</v>
      </c>
      <c r="V156" s="520">
        <f t="shared" si="22"/>
        <v>595423.08391778893</v>
      </c>
      <c r="W156" s="520">
        <f t="shared" si="22"/>
        <v>597678.58059614478</v>
      </c>
      <c r="X156" s="520">
        <f t="shared" si="22"/>
        <v>599979.18720806786</v>
      </c>
    </row>
    <row r="157" spans="1:24">
      <c r="A157" s="30"/>
      <c r="B157" s="92"/>
      <c r="C157" s="69"/>
      <c r="D157" s="514"/>
      <c r="E157" s="515"/>
      <c r="F157" s="515"/>
      <c r="G157" s="515"/>
      <c r="H157" s="515"/>
      <c r="I157" s="515"/>
      <c r="J157" s="515"/>
      <c r="K157" s="515"/>
      <c r="L157" s="515"/>
      <c r="M157" s="515"/>
      <c r="N157" s="515"/>
      <c r="O157" s="515"/>
      <c r="P157" s="515"/>
      <c r="Q157" s="515"/>
      <c r="R157" s="515"/>
      <c r="S157" s="515"/>
      <c r="T157" s="515"/>
      <c r="U157" s="515"/>
      <c r="V157" s="515"/>
      <c r="W157" s="515"/>
      <c r="X157" s="515"/>
    </row>
    <row r="158" spans="1:24" s="594" customFormat="1">
      <c r="A158" s="589" t="s">
        <v>125</v>
      </c>
      <c r="B158" s="590"/>
      <c r="C158" s="591"/>
      <c r="D158" s="592">
        <v>0</v>
      </c>
      <c r="E158" s="593">
        <v>0</v>
      </c>
      <c r="F158" s="593">
        <v>0</v>
      </c>
      <c r="G158" s="593">
        <v>0</v>
      </c>
      <c r="H158" s="593">
        <v>0</v>
      </c>
      <c r="I158" s="593">
        <v>0</v>
      </c>
      <c r="J158" s="593">
        <v>0</v>
      </c>
      <c r="K158" s="593">
        <v>0</v>
      </c>
      <c r="L158" s="593">
        <v>0</v>
      </c>
      <c r="M158" s="593">
        <v>0</v>
      </c>
      <c r="N158" s="593">
        <v>0</v>
      </c>
      <c r="O158" s="593">
        <v>0</v>
      </c>
      <c r="P158" s="593">
        <v>0</v>
      </c>
      <c r="Q158" s="593">
        <v>0</v>
      </c>
      <c r="R158" s="593">
        <v>0</v>
      </c>
      <c r="S158" s="593">
        <v>0</v>
      </c>
      <c r="T158" s="593">
        <v>0</v>
      </c>
      <c r="U158" s="593">
        <v>0</v>
      </c>
      <c r="V158" s="593">
        <v>0</v>
      </c>
      <c r="W158" s="593">
        <v>0</v>
      </c>
      <c r="X158" s="593">
        <v>0</v>
      </c>
    </row>
    <row r="159" spans="1:24">
      <c r="A159" s="92"/>
      <c r="B159" s="92"/>
      <c r="C159" s="69"/>
      <c r="D159" s="514"/>
      <c r="E159" s="515"/>
      <c r="F159" s="515"/>
      <c r="G159" s="515"/>
      <c r="H159" s="515"/>
      <c r="I159" s="515"/>
      <c r="J159" s="515"/>
      <c r="K159" s="515"/>
      <c r="L159" s="515"/>
      <c r="M159" s="515"/>
      <c r="N159" s="515"/>
      <c r="O159" s="515"/>
      <c r="P159" s="515"/>
      <c r="Q159" s="515"/>
      <c r="R159" s="515"/>
      <c r="S159" s="515"/>
      <c r="T159" s="515"/>
      <c r="U159" s="515"/>
      <c r="V159" s="515"/>
      <c r="W159" s="515"/>
      <c r="X159" s="515"/>
    </row>
    <row r="160" spans="1:24" s="16" customFormat="1" ht="14.25">
      <c r="A160" s="278" t="s">
        <v>117</v>
      </c>
      <c r="B160" s="278"/>
      <c r="C160" s="263"/>
      <c r="D160" s="518">
        <v>0</v>
      </c>
      <c r="E160" s="520">
        <f>E156-E158</f>
        <v>-299391.66666666663</v>
      </c>
      <c r="F160" s="520">
        <f t="shared" ref="F160:X160" si="23">F156-F158</f>
        <v>99707.891310394276</v>
      </c>
      <c r="G160" s="520">
        <f t="shared" si="23"/>
        <v>217311.02113660239</v>
      </c>
      <c r="H160" s="520">
        <f t="shared" si="23"/>
        <v>219437.24155933422</v>
      </c>
      <c r="I160" s="520">
        <f t="shared" si="23"/>
        <v>221605.98639052093</v>
      </c>
      <c r="J160" s="520">
        <f t="shared" si="23"/>
        <v>442389.72732313105</v>
      </c>
      <c r="K160" s="520">
        <f t="shared" si="23"/>
        <v>448616.13065996207</v>
      </c>
      <c r="L160" s="520">
        <f t="shared" si="23"/>
        <v>450430.14327316103</v>
      </c>
      <c r="M160" s="520">
        <f t="shared" si="23"/>
        <v>452280.43613862433</v>
      </c>
      <c r="N160" s="520">
        <f t="shared" si="23"/>
        <v>454167.73486139718</v>
      </c>
      <c r="O160" s="520">
        <f t="shared" si="23"/>
        <v>514018.65176862222</v>
      </c>
      <c r="P160" s="520">
        <f t="shared" si="23"/>
        <v>520372.70014979737</v>
      </c>
      <c r="Q160" s="520">
        <f t="shared" si="23"/>
        <v>522375.51665279316</v>
      </c>
      <c r="R160" s="520">
        <f t="shared" si="23"/>
        <v>524418.38948584907</v>
      </c>
      <c r="S160" s="520">
        <f t="shared" si="23"/>
        <v>526502.11977556627</v>
      </c>
      <c r="T160" s="520">
        <f t="shared" si="23"/>
        <v>586716.83384023933</v>
      </c>
      <c r="U160" s="520">
        <f t="shared" si="23"/>
        <v>593211.81266449904</v>
      </c>
      <c r="V160" s="520">
        <f t="shared" si="23"/>
        <v>595423.08391778893</v>
      </c>
      <c r="W160" s="520">
        <f t="shared" si="23"/>
        <v>597678.58059614478</v>
      </c>
      <c r="X160" s="520">
        <f t="shared" si="23"/>
        <v>599979.18720806786</v>
      </c>
    </row>
    <row r="161" spans="1:24">
      <c r="A161" s="92"/>
      <c r="B161" s="92"/>
      <c r="C161" s="69"/>
      <c r="D161" s="514"/>
      <c r="E161" s="515"/>
      <c r="F161" s="515"/>
      <c r="G161" s="515"/>
      <c r="H161" s="515"/>
      <c r="I161" s="515"/>
      <c r="J161" s="515"/>
      <c r="K161" s="515"/>
      <c r="L161" s="515"/>
      <c r="M161" s="515"/>
      <c r="N161" s="515"/>
      <c r="O161" s="515"/>
      <c r="P161" s="515"/>
      <c r="Q161" s="515"/>
      <c r="R161" s="515"/>
      <c r="S161" s="515"/>
      <c r="T161" s="515"/>
      <c r="U161" s="515"/>
      <c r="V161" s="515"/>
      <c r="W161" s="515"/>
      <c r="X161" s="515"/>
    </row>
    <row r="162" spans="1:24">
      <c r="A162" s="271" t="s">
        <v>126</v>
      </c>
      <c r="B162" s="272"/>
      <c r="C162" s="273"/>
      <c r="D162" s="523"/>
      <c r="E162" s="523"/>
      <c r="F162" s="523"/>
      <c r="G162" s="523"/>
      <c r="H162" s="523"/>
      <c r="I162" s="523"/>
      <c r="J162" s="523"/>
      <c r="K162" s="523"/>
      <c r="L162" s="523"/>
      <c r="M162" s="523"/>
      <c r="N162" s="523"/>
      <c r="O162" s="523"/>
      <c r="P162" s="523"/>
      <c r="Q162" s="523"/>
      <c r="R162" s="523"/>
      <c r="S162" s="523"/>
      <c r="T162" s="523"/>
      <c r="U162" s="523"/>
      <c r="V162" s="523"/>
      <c r="W162" s="523"/>
      <c r="X162" s="523"/>
    </row>
    <row r="163" spans="1:24" s="32" customFormat="1">
      <c r="A163" s="280"/>
      <c r="B163" s="91"/>
      <c r="C163" s="69"/>
      <c r="D163" s="514"/>
      <c r="E163" s="515"/>
      <c r="F163" s="515"/>
      <c r="G163" s="515"/>
      <c r="H163" s="515"/>
      <c r="I163" s="515"/>
      <c r="J163" s="515"/>
      <c r="K163" s="515"/>
      <c r="L163" s="515"/>
      <c r="M163" s="515"/>
      <c r="N163" s="515"/>
      <c r="O163" s="515"/>
      <c r="P163" s="515"/>
      <c r="Q163" s="515"/>
      <c r="R163" s="515"/>
      <c r="S163" s="515"/>
      <c r="T163" s="515"/>
      <c r="U163" s="515"/>
      <c r="V163" s="515"/>
      <c r="W163" s="515"/>
      <c r="X163" s="515"/>
    </row>
    <row r="164" spans="1:24" s="96" customFormat="1">
      <c r="A164" s="885" t="s">
        <v>136</v>
      </c>
      <c r="B164" s="719"/>
      <c r="C164" s="69"/>
      <c r="D164" s="514">
        <v>0</v>
      </c>
      <c r="E164" s="515">
        <f>'OPEX - Concept B2 - NCLH'!L169</f>
        <v>0</v>
      </c>
      <c r="F164" s="515">
        <f>'OPEX - Concept B2 - NCLH'!M169</f>
        <v>49995</v>
      </c>
      <c r="G164" s="515">
        <f>'OPEX - Concept B2 - NCLH'!N169</f>
        <v>50994.9</v>
      </c>
      <c r="H164" s="515">
        <f>'OPEX - Concept B2 - NCLH'!O169</f>
        <v>52014.798000000003</v>
      </c>
      <c r="I164" s="515">
        <f>'OPEX - Concept B2 - NCLH'!P169</f>
        <v>53055.093959999998</v>
      </c>
      <c r="J164" s="515">
        <f>'OPEX - Concept B2 - NCLH'!Q169</f>
        <v>54116.195839200002</v>
      </c>
      <c r="K164" s="515">
        <f>'OPEX - Concept B2 - NCLH'!R169</f>
        <v>55198.519755984002</v>
      </c>
      <c r="L164" s="515">
        <f>'OPEX - Concept B2 - NCLH'!S169</f>
        <v>56302.490151103681</v>
      </c>
      <c r="M164" s="515">
        <f>'OPEX - Concept B2 - NCLH'!T169</f>
        <v>57428.539954125758</v>
      </c>
      <c r="N164" s="515">
        <f>'OPEX - Concept B2 - NCLH'!U169</f>
        <v>58577.110753208275</v>
      </c>
      <c r="O164" s="515">
        <f>'OPEX - Concept B2 - NCLH'!V169</f>
        <v>59748.652968272443</v>
      </c>
      <c r="P164" s="515">
        <f>'OPEX - Concept B2 - NCLH'!W169</f>
        <v>60943.626027637896</v>
      </c>
      <c r="Q164" s="515">
        <f>'OPEX - Concept B2 - NCLH'!X169</f>
        <v>62162.498548190648</v>
      </c>
      <c r="R164" s="515">
        <f>'OPEX - Concept B2 - NCLH'!Y169</f>
        <v>63405.748519154462</v>
      </c>
      <c r="S164" s="515">
        <f>'OPEX - Concept B2 - NCLH'!Z169</f>
        <v>64673.863489537544</v>
      </c>
      <c r="T164" s="515">
        <f>'OPEX - Concept B2 - NCLH'!AA169</f>
        <v>65967.340759328305</v>
      </c>
      <c r="U164" s="515">
        <f>'OPEX - Concept B2 - NCLH'!AB169</f>
        <v>67286.687574514872</v>
      </c>
      <c r="V164" s="515">
        <f>'OPEX - Concept B2 - NCLH'!AC169</f>
        <v>68632.421326005177</v>
      </c>
      <c r="W164" s="515">
        <f>'OPEX - Concept B2 - NCLH'!AD169</f>
        <v>70005.069752525276</v>
      </c>
      <c r="X164" s="515">
        <f>'OPEX - Concept B2 - NCLH'!AE169</f>
        <v>71405.171147575791</v>
      </c>
    </row>
    <row r="165" spans="1:24" s="96" customFormat="1">
      <c r="A165" s="885" t="s">
        <v>458</v>
      </c>
      <c r="B165" s="719"/>
      <c r="C165" s="69"/>
      <c r="D165" s="514">
        <v>0</v>
      </c>
      <c r="E165" s="515">
        <f>'OPEX - Concept B2 - NCLH'!L171</f>
        <v>591295.19999999995</v>
      </c>
      <c r="F165" s="515">
        <f>'OPEX - Concept B2 - NCLH'!M171</f>
        <v>591295.19999999995</v>
      </c>
      <c r="G165" s="515">
        <f>'OPEX - Concept B2 - NCLH'!N171</f>
        <v>591295.19999999995</v>
      </c>
      <c r="H165" s="515">
        <f>'OPEX - Concept B2 - NCLH'!O171</f>
        <v>591295.19999999995</v>
      </c>
      <c r="I165" s="515">
        <f>'OPEX - Concept B2 - NCLH'!P171</f>
        <v>591295.19999999995</v>
      </c>
      <c r="J165" s="515">
        <f>'OPEX - Concept B2 - NCLH'!Q171</f>
        <v>591295.19999999995</v>
      </c>
      <c r="K165" s="515">
        <f>'OPEX - Concept B2 - NCLH'!R171</f>
        <v>591295.19999999995</v>
      </c>
      <c r="L165" s="515">
        <f>'OPEX - Concept B2 - NCLH'!S171</f>
        <v>591295.19999999995</v>
      </c>
      <c r="M165" s="515">
        <f>'OPEX - Concept B2 - NCLH'!T171</f>
        <v>591295.19999999995</v>
      </c>
      <c r="N165" s="515">
        <f>'OPEX - Concept B2 - NCLH'!U171</f>
        <v>591295.19999999995</v>
      </c>
      <c r="O165" s="515">
        <f>'OPEX - Concept B2 - NCLH'!V171</f>
        <v>591295.19999999995</v>
      </c>
      <c r="P165" s="515">
        <f>'OPEX - Concept B2 - NCLH'!W171</f>
        <v>591295.19999999995</v>
      </c>
      <c r="Q165" s="515">
        <f>'OPEX - Concept B2 - NCLH'!X171</f>
        <v>591295.19999999995</v>
      </c>
      <c r="R165" s="515">
        <f>'OPEX - Concept B2 - NCLH'!Y171</f>
        <v>591295.19999999995</v>
      </c>
      <c r="S165" s="515">
        <f>'OPEX - Concept B2 - NCLH'!Z171</f>
        <v>591295.19999999995</v>
      </c>
      <c r="T165" s="515">
        <f>'OPEX - Concept B2 - NCLH'!AA171</f>
        <v>591295.19999999995</v>
      </c>
      <c r="U165" s="515">
        <f>'OPEX - Concept B2 - NCLH'!AB171</f>
        <v>591295.19999999995</v>
      </c>
      <c r="V165" s="515">
        <f>'OPEX - Concept B2 - NCLH'!AC171</f>
        <v>591295.19999999995</v>
      </c>
      <c r="W165" s="515">
        <f>'OPEX - Concept B2 - NCLH'!AD171</f>
        <v>591295.19999999995</v>
      </c>
      <c r="X165" s="515">
        <f>'OPEX - Concept B2 - NCLH'!AE171</f>
        <v>591295.19999999995</v>
      </c>
    </row>
    <row r="166" spans="1:24" s="341" customFormat="1">
      <c r="A166" s="696" t="s">
        <v>315</v>
      </c>
      <c r="B166" s="697"/>
      <c r="C166" s="698"/>
      <c r="D166" s="699">
        <v>0</v>
      </c>
      <c r="E166" s="700">
        <v>0</v>
      </c>
      <c r="F166" s="700">
        <v>0</v>
      </c>
      <c r="G166" s="700">
        <v>0</v>
      </c>
      <c r="H166" s="700">
        <v>0</v>
      </c>
      <c r="I166" s="700">
        <v>0</v>
      </c>
      <c r="J166" s="700">
        <v>0</v>
      </c>
      <c r="K166" s="700">
        <v>0</v>
      </c>
      <c r="L166" s="700">
        <v>0</v>
      </c>
      <c r="M166" s="700">
        <v>0</v>
      </c>
      <c r="N166" s="700">
        <v>0</v>
      </c>
      <c r="O166" s="700">
        <v>0</v>
      </c>
      <c r="P166" s="700">
        <v>0</v>
      </c>
      <c r="Q166" s="700">
        <v>0</v>
      </c>
      <c r="R166" s="700">
        <v>0</v>
      </c>
      <c r="S166" s="700">
        <v>0</v>
      </c>
      <c r="T166" s="700">
        <v>0</v>
      </c>
      <c r="U166" s="700">
        <v>0</v>
      </c>
      <c r="V166" s="700">
        <v>0</v>
      </c>
      <c r="W166" s="700">
        <v>0</v>
      </c>
      <c r="X166" s="700">
        <v>0</v>
      </c>
    </row>
    <row r="167" spans="1:24" s="32" customFormat="1">
      <c r="A167" s="93" t="s">
        <v>316</v>
      </c>
      <c r="B167" s="298"/>
      <c r="C167" s="298"/>
      <c r="D167" s="505">
        <v>0</v>
      </c>
      <c r="E167" s="506">
        <v>246000</v>
      </c>
      <c r="F167" s="506">
        <v>246000</v>
      </c>
      <c r="G167" s="506">
        <v>246000</v>
      </c>
      <c r="H167" s="506">
        <v>246000</v>
      </c>
      <c r="I167" s="506">
        <v>246000</v>
      </c>
      <c r="J167" s="506">
        <v>246000</v>
      </c>
      <c r="K167" s="506">
        <v>246000</v>
      </c>
      <c r="L167" s="506">
        <v>246000</v>
      </c>
      <c r="M167" s="506">
        <v>246000</v>
      </c>
      <c r="N167" s="506">
        <v>246000</v>
      </c>
      <c r="O167" s="506">
        <v>246000</v>
      </c>
      <c r="P167" s="506">
        <v>246000</v>
      </c>
      <c r="Q167" s="506">
        <v>246000</v>
      </c>
      <c r="R167" s="506">
        <v>246000</v>
      </c>
      <c r="S167" s="506">
        <v>246000</v>
      </c>
      <c r="T167" s="506">
        <v>246000</v>
      </c>
      <c r="U167" s="506">
        <v>246000</v>
      </c>
      <c r="V167" s="506">
        <v>246000</v>
      </c>
      <c r="W167" s="506">
        <v>246000</v>
      </c>
      <c r="X167" s="506">
        <v>246000</v>
      </c>
    </row>
    <row r="168" spans="1:24" s="222" customFormat="1" ht="14.25">
      <c r="A168" s="263" t="s">
        <v>134</v>
      </c>
      <c r="B168" s="264"/>
      <c r="C168" s="264"/>
      <c r="D168" s="524">
        <f>SUM(D164:D167)</f>
        <v>0</v>
      </c>
      <c r="E168" s="525">
        <f t="shared" ref="E168:X168" si="24">SUM(E164:E167)</f>
        <v>837295.2</v>
      </c>
      <c r="F168" s="525">
        <f t="shared" si="24"/>
        <v>887290.2</v>
      </c>
      <c r="G168" s="525">
        <f t="shared" si="24"/>
        <v>888290.1</v>
      </c>
      <c r="H168" s="525">
        <f t="shared" si="24"/>
        <v>889309.99799999991</v>
      </c>
      <c r="I168" s="525">
        <f t="shared" si="24"/>
        <v>890350.29395999992</v>
      </c>
      <c r="J168" s="525">
        <f t="shared" si="24"/>
        <v>891411.39583920001</v>
      </c>
      <c r="K168" s="525">
        <f t="shared" si="24"/>
        <v>892493.71975598391</v>
      </c>
      <c r="L168" s="525">
        <f t="shared" si="24"/>
        <v>893597.69015110366</v>
      </c>
      <c r="M168" s="525">
        <f t="shared" si="24"/>
        <v>894723.73995412572</v>
      </c>
      <c r="N168" s="525">
        <f t="shared" si="24"/>
        <v>895872.31075320824</v>
      </c>
      <c r="O168" s="525">
        <f t="shared" si="24"/>
        <v>897043.8529682724</v>
      </c>
      <c r="P168" s="525">
        <f t="shared" si="24"/>
        <v>898238.82602763781</v>
      </c>
      <c r="Q168" s="525">
        <f t="shared" si="24"/>
        <v>899457.69854819064</v>
      </c>
      <c r="R168" s="525">
        <f t="shared" si="24"/>
        <v>900700.94851915445</v>
      </c>
      <c r="S168" s="525">
        <f t="shared" si="24"/>
        <v>901969.06348953745</v>
      </c>
      <c r="T168" s="525">
        <f t="shared" si="24"/>
        <v>903262.54075932829</v>
      </c>
      <c r="U168" s="525">
        <f t="shared" si="24"/>
        <v>904581.88757451484</v>
      </c>
      <c r="V168" s="525">
        <f t="shared" si="24"/>
        <v>905927.62132600509</v>
      </c>
      <c r="W168" s="525">
        <f t="shared" si="24"/>
        <v>907300.26975252526</v>
      </c>
      <c r="X168" s="525">
        <f t="shared" si="24"/>
        <v>908700.37114757579</v>
      </c>
    </row>
    <row r="169" spans="1:24" s="32" customFormat="1">
      <c r="A169" s="69"/>
      <c r="B169" s="90"/>
      <c r="C169" s="90"/>
      <c r="D169" s="526"/>
      <c r="E169" s="527"/>
      <c r="F169" s="527"/>
      <c r="G169" s="527"/>
      <c r="H169" s="527"/>
      <c r="I169" s="527"/>
      <c r="J169" s="527"/>
      <c r="K169" s="527"/>
      <c r="L169" s="527"/>
      <c r="M169" s="527"/>
      <c r="N169" s="527"/>
      <c r="O169" s="527"/>
      <c r="P169" s="527"/>
      <c r="Q169" s="527"/>
      <c r="R169" s="527"/>
      <c r="S169" s="527"/>
      <c r="T169" s="527"/>
      <c r="U169" s="527"/>
      <c r="V169" s="527"/>
      <c r="W169" s="527"/>
      <c r="X169" s="527"/>
    </row>
    <row r="170" spans="1:24" s="32" customFormat="1">
      <c r="A170" s="94" t="s">
        <v>137</v>
      </c>
      <c r="C170" s="69"/>
      <c r="D170" s="514">
        <v>0</v>
      </c>
      <c r="E170" s="515">
        <f>E160-E164</f>
        <v>-299391.66666666663</v>
      </c>
      <c r="F170" s="515">
        <f t="shared" ref="F170:X170" si="25">F156-F164</f>
        <v>49712.891310394276</v>
      </c>
      <c r="G170" s="515">
        <f t="shared" si="25"/>
        <v>166316.12113660239</v>
      </c>
      <c r="H170" s="515">
        <f t="shared" si="25"/>
        <v>167422.44355933421</v>
      </c>
      <c r="I170" s="515">
        <f t="shared" si="25"/>
        <v>168550.89243052094</v>
      </c>
      <c r="J170" s="515">
        <f t="shared" si="25"/>
        <v>388273.53148393106</v>
      </c>
      <c r="K170" s="515">
        <f t="shared" si="25"/>
        <v>393417.61090397806</v>
      </c>
      <c r="L170" s="515">
        <f t="shared" si="25"/>
        <v>394127.65312205732</v>
      </c>
      <c r="M170" s="515">
        <f t="shared" si="25"/>
        <v>394851.89618449856</v>
      </c>
      <c r="N170" s="515">
        <f t="shared" si="25"/>
        <v>395590.6241081889</v>
      </c>
      <c r="O170" s="515">
        <f t="shared" si="25"/>
        <v>454269.99880034977</v>
      </c>
      <c r="P170" s="515">
        <f t="shared" si="25"/>
        <v>459429.07412215945</v>
      </c>
      <c r="Q170" s="515">
        <f t="shared" si="25"/>
        <v>460213.01810460252</v>
      </c>
      <c r="R170" s="515">
        <f t="shared" si="25"/>
        <v>461012.64096669463</v>
      </c>
      <c r="S170" s="515">
        <f t="shared" si="25"/>
        <v>461828.25628602871</v>
      </c>
      <c r="T170" s="515">
        <f t="shared" si="25"/>
        <v>520749.49308091099</v>
      </c>
      <c r="U170" s="515">
        <f t="shared" si="25"/>
        <v>525925.12508998415</v>
      </c>
      <c r="V170" s="515">
        <f t="shared" si="25"/>
        <v>526790.6625917838</v>
      </c>
      <c r="W170" s="515">
        <f t="shared" si="25"/>
        <v>527673.51084361947</v>
      </c>
      <c r="X170" s="515">
        <f t="shared" si="25"/>
        <v>528574.01606049202</v>
      </c>
    </row>
    <row r="171" spans="1:24" ht="16.5" customHeight="1">
      <c r="A171" s="88" t="s">
        <v>128</v>
      </c>
      <c r="B171" s="98"/>
      <c r="C171" s="98"/>
      <c r="D171" s="528">
        <v>0</v>
      </c>
      <c r="E171" s="529">
        <f>E160-E168</f>
        <v>-1136686.8666666667</v>
      </c>
      <c r="F171" s="529">
        <f t="shared" ref="F171:X171" si="26">F160-F168</f>
        <v>-787582.30868960568</v>
      </c>
      <c r="G171" s="529">
        <f t="shared" si="26"/>
        <v>-670979.07886339759</v>
      </c>
      <c r="H171" s="529">
        <f t="shared" si="26"/>
        <v>-669872.75644066569</v>
      </c>
      <c r="I171" s="529">
        <f t="shared" si="26"/>
        <v>-668744.30756947899</v>
      </c>
      <c r="J171" s="529">
        <f t="shared" si="26"/>
        <v>-449021.66851606895</v>
      </c>
      <c r="K171" s="529">
        <f t="shared" si="26"/>
        <v>-443877.58909602184</v>
      </c>
      <c r="L171" s="529">
        <f t="shared" si="26"/>
        <v>-443167.54687794263</v>
      </c>
      <c r="M171" s="529">
        <f t="shared" si="26"/>
        <v>-442443.30381550139</v>
      </c>
      <c r="N171" s="529">
        <f t="shared" si="26"/>
        <v>-441704.57589181105</v>
      </c>
      <c r="O171" s="529">
        <f t="shared" si="26"/>
        <v>-383025.20119965018</v>
      </c>
      <c r="P171" s="529">
        <f t="shared" si="26"/>
        <v>-377866.12587784044</v>
      </c>
      <c r="Q171" s="529">
        <f t="shared" si="26"/>
        <v>-377082.18189539749</v>
      </c>
      <c r="R171" s="529">
        <f t="shared" si="26"/>
        <v>-376282.55903330538</v>
      </c>
      <c r="S171" s="529">
        <f t="shared" si="26"/>
        <v>-375466.94371397118</v>
      </c>
      <c r="T171" s="529">
        <f t="shared" si="26"/>
        <v>-316545.70691908896</v>
      </c>
      <c r="U171" s="529">
        <f t="shared" si="26"/>
        <v>-311370.0749100158</v>
      </c>
      <c r="V171" s="529">
        <f t="shared" si="26"/>
        <v>-310504.53740821616</v>
      </c>
      <c r="W171" s="529">
        <f t="shared" si="26"/>
        <v>-309621.68915638048</v>
      </c>
      <c r="X171" s="529">
        <f t="shared" si="26"/>
        <v>-308721.18393950793</v>
      </c>
    </row>
    <row r="172" spans="1:24" ht="16.5" customHeight="1">
      <c r="A172" s="88"/>
      <c r="B172" s="88"/>
      <c r="C172" s="88"/>
      <c r="D172" s="526"/>
      <c r="E172" s="527"/>
      <c r="F172" s="527"/>
      <c r="G172" s="527"/>
      <c r="H172" s="527"/>
      <c r="I172" s="527"/>
      <c r="J172" s="527"/>
      <c r="K172" s="527"/>
      <c r="L172" s="527"/>
      <c r="M172" s="527"/>
      <c r="N172" s="527"/>
      <c r="O172" s="527"/>
      <c r="P172" s="527"/>
      <c r="Q172" s="527"/>
      <c r="R172" s="527"/>
      <c r="S172" s="527"/>
      <c r="T172" s="527"/>
      <c r="U172" s="527"/>
      <c r="V172" s="527"/>
      <c r="W172" s="527"/>
      <c r="X172" s="527"/>
    </row>
    <row r="173" spans="1:24" ht="16.5" customHeight="1">
      <c r="A173" s="88" t="s">
        <v>129</v>
      </c>
      <c r="B173" s="632">
        <f>NPV(Cost_of_Money__DPC,E160:X160)</f>
        <v>8287251.5220458303</v>
      </c>
      <c r="C173" s="88"/>
      <c r="D173" s="526"/>
      <c r="E173" s="527"/>
      <c r="F173" s="527"/>
      <c r="G173" s="527"/>
      <c r="H173" s="527"/>
      <c r="I173" s="527"/>
      <c r="J173" s="527"/>
      <c r="K173" s="527"/>
      <c r="L173" s="527"/>
      <c r="M173" s="527"/>
      <c r="N173" s="527"/>
      <c r="O173" s="527"/>
      <c r="P173" s="527"/>
      <c r="Q173" s="527"/>
      <c r="R173" s="527"/>
      <c r="S173" s="527"/>
      <c r="T173" s="527"/>
      <c r="U173" s="527"/>
      <c r="V173" s="527"/>
      <c r="W173" s="527"/>
      <c r="X173" s="527"/>
    </row>
    <row r="174" spans="1:24" ht="16.5" customHeight="1">
      <c r="A174" s="300" t="s">
        <v>130</v>
      </c>
      <c r="B174" s="733">
        <f>SUM(E171:X171)</f>
        <v>-9600566.2064805347</v>
      </c>
      <c r="C174" s="301"/>
      <c r="D174" s="530">
        <v>0</v>
      </c>
      <c r="E174" s="530">
        <f>E160-E168</f>
        <v>-1136686.8666666667</v>
      </c>
      <c r="F174" s="530">
        <f t="shared" ref="F174:X174" si="27">F160-F168</f>
        <v>-787582.30868960568</v>
      </c>
      <c r="G174" s="530">
        <f t="shared" si="27"/>
        <v>-670979.07886339759</v>
      </c>
      <c r="H174" s="530">
        <f t="shared" si="27"/>
        <v>-669872.75644066569</v>
      </c>
      <c r="I174" s="530">
        <f t="shared" si="27"/>
        <v>-668744.30756947899</v>
      </c>
      <c r="J174" s="530">
        <f t="shared" si="27"/>
        <v>-449021.66851606895</v>
      </c>
      <c r="K174" s="530">
        <f t="shared" si="27"/>
        <v>-443877.58909602184</v>
      </c>
      <c r="L174" s="530">
        <f t="shared" si="27"/>
        <v>-443167.54687794263</v>
      </c>
      <c r="M174" s="530">
        <f t="shared" si="27"/>
        <v>-442443.30381550139</v>
      </c>
      <c r="N174" s="530">
        <f t="shared" si="27"/>
        <v>-441704.57589181105</v>
      </c>
      <c r="O174" s="530">
        <f t="shared" si="27"/>
        <v>-383025.20119965018</v>
      </c>
      <c r="P174" s="530">
        <f t="shared" si="27"/>
        <v>-377866.12587784044</v>
      </c>
      <c r="Q174" s="530">
        <f t="shared" si="27"/>
        <v>-377082.18189539749</v>
      </c>
      <c r="R174" s="530">
        <f t="shared" si="27"/>
        <v>-376282.55903330538</v>
      </c>
      <c r="S174" s="530">
        <f t="shared" si="27"/>
        <v>-375466.94371397118</v>
      </c>
      <c r="T174" s="530">
        <f t="shared" si="27"/>
        <v>-316545.70691908896</v>
      </c>
      <c r="U174" s="530">
        <f t="shared" si="27"/>
        <v>-311370.0749100158</v>
      </c>
      <c r="V174" s="530">
        <f t="shared" si="27"/>
        <v>-310504.53740821616</v>
      </c>
      <c r="W174" s="530">
        <f t="shared" si="27"/>
        <v>-309621.68915638048</v>
      </c>
      <c r="X174" s="530">
        <f t="shared" si="27"/>
        <v>-308721.18393950793</v>
      </c>
    </row>
    <row r="175" spans="1:24" s="58" customFormat="1" ht="16.5" customHeight="1">
      <c r="A175" s="90" t="s">
        <v>32</v>
      </c>
      <c r="B175" s="358" t="e">
        <f>IRR(E174:X174)</f>
        <v>#NUM!</v>
      </c>
      <c r="C175" s="356"/>
      <c r="D175" s="502"/>
      <c r="E175" s="504"/>
      <c r="F175" s="504"/>
      <c r="G175" s="504"/>
      <c r="H175" s="504"/>
      <c r="I175" s="504"/>
      <c r="J175" s="504"/>
      <c r="K175" s="504"/>
      <c r="L175" s="504"/>
      <c r="M175" s="504"/>
      <c r="N175" s="504"/>
      <c r="O175" s="504"/>
      <c r="P175" s="504"/>
      <c r="Q175" s="504"/>
      <c r="R175" s="504"/>
      <c r="S175" s="504"/>
      <c r="T175" s="504"/>
      <c r="U175" s="504"/>
      <c r="V175" s="504"/>
      <c r="W175" s="504"/>
      <c r="X175" s="504"/>
    </row>
    <row r="176" spans="1:24">
      <c r="A176" s="30"/>
      <c r="B176" s="30"/>
      <c r="C176" s="30"/>
      <c r="D176" s="502"/>
      <c r="E176" s="512"/>
      <c r="F176" s="512"/>
      <c r="G176" s="512"/>
      <c r="H176" s="512"/>
      <c r="I176" s="512"/>
      <c r="J176" s="512"/>
      <c r="K176" s="512"/>
      <c r="L176" s="512"/>
      <c r="M176" s="512"/>
      <c r="N176" s="512"/>
      <c r="O176" s="512"/>
      <c r="P176" s="512"/>
      <c r="Q176" s="512"/>
      <c r="R176" s="512"/>
      <c r="S176" s="512"/>
      <c r="T176" s="512"/>
      <c r="U176" s="512"/>
      <c r="V176" s="512"/>
      <c r="W176" s="512"/>
      <c r="X176" s="512"/>
    </row>
    <row r="177" spans="1:24">
      <c r="A177" s="274" t="s">
        <v>28</v>
      </c>
      <c r="B177" s="275"/>
      <c r="C177" s="275"/>
      <c r="D177" s="531"/>
      <c r="E177" s="531"/>
      <c r="F177" s="531"/>
      <c r="G177" s="531"/>
      <c r="H177" s="531"/>
      <c r="I177" s="531"/>
      <c r="J177" s="531"/>
      <c r="K177" s="531"/>
      <c r="L177" s="531"/>
      <c r="M177" s="531"/>
      <c r="N177" s="531"/>
      <c r="O177" s="531"/>
      <c r="P177" s="531"/>
      <c r="Q177" s="531"/>
      <c r="R177" s="531"/>
      <c r="S177" s="531"/>
      <c r="T177" s="531"/>
      <c r="U177" s="531"/>
      <c r="V177" s="531"/>
      <c r="W177" s="531"/>
      <c r="X177" s="531"/>
    </row>
    <row r="178" spans="1:24">
      <c r="A178" s="30"/>
      <c r="B178" s="30"/>
      <c r="C178" s="30"/>
      <c r="D178" s="502"/>
      <c r="E178" s="512"/>
      <c r="F178" s="512"/>
      <c r="G178" s="512"/>
      <c r="H178" s="512"/>
      <c r="I178" s="512"/>
      <c r="J178" s="512"/>
      <c r="K178" s="512"/>
      <c r="L178" s="512"/>
      <c r="M178" s="512"/>
      <c r="N178" s="512"/>
      <c r="O178" s="512"/>
      <c r="P178" s="512"/>
      <c r="Q178" s="512"/>
      <c r="R178" s="512"/>
      <c r="S178" s="512"/>
      <c r="T178" s="512"/>
      <c r="U178" s="512"/>
      <c r="V178" s="512"/>
      <c r="W178" s="512"/>
      <c r="X178" s="512"/>
    </row>
    <row r="179" spans="1:24">
      <c r="A179" s="30" t="s">
        <v>300</v>
      </c>
      <c r="B179" s="30"/>
      <c r="C179" s="87"/>
      <c r="D179" s="502">
        <v>0</v>
      </c>
      <c r="E179" s="512"/>
      <c r="F179" s="512"/>
      <c r="G179" s="512"/>
      <c r="H179" s="512"/>
      <c r="I179" s="512"/>
      <c r="J179" s="512"/>
      <c r="K179" s="512"/>
      <c r="L179" s="512"/>
      <c r="M179" s="512"/>
      <c r="N179" s="512"/>
      <c r="O179" s="512"/>
      <c r="P179" s="512"/>
      <c r="Q179" s="512"/>
      <c r="R179" s="512"/>
      <c r="S179" s="512"/>
      <c r="T179" s="512"/>
      <c r="U179" s="512"/>
      <c r="V179" s="512"/>
      <c r="W179" s="512"/>
      <c r="X179" s="512"/>
    </row>
    <row r="180" spans="1:24">
      <c r="A180" s="30" t="s">
        <v>301</v>
      </c>
      <c r="B180" s="30"/>
      <c r="C180" s="30"/>
      <c r="D180" s="502">
        <v>0</v>
      </c>
      <c r="E180" s="512"/>
      <c r="F180" s="512"/>
      <c r="G180" s="512"/>
      <c r="H180" s="512"/>
      <c r="I180" s="512"/>
      <c r="J180" s="512"/>
      <c r="K180" s="512"/>
      <c r="L180" s="512"/>
      <c r="M180" s="512"/>
      <c r="N180" s="512"/>
      <c r="O180" s="512"/>
      <c r="P180" s="512"/>
      <c r="Q180" s="512"/>
      <c r="R180" s="512"/>
      <c r="S180" s="512"/>
      <c r="T180" s="512"/>
      <c r="U180" s="512"/>
      <c r="V180" s="512"/>
      <c r="W180" s="512"/>
      <c r="X180" s="512"/>
    </row>
    <row r="181" spans="1:24">
      <c r="A181" s="30"/>
      <c r="B181" s="30"/>
      <c r="C181" s="30"/>
      <c r="D181" s="502"/>
      <c r="E181" s="512"/>
      <c r="F181" s="512"/>
      <c r="G181" s="512"/>
      <c r="H181" s="512"/>
      <c r="I181" s="512"/>
      <c r="J181" s="512"/>
      <c r="K181" s="512"/>
      <c r="L181" s="512"/>
      <c r="M181" s="512"/>
      <c r="N181" s="512"/>
      <c r="O181" s="512"/>
      <c r="P181" s="512"/>
      <c r="Q181" s="512"/>
      <c r="R181" s="512"/>
      <c r="S181" s="512"/>
      <c r="T181" s="512"/>
      <c r="U181" s="512"/>
      <c r="V181" s="512"/>
      <c r="W181" s="512"/>
      <c r="X181" s="512"/>
    </row>
    <row r="182" spans="1:24">
      <c r="A182" s="30" t="s">
        <v>298</v>
      </c>
      <c r="B182" s="30"/>
      <c r="C182" s="30"/>
      <c r="D182" s="502">
        <v>0</v>
      </c>
      <c r="E182" s="512"/>
      <c r="F182" s="512"/>
      <c r="G182" s="512"/>
      <c r="H182" s="512"/>
      <c r="I182" s="512"/>
      <c r="J182" s="512"/>
      <c r="K182" s="512"/>
      <c r="L182" s="512"/>
      <c r="M182" s="512"/>
      <c r="N182" s="512"/>
      <c r="O182" s="512"/>
      <c r="P182" s="512"/>
      <c r="Q182" s="512"/>
      <c r="R182" s="512"/>
      <c r="S182" s="512"/>
      <c r="T182" s="512"/>
      <c r="U182" s="512"/>
      <c r="V182" s="512"/>
      <c r="W182" s="512"/>
      <c r="X182" s="512"/>
    </row>
    <row r="183" spans="1:24">
      <c r="A183" s="30" t="s">
        <v>299</v>
      </c>
      <c r="B183" s="30"/>
      <c r="C183" s="30"/>
      <c r="D183" s="502">
        <v>0</v>
      </c>
      <c r="E183" s="512"/>
      <c r="F183" s="512"/>
      <c r="G183" s="512"/>
      <c r="H183" s="512"/>
      <c r="I183" s="512"/>
      <c r="J183" s="512"/>
      <c r="K183" s="512"/>
      <c r="L183" s="512"/>
      <c r="M183" s="512"/>
      <c r="N183" s="512"/>
      <c r="O183" s="512"/>
      <c r="P183" s="512"/>
      <c r="Q183" s="512"/>
      <c r="R183" s="512"/>
      <c r="S183" s="512"/>
      <c r="T183" s="512"/>
      <c r="U183" s="512"/>
      <c r="V183" s="512"/>
      <c r="W183" s="512"/>
      <c r="X183" s="512"/>
    </row>
    <row r="184" spans="1:24">
      <c r="D184" s="502"/>
      <c r="E184" s="532"/>
      <c r="F184" s="532"/>
      <c r="G184" s="532"/>
      <c r="H184" s="532"/>
      <c r="I184" s="532"/>
      <c r="J184" s="532"/>
      <c r="K184" s="532"/>
      <c r="L184" s="532"/>
      <c r="M184" s="532"/>
      <c r="N184" s="532"/>
      <c r="O184" s="532"/>
      <c r="P184" s="532"/>
      <c r="Q184" s="532"/>
      <c r="R184" s="532"/>
      <c r="S184" s="532"/>
      <c r="T184" s="532"/>
      <c r="U184" s="532"/>
      <c r="V184" s="532"/>
      <c r="W184" s="532"/>
      <c r="X184" s="532"/>
    </row>
    <row r="185" spans="1:24">
      <c r="A185" s="131"/>
      <c r="B185" s="131"/>
      <c r="C185" s="131"/>
      <c r="D185" s="493"/>
      <c r="E185" s="334"/>
      <c r="F185" s="334"/>
      <c r="G185" s="334"/>
      <c r="H185" s="334"/>
      <c r="I185" s="334"/>
      <c r="J185" s="334"/>
      <c r="K185" s="334"/>
      <c r="L185" s="334"/>
      <c r="M185" s="334"/>
      <c r="N185" s="334"/>
      <c r="O185" s="334"/>
      <c r="P185" s="334"/>
      <c r="Q185" s="334"/>
      <c r="R185" s="334"/>
      <c r="S185" s="334"/>
      <c r="T185" s="334"/>
      <c r="U185" s="334"/>
      <c r="V185" s="334"/>
      <c r="W185" s="334"/>
      <c r="X185" s="334"/>
    </row>
    <row r="186" spans="1:24">
      <c r="D186" s="494"/>
      <c r="E186" s="327"/>
      <c r="F186" s="327"/>
      <c r="G186" s="327"/>
      <c r="H186" s="327"/>
      <c r="I186" s="327"/>
      <c r="J186" s="327"/>
      <c r="K186" s="327"/>
      <c r="L186" s="327"/>
      <c r="M186" s="327"/>
      <c r="N186" s="327"/>
      <c r="O186" s="327"/>
      <c r="P186" s="327"/>
      <c r="Q186" s="327"/>
      <c r="R186" s="327"/>
      <c r="S186" s="327"/>
      <c r="T186" s="327"/>
      <c r="U186" s="327"/>
      <c r="V186" s="327"/>
      <c r="W186" s="327"/>
      <c r="X186" s="327"/>
    </row>
    <row r="187" spans="1:24">
      <c r="A187"/>
      <c r="D187" s="494"/>
      <c r="E187" s="327"/>
      <c r="F187" s="327"/>
      <c r="G187" s="327"/>
      <c r="H187" s="327"/>
      <c r="I187" s="327"/>
      <c r="J187" s="327"/>
      <c r="K187" s="327"/>
      <c r="L187" s="327"/>
      <c r="M187" s="327"/>
      <c r="N187" s="327"/>
      <c r="O187" s="327"/>
      <c r="P187" s="327"/>
      <c r="Q187" s="327"/>
      <c r="R187" s="327"/>
      <c r="S187" s="327"/>
      <c r="T187" s="327"/>
      <c r="U187" s="327"/>
      <c r="V187" s="327"/>
      <c r="W187" s="327"/>
      <c r="X187" s="327"/>
    </row>
    <row r="188" spans="1:24">
      <c r="A188"/>
      <c r="D188" s="494"/>
      <c r="E188" s="327"/>
      <c r="F188" s="327"/>
      <c r="G188" s="327"/>
      <c r="H188" s="327"/>
      <c r="I188" s="327"/>
      <c r="J188" s="327"/>
      <c r="K188" s="327"/>
      <c r="L188" s="327"/>
      <c r="M188" s="327"/>
      <c r="N188" s="327"/>
      <c r="O188" s="327"/>
      <c r="P188" s="327"/>
      <c r="Q188" s="327"/>
      <c r="R188" s="327"/>
      <c r="S188" s="327"/>
      <c r="T188" s="327"/>
      <c r="U188" s="327"/>
      <c r="V188" s="327"/>
      <c r="W188" s="327"/>
      <c r="X188" s="327"/>
    </row>
    <row r="189" spans="1:24">
      <c r="D189" s="494"/>
      <c r="E189" s="327"/>
      <c r="F189" s="327"/>
      <c r="G189" s="327"/>
      <c r="H189" s="362"/>
      <c r="I189" s="327"/>
      <c r="J189" s="327"/>
      <c r="K189" s="327"/>
      <c r="L189" s="327"/>
      <c r="M189" s="327"/>
      <c r="N189" s="327"/>
      <c r="O189" s="327"/>
      <c r="P189" s="327"/>
      <c r="Q189" s="327"/>
      <c r="R189" s="327"/>
      <c r="S189" s="327"/>
      <c r="T189" s="327"/>
      <c r="U189" s="327"/>
      <c r="V189" s="327"/>
      <c r="W189" s="327"/>
      <c r="X189" s="327"/>
    </row>
    <row r="190" spans="1:24">
      <c r="D190" s="326"/>
      <c r="E190" s="327"/>
      <c r="F190" s="327"/>
      <c r="G190" s="327"/>
      <c r="H190" s="359"/>
      <c r="I190" s="327"/>
      <c r="J190" s="327"/>
      <c r="K190" s="327"/>
      <c r="L190" s="327"/>
      <c r="M190" s="327"/>
      <c r="N190" s="327"/>
      <c r="O190" s="327"/>
      <c r="P190" s="327"/>
      <c r="Q190" s="327"/>
      <c r="R190" s="327"/>
      <c r="S190" s="327"/>
      <c r="T190" s="327"/>
      <c r="U190" s="327"/>
      <c r="V190" s="327"/>
      <c r="W190" s="327"/>
      <c r="X190" s="327"/>
    </row>
    <row r="191" spans="1:24">
      <c r="H191" s="305"/>
    </row>
    <row r="192" spans="1:24">
      <c r="H192" s="30"/>
    </row>
    <row r="193" spans="8:8">
      <c r="H193" s="87"/>
    </row>
    <row r="195" spans="8:8">
      <c r="H195" s="360"/>
    </row>
    <row r="196" spans="8:8">
      <c r="H196" s="361"/>
    </row>
  </sheetData>
  <pageMargins left="0.7" right="0.7" top="0.75" bottom="0.75" header="0.3" footer="0.3"/>
  <pageSetup paperSize="9" scale="2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XFD196"/>
  <sheetViews>
    <sheetView topLeftCell="A73" zoomScale="62" zoomScaleNormal="62" workbookViewId="0">
      <selection activeCell="A117" sqref="A117:XFD117"/>
    </sheetView>
  </sheetViews>
  <sheetFormatPr defaultColWidth="9" defaultRowHeight="16.5"/>
  <cols>
    <col min="1" max="1" width="71.875" style="18" customWidth="1"/>
    <col min="2" max="2" width="17.625" style="18" bestFit="1" customWidth="1"/>
    <col min="3" max="3" width="8" style="18" bestFit="1" customWidth="1"/>
    <col min="4" max="4" width="8" style="262" bestFit="1" customWidth="1"/>
    <col min="5" max="5" width="16.875" style="18" bestFit="1" customWidth="1"/>
    <col min="6" max="8" width="17.25" style="18" bestFit="1" customWidth="1"/>
    <col min="9" max="9" width="17.625" style="18" bestFit="1" customWidth="1"/>
    <col min="10" max="12" width="17.25" style="18" bestFit="1" customWidth="1"/>
    <col min="13" max="13" width="17.625" style="18" bestFit="1" customWidth="1"/>
    <col min="14" max="14" width="17.25" style="18" bestFit="1" customWidth="1"/>
    <col min="15" max="15" width="17.625" style="18" bestFit="1" customWidth="1"/>
    <col min="16" max="16" width="17.25" style="18" bestFit="1" customWidth="1"/>
    <col min="17" max="17" width="17.625" style="18" bestFit="1" customWidth="1"/>
    <col min="18" max="18" width="16.875" style="18" bestFit="1" customWidth="1"/>
    <col min="19" max="19" width="17.625" style="18" bestFit="1" customWidth="1"/>
    <col min="20" max="20" width="17.25" style="18" bestFit="1" customWidth="1"/>
    <col min="21" max="21" width="17.625" style="18" bestFit="1" customWidth="1"/>
    <col min="22" max="23" width="17.25" style="18" bestFit="1" customWidth="1"/>
    <col min="24" max="24" width="17.625" style="18" bestFit="1" customWidth="1"/>
    <col min="25" max="25" width="22.625" style="18" bestFit="1" customWidth="1"/>
    <col min="26" max="16384" width="9" style="18"/>
  </cols>
  <sheetData>
    <row r="1" spans="1:25" ht="18.75" thickBot="1">
      <c r="A1" s="11" t="str">
        <f>Intro!A1</f>
        <v>Town of Bar Harbor</v>
      </c>
      <c r="B1" s="27"/>
      <c r="C1" s="17"/>
      <c r="D1" s="260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</row>
    <row r="2" spans="1:25" ht="17.25" thickBot="1">
      <c r="A2" s="380" t="str">
        <f>Intro!A2</f>
        <v>Ferry Property Business Plan</v>
      </c>
      <c r="B2" s="13"/>
      <c r="C2" s="17"/>
      <c r="D2" s="260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</row>
    <row r="3" spans="1:25" s="381" customFormat="1" ht="14.25" thickBot="1">
      <c r="A3" s="384" t="str">
        <f>Intro!A3</f>
        <v>05.23.2018</v>
      </c>
      <c r="B3" s="304"/>
      <c r="C3" s="387"/>
      <c r="D3" s="388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7"/>
      <c r="X3" s="387"/>
    </row>
    <row r="4" spans="1:25" s="381" customFormat="1" ht="13.5">
      <c r="A4" s="384" t="str">
        <f ca="1">Intro!A4</f>
        <v>Town of Bar Harbor</v>
      </c>
      <c r="B4" s="382"/>
      <c r="C4" s="383">
        <f ca="1">NOW()</f>
        <v>43242.835659143515</v>
      </c>
      <c r="D4" s="388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  <c r="Q4" s="387"/>
      <c r="R4" s="387"/>
      <c r="S4" s="387"/>
      <c r="T4" s="387"/>
      <c r="U4" s="387"/>
      <c r="V4" s="387"/>
      <c r="W4" s="387"/>
      <c r="X4" s="387"/>
    </row>
    <row r="5" spans="1:25">
      <c r="A5" s="244" t="s">
        <v>343</v>
      </c>
      <c r="B5" s="244"/>
      <c r="C5" s="245"/>
      <c r="D5" s="261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</row>
    <row r="6" spans="1:25">
      <c r="D6" s="485"/>
    </row>
    <row r="7" spans="1:25">
      <c r="A7" s="22"/>
      <c r="B7" s="71"/>
      <c r="C7" s="71"/>
      <c r="D7" s="72">
        <f>'Cruise Projections'!T7</f>
        <v>2018</v>
      </c>
      <c r="E7" s="72">
        <f>'Cruise Projections'!U7</f>
        <v>2019</v>
      </c>
      <c r="F7" s="72">
        <f>'Cruise Projections'!V7</f>
        <v>2020</v>
      </c>
      <c r="G7" s="72">
        <f>'Cruise Projections'!W7</f>
        <v>2021</v>
      </c>
      <c r="H7" s="72">
        <f>'Cruise Projections'!X7</f>
        <v>2022</v>
      </c>
      <c r="I7" s="72">
        <f>'Cruise Projections'!Y7</f>
        <v>2023</v>
      </c>
      <c r="J7" s="72">
        <f>'Cruise Projections'!Z7</f>
        <v>2024</v>
      </c>
      <c r="K7" s="72">
        <f>'Cruise Projections'!AA7</f>
        <v>2025</v>
      </c>
      <c r="L7" s="72">
        <f>'Cruise Projections'!AB7</f>
        <v>2026</v>
      </c>
      <c r="M7" s="72">
        <f>'Cruise Projections'!AC7</f>
        <v>2027</v>
      </c>
      <c r="N7" s="72">
        <f>'Cruise Projections'!AD7</f>
        <v>2028</v>
      </c>
      <c r="O7" s="72">
        <f>'Cruise Projections'!AE7</f>
        <v>2029</v>
      </c>
      <c r="P7" s="72">
        <f>'Cruise Projections'!AF7</f>
        <v>2030</v>
      </c>
      <c r="Q7" s="72">
        <f>'Cruise Projections'!AG7</f>
        <v>2031</v>
      </c>
      <c r="R7" s="72">
        <f>'Cruise Projections'!AH7</f>
        <v>2032</v>
      </c>
      <c r="S7" s="72">
        <f>'Cruise Projections'!AI7</f>
        <v>2033</v>
      </c>
      <c r="T7" s="72">
        <f>'Cruise Projections'!AJ7</f>
        <v>2034</v>
      </c>
      <c r="U7" s="72">
        <f>'Cruise Projections'!AK7</f>
        <v>2035</v>
      </c>
      <c r="V7" s="72">
        <f>'Cruise Projections'!AL7</f>
        <v>2036</v>
      </c>
      <c r="W7" s="72">
        <f>'Cruise Projections'!AM7</f>
        <v>2037</v>
      </c>
      <c r="X7" s="72">
        <f>'Cruise Projections'!AN7</f>
        <v>2038</v>
      </c>
    </row>
    <row r="8" spans="1:25" ht="17.25" thickBot="1">
      <c r="D8" s="488"/>
    </row>
    <row r="9" spans="1:25" ht="17.25" thickBot="1">
      <c r="A9" s="117" t="s">
        <v>34</v>
      </c>
      <c r="B9" s="484" t="str">
        <f>'Cruise Projections'!A95</f>
        <v>Scenario 6 - All</v>
      </c>
      <c r="D9" s="489"/>
      <c r="E9" s="327"/>
      <c r="F9" s="327"/>
      <c r="G9" s="327"/>
      <c r="H9" s="327"/>
      <c r="I9" s="327"/>
      <c r="J9" s="327"/>
      <c r="K9" s="327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</row>
    <row r="10" spans="1:25">
      <c r="D10" s="489"/>
      <c r="E10" s="327"/>
      <c r="F10" s="327"/>
      <c r="G10" s="327"/>
      <c r="H10" s="327"/>
      <c r="I10" s="327"/>
      <c r="J10" s="327"/>
      <c r="K10" s="327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</row>
    <row r="11" spans="1:25" s="279" customFormat="1" ht="14.25">
      <c r="A11" s="279" t="s">
        <v>83</v>
      </c>
      <c r="D11" s="490"/>
      <c r="E11" s="328"/>
      <c r="F11" s="328"/>
      <c r="G11" s="328"/>
      <c r="H11" s="328"/>
      <c r="I11" s="328"/>
      <c r="J11" s="328"/>
      <c r="K11" s="328"/>
      <c r="L11" s="328"/>
      <c r="M11" s="328"/>
      <c r="N11" s="328"/>
      <c r="O11" s="328"/>
      <c r="P11" s="328"/>
      <c r="Q11" s="328"/>
      <c r="R11" s="328"/>
      <c r="S11" s="328"/>
      <c r="T11" s="328"/>
      <c r="U11" s="328"/>
      <c r="V11" s="328"/>
      <c r="W11" s="328"/>
      <c r="X11" s="328"/>
    </row>
    <row r="12" spans="1:25">
      <c r="A12" s="53" t="str">
        <f>'Cruise Projections'!A67</f>
        <v>Passengers</v>
      </c>
      <c r="B12" s="21"/>
      <c r="C12" s="21"/>
      <c r="D12" s="486">
        <f>'Cruise Projections'!T67</f>
        <v>0</v>
      </c>
      <c r="E12" s="313">
        <v>0</v>
      </c>
      <c r="F12" s="313">
        <f>'Cruise Projections'!V97</f>
        <v>261573</v>
      </c>
      <c r="G12" s="313">
        <f>'Cruise Projections'!W97</f>
        <v>261573</v>
      </c>
      <c r="H12" s="313">
        <f>'Cruise Projections'!X97</f>
        <v>261573</v>
      </c>
      <c r="I12" s="313">
        <f>'Cruise Projections'!Y97</f>
        <v>261573</v>
      </c>
      <c r="J12" s="313">
        <f>'Cruise Projections'!Z97</f>
        <v>261573</v>
      </c>
      <c r="K12" s="313">
        <f>'Cruise Projections'!AA97</f>
        <v>261573</v>
      </c>
      <c r="L12" s="313">
        <f>'Cruise Projections'!AB97</f>
        <v>261573</v>
      </c>
      <c r="M12" s="313">
        <f>'Cruise Projections'!AC97</f>
        <v>261573</v>
      </c>
      <c r="N12" s="313">
        <f>'Cruise Projections'!AD97</f>
        <v>261573</v>
      </c>
      <c r="O12" s="313">
        <f>'Cruise Projections'!AE97</f>
        <v>261573</v>
      </c>
      <c r="P12" s="313">
        <f>'Cruise Projections'!AF97</f>
        <v>261573</v>
      </c>
      <c r="Q12" s="313">
        <f>'Cruise Projections'!AG97</f>
        <v>261573</v>
      </c>
      <c r="R12" s="313">
        <f>'Cruise Projections'!AH97</f>
        <v>261573</v>
      </c>
      <c r="S12" s="313">
        <f>'Cruise Projections'!AI97</f>
        <v>261573</v>
      </c>
      <c r="T12" s="313">
        <f>'Cruise Projections'!AJ97</f>
        <v>261573</v>
      </c>
      <c r="U12" s="313">
        <f>'Cruise Projections'!AK97</f>
        <v>261573</v>
      </c>
      <c r="V12" s="313">
        <f>'Cruise Projections'!AL97</f>
        <v>261573</v>
      </c>
      <c r="W12" s="313">
        <f>'Cruise Projections'!AM97</f>
        <v>261573</v>
      </c>
      <c r="X12" s="313">
        <f>'Cruise Projections'!AN97</f>
        <v>261573</v>
      </c>
      <c r="Y12" s="312"/>
    </row>
    <row r="13" spans="1:25">
      <c r="A13" s="53" t="str">
        <f>'Cruise Projections'!A68</f>
        <v>Calls</v>
      </c>
      <c r="B13" s="21"/>
      <c r="C13" s="21"/>
      <c r="D13" s="486">
        <f>'Cruise Projections'!T68</f>
        <v>0</v>
      </c>
      <c r="E13" s="313">
        <v>0</v>
      </c>
      <c r="F13" s="313">
        <f>'Cruise Projections'!V98</f>
        <v>172</v>
      </c>
      <c r="G13" s="313">
        <f>'Cruise Projections'!W98</f>
        <v>172</v>
      </c>
      <c r="H13" s="313">
        <f>'Cruise Projections'!X98</f>
        <v>172</v>
      </c>
      <c r="I13" s="313">
        <f>'Cruise Projections'!Y98</f>
        <v>172</v>
      </c>
      <c r="J13" s="313">
        <f>'Cruise Projections'!Z98</f>
        <v>172</v>
      </c>
      <c r="K13" s="313">
        <f>'Cruise Projections'!AA98</f>
        <v>172</v>
      </c>
      <c r="L13" s="313">
        <f>'Cruise Projections'!AB98</f>
        <v>172</v>
      </c>
      <c r="M13" s="313">
        <f>'Cruise Projections'!AC98</f>
        <v>172</v>
      </c>
      <c r="N13" s="313">
        <f>'Cruise Projections'!AD98</f>
        <v>172</v>
      </c>
      <c r="O13" s="313">
        <f>'Cruise Projections'!AE98</f>
        <v>172</v>
      </c>
      <c r="P13" s="313">
        <f>'Cruise Projections'!AF98</f>
        <v>172</v>
      </c>
      <c r="Q13" s="313">
        <f>'Cruise Projections'!AG98</f>
        <v>172</v>
      </c>
      <c r="R13" s="313">
        <f>'Cruise Projections'!AH98</f>
        <v>172</v>
      </c>
      <c r="S13" s="313">
        <f>'Cruise Projections'!AI98</f>
        <v>172</v>
      </c>
      <c r="T13" s="313">
        <f>'Cruise Projections'!AJ98</f>
        <v>172</v>
      </c>
      <c r="U13" s="313">
        <f>'Cruise Projections'!AK98</f>
        <v>172</v>
      </c>
      <c r="V13" s="313">
        <f>'Cruise Projections'!AL98</f>
        <v>172</v>
      </c>
      <c r="W13" s="313">
        <f>'Cruise Projections'!AM98</f>
        <v>172</v>
      </c>
      <c r="X13" s="313">
        <f>'Cruise Projections'!AN98</f>
        <v>172</v>
      </c>
      <c r="Y13" s="312"/>
    </row>
    <row r="14" spans="1:25">
      <c r="A14" s="53" t="str">
        <f>'Cruise Projections'!A69</f>
        <v>Passengers per Call</v>
      </c>
      <c r="B14" s="21"/>
      <c r="C14" s="21"/>
      <c r="D14" s="486">
        <f>'Cruise Projections'!T69</f>
        <v>0</v>
      </c>
      <c r="E14" s="313">
        <v>0</v>
      </c>
      <c r="F14" s="313">
        <f>'Cruise Projections'!V100</f>
        <v>1520.7732558139535</v>
      </c>
      <c r="G14" s="313">
        <f>'Cruise Projections'!W100</f>
        <v>1520.7732558139535</v>
      </c>
      <c r="H14" s="313">
        <f>'Cruise Projections'!X100</f>
        <v>1520.7732558139535</v>
      </c>
      <c r="I14" s="313">
        <f>'Cruise Projections'!Y100</f>
        <v>1520.7732558139535</v>
      </c>
      <c r="J14" s="313">
        <f>'Cruise Projections'!Z100</f>
        <v>1520.7732558139535</v>
      </c>
      <c r="K14" s="313">
        <f>'Cruise Projections'!AA100</f>
        <v>1520.7732558139535</v>
      </c>
      <c r="L14" s="313">
        <f>'Cruise Projections'!AB100</f>
        <v>1520.7732558139535</v>
      </c>
      <c r="M14" s="313">
        <f>'Cruise Projections'!AC100</f>
        <v>1520.7732558139535</v>
      </c>
      <c r="N14" s="313">
        <f>'Cruise Projections'!AD100</f>
        <v>1520.7732558139535</v>
      </c>
      <c r="O14" s="313">
        <f>'Cruise Projections'!AE100</f>
        <v>1520.7732558139535</v>
      </c>
      <c r="P14" s="313">
        <f>'Cruise Projections'!AF100</f>
        <v>1520.7732558139535</v>
      </c>
      <c r="Q14" s="313">
        <f>'Cruise Projections'!AG100</f>
        <v>1520.7732558139535</v>
      </c>
      <c r="R14" s="313">
        <f>'Cruise Projections'!AH100</f>
        <v>1520.7732558139535</v>
      </c>
      <c r="S14" s="313">
        <f>'Cruise Projections'!AI100</f>
        <v>1520.7732558139535</v>
      </c>
      <c r="T14" s="313">
        <f>'Cruise Projections'!AJ100</f>
        <v>1520.7732558139535</v>
      </c>
      <c r="U14" s="313">
        <f>'Cruise Projections'!AK100</f>
        <v>1520.7732558139535</v>
      </c>
      <c r="V14" s="313">
        <f>'Cruise Projections'!AL100</f>
        <v>1520.7732558139535</v>
      </c>
      <c r="W14" s="313">
        <f>'Cruise Projections'!AM100</f>
        <v>1520.7732558139535</v>
      </c>
      <c r="X14" s="313">
        <f>'Cruise Projections'!AN100</f>
        <v>1520.7732558139535</v>
      </c>
      <c r="Y14" s="312"/>
    </row>
    <row r="15" spans="1:25" s="96" customFormat="1">
      <c r="A15" s="54" t="s">
        <v>313</v>
      </c>
      <c r="B15" s="487"/>
      <c r="C15" s="487"/>
      <c r="D15" s="486">
        <f>'Cruise Projections'!T70</f>
        <v>0</v>
      </c>
      <c r="E15" s="313">
        <v>0</v>
      </c>
      <c r="F15" s="313">
        <f>'Shuttle Projections'!D24</f>
        <v>4120</v>
      </c>
      <c r="G15" s="313">
        <f>'Shuttle Projections'!E24</f>
        <v>4120</v>
      </c>
      <c r="H15" s="313">
        <f>'Shuttle Projections'!F24</f>
        <v>4120</v>
      </c>
      <c r="I15" s="313">
        <f>'Shuttle Projections'!G24</f>
        <v>4120</v>
      </c>
      <c r="J15" s="313">
        <f>'Shuttle Projections'!H24</f>
        <v>4120</v>
      </c>
      <c r="K15" s="313">
        <f>'Shuttle Projections'!I24</f>
        <v>4120</v>
      </c>
      <c r="L15" s="313">
        <f>'Shuttle Projections'!J24</f>
        <v>4120</v>
      </c>
      <c r="M15" s="313">
        <f>'Shuttle Projections'!K24</f>
        <v>4120</v>
      </c>
      <c r="N15" s="313">
        <f>'Shuttle Projections'!L24</f>
        <v>4120</v>
      </c>
      <c r="O15" s="313">
        <f>'Shuttle Projections'!M24</f>
        <v>4120</v>
      </c>
      <c r="P15" s="313">
        <f>'Shuttle Projections'!N24</f>
        <v>4120</v>
      </c>
      <c r="Q15" s="313">
        <f>'Shuttle Projections'!O24</f>
        <v>4120</v>
      </c>
      <c r="R15" s="313">
        <f>'Shuttle Projections'!P24</f>
        <v>4120</v>
      </c>
      <c r="S15" s="313">
        <f>'Shuttle Projections'!Q24</f>
        <v>4120</v>
      </c>
      <c r="T15" s="313">
        <f>'Shuttle Projections'!R24</f>
        <v>4120</v>
      </c>
      <c r="U15" s="313">
        <f>'Shuttle Projections'!S24</f>
        <v>4120</v>
      </c>
      <c r="V15" s="313">
        <f>'Shuttle Projections'!T24</f>
        <v>4120</v>
      </c>
      <c r="W15" s="313">
        <f>'Shuttle Projections'!U24</f>
        <v>4120</v>
      </c>
      <c r="X15" s="313">
        <f>'Shuttle Projections'!V24</f>
        <v>4120</v>
      </c>
      <c r="Y15" s="313"/>
    </row>
    <row r="16" spans="1:25">
      <c r="A16" s="54"/>
      <c r="B16" s="21"/>
      <c r="C16" s="21"/>
      <c r="D16" s="486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</row>
    <row r="17" spans="1:25" s="547" customFormat="1" ht="14.25">
      <c r="A17" s="549" t="s">
        <v>163</v>
      </c>
      <c r="B17" s="550"/>
      <c r="C17" s="550"/>
      <c r="D17" s="610"/>
      <c r="E17" s="551"/>
      <c r="F17" s="551"/>
      <c r="G17" s="551"/>
      <c r="H17" s="551"/>
      <c r="I17" s="551"/>
      <c r="J17" s="551"/>
      <c r="K17" s="551"/>
      <c r="L17" s="551"/>
      <c r="M17" s="551"/>
      <c r="N17" s="551"/>
      <c r="O17" s="551"/>
      <c r="P17" s="551"/>
      <c r="Q17" s="551"/>
      <c r="R17" s="551"/>
      <c r="S17" s="551"/>
      <c r="T17" s="551"/>
      <c r="U17" s="551"/>
      <c r="V17" s="551"/>
      <c r="W17" s="551"/>
      <c r="X17" s="551"/>
    </row>
    <row r="18" spans="1:25" s="341" customFormat="1">
      <c r="A18" s="552" t="str">
        <f>'International Ferry Projections'!A11</f>
        <v>Passengers</v>
      </c>
      <c r="B18" s="553"/>
      <c r="C18" s="553"/>
      <c r="D18" s="554">
        <f>'International Ferry Projections'!B11</f>
        <v>0</v>
      </c>
      <c r="E18" s="555">
        <f>'International Ferry Projections'!C11</f>
        <v>60000</v>
      </c>
      <c r="F18" s="555">
        <f>'International Ferry Projections'!D11</f>
        <v>70000</v>
      </c>
      <c r="G18" s="555">
        <f>'International Ferry Projections'!E11</f>
        <v>80000</v>
      </c>
      <c r="H18" s="555">
        <f>'International Ferry Projections'!F11</f>
        <v>80000</v>
      </c>
      <c r="I18" s="555">
        <f>'International Ferry Projections'!G11</f>
        <v>80000</v>
      </c>
      <c r="J18" s="555">
        <f>'International Ferry Projections'!H11</f>
        <v>80000</v>
      </c>
      <c r="K18" s="555">
        <f>'International Ferry Projections'!I11</f>
        <v>80000</v>
      </c>
      <c r="L18" s="555">
        <f>'International Ferry Projections'!J11</f>
        <v>80000</v>
      </c>
      <c r="M18" s="555">
        <f>'International Ferry Projections'!K11</f>
        <v>80000</v>
      </c>
      <c r="N18" s="555">
        <f>'International Ferry Projections'!L11</f>
        <v>80000</v>
      </c>
      <c r="O18" s="555">
        <f>'International Ferry Projections'!M11</f>
        <v>80000</v>
      </c>
      <c r="P18" s="555">
        <f>'International Ferry Projections'!N11</f>
        <v>80000</v>
      </c>
      <c r="Q18" s="555">
        <f>'International Ferry Projections'!O11</f>
        <v>80000</v>
      </c>
      <c r="R18" s="555">
        <f>'International Ferry Projections'!P11</f>
        <v>80000</v>
      </c>
      <c r="S18" s="555">
        <f>'International Ferry Projections'!Q11</f>
        <v>80000</v>
      </c>
      <c r="T18" s="555">
        <f>'International Ferry Projections'!R11</f>
        <v>80000</v>
      </c>
      <c r="U18" s="555">
        <f>'International Ferry Projections'!S11</f>
        <v>80000</v>
      </c>
      <c r="V18" s="555">
        <f>'International Ferry Projections'!T11</f>
        <v>80000</v>
      </c>
      <c r="W18" s="555">
        <f>'International Ferry Projections'!U11</f>
        <v>80000</v>
      </c>
      <c r="X18" s="555">
        <f>'International Ferry Projections'!V11</f>
        <v>80000</v>
      </c>
    </row>
    <row r="19" spans="1:25" s="341" customFormat="1">
      <c r="A19" s="552" t="str">
        <f>'International Ferry Projections'!A12</f>
        <v>Cars</v>
      </c>
      <c r="B19" s="553"/>
      <c r="C19" s="553"/>
      <c r="D19" s="554">
        <f>'International Ferry Projections'!B12</f>
        <v>0</v>
      </c>
      <c r="E19" s="555">
        <f>'International Ferry Projections'!C12</f>
        <v>24000</v>
      </c>
      <c r="F19" s="555">
        <f>'International Ferry Projections'!D12</f>
        <v>28000</v>
      </c>
      <c r="G19" s="555">
        <f>'International Ferry Projections'!E12</f>
        <v>32000</v>
      </c>
      <c r="H19" s="555">
        <f>'International Ferry Projections'!F12</f>
        <v>32000</v>
      </c>
      <c r="I19" s="555">
        <f>'International Ferry Projections'!G12</f>
        <v>32000</v>
      </c>
      <c r="J19" s="555">
        <f>'International Ferry Projections'!H12</f>
        <v>32000</v>
      </c>
      <c r="K19" s="555">
        <f>'International Ferry Projections'!I12</f>
        <v>32000</v>
      </c>
      <c r="L19" s="555">
        <f>'International Ferry Projections'!J12</f>
        <v>32000</v>
      </c>
      <c r="M19" s="555">
        <f>'International Ferry Projections'!K12</f>
        <v>32000</v>
      </c>
      <c r="N19" s="555">
        <f>'International Ferry Projections'!L12</f>
        <v>32000</v>
      </c>
      <c r="O19" s="555">
        <f>'International Ferry Projections'!M12</f>
        <v>32000</v>
      </c>
      <c r="P19" s="555">
        <f>'International Ferry Projections'!N12</f>
        <v>32000</v>
      </c>
      <c r="Q19" s="555">
        <f>'International Ferry Projections'!O12</f>
        <v>32000</v>
      </c>
      <c r="R19" s="555">
        <f>'International Ferry Projections'!P12</f>
        <v>32000</v>
      </c>
      <c r="S19" s="555">
        <f>'International Ferry Projections'!Q12</f>
        <v>32000</v>
      </c>
      <c r="T19" s="555">
        <f>'International Ferry Projections'!R12</f>
        <v>32000</v>
      </c>
      <c r="U19" s="555">
        <f>'International Ferry Projections'!S12</f>
        <v>32000</v>
      </c>
      <c r="V19" s="555">
        <f>'International Ferry Projections'!T12</f>
        <v>32000</v>
      </c>
      <c r="W19" s="555">
        <f>'International Ferry Projections'!U12</f>
        <v>32000</v>
      </c>
      <c r="X19" s="555">
        <f>'International Ferry Projections'!V12</f>
        <v>32000</v>
      </c>
    </row>
    <row r="20" spans="1:25" s="341" customFormat="1">
      <c r="A20" s="552" t="str">
        <f>'International Ferry Projections'!A13</f>
        <v>Buses</v>
      </c>
      <c r="B20" s="553"/>
      <c r="C20" s="553"/>
      <c r="D20" s="554">
        <f>'International Ferry Projections'!B13</f>
        <v>0</v>
      </c>
      <c r="E20" s="555">
        <f>'International Ferry Projections'!C13</f>
        <v>40</v>
      </c>
      <c r="F20" s="555">
        <f>'International Ferry Projections'!D13</f>
        <v>50</v>
      </c>
      <c r="G20" s="555">
        <f>'International Ferry Projections'!E13</f>
        <v>60</v>
      </c>
      <c r="H20" s="555">
        <f>'International Ferry Projections'!F13</f>
        <v>60</v>
      </c>
      <c r="I20" s="555">
        <f>'International Ferry Projections'!G13</f>
        <v>60</v>
      </c>
      <c r="J20" s="555">
        <f>'International Ferry Projections'!H13</f>
        <v>60</v>
      </c>
      <c r="K20" s="555">
        <f>'International Ferry Projections'!I13</f>
        <v>60</v>
      </c>
      <c r="L20" s="555">
        <f>'International Ferry Projections'!J13</f>
        <v>60</v>
      </c>
      <c r="M20" s="555">
        <f>'International Ferry Projections'!K13</f>
        <v>60</v>
      </c>
      <c r="N20" s="555">
        <f>'International Ferry Projections'!L13</f>
        <v>60</v>
      </c>
      <c r="O20" s="555">
        <f>'International Ferry Projections'!M13</f>
        <v>60</v>
      </c>
      <c r="P20" s="555">
        <f>'International Ferry Projections'!N13</f>
        <v>60</v>
      </c>
      <c r="Q20" s="555">
        <f>'International Ferry Projections'!O13</f>
        <v>60</v>
      </c>
      <c r="R20" s="555">
        <f>'International Ferry Projections'!P13</f>
        <v>60</v>
      </c>
      <c r="S20" s="555">
        <f>'International Ferry Projections'!Q13</f>
        <v>60</v>
      </c>
      <c r="T20" s="555">
        <f>'International Ferry Projections'!R13</f>
        <v>60</v>
      </c>
      <c r="U20" s="555">
        <f>'International Ferry Projections'!S13</f>
        <v>60</v>
      </c>
      <c r="V20" s="555">
        <f>'International Ferry Projections'!T13</f>
        <v>60</v>
      </c>
      <c r="W20" s="555">
        <f>'International Ferry Projections'!U13</f>
        <v>60</v>
      </c>
      <c r="X20" s="555">
        <f>'International Ferry Projections'!V13</f>
        <v>60</v>
      </c>
    </row>
    <row r="21" spans="1:25">
      <c r="A21" s="54"/>
      <c r="B21" s="21"/>
      <c r="C21" s="21"/>
      <c r="D21" s="486"/>
      <c r="E21" s="313"/>
      <c r="F21" s="313"/>
      <c r="G21" s="313"/>
      <c r="H21" s="313"/>
      <c r="I21" s="313"/>
      <c r="J21" s="313"/>
      <c r="K21" s="313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</row>
    <row r="22" spans="1:25" s="582" customFormat="1">
      <c r="A22" s="293" t="str">
        <f>'BH Tariffs'!A30</f>
        <v>Local Ferry</v>
      </c>
      <c r="B22" s="581"/>
      <c r="C22" s="581"/>
      <c r="D22" s="486">
        <v>0</v>
      </c>
      <c r="E22" s="329"/>
      <c r="F22" s="329"/>
      <c r="G22" s="329"/>
      <c r="H22" s="329"/>
      <c r="I22" s="329"/>
      <c r="J22" s="329"/>
      <c r="K22" s="329"/>
      <c r="L22" s="329"/>
      <c r="M22" s="329"/>
      <c r="N22" s="329"/>
      <c r="O22" s="329"/>
      <c r="P22" s="329"/>
      <c r="Q22" s="329"/>
      <c r="R22" s="329"/>
      <c r="S22" s="329"/>
      <c r="T22" s="329"/>
      <c r="U22" s="329"/>
      <c r="V22" s="329"/>
      <c r="W22" s="329"/>
      <c r="X22" s="329"/>
    </row>
    <row r="23" spans="1:25" s="96" customFormat="1">
      <c r="A23" s="54" t="str">
        <f>'BH Tariffs'!A31</f>
        <v>Dock Rent (6 Months Only)</v>
      </c>
      <c r="B23" s="487"/>
      <c r="C23" s="487"/>
      <c r="D23" s="486">
        <v>0</v>
      </c>
      <c r="E23" s="623" t="s">
        <v>286</v>
      </c>
      <c r="F23" s="623" t="s">
        <v>286</v>
      </c>
      <c r="G23" s="623" t="s">
        <v>286</v>
      </c>
      <c r="H23" s="623" t="s">
        <v>286</v>
      </c>
      <c r="I23" s="623" t="s">
        <v>286</v>
      </c>
      <c r="J23" s="623" t="s">
        <v>286</v>
      </c>
      <c r="K23" s="623" t="s">
        <v>286</v>
      </c>
      <c r="L23" s="623" t="s">
        <v>286</v>
      </c>
      <c r="M23" s="623" t="s">
        <v>286</v>
      </c>
      <c r="N23" s="623" t="s">
        <v>286</v>
      </c>
      <c r="O23" s="623" t="s">
        <v>286</v>
      </c>
      <c r="P23" s="623" t="s">
        <v>286</v>
      </c>
      <c r="Q23" s="623" t="s">
        <v>286</v>
      </c>
      <c r="R23" s="623" t="s">
        <v>286</v>
      </c>
      <c r="S23" s="623" t="s">
        <v>286</v>
      </c>
      <c r="T23" s="623" t="s">
        <v>286</v>
      </c>
      <c r="U23" s="623" t="s">
        <v>286</v>
      </c>
      <c r="V23" s="623" t="s">
        <v>286</v>
      </c>
      <c r="W23" s="623" t="s">
        <v>286</v>
      </c>
      <c r="X23" s="623" t="s">
        <v>286</v>
      </c>
    </row>
    <row r="24" spans="1:25" s="341" customFormat="1">
      <c r="A24" s="552"/>
      <c r="B24" s="553"/>
      <c r="C24" s="553"/>
      <c r="D24" s="554"/>
      <c r="E24" s="555"/>
      <c r="F24" s="555"/>
      <c r="G24" s="555"/>
      <c r="H24" s="555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</row>
    <row r="25" spans="1:25" s="96" customFormat="1">
      <c r="A25" s="559" t="s">
        <v>227</v>
      </c>
      <c r="B25" s="487"/>
      <c r="C25" s="487"/>
      <c r="D25" s="486"/>
      <c r="E25" s="313"/>
      <c r="F25" s="313"/>
      <c r="G25" s="313"/>
      <c r="H25" s="313"/>
      <c r="I25" s="313"/>
      <c r="J25" s="313"/>
      <c r="K25" s="313"/>
      <c r="L25" s="313"/>
      <c r="M25" s="313"/>
      <c r="N25" s="313"/>
      <c r="O25" s="313"/>
      <c r="P25" s="313"/>
      <c r="Q25" s="313"/>
      <c r="R25" s="313"/>
      <c r="S25" s="313"/>
      <c r="T25" s="313"/>
      <c r="U25" s="313"/>
      <c r="V25" s="313"/>
      <c r="W25" s="313"/>
      <c r="X25" s="313"/>
    </row>
    <row r="26" spans="1:25">
      <c r="A26" s="54"/>
      <c r="B26" s="21"/>
      <c r="C26" s="21"/>
      <c r="D26" s="486"/>
      <c r="E26" s="313"/>
      <c r="F26" s="313"/>
      <c r="G26" s="313"/>
      <c r="H26" s="313"/>
      <c r="I26" s="313"/>
      <c r="J26" s="313"/>
      <c r="K26" s="313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</row>
    <row r="27" spans="1:25">
      <c r="A27" s="54" t="s">
        <v>420</v>
      </c>
      <c r="B27" s="21"/>
      <c r="C27" s="21"/>
      <c r="D27" s="486">
        <v>0</v>
      </c>
      <c r="E27" s="313">
        <f>'Marina Projections'!C9</f>
        <v>0</v>
      </c>
      <c r="F27" s="313">
        <f>'Marina Projections'!D9</f>
        <v>214</v>
      </c>
      <c r="G27" s="313">
        <f>'Marina Projections'!E9</f>
        <v>214</v>
      </c>
      <c r="H27" s="313">
        <f>'Marina Projections'!F9</f>
        <v>214</v>
      </c>
      <c r="I27" s="313">
        <f>'Marina Projections'!G9</f>
        <v>214</v>
      </c>
      <c r="J27" s="313">
        <f>'Marina Projections'!H9</f>
        <v>214</v>
      </c>
      <c r="K27" s="313">
        <f>'Marina Projections'!I9</f>
        <v>214</v>
      </c>
      <c r="L27" s="313">
        <f>'Marina Projections'!J9</f>
        <v>214</v>
      </c>
      <c r="M27" s="313">
        <f>'Marina Projections'!K9</f>
        <v>214</v>
      </c>
      <c r="N27" s="313">
        <f>'Marina Projections'!L9</f>
        <v>214</v>
      </c>
      <c r="O27" s="313">
        <f>'Marina Projections'!M9</f>
        <v>214</v>
      </c>
      <c r="P27" s="313">
        <f>'Marina Projections'!N9</f>
        <v>214</v>
      </c>
      <c r="Q27" s="313">
        <f>'Marina Projections'!O9</f>
        <v>214</v>
      </c>
      <c r="R27" s="313">
        <f>'Marina Projections'!P9</f>
        <v>214</v>
      </c>
      <c r="S27" s="313">
        <f>'Marina Projections'!Q9</f>
        <v>214</v>
      </c>
      <c r="T27" s="313">
        <f>'Marina Projections'!R9</f>
        <v>214</v>
      </c>
      <c r="U27" s="313">
        <f>'Marina Projections'!S9</f>
        <v>214</v>
      </c>
      <c r="V27" s="313">
        <f>'Marina Projections'!T9</f>
        <v>214</v>
      </c>
      <c r="W27" s="313">
        <f>'Marina Projections'!U9</f>
        <v>214</v>
      </c>
      <c r="X27" s="313">
        <f>'Marina Projections'!V9</f>
        <v>214</v>
      </c>
    </row>
    <row r="28" spans="1:25">
      <c r="A28" s="54" t="s">
        <v>205</v>
      </c>
      <c r="B28" s="21"/>
      <c r="C28" s="21"/>
      <c r="D28" s="486">
        <v>0</v>
      </c>
      <c r="E28" s="330">
        <v>0</v>
      </c>
      <c r="F28" s="330">
        <f>'Cruise Projections'!V99</f>
        <v>106</v>
      </c>
      <c r="G28" s="330">
        <f>'Cruise Projections'!W99</f>
        <v>106</v>
      </c>
      <c r="H28" s="330">
        <f>'Cruise Projections'!X99</f>
        <v>106</v>
      </c>
      <c r="I28" s="330">
        <f>'Cruise Projections'!Y99</f>
        <v>106</v>
      </c>
      <c r="J28" s="330">
        <f>'Cruise Projections'!Z99</f>
        <v>106</v>
      </c>
      <c r="K28" s="330">
        <f>'Cruise Projections'!AA99</f>
        <v>106</v>
      </c>
      <c r="L28" s="330">
        <f>'Cruise Projections'!AB99</f>
        <v>106</v>
      </c>
      <c r="M28" s="330">
        <f>'Cruise Projections'!AC99</f>
        <v>106</v>
      </c>
      <c r="N28" s="330">
        <f>'Cruise Projections'!AD99</f>
        <v>106</v>
      </c>
      <c r="O28" s="330">
        <f>'Cruise Projections'!AE99</f>
        <v>106</v>
      </c>
      <c r="P28" s="330">
        <f>'Cruise Projections'!AF99</f>
        <v>106</v>
      </c>
      <c r="Q28" s="330">
        <f>'Cruise Projections'!AG99</f>
        <v>106</v>
      </c>
      <c r="R28" s="330">
        <f>'Cruise Projections'!AH99</f>
        <v>106</v>
      </c>
      <c r="S28" s="330">
        <f>'Cruise Projections'!AI99</f>
        <v>106</v>
      </c>
      <c r="T28" s="330">
        <f>'Cruise Projections'!AJ99</f>
        <v>106</v>
      </c>
      <c r="U28" s="330">
        <f>'Cruise Projections'!AK99</f>
        <v>106</v>
      </c>
      <c r="V28" s="330">
        <f>'Cruise Projections'!AL99</f>
        <v>106</v>
      </c>
      <c r="W28" s="330">
        <f>'Cruise Projections'!AM99</f>
        <v>106</v>
      </c>
      <c r="X28" s="330">
        <f>'Cruise Projections'!AN99</f>
        <v>106</v>
      </c>
      <c r="Y28" s="32"/>
    </row>
    <row r="29" spans="1:25" s="341" customFormat="1">
      <c r="A29" s="552" t="s">
        <v>219</v>
      </c>
      <c r="B29" s="553"/>
      <c r="C29" s="553"/>
      <c r="D29" s="554">
        <v>0</v>
      </c>
      <c r="E29" s="560">
        <v>150</v>
      </c>
      <c r="F29" s="560">
        <f>E29</f>
        <v>150</v>
      </c>
      <c r="G29" s="560">
        <f t="shared" ref="G29:X29" si="0">F29</f>
        <v>150</v>
      </c>
      <c r="H29" s="560">
        <f t="shared" si="0"/>
        <v>150</v>
      </c>
      <c r="I29" s="560">
        <f t="shared" si="0"/>
        <v>150</v>
      </c>
      <c r="J29" s="560">
        <f t="shared" si="0"/>
        <v>150</v>
      </c>
      <c r="K29" s="560">
        <f t="shared" si="0"/>
        <v>150</v>
      </c>
      <c r="L29" s="560">
        <f t="shared" si="0"/>
        <v>150</v>
      </c>
      <c r="M29" s="560">
        <f t="shared" si="0"/>
        <v>150</v>
      </c>
      <c r="N29" s="560">
        <f t="shared" si="0"/>
        <v>150</v>
      </c>
      <c r="O29" s="560">
        <f t="shared" si="0"/>
        <v>150</v>
      </c>
      <c r="P29" s="560">
        <f t="shared" si="0"/>
        <v>150</v>
      </c>
      <c r="Q29" s="560">
        <f t="shared" si="0"/>
        <v>150</v>
      </c>
      <c r="R29" s="560">
        <f t="shared" si="0"/>
        <v>150</v>
      </c>
      <c r="S29" s="560">
        <f t="shared" si="0"/>
        <v>150</v>
      </c>
      <c r="T29" s="560">
        <f t="shared" si="0"/>
        <v>150</v>
      </c>
      <c r="U29" s="560">
        <f t="shared" si="0"/>
        <v>150</v>
      </c>
      <c r="V29" s="560">
        <f t="shared" si="0"/>
        <v>150</v>
      </c>
      <c r="W29" s="560">
        <f t="shared" si="0"/>
        <v>150</v>
      </c>
      <c r="X29" s="560">
        <f t="shared" si="0"/>
        <v>150</v>
      </c>
      <c r="Y29" s="561"/>
    </row>
    <row r="30" spans="1:25" s="341" customFormat="1">
      <c r="A30" s="552" t="s">
        <v>220</v>
      </c>
      <c r="B30" s="553"/>
      <c r="C30" s="553"/>
      <c r="D30" s="554">
        <v>0</v>
      </c>
      <c r="E30" s="611">
        <f>E28/E29</f>
        <v>0</v>
      </c>
      <c r="F30" s="611">
        <f t="shared" ref="F30:X30" si="1">F28/F29</f>
        <v>0.70666666666666667</v>
      </c>
      <c r="G30" s="611">
        <f t="shared" si="1"/>
        <v>0.70666666666666667</v>
      </c>
      <c r="H30" s="611">
        <f t="shared" si="1"/>
        <v>0.70666666666666667</v>
      </c>
      <c r="I30" s="611">
        <f t="shared" si="1"/>
        <v>0.70666666666666667</v>
      </c>
      <c r="J30" s="611">
        <f t="shared" si="1"/>
        <v>0.70666666666666667</v>
      </c>
      <c r="K30" s="611">
        <f t="shared" si="1"/>
        <v>0.70666666666666667</v>
      </c>
      <c r="L30" s="611">
        <f t="shared" si="1"/>
        <v>0.70666666666666667</v>
      </c>
      <c r="M30" s="611">
        <f t="shared" si="1"/>
        <v>0.70666666666666667</v>
      </c>
      <c r="N30" s="611">
        <f t="shared" si="1"/>
        <v>0.70666666666666667</v>
      </c>
      <c r="O30" s="611">
        <f t="shared" si="1"/>
        <v>0.70666666666666667</v>
      </c>
      <c r="P30" s="611">
        <f t="shared" si="1"/>
        <v>0.70666666666666667</v>
      </c>
      <c r="Q30" s="611">
        <f t="shared" si="1"/>
        <v>0.70666666666666667</v>
      </c>
      <c r="R30" s="611">
        <f t="shared" si="1"/>
        <v>0.70666666666666667</v>
      </c>
      <c r="S30" s="611">
        <f t="shared" si="1"/>
        <v>0.70666666666666667</v>
      </c>
      <c r="T30" s="611">
        <f t="shared" si="1"/>
        <v>0.70666666666666667</v>
      </c>
      <c r="U30" s="611">
        <f t="shared" si="1"/>
        <v>0.70666666666666667</v>
      </c>
      <c r="V30" s="611">
        <f t="shared" si="1"/>
        <v>0.70666666666666667</v>
      </c>
      <c r="W30" s="611">
        <f t="shared" si="1"/>
        <v>0.70666666666666667</v>
      </c>
      <c r="X30" s="611">
        <f t="shared" si="1"/>
        <v>0.70666666666666667</v>
      </c>
      <c r="Y30" s="561"/>
    </row>
    <row r="31" spans="1:25" s="96" customFormat="1">
      <c r="A31" s="54" t="s">
        <v>226</v>
      </c>
      <c r="B31" s="487"/>
      <c r="C31" s="487"/>
      <c r="D31" s="486">
        <v>0</v>
      </c>
      <c r="E31" s="330">
        <v>0</v>
      </c>
      <c r="F31" s="330">
        <v>125</v>
      </c>
      <c r="G31" s="330">
        <v>125</v>
      </c>
      <c r="H31" s="330">
        <v>125</v>
      </c>
      <c r="I31" s="330">
        <v>125</v>
      </c>
      <c r="J31" s="330">
        <v>125</v>
      </c>
      <c r="K31" s="330">
        <v>125</v>
      </c>
      <c r="L31" s="330">
        <v>125</v>
      </c>
      <c r="M31" s="330">
        <v>125</v>
      </c>
      <c r="N31" s="330">
        <v>125</v>
      </c>
      <c r="O31" s="330">
        <v>125</v>
      </c>
      <c r="P31" s="330">
        <v>125</v>
      </c>
      <c r="Q31" s="330">
        <v>125</v>
      </c>
      <c r="R31" s="330">
        <v>125</v>
      </c>
      <c r="S31" s="330">
        <v>125</v>
      </c>
      <c r="T31" s="330">
        <v>125</v>
      </c>
      <c r="U31" s="330">
        <v>125</v>
      </c>
      <c r="V31" s="330">
        <v>125</v>
      </c>
      <c r="W31" s="330">
        <v>125</v>
      </c>
      <c r="X31" s="330">
        <v>125</v>
      </c>
      <c r="Y31" s="58"/>
    </row>
    <row r="32" spans="1:25">
      <c r="A32" s="54"/>
      <c r="B32" s="21"/>
      <c r="C32" s="21"/>
      <c r="D32" s="486"/>
      <c r="E32" s="495"/>
      <c r="F32" s="495"/>
      <c r="G32" s="495"/>
      <c r="H32" s="495"/>
      <c r="I32" s="495"/>
      <c r="J32" s="495"/>
      <c r="K32" s="495"/>
      <c r="L32" s="495"/>
      <c r="M32" s="495"/>
      <c r="N32" s="495"/>
      <c r="O32" s="495"/>
      <c r="P32" s="495"/>
      <c r="Q32" s="495"/>
      <c r="R32" s="495"/>
      <c r="S32" s="495"/>
      <c r="T32" s="495"/>
      <c r="U32" s="495"/>
      <c r="V32" s="495"/>
      <c r="W32" s="495"/>
      <c r="X32" s="495"/>
      <c r="Y32" s="32"/>
    </row>
    <row r="33" spans="1:25">
      <c r="A33" s="54" t="s">
        <v>206</v>
      </c>
      <c r="B33" s="21"/>
      <c r="C33" s="21"/>
      <c r="D33" s="486">
        <v>0</v>
      </c>
      <c r="E33" s="313">
        <v>0</v>
      </c>
      <c r="F33" s="313">
        <f t="shared" ref="F33:X33" si="2">F12/F28</f>
        <v>2467.6698113207549</v>
      </c>
      <c r="G33" s="313">
        <f t="shared" si="2"/>
        <v>2467.6698113207549</v>
      </c>
      <c r="H33" s="313">
        <f t="shared" si="2"/>
        <v>2467.6698113207549</v>
      </c>
      <c r="I33" s="313">
        <f t="shared" si="2"/>
        <v>2467.6698113207549</v>
      </c>
      <c r="J33" s="313">
        <f t="shared" si="2"/>
        <v>2467.6698113207549</v>
      </c>
      <c r="K33" s="313">
        <f t="shared" si="2"/>
        <v>2467.6698113207549</v>
      </c>
      <c r="L33" s="313">
        <f t="shared" si="2"/>
        <v>2467.6698113207549</v>
      </c>
      <c r="M33" s="313">
        <f t="shared" si="2"/>
        <v>2467.6698113207549</v>
      </c>
      <c r="N33" s="313">
        <f t="shared" si="2"/>
        <v>2467.6698113207549</v>
      </c>
      <c r="O33" s="313">
        <f t="shared" si="2"/>
        <v>2467.6698113207549</v>
      </c>
      <c r="P33" s="313">
        <f t="shared" si="2"/>
        <v>2467.6698113207549</v>
      </c>
      <c r="Q33" s="313">
        <f t="shared" si="2"/>
        <v>2467.6698113207549</v>
      </c>
      <c r="R33" s="313">
        <f t="shared" si="2"/>
        <v>2467.6698113207549</v>
      </c>
      <c r="S33" s="313">
        <f t="shared" si="2"/>
        <v>2467.6698113207549</v>
      </c>
      <c r="T33" s="313">
        <f t="shared" si="2"/>
        <v>2467.6698113207549</v>
      </c>
      <c r="U33" s="313">
        <f t="shared" si="2"/>
        <v>2467.6698113207549</v>
      </c>
      <c r="V33" s="313">
        <f t="shared" si="2"/>
        <v>2467.6698113207549</v>
      </c>
      <c r="W33" s="313">
        <f t="shared" si="2"/>
        <v>2467.6698113207549</v>
      </c>
      <c r="X33" s="313">
        <f t="shared" si="2"/>
        <v>2467.6698113207549</v>
      </c>
    </row>
    <row r="34" spans="1:25">
      <c r="A34" s="54" t="s">
        <v>207</v>
      </c>
      <c r="B34" s="21"/>
      <c r="C34" s="21"/>
      <c r="D34" s="486">
        <v>0</v>
      </c>
      <c r="E34" s="313">
        <v>0</v>
      </c>
      <c r="F34" s="313">
        <v>5500</v>
      </c>
      <c r="G34" s="313">
        <v>5500</v>
      </c>
      <c r="H34" s="313">
        <v>5500</v>
      </c>
      <c r="I34" s="313">
        <v>5500</v>
      </c>
      <c r="J34" s="313">
        <v>5500</v>
      </c>
      <c r="K34" s="313">
        <v>5500</v>
      </c>
      <c r="L34" s="313">
        <v>5500</v>
      </c>
      <c r="M34" s="313">
        <v>5500</v>
      </c>
      <c r="N34" s="313">
        <v>5500</v>
      </c>
      <c r="O34" s="313">
        <v>5500</v>
      </c>
      <c r="P34" s="313">
        <v>5500</v>
      </c>
      <c r="Q34" s="313">
        <v>5500</v>
      </c>
      <c r="R34" s="313">
        <v>5500</v>
      </c>
      <c r="S34" s="313">
        <v>5500</v>
      </c>
      <c r="T34" s="313">
        <v>5500</v>
      </c>
      <c r="U34" s="313">
        <v>5500</v>
      </c>
      <c r="V34" s="313">
        <v>5500</v>
      </c>
      <c r="W34" s="313">
        <v>5500</v>
      </c>
      <c r="X34" s="313">
        <v>5500</v>
      </c>
    </row>
    <row r="35" spans="1:25" s="341" customFormat="1">
      <c r="A35" s="552" t="s">
        <v>221</v>
      </c>
      <c r="B35" s="553"/>
      <c r="C35" s="553"/>
      <c r="D35" s="554">
        <v>0</v>
      </c>
      <c r="E35" s="560">
        <f>E18/E29</f>
        <v>400</v>
      </c>
      <c r="F35" s="560">
        <f t="shared" ref="F35:X35" si="3">F18/F29</f>
        <v>466.66666666666669</v>
      </c>
      <c r="G35" s="560">
        <f t="shared" si="3"/>
        <v>533.33333333333337</v>
      </c>
      <c r="H35" s="560">
        <f t="shared" si="3"/>
        <v>533.33333333333337</v>
      </c>
      <c r="I35" s="560">
        <f t="shared" si="3"/>
        <v>533.33333333333337</v>
      </c>
      <c r="J35" s="560">
        <f t="shared" si="3"/>
        <v>533.33333333333337</v>
      </c>
      <c r="K35" s="560">
        <f t="shared" si="3"/>
        <v>533.33333333333337</v>
      </c>
      <c r="L35" s="560">
        <f t="shared" si="3"/>
        <v>533.33333333333337</v>
      </c>
      <c r="M35" s="560">
        <f t="shared" si="3"/>
        <v>533.33333333333337</v>
      </c>
      <c r="N35" s="560">
        <f t="shared" si="3"/>
        <v>533.33333333333337</v>
      </c>
      <c r="O35" s="560">
        <f t="shared" si="3"/>
        <v>533.33333333333337</v>
      </c>
      <c r="P35" s="560">
        <f t="shared" si="3"/>
        <v>533.33333333333337</v>
      </c>
      <c r="Q35" s="560">
        <f t="shared" si="3"/>
        <v>533.33333333333337</v>
      </c>
      <c r="R35" s="560">
        <f t="shared" si="3"/>
        <v>533.33333333333337</v>
      </c>
      <c r="S35" s="560">
        <f t="shared" si="3"/>
        <v>533.33333333333337</v>
      </c>
      <c r="T35" s="560">
        <f t="shared" si="3"/>
        <v>533.33333333333337</v>
      </c>
      <c r="U35" s="560">
        <f t="shared" si="3"/>
        <v>533.33333333333337</v>
      </c>
      <c r="V35" s="560">
        <f t="shared" si="3"/>
        <v>533.33333333333337</v>
      </c>
      <c r="W35" s="560">
        <f t="shared" si="3"/>
        <v>533.33333333333337</v>
      </c>
      <c r="X35" s="560">
        <f t="shared" si="3"/>
        <v>533.33333333333337</v>
      </c>
    </row>
    <row r="36" spans="1:25" s="341" customFormat="1">
      <c r="A36" s="552" t="s">
        <v>222</v>
      </c>
      <c r="B36" s="553"/>
      <c r="C36" s="553"/>
      <c r="D36" s="554">
        <v>0</v>
      </c>
      <c r="E36" s="560">
        <v>800</v>
      </c>
      <c r="F36" s="560">
        <v>800</v>
      </c>
      <c r="G36" s="560">
        <v>800</v>
      </c>
      <c r="H36" s="560">
        <v>800</v>
      </c>
      <c r="I36" s="560">
        <v>800</v>
      </c>
      <c r="J36" s="560">
        <v>800</v>
      </c>
      <c r="K36" s="560">
        <v>800</v>
      </c>
      <c r="L36" s="560">
        <v>800</v>
      </c>
      <c r="M36" s="560">
        <v>800</v>
      </c>
      <c r="N36" s="560">
        <v>800</v>
      </c>
      <c r="O36" s="560">
        <v>800</v>
      </c>
      <c r="P36" s="560">
        <v>800</v>
      </c>
      <c r="Q36" s="560">
        <v>800</v>
      </c>
      <c r="R36" s="560">
        <v>800</v>
      </c>
      <c r="S36" s="560">
        <v>800</v>
      </c>
      <c r="T36" s="560">
        <v>800</v>
      </c>
      <c r="U36" s="560">
        <v>800</v>
      </c>
      <c r="V36" s="560">
        <v>800</v>
      </c>
      <c r="W36" s="560">
        <v>800</v>
      </c>
      <c r="X36" s="560">
        <v>800</v>
      </c>
    </row>
    <row r="37" spans="1:25" s="341" customFormat="1">
      <c r="A37" s="552" t="s">
        <v>208</v>
      </c>
      <c r="B37" s="553"/>
      <c r="C37" s="553"/>
      <c r="D37" s="554">
        <v>0</v>
      </c>
      <c r="E37" s="560">
        <f>SUM(E34,E36)</f>
        <v>800</v>
      </c>
      <c r="F37" s="560">
        <f t="shared" ref="F37:X37" si="4">SUM(F34,F36)</f>
        <v>6300</v>
      </c>
      <c r="G37" s="560">
        <f t="shared" si="4"/>
        <v>6300</v>
      </c>
      <c r="H37" s="560">
        <f t="shared" si="4"/>
        <v>6300</v>
      </c>
      <c r="I37" s="560">
        <f t="shared" si="4"/>
        <v>6300</v>
      </c>
      <c r="J37" s="560">
        <f t="shared" si="4"/>
        <v>6300</v>
      </c>
      <c r="K37" s="560">
        <f t="shared" si="4"/>
        <v>6300</v>
      </c>
      <c r="L37" s="560">
        <f t="shared" si="4"/>
        <v>6300</v>
      </c>
      <c r="M37" s="560">
        <f t="shared" si="4"/>
        <v>6300</v>
      </c>
      <c r="N37" s="560">
        <f t="shared" si="4"/>
        <v>6300</v>
      </c>
      <c r="O37" s="560">
        <f t="shared" si="4"/>
        <v>6300</v>
      </c>
      <c r="P37" s="560">
        <f t="shared" si="4"/>
        <v>6300</v>
      </c>
      <c r="Q37" s="560">
        <f t="shared" si="4"/>
        <v>6300</v>
      </c>
      <c r="R37" s="560">
        <f t="shared" si="4"/>
        <v>6300</v>
      </c>
      <c r="S37" s="560">
        <f t="shared" si="4"/>
        <v>6300</v>
      </c>
      <c r="T37" s="560">
        <f t="shared" si="4"/>
        <v>6300</v>
      </c>
      <c r="U37" s="560">
        <f t="shared" si="4"/>
        <v>6300</v>
      </c>
      <c r="V37" s="560">
        <f t="shared" si="4"/>
        <v>6300</v>
      </c>
      <c r="W37" s="560">
        <f t="shared" si="4"/>
        <v>6300</v>
      </c>
      <c r="X37" s="560">
        <f t="shared" si="4"/>
        <v>6300</v>
      </c>
    </row>
    <row r="38" spans="1:25">
      <c r="A38" s="54"/>
      <c r="B38" s="21"/>
      <c r="C38" s="21"/>
      <c r="D38" s="486"/>
      <c r="E38" s="330"/>
      <c r="F38" s="330"/>
      <c r="G38" s="330"/>
      <c r="H38" s="330"/>
      <c r="I38" s="330"/>
      <c r="J38" s="330"/>
      <c r="K38" s="330"/>
      <c r="L38" s="330"/>
      <c r="M38" s="330"/>
      <c r="N38" s="330"/>
      <c r="O38" s="330"/>
      <c r="P38" s="330"/>
      <c r="Q38" s="330"/>
      <c r="R38" s="330"/>
      <c r="S38" s="330"/>
      <c r="T38" s="330"/>
      <c r="U38" s="330"/>
      <c r="V38" s="330"/>
      <c r="W38" s="330"/>
      <c r="X38" s="330"/>
    </row>
    <row r="39" spans="1:25" s="341" customFormat="1">
      <c r="A39" s="552" t="s">
        <v>223</v>
      </c>
      <c r="B39" s="557"/>
      <c r="C39" s="557"/>
      <c r="D39" s="554">
        <v>0</v>
      </c>
      <c r="E39" s="555">
        <f>(E19+E20)/E29</f>
        <v>160.26666666666668</v>
      </c>
      <c r="F39" s="555">
        <f t="shared" ref="F39:X39" si="5">(F19+F20)/F29</f>
        <v>187</v>
      </c>
      <c r="G39" s="555">
        <f t="shared" si="5"/>
        <v>213.73333333333332</v>
      </c>
      <c r="H39" s="555">
        <f t="shared" si="5"/>
        <v>213.73333333333332</v>
      </c>
      <c r="I39" s="555">
        <f t="shared" si="5"/>
        <v>213.73333333333332</v>
      </c>
      <c r="J39" s="555">
        <f t="shared" si="5"/>
        <v>213.73333333333332</v>
      </c>
      <c r="K39" s="555">
        <f t="shared" si="5"/>
        <v>213.73333333333332</v>
      </c>
      <c r="L39" s="555">
        <f t="shared" si="5"/>
        <v>213.73333333333332</v>
      </c>
      <c r="M39" s="555">
        <f t="shared" si="5"/>
        <v>213.73333333333332</v>
      </c>
      <c r="N39" s="555">
        <f t="shared" si="5"/>
        <v>213.73333333333332</v>
      </c>
      <c r="O39" s="555">
        <f t="shared" si="5"/>
        <v>213.73333333333332</v>
      </c>
      <c r="P39" s="555">
        <f t="shared" si="5"/>
        <v>213.73333333333332</v>
      </c>
      <c r="Q39" s="555">
        <f t="shared" si="5"/>
        <v>213.73333333333332</v>
      </c>
      <c r="R39" s="555">
        <f t="shared" si="5"/>
        <v>213.73333333333332</v>
      </c>
      <c r="S39" s="555">
        <f t="shared" si="5"/>
        <v>213.73333333333332</v>
      </c>
      <c r="T39" s="555">
        <f t="shared" si="5"/>
        <v>213.73333333333332</v>
      </c>
      <c r="U39" s="555">
        <f t="shared" si="5"/>
        <v>213.73333333333332</v>
      </c>
      <c r="V39" s="555">
        <f t="shared" si="5"/>
        <v>213.73333333333332</v>
      </c>
      <c r="W39" s="555">
        <f t="shared" si="5"/>
        <v>213.73333333333332</v>
      </c>
      <c r="X39" s="555">
        <f t="shared" si="5"/>
        <v>213.73333333333332</v>
      </c>
    </row>
    <row r="40" spans="1:25">
      <c r="A40" s="54"/>
      <c r="B40" s="74"/>
      <c r="C40" s="74"/>
      <c r="D40" s="492"/>
      <c r="E40" s="308"/>
      <c r="F40" s="308"/>
      <c r="G40" s="308"/>
      <c r="H40" s="308"/>
      <c r="I40" s="308"/>
      <c r="J40" s="308"/>
      <c r="K40" s="308"/>
      <c r="L40" s="308"/>
      <c r="M40" s="308"/>
      <c r="N40" s="308"/>
      <c r="O40" s="308"/>
      <c r="P40" s="308"/>
      <c r="Q40" s="308"/>
      <c r="R40" s="308"/>
      <c r="S40" s="308"/>
      <c r="T40" s="308"/>
      <c r="U40" s="308"/>
      <c r="V40" s="308"/>
      <c r="W40" s="308"/>
      <c r="X40" s="308"/>
    </row>
    <row r="41" spans="1:25">
      <c r="A41" s="293" t="s">
        <v>26</v>
      </c>
      <c r="B41" s="74"/>
      <c r="C41" s="74"/>
      <c r="D41" s="492"/>
      <c r="E41" s="308"/>
      <c r="F41" s="308"/>
      <c r="G41" s="308"/>
      <c r="H41" s="308"/>
      <c r="I41" s="308"/>
      <c r="J41" s="308"/>
      <c r="K41" s="308"/>
      <c r="L41" s="308"/>
      <c r="M41" s="308"/>
      <c r="N41" s="308"/>
      <c r="O41" s="308"/>
      <c r="P41" s="308"/>
      <c r="Q41" s="308"/>
      <c r="R41" s="308"/>
      <c r="S41" s="308"/>
      <c r="T41" s="308"/>
      <c r="U41" s="308"/>
      <c r="V41" s="308"/>
      <c r="W41" s="308"/>
      <c r="X41" s="308"/>
    </row>
    <row r="42" spans="1:25">
      <c r="A42" s="54" t="s">
        <v>264</v>
      </c>
      <c r="B42" s="277"/>
      <c r="C42" s="74"/>
      <c r="D42" s="486">
        <v>0</v>
      </c>
      <c r="E42" s="313">
        <f>'Parking Projections'!C55/2</f>
        <v>1381.6770833333335</v>
      </c>
      <c r="F42" s="313">
        <f>'Parking Projections'!D55</f>
        <v>2763.354166666667</v>
      </c>
      <c r="G42" s="313">
        <f>'Parking Projections'!E55</f>
        <v>2763.354166666667</v>
      </c>
      <c r="H42" s="313">
        <f>'Parking Projections'!F55</f>
        <v>2763.354166666667</v>
      </c>
      <c r="I42" s="313">
        <f>'Parking Projections'!G55</f>
        <v>2763.354166666667</v>
      </c>
      <c r="J42" s="313">
        <f>'Parking Projections'!H55</f>
        <v>2763.354166666667</v>
      </c>
      <c r="K42" s="313">
        <f>'Parking Projections'!I55</f>
        <v>2763.354166666667</v>
      </c>
      <c r="L42" s="313">
        <f>'Parking Projections'!J55</f>
        <v>2763.354166666667</v>
      </c>
      <c r="M42" s="313">
        <f>'Parking Projections'!K55</f>
        <v>2763.354166666667</v>
      </c>
      <c r="N42" s="313">
        <f>'Parking Projections'!L55</f>
        <v>2763.354166666667</v>
      </c>
      <c r="O42" s="313">
        <f>'Parking Projections'!M55</f>
        <v>2763.354166666667</v>
      </c>
      <c r="P42" s="313">
        <f>'Parking Projections'!N55</f>
        <v>2763.354166666667</v>
      </c>
      <c r="Q42" s="313">
        <f>'Parking Projections'!O55</f>
        <v>2763.354166666667</v>
      </c>
      <c r="R42" s="313">
        <f>'Parking Projections'!P55</f>
        <v>2763.354166666667</v>
      </c>
      <c r="S42" s="313">
        <f>'Parking Projections'!Q55</f>
        <v>2763.354166666667</v>
      </c>
      <c r="T42" s="313">
        <f>'Parking Projections'!R55</f>
        <v>2763.354166666667</v>
      </c>
      <c r="U42" s="313">
        <f>'Parking Projections'!S55</f>
        <v>2763.354166666667</v>
      </c>
      <c r="V42" s="313">
        <f>'Parking Projections'!T55</f>
        <v>2763.354166666667</v>
      </c>
      <c r="W42" s="313">
        <f>'Parking Projections'!U55</f>
        <v>2763.354166666667</v>
      </c>
      <c r="X42" s="313">
        <f>'Parking Projections'!V55</f>
        <v>2763.354166666667</v>
      </c>
    </row>
    <row r="43" spans="1:25">
      <c r="A43" s="54" t="s">
        <v>267</v>
      </c>
      <c r="B43" s="277"/>
      <c r="C43" s="74"/>
      <c r="D43" s="486">
        <v>0</v>
      </c>
      <c r="E43" s="313">
        <f>'Parking Projections'!C59/2</f>
        <v>14009.916666666664</v>
      </c>
      <c r="F43" s="313">
        <f>'Parking Projections'!D59</f>
        <v>28019.833333333328</v>
      </c>
      <c r="G43" s="313">
        <f>'Parking Projections'!E59</f>
        <v>28019.833333333328</v>
      </c>
      <c r="H43" s="313">
        <f>'Parking Projections'!F59</f>
        <v>28019.833333333328</v>
      </c>
      <c r="I43" s="313">
        <f>'Parking Projections'!G59</f>
        <v>28019.833333333328</v>
      </c>
      <c r="J43" s="313">
        <f>'Parking Projections'!H59</f>
        <v>28019.833333333328</v>
      </c>
      <c r="K43" s="313">
        <f>'Parking Projections'!I59</f>
        <v>28019.833333333328</v>
      </c>
      <c r="L43" s="313">
        <f>'Parking Projections'!J59</f>
        <v>28019.833333333328</v>
      </c>
      <c r="M43" s="313">
        <f>'Parking Projections'!K59</f>
        <v>28019.833333333328</v>
      </c>
      <c r="N43" s="313">
        <f>'Parking Projections'!L59</f>
        <v>28019.833333333328</v>
      </c>
      <c r="O43" s="313">
        <f>'Parking Projections'!M59</f>
        <v>28019.833333333328</v>
      </c>
      <c r="P43" s="313">
        <f>'Parking Projections'!N59</f>
        <v>28019.833333333328</v>
      </c>
      <c r="Q43" s="313">
        <f>'Parking Projections'!O59</f>
        <v>28019.833333333328</v>
      </c>
      <c r="R43" s="313">
        <f>'Parking Projections'!P59</f>
        <v>28019.833333333328</v>
      </c>
      <c r="S43" s="313">
        <f>'Parking Projections'!Q59</f>
        <v>28019.833333333328</v>
      </c>
      <c r="T43" s="313">
        <f>'Parking Projections'!R59</f>
        <v>28019.833333333328</v>
      </c>
      <c r="U43" s="313">
        <f>'Parking Projections'!S59</f>
        <v>28019.833333333328</v>
      </c>
      <c r="V43" s="313">
        <f>'Parking Projections'!T59</f>
        <v>28019.833333333328</v>
      </c>
      <c r="W43" s="313">
        <f>'Parking Projections'!U59</f>
        <v>28019.833333333328</v>
      </c>
      <c r="X43" s="313">
        <f>'Parking Projections'!V59</f>
        <v>28019.833333333328</v>
      </c>
    </row>
    <row r="44" spans="1:25" s="96" customFormat="1">
      <c r="A44" s="54" t="s">
        <v>274</v>
      </c>
      <c r="B44" s="435"/>
      <c r="C44" s="583"/>
      <c r="D44" s="486">
        <v>0</v>
      </c>
      <c r="E44" s="313">
        <f>SUM(E42:E43)</f>
        <v>15391.593749999998</v>
      </c>
      <c r="F44" s="313">
        <f t="shared" ref="F44:X44" si="6">SUM(F42:F43)</f>
        <v>30783.187499999996</v>
      </c>
      <c r="G44" s="313">
        <f t="shared" si="6"/>
        <v>30783.187499999996</v>
      </c>
      <c r="H44" s="313">
        <f t="shared" si="6"/>
        <v>30783.187499999996</v>
      </c>
      <c r="I44" s="313">
        <f t="shared" si="6"/>
        <v>30783.187499999996</v>
      </c>
      <c r="J44" s="313">
        <f t="shared" si="6"/>
        <v>30783.187499999996</v>
      </c>
      <c r="K44" s="313">
        <f t="shared" si="6"/>
        <v>30783.187499999996</v>
      </c>
      <c r="L44" s="313">
        <f t="shared" si="6"/>
        <v>30783.187499999996</v>
      </c>
      <c r="M44" s="313">
        <f t="shared" si="6"/>
        <v>30783.187499999996</v>
      </c>
      <c r="N44" s="313">
        <f t="shared" si="6"/>
        <v>30783.187499999996</v>
      </c>
      <c r="O44" s="313">
        <f t="shared" si="6"/>
        <v>30783.187499999996</v>
      </c>
      <c r="P44" s="313">
        <f t="shared" si="6"/>
        <v>30783.187499999996</v>
      </c>
      <c r="Q44" s="313">
        <f t="shared" si="6"/>
        <v>30783.187499999996</v>
      </c>
      <c r="R44" s="313">
        <f t="shared" si="6"/>
        <v>30783.187499999996</v>
      </c>
      <c r="S44" s="313">
        <f t="shared" si="6"/>
        <v>30783.187499999996</v>
      </c>
      <c r="T44" s="313">
        <f t="shared" si="6"/>
        <v>30783.187499999996</v>
      </c>
      <c r="U44" s="313">
        <f t="shared" si="6"/>
        <v>30783.187499999996</v>
      </c>
      <c r="V44" s="313">
        <f t="shared" si="6"/>
        <v>30783.187499999996</v>
      </c>
      <c r="W44" s="313">
        <f t="shared" si="6"/>
        <v>30783.187499999996</v>
      </c>
      <c r="X44" s="313">
        <f t="shared" si="6"/>
        <v>30783.187499999996</v>
      </c>
      <c r="Y44" s="313"/>
    </row>
    <row r="45" spans="1:25">
      <c r="A45" s="54"/>
      <c r="B45" s="277"/>
      <c r="C45" s="74"/>
      <c r="D45" s="499"/>
      <c r="E45" s="308"/>
      <c r="F45" s="308"/>
      <c r="G45" s="308"/>
      <c r="H45" s="308"/>
      <c r="I45" s="308"/>
      <c r="J45" s="308"/>
      <c r="K45" s="308"/>
      <c r="L45" s="308"/>
      <c r="M45" s="308"/>
      <c r="N45" s="308"/>
      <c r="O45" s="308"/>
      <c r="P45" s="308"/>
      <c r="Q45" s="308"/>
      <c r="R45" s="308"/>
      <c r="S45" s="308"/>
      <c r="T45" s="308"/>
      <c r="U45" s="308"/>
      <c r="V45" s="308"/>
      <c r="W45" s="308"/>
      <c r="X45" s="308"/>
    </row>
    <row r="46" spans="1:25" s="341" customFormat="1">
      <c r="A46" s="552" t="s">
        <v>224</v>
      </c>
      <c r="B46" s="556"/>
      <c r="C46" s="557"/>
      <c r="D46" s="554">
        <v>0</v>
      </c>
      <c r="E46" s="558">
        <v>3</v>
      </c>
      <c r="F46" s="558">
        <v>3</v>
      </c>
      <c r="G46" s="558">
        <v>3</v>
      </c>
      <c r="H46" s="558">
        <v>3</v>
      </c>
      <c r="I46" s="558">
        <v>3</v>
      </c>
      <c r="J46" s="558">
        <v>3</v>
      </c>
      <c r="K46" s="558">
        <v>3</v>
      </c>
      <c r="L46" s="558">
        <v>3</v>
      </c>
      <c r="M46" s="558">
        <v>3</v>
      </c>
      <c r="N46" s="558">
        <v>3</v>
      </c>
      <c r="O46" s="558">
        <v>3</v>
      </c>
      <c r="P46" s="558">
        <v>3</v>
      </c>
      <c r="Q46" s="558">
        <v>3</v>
      </c>
      <c r="R46" s="558">
        <v>3</v>
      </c>
      <c r="S46" s="558">
        <v>3</v>
      </c>
      <c r="T46" s="558">
        <v>3</v>
      </c>
      <c r="U46" s="558">
        <v>3</v>
      </c>
      <c r="V46" s="558">
        <v>3</v>
      </c>
      <c r="W46" s="558">
        <v>3</v>
      </c>
      <c r="X46" s="558">
        <v>3</v>
      </c>
    </row>
    <row r="47" spans="1:25" s="96" customFormat="1">
      <c r="A47" s="54" t="s">
        <v>225</v>
      </c>
      <c r="B47" s="435"/>
      <c r="C47" s="583"/>
      <c r="D47" s="486">
        <v>0</v>
      </c>
      <c r="E47" s="496">
        <v>1</v>
      </c>
      <c r="F47" s="496">
        <v>1</v>
      </c>
      <c r="G47" s="496">
        <v>1</v>
      </c>
      <c r="H47" s="496">
        <v>1</v>
      </c>
      <c r="I47" s="496">
        <v>1</v>
      </c>
      <c r="J47" s="496">
        <v>1</v>
      </c>
      <c r="K47" s="496">
        <v>1</v>
      </c>
      <c r="L47" s="496">
        <v>1</v>
      </c>
      <c r="M47" s="496">
        <v>1</v>
      </c>
      <c r="N47" s="496">
        <v>1</v>
      </c>
      <c r="O47" s="496">
        <v>1</v>
      </c>
      <c r="P47" s="496">
        <v>1</v>
      </c>
      <c r="Q47" s="496">
        <v>1</v>
      </c>
      <c r="R47" s="496">
        <v>1</v>
      </c>
      <c r="S47" s="496">
        <v>1</v>
      </c>
      <c r="T47" s="496">
        <v>1</v>
      </c>
      <c r="U47" s="496">
        <v>1</v>
      </c>
      <c r="V47" s="496">
        <v>1</v>
      </c>
      <c r="W47" s="496">
        <v>1</v>
      </c>
      <c r="X47" s="496">
        <v>1</v>
      </c>
    </row>
    <row r="48" spans="1:25">
      <c r="A48" s="54" t="s">
        <v>209</v>
      </c>
      <c r="B48" s="277"/>
      <c r="C48" s="74"/>
      <c r="D48" s="486">
        <v>0</v>
      </c>
      <c r="E48" s="496">
        <v>0.5</v>
      </c>
      <c r="F48" s="496">
        <v>0.5</v>
      </c>
      <c r="G48" s="496">
        <v>0.5</v>
      </c>
      <c r="H48" s="496">
        <v>0.5</v>
      </c>
      <c r="I48" s="496">
        <v>0.5</v>
      </c>
      <c r="J48" s="496">
        <v>0.5</v>
      </c>
      <c r="K48" s="496">
        <v>0.5</v>
      </c>
      <c r="L48" s="496">
        <v>0.5</v>
      </c>
      <c r="M48" s="496">
        <v>0.5</v>
      </c>
      <c r="N48" s="496">
        <v>0.5</v>
      </c>
      <c r="O48" s="496">
        <v>0.5</v>
      </c>
      <c r="P48" s="496">
        <v>0.5</v>
      </c>
      <c r="Q48" s="496">
        <v>0.5</v>
      </c>
      <c r="R48" s="496">
        <v>0.5</v>
      </c>
      <c r="S48" s="496">
        <v>0.5</v>
      </c>
      <c r="T48" s="496">
        <v>0.5</v>
      </c>
      <c r="U48" s="496">
        <v>0.5</v>
      </c>
      <c r="V48" s="496">
        <v>0.5</v>
      </c>
      <c r="W48" s="496">
        <v>0.5</v>
      </c>
      <c r="X48" s="496">
        <v>0.5</v>
      </c>
    </row>
    <row r="49" spans="1:25 16384:16384">
      <c r="A49" s="54" t="s">
        <v>289</v>
      </c>
      <c r="B49" s="277"/>
      <c r="C49" s="74"/>
      <c r="D49" s="486">
        <v>0</v>
      </c>
      <c r="E49" s="496">
        <f>SUM(E47:E48)/2</f>
        <v>0.75</v>
      </c>
      <c r="F49" s="496">
        <f t="shared" ref="F49:X49" si="7">SUM(F47:F48)/2</f>
        <v>0.75</v>
      </c>
      <c r="G49" s="496">
        <f t="shared" si="7"/>
        <v>0.75</v>
      </c>
      <c r="H49" s="496">
        <f t="shared" si="7"/>
        <v>0.75</v>
      </c>
      <c r="I49" s="496">
        <f t="shared" si="7"/>
        <v>0.75</v>
      </c>
      <c r="J49" s="496">
        <f t="shared" si="7"/>
        <v>0.75</v>
      </c>
      <c r="K49" s="496">
        <f t="shared" si="7"/>
        <v>0.75</v>
      </c>
      <c r="L49" s="496">
        <f t="shared" si="7"/>
        <v>0.75</v>
      </c>
      <c r="M49" s="496">
        <f t="shared" si="7"/>
        <v>0.75</v>
      </c>
      <c r="N49" s="496">
        <f t="shared" si="7"/>
        <v>0.75</v>
      </c>
      <c r="O49" s="496">
        <f t="shared" si="7"/>
        <v>0.75</v>
      </c>
      <c r="P49" s="496">
        <f t="shared" si="7"/>
        <v>0.75</v>
      </c>
      <c r="Q49" s="496">
        <f t="shared" si="7"/>
        <v>0.75</v>
      </c>
      <c r="R49" s="496">
        <f t="shared" si="7"/>
        <v>0.75</v>
      </c>
      <c r="S49" s="496">
        <f t="shared" si="7"/>
        <v>0.75</v>
      </c>
      <c r="T49" s="496">
        <f t="shared" si="7"/>
        <v>0.75</v>
      </c>
      <c r="U49" s="496">
        <f t="shared" si="7"/>
        <v>0.75</v>
      </c>
      <c r="V49" s="496">
        <f t="shared" si="7"/>
        <v>0.75</v>
      </c>
      <c r="W49" s="496">
        <f t="shared" si="7"/>
        <v>0.75</v>
      </c>
      <c r="X49" s="496">
        <f t="shared" si="7"/>
        <v>0.75</v>
      </c>
      <c r="XFD49" s="570">
        <f>SUM(D49:XFC49)</f>
        <v>15</v>
      </c>
    </row>
    <row r="50" spans="1:25 16384:16384">
      <c r="A50" s="54"/>
      <c r="B50" s="277"/>
      <c r="C50" s="74"/>
      <c r="D50" s="486"/>
      <c r="E50" s="496"/>
      <c r="F50" s="496"/>
      <c r="G50" s="496"/>
      <c r="H50" s="496"/>
      <c r="I50" s="496"/>
      <c r="J50" s="496"/>
      <c r="K50" s="496"/>
      <c r="L50" s="496"/>
      <c r="M50" s="496"/>
      <c r="N50" s="496"/>
      <c r="O50" s="496"/>
      <c r="P50" s="496"/>
      <c r="Q50" s="496"/>
      <c r="R50" s="496"/>
      <c r="S50" s="496"/>
      <c r="T50" s="496"/>
      <c r="U50" s="496"/>
      <c r="V50" s="496"/>
      <c r="W50" s="496"/>
      <c r="X50" s="496"/>
      <c r="XFD50" s="570"/>
    </row>
    <row r="51" spans="1:25 16384:16384">
      <c r="A51" s="54" t="s">
        <v>312</v>
      </c>
      <c r="B51" s="277"/>
      <c r="C51" s="74"/>
      <c r="D51" s="486">
        <v>0</v>
      </c>
      <c r="E51" s="313">
        <f>'Shuttle Projections'!C22*0.5</f>
        <v>3595</v>
      </c>
      <c r="F51" s="313">
        <f>'Shuttle Projections'!D22</f>
        <v>7190</v>
      </c>
      <c r="G51" s="313">
        <f>'Shuttle Projections'!E22</f>
        <v>7190</v>
      </c>
      <c r="H51" s="313">
        <f>'Shuttle Projections'!F22</f>
        <v>7190</v>
      </c>
      <c r="I51" s="313">
        <f>'Shuttle Projections'!G22</f>
        <v>7190</v>
      </c>
      <c r="J51" s="313">
        <f>'Shuttle Projections'!H22</f>
        <v>7190</v>
      </c>
      <c r="K51" s="313">
        <f>'Shuttle Projections'!I22</f>
        <v>7190</v>
      </c>
      <c r="L51" s="313">
        <f>'Shuttle Projections'!J22</f>
        <v>7190</v>
      </c>
      <c r="M51" s="313">
        <f>'Shuttle Projections'!K22</f>
        <v>7190</v>
      </c>
      <c r="N51" s="313">
        <f>'Shuttle Projections'!L22</f>
        <v>7190</v>
      </c>
      <c r="O51" s="313">
        <f>'Shuttle Projections'!M22</f>
        <v>7190</v>
      </c>
      <c r="P51" s="313">
        <f>'Shuttle Projections'!N22</f>
        <v>7190</v>
      </c>
      <c r="Q51" s="313">
        <f>'Shuttle Projections'!O22</f>
        <v>7190</v>
      </c>
      <c r="R51" s="313">
        <f>'Shuttle Projections'!P22</f>
        <v>7190</v>
      </c>
      <c r="S51" s="313">
        <f>'Shuttle Projections'!Q22</f>
        <v>7190</v>
      </c>
      <c r="T51" s="313">
        <f>'Shuttle Projections'!R22</f>
        <v>7190</v>
      </c>
      <c r="U51" s="313">
        <f>'Shuttle Projections'!S22</f>
        <v>7190</v>
      </c>
      <c r="V51" s="313">
        <f>'Shuttle Projections'!T22</f>
        <v>7190</v>
      </c>
      <c r="W51" s="313">
        <f>'Shuttle Projections'!U22</f>
        <v>7190</v>
      </c>
      <c r="X51" s="313">
        <f>'Shuttle Projections'!V22</f>
        <v>7190</v>
      </c>
      <c r="XFD51" s="570"/>
    </row>
    <row r="52" spans="1:25 16384:16384">
      <c r="A52" s="54"/>
      <c r="B52" s="277"/>
      <c r="C52" s="74"/>
      <c r="D52" s="486"/>
      <c r="E52" s="308"/>
      <c r="F52" s="308"/>
      <c r="G52" s="308"/>
      <c r="H52" s="308"/>
      <c r="I52" s="308"/>
      <c r="J52" s="308"/>
      <c r="K52" s="308"/>
      <c r="L52" s="308"/>
      <c r="M52" s="308"/>
      <c r="N52" s="308"/>
      <c r="O52" s="308"/>
      <c r="P52" s="308"/>
      <c r="Q52" s="308"/>
      <c r="R52" s="308"/>
      <c r="S52" s="308"/>
      <c r="T52" s="308"/>
      <c r="U52" s="308"/>
      <c r="V52" s="308"/>
      <c r="W52" s="308"/>
      <c r="X52" s="308"/>
    </row>
    <row r="53" spans="1:25 16384:16384" s="612" customFormat="1">
      <c r="A53" s="613" t="s">
        <v>292</v>
      </c>
      <c r="B53" s="614"/>
      <c r="C53" s="615"/>
      <c r="D53" s="616">
        <v>0</v>
      </c>
      <c r="E53" s="617">
        <v>0</v>
      </c>
      <c r="F53" s="617">
        <v>0</v>
      </c>
      <c r="G53" s="617">
        <v>100000</v>
      </c>
      <c r="H53" s="617">
        <v>100000</v>
      </c>
      <c r="I53" s="617">
        <v>100000</v>
      </c>
      <c r="J53" s="617">
        <v>100000</v>
      </c>
      <c r="K53" s="617">
        <v>100000</v>
      </c>
      <c r="L53" s="617">
        <v>100000</v>
      </c>
      <c r="M53" s="617">
        <v>100000</v>
      </c>
      <c r="N53" s="617">
        <v>100000</v>
      </c>
      <c r="O53" s="617">
        <v>100000</v>
      </c>
      <c r="P53" s="617">
        <v>100000</v>
      </c>
      <c r="Q53" s="617">
        <v>100000</v>
      </c>
      <c r="R53" s="617">
        <v>100000</v>
      </c>
      <c r="S53" s="617">
        <v>100000</v>
      </c>
      <c r="T53" s="617">
        <v>100000</v>
      </c>
      <c r="U53" s="617">
        <v>100000</v>
      </c>
      <c r="V53" s="617">
        <v>100000</v>
      </c>
      <c r="W53" s="617">
        <v>100000</v>
      </c>
      <c r="X53" s="618">
        <v>100000</v>
      </c>
    </row>
    <row r="54" spans="1:25 16384:16384">
      <c r="A54" s="54"/>
      <c r="B54" s="277"/>
      <c r="C54" s="74"/>
      <c r="D54" s="486"/>
      <c r="E54" s="308"/>
      <c r="F54" s="308"/>
      <c r="G54" s="308"/>
      <c r="H54" s="308"/>
      <c r="I54" s="308"/>
      <c r="J54" s="308"/>
      <c r="K54" s="308"/>
      <c r="L54" s="308"/>
      <c r="M54" s="308"/>
      <c r="N54" s="308"/>
      <c r="O54" s="308"/>
      <c r="P54" s="308"/>
      <c r="Q54" s="308"/>
      <c r="R54" s="308"/>
      <c r="S54" s="308"/>
      <c r="T54" s="308"/>
      <c r="U54" s="308"/>
      <c r="V54" s="308"/>
      <c r="W54" s="308"/>
      <c r="X54" s="308"/>
    </row>
    <row r="55" spans="1:25 16384:16384" s="582" customFormat="1">
      <c r="A55" s="293" t="str">
        <f>'BH Tariffs'!A33</f>
        <v>Recreational/Commercial Marina</v>
      </c>
      <c r="B55" s="584"/>
      <c r="C55" s="585"/>
      <c r="D55" s="486"/>
      <c r="E55" s="586"/>
      <c r="F55" s="586"/>
      <c r="G55" s="586"/>
      <c r="H55" s="586"/>
      <c r="I55" s="586"/>
      <c r="J55" s="586"/>
      <c r="K55" s="586"/>
      <c r="L55" s="586"/>
      <c r="M55" s="586"/>
      <c r="N55" s="586"/>
      <c r="O55" s="586"/>
      <c r="P55" s="586"/>
      <c r="Q55" s="586"/>
      <c r="R55" s="586"/>
      <c r="S55" s="586"/>
      <c r="T55" s="586"/>
      <c r="U55" s="586"/>
      <c r="V55" s="586"/>
      <c r="W55" s="586"/>
      <c r="X55" s="586"/>
    </row>
    <row r="56" spans="1:25 16384:16384" s="96" customFormat="1">
      <c r="A56" s="54" t="s">
        <v>291</v>
      </c>
      <c r="B56" s="435"/>
      <c r="C56" s="583"/>
      <c r="D56" s="486">
        <v>0</v>
      </c>
      <c r="E56" s="313">
        <v>0</v>
      </c>
      <c r="F56" s="313">
        <f>'Marina Projections'!D67</f>
        <v>12</v>
      </c>
      <c r="G56" s="313">
        <f>'Marina Projections'!E67</f>
        <v>12</v>
      </c>
      <c r="H56" s="313">
        <f>'Marina Projections'!F67</f>
        <v>12</v>
      </c>
      <c r="I56" s="313">
        <f>'Marina Projections'!G67</f>
        <v>12</v>
      </c>
      <c r="J56" s="313">
        <f>'Marina Projections'!H67</f>
        <v>12</v>
      </c>
      <c r="K56" s="313">
        <f>'Marina Projections'!I67</f>
        <v>12</v>
      </c>
      <c r="L56" s="313">
        <f>'Marina Projections'!J67</f>
        <v>12</v>
      </c>
      <c r="M56" s="313">
        <f>'Marina Projections'!K67</f>
        <v>12</v>
      </c>
      <c r="N56" s="313">
        <f>'Marina Projections'!L67</f>
        <v>12</v>
      </c>
      <c r="O56" s="313">
        <f>'Marina Projections'!M67</f>
        <v>12</v>
      </c>
      <c r="P56" s="313">
        <f>'Marina Projections'!N67</f>
        <v>12</v>
      </c>
      <c r="Q56" s="313">
        <f>'Marina Projections'!O67</f>
        <v>12</v>
      </c>
      <c r="R56" s="313">
        <f>'Marina Projections'!P67</f>
        <v>12</v>
      </c>
      <c r="S56" s="313">
        <f>'Marina Projections'!Q67</f>
        <v>12</v>
      </c>
      <c r="T56" s="313">
        <f>'Marina Projections'!R67</f>
        <v>12</v>
      </c>
      <c r="U56" s="313">
        <f>'Marina Projections'!S67</f>
        <v>12</v>
      </c>
      <c r="V56" s="313">
        <f>'Marina Projections'!T67</f>
        <v>12</v>
      </c>
      <c r="W56" s="313">
        <f>'Marina Projections'!U67</f>
        <v>12</v>
      </c>
      <c r="X56" s="313">
        <f>'Marina Projections'!V67</f>
        <v>12</v>
      </c>
    </row>
    <row r="57" spans="1:25 16384:16384" s="96" customFormat="1">
      <c r="A57" s="54" t="s">
        <v>293</v>
      </c>
      <c r="B57" s="435"/>
      <c r="C57" s="583"/>
      <c r="D57" s="486">
        <v>0</v>
      </c>
      <c r="E57" s="313">
        <v>0</v>
      </c>
      <c r="F57" s="313">
        <f>'Marina Projections'!D74</f>
        <v>9557.1731249999993</v>
      </c>
      <c r="G57" s="313">
        <f>'Marina Projections'!E74</f>
        <v>9557.1731249999993</v>
      </c>
      <c r="H57" s="313">
        <f>'Marina Projections'!F74</f>
        <v>9557.1731249999993</v>
      </c>
      <c r="I57" s="313">
        <f>'Marina Projections'!G74</f>
        <v>9557.1731249999993</v>
      </c>
      <c r="J57" s="313">
        <f>'Marina Projections'!H74</f>
        <v>9557.1731249999993</v>
      </c>
      <c r="K57" s="313">
        <f>'Marina Projections'!I74</f>
        <v>9557.1731249999993</v>
      </c>
      <c r="L57" s="313">
        <f>'Marina Projections'!J74</f>
        <v>9557.1731249999993</v>
      </c>
      <c r="M57" s="313">
        <f>'Marina Projections'!K74</f>
        <v>9557.1731249999993</v>
      </c>
      <c r="N57" s="313">
        <f>'Marina Projections'!L74</f>
        <v>9557.1731249999993</v>
      </c>
      <c r="O57" s="313">
        <f>'Marina Projections'!M74</f>
        <v>9557.1731249999993</v>
      </c>
      <c r="P57" s="313">
        <f>'Marina Projections'!N74</f>
        <v>9557.1731249999993</v>
      </c>
      <c r="Q57" s="313">
        <f>'Marina Projections'!O74</f>
        <v>9557.1731249999993</v>
      </c>
      <c r="R57" s="313">
        <f>'Marina Projections'!P74</f>
        <v>9557.1731249999993</v>
      </c>
      <c r="S57" s="313">
        <f>'Marina Projections'!Q74</f>
        <v>9557.1731249999993</v>
      </c>
      <c r="T57" s="313">
        <f>'Marina Projections'!R74</f>
        <v>9557.1731249999993</v>
      </c>
      <c r="U57" s="313">
        <f>'Marina Projections'!S74</f>
        <v>9557.1731249999993</v>
      </c>
      <c r="V57" s="313">
        <f>'Marina Projections'!T74</f>
        <v>9557.1731249999993</v>
      </c>
      <c r="W57" s="313">
        <f>'Marina Projections'!U74</f>
        <v>9557.1731249999993</v>
      </c>
      <c r="X57" s="313">
        <f>'Marina Projections'!V74</f>
        <v>9557.1731249999993</v>
      </c>
    </row>
    <row r="58" spans="1:25 16384:16384" s="96" customFormat="1">
      <c r="A58" s="54" t="s">
        <v>294</v>
      </c>
      <c r="B58" s="435"/>
      <c r="C58" s="583"/>
      <c r="D58" s="486">
        <v>0</v>
      </c>
      <c r="E58" s="313">
        <v>0</v>
      </c>
      <c r="F58" s="313">
        <f>'Marina Projections'!D70</f>
        <v>359.1</v>
      </c>
      <c r="G58" s="313">
        <f>'Marina Projections'!E70</f>
        <v>359.1</v>
      </c>
      <c r="H58" s="313">
        <f>'Marina Projections'!F70</f>
        <v>359.1</v>
      </c>
      <c r="I58" s="313">
        <f>'Marina Projections'!G70</f>
        <v>359.1</v>
      </c>
      <c r="J58" s="313">
        <f>'Marina Projections'!H70</f>
        <v>359.1</v>
      </c>
      <c r="K58" s="313">
        <f>'Marina Projections'!I70</f>
        <v>359.1</v>
      </c>
      <c r="L58" s="313">
        <f>'Marina Projections'!J70</f>
        <v>359.1</v>
      </c>
      <c r="M58" s="313">
        <f>'Marina Projections'!K70</f>
        <v>359.1</v>
      </c>
      <c r="N58" s="313">
        <f>'Marina Projections'!L70</f>
        <v>359.1</v>
      </c>
      <c r="O58" s="313">
        <f>'Marina Projections'!M70</f>
        <v>359.1</v>
      </c>
      <c r="P58" s="313">
        <f>'Marina Projections'!N70</f>
        <v>359.1</v>
      </c>
      <c r="Q58" s="313">
        <f>'Marina Projections'!O70</f>
        <v>359.1</v>
      </c>
      <c r="R58" s="313">
        <f>'Marina Projections'!P70</f>
        <v>359.1</v>
      </c>
      <c r="S58" s="313">
        <f>'Marina Projections'!Q70</f>
        <v>359.1</v>
      </c>
      <c r="T58" s="313">
        <f>'Marina Projections'!R70</f>
        <v>359.1</v>
      </c>
      <c r="U58" s="313">
        <f>'Marina Projections'!S70</f>
        <v>359.1</v>
      </c>
      <c r="V58" s="313">
        <f>'Marina Projections'!T70</f>
        <v>359.1</v>
      </c>
      <c r="W58" s="313">
        <f>'Marina Projections'!U70</f>
        <v>359.1</v>
      </c>
      <c r="X58" s="313">
        <f>'Marina Projections'!V70</f>
        <v>359.1</v>
      </c>
    </row>
    <row r="59" spans="1:25 16384:16384" s="167" customFormat="1">
      <c r="A59" s="497" t="s">
        <v>170</v>
      </c>
      <c r="B59" s="450"/>
      <c r="C59" s="498"/>
      <c r="D59" s="486">
        <v>0</v>
      </c>
      <c r="E59" s="587">
        <v>0</v>
      </c>
      <c r="F59" s="587">
        <v>0</v>
      </c>
      <c r="G59" s="587">
        <v>0</v>
      </c>
      <c r="H59" s="587">
        <v>0</v>
      </c>
      <c r="I59" s="587">
        <v>0</v>
      </c>
      <c r="J59" s="587">
        <v>0</v>
      </c>
      <c r="K59" s="587">
        <v>0</v>
      </c>
      <c r="L59" s="587">
        <v>0</v>
      </c>
      <c r="M59" s="587">
        <v>0</v>
      </c>
      <c r="N59" s="587">
        <v>0</v>
      </c>
      <c r="O59" s="587">
        <v>0</v>
      </c>
      <c r="P59" s="587">
        <v>0</v>
      </c>
      <c r="Q59" s="587">
        <v>0</v>
      </c>
      <c r="R59" s="587">
        <v>0</v>
      </c>
      <c r="S59" s="587">
        <v>0</v>
      </c>
      <c r="T59" s="587">
        <v>0</v>
      </c>
      <c r="U59" s="587">
        <v>0</v>
      </c>
      <c r="V59" s="587">
        <v>0</v>
      </c>
      <c r="W59" s="587">
        <v>0</v>
      </c>
      <c r="X59" s="587">
        <v>0</v>
      </c>
      <c r="Y59" s="167" t="s">
        <v>282</v>
      </c>
    </row>
    <row r="60" spans="1:25 16384:16384" s="167" customFormat="1">
      <c r="A60" s="497" t="s">
        <v>16</v>
      </c>
      <c r="B60" s="450"/>
      <c r="C60" s="498"/>
      <c r="D60" s="499">
        <v>0</v>
      </c>
      <c r="E60" s="587">
        <v>0</v>
      </c>
      <c r="F60" s="587">
        <v>0</v>
      </c>
      <c r="G60" s="587">
        <v>0</v>
      </c>
      <c r="H60" s="587">
        <v>0</v>
      </c>
      <c r="I60" s="587">
        <v>0</v>
      </c>
      <c r="J60" s="587">
        <v>0</v>
      </c>
      <c r="K60" s="587">
        <v>0</v>
      </c>
      <c r="L60" s="587">
        <v>0</v>
      </c>
      <c r="M60" s="587">
        <v>0</v>
      </c>
      <c r="N60" s="587">
        <v>0</v>
      </c>
      <c r="O60" s="587">
        <v>0</v>
      </c>
      <c r="P60" s="587">
        <v>0</v>
      </c>
      <c r="Q60" s="587">
        <v>0</v>
      </c>
      <c r="R60" s="587">
        <v>0</v>
      </c>
      <c r="S60" s="587">
        <v>0</v>
      </c>
      <c r="T60" s="587">
        <v>0</v>
      </c>
      <c r="U60" s="587">
        <v>0</v>
      </c>
      <c r="V60" s="587">
        <v>0</v>
      </c>
      <c r="W60" s="587">
        <v>0</v>
      </c>
      <c r="X60" s="587">
        <v>0</v>
      </c>
      <c r="Y60" s="167" t="s">
        <v>282</v>
      </c>
    </row>
    <row r="61" spans="1:25 16384:16384">
      <c r="A61" s="54"/>
      <c r="B61" s="277"/>
      <c r="C61" s="74"/>
      <c r="D61" s="492"/>
      <c r="E61" s="308"/>
      <c r="F61" s="308"/>
      <c r="G61" s="308"/>
      <c r="H61" s="308"/>
      <c r="I61" s="308"/>
      <c r="J61" s="308"/>
      <c r="K61" s="308"/>
      <c r="L61" s="308"/>
      <c r="M61" s="308"/>
      <c r="N61" s="308"/>
      <c r="O61" s="308"/>
      <c r="P61" s="308"/>
      <c r="Q61" s="308"/>
      <c r="R61" s="308"/>
      <c r="S61" s="308"/>
      <c r="T61" s="308"/>
      <c r="U61" s="308"/>
      <c r="V61" s="308"/>
      <c r="W61" s="308"/>
      <c r="X61" s="308"/>
    </row>
    <row r="62" spans="1:25 16384:16384">
      <c r="A62" s="293" t="s">
        <v>2</v>
      </c>
      <c r="B62" s="277"/>
      <c r="C62" s="74"/>
      <c r="D62" s="492"/>
      <c r="E62" s="308"/>
      <c r="F62" s="308"/>
      <c r="G62" s="308"/>
      <c r="H62" s="308"/>
      <c r="I62" s="308"/>
      <c r="J62" s="308"/>
      <c r="K62" s="308"/>
      <c r="L62" s="308"/>
      <c r="M62" s="308"/>
      <c r="N62" s="308"/>
      <c r="O62" s="308"/>
      <c r="P62" s="308"/>
      <c r="Q62" s="308"/>
      <c r="R62" s="308"/>
      <c r="S62" s="308"/>
      <c r="T62" s="308"/>
      <c r="U62" s="308"/>
      <c r="V62" s="308"/>
      <c r="W62" s="308"/>
      <c r="X62" s="308"/>
    </row>
    <row r="63" spans="1:25 16384:16384" s="96" customFormat="1">
      <c r="A63" s="54" t="s">
        <v>290</v>
      </c>
      <c r="B63" s="435">
        <v>500</v>
      </c>
      <c r="C63" s="487"/>
      <c r="D63" s="486">
        <v>0</v>
      </c>
      <c r="E63" s="313">
        <v>0</v>
      </c>
      <c r="F63" s="313">
        <v>0</v>
      </c>
      <c r="G63" s="313">
        <f t="shared" ref="G63:X63" si="8">$B$63</f>
        <v>500</v>
      </c>
      <c r="H63" s="313">
        <f t="shared" si="8"/>
        <v>500</v>
      </c>
      <c r="I63" s="313">
        <f t="shared" si="8"/>
        <v>500</v>
      </c>
      <c r="J63" s="313">
        <f t="shared" si="8"/>
        <v>500</v>
      </c>
      <c r="K63" s="313">
        <f t="shared" si="8"/>
        <v>500</v>
      </c>
      <c r="L63" s="313">
        <f t="shared" si="8"/>
        <v>500</v>
      </c>
      <c r="M63" s="313">
        <f t="shared" si="8"/>
        <v>500</v>
      </c>
      <c r="N63" s="313">
        <f t="shared" si="8"/>
        <v>500</v>
      </c>
      <c r="O63" s="313">
        <f t="shared" si="8"/>
        <v>500</v>
      </c>
      <c r="P63" s="313">
        <f t="shared" si="8"/>
        <v>500</v>
      </c>
      <c r="Q63" s="313">
        <f t="shared" si="8"/>
        <v>500</v>
      </c>
      <c r="R63" s="313">
        <f t="shared" si="8"/>
        <v>500</v>
      </c>
      <c r="S63" s="313">
        <f t="shared" si="8"/>
        <v>500</v>
      </c>
      <c r="T63" s="313">
        <f t="shared" si="8"/>
        <v>500</v>
      </c>
      <c r="U63" s="313">
        <f t="shared" si="8"/>
        <v>500</v>
      </c>
      <c r="V63" s="313">
        <f t="shared" si="8"/>
        <v>500</v>
      </c>
      <c r="W63" s="313">
        <f t="shared" si="8"/>
        <v>500</v>
      </c>
      <c r="X63" s="313">
        <f t="shared" si="8"/>
        <v>500</v>
      </c>
    </row>
    <row r="64" spans="1:25 16384:16384" s="96" customFormat="1">
      <c r="A64" s="54" t="s">
        <v>540</v>
      </c>
      <c r="B64" s="435"/>
      <c r="C64" s="487"/>
      <c r="D64" s="1055">
        <v>0</v>
      </c>
      <c r="E64" s="1056">
        <v>0</v>
      </c>
      <c r="F64" s="1056">
        <v>0</v>
      </c>
      <c r="G64" s="1056">
        <v>200000</v>
      </c>
      <c r="H64" s="1056">
        <f>G64</f>
        <v>200000</v>
      </c>
      <c r="I64" s="1056">
        <f t="shared" ref="I64:X64" si="9">H64</f>
        <v>200000</v>
      </c>
      <c r="J64" s="1056">
        <f t="shared" si="9"/>
        <v>200000</v>
      </c>
      <c r="K64" s="1056">
        <f t="shared" si="9"/>
        <v>200000</v>
      </c>
      <c r="L64" s="1056">
        <f t="shared" si="9"/>
        <v>200000</v>
      </c>
      <c r="M64" s="1056">
        <f t="shared" si="9"/>
        <v>200000</v>
      </c>
      <c r="N64" s="1056">
        <f t="shared" si="9"/>
        <v>200000</v>
      </c>
      <c r="O64" s="1056">
        <f t="shared" si="9"/>
        <v>200000</v>
      </c>
      <c r="P64" s="1056">
        <f t="shared" si="9"/>
        <v>200000</v>
      </c>
      <c r="Q64" s="1056">
        <f t="shared" si="9"/>
        <v>200000</v>
      </c>
      <c r="R64" s="1056">
        <f t="shared" si="9"/>
        <v>200000</v>
      </c>
      <c r="S64" s="1056">
        <f t="shared" si="9"/>
        <v>200000</v>
      </c>
      <c r="T64" s="1056">
        <f t="shared" si="9"/>
        <v>200000</v>
      </c>
      <c r="U64" s="1056">
        <f t="shared" si="9"/>
        <v>200000</v>
      </c>
      <c r="V64" s="1056">
        <f t="shared" si="9"/>
        <v>200000</v>
      </c>
      <c r="W64" s="1056">
        <f t="shared" si="9"/>
        <v>200000</v>
      </c>
      <c r="X64" s="1056">
        <f t="shared" si="9"/>
        <v>200000</v>
      </c>
    </row>
    <row r="65" spans="1:25" s="96" customFormat="1">
      <c r="A65" s="54" t="s">
        <v>210</v>
      </c>
      <c r="B65" s="487"/>
      <c r="C65" s="487"/>
      <c r="D65" s="486">
        <v>0</v>
      </c>
      <c r="E65" s="313">
        <v>0</v>
      </c>
      <c r="F65" s="313">
        <v>1</v>
      </c>
      <c r="G65" s="313">
        <v>2</v>
      </c>
      <c r="H65" s="313">
        <v>2</v>
      </c>
      <c r="I65" s="313">
        <v>2</v>
      </c>
      <c r="J65" s="313">
        <v>3</v>
      </c>
      <c r="K65" s="313">
        <v>3</v>
      </c>
      <c r="L65" s="313">
        <v>3</v>
      </c>
      <c r="M65" s="313">
        <v>3</v>
      </c>
      <c r="N65" s="313">
        <v>3</v>
      </c>
      <c r="O65" s="313">
        <v>4</v>
      </c>
      <c r="P65" s="313">
        <v>4</v>
      </c>
      <c r="Q65" s="313">
        <v>4</v>
      </c>
      <c r="R65" s="313">
        <v>4</v>
      </c>
      <c r="S65" s="313">
        <v>4</v>
      </c>
      <c r="T65" s="313">
        <v>5</v>
      </c>
      <c r="U65" s="313">
        <v>5</v>
      </c>
      <c r="V65" s="313">
        <v>5</v>
      </c>
      <c r="W65" s="313">
        <v>5</v>
      </c>
      <c r="X65" s="313">
        <v>5</v>
      </c>
      <c r="Y65" s="313"/>
    </row>
    <row r="66" spans="1:25" s="96" customFormat="1">
      <c r="A66" s="96" t="s">
        <v>211</v>
      </c>
      <c r="D66" s="486">
        <v>0</v>
      </c>
      <c r="E66" s="435">
        <v>0</v>
      </c>
      <c r="F66" s="435">
        <v>3</v>
      </c>
      <c r="G66" s="435">
        <v>3</v>
      </c>
      <c r="H66" s="435">
        <v>3</v>
      </c>
      <c r="I66" s="435">
        <v>3</v>
      </c>
      <c r="J66" s="435">
        <v>3</v>
      </c>
      <c r="K66" s="435">
        <v>3</v>
      </c>
      <c r="L66" s="435">
        <v>3</v>
      </c>
      <c r="M66" s="435">
        <v>3</v>
      </c>
      <c r="N66" s="435">
        <v>3</v>
      </c>
      <c r="O66" s="435">
        <v>3</v>
      </c>
      <c r="P66" s="435">
        <v>3</v>
      </c>
      <c r="Q66" s="435">
        <v>3</v>
      </c>
      <c r="R66" s="435">
        <v>3</v>
      </c>
      <c r="S66" s="435">
        <v>3</v>
      </c>
      <c r="T66" s="435">
        <v>3</v>
      </c>
      <c r="U66" s="435">
        <v>3</v>
      </c>
      <c r="V66" s="435">
        <v>3</v>
      </c>
      <c r="W66" s="435">
        <v>3</v>
      </c>
      <c r="X66" s="435">
        <v>3</v>
      </c>
    </row>
    <row r="67" spans="1:25" s="167" customFormat="1">
      <c r="A67" s="497"/>
      <c r="B67" s="501"/>
      <c r="C67" s="501"/>
      <c r="D67" s="499"/>
      <c r="E67" s="500"/>
      <c r="F67" s="500"/>
      <c r="G67" s="500"/>
      <c r="H67" s="500"/>
      <c r="I67" s="500"/>
      <c r="J67" s="500"/>
      <c r="K67" s="500"/>
      <c r="L67" s="500"/>
      <c r="M67" s="500"/>
      <c r="N67" s="500"/>
      <c r="O67" s="500"/>
      <c r="P67" s="500"/>
      <c r="Q67" s="500"/>
      <c r="R67" s="500"/>
      <c r="S67" s="500"/>
      <c r="T67" s="500"/>
      <c r="U67" s="500"/>
      <c r="V67" s="500"/>
      <c r="W67" s="500"/>
      <c r="X67" s="500"/>
      <c r="Y67" s="500"/>
    </row>
    <row r="68" spans="1:25">
      <c r="A68" s="28"/>
      <c r="D68" s="486"/>
      <c r="E68" s="331"/>
      <c r="F68" s="333"/>
      <c r="G68" s="331"/>
      <c r="H68" s="331"/>
      <c r="I68" s="331"/>
      <c r="J68" s="331"/>
      <c r="K68" s="331"/>
      <c r="L68" s="331"/>
      <c r="M68" s="331"/>
      <c r="N68" s="331"/>
      <c r="O68" s="331"/>
      <c r="P68" s="331"/>
      <c r="Q68" s="331"/>
      <c r="R68" s="331"/>
      <c r="S68" s="331"/>
      <c r="T68" s="331"/>
      <c r="U68" s="331"/>
      <c r="V68" s="331"/>
      <c r="W68" s="331"/>
      <c r="X68" s="331"/>
    </row>
    <row r="69" spans="1:25">
      <c r="A69" s="266" t="s">
        <v>135</v>
      </c>
      <c r="B69" s="223"/>
      <c r="C69" s="267"/>
      <c r="D69" s="332"/>
      <c r="E69" s="332"/>
      <c r="F69" s="349"/>
      <c r="G69" s="332"/>
      <c r="H69" s="332"/>
      <c r="I69" s="332"/>
      <c r="J69" s="332"/>
      <c r="K69" s="332"/>
      <c r="L69" s="332"/>
      <c r="M69" s="332"/>
      <c r="N69" s="332"/>
      <c r="O69" s="332"/>
      <c r="P69" s="332"/>
      <c r="Q69" s="332"/>
      <c r="R69" s="332"/>
      <c r="S69" s="332"/>
      <c r="T69" s="332"/>
      <c r="U69" s="332"/>
      <c r="V69" s="332"/>
      <c r="W69" s="332"/>
      <c r="X69" s="332"/>
    </row>
    <row r="70" spans="1:25" s="341" customFormat="1">
      <c r="A70" s="353"/>
      <c r="B70" s="355"/>
      <c r="C70" s="355"/>
      <c r="D70" s="502"/>
      <c r="E70" s="503"/>
      <c r="F70" s="503"/>
      <c r="G70" s="503"/>
      <c r="H70" s="503"/>
      <c r="I70" s="503"/>
      <c r="J70" s="503"/>
      <c r="K70" s="503"/>
      <c r="L70" s="503"/>
      <c r="M70" s="503"/>
      <c r="N70" s="503"/>
      <c r="O70" s="503"/>
      <c r="P70" s="503"/>
      <c r="Q70" s="503"/>
      <c r="R70" s="503"/>
      <c r="S70" s="503"/>
      <c r="T70" s="503"/>
      <c r="U70" s="503"/>
      <c r="V70" s="503"/>
      <c r="W70" s="503"/>
      <c r="X70" s="503"/>
    </row>
    <row r="71" spans="1:25" s="341" customFormat="1">
      <c r="A71" s="691" t="s">
        <v>144</v>
      </c>
      <c r="B71" s="355"/>
      <c r="C71" s="355"/>
      <c r="D71" s="548"/>
      <c r="E71" s="503"/>
      <c r="F71" s="503"/>
      <c r="G71" s="503"/>
      <c r="H71" s="503"/>
      <c r="I71" s="503"/>
      <c r="J71" s="503"/>
      <c r="K71" s="503"/>
      <c r="L71" s="503"/>
      <c r="M71" s="503"/>
      <c r="N71" s="503"/>
      <c r="O71" s="503"/>
      <c r="P71" s="503"/>
      <c r="Q71" s="503"/>
      <c r="R71" s="503"/>
      <c r="S71" s="503"/>
      <c r="T71" s="503"/>
      <c r="U71" s="503"/>
      <c r="V71" s="503"/>
      <c r="W71" s="503"/>
      <c r="X71" s="503"/>
    </row>
    <row r="72" spans="1:25" s="561" customFormat="1">
      <c r="A72" s="353" t="str">
        <f>'BH Tariffs'!A11</f>
        <v>Port Fee</v>
      </c>
      <c r="B72" s="355"/>
      <c r="C72" s="355"/>
      <c r="D72" s="548">
        <v>0</v>
      </c>
      <c r="E72" s="503">
        <f>'BH Tariffs'!D11*'P&amp;L - Concept B2 - ALL'!E12</f>
        <v>0</v>
      </c>
      <c r="F72" s="503">
        <v>0</v>
      </c>
      <c r="G72" s="503">
        <v>0</v>
      </c>
      <c r="H72" s="503">
        <v>0</v>
      </c>
      <c r="I72" s="503">
        <v>0</v>
      </c>
      <c r="J72" s="503">
        <v>0</v>
      </c>
      <c r="K72" s="503">
        <v>0</v>
      </c>
      <c r="L72" s="503">
        <v>0</v>
      </c>
      <c r="M72" s="503">
        <v>0</v>
      </c>
      <c r="N72" s="503">
        <v>0</v>
      </c>
      <c r="O72" s="503">
        <v>0</v>
      </c>
      <c r="P72" s="503">
        <v>0</v>
      </c>
      <c r="Q72" s="503">
        <v>0</v>
      </c>
      <c r="R72" s="503">
        <v>0</v>
      </c>
      <c r="S72" s="503">
        <v>0</v>
      </c>
      <c r="T72" s="503">
        <v>0</v>
      </c>
      <c r="U72" s="503">
        <v>0</v>
      </c>
      <c r="V72" s="503">
        <v>0</v>
      </c>
      <c r="W72" s="503">
        <v>0</v>
      </c>
      <c r="X72" s="503">
        <v>0</v>
      </c>
    </row>
    <row r="73" spans="1:25">
      <c r="A73" s="88"/>
      <c r="B73" s="89"/>
      <c r="C73" s="89"/>
      <c r="D73" s="502"/>
      <c r="E73" s="504"/>
      <c r="F73" s="504"/>
      <c r="G73" s="504"/>
      <c r="H73" s="504"/>
      <c r="I73" s="504"/>
      <c r="J73" s="504"/>
      <c r="K73" s="504"/>
      <c r="L73" s="504"/>
      <c r="M73" s="504"/>
      <c r="N73" s="504"/>
      <c r="O73" s="504"/>
      <c r="P73" s="504"/>
      <c r="Q73" s="504"/>
      <c r="R73" s="504"/>
      <c r="S73" s="504"/>
      <c r="T73" s="504"/>
      <c r="U73" s="504"/>
      <c r="V73" s="504"/>
      <c r="W73" s="504"/>
      <c r="X73" s="504"/>
    </row>
    <row r="74" spans="1:25" s="16" customFormat="1" ht="14.25">
      <c r="A74" s="280" t="s">
        <v>124</v>
      </c>
      <c r="B74" s="533"/>
      <c r="C74" s="533"/>
      <c r="D74" s="534"/>
      <c r="E74" s="535"/>
      <c r="F74" s="535"/>
      <c r="G74" s="535"/>
      <c r="H74" s="535"/>
      <c r="I74" s="535"/>
      <c r="J74" s="535"/>
      <c r="K74" s="535"/>
      <c r="L74" s="535"/>
      <c r="M74" s="535"/>
      <c r="N74" s="535"/>
      <c r="O74" s="535"/>
      <c r="P74" s="535"/>
      <c r="Q74" s="535"/>
      <c r="R74" s="535"/>
      <c r="S74" s="535"/>
      <c r="T74" s="535"/>
      <c r="U74" s="535"/>
      <c r="V74" s="535"/>
      <c r="W74" s="535"/>
      <c r="X74" s="535"/>
    </row>
    <row r="75" spans="1:25" s="279" customFormat="1" ht="14.25">
      <c r="A75" s="91" t="s">
        <v>83</v>
      </c>
      <c r="B75" s="536"/>
      <c r="C75" s="536"/>
      <c r="D75" s="537"/>
      <c r="E75" s="538"/>
      <c r="F75" s="538"/>
      <c r="G75" s="538"/>
      <c r="H75" s="538"/>
      <c r="I75" s="538"/>
      <c r="J75" s="538"/>
      <c r="K75" s="538"/>
      <c r="L75" s="538"/>
      <c r="M75" s="538"/>
      <c r="N75" s="538"/>
      <c r="O75" s="538"/>
      <c r="P75" s="538"/>
      <c r="Q75" s="538"/>
      <c r="R75" s="538"/>
      <c r="S75" s="538"/>
      <c r="T75" s="538"/>
      <c r="U75" s="538"/>
      <c r="V75" s="538"/>
      <c r="W75" s="538"/>
      <c r="X75" s="538"/>
    </row>
    <row r="76" spans="1:25">
      <c r="A76" s="90" t="str">
        <f>'BH Tariffs'!A20</f>
        <v>Town Wharfage (Non-Exclusive Use, Ferry Property Only)</v>
      </c>
      <c r="B76" s="89"/>
      <c r="C76" s="89"/>
      <c r="D76" s="502">
        <v>0</v>
      </c>
      <c r="E76" s="504">
        <f>'BH Tariffs'!D20*'P&amp;L - Concept B2 - ALL'!E12</f>
        <v>0</v>
      </c>
      <c r="F76" s="504">
        <f>'BH Tariffs'!E20*'P&amp;L - Concept B2 - ALL'!F12</f>
        <v>1176607.6686000002</v>
      </c>
      <c r="G76" s="504">
        <f>'BH Tariffs'!F20*'P&amp;L - Concept B2 - ALL'!G12</f>
        <v>1200139.8219719999</v>
      </c>
      <c r="H76" s="504">
        <f>'BH Tariffs'!G20*'P&amp;L - Concept B2 - ALL'!H12</f>
        <v>1224142.6184114402</v>
      </c>
      <c r="I76" s="504">
        <f>'BH Tariffs'!H20*'P&amp;L - Concept B2 - ALL'!I12</f>
        <v>1248625.4707796688</v>
      </c>
      <c r="J76" s="504">
        <f>'BH Tariffs'!I20*'P&amp;L - Concept B2 - ALL'!J12</f>
        <v>1273597.9801952622</v>
      </c>
      <c r="K76" s="504">
        <f>'BH Tariffs'!J20*'P&amp;L - Concept B2 - ALL'!K12</f>
        <v>1299069.9397991677</v>
      </c>
      <c r="L76" s="504">
        <f>'BH Tariffs'!K20*'P&amp;L - Concept B2 - ALL'!L12</f>
        <v>1325051.338595151</v>
      </c>
      <c r="M76" s="504">
        <f>'BH Tariffs'!L20*'P&amp;L - Concept B2 - ALL'!M12</f>
        <v>1351552.365367054</v>
      </c>
      <c r="N76" s="504">
        <f>'BH Tariffs'!M20*'P&amp;L - Concept B2 - ALL'!N12</f>
        <v>1378583.4126743951</v>
      </c>
      <c r="O76" s="504">
        <f>'BH Tariffs'!N20*'P&amp;L - Concept B2 - ALL'!O12</f>
        <v>1406155.080927883</v>
      </c>
      <c r="P76" s="504">
        <f>'BH Tariffs'!O20*'P&amp;L - Concept B2 - ALL'!P12</f>
        <v>1434278.1825464405</v>
      </c>
      <c r="Q76" s="504">
        <f>'BH Tariffs'!P20*'P&amp;L - Concept B2 - ALL'!Q12</f>
        <v>1462963.7461973694</v>
      </c>
      <c r="R76" s="504">
        <f>'BH Tariffs'!Q20*'P&amp;L - Concept B2 - ALL'!R12</f>
        <v>1492223.0211213168</v>
      </c>
      <c r="S76" s="504">
        <f>'BH Tariffs'!R20*'P&amp;L - Concept B2 - ALL'!S12</f>
        <v>1522067.4815437433</v>
      </c>
      <c r="T76" s="504">
        <f>'BH Tariffs'!S20*'P&amp;L - Concept B2 - ALL'!T12</f>
        <v>1552508.8311746181</v>
      </c>
      <c r="U76" s="504">
        <f>'BH Tariffs'!T20*'P&amp;L - Concept B2 - ALL'!U12</f>
        <v>1583559.0077981106</v>
      </c>
      <c r="V76" s="504">
        <f>'BH Tariffs'!U20*'P&amp;L - Concept B2 - ALL'!V12</f>
        <v>1615230.1879540728</v>
      </c>
      <c r="W76" s="504">
        <f>'BH Tariffs'!V20*'P&amp;L - Concept B2 - ALL'!W12</f>
        <v>1647534.7917131544</v>
      </c>
      <c r="X76" s="504">
        <f>'BH Tariffs'!W20*'P&amp;L - Concept B2 - ALL'!X12</f>
        <v>1680485.4875474174</v>
      </c>
      <c r="Y76" s="413">
        <f>SUM(D76:X76)</f>
        <v>26874376.434918266</v>
      </c>
    </row>
    <row r="77" spans="1:25" s="341" customFormat="1">
      <c r="A77" s="353" t="str">
        <f>'BH Tariffs'!A21</f>
        <v>CBP Infastructure Fee (Ferry Property Only)</v>
      </c>
      <c r="B77" s="355"/>
      <c r="C77" s="355"/>
      <c r="D77" s="548">
        <v>0</v>
      </c>
      <c r="E77" s="503">
        <v>0</v>
      </c>
      <c r="F77" s="503">
        <v>0</v>
      </c>
      <c r="G77" s="503">
        <v>0</v>
      </c>
      <c r="H77" s="503">
        <v>0</v>
      </c>
      <c r="I77" s="503">
        <v>0</v>
      </c>
      <c r="J77" s="503">
        <v>0</v>
      </c>
      <c r="K77" s="503">
        <v>0</v>
      </c>
      <c r="L77" s="503">
        <v>0</v>
      </c>
      <c r="M77" s="503">
        <v>0</v>
      </c>
      <c r="N77" s="503">
        <v>0</v>
      </c>
      <c r="O77" s="503">
        <v>0</v>
      </c>
      <c r="P77" s="503">
        <v>0</v>
      </c>
      <c r="Q77" s="503">
        <v>0</v>
      </c>
      <c r="R77" s="503">
        <v>0</v>
      </c>
      <c r="S77" s="503">
        <v>0</v>
      </c>
      <c r="T77" s="503">
        <v>0</v>
      </c>
      <c r="U77" s="503">
        <v>0</v>
      </c>
      <c r="V77" s="503">
        <v>0</v>
      </c>
      <c r="W77" s="503">
        <v>0</v>
      </c>
      <c r="X77" s="503">
        <v>0</v>
      </c>
    </row>
    <row r="78" spans="1:25" s="96" customFormat="1">
      <c r="A78" s="90" t="str">
        <f>'BH Tariffs'!A22</f>
        <v>Infrastructure Fee</v>
      </c>
      <c r="B78" s="356"/>
      <c r="C78" s="356"/>
      <c r="D78" s="502">
        <v>0</v>
      </c>
      <c r="E78" s="504">
        <v>0</v>
      </c>
      <c r="F78" s="504">
        <f>'BH Tariffs'!E22*'Cruise Projections'!V97</f>
        <v>522936.74160000001</v>
      </c>
      <c r="G78" s="504">
        <f>'BH Tariffs'!F22*'Cruise Projections'!W97</f>
        <v>533395.47643200005</v>
      </c>
      <c r="H78" s="504">
        <f>'BH Tariffs'!G22*'Cruise Projections'!X97</f>
        <v>544063.38596063992</v>
      </c>
      <c r="I78" s="504">
        <f>'BH Tariffs'!H22*'Cruise Projections'!Y97</f>
        <v>554944.65367985272</v>
      </c>
      <c r="J78" s="504">
        <f>'BH Tariffs'!I22*'Cruise Projections'!Z97</f>
        <v>566043.54675344983</v>
      </c>
      <c r="K78" s="504">
        <f>'BH Tariffs'!J22*'Cruise Projections'!AA97</f>
        <v>577364.41768851888</v>
      </c>
      <c r="L78" s="504">
        <f>'BH Tariffs'!K22*'Cruise Projections'!AB97</f>
        <v>588911.70604228915</v>
      </c>
      <c r="M78" s="504">
        <f>'BH Tariffs'!L22*'Cruise Projections'!AC97</f>
        <v>600689.94016313506</v>
      </c>
      <c r="N78" s="504">
        <f>'BH Tariffs'!M22*'Cruise Projections'!AD97</f>
        <v>612703.73896639771</v>
      </c>
      <c r="O78" s="504">
        <f>'BH Tariffs'!N22*'Cruise Projections'!AE97</f>
        <v>624957.81374572578</v>
      </c>
      <c r="P78" s="504">
        <f>'BH Tariffs'!O22*'Cruise Projections'!AF97</f>
        <v>637456.97002064029</v>
      </c>
      <c r="Q78" s="504">
        <f>'BH Tariffs'!P22*'Cruise Projections'!AG97</f>
        <v>650206.10942105309</v>
      </c>
      <c r="R78" s="504">
        <f>'BH Tariffs'!Q22*'Cruise Projections'!AH97</f>
        <v>663210.23160947405</v>
      </c>
      <c r="S78" s="504">
        <f>'BH Tariffs'!R22*'Cruise Projections'!AI97</f>
        <v>676474.43624166364</v>
      </c>
      <c r="T78" s="504">
        <f>'BH Tariffs'!S22*'Cruise Projections'!AJ97</f>
        <v>690003.924966497</v>
      </c>
      <c r="U78" s="504">
        <f>'BH Tariffs'!T22*'Cruise Projections'!AK97</f>
        <v>703804.00346582686</v>
      </c>
      <c r="V78" s="504">
        <f>'BH Tariffs'!U22*'Cruise Projections'!AL97</f>
        <v>717880.08353514341</v>
      </c>
      <c r="W78" s="504">
        <f>'BH Tariffs'!V22*'Cruise Projections'!AM97</f>
        <v>732237.68520584644</v>
      </c>
      <c r="X78" s="504">
        <f>'BH Tariffs'!W22*'Cruise Projections'!AN97</f>
        <v>746882.43890996324</v>
      </c>
    </row>
    <row r="79" spans="1:25">
      <c r="A79" s="90"/>
      <c r="B79" s="89"/>
      <c r="C79" s="89"/>
      <c r="D79" s="502"/>
      <c r="E79" s="504"/>
      <c r="F79" s="504"/>
      <c r="G79" s="504"/>
      <c r="H79" s="504"/>
      <c r="I79" s="504"/>
      <c r="J79" s="504"/>
      <c r="K79" s="504"/>
      <c r="L79" s="504"/>
      <c r="M79" s="504"/>
      <c r="N79" s="504"/>
      <c r="O79" s="504"/>
      <c r="P79" s="504"/>
      <c r="Q79" s="504"/>
      <c r="R79" s="504"/>
      <c r="S79" s="504"/>
      <c r="T79" s="504"/>
      <c r="U79" s="504"/>
      <c r="V79" s="504"/>
      <c r="W79" s="504"/>
      <c r="X79" s="504"/>
    </row>
    <row r="80" spans="1:25" s="341" customFormat="1">
      <c r="A80" s="543" t="s">
        <v>163</v>
      </c>
      <c r="B80" s="354"/>
      <c r="C80" s="355"/>
      <c r="D80" s="548"/>
      <c r="E80" s="503"/>
      <c r="F80" s="503"/>
      <c r="G80" s="503"/>
      <c r="H80" s="503"/>
      <c r="I80" s="503"/>
      <c r="J80" s="503"/>
      <c r="K80" s="503"/>
      <c r="L80" s="503"/>
      <c r="M80" s="503"/>
      <c r="N80" s="503"/>
      <c r="O80" s="503"/>
      <c r="P80" s="503"/>
      <c r="Q80" s="503"/>
      <c r="R80" s="503"/>
      <c r="S80" s="503"/>
      <c r="T80" s="503"/>
      <c r="U80" s="503"/>
      <c r="V80" s="503"/>
      <c r="W80" s="503"/>
      <c r="X80" s="503"/>
    </row>
    <row r="81" spans="1:25" s="341" customFormat="1">
      <c r="A81" s="353" t="str">
        <f>'BH Tariffs'!A25</f>
        <v>Dock Rent (12 months)</v>
      </c>
      <c r="B81" s="354"/>
      <c r="C81" s="355"/>
      <c r="D81" s="548">
        <v>0</v>
      </c>
      <c r="E81" s="503">
        <v>0</v>
      </c>
      <c r="F81" s="503">
        <v>0</v>
      </c>
      <c r="G81" s="503">
        <v>0</v>
      </c>
      <c r="H81" s="503">
        <v>0</v>
      </c>
      <c r="I81" s="503">
        <v>0</v>
      </c>
      <c r="J81" s="503">
        <v>0</v>
      </c>
      <c r="K81" s="503">
        <v>0</v>
      </c>
      <c r="L81" s="503">
        <v>0</v>
      </c>
      <c r="M81" s="503">
        <v>0</v>
      </c>
      <c r="N81" s="503">
        <v>0</v>
      </c>
      <c r="O81" s="503">
        <v>0</v>
      </c>
      <c r="P81" s="503">
        <v>0</v>
      </c>
      <c r="Q81" s="503">
        <v>0</v>
      </c>
      <c r="R81" s="503">
        <v>0</v>
      </c>
      <c r="S81" s="503">
        <v>0</v>
      </c>
      <c r="T81" s="503">
        <v>0</v>
      </c>
      <c r="U81" s="503">
        <v>0</v>
      </c>
      <c r="V81" s="503">
        <v>0</v>
      </c>
      <c r="W81" s="503">
        <v>0</v>
      </c>
      <c r="X81" s="503">
        <v>0</v>
      </c>
    </row>
    <row r="82" spans="1:25" s="341" customFormat="1">
      <c r="A82" s="353" t="str">
        <f>'BH Tariffs'!A26</f>
        <v>Ferry Passenger Wharfage</v>
      </c>
      <c r="B82" s="354"/>
      <c r="C82" s="355"/>
      <c r="D82" s="548">
        <v>0</v>
      </c>
      <c r="E82" s="503">
        <v>0</v>
      </c>
      <c r="F82" s="503">
        <v>0</v>
      </c>
      <c r="G82" s="503">
        <v>0</v>
      </c>
      <c r="H82" s="503">
        <v>0</v>
      </c>
      <c r="I82" s="503">
        <v>0</v>
      </c>
      <c r="J82" s="503">
        <v>0</v>
      </c>
      <c r="K82" s="503">
        <v>0</v>
      </c>
      <c r="L82" s="503">
        <v>0</v>
      </c>
      <c r="M82" s="503">
        <v>0</v>
      </c>
      <c r="N82" s="503">
        <v>0</v>
      </c>
      <c r="O82" s="503">
        <v>0</v>
      </c>
      <c r="P82" s="503">
        <v>0</v>
      </c>
      <c r="Q82" s="503">
        <v>0</v>
      </c>
      <c r="R82" s="503">
        <v>0</v>
      </c>
      <c r="S82" s="503">
        <v>0</v>
      </c>
      <c r="T82" s="503">
        <v>0</v>
      </c>
      <c r="U82" s="503">
        <v>0</v>
      </c>
      <c r="V82" s="503">
        <v>0</v>
      </c>
      <c r="W82" s="503">
        <v>0</v>
      </c>
      <c r="X82" s="503">
        <v>0</v>
      </c>
    </row>
    <row r="83" spans="1:25" s="341" customFormat="1">
      <c r="A83" s="353" t="str">
        <f>'BH Tariffs'!A27</f>
        <v>Ferry Passenger Vehicle Wharfage</v>
      </c>
      <c r="B83" s="354"/>
      <c r="C83" s="355"/>
      <c r="D83" s="548">
        <v>0</v>
      </c>
      <c r="E83" s="503">
        <v>0</v>
      </c>
      <c r="F83" s="503">
        <v>0</v>
      </c>
      <c r="G83" s="503">
        <v>0</v>
      </c>
      <c r="H83" s="503">
        <v>0</v>
      </c>
      <c r="I83" s="503">
        <v>0</v>
      </c>
      <c r="J83" s="503">
        <v>0</v>
      </c>
      <c r="K83" s="503">
        <v>0</v>
      </c>
      <c r="L83" s="503">
        <v>0</v>
      </c>
      <c r="M83" s="503">
        <v>0</v>
      </c>
      <c r="N83" s="503">
        <v>0</v>
      </c>
      <c r="O83" s="503">
        <v>0</v>
      </c>
      <c r="P83" s="503">
        <v>0</v>
      </c>
      <c r="Q83" s="503">
        <v>0</v>
      </c>
      <c r="R83" s="503">
        <v>0</v>
      </c>
      <c r="S83" s="503">
        <v>0</v>
      </c>
      <c r="T83" s="503">
        <v>0</v>
      </c>
      <c r="U83" s="503">
        <v>0</v>
      </c>
      <c r="V83" s="503">
        <v>0</v>
      </c>
      <c r="W83" s="503">
        <v>0</v>
      </c>
      <c r="X83" s="503">
        <v>0</v>
      </c>
    </row>
    <row r="84" spans="1:25" s="341" customFormat="1">
      <c r="A84" s="353" t="str">
        <f>'BH Tariffs'!A28</f>
        <v>Ferry Bus Wharfage</v>
      </c>
      <c r="B84" s="354"/>
      <c r="C84" s="355"/>
      <c r="D84" s="548">
        <v>0</v>
      </c>
      <c r="E84" s="503">
        <v>0</v>
      </c>
      <c r="F84" s="503">
        <v>0</v>
      </c>
      <c r="G84" s="503">
        <v>0</v>
      </c>
      <c r="H84" s="503">
        <v>0</v>
      </c>
      <c r="I84" s="503">
        <v>0</v>
      </c>
      <c r="J84" s="503">
        <v>0</v>
      </c>
      <c r="K84" s="503">
        <v>0</v>
      </c>
      <c r="L84" s="503">
        <v>0</v>
      </c>
      <c r="M84" s="503">
        <v>0</v>
      </c>
      <c r="N84" s="503">
        <v>0</v>
      </c>
      <c r="O84" s="503">
        <v>0</v>
      </c>
      <c r="P84" s="503">
        <v>0</v>
      </c>
      <c r="Q84" s="503">
        <v>0</v>
      </c>
      <c r="R84" s="503">
        <v>0</v>
      </c>
      <c r="S84" s="503">
        <v>0</v>
      </c>
      <c r="T84" s="503">
        <v>0</v>
      </c>
      <c r="U84" s="503">
        <v>0</v>
      </c>
      <c r="V84" s="503">
        <v>0</v>
      </c>
      <c r="W84" s="503">
        <v>0</v>
      </c>
      <c r="X84" s="503">
        <v>0</v>
      </c>
    </row>
    <row r="85" spans="1:25">
      <c r="A85" s="88"/>
      <c r="B85" s="30"/>
      <c r="C85" s="89"/>
      <c r="D85" s="502"/>
      <c r="E85" s="504"/>
      <c r="F85" s="504"/>
      <c r="G85" s="504"/>
      <c r="H85" s="504"/>
      <c r="I85" s="504"/>
      <c r="J85" s="504"/>
      <c r="K85" s="504"/>
      <c r="L85" s="504"/>
      <c r="M85" s="504"/>
      <c r="N85" s="504"/>
      <c r="O85" s="504"/>
      <c r="P85" s="504"/>
      <c r="Q85" s="504"/>
      <c r="R85" s="504"/>
      <c r="S85" s="504"/>
      <c r="T85" s="504"/>
      <c r="U85" s="504"/>
      <c r="V85" s="504"/>
      <c r="W85" s="504"/>
      <c r="X85" s="504"/>
    </row>
    <row r="86" spans="1:25" s="96" customFormat="1">
      <c r="A86" s="605" t="s">
        <v>164</v>
      </c>
      <c r="B86" s="606"/>
      <c r="C86" s="356"/>
      <c r="D86" s="502"/>
      <c r="E86" s="504"/>
      <c r="F86" s="504"/>
      <c r="G86" s="504"/>
      <c r="H86" s="504"/>
      <c r="I86" s="504"/>
      <c r="J86" s="504"/>
      <c r="K86" s="504"/>
      <c r="L86" s="504"/>
      <c r="M86" s="504"/>
      <c r="N86" s="504"/>
      <c r="O86" s="504"/>
      <c r="P86" s="504"/>
      <c r="Q86" s="504"/>
      <c r="R86" s="504"/>
      <c r="S86" s="504"/>
      <c r="T86" s="504"/>
      <c r="U86" s="504"/>
      <c r="V86" s="504"/>
      <c r="W86" s="504"/>
      <c r="X86" s="504"/>
    </row>
    <row r="87" spans="1:25" s="96" customFormat="1">
      <c r="A87" s="90" t="str">
        <f>'BH Tariffs'!A31</f>
        <v>Dock Rent (6 Months Only)</v>
      </c>
      <c r="B87" s="606"/>
      <c r="C87" s="356"/>
      <c r="D87" s="502">
        <v>0</v>
      </c>
      <c r="E87" s="504">
        <v>0</v>
      </c>
      <c r="F87" s="504">
        <f>'BH Tariffs'!E31*6</f>
        <v>12240</v>
      </c>
      <c r="G87" s="504">
        <f>'BH Tariffs'!F31*6</f>
        <v>12484.800000000001</v>
      </c>
      <c r="H87" s="504">
        <f>'BH Tariffs'!G31*6</f>
        <v>12734.495999999999</v>
      </c>
      <c r="I87" s="504">
        <f>'BH Tariffs'!H31*6</f>
        <v>12989.18592</v>
      </c>
      <c r="J87" s="504">
        <f>'BH Tariffs'!I31*6</f>
        <v>13248.9696384</v>
      </c>
      <c r="K87" s="504">
        <f>'BH Tariffs'!J31*6</f>
        <v>13513.949031168002</v>
      </c>
      <c r="L87" s="504">
        <f>'BH Tariffs'!K31*6</f>
        <v>13784.228011791361</v>
      </c>
      <c r="M87" s="504">
        <f>'BH Tariffs'!L31*6</f>
        <v>14059.912572027188</v>
      </c>
      <c r="N87" s="504">
        <f>'BH Tariffs'!M31*6</f>
        <v>14341.110823467734</v>
      </c>
      <c r="O87" s="504">
        <f>'BH Tariffs'!N31*6</f>
        <v>14627.933039937088</v>
      </c>
      <c r="P87" s="504">
        <f>'BH Tariffs'!O31*6</f>
        <v>14920.491700735829</v>
      </c>
      <c r="Q87" s="504">
        <f>'BH Tariffs'!P31*6</f>
        <v>15218.901534750545</v>
      </c>
      <c r="R87" s="504">
        <f>'BH Tariffs'!Q31*6</f>
        <v>15523.279565445555</v>
      </c>
      <c r="S87" s="504">
        <f>'BH Tariffs'!R31*6</f>
        <v>15833.745156754467</v>
      </c>
      <c r="T87" s="504">
        <f>'BH Tariffs'!S31*6</f>
        <v>16150.420059889559</v>
      </c>
      <c r="U87" s="504">
        <f>'BH Tariffs'!T31*6</f>
        <v>16473.428461087351</v>
      </c>
      <c r="V87" s="504">
        <f>'BH Tariffs'!U31*6</f>
        <v>16802.897030309097</v>
      </c>
      <c r="W87" s="504">
        <f>'BH Tariffs'!V31*6</f>
        <v>17138.954970915282</v>
      </c>
      <c r="X87" s="504">
        <f>'BH Tariffs'!W31*6</f>
        <v>17481.734070333587</v>
      </c>
    </row>
    <row r="88" spans="1:25" s="96" customFormat="1">
      <c r="A88" s="90"/>
      <c r="B88" s="606"/>
      <c r="C88" s="356"/>
      <c r="D88" s="502"/>
      <c r="E88" s="504"/>
      <c r="F88" s="504"/>
      <c r="G88" s="504"/>
      <c r="H88" s="504"/>
      <c r="I88" s="504"/>
      <c r="J88" s="504"/>
      <c r="K88" s="504"/>
      <c r="L88" s="504"/>
      <c r="M88" s="504"/>
      <c r="N88" s="504"/>
      <c r="O88" s="504"/>
      <c r="P88" s="504"/>
      <c r="Q88" s="504"/>
      <c r="R88" s="504"/>
      <c r="S88" s="504"/>
      <c r="T88" s="504"/>
      <c r="U88" s="504"/>
      <c r="V88" s="504"/>
      <c r="W88" s="504"/>
      <c r="X88" s="504"/>
    </row>
    <row r="89" spans="1:25" s="582" customFormat="1" ht="14.25">
      <c r="A89" s="605" t="str">
        <f>'BH Tariffs'!A33</f>
        <v>Recreational/Commercial Marina</v>
      </c>
      <c r="B89" s="607"/>
      <c r="C89" s="608"/>
      <c r="D89" s="537"/>
      <c r="E89" s="538"/>
      <c r="F89" s="538"/>
      <c r="G89" s="538"/>
      <c r="H89" s="538"/>
      <c r="I89" s="538"/>
      <c r="J89" s="538"/>
      <c r="K89" s="538"/>
      <c r="L89" s="538"/>
      <c r="M89" s="538"/>
      <c r="N89" s="538"/>
      <c r="O89" s="538"/>
      <c r="P89" s="538"/>
      <c r="Q89" s="538"/>
      <c r="R89" s="538"/>
      <c r="S89" s="538"/>
      <c r="T89" s="538"/>
      <c r="U89" s="538"/>
      <c r="V89" s="538"/>
      <c r="W89" s="538"/>
      <c r="X89" s="538"/>
    </row>
    <row r="90" spans="1:25" s="96" customFormat="1">
      <c r="A90" s="90" t="str">
        <f>'BH Tariffs'!A34</f>
        <v>Transient Slip Rent</v>
      </c>
      <c r="B90" s="606"/>
      <c r="C90" s="356"/>
      <c r="D90" s="502">
        <v>0</v>
      </c>
      <c r="E90" s="504">
        <v>0</v>
      </c>
      <c r="F90" s="504">
        <f>'BH Tariffs'!E34*'P&amp;L - Concept B2 - ALL'!F57</f>
        <v>24370.791468749998</v>
      </c>
      <c r="G90" s="504">
        <f>'BH Tariffs'!F34*'P&amp;L - Concept B2 - ALL'!G57</f>
        <v>24858.207298124998</v>
      </c>
      <c r="H90" s="504">
        <f>'BH Tariffs'!G34*'P&amp;L - Concept B2 - ALL'!H57</f>
        <v>25355.371444087494</v>
      </c>
      <c r="I90" s="504">
        <f>'BH Tariffs'!H34*'P&amp;L - Concept B2 - ALL'!I57</f>
        <v>25862.478872969248</v>
      </c>
      <c r="J90" s="504">
        <f>'BH Tariffs'!I34*'P&amp;L - Concept B2 - ALL'!J57</f>
        <v>26379.728450428636</v>
      </c>
      <c r="K90" s="504">
        <f>'BH Tariffs'!J34*'P&amp;L - Concept B2 - ALL'!K57</f>
        <v>26907.323019437208</v>
      </c>
      <c r="L90" s="504">
        <f>'BH Tariffs'!K34*'P&amp;L - Concept B2 - ALL'!L57</f>
        <v>27445.469479825952</v>
      </c>
      <c r="M90" s="504">
        <f>'BH Tariffs'!L34*'P&amp;L - Concept B2 - ALL'!M57</f>
        <v>27994.378869422475</v>
      </c>
      <c r="N90" s="504">
        <f>'BH Tariffs'!M34*'P&amp;L - Concept B2 - ALL'!N57</f>
        <v>28554.266446810921</v>
      </c>
      <c r="O90" s="504">
        <f>'BH Tariffs'!N34*'P&amp;L - Concept B2 - ALL'!O57</f>
        <v>29125.351775747142</v>
      </c>
      <c r="P90" s="504">
        <f>'BH Tariffs'!O34*'P&amp;L - Concept B2 - ALL'!P57</f>
        <v>29707.858811262082</v>
      </c>
      <c r="Q90" s="504">
        <f>'BH Tariffs'!P34*'P&amp;L - Concept B2 - ALL'!Q57</f>
        <v>30302.015987487324</v>
      </c>
      <c r="R90" s="504">
        <f>'BH Tariffs'!Q34*'P&amp;L - Concept B2 - ALL'!R57</f>
        <v>30908.056307237068</v>
      </c>
      <c r="S90" s="504">
        <f>'BH Tariffs'!R34*'P&amp;L - Concept B2 - ALL'!S57</f>
        <v>31526.217433381815</v>
      </c>
      <c r="T90" s="504">
        <f>'BH Tariffs'!S34*'P&amp;L - Concept B2 - ALL'!T57</f>
        <v>32156.741782049452</v>
      </c>
      <c r="U90" s="504">
        <f>'BH Tariffs'!T34*'P&amp;L - Concept B2 - ALL'!U57</f>
        <v>32799.876617690439</v>
      </c>
      <c r="V90" s="504">
        <f>'BH Tariffs'!U34*'P&amp;L - Concept B2 - ALL'!V57</f>
        <v>33455.874150044256</v>
      </c>
      <c r="W90" s="504">
        <f>'BH Tariffs'!V34*'P&amp;L - Concept B2 - ALL'!W57</f>
        <v>34124.991633045138</v>
      </c>
      <c r="X90" s="504">
        <f>'BH Tariffs'!W34*'P&amp;L - Concept B2 - ALL'!X57</f>
        <v>34807.491465706036</v>
      </c>
    </row>
    <row r="91" spans="1:25" s="96" customFormat="1">
      <c r="A91" s="90" t="s">
        <v>280</v>
      </c>
      <c r="B91" s="606"/>
      <c r="C91" s="356"/>
      <c r="D91" s="502">
        <v>0</v>
      </c>
      <c r="E91" s="504">
        <v>0</v>
      </c>
      <c r="F91" s="504">
        <f>'BH Tariffs'!E35*'P&amp;L - Concept B2 - ALL'!F58</f>
        <v>38459.610000000008</v>
      </c>
      <c r="G91" s="504">
        <f>'BH Tariffs'!F35*'P&amp;L - Concept B2 - ALL'!G58</f>
        <v>39228.802200000006</v>
      </c>
      <c r="H91" s="504">
        <f>'BH Tariffs'!G35*'P&amp;L - Concept B2 - ALL'!H58</f>
        <v>40013.378244</v>
      </c>
      <c r="I91" s="504">
        <f>'BH Tariffs'!H35*'P&amp;L - Concept B2 - ALL'!I58</f>
        <v>40813.645808879999</v>
      </c>
      <c r="J91" s="504">
        <f>'BH Tariffs'!I35*'P&amp;L - Concept B2 - ALL'!J58</f>
        <v>41629.9187250576</v>
      </c>
      <c r="K91" s="504">
        <f>'BH Tariffs'!J35*'P&amp;L - Concept B2 - ALL'!K58</f>
        <v>42462.517099558754</v>
      </c>
      <c r="L91" s="504">
        <f>'BH Tariffs'!K35*'P&amp;L - Concept B2 - ALL'!L58</f>
        <v>43311.767441549935</v>
      </c>
      <c r="M91" s="504">
        <f>'BH Tariffs'!L35*'P&amp;L - Concept B2 - ALL'!M58</f>
        <v>44178.002790380931</v>
      </c>
      <c r="N91" s="504">
        <f>'BH Tariffs'!M35*'P&amp;L - Concept B2 - ALL'!N58</f>
        <v>45061.56284618855</v>
      </c>
      <c r="O91" s="504">
        <f>'BH Tariffs'!N35*'P&amp;L - Concept B2 - ALL'!O58</f>
        <v>45962.794103112326</v>
      </c>
      <c r="P91" s="504">
        <f>'BH Tariffs'!O35*'P&amp;L - Concept B2 - ALL'!P58</f>
        <v>46882.04998517457</v>
      </c>
      <c r="Q91" s="504">
        <f>'BH Tariffs'!P35*'P&amp;L - Concept B2 - ALL'!Q58</f>
        <v>47819.690984878056</v>
      </c>
      <c r="R91" s="504">
        <f>'BH Tariffs'!Q35*'P&amp;L - Concept B2 - ALL'!R58</f>
        <v>48776.084804575621</v>
      </c>
      <c r="S91" s="504">
        <f>'BH Tariffs'!R35*'P&amp;L - Concept B2 - ALL'!S58</f>
        <v>49751.606500667134</v>
      </c>
      <c r="T91" s="504">
        <f>'BH Tariffs'!S35*'P&amp;L - Concept B2 - ALL'!T58</f>
        <v>50746.638630680485</v>
      </c>
      <c r="U91" s="504">
        <f>'BH Tariffs'!T35*'P&amp;L - Concept B2 - ALL'!U58</f>
        <v>51761.571403294096</v>
      </c>
      <c r="V91" s="504">
        <f>'BH Tariffs'!U35*'P&amp;L - Concept B2 - ALL'!V58</f>
        <v>52796.802831359972</v>
      </c>
      <c r="W91" s="504">
        <f>'BH Tariffs'!V35*'P&amp;L - Concept B2 - ALL'!W58</f>
        <v>53852.738887987187</v>
      </c>
      <c r="X91" s="504">
        <f>'BH Tariffs'!W35*'P&amp;L - Concept B2 - ALL'!X58</f>
        <v>54929.793665746925</v>
      </c>
    </row>
    <row r="92" spans="1:25" s="167" customFormat="1">
      <c r="A92" s="539" t="str">
        <f>'BH Tariffs'!A36</f>
        <v>Water/Sewer</v>
      </c>
      <c r="B92" s="609"/>
      <c r="C92" s="540"/>
      <c r="D92" s="541">
        <v>0</v>
      </c>
      <c r="E92" s="542">
        <v>0</v>
      </c>
      <c r="F92" s="542">
        <v>0</v>
      </c>
      <c r="G92" s="542">
        <v>0</v>
      </c>
      <c r="H92" s="542">
        <v>0</v>
      </c>
      <c r="I92" s="542">
        <v>0</v>
      </c>
      <c r="J92" s="542">
        <v>0</v>
      </c>
      <c r="K92" s="542">
        <v>0</v>
      </c>
      <c r="L92" s="542">
        <v>0</v>
      </c>
      <c r="M92" s="542">
        <v>0</v>
      </c>
      <c r="N92" s="542">
        <v>0</v>
      </c>
      <c r="O92" s="542">
        <v>0</v>
      </c>
      <c r="P92" s="542">
        <v>0</v>
      </c>
      <c r="Q92" s="542">
        <v>0</v>
      </c>
      <c r="R92" s="542">
        <v>0</v>
      </c>
      <c r="S92" s="542">
        <v>0</v>
      </c>
      <c r="T92" s="542">
        <v>0</v>
      </c>
      <c r="U92" s="542">
        <v>0</v>
      </c>
      <c r="V92" s="542">
        <v>0</v>
      </c>
      <c r="W92" s="542">
        <v>0</v>
      </c>
      <c r="X92" s="542">
        <v>0</v>
      </c>
      <c r="Y92" s="167" t="s">
        <v>282</v>
      </c>
    </row>
    <row r="93" spans="1:25" s="167" customFormat="1">
      <c r="A93" s="539" t="str">
        <f>'BH Tariffs'!A37</f>
        <v xml:space="preserve">Power (Electricity) </v>
      </c>
      <c r="B93" s="609"/>
      <c r="C93" s="540"/>
      <c r="D93" s="541">
        <v>0</v>
      </c>
      <c r="E93" s="542">
        <v>0</v>
      </c>
      <c r="F93" s="542">
        <v>0</v>
      </c>
      <c r="G93" s="542">
        <v>0</v>
      </c>
      <c r="H93" s="542">
        <v>0</v>
      </c>
      <c r="I93" s="542">
        <v>0</v>
      </c>
      <c r="J93" s="542">
        <v>0</v>
      </c>
      <c r="K93" s="542">
        <v>0</v>
      </c>
      <c r="L93" s="542">
        <v>0</v>
      </c>
      <c r="M93" s="542">
        <v>0</v>
      </c>
      <c r="N93" s="542">
        <v>0</v>
      </c>
      <c r="O93" s="542">
        <v>0</v>
      </c>
      <c r="P93" s="542">
        <v>0</v>
      </c>
      <c r="Q93" s="542">
        <v>0</v>
      </c>
      <c r="R93" s="542">
        <v>0</v>
      </c>
      <c r="S93" s="542">
        <v>0</v>
      </c>
      <c r="T93" s="542">
        <v>0</v>
      </c>
      <c r="U93" s="542">
        <v>0</v>
      </c>
      <c r="V93" s="542">
        <v>0</v>
      </c>
      <c r="W93" s="542">
        <v>0</v>
      </c>
      <c r="X93" s="542">
        <v>0</v>
      </c>
      <c r="Y93" s="167" t="s">
        <v>282</v>
      </c>
    </row>
    <row r="94" spans="1:25" s="96" customFormat="1">
      <c r="A94" s="90" t="s">
        <v>526</v>
      </c>
      <c r="B94" s="606"/>
      <c r="C94" s="356"/>
      <c r="D94" s="502">
        <v>0</v>
      </c>
      <c r="E94" s="504">
        <v>0</v>
      </c>
      <c r="F94" s="504">
        <f>'BH Tariffs'!E38*'P&amp;L - Concept B2 - ALL'!F56</f>
        <v>7500</v>
      </c>
      <c r="G94" s="504">
        <f>'BH Tariffs'!F38*'P&amp;L - Concept B2 - ALL'!G56</f>
        <v>7650</v>
      </c>
      <c r="H94" s="504">
        <f>'BH Tariffs'!G38*'P&amp;L - Concept B2 - ALL'!H56</f>
        <v>7803</v>
      </c>
      <c r="I94" s="504">
        <f>'BH Tariffs'!H38*'P&amp;L - Concept B2 - ALL'!I56</f>
        <v>7959.0599999999995</v>
      </c>
      <c r="J94" s="504">
        <f>'BH Tariffs'!I38*'P&amp;L - Concept B2 - ALL'!J56</f>
        <v>8118.2411999999995</v>
      </c>
      <c r="K94" s="504">
        <f>'BH Tariffs'!J38*'P&amp;L - Concept B2 - ALL'!K56</f>
        <v>8280.6060240000006</v>
      </c>
      <c r="L94" s="504">
        <f>'BH Tariffs'!K38*'P&amp;L - Concept B2 - ALL'!L56</f>
        <v>8446.2181444800008</v>
      </c>
      <c r="M94" s="504">
        <f>'BH Tariffs'!L38*'P&amp;L - Concept B2 - ALL'!M56</f>
        <v>8615.1425073696009</v>
      </c>
      <c r="N94" s="504">
        <f>'BH Tariffs'!M38*'P&amp;L - Concept B2 - ALL'!N56</f>
        <v>8787.4453575169937</v>
      </c>
      <c r="O94" s="504">
        <f>'BH Tariffs'!N38*'P&amp;L - Concept B2 - ALL'!O56</f>
        <v>8963.1942646673324</v>
      </c>
      <c r="P94" s="504">
        <f>'BH Tariffs'!O38*'P&amp;L - Concept B2 - ALL'!P56</f>
        <v>9142.4581499606793</v>
      </c>
      <c r="Q94" s="504">
        <f>'BH Tariffs'!P38*'P&amp;L - Concept B2 - ALL'!Q56</f>
        <v>9325.3073129598943</v>
      </c>
      <c r="R94" s="504">
        <f>'BH Tariffs'!Q38*'P&amp;L - Concept B2 - ALL'!R56</f>
        <v>9511.8134592190909</v>
      </c>
      <c r="S94" s="504">
        <f>'BH Tariffs'!R38*'P&amp;L - Concept B2 - ALL'!S56</f>
        <v>9702.0497284034718</v>
      </c>
      <c r="T94" s="504">
        <f>'BH Tariffs'!S38*'P&amp;L - Concept B2 - ALL'!T56</f>
        <v>9896.0907229715431</v>
      </c>
      <c r="U94" s="504">
        <f>'BH Tariffs'!T38*'P&amp;L - Concept B2 - ALL'!U56</f>
        <v>10094.012537430975</v>
      </c>
      <c r="V94" s="504">
        <f>'BH Tariffs'!U38*'P&amp;L - Concept B2 - ALL'!V56</f>
        <v>10295.892788179593</v>
      </c>
      <c r="W94" s="504">
        <f>'BH Tariffs'!V38*'P&amp;L - Concept B2 - ALL'!W56</f>
        <v>10501.810643943187</v>
      </c>
      <c r="X94" s="504">
        <f>'BH Tariffs'!W38*'P&amp;L - Concept B2 - ALL'!X56</f>
        <v>10711.846856822051</v>
      </c>
    </row>
    <row r="95" spans="1:25">
      <c r="A95" s="88"/>
      <c r="B95" s="30"/>
      <c r="C95" s="89"/>
      <c r="D95" s="502"/>
      <c r="E95" s="504"/>
      <c r="F95" s="504"/>
      <c r="G95" s="504"/>
      <c r="H95" s="504"/>
      <c r="I95" s="504"/>
      <c r="J95" s="504"/>
      <c r="K95" s="504"/>
      <c r="L95" s="504"/>
      <c r="M95" s="504"/>
      <c r="N95" s="504"/>
      <c r="O95" s="504"/>
      <c r="P95" s="504"/>
      <c r="Q95" s="504"/>
      <c r="R95" s="504"/>
      <c r="S95" s="504"/>
      <c r="T95" s="504"/>
      <c r="U95" s="504"/>
      <c r="V95" s="504"/>
      <c r="W95" s="504"/>
      <c r="X95" s="504"/>
    </row>
    <row r="96" spans="1:25">
      <c r="A96" s="91" t="s">
        <v>26</v>
      </c>
      <c r="B96" s="30"/>
      <c r="C96" s="89"/>
      <c r="D96" s="502"/>
      <c r="E96" s="504"/>
      <c r="F96" s="504"/>
      <c r="G96" s="504"/>
      <c r="H96" s="504"/>
      <c r="I96" s="504"/>
      <c r="J96" s="504"/>
      <c r="K96" s="504"/>
      <c r="L96" s="504"/>
      <c r="M96" s="504"/>
      <c r="N96" s="504"/>
      <c r="O96" s="504"/>
      <c r="P96" s="504"/>
      <c r="Q96" s="504"/>
      <c r="R96" s="504"/>
      <c r="S96" s="504"/>
      <c r="T96" s="504"/>
      <c r="U96" s="504"/>
      <c r="V96" s="504"/>
      <c r="W96" s="504"/>
      <c r="X96" s="504"/>
    </row>
    <row r="97" spans="1:24" s="341" customFormat="1">
      <c r="A97" s="353" t="s">
        <v>214</v>
      </c>
      <c r="B97" s="354"/>
      <c r="C97" s="355"/>
      <c r="D97" s="548">
        <v>0</v>
      </c>
      <c r="E97" s="503">
        <v>0</v>
      </c>
      <c r="F97" s="503">
        <v>0</v>
      </c>
      <c r="G97" s="503">
        <v>0</v>
      </c>
      <c r="H97" s="503">
        <v>0</v>
      </c>
      <c r="I97" s="503">
        <v>0</v>
      </c>
      <c r="J97" s="503">
        <v>0</v>
      </c>
      <c r="K97" s="503">
        <v>0</v>
      </c>
      <c r="L97" s="503">
        <v>0</v>
      </c>
      <c r="M97" s="503">
        <v>0</v>
      </c>
      <c r="N97" s="503">
        <v>0</v>
      </c>
      <c r="O97" s="503">
        <v>0</v>
      </c>
      <c r="P97" s="503">
        <v>0</v>
      </c>
      <c r="Q97" s="503">
        <v>0</v>
      </c>
      <c r="R97" s="503">
        <v>0</v>
      </c>
      <c r="S97" s="503">
        <v>0</v>
      </c>
      <c r="T97" s="503">
        <v>0</v>
      </c>
      <c r="U97" s="503">
        <v>0</v>
      </c>
      <c r="V97" s="503">
        <v>0</v>
      </c>
      <c r="W97" s="503">
        <v>0</v>
      </c>
      <c r="X97" s="503">
        <v>0</v>
      </c>
    </row>
    <row r="98" spans="1:24">
      <c r="A98" s="88" t="s">
        <v>215</v>
      </c>
      <c r="B98" s="30"/>
      <c r="C98" s="89"/>
      <c r="D98" s="502">
        <v>0</v>
      </c>
      <c r="E98" s="504">
        <f>'BH Tariffs'!D43*'P&amp;L - Concept B2 - ALL'!E44</f>
        <v>0</v>
      </c>
      <c r="F98" s="504">
        <f>'BH Tariffs'!E43*'P&amp;L - Concept B2 - ALL'!F44</f>
        <v>0</v>
      </c>
      <c r="G98" s="504">
        <f>'BH Tariffs'!F43*'P&amp;L - Concept B2 - ALL'!G44</f>
        <v>0</v>
      </c>
      <c r="H98" s="504">
        <f>'BH Tariffs'!G43*'P&amp;L - Concept B2 - ALL'!H44</f>
        <v>0</v>
      </c>
      <c r="I98" s="504">
        <f>'BH Tariffs'!H43*'P&amp;L - Concept B2 - ALL'!I44</f>
        <v>0</v>
      </c>
      <c r="J98" s="504">
        <f>'BH Tariffs'!I43*'P&amp;L - Concept B2 - ALL'!J44</f>
        <v>246265.49999999997</v>
      </c>
      <c r="K98" s="504">
        <f>'BH Tariffs'!J43*'P&amp;L - Concept B2 - ALL'!K44</f>
        <v>246265.49999999997</v>
      </c>
      <c r="L98" s="504">
        <f>'BH Tariffs'!K43*'P&amp;L - Concept B2 - ALL'!L44</f>
        <v>246265.49999999997</v>
      </c>
      <c r="M98" s="504">
        <f>'BH Tariffs'!L43*'P&amp;L - Concept B2 - ALL'!M44</f>
        <v>246265.49999999997</v>
      </c>
      <c r="N98" s="504">
        <f>'BH Tariffs'!M43*'P&amp;L - Concept B2 - ALL'!N44</f>
        <v>246265.49999999997</v>
      </c>
      <c r="O98" s="504">
        <f>'BH Tariffs'!N43*'P&amp;L - Concept B2 - ALL'!O44</f>
        <v>307831.87499999994</v>
      </c>
      <c r="P98" s="504">
        <f>'BH Tariffs'!O43*'P&amp;L - Concept B2 - ALL'!P44</f>
        <v>307831.87499999994</v>
      </c>
      <c r="Q98" s="504">
        <f>'BH Tariffs'!P43*'P&amp;L - Concept B2 - ALL'!Q44</f>
        <v>307831.87499999994</v>
      </c>
      <c r="R98" s="504">
        <f>'BH Tariffs'!Q43*'P&amp;L - Concept B2 - ALL'!R44</f>
        <v>307831.87499999994</v>
      </c>
      <c r="S98" s="504">
        <f>'BH Tariffs'!R43*'P&amp;L - Concept B2 - ALL'!S44</f>
        <v>307831.87499999994</v>
      </c>
      <c r="T98" s="504">
        <f>'BH Tariffs'!S43*'P&amp;L - Concept B2 - ALL'!T44</f>
        <v>369398.24999999994</v>
      </c>
      <c r="U98" s="504">
        <f>'BH Tariffs'!T43*'P&amp;L - Concept B2 - ALL'!U44</f>
        <v>369398.24999999994</v>
      </c>
      <c r="V98" s="504">
        <f>'BH Tariffs'!U43*'P&amp;L - Concept B2 - ALL'!V44</f>
        <v>369398.24999999994</v>
      </c>
      <c r="W98" s="504">
        <f>'BH Tariffs'!V43*'P&amp;L - Concept B2 - ALL'!W44</f>
        <v>369398.24999999994</v>
      </c>
      <c r="X98" s="504">
        <f>'BH Tariffs'!W43*'P&amp;L - Concept B2 - ALL'!X44</f>
        <v>369398.24999999994</v>
      </c>
    </row>
    <row r="99" spans="1:24">
      <c r="A99" s="91"/>
      <c r="B99" s="30"/>
      <c r="C99" s="89"/>
      <c r="D99" s="502"/>
      <c r="E99" s="504"/>
      <c r="F99" s="504"/>
      <c r="G99" s="504"/>
      <c r="H99" s="504"/>
      <c r="I99" s="504"/>
      <c r="J99" s="504"/>
      <c r="K99" s="504"/>
      <c r="L99" s="504"/>
      <c r="M99" s="504"/>
      <c r="N99" s="504"/>
      <c r="O99" s="504"/>
      <c r="P99" s="504"/>
      <c r="Q99" s="504"/>
      <c r="R99" s="504"/>
      <c r="S99" s="504"/>
      <c r="T99" s="504"/>
      <c r="U99" s="504"/>
      <c r="V99" s="504"/>
      <c r="W99" s="504"/>
      <c r="X99" s="504"/>
    </row>
    <row r="100" spans="1:24">
      <c r="A100" s="91" t="s">
        <v>2</v>
      </c>
      <c r="B100" s="30"/>
      <c r="C100" s="89"/>
      <c r="D100" s="502"/>
      <c r="E100" s="504"/>
      <c r="F100" s="504"/>
      <c r="G100" s="504"/>
      <c r="H100" s="504"/>
      <c r="I100" s="504"/>
      <c r="J100" s="504"/>
      <c r="K100" s="504"/>
      <c r="L100" s="504"/>
      <c r="M100" s="504"/>
      <c r="N100" s="504"/>
      <c r="O100" s="504"/>
      <c r="P100" s="504"/>
      <c r="Q100" s="504"/>
      <c r="R100" s="504"/>
      <c r="S100" s="504"/>
      <c r="T100" s="504"/>
      <c r="U100" s="504"/>
      <c r="V100" s="504"/>
      <c r="W100" s="504"/>
      <c r="X100" s="504"/>
    </row>
    <row r="101" spans="1:24">
      <c r="A101" s="88" t="str">
        <f>'BH Tariffs'!A44</f>
        <v>Commerical Rent (Seasonal Kiosk(s)/Vendor(s))</v>
      </c>
      <c r="B101" s="30"/>
      <c r="C101" s="89"/>
      <c r="D101" s="502">
        <v>0</v>
      </c>
      <c r="E101" s="504">
        <f>'BH Tariffs'!D44*'P&amp;L - Concept B2 - ALL'!E63</f>
        <v>0</v>
      </c>
      <c r="F101" s="504">
        <f>'BH Tariffs'!E44*'P&amp;L - Concept B2 - ALL'!F63</f>
        <v>0</v>
      </c>
      <c r="G101" s="504">
        <f>'BH Tariffs'!F44*'P&amp;L - Concept B2 - ALL'!G63*6</f>
        <v>6242.4000000000005</v>
      </c>
      <c r="H101" s="504">
        <f>'BH Tariffs'!G44*'P&amp;L - Concept B2 - ALL'!H63*6</f>
        <v>6367.2479999999996</v>
      </c>
      <c r="I101" s="504">
        <f>'BH Tariffs'!H44*'P&amp;L - Concept B2 - ALL'!I63*6</f>
        <v>6494.5929599999999</v>
      </c>
      <c r="J101" s="504">
        <f>'BH Tariffs'!I44*'P&amp;L - Concept B2 - ALL'!J63*6</f>
        <v>6624.4848191999999</v>
      </c>
      <c r="K101" s="504">
        <f>'BH Tariffs'!J44*'P&amp;L - Concept B2 - ALL'!K63*6</f>
        <v>6756.974515584001</v>
      </c>
      <c r="L101" s="504">
        <f>'BH Tariffs'!K44*'P&amp;L - Concept B2 - ALL'!L63*6</f>
        <v>6892.1140058956807</v>
      </c>
      <c r="M101" s="504">
        <f>'BH Tariffs'!L44*'P&amp;L - Concept B2 - ALL'!M63*6</f>
        <v>7029.9562860135939</v>
      </c>
      <c r="N101" s="504">
        <f>'BH Tariffs'!M44*'P&amp;L - Concept B2 - ALL'!N63*6</f>
        <v>7170.555411733867</v>
      </c>
      <c r="O101" s="504">
        <f>'BH Tariffs'!N44*'P&amp;L - Concept B2 - ALL'!O63*6</f>
        <v>7313.9665199685442</v>
      </c>
      <c r="P101" s="504">
        <f>'BH Tariffs'!O44*'P&amp;L - Concept B2 - ALL'!P63*6</f>
        <v>7460.2458503679145</v>
      </c>
      <c r="Q101" s="504">
        <f>'BH Tariffs'!P44*'P&amp;L - Concept B2 - ALL'!Q63*6</f>
        <v>7609.4507673752723</v>
      </c>
      <c r="R101" s="504">
        <f>'BH Tariffs'!Q44*'P&amp;L - Concept B2 - ALL'!R63*6</f>
        <v>7761.6397827227775</v>
      </c>
      <c r="S101" s="504">
        <f>'BH Tariffs'!R44*'P&amp;L - Concept B2 - ALL'!S63*6</f>
        <v>7916.8725783772334</v>
      </c>
      <c r="T101" s="504">
        <f>'BH Tariffs'!S44*'P&amp;L - Concept B2 - ALL'!T63*6</f>
        <v>8075.2100299447793</v>
      </c>
      <c r="U101" s="504">
        <f>'BH Tariffs'!T44*'P&amp;L - Concept B2 - ALL'!U63*6</f>
        <v>8236.7142305436755</v>
      </c>
      <c r="V101" s="504">
        <f>'BH Tariffs'!U44*'P&amp;L - Concept B2 - ALL'!V63*6</f>
        <v>8401.4485151545487</v>
      </c>
      <c r="W101" s="504">
        <f>'BH Tariffs'!V44*'P&amp;L - Concept B2 - ALL'!W63*6</f>
        <v>8569.4774854576408</v>
      </c>
      <c r="X101" s="504">
        <f>'BH Tariffs'!W44*'P&amp;L - Concept B2 - ALL'!X63*6</f>
        <v>8740.8670351667934</v>
      </c>
    </row>
    <row r="102" spans="1:24" s="96" customFormat="1">
      <c r="A102" s="90" t="s">
        <v>541</v>
      </c>
      <c r="B102" s="606"/>
      <c r="C102" s="356"/>
      <c r="D102" s="502">
        <v>0</v>
      </c>
      <c r="E102" s="504">
        <v>0</v>
      </c>
      <c r="F102" s="504">
        <v>0</v>
      </c>
      <c r="G102" s="504">
        <f>G64*0.05</f>
        <v>10000</v>
      </c>
      <c r="H102" s="504">
        <f t="shared" ref="H102:X102" si="10">H64*0.05</f>
        <v>10000</v>
      </c>
      <c r="I102" s="504">
        <f t="shared" si="10"/>
        <v>10000</v>
      </c>
      <c r="J102" s="504">
        <f t="shared" si="10"/>
        <v>10000</v>
      </c>
      <c r="K102" s="504">
        <f t="shared" si="10"/>
        <v>10000</v>
      </c>
      <c r="L102" s="504">
        <f t="shared" si="10"/>
        <v>10000</v>
      </c>
      <c r="M102" s="504">
        <f t="shared" si="10"/>
        <v>10000</v>
      </c>
      <c r="N102" s="504">
        <f t="shared" si="10"/>
        <v>10000</v>
      </c>
      <c r="O102" s="504">
        <f t="shared" si="10"/>
        <v>10000</v>
      </c>
      <c r="P102" s="504">
        <f t="shared" si="10"/>
        <v>10000</v>
      </c>
      <c r="Q102" s="504">
        <f t="shared" si="10"/>
        <v>10000</v>
      </c>
      <c r="R102" s="504">
        <f t="shared" si="10"/>
        <v>10000</v>
      </c>
      <c r="S102" s="504">
        <f t="shared" si="10"/>
        <v>10000</v>
      </c>
      <c r="T102" s="504">
        <f t="shared" si="10"/>
        <v>10000</v>
      </c>
      <c r="U102" s="504">
        <f t="shared" si="10"/>
        <v>10000</v>
      </c>
      <c r="V102" s="504">
        <f t="shared" si="10"/>
        <v>10000</v>
      </c>
      <c r="W102" s="504">
        <f t="shared" si="10"/>
        <v>10000</v>
      </c>
      <c r="X102" s="504">
        <f t="shared" si="10"/>
        <v>10000</v>
      </c>
    </row>
    <row r="103" spans="1:24">
      <c r="A103" s="88" t="str">
        <f>'BH Tariffs'!A45</f>
        <v>Motorcoach Access/Tour Operator Licenses</v>
      </c>
      <c r="B103" s="30"/>
      <c r="C103" s="89"/>
      <c r="D103" s="502">
        <v>0</v>
      </c>
      <c r="E103" s="504">
        <v>0</v>
      </c>
      <c r="F103" s="504">
        <f>'BH Tariffs'!E45*'P&amp;L - Concept B2 - ALL'!F66</f>
        <v>3060</v>
      </c>
      <c r="G103" s="504">
        <f>'BH Tariffs'!F45*'P&amp;L - Concept B2 - ALL'!G66</f>
        <v>3121.2000000000003</v>
      </c>
      <c r="H103" s="504">
        <f>'BH Tariffs'!G45*'P&amp;L - Concept B2 - ALL'!H66</f>
        <v>3183.6239999999998</v>
      </c>
      <c r="I103" s="504">
        <f>'BH Tariffs'!H45*'P&amp;L - Concept B2 - ALL'!I66</f>
        <v>3247.29648</v>
      </c>
      <c r="J103" s="504">
        <f>'BH Tariffs'!I45*'P&amp;L - Concept B2 - ALL'!J66</f>
        <v>3312.2424096</v>
      </c>
      <c r="K103" s="504">
        <f>'BH Tariffs'!J45*'P&amp;L - Concept B2 - ALL'!K66</f>
        <v>3378.4872577920005</v>
      </c>
      <c r="L103" s="504">
        <f>'BH Tariffs'!K45*'P&amp;L - Concept B2 - ALL'!L66</f>
        <v>3446.0570029478404</v>
      </c>
      <c r="M103" s="504">
        <f>'BH Tariffs'!L45*'P&amp;L - Concept B2 - ALL'!M66</f>
        <v>3514.9781430067969</v>
      </c>
      <c r="N103" s="504">
        <f>'BH Tariffs'!M45*'P&amp;L - Concept B2 - ALL'!N66</f>
        <v>3585.2777058669335</v>
      </c>
      <c r="O103" s="504">
        <f>'BH Tariffs'!N45*'P&amp;L - Concept B2 - ALL'!O66</f>
        <v>3656.9832599842721</v>
      </c>
      <c r="P103" s="504">
        <f>'BH Tariffs'!O45*'P&amp;L - Concept B2 - ALL'!P66</f>
        <v>3730.1229251839572</v>
      </c>
      <c r="Q103" s="504">
        <f>'BH Tariffs'!P45*'P&amp;L - Concept B2 - ALL'!Q66</f>
        <v>3804.7253836876362</v>
      </c>
      <c r="R103" s="504">
        <f>'BH Tariffs'!Q45*'P&amp;L - Concept B2 - ALL'!R66</f>
        <v>3880.8198913613887</v>
      </c>
      <c r="S103" s="504">
        <f>'BH Tariffs'!R45*'P&amp;L - Concept B2 - ALL'!S66</f>
        <v>3958.4362891886167</v>
      </c>
      <c r="T103" s="504">
        <f>'BH Tariffs'!S45*'P&amp;L - Concept B2 - ALL'!T66</f>
        <v>4037.6050149723897</v>
      </c>
      <c r="U103" s="504">
        <f>'BH Tariffs'!T45*'P&amp;L - Concept B2 - ALL'!U66</f>
        <v>4118.3571152718378</v>
      </c>
      <c r="V103" s="504">
        <f>'BH Tariffs'!U45*'P&amp;L - Concept B2 - ALL'!V66</f>
        <v>4200.7242575772743</v>
      </c>
      <c r="W103" s="504">
        <f>'BH Tariffs'!V45*'P&amp;L - Concept B2 - ALL'!W66</f>
        <v>4284.7387427288204</v>
      </c>
      <c r="X103" s="504">
        <f>'BH Tariffs'!W45*'P&amp;L - Concept B2 - ALL'!X66</f>
        <v>4370.4335175833967</v>
      </c>
    </row>
    <row r="104" spans="1:24">
      <c r="A104" s="299" t="s">
        <v>217</v>
      </c>
      <c r="B104" s="299"/>
      <c r="C104" s="299"/>
      <c r="D104" s="505">
        <v>0</v>
      </c>
      <c r="E104" s="506">
        <v>0</v>
      </c>
      <c r="F104" s="506">
        <f>'BH Tariffs'!E46*'P&amp;L - Concept B2 - ALL'!F65</f>
        <v>500</v>
      </c>
      <c r="G104" s="506">
        <f>'BH Tariffs'!F46*'P&amp;L - Concept B2 - ALL'!G65</f>
        <v>1000</v>
      </c>
      <c r="H104" s="506">
        <f>'BH Tariffs'!G46*'P&amp;L - Concept B2 - ALL'!H65</f>
        <v>1000</v>
      </c>
      <c r="I104" s="506">
        <f>'BH Tariffs'!H46*'P&amp;L - Concept B2 - ALL'!I65</f>
        <v>1000</v>
      </c>
      <c r="J104" s="506">
        <f>'BH Tariffs'!I46*'P&amp;L - Concept B2 - ALL'!J65</f>
        <v>1650</v>
      </c>
      <c r="K104" s="506">
        <f>'BH Tariffs'!J46*'P&amp;L - Concept B2 - ALL'!K65</f>
        <v>1650</v>
      </c>
      <c r="L104" s="506">
        <f>'BH Tariffs'!K46*'P&amp;L - Concept B2 - ALL'!L65</f>
        <v>1650</v>
      </c>
      <c r="M104" s="506">
        <f>'BH Tariffs'!L46*'P&amp;L - Concept B2 - ALL'!M65</f>
        <v>1650</v>
      </c>
      <c r="N104" s="506">
        <f>'BH Tariffs'!M46*'P&amp;L - Concept B2 - ALL'!N65</f>
        <v>1650</v>
      </c>
      <c r="O104" s="506">
        <f>'BH Tariffs'!N46*'P&amp;L - Concept B2 - ALL'!O65</f>
        <v>2400</v>
      </c>
      <c r="P104" s="506">
        <f>'BH Tariffs'!O46*'P&amp;L - Concept B2 - ALL'!P65</f>
        <v>2400</v>
      </c>
      <c r="Q104" s="506">
        <f>'BH Tariffs'!P46*'P&amp;L - Concept B2 - ALL'!Q65</f>
        <v>2400</v>
      </c>
      <c r="R104" s="506">
        <f>'BH Tariffs'!Q46*'P&amp;L - Concept B2 - ALL'!R65</f>
        <v>2400</v>
      </c>
      <c r="S104" s="506">
        <f>'BH Tariffs'!R46*'P&amp;L - Concept B2 - ALL'!S65</f>
        <v>2400</v>
      </c>
      <c r="T104" s="506">
        <f>'BH Tariffs'!S46*'P&amp;L - Concept B2 - ALL'!T65</f>
        <v>3250</v>
      </c>
      <c r="U104" s="506">
        <f>'BH Tariffs'!T46*'P&amp;L - Concept B2 - ALL'!U65</f>
        <v>3250</v>
      </c>
      <c r="V104" s="506">
        <f>'BH Tariffs'!U46*'P&amp;L - Concept B2 - ALL'!V65</f>
        <v>3250</v>
      </c>
      <c r="W104" s="506">
        <f>'BH Tariffs'!V46*'P&amp;L - Concept B2 - ALL'!W65</f>
        <v>3250</v>
      </c>
      <c r="X104" s="506">
        <f>'BH Tariffs'!W46*'P&amp;L - Concept B2 - ALL'!X65</f>
        <v>3250</v>
      </c>
    </row>
    <row r="105" spans="1:24">
      <c r="A105" s="278" t="s">
        <v>145</v>
      </c>
      <c r="D105" s="507">
        <f>SUM(D71:D104)</f>
        <v>0</v>
      </c>
      <c r="E105" s="508">
        <f>SUM(E70:E104)</f>
        <v>0</v>
      </c>
      <c r="F105" s="508">
        <f t="shared" ref="F105:X105" si="11">SUM(F70:F104)</f>
        <v>1785674.8116687504</v>
      </c>
      <c r="G105" s="508">
        <f t="shared" si="11"/>
        <v>1838120.7079021249</v>
      </c>
      <c r="H105" s="508">
        <f t="shared" si="11"/>
        <v>1874663.1220601676</v>
      </c>
      <c r="I105" s="508">
        <f t="shared" si="11"/>
        <v>1911936.3845013708</v>
      </c>
      <c r="J105" s="508">
        <f t="shared" si="11"/>
        <v>2196870.6121913982</v>
      </c>
      <c r="K105" s="508">
        <f t="shared" si="11"/>
        <v>2235649.7144352263</v>
      </c>
      <c r="L105" s="508">
        <f t="shared" si="11"/>
        <v>2275204.3987239311</v>
      </c>
      <c r="M105" s="508">
        <f t="shared" si="11"/>
        <v>2315550.17669841</v>
      </c>
      <c r="N105" s="508">
        <f t="shared" si="11"/>
        <v>2356702.8702323777</v>
      </c>
      <c r="O105" s="508">
        <f t="shared" si="11"/>
        <v>2460994.9926370257</v>
      </c>
      <c r="P105" s="508">
        <f t="shared" si="11"/>
        <v>2503810.2549897656</v>
      </c>
      <c r="Q105" s="508">
        <f t="shared" si="11"/>
        <v>2547481.8225895613</v>
      </c>
      <c r="R105" s="508">
        <f t="shared" si="11"/>
        <v>2592026.8215413522</v>
      </c>
      <c r="S105" s="508">
        <f t="shared" si="11"/>
        <v>2637462.7204721794</v>
      </c>
      <c r="T105" s="508">
        <f t="shared" si="11"/>
        <v>2746223.7123816232</v>
      </c>
      <c r="U105" s="508">
        <f t="shared" si="11"/>
        <v>2793495.2216292559</v>
      </c>
      <c r="V105" s="508">
        <f t="shared" si="11"/>
        <v>2841712.1610618411</v>
      </c>
      <c r="W105" s="508">
        <f t="shared" si="11"/>
        <v>2890893.4392830776</v>
      </c>
      <c r="X105" s="508">
        <f t="shared" si="11"/>
        <v>2941058.3430687394</v>
      </c>
    </row>
    <row r="106" spans="1:24">
      <c r="D106" s="507"/>
      <c r="E106" s="413"/>
      <c r="F106" s="413"/>
      <c r="G106" s="413"/>
      <c r="H106" s="413"/>
      <c r="I106" s="413"/>
      <c r="J106" s="413"/>
      <c r="K106" s="413"/>
      <c r="L106" s="413"/>
      <c r="M106" s="413"/>
      <c r="N106" s="413"/>
      <c r="O106" s="413"/>
      <c r="P106" s="413"/>
      <c r="Q106" s="413"/>
      <c r="R106" s="413"/>
      <c r="S106" s="413"/>
      <c r="T106" s="413"/>
      <c r="U106" s="413"/>
      <c r="V106" s="413"/>
      <c r="W106" s="413"/>
      <c r="X106" s="413"/>
    </row>
    <row r="107" spans="1:24">
      <c r="A107" s="271" t="s">
        <v>146</v>
      </c>
      <c r="B107" s="149"/>
      <c r="C107" s="149"/>
      <c r="D107" s="509"/>
      <c r="E107" s="510"/>
      <c r="F107" s="510"/>
      <c r="G107" s="510"/>
      <c r="H107" s="510"/>
      <c r="I107" s="510"/>
      <c r="J107" s="510"/>
      <c r="K107" s="510"/>
      <c r="L107" s="510"/>
      <c r="M107" s="510"/>
      <c r="N107" s="510"/>
      <c r="O107" s="510"/>
      <c r="P107" s="510"/>
      <c r="Q107" s="510"/>
      <c r="R107" s="510"/>
      <c r="S107" s="510"/>
      <c r="T107" s="510"/>
      <c r="U107" s="510"/>
      <c r="V107" s="510"/>
      <c r="W107" s="510"/>
      <c r="X107" s="510"/>
    </row>
    <row r="108" spans="1:24">
      <c r="D108" s="507"/>
      <c r="E108" s="413"/>
      <c r="F108" s="413"/>
      <c r="G108" s="413"/>
      <c r="H108" s="413"/>
      <c r="I108" s="413"/>
      <c r="J108" s="413"/>
      <c r="K108" s="413"/>
      <c r="L108" s="413"/>
      <c r="M108" s="413"/>
      <c r="N108" s="413"/>
      <c r="O108" s="413"/>
      <c r="P108" s="413"/>
      <c r="Q108" s="413"/>
      <c r="R108" s="413"/>
      <c r="S108" s="413"/>
      <c r="T108" s="413"/>
      <c r="U108" s="413"/>
      <c r="V108" s="413"/>
      <c r="W108" s="413"/>
      <c r="X108" s="413"/>
    </row>
    <row r="109" spans="1:24">
      <c r="A109" s="91" t="s">
        <v>380</v>
      </c>
      <c r="B109" s="89"/>
      <c r="C109" s="89"/>
      <c r="D109" s="502"/>
      <c r="E109" s="504"/>
      <c r="F109" s="504"/>
      <c r="G109" s="504"/>
      <c r="H109" s="504"/>
      <c r="I109" s="504"/>
      <c r="J109" s="504"/>
      <c r="K109" s="504"/>
      <c r="L109" s="504"/>
      <c r="M109" s="504"/>
      <c r="N109" s="504"/>
      <c r="O109" s="504"/>
      <c r="P109" s="504"/>
      <c r="Q109" s="504"/>
      <c r="R109" s="504"/>
      <c r="S109" s="504"/>
      <c r="T109" s="504"/>
      <c r="U109" s="504"/>
      <c r="V109" s="504"/>
      <c r="W109" s="504"/>
      <c r="X109" s="504"/>
    </row>
    <row r="110" spans="1:24">
      <c r="A110" s="88" t="s">
        <v>432</v>
      </c>
      <c r="B110" s="89"/>
      <c r="C110" s="89"/>
      <c r="D110" s="502">
        <v>0</v>
      </c>
      <c r="E110" s="504">
        <v>0</v>
      </c>
      <c r="F110" s="504">
        <v>0</v>
      </c>
      <c r="G110" s="504">
        <v>0</v>
      </c>
      <c r="H110" s="504">
        <v>0</v>
      </c>
      <c r="I110" s="504">
        <v>0</v>
      </c>
      <c r="J110" s="504">
        <v>0</v>
      </c>
      <c r="K110" s="504">
        <v>0</v>
      </c>
      <c r="L110" s="504">
        <v>0</v>
      </c>
      <c r="M110" s="504">
        <v>0</v>
      </c>
      <c r="N110" s="504">
        <v>0</v>
      </c>
      <c r="O110" s="504">
        <v>0</v>
      </c>
      <c r="P110" s="504">
        <v>0</v>
      </c>
      <c r="Q110" s="504">
        <v>0</v>
      </c>
      <c r="R110" s="504">
        <v>0</v>
      </c>
      <c r="S110" s="504">
        <v>0</v>
      </c>
      <c r="T110" s="504">
        <v>0</v>
      </c>
      <c r="U110" s="504">
        <v>0</v>
      </c>
      <c r="V110" s="504">
        <v>0</v>
      </c>
      <c r="W110" s="504">
        <v>0</v>
      </c>
      <c r="X110" s="504">
        <v>0</v>
      </c>
    </row>
    <row r="111" spans="1:24">
      <c r="A111" s="88" t="s">
        <v>433</v>
      </c>
      <c r="B111" s="89"/>
      <c r="C111" s="89"/>
      <c r="D111" s="502">
        <v>0</v>
      </c>
      <c r="E111" s="504">
        <v>0</v>
      </c>
      <c r="F111" s="504">
        <v>0</v>
      </c>
      <c r="G111" s="504">
        <v>0</v>
      </c>
      <c r="H111" s="504">
        <v>0</v>
      </c>
      <c r="I111" s="504">
        <v>0</v>
      </c>
      <c r="J111" s="504">
        <v>0</v>
      </c>
      <c r="K111" s="504">
        <v>0</v>
      </c>
      <c r="L111" s="504">
        <v>0</v>
      </c>
      <c r="M111" s="504">
        <v>0</v>
      </c>
      <c r="N111" s="504">
        <v>0</v>
      </c>
      <c r="O111" s="504">
        <v>0</v>
      </c>
      <c r="P111" s="504">
        <v>0</v>
      </c>
      <c r="Q111" s="504">
        <v>0</v>
      </c>
      <c r="R111" s="504">
        <v>0</v>
      </c>
      <c r="S111" s="504">
        <v>0</v>
      </c>
      <c r="T111" s="504">
        <v>0</v>
      </c>
      <c r="U111" s="504">
        <v>0</v>
      </c>
      <c r="V111" s="504">
        <v>0</v>
      </c>
      <c r="W111" s="504">
        <v>0</v>
      </c>
      <c r="X111" s="504">
        <v>0</v>
      </c>
    </row>
    <row r="112" spans="1:24">
      <c r="A112" s="88" t="s">
        <v>434</v>
      </c>
      <c r="B112" s="89"/>
      <c r="C112" s="89"/>
      <c r="D112" s="502">
        <v>0</v>
      </c>
      <c r="E112" s="504">
        <v>0</v>
      </c>
      <c r="F112" s="504">
        <v>0</v>
      </c>
      <c r="G112" s="504">
        <v>0</v>
      </c>
      <c r="H112" s="504">
        <v>0</v>
      </c>
      <c r="I112" s="504">
        <v>0</v>
      </c>
      <c r="J112" s="504">
        <v>0</v>
      </c>
      <c r="K112" s="504">
        <v>0</v>
      </c>
      <c r="L112" s="504">
        <v>0</v>
      </c>
      <c r="M112" s="504">
        <v>0</v>
      </c>
      <c r="N112" s="504">
        <v>0</v>
      </c>
      <c r="O112" s="504">
        <v>0</v>
      </c>
      <c r="P112" s="504">
        <v>0</v>
      </c>
      <c r="Q112" s="504">
        <v>0</v>
      </c>
      <c r="R112" s="504">
        <v>0</v>
      </c>
      <c r="S112" s="504">
        <v>0</v>
      </c>
      <c r="T112" s="504">
        <v>0</v>
      </c>
      <c r="U112" s="504">
        <v>0</v>
      </c>
      <c r="V112" s="504">
        <v>0</v>
      </c>
      <c r="W112" s="504">
        <v>0</v>
      </c>
      <c r="X112" s="504">
        <v>0</v>
      </c>
    </row>
    <row r="113" spans="1:25">
      <c r="A113" s="88" t="s">
        <v>229</v>
      </c>
      <c r="B113" s="30"/>
      <c r="C113" s="89"/>
      <c r="D113" s="502">
        <v>0</v>
      </c>
      <c r="E113" s="504">
        <v>0</v>
      </c>
      <c r="F113" s="504">
        <v>0</v>
      </c>
      <c r="G113" s="504">
        <v>0</v>
      </c>
      <c r="H113" s="504">
        <v>0</v>
      </c>
      <c r="I113" s="504">
        <v>0</v>
      </c>
      <c r="J113" s="504">
        <v>0</v>
      </c>
      <c r="K113" s="504">
        <v>0</v>
      </c>
      <c r="L113" s="504">
        <v>0</v>
      </c>
      <c r="M113" s="504">
        <v>0</v>
      </c>
      <c r="N113" s="504">
        <v>0</v>
      </c>
      <c r="O113" s="504">
        <v>0</v>
      </c>
      <c r="P113" s="504">
        <v>0</v>
      </c>
      <c r="Q113" s="504">
        <v>0</v>
      </c>
      <c r="R113" s="504">
        <v>0</v>
      </c>
      <c r="S113" s="504">
        <v>0</v>
      </c>
      <c r="T113" s="504">
        <v>0</v>
      </c>
      <c r="U113" s="504">
        <v>0</v>
      </c>
      <c r="V113" s="504">
        <v>0</v>
      </c>
      <c r="W113" s="504">
        <v>0</v>
      </c>
      <c r="X113" s="504">
        <v>0</v>
      </c>
    </row>
    <row r="114" spans="1:25" s="32" customFormat="1">
      <c r="A114" s="299" t="s">
        <v>297</v>
      </c>
      <c r="B114" s="299"/>
      <c r="C114" s="299"/>
      <c r="D114" s="505">
        <v>0</v>
      </c>
      <c r="E114" s="506">
        <v>0</v>
      </c>
      <c r="F114" s="506">
        <v>0</v>
      </c>
      <c r="G114" s="506">
        <f t="shared" ref="G114:X114" si="12">G53</f>
        <v>100000</v>
      </c>
      <c r="H114" s="506">
        <f t="shared" si="12"/>
        <v>100000</v>
      </c>
      <c r="I114" s="506">
        <f t="shared" si="12"/>
        <v>100000</v>
      </c>
      <c r="J114" s="506">
        <f t="shared" si="12"/>
        <v>100000</v>
      </c>
      <c r="K114" s="506">
        <f t="shared" si="12"/>
        <v>100000</v>
      </c>
      <c r="L114" s="506">
        <f t="shared" si="12"/>
        <v>100000</v>
      </c>
      <c r="M114" s="506">
        <f t="shared" si="12"/>
        <v>100000</v>
      </c>
      <c r="N114" s="506">
        <f t="shared" si="12"/>
        <v>100000</v>
      </c>
      <c r="O114" s="506">
        <f t="shared" si="12"/>
        <v>100000</v>
      </c>
      <c r="P114" s="506">
        <f t="shared" si="12"/>
        <v>100000</v>
      </c>
      <c r="Q114" s="506">
        <f t="shared" si="12"/>
        <v>100000</v>
      </c>
      <c r="R114" s="506">
        <f t="shared" si="12"/>
        <v>100000</v>
      </c>
      <c r="S114" s="506">
        <f t="shared" si="12"/>
        <v>100000</v>
      </c>
      <c r="T114" s="506">
        <f t="shared" si="12"/>
        <v>100000</v>
      </c>
      <c r="U114" s="506">
        <f t="shared" si="12"/>
        <v>100000</v>
      </c>
      <c r="V114" s="506">
        <f t="shared" si="12"/>
        <v>100000</v>
      </c>
      <c r="W114" s="506">
        <f t="shared" si="12"/>
        <v>100000</v>
      </c>
      <c r="X114" s="506">
        <f t="shared" si="12"/>
        <v>100000</v>
      </c>
    </row>
    <row r="115" spans="1:25">
      <c r="A115" s="278" t="s">
        <v>147</v>
      </c>
      <c r="D115" s="507">
        <f>SUM(D113:D114)</f>
        <v>0</v>
      </c>
      <c r="E115" s="508">
        <f>SUM(E110:E114)</f>
        <v>0</v>
      </c>
      <c r="F115" s="508">
        <f t="shared" ref="F115:X115" si="13">SUM(F110:F114)</f>
        <v>0</v>
      </c>
      <c r="G115" s="508">
        <f t="shared" si="13"/>
        <v>100000</v>
      </c>
      <c r="H115" s="508">
        <f t="shared" si="13"/>
        <v>100000</v>
      </c>
      <c r="I115" s="508">
        <f t="shared" si="13"/>
        <v>100000</v>
      </c>
      <c r="J115" s="508">
        <f t="shared" si="13"/>
        <v>100000</v>
      </c>
      <c r="K115" s="508">
        <f t="shared" si="13"/>
        <v>100000</v>
      </c>
      <c r="L115" s="508">
        <f t="shared" si="13"/>
        <v>100000</v>
      </c>
      <c r="M115" s="508">
        <f t="shared" si="13"/>
        <v>100000</v>
      </c>
      <c r="N115" s="508">
        <f t="shared" si="13"/>
        <v>100000</v>
      </c>
      <c r="O115" s="508">
        <f t="shared" si="13"/>
        <v>100000</v>
      </c>
      <c r="P115" s="508">
        <f t="shared" si="13"/>
        <v>100000</v>
      </c>
      <c r="Q115" s="508">
        <f t="shared" si="13"/>
        <v>100000</v>
      </c>
      <c r="R115" s="508">
        <f t="shared" si="13"/>
        <v>100000</v>
      </c>
      <c r="S115" s="508">
        <f t="shared" si="13"/>
        <v>100000</v>
      </c>
      <c r="T115" s="508">
        <f t="shared" si="13"/>
        <v>100000</v>
      </c>
      <c r="U115" s="508">
        <f t="shared" si="13"/>
        <v>100000</v>
      </c>
      <c r="V115" s="508">
        <f t="shared" si="13"/>
        <v>100000</v>
      </c>
      <c r="W115" s="508">
        <f t="shared" si="13"/>
        <v>100000</v>
      </c>
      <c r="X115" s="508">
        <f t="shared" si="13"/>
        <v>100000</v>
      </c>
    </row>
    <row r="116" spans="1:25">
      <c r="D116" s="507"/>
      <c r="E116" s="413"/>
      <c r="F116" s="413"/>
      <c r="G116" s="413"/>
      <c r="H116" s="413"/>
      <c r="I116" s="413"/>
      <c r="J116" s="413"/>
      <c r="K116" s="413"/>
      <c r="L116" s="413"/>
      <c r="M116" s="413"/>
      <c r="N116" s="413"/>
      <c r="O116" s="413"/>
      <c r="P116" s="413"/>
      <c r="Q116" s="413"/>
      <c r="R116" s="413"/>
      <c r="S116" s="413"/>
      <c r="T116" s="413"/>
      <c r="U116" s="413"/>
      <c r="V116" s="413"/>
      <c r="W116" s="413"/>
      <c r="X116" s="413"/>
    </row>
    <row r="117" spans="1:25">
      <c r="A117" s="88" t="s">
        <v>608</v>
      </c>
      <c r="D117" s="507">
        <f t="shared" ref="D117" si="14">SUM(D115:D116)</f>
        <v>0</v>
      </c>
      <c r="E117" s="413">
        <v>58025</v>
      </c>
      <c r="F117" s="413">
        <v>0</v>
      </c>
      <c r="G117" s="413">
        <v>0</v>
      </c>
      <c r="H117" s="413">
        <v>0</v>
      </c>
      <c r="I117" s="413">
        <v>0</v>
      </c>
      <c r="J117" s="413">
        <v>0</v>
      </c>
      <c r="K117" s="413">
        <v>0</v>
      </c>
      <c r="L117" s="413">
        <v>0</v>
      </c>
      <c r="M117" s="413">
        <v>0</v>
      </c>
      <c r="N117" s="413">
        <v>0</v>
      </c>
      <c r="O117" s="413">
        <v>0</v>
      </c>
      <c r="P117" s="413">
        <v>0</v>
      </c>
      <c r="Q117" s="413">
        <v>0</v>
      </c>
      <c r="R117" s="413">
        <v>0</v>
      </c>
      <c r="S117" s="413">
        <v>0</v>
      </c>
      <c r="T117" s="413">
        <v>0</v>
      </c>
      <c r="U117" s="413">
        <v>0</v>
      </c>
      <c r="V117" s="413">
        <v>0</v>
      </c>
      <c r="W117" s="413">
        <v>0</v>
      </c>
      <c r="X117" s="413">
        <v>0</v>
      </c>
    </row>
    <row r="118" spans="1:25">
      <c r="D118" s="507"/>
      <c r="E118" s="413"/>
      <c r="F118" s="413"/>
      <c r="G118" s="413"/>
      <c r="H118" s="413"/>
      <c r="I118" s="413"/>
      <c r="J118" s="413"/>
      <c r="K118" s="413"/>
      <c r="L118" s="413"/>
      <c r="M118" s="413"/>
      <c r="N118" s="413"/>
      <c r="O118" s="413"/>
      <c r="P118" s="413"/>
      <c r="Q118" s="413"/>
      <c r="R118" s="413"/>
      <c r="S118" s="413"/>
      <c r="T118" s="413"/>
      <c r="U118" s="413"/>
      <c r="V118" s="413"/>
      <c r="W118" s="413"/>
      <c r="X118" s="413"/>
    </row>
    <row r="119" spans="1:25" s="16" customFormat="1" ht="14.25">
      <c r="A119" s="295" t="s">
        <v>148</v>
      </c>
      <c r="B119" s="295"/>
      <c r="C119" s="295"/>
      <c r="D119" s="511">
        <f>SUM(D105,D115)</f>
        <v>0</v>
      </c>
      <c r="E119" s="511">
        <f>SUM(E105,E115,E117)</f>
        <v>58025</v>
      </c>
      <c r="F119" s="511">
        <f t="shared" ref="F119:X119" si="15">SUM(F105,F115,F117)</f>
        <v>1785674.8116687504</v>
      </c>
      <c r="G119" s="511">
        <f t="shared" si="15"/>
        <v>1938120.7079021249</v>
      </c>
      <c r="H119" s="511">
        <f t="shared" si="15"/>
        <v>1974663.1220601676</v>
      </c>
      <c r="I119" s="511">
        <f t="shared" si="15"/>
        <v>2011936.3845013708</v>
      </c>
      <c r="J119" s="511">
        <f t="shared" si="15"/>
        <v>2296870.6121913982</v>
      </c>
      <c r="K119" s="511">
        <f t="shared" si="15"/>
        <v>2335649.7144352263</v>
      </c>
      <c r="L119" s="511">
        <f t="shared" si="15"/>
        <v>2375204.3987239311</v>
      </c>
      <c r="M119" s="511">
        <f t="shared" si="15"/>
        <v>2415550.17669841</v>
      </c>
      <c r="N119" s="511">
        <f t="shared" si="15"/>
        <v>2456702.8702323777</v>
      </c>
      <c r="O119" s="511">
        <f t="shared" si="15"/>
        <v>2560994.9926370257</v>
      </c>
      <c r="P119" s="511">
        <f t="shared" si="15"/>
        <v>2603810.2549897656</v>
      </c>
      <c r="Q119" s="511">
        <f t="shared" si="15"/>
        <v>2647481.8225895613</v>
      </c>
      <c r="R119" s="511">
        <f t="shared" si="15"/>
        <v>2692026.8215413522</v>
      </c>
      <c r="S119" s="511">
        <f t="shared" si="15"/>
        <v>2737462.7204721794</v>
      </c>
      <c r="T119" s="511">
        <f t="shared" si="15"/>
        <v>2846223.7123816232</v>
      </c>
      <c r="U119" s="511">
        <f t="shared" si="15"/>
        <v>2893495.2216292559</v>
      </c>
      <c r="V119" s="511">
        <f t="shared" si="15"/>
        <v>2941712.1610618411</v>
      </c>
      <c r="W119" s="511">
        <f t="shared" si="15"/>
        <v>2990893.4392830776</v>
      </c>
      <c r="X119" s="511">
        <f t="shared" si="15"/>
        <v>3041058.3430687394</v>
      </c>
      <c r="Y119" s="622">
        <f>SUM(D119:X119)</f>
        <v>47603557.288068175</v>
      </c>
    </row>
    <row r="120" spans="1:25">
      <c r="A120" s="30"/>
      <c r="B120" s="30"/>
      <c r="C120" s="30"/>
      <c r="D120" s="502"/>
      <c r="E120" s="512"/>
      <c r="F120" s="512"/>
      <c r="G120" s="512"/>
      <c r="H120" s="512"/>
      <c r="I120" s="512"/>
      <c r="J120" s="512"/>
      <c r="K120" s="512"/>
      <c r="L120" s="512"/>
      <c r="M120" s="512"/>
      <c r="N120" s="512"/>
      <c r="O120" s="512"/>
      <c r="P120" s="512"/>
      <c r="Q120" s="512"/>
      <c r="R120" s="512"/>
      <c r="S120" s="512"/>
      <c r="T120" s="512"/>
      <c r="U120" s="512"/>
      <c r="V120" s="512"/>
      <c r="W120" s="512"/>
      <c r="X120" s="512"/>
    </row>
    <row r="121" spans="1:25" s="33" customFormat="1">
      <c r="A121" s="47" t="s">
        <v>7</v>
      </c>
      <c r="B121" s="47" t="s">
        <v>7</v>
      </c>
      <c r="C121" s="78" t="s">
        <v>7</v>
      </c>
      <c r="D121" s="604" t="s">
        <v>7</v>
      </c>
      <c r="E121" s="78" t="s">
        <v>7</v>
      </c>
      <c r="F121" s="78" t="s">
        <v>7</v>
      </c>
      <c r="G121" s="78" t="s">
        <v>7</v>
      </c>
      <c r="H121" s="78" t="s">
        <v>7</v>
      </c>
      <c r="I121" s="78" t="s">
        <v>7</v>
      </c>
      <c r="J121" s="78" t="s">
        <v>7</v>
      </c>
      <c r="K121" s="78" t="s">
        <v>7</v>
      </c>
      <c r="L121" s="78" t="s">
        <v>7</v>
      </c>
      <c r="M121" s="78" t="s">
        <v>7</v>
      </c>
      <c r="N121" s="78" t="s">
        <v>7</v>
      </c>
      <c r="O121" s="78" t="s">
        <v>7</v>
      </c>
      <c r="P121" s="78" t="s">
        <v>7</v>
      </c>
      <c r="Q121" s="78" t="s">
        <v>7</v>
      </c>
      <c r="R121" s="78" t="s">
        <v>7</v>
      </c>
      <c r="S121" s="78" t="s">
        <v>7</v>
      </c>
      <c r="T121" s="78" t="s">
        <v>7</v>
      </c>
      <c r="U121" s="78" t="s">
        <v>7</v>
      </c>
      <c r="V121" s="78" t="s">
        <v>7</v>
      </c>
      <c r="W121" s="78" t="s">
        <v>7</v>
      </c>
      <c r="X121" s="78" t="s">
        <v>7</v>
      </c>
    </row>
    <row r="122" spans="1:25">
      <c r="A122" s="30"/>
      <c r="B122" s="30"/>
      <c r="C122" s="30"/>
      <c r="D122" s="502"/>
      <c r="E122" s="512"/>
      <c r="F122" s="512"/>
      <c r="G122" s="512"/>
      <c r="H122" s="512"/>
      <c r="I122" s="512"/>
      <c r="J122" s="512"/>
      <c r="K122" s="512"/>
      <c r="L122" s="512"/>
      <c r="M122" s="512"/>
      <c r="N122" s="512"/>
      <c r="O122" s="512"/>
      <c r="P122" s="512"/>
      <c r="Q122" s="512"/>
      <c r="R122" s="512"/>
      <c r="S122" s="512"/>
      <c r="T122" s="512"/>
      <c r="U122" s="512"/>
      <c r="V122" s="512"/>
      <c r="W122" s="512"/>
      <c r="X122" s="512"/>
    </row>
    <row r="123" spans="1:25">
      <c r="A123" s="269" t="s">
        <v>131</v>
      </c>
      <c r="B123" s="269"/>
      <c r="C123" s="270"/>
      <c r="D123" s="513"/>
      <c r="E123" s="513"/>
      <c r="F123" s="513"/>
      <c r="G123" s="513"/>
      <c r="H123" s="513"/>
      <c r="I123" s="513"/>
      <c r="J123" s="513"/>
      <c r="K123" s="513"/>
      <c r="L123" s="513"/>
      <c r="M123" s="513"/>
      <c r="N123" s="513"/>
      <c r="O123" s="513"/>
      <c r="P123" s="513"/>
      <c r="Q123" s="513"/>
      <c r="R123" s="513"/>
      <c r="S123" s="513"/>
      <c r="T123" s="513"/>
      <c r="U123" s="513"/>
      <c r="V123" s="513"/>
      <c r="W123" s="513"/>
      <c r="X123" s="513"/>
    </row>
    <row r="124" spans="1:25">
      <c r="A124" s="69"/>
      <c r="B124" s="69"/>
      <c r="C124" s="69"/>
      <c r="D124" s="502"/>
      <c r="E124" s="504"/>
      <c r="F124" s="504"/>
      <c r="G124" s="504"/>
      <c r="H124" s="504"/>
      <c r="I124" s="504"/>
      <c r="J124" s="504"/>
      <c r="K124" s="504"/>
      <c r="L124" s="504"/>
      <c r="M124" s="504"/>
      <c r="N124" s="504"/>
      <c r="O124" s="504"/>
      <c r="P124" s="504"/>
      <c r="Q124" s="504"/>
      <c r="R124" s="504"/>
      <c r="S124" s="504"/>
      <c r="T124" s="504"/>
      <c r="U124" s="504"/>
      <c r="V124" s="504"/>
      <c r="W124" s="504"/>
      <c r="X124" s="504"/>
    </row>
    <row r="125" spans="1:25" s="96" customFormat="1">
      <c r="A125" s="69" t="s">
        <v>13</v>
      </c>
      <c r="B125" s="69"/>
      <c r="C125" s="69"/>
      <c r="D125" s="514">
        <v>0</v>
      </c>
      <c r="E125" s="515">
        <f>'OPEX - Concept B2 - ALL'!L79</f>
        <v>12250</v>
      </c>
      <c r="F125" s="515">
        <f>'OPEX - Concept B2 - ALL'!M79</f>
        <v>150500</v>
      </c>
      <c r="G125" s="515">
        <f>'OPEX - Concept B2 - ALL'!N79</f>
        <v>153510</v>
      </c>
      <c r="H125" s="515">
        <f>'OPEX - Concept B2 - ALL'!O79</f>
        <v>156580.19999999998</v>
      </c>
      <c r="I125" s="515">
        <f>'OPEX - Concept B2 - ALL'!P79</f>
        <v>159711.80399999997</v>
      </c>
      <c r="J125" s="515">
        <f>'OPEX - Concept B2 - ALL'!Q79</f>
        <v>162906.04007999998</v>
      </c>
      <c r="K125" s="515">
        <f>'OPEX - Concept B2 - ALL'!R79</f>
        <v>166164.16088159999</v>
      </c>
      <c r="L125" s="515">
        <f>'OPEX - Concept B2 - ALL'!S79</f>
        <v>169487.444099232</v>
      </c>
      <c r="M125" s="515">
        <f>'OPEX - Concept B2 - ALL'!T79</f>
        <v>172877.19298121665</v>
      </c>
      <c r="N125" s="515">
        <f>'OPEX - Concept B2 - ALL'!U79</f>
        <v>176334.73684084098</v>
      </c>
      <c r="O125" s="515">
        <f>'OPEX - Concept B2 - ALL'!V79</f>
        <v>179861.43157765782</v>
      </c>
      <c r="P125" s="515">
        <f>'OPEX - Concept B2 - ALL'!W79</f>
        <v>183458.66020921097</v>
      </c>
      <c r="Q125" s="515">
        <f>'OPEX - Concept B2 - ALL'!X79</f>
        <v>187127.83341339519</v>
      </c>
      <c r="R125" s="515">
        <f>'OPEX - Concept B2 - ALL'!Y79</f>
        <v>190870.39008166309</v>
      </c>
      <c r="S125" s="515">
        <f>'OPEX - Concept B2 - ALL'!Z79</f>
        <v>194687.79788329633</v>
      </c>
      <c r="T125" s="515">
        <f>'OPEX - Concept B2 - ALL'!AA79</f>
        <v>198581.5538409623</v>
      </c>
      <c r="U125" s="515">
        <f>'OPEX - Concept B2 - ALL'!AB79</f>
        <v>202553.18491778153</v>
      </c>
      <c r="V125" s="515">
        <f>'OPEX - Concept B2 - ALL'!AC79</f>
        <v>206604.24861613716</v>
      </c>
      <c r="W125" s="515">
        <f>'OPEX - Concept B2 - ALL'!AD79</f>
        <v>210736.33358845994</v>
      </c>
      <c r="X125" s="515">
        <f>'OPEX - Concept B2 - ALL'!AE79</f>
        <v>214951.06026022913</v>
      </c>
    </row>
    <row r="126" spans="1:25" s="96" customFormat="1">
      <c r="A126" s="69" t="s">
        <v>41</v>
      </c>
      <c r="B126" s="69"/>
      <c r="C126" s="69"/>
      <c r="D126" s="514">
        <v>0</v>
      </c>
      <c r="E126" s="515">
        <f>'OPEX - Concept B2 - ALL'!L87</f>
        <v>25000</v>
      </c>
      <c r="F126" s="515">
        <f>'OPEX - Concept B2 - ALL'!M87</f>
        <v>25500</v>
      </c>
      <c r="G126" s="515">
        <f>'OPEX - Concept B2 - ALL'!N87</f>
        <v>26010</v>
      </c>
      <c r="H126" s="515">
        <f>'OPEX - Concept B2 - ALL'!O87</f>
        <v>26530.199999999997</v>
      </c>
      <c r="I126" s="515">
        <f>'OPEX - Concept B2 - ALL'!P87</f>
        <v>27060.804</v>
      </c>
      <c r="J126" s="515">
        <f>'OPEX - Concept B2 - ALL'!Q87</f>
        <v>27602.020080000002</v>
      </c>
      <c r="K126" s="515">
        <f>'OPEX - Concept B2 - ALL'!R87</f>
        <v>28154.060481600001</v>
      </c>
      <c r="L126" s="515">
        <f>'OPEX - Concept B2 - ALL'!S87</f>
        <v>28717.141691232002</v>
      </c>
      <c r="M126" s="515">
        <f>'OPEX - Concept B2 - ALL'!T87</f>
        <v>29291.484525056643</v>
      </c>
      <c r="N126" s="515">
        <f>'OPEX - Concept B2 - ALL'!U87</f>
        <v>29877.314215557777</v>
      </c>
      <c r="O126" s="515">
        <f>'OPEX - Concept B2 - ALL'!V87</f>
        <v>30474.860499868933</v>
      </c>
      <c r="P126" s="515">
        <f>'OPEX - Concept B2 - ALL'!W87</f>
        <v>31084.357709866312</v>
      </c>
      <c r="Q126" s="515">
        <f>'OPEX - Concept B2 - ALL'!X87</f>
        <v>31706.044864063639</v>
      </c>
      <c r="R126" s="515">
        <f>'OPEX - Concept B2 - ALL'!Y87</f>
        <v>32340.165761344906</v>
      </c>
      <c r="S126" s="515">
        <f>'OPEX - Concept B2 - ALL'!Z87</f>
        <v>32986.969076571811</v>
      </c>
      <c r="T126" s="515">
        <f>'OPEX - Concept B2 - ALL'!AA87</f>
        <v>33646.708458103247</v>
      </c>
      <c r="U126" s="515">
        <f>'OPEX - Concept B2 - ALL'!AB87</f>
        <v>34319.642627265312</v>
      </c>
      <c r="V126" s="515">
        <f>'OPEX - Concept B2 - ALL'!AC87</f>
        <v>35006.03547981062</v>
      </c>
      <c r="W126" s="515">
        <f>'OPEX - Concept B2 - ALL'!AD87</f>
        <v>35706.156189406836</v>
      </c>
      <c r="X126" s="515">
        <f>'OPEX - Concept B2 - ALL'!AE87</f>
        <v>36420.279313194973</v>
      </c>
    </row>
    <row r="127" spans="1:25" s="96" customFormat="1">
      <c r="A127" s="69" t="s">
        <v>424</v>
      </c>
      <c r="B127" s="69"/>
      <c r="C127" s="69"/>
      <c r="D127" s="514">
        <v>0</v>
      </c>
      <c r="E127" s="515">
        <f>'OPEX - Concept B2 - ALL'!L88</f>
        <v>10000</v>
      </c>
      <c r="F127" s="515">
        <f>'OPEX - Concept B2 - ALL'!M88</f>
        <v>500</v>
      </c>
      <c r="G127" s="515">
        <f>'OPEX - Concept B2 - ALL'!N88</f>
        <v>520.20000000000005</v>
      </c>
      <c r="H127" s="515">
        <f>'OPEX - Concept B2 - ALL'!O88</f>
        <v>530.60399999999993</v>
      </c>
      <c r="I127" s="515">
        <f>'OPEX - Concept B2 - ALL'!P88</f>
        <v>541.21608000000003</v>
      </c>
      <c r="J127" s="515">
        <f>'OPEX - Concept B2 - ALL'!Q88</f>
        <v>5000</v>
      </c>
      <c r="K127" s="515">
        <f>'OPEX - Concept B2 - ALL'!R88</f>
        <v>563.08120963200008</v>
      </c>
      <c r="L127" s="515">
        <f>'OPEX - Concept B2 - ALL'!S88</f>
        <v>574.34283382464002</v>
      </c>
      <c r="M127" s="515">
        <f>'OPEX - Concept B2 - ALL'!T88</f>
        <v>585.82969050113286</v>
      </c>
      <c r="N127" s="515">
        <f>'OPEX - Concept B2 - ALL'!U88</f>
        <v>597.54628431115555</v>
      </c>
      <c r="O127" s="515">
        <f>'OPEX - Concept B2 - ALL'!V88</f>
        <v>5000</v>
      </c>
      <c r="P127" s="515">
        <f>'OPEX - Concept B2 - ALL'!W88</f>
        <v>621.68715419732621</v>
      </c>
      <c r="Q127" s="515">
        <f>'OPEX - Concept B2 - ALL'!X88</f>
        <v>634.12089728127273</v>
      </c>
      <c r="R127" s="515">
        <f>'OPEX - Concept B2 - ALL'!Y88</f>
        <v>646.80331522689812</v>
      </c>
      <c r="S127" s="515">
        <f>'OPEX - Concept B2 - ALL'!Z88</f>
        <v>659.73938153143615</v>
      </c>
      <c r="T127" s="515">
        <f>'OPEX - Concept B2 - ALL'!AA88</f>
        <v>5000</v>
      </c>
      <c r="U127" s="515">
        <f>'OPEX - Concept B2 - ALL'!AB88</f>
        <v>686.39285254530625</v>
      </c>
      <c r="V127" s="515">
        <f>'OPEX - Concept B2 - ALL'!AC88</f>
        <v>700.12070959621246</v>
      </c>
      <c r="W127" s="515">
        <f>'OPEX - Concept B2 - ALL'!AD88</f>
        <v>714.1231237881367</v>
      </c>
      <c r="X127" s="515">
        <f>'OPEX - Concept B2 - ALL'!AE88</f>
        <v>728.40558626389941</v>
      </c>
    </row>
    <row r="128" spans="1:25" s="96" customFormat="1">
      <c r="A128" s="69" t="s">
        <v>42</v>
      </c>
      <c r="B128" s="69"/>
      <c r="C128" s="69"/>
      <c r="D128" s="514">
        <v>0</v>
      </c>
      <c r="E128" s="515">
        <f>'OPEX - Concept B2 - ALL'!L89</f>
        <v>50000</v>
      </c>
      <c r="F128" s="515">
        <f>'OPEX - Concept B2 - ALL'!M89</f>
        <v>51000</v>
      </c>
      <c r="G128" s="515">
        <f>'OPEX - Concept B2 - ALL'!N89</f>
        <v>52020</v>
      </c>
      <c r="H128" s="515">
        <f>'OPEX - Concept B2 - ALL'!O89</f>
        <v>53060.399999999994</v>
      </c>
      <c r="I128" s="515">
        <f>'OPEX - Concept B2 - ALL'!P89</f>
        <v>54121.608</v>
      </c>
      <c r="J128" s="515">
        <f>'OPEX - Concept B2 - ALL'!Q89</f>
        <v>55204.040160000004</v>
      </c>
      <c r="K128" s="515">
        <f>'OPEX - Concept B2 - ALL'!R89</f>
        <v>56308.120963200003</v>
      </c>
      <c r="L128" s="515">
        <f>'OPEX - Concept B2 - ALL'!S89</f>
        <v>57434.283382464004</v>
      </c>
      <c r="M128" s="515">
        <f>'OPEX - Concept B2 - ALL'!T89</f>
        <v>58582.969050113286</v>
      </c>
      <c r="N128" s="515">
        <f>'OPEX - Concept B2 - ALL'!U89</f>
        <v>59754.628431115554</v>
      </c>
      <c r="O128" s="515">
        <f>'OPEX - Concept B2 - ALL'!V89</f>
        <v>60949.720999737867</v>
      </c>
      <c r="P128" s="515">
        <f>'OPEX - Concept B2 - ALL'!W89</f>
        <v>62168.715419732624</v>
      </c>
      <c r="Q128" s="515">
        <f>'OPEX - Concept B2 - ALL'!X89</f>
        <v>63412.089728127277</v>
      </c>
      <c r="R128" s="515">
        <f>'OPEX - Concept B2 - ALL'!Y89</f>
        <v>64680.331522689812</v>
      </c>
      <c r="S128" s="515">
        <f>'OPEX - Concept B2 - ALL'!Z89</f>
        <v>65973.938153143623</v>
      </c>
      <c r="T128" s="515">
        <f>'OPEX - Concept B2 - ALL'!AA89</f>
        <v>67293.416916206494</v>
      </c>
      <c r="U128" s="515">
        <f>'OPEX - Concept B2 - ALL'!AB89</f>
        <v>68639.285254530623</v>
      </c>
      <c r="V128" s="515">
        <f>'OPEX - Concept B2 - ALL'!AC89</f>
        <v>70012.07095962124</v>
      </c>
      <c r="W128" s="515">
        <f>'OPEX - Concept B2 - ALL'!AD89</f>
        <v>71412.312378813673</v>
      </c>
      <c r="X128" s="515">
        <f>'OPEX - Concept B2 - ALL'!AE89</f>
        <v>72840.558626389946</v>
      </c>
    </row>
    <row r="129" spans="1:24" s="96" customFormat="1">
      <c r="A129" s="69" t="s">
        <v>43</v>
      </c>
      <c r="B129" s="69"/>
      <c r="C129" s="69"/>
      <c r="D129" s="514">
        <v>0</v>
      </c>
      <c r="E129" s="515">
        <f>'OPEX - Concept B2 - ALL'!L90</f>
        <v>500</v>
      </c>
      <c r="F129" s="515">
        <f>'OPEX - Concept B2 - ALL'!M90</f>
        <v>1530</v>
      </c>
      <c r="G129" s="515">
        <f>'OPEX - Concept B2 - ALL'!N90</f>
        <v>1560.6</v>
      </c>
      <c r="H129" s="515">
        <f>'OPEX - Concept B2 - ALL'!O90</f>
        <v>1591.8119999999999</v>
      </c>
      <c r="I129" s="515">
        <f>'OPEX - Concept B2 - ALL'!P90</f>
        <v>1623.64824</v>
      </c>
      <c r="J129" s="515">
        <f>'OPEX - Concept B2 - ALL'!Q90</f>
        <v>1656.1212048</v>
      </c>
      <c r="K129" s="515">
        <f>'OPEX - Concept B2 - ALL'!R90</f>
        <v>1689.243628896</v>
      </c>
      <c r="L129" s="515">
        <f>'OPEX - Concept B2 - ALL'!S90</f>
        <v>1723.02850147392</v>
      </c>
      <c r="M129" s="515">
        <f>'OPEX - Concept B2 - ALL'!T90</f>
        <v>1757.4890715033987</v>
      </c>
      <c r="N129" s="515">
        <f>'OPEX - Concept B2 - ALL'!U90</f>
        <v>1792.6388529334665</v>
      </c>
      <c r="O129" s="515">
        <f>'OPEX - Concept B2 - ALL'!V90</f>
        <v>1828.491629992136</v>
      </c>
      <c r="P129" s="515">
        <f>'OPEX - Concept B2 - ALL'!W90</f>
        <v>1865.0614625919786</v>
      </c>
      <c r="Q129" s="515">
        <f>'OPEX - Concept B2 - ALL'!X90</f>
        <v>1902.3626918438183</v>
      </c>
      <c r="R129" s="515">
        <f>'OPEX - Concept B2 - ALL'!Y90</f>
        <v>1940.4099456806944</v>
      </c>
      <c r="S129" s="515">
        <f>'OPEX - Concept B2 - ALL'!Z90</f>
        <v>1979.2181445943086</v>
      </c>
      <c r="T129" s="515">
        <f>'OPEX - Concept B2 - ALL'!AA90</f>
        <v>2018.8025074861948</v>
      </c>
      <c r="U129" s="515">
        <f>'OPEX - Concept B2 - ALL'!AB90</f>
        <v>2059.1785576359189</v>
      </c>
      <c r="V129" s="515">
        <f>'OPEX - Concept B2 - ALL'!AC90</f>
        <v>2100.3621287886372</v>
      </c>
      <c r="W129" s="515">
        <f>'OPEX - Concept B2 - ALL'!AD90</f>
        <v>2142.3693713644102</v>
      </c>
      <c r="X129" s="515">
        <f>'OPEX - Concept B2 - ALL'!AE90</f>
        <v>2185.2167587916983</v>
      </c>
    </row>
    <row r="130" spans="1:24" s="96" customFormat="1">
      <c r="A130" s="69" t="s">
        <v>44</v>
      </c>
      <c r="B130" s="69"/>
      <c r="C130" s="69"/>
      <c r="D130" s="514">
        <v>0</v>
      </c>
      <c r="E130" s="515">
        <f>'OPEX - Concept B2 - ALL'!L91</f>
        <v>250</v>
      </c>
      <c r="F130" s="515">
        <f>'OPEX - Concept B2 - ALL'!M91</f>
        <v>765</v>
      </c>
      <c r="G130" s="515">
        <f>'OPEX - Concept B2 - ALL'!N91</f>
        <v>780.3</v>
      </c>
      <c r="H130" s="515">
        <f>'OPEX - Concept B2 - ALL'!O91</f>
        <v>795.90599999999995</v>
      </c>
      <c r="I130" s="515">
        <f>'OPEX - Concept B2 - ALL'!P91</f>
        <v>811.82411999999999</v>
      </c>
      <c r="J130" s="515">
        <f>'OPEX - Concept B2 - ALL'!Q91</f>
        <v>828.06060239999999</v>
      </c>
      <c r="K130" s="515">
        <f>'OPEX - Concept B2 - ALL'!R91</f>
        <v>844.62181444800001</v>
      </c>
      <c r="L130" s="515">
        <f>'OPEX - Concept B2 - ALL'!S91</f>
        <v>861.51425073695998</v>
      </c>
      <c r="M130" s="515">
        <f>'OPEX - Concept B2 - ALL'!T91</f>
        <v>878.74453575169935</v>
      </c>
      <c r="N130" s="515">
        <f>'OPEX - Concept B2 - ALL'!U91</f>
        <v>896.31942646673326</v>
      </c>
      <c r="O130" s="515">
        <f>'OPEX - Concept B2 - ALL'!V91</f>
        <v>914.24581499606802</v>
      </c>
      <c r="P130" s="515">
        <f>'OPEX - Concept B2 - ALL'!W91</f>
        <v>932.53073129598931</v>
      </c>
      <c r="Q130" s="515">
        <f>'OPEX - Concept B2 - ALL'!X91</f>
        <v>951.18134592190916</v>
      </c>
      <c r="R130" s="515">
        <f>'OPEX - Concept B2 - ALL'!Y91</f>
        <v>970.20497284034718</v>
      </c>
      <c r="S130" s="515">
        <f>'OPEX - Concept B2 - ALL'!Z91</f>
        <v>989.60907229715428</v>
      </c>
      <c r="T130" s="515">
        <f>'OPEX - Concept B2 - ALL'!AA91</f>
        <v>1009.4012537430974</v>
      </c>
      <c r="U130" s="515">
        <f>'OPEX - Concept B2 - ALL'!AB91</f>
        <v>1029.5892788179594</v>
      </c>
      <c r="V130" s="515">
        <f>'OPEX - Concept B2 - ALL'!AC91</f>
        <v>1050.1810643943186</v>
      </c>
      <c r="W130" s="515">
        <f>'OPEX - Concept B2 - ALL'!AD91</f>
        <v>1071.1846856822051</v>
      </c>
      <c r="X130" s="515">
        <f>'OPEX - Concept B2 - ALL'!AE91</f>
        <v>1092.6083793958492</v>
      </c>
    </row>
    <row r="131" spans="1:24" s="96" customFormat="1">
      <c r="A131" s="69" t="s">
        <v>2</v>
      </c>
      <c r="B131" s="69"/>
      <c r="C131" s="69"/>
      <c r="D131" s="514">
        <v>0</v>
      </c>
      <c r="E131" s="515">
        <f>'OPEX - Concept B2 - ALL'!L92</f>
        <v>1000</v>
      </c>
      <c r="F131" s="515">
        <f>'OPEX - Concept B2 - ALL'!M92</f>
        <v>1020</v>
      </c>
      <c r="G131" s="515">
        <f>'OPEX - Concept B2 - ALL'!N92</f>
        <v>1040.4000000000001</v>
      </c>
      <c r="H131" s="515">
        <f>'OPEX - Concept B2 - ALL'!O92</f>
        <v>1061.2079999999999</v>
      </c>
      <c r="I131" s="515">
        <f>'OPEX - Concept B2 - ALL'!P92</f>
        <v>1082.4321600000001</v>
      </c>
      <c r="J131" s="515">
        <f>'OPEX - Concept B2 - ALL'!Q92</f>
        <v>1104.0808032</v>
      </c>
      <c r="K131" s="515">
        <f>'OPEX - Concept B2 - ALL'!R92</f>
        <v>1126.1624192640002</v>
      </c>
      <c r="L131" s="515">
        <f>'OPEX - Concept B2 - ALL'!S92</f>
        <v>1148.68566764928</v>
      </c>
      <c r="M131" s="515">
        <f>'OPEX - Concept B2 - ALL'!T92</f>
        <v>1171.6593810022657</v>
      </c>
      <c r="N131" s="515">
        <f>'OPEX - Concept B2 - ALL'!U92</f>
        <v>1195.0925686223111</v>
      </c>
      <c r="O131" s="515">
        <f>'OPEX - Concept B2 - ALL'!V92</f>
        <v>1218.9944199947574</v>
      </c>
      <c r="P131" s="515">
        <f>'OPEX - Concept B2 - ALL'!W92</f>
        <v>1243.3743083946524</v>
      </c>
      <c r="Q131" s="515">
        <f>'OPEX - Concept B2 - ALL'!X92</f>
        <v>1268.2417945625455</v>
      </c>
      <c r="R131" s="515">
        <f>'OPEX - Concept B2 - ALL'!Y92</f>
        <v>1293.6066304537962</v>
      </c>
      <c r="S131" s="515">
        <f>'OPEX - Concept B2 - ALL'!Z92</f>
        <v>1319.4787630628723</v>
      </c>
      <c r="T131" s="515">
        <f>'OPEX - Concept B2 - ALL'!AA92</f>
        <v>1345.8683383241298</v>
      </c>
      <c r="U131" s="515">
        <f>'OPEX - Concept B2 - ALL'!AB92</f>
        <v>1372.7857050906125</v>
      </c>
      <c r="V131" s="515">
        <f>'OPEX - Concept B2 - ALL'!AC92</f>
        <v>1400.2414191924249</v>
      </c>
      <c r="W131" s="515">
        <f>'OPEX - Concept B2 - ALL'!AD92</f>
        <v>1428.2462475762734</v>
      </c>
      <c r="X131" s="515">
        <f>'OPEX - Concept B2 - ALL'!AE92</f>
        <v>1456.8111725277988</v>
      </c>
    </row>
    <row r="132" spans="1:24" s="96" customFormat="1">
      <c r="A132" s="69"/>
      <c r="B132" s="69"/>
      <c r="C132" s="69"/>
      <c r="D132" s="514"/>
      <c r="E132" s="515"/>
      <c r="F132" s="515"/>
      <c r="G132" s="515"/>
      <c r="H132" s="515"/>
      <c r="I132" s="515"/>
      <c r="J132" s="515"/>
      <c r="K132" s="515"/>
      <c r="L132" s="515"/>
      <c r="M132" s="515"/>
      <c r="N132" s="515"/>
      <c r="O132" s="515"/>
      <c r="P132" s="515"/>
      <c r="Q132" s="515"/>
      <c r="R132" s="515"/>
      <c r="S132" s="515"/>
      <c r="T132" s="515"/>
      <c r="U132" s="515"/>
      <c r="V132" s="515"/>
      <c r="W132" s="515"/>
      <c r="X132" s="515"/>
    </row>
    <row r="133" spans="1:24" s="96" customFormat="1">
      <c r="A133" s="69" t="s">
        <v>25</v>
      </c>
      <c r="B133" s="69"/>
      <c r="C133" s="69"/>
      <c r="D133" s="514">
        <v>0</v>
      </c>
      <c r="E133" s="515">
        <f>'OPEX - Concept B2 - ALL'!L108</f>
        <v>23741.666666666664</v>
      </c>
      <c r="F133" s="515">
        <f>'OPEX - Concept B2 - ALL'!M108</f>
        <v>24216.5</v>
      </c>
      <c r="G133" s="515">
        <f>'OPEX - Concept B2 - ALL'!N108</f>
        <v>24700.83</v>
      </c>
      <c r="H133" s="515">
        <f>'OPEX - Concept B2 - ALL'!O108</f>
        <v>25194.846599999997</v>
      </c>
      <c r="I133" s="515">
        <f>'OPEX - Concept B2 - ALL'!P108</f>
        <v>25698.743532</v>
      </c>
      <c r="J133" s="515">
        <f>'OPEX - Concept B2 - ALL'!Q108</f>
        <v>26212.718402639999</v>
      </c>
      <c r="K133" s="515">
        <f>'OPEX - Concept B2 - ALL'!R108</f>
        <v>26736.972770692802</v>
      </c>
      <c r="L133" s="515">
        <f>'OPEX - Concept B2 - ALL'!S108</f>
        <v>27271.712226106654</v>
      </c>
      <c r="M133" s="515">
        <f>'OPEX - Concept B2 - ALL'!T108</f>
        <v>27817.146470628788</v>
      </c>
      <c r="N133" s="515">
        <f>'OPEX - Concept B2 - ALL'!U108</f>
        <v>28373.48940004137</v>
      </c>
      <c r="O133" s="515">
        <f>'OPEX - Concept B2 - ALL'!V108</f>
        <v>28940.959188042198</v>
      </c>
      <c r="P133" s="515">
        <f>'OPEX - Concept B2 - ALL'!W108</f>
        <v>29519.77837180304</v>
      </c>
      <c r="Q133" s="515">
        <f>'OPEX - Concept B2 - ALL'!X108</f>
        <v>30110.173939239099</v>
      </c>
      <c r="R133" s="515">
        <f>'OPEX - Concept B2 - ALL'!Y108</f>
        <v>30712.37741802388</v>
      </c>
      <c r="S133" s="515">
        <f>'OPEX - Concept B2 - ALL'!Z108</f>
        <v>31326.624966384359</v>
      </c>
      <c r="T133" s="515">
        <f>'OPEX - Concept B2 - ALL'!AA108</f>
        <v>31953.157465712051</v>
      </c>
      <c r="U133" s="515">
        <f>'OPEX - Concept B2 - ALL'!AB108</f>
        <v>32592.220615026294</v>
      </c>
      <c r="V133" s="515">
        <f>'OPEX - Concept B2 - ALL'!AC108</f>
        <v>33244.065027326818</v>
      </c>
      <c r="W133" s="515">
        <f>'OPEX - Concept B2 - ALL'!AD108</f>
        <v>33908.946327873353</v>
      </c>
      <c r="X133" s="515">
        <f>'OPEX - Concept B2 - ALL'!AE108</f>
        <v>34587.125254430823</v>
      </c>
    </row>
    <row r="134" spans="1:24" s="96" customFormat="1">
      <c r="A134" s="782" t="s">
        <v>426</v>
      </c>
      <c r="B134" s="69"/>
      <c r="C134" s="69"/>
      <c r="D134" s="514">
        <v>0</v>
      </c>
      <c r="E134" s="515">
        <f>'OPEX - Concept B2 - ALL'!L96</f>
        <v>1000</v>
      </c>
      <c r="F134" s="515">
        <f>'OPEX - Concept B2 - ALL'!M96</f>
        <v>1020</v>
      </c>
      <c r="G134" s="515">
        <f>'OPEX - Concept B2 - ALL'!N96</f>
        <v>1040.4000000000001</v>
      </c>
      <c r="H134" s="515">
        <f>'OPEX - Concept B2 - ALL'!O96</f>
        <v>1061.2079999999999</v>
      </c>
      <c r="I134" s="515">
        <f>'OPEX - Concept B2 - ALL'!P96</f>
        <v>1082.4321600000001</v>
      </c>
      <c r="J134" s="515">
        <f>'OPEX - Concept B2 - ALL'!Q96</f>
        <v>25000</v>
      </c>
      <c r="K134" s="515">
        <f>'OPEX - Concept B2 - ALL'!R96</f>
        <v>25500</v>
      </c>
      <c r="L134" s="515">
        <f>'OPEX - Concept B2 - ALL'!S96</f>
        <v>26010</v>
      </c>
      <c r="M134" s="515">
        <f>'OPEX - Concept B2 - ALL'!T96</f>
        <v>26530.199999999997</v>
      </c>
      <c r="N134" s="515">
        <f>'OPEX - Concept B2 - ALL'!U96</f>
        <v>27060.804</v>
      </c>
      <c r="O134" s="515">
        <f>'OPEX - Concept B2 - ALL'!V96</f>
        <v>27602.020080000002</v>
      </c>
      <c r="P134" s="515">
        <f>'OPEX - Concept B2 - ALL'!W96</f>
        <v>28154.060481600001</v>
      </c>
      <c r="Q134" s="515">
        <f>'OPEX - Concept B2 - ALL'!X96</f>
        <v>28717.141691232002</v>
      </c>
      <c r="R134" s="515">
        <f>'OPEX - Concept B2 - ALL'!Y96</f>
        <v>29291.484525056643</v>
      </c>
      <c r="S134" s="515">
        <f>'OPEX - Concept B2 - ALL'!Z96</f>
        <v>29877.314215557777</v>
      </c>
      <c r="T134" s="515">
        <f>'OPEX - Concept B2 - ALL'!AA96</f>
        <v>30474.860499868933</v>
      </c>
      <c r="U134" s="515">
        <f>'OPEX - Concept B2 - ALL'!AB96</f>
        <v>31084.357709866312</v>
      </c>
      <c r="V134" s="515">
        <f>'OPEX - Concept B2 - ALL'!AC96</f>
        <v>31706.044864063639</v>
      </c>
      <c r="W134" s="515">
        <f>'OPEX - Concept B2 - ALL'!AD96</f>
        <v>32340.165761344906</v>
      </c>
      <c r="X134" s="515">
        <f>'OPEX - Concept B2 - ALL'!AE96</f>
        <v>32986.969076571811</v>
      </c>
    </row>
    <row r="135" spans="1:24" s="96" customFormat="1">
      <c r="A135" s="644" t="s">
        <v>302</v>
      </c>
      <c r="B135" s="69"/>
      <c r="C135" s="69"/>
      <c r="D135" s="514">
        <v>0</v>
      </c>
      <c r="E135" s="515">
        <f>'Shuttle Projections'!C28/2</f>
        <v>233675</v>
      </c>
      <c r="F135" s="515">
        <f>'Shuttle Projections'!D28</f>
        <v>476697</v>
      </c>
      <c r="G135" s="515">
        <f>'Shuttle Projections'!E28</f>
        <v>486230.94000000006</v>
      </c>
      <c r="H135" s="515">
        <f>'Shuttle Projections'!F28</f>
        <v>495955.55879999994</v>
      </c>
      <c r="I135" s="515">
        <f>'Shuttle Projections'!G28</f>
        <v>505874.66997599998</v>
      </c>
      <c r="J135" s="515">
        <f>'Shuttle Projections'!H28</f>
        <v>515992.16337552003</v>
      </c>
      <c r="K135" s="515">
        <f>'Shuttle Projections'!I28</f>
        <v>526312.00664303044</v>
      </c>
      <c r="L135" s="515">
        <f>'Shuttle Projections'!J28</f>
        <v>536838.24677589093</v>
      </c>
      <c r="M135" s="515">
        <f>'Shuttle Projections'!K28</f>
        <v>547575.01171140897</v>
      </c>
      <c r="N135" s="515">
        <f>'Shuttle Projections'!L28</f>
        <v>558526.51194563706</v>
      </c>
      <c r="O135" s="515">
        <f>'Shuttle Projections'!M28</f>
        <v>569697.04218454985</v>
      </c>
      <c r="P135" s="515">
        <f>'Shuttle Projections'!N28</f>
        <v>581090.98302824085</v>
      </c>
      <c r="Q135" s="515">
        <f>'Shuttle Projections'!O28</f>
        <v>592712.80268880562</v>
      </c>
      <c r="R135" s="515">
        <f>'Shuttle Projections'!P28</f>
        <v>604567.05874258175</v>
      </c>
      <c r="S135" s="515">
        <f>'Shuttle Projections'!Q28</f>
        <v>616658.39991743339</v>
      </c>
      <c r="T135" s="515">
        <f>'Shuttle Projections'!R28</f>
        <v>628991.5679157821</v>
      </c>
      <c r="U135" s="515">
        <f>'Shuttle Projections'!S28</f>
        <v>641571.39927409776</v>
      </c>
      <c r="V135" s="515">
        <f>'Shuttle Projections'!T28</f>
        <v>654402.82725957979</v>
      </c>
      <c r="W135" s="515">
        <f>'Shuttle Projections'!U28</f>
        <v>667490.88380477135</v>
      </c>
      <c r="X135" s="515">
        <f>'Shuttle Projections'!V28</f>
        <v>680840.70148086676</v>
      </c>
    </row>
    <row r="136" spans="1:24" s="16" customFormat="1" ht="14.25">
      <c r="A136" s="282" t="s">
        <v>132</v>
      </c>
      <c r="B136" s="276"/>
      <c r="C136" s="276"/>
      <c r="D136" s="516">
        <f>SUM(D124:D135)</f>
        <v>0</v>
      </c>
      <c r="E136" s="517">
        <f t="shared" ref="E136:X136" si="16">SUM(E125:E135)</f>
        <v>357416.66666666663</v>
      </c>
      <c r="F136" s="517">
        <f t="shared" si="16"/>
        <v>732748.5</v>
      </c>
      <c r="G136" s="517">
        <f t="shared" si="16"/>
        <v>747413.67</v>
      </c>
      <c r="H136" s="517">
        <f t="shared" si="16"/>
        <v>762361.94339999987</v>
      </c>
      <c r="I136" s="517">
        <f t="shared" si="16"/>
        <v>777609.18226799998</v>
      </c>
      <c r="J136" s="517">
        <f t="shared" si="16"/>
        <v>821505.24470855994</v>
      </c>
      <c r="K136" s="517">
        <f t="shared" si="16"/>
        <v>833398.43081236328</v>
      </c>
      <c r="L136" s="517">
        <f t="shared" si="16"/>
        <v>850066.39942861046</v>
      </c>
      <c r="M136" s="517">
        <f t="shared" si="16"/>
        <v>867067.72741718288</v>
      </c>
      <c r="N136" s="517">
        <f t="shared" si="16"/>
        <v>884409.08196552633</v>
      </c>
      <c r="O136" s="517">
        <f t="shared" si="16"/>
        <v>906487.76639483962</v>
      </c>
      <c r="P136" s="517">
        <f t="shared" si="16"/>
        <v>920139.20887693379</v>
      </c>
      <c r="Q136" s="517">
        <f t="shared" si="16"/>
        <v>938541.99305447238</v>
      </c>
      <c r="R136" s="517">
        <f t="shared" si="16"/>
        <v>957312.83291556174</v>
      </c>
      <c r="S136" s="517">
        <f t="shared" si="16"/>
        <v>976459.08957387297</v>
      </c>
      <c r="T136" s="517">
        <f t="shared" si="16"/>
        <v>1000315.3371961885</v>
      </c>
      <c r="U136" s="517">
        <f t="shared" si="16"/>
        <v>1015908.0367926576</v>
      </c>
      <c r="V136" s="517">
        <f t="shared" si="16"/>
        <v>1036226.1975285108</v>
      </c>
      <c r="W136" s="517">
        <f t="shared" si="16"/>
        <v>1056950.7214790811</v>
      </c>
      <c r="X136" s="517">
        <f t="shared" si="16"/>
        <v>1078089.7359086627</v>
      </c>
    </row>
    <row r="137" spans="1:24">
      <c r="A137" s="92"/>
      <c r="B137" s="69"/>
      <c r="C137" s="69"/>
      <c r="D137" s="514"/>
      <c r="E137" s="515"/>
      <c r="F137" s="515"/>
      <c r="G137" s="515"/>
      <c r="H137" s="515"/>
      <c r="I137" s="515"/>
      <c r="J137" s="515"/>
      <c r="K137" s="515"/>
      <c r="L137" s="515"/>
      <c r="M137" s="515"/>
      <c r="N137" s="515"/>
      <c r="O137" s="515"/>
      <c r="P137" s="515"/>
      <c r="Q137" s="515"/>
      <c r="R137" s="515"/>
      <c r="S137" s="515"/>
      <c r="T137" s="515"/>
      <c r="U137" s="515"/>
      <c r="V137" s="515"/>
      <c r="W137" s="515"/>
      <c r="X137" s="515"/>
    </row>
    <row r="138" spans="1:24">
      <c r="A138" s="269" t="s">
        <v>85</v>
      </c>
      <c r="B138" s="269"/>
      <c r="C138" s="270"/>
      <c r="D138" s="513"/>
      <c r="E138" s="513"/>
      <c r="F138" s="513"/>
      <c r="G138" s="513"/>
      <c r="H138" s="513"/>
      <c r="I138" s="513"/>
      <c r="J138" s="513"/>
      <c r="K138" s="513"/>
      <c r="L138" s="513"/>
      <c r="M138" s="513"/>
      <c r="N138" s="513"/>
      <c r="O138" s="513"/>
      <c r="P138" s="513"/>
      <c r="Q138" s="513"/>
      <c r="R138" s="513"/>
      <c r="S138" s="513"/>
      <c r="T138" s="513"/>
      <c r="U138" s="513"/>
      <c r="V138" s="513"/>
      <c r="W138" s="513"/>
      <c r="X138" s="513"/>
    </row>
    <row r="139" spans="1:24" s="368" customFormat="1">
      <c r="A139" s="263"/>
      <c r="B139" s="263"/>
      <c r="C139" s="367"/>
      <c r="D139" s="514"/>
      <c r="E139" s="515"/>
      <c r="F139" s="515"/>
      <c r="G139" s="515"/>
      <c r="H139" s="515"/>
      <c r="I139" s="515"/>
      <c r="J139" s="515"/>
      <c r="K139" s="515"/>
      <c r="L139" s="515"/>
      <c r="M139" s="515"/>
      <c r="N139" s="515"/>
      <c r="O139" s="515"/>
      <c r="P139" s="515"/>
      <c r="Q139" s="515"/>
      <c r="R139" s="515"/>
      <c r="S139" s="515"/>
      <c r="T139" s="515"/>
      <c r="U139" s="515"/>
      <c r="V139" s="515"/>
      <c r="W139" s="515"/>
      <c r="X139" s="515"/>
    </row>
    <row r="140" spans="1:24" s="58" customFormat="1">
      <c r="A140" s="69" t="s">
        <v>0</v>
      </c>
      <c r="B140" s="263"/>
      <c r="C140" s="783"/>
      <c r="D140" s="514">
        <v>0</v>
      </c>
      <c r="E140" s="515">
        <f>'OPEX - Concept B2 - ALL'!L131</f>
        <v>0</v>
      </c>
      <c r="F140" s="515">
        <f>'OPEX - Concept B2 - ALL'!M131</f>
        <v>54570</v>
      </c>
      <c r="G140" s="515">
        <f>'OPEX - Concept B2 - ALL'!N131</f>
        <v>56774.628000000004</v>
      </c>
      <c r="H140" s="515">
        <f>'OPEX - Concept B2 - ALL'!O131</f>
        <v>57910.120559999996</v>
      </c>
      <c r="I140" s="515">
        <f>'OPEX - Concept B2 - ALL'!P131</f>
        <v>59068.322971199988</v>
      </c>
      <c r="J140" s="515">
        <f>'OPEX - Concept B2 - ALL'!Q131</f>
        <v>60249.689430623999</v>
      </c>
      <c r="K140" s="515">
        <f>'OPEX - Concept B2 - ALL'!R131</f>
        <v>61454.683219236475</v>
      </c>
      <c r="L140" s="515">
        <f>'OPEX - Concept B2 - ALL'!S131</f>
        <v>62683.776883621205</v>
      </c>
      <c r="M140" s="515">
        <f>'OPEX - Concept B2 - ALL'!T131</f>
        <v>63937.452421293638</v>
      </c>
      <c r="N140" s="515">
        <f>'OPEX - Concept B2 - ALL'!U131</f>
        <v>65216.201469719512</v>
      </c>
      <c r="O140" s="515">
        <f>'OPEX - Concept B2 - ALL'!V131</f>
        <v>66520.525499113894</v>
      </c>
      <c r="P140" s="515">
        <f>'OPEX - Concept B2 - ALL'!W131</f>
        <v>67850.936009096185</v>
      </c>
      <c r="Q140" s="515">
        <f>'OPEX - Concept B2 - ALL'!X131</f>
        <v>69207.954729278121</v>
      </c>
      <c r="R140" s="515">
        <f>'OPEX - Concept B2 - ALL'!Y131</f>
        <v>70592.113823863678</v>
      </c>
      <c r="S140" s="515">
        <f>'OPEX - Concept B2 - ALL'!Z131</f>
        <v>72003.956100340947</v>
      </c>
      <c r="T140" s="515">
        <f>'OPEX - Concept B2 - ALL'!AA131</f>
        <v>73444.035222347768</v>
      </c>
      <c r="U140" s="515">
        <f>'OPEX - Concept B2 - ALL'!AB131</f>
        <v>74912.915926794725</v>
      </c>
      <c r="V140" s="515">
        <f>'OPEX - Concept B2 - ALL'!AC131</f>
        <v>76411.174245330621</v>
      </c>
      <c r="W140" s="515">
        <f>'OPEX - Concept B2 - ALL'!AD131</f>
        <v>77939.397730237237</v>
      </c>
      <c r="X140" s="515">
        <f>'OPEX - Concept B2 - ALL'!AE131</f>
        <v>79498.18568484197</v>
      </c>
    </row>
    <row r="141" spans="1:24" s="58" customFormat="1">
      <c r="A141" s="69" t="s">
        <v>4</v>
      </c>
      <c r="B141" s="263"/>
      <c r="C141" s="783"/>
      <c r="D141" s="514">
        <v>0</v>
      </c>
      <c r="E141" s="515">
        <f>'OPEX - Concept B2 - ALL'!L154</f>
        <v>0</v>
      </c>
      <c r="F141" s="515">
        <f>'OPEX - Concept B2 - ALL'!M154</f>
        <v>85335.846153846156</v>
      </c>
      <c r="G141" s="515">
        <f>'OPEX - Concept B2 - ALL'!N154</f>
        <v>87042.563076923077</v>
      </c>
      <c r="H141" s="515">
        <f>'OPEX - Concept B2 - ALL'!O154</f>
        <v>88783.41433846156</v>
      </c>
      <c r="I141" s="515">
        <f>'OPEX - Concept B2 - ALL'!P154</f>
        <v>90559.082625230774</v>
      </c>
      <c r="J141" s="515">
        <f>'OPEX - Concept B2 - ALL'!Q154</f>
        <v>92370.264277735376</v>
      </c>
      <c r="K141" s="515">
        <f>'OPEX - Concept B2 - ALL'!R154</f>
        <v>94217.669563290081</v>
      </c>
      <c r="L141" s="515">
        <f>'OPEX - Concept B2 - ALL'!S154</f>
        <v>96102.022954555898</v>
      </c>
      <c r="M141" s="515">
        <f>'OPEX - Concept B2 - ALL'!T154</f>
        <v>98024.063413647003</v>
      </c>
      <c r="N141" s="515">
        <f>'OPEX - Concept B2 - ALL'!U154</f>
        <v>99984.544681919942</v>
      </c>
      <c r="O141" s="515">
        <f>'OPEX - Concept B2 - ALL'!V154</f>
        <v>101984.23557555837</v>
      </c>
      <c r="P141" s="515">
        <f>'OPEX - Concept B2 - ALL'!W154</f>
        <v>104023.92028706953</v>
      </c>
      <c r="Q141" s="515">
        <f>'OPEX - Concept B2 - ALL'!X154</f>
        <v>106104.39869281092</v>
      </c>
      <c r="R141" s="515">
        <f>'OPEX - Concept B2 - ALL'!Y154</f>
        <v>108226.48666666714</v>
      </c>
      <c r="S141" s="515">
        <f>'OPEX - Concept B2 - ALL'!Z154</f>
        <v>110391.01640000047</v>
      </c>
      <c r="T141" s="515">
        <f>'OPEX - Concept B2 - ALL'!AA154</f>
        <v>112598.8367280005</v>
      </c>
      <c r="U141" s="515">
        <f>'OPEX - Concept B2 - ALL'!AB154</f>
        <v>114850.8134625605</v>
      </c>
      <c r="V141" s="515">
        <f>'OPEX - Concept B2 - ALL'!AC154</f>
        <v>117147.82973181173</v>
      </c>
      <c r="W141" s="515">
        <f>'OPEX - Concept B2 - ALL'!AD154</f>
        <v>119490.78632644797</v>
      </c>
      <c r="X141" s="515">
        <f>'OPEX - Concept B2 - ALL'!AE154</f>
        <v>121880.60205297693</v>
      </c>
    </row>
    <row r="142" spans="1:24" s="16" customFormat="1" ht="14.25">
      <c r="A142" s="282" t="s">
        <v>133</v>
      </c>
      <c r="B142" s="276"/>
      <c r="C142" s="276"/>
      <c r="D142" s="516">
        <f>SUM(D140:D141)</f>
        <v>0</v>
      </c>
      <c r="E142" s="517">
        <f>SUM(E140:E141)</f>
        <v>0</v>
      </c>
      <c r="F142" s="517">
        <f t="shared" ref="F142:X142" si="17">SUM(F140:F141)</f>
        <v>139905.84615384616</v>
      </c>
      <c r="G142" s="517">
        <f t="shared" si="17"/>
        <v>143817.19107692307</v>
      </c>
      <c r="H142" s="517">
        <f t="shared" si="17"/>
        <v>146693.53489846154</v>
      </c>
      <c r="I142" s="517">
        <f t="shared" si="17"/>
        <v>149627.40559643076</v>
      </c>
      <c r="J142" s="517">
        <f t="shared" si="17"/>
        <v>152619.95370835939</v>
      </c>
      <c r="K142" s="517">
        <f t="shared" si="17"/>
        <v>155672.35278252655</v>
      </c>
      <c r="L142" s="517">
        <f t="shared" si="17"/>
        <v>158785.7998381771</v>
      </c>
      <c r="M142" s="517">
        <f t="shared" si="17"/>
        <v>161961.51583494066</v>
      </c>
      <c r="N142" s="517">
        <f t="shared" si="17"/>
        <v>165200.74615163944</v>
      </c>
      <c r="O142" s="517">
        <f t="shared" si="17"/>
        <v>168504.76107467228</v>
      </c>
      <c r="P142" s="517">
        <f t="shared" si="17"/>
        <v>171874.85629616573</v>
      </c>
      <c r="Q142" s="517">
        <f t="shared" si="17"/>
        <v>175312.35342208904</v>
      </c>
      <c r="R142" s="517">
        <f t="shared" si="17"/>
        <v>178818.60049053084</v>
      </c>
      <c r="S142" s="517">
        <f t="shared" si="17"/>
        <v>182394.97250034142</v>
      </c>
      <c r="T142" s="517">
        <f t="shared" si="17"/>
        <v>186042.87195034826</v>
      </c>
      <c r="U142" s="517">
        <f t="shared" si="17"/>
        <v>189763.72938935523</v>
      </c>
      <c r="V142" s="517">
        <f t="shared" si="17"/>
        <v>193559.00397714233</v>
      </c>
      <c r="W142" s="517">
        <f t="shared" si="17"/>
        <v>197430.18405668519</v>
      </c>
      <c r="X142" s="517">
        <f t="shared" si="17"/>
        <v>201378.7877378189</v>
      </c>
    </row>
    <row r="143" spans="1:24">
      <c r="A143" s="92"/>
      <c r="B143" s="92"/>
      <c r="C143" s="69"/>
      <c r="D143" s="514"/>
      <c r="E143" s="515"/>
      <c r="F143" s="515"/>
      <c r="G143" s="515"/>
      <c r="H143" s="515"/>
      <c r="I143" s="515"/>
      <c r="J143" s="515"/>
      <c r="K143" s="515"/>
      <c r="L143" s="515"/>
      <c r="M143" s="515"/>
      <c r="N143" s="515"/>
      <c r="O143" s="515"/>
      <c r="P143" s="515"/>
      <c r="Q143" s="515"/>
      <c r="R143" s="515"/>
      <c r="S143" s="515"/>
      <c r="T143" s="515"/>
      <c r="U143" s="515"/>
      <c r="V143" s="515"/>
      <c r="W143" s="515"/>
      <c r="X143" s="515"/>
    </row>
    <row r="144" spans="1:24" s="16" customFormat="1" ht="14.25">
      <c r="A144" s="350" t="s">
        <v>118</v>
      </c>
      <c r="B144" s="350"/>
      <c r="C144" s="351"/>
      <c r="D144" s="519">
        <f t="shared" ref="D144:X144" si="18">SUM(D136,D142)</f>
        <v>0</v>
      </c>
      <c r="E144" s="519">
        <f t="shared" si="18"/>
        <v>357416.66666666663</v>
      </c>
      <c r="F144" s="519">
        <f t="shared" si="18"/>
        <v>872654.34615384613</v>
      </c>
      <c r="G144" s="519">
        <f t="shared" si="18"/>
        <v>891230.86107692309</v>
      </c>
      <c r="H144" s="519">
        <f t="shared" si="18"/>
        <v>909055.47829846141</v>
      </c>
      <c r="I144" s="519">
        <f t="shared" si="18"/>
        <v>927236.58786443074</v>
      </c>
      <c r="J144" s="519">
        <f t="shared" si="18"/>
        <v>974125.19841691933</v>
      </c>
      <c r="K144" s="519">
        <f t="shared" si="18"/>
        <v>989070.7835948898</v>
      </c>
      <c r="L144" s="519">
        <f t="shared" si="18"/>
        <v>1008852.1992667876</v>
      </c>
      <c r="M144" s="519">
        <f t="shared" si="18"/>
        <v>1029029.2432521235</v>
      </c>
      <c r="N144" s="519">
        <f t="shared" si="18"/>
        <v>1049609.8281171657</v>
      </c>
      <c r="O144" s="519">
        <f t="shared" si="18"/>
        <v>1074992.5274695118</v>
      </c>
      <c r="P144" s="519">
        <f t="shared" si="18"/>
        <v>1092014.0651730995</v>
      </c>
      <c r="Q144" s="519">
        <f t="shared" si="18"/>
        <v>1113854.3464765614</v>
      </c>
      <c r="R144" s="519">
        <f t="shared" si="18"/>
        <v>1136131.4334060927</v>
      </c>
      <c r="S144" s="519">
        <f t="shared" si="18"/>
        <v>1158854.0620742145</v>
      </c>
      <c r="T144" s="519">
        <f t="shared" si="18"/>
        <v>1186358.2091465369</v>
      </c>
      <c r="U144" s="519">
        <f t="shared" si="18"/>
        <v>1205671.7661820129</v>
      </c>
      <c r="V144" s="519">
        <f t="shared" si="18"/>
        <v>1229785.2015056531</v>
      </c>
      <c r="W144" s="519">
        <f t="shared" si="18"/>
        <v>1254380.9055357664</v>
      </c>
      <c r="X144" s="519">
        <f t="shared" si="18"/>
        <v>1279468.5236464816</v>
      </c>
    </row>
    <row r="145" spans="1:24" s="222" customFormat="1" ht="14.25">
      <c r="A145" s="280"/>
      <c r="B145" s="280"/>
      <c r="C145" s="263"/>
      <c r="D145" s="518"/>
      <c r="E145" s="520"/>
      <c r="F145" s="520"/>
      <c r="G145" s="520"/>
      <c r="H145" s="520"/>
      <c r="I145" s="520"/>
      <c r="J145" s="520"/>
      <c r="K145" s="520"/>
      <c r="L145" s="520"/>
      <c r="M145" s="520"/>
      <c r="N145" s="520"/>
      <c r="O145" s="520"/>
      <c r="P145" s="520"/>
      <c r="Q145" s="520"/>
      <c r="R145" s="520"/>
      <c r="S145" s="520"/>
      <c r="T145" s="520"/>
      <c r="U145" s="520"/>
      <c r="V145" s="520"/>
      <c r="W145" s="520"/>
      <c r="X145" s="520"/>
    </row>
    <row r="146" spans="1:24" s="222" customFormat="1" ht="14.25">
      <c r="A146" s="271" t="s">
        <v>295</v>
      </c>
      <c r="B146" s="271"/>
      <c r="C146" s="269"/>
      <c r="D146" s="521"/>
      <c r="E146" s="521"/>
      <c r="F146" s="521"/>
      <c r="G146" s="521"/>
      <c r="H146" s="521"/>
      <c r="I146" s="521"/>
      <c r="J146" s="521"/>
      <c r="K146" s="521"/>
      <c r="L146" s="521"/>
      <c r="M146" s="521"/>
      <c r="N146" s="521"/>
      <c r="O146" s="521"/>
      <c r="P146" s="521"/>
      <c r="Q146" s="521"/>
      <c r="R146" s="521"/>
      <c r="S146" s="521"/>
      <c r="T146" s="521"/>
      <c r="U146" s="521"/>
      <c r="V146" s="521"/>
      <c r="W146" s="521"/>
      <c r="X146" s="521"/>
    </row>
    <row r="147" spans="1:24" s="222" customFormat="1" ht="14.25">
      <c r="A147" s="280"/>
      <c r="B147" s="280"/>
      <c r="C147" s="263"/>
      <c r="D147" s="518"/>
      <c r="E147" s="520"/>
      <c r="F147" s="520"/>
      <c r="G147" s="520"/>
      <c r="H147" s="520"/>
      <c r="I147" s="520"/>
      <c r="J147" s="520"/>
      <c r="K147" s="520"/>
      <c r="L147" s="520"/>
      <c r="M147" s="520"/>
      <c r="N147" s="520"/>
      <c r="O147" s="520"/>
      <c r="P147" s="520"/>
      <c r="Q147" s="520"/>
      <c r="R147" s="520"/>
      <c r="S147" s="520"/>
      <c r="T147" s="520"/>
      <c r="U147" s="520"/>
      <c r="V147" s="520"/>
      <c r="W147" s="520"/>
      <c r="X147" s="520"/>
    </row>
    <row r="148" spans="1:24" s="725" customFormat="1">
      <c r="A148" s="353" t="s">
        <v>228</v>
      </c>
      <c r="B148" s="691"/>
      <c r="C148" s="724"/>
      <c r="D148" s="699">
        <v>0</v>
      </c>
      <c r="E148" s="700"/>
      <c r="F148" s="700"/>
      <c r="G148" s="700"/>
      <c r="H148" s="700"/>
      <c r="I148" s="700"/>
      <c r="J148" s="700"/>
      <c r="K148" s="700"/>
      <c r="L148" s="700"/>
      <c r="M148" s="700"/>
      <c r="N148" s="700"/>
      <c r="O148" s="700"/>
      <c r="P148" s="700"/>
      <c r="Q148" s="700"/>
      <c r="R148" s="700"/>
      <c r="S148" s="700"/>
      <c r="T148" s="700"/>
      <c r="U148" s="700"/>
      <c r="V148" s="700"/>
      <c r="W148" s="700"/>
      <c r="X148" s="700"/>
    </row>
    <row r="149" spans="1:24" s="725" customFormat="1">
      <c r="A149" s="726" t="s">
        <v>228</v>
      </c>
      <c r="B149" s="727"/>
      <c r="C149" s="728"/>
      <c r="D149" s="729">
        <v>0</v>
      </c>
      <c r="E149" s="730"/>
      <c r="F149" s="730"/>
      <c r="G149" s="730"/>
      <c r="H149" s="730"/>
      <c r="I149" s="730"/>
      <c r="J149" s="730"/>
      <c r="K149" s="730"/>
      <c r="L149" s="730"/>
      <c r="M149" s="730"/>
      <c r="N149" s="730"/>
      <c r="O149" s="730"/>
      <c r="P149" s="730"/>
      <c r="Q149" s="730"/>
      <c r="R149" s="730"/>
      <c r="S149" s="730"/>
      <c r="T149" s="730"/>
      <c r="U149" s="730"/>
      <c r="V149" s="730"/>
      <c r="W149" s="730"/>
      <c r="X149" s="730"/>
    </row>
    <row r="150" spans="1:24" s="725" customFormat="1" ht="14.25">
      <c r="A150" s="691" t="s">
        <v>296</v>
      </c>
      <c r="B150" s="691"/>
      <c r="C150" s="724"/>
      <c r="D150" s="731">
        <f t="shared" ref="D150:X150" si="19">SUM(D148:D149)</f>
        <v>0</v>
      </c>
      <c r="E150" s="732">
        <f t="shared" si="19"/>
        <v>0</v>
      </c>
      <c r="F150" s="732">
        <f t="shared" si="19"/>
        <v>0</v>
      </c>
      <c r="G150" s="732">
        <f t="shared" si="19"/>
        <v>0</v>
      </c>
      <c r="H150" s="732">
        <f t="shared" si="19"/>
        <v>0</v>
      </c>
      <c r="I150" s="732">
        <f t="shared" si="19"/>
        <v>0</v>
      </c>
      <c r="J150" s="732">
        <f t="shared" si="19"/>
        <v>0</v>
      </c>
      <c r="K150" s="732">
        <f t="shared" si="19"/>
        <v>0</v>
      </c>
      <c r="L150" s="732">
        <f t="shared" si="19"/>
        <v>0</v>
      </c>
      <c r="M150" s="732">
        <f t="shared" si="19"/>
        <v>0</v>
      </c>
      <c r="N150" s="732">
        <f t="shared" si="19"/>
        <v>0</v>
      </c>
      <c r="O150" s="732">
        <f t="shared" si="19"/>
        <v>0</v>
      </c>
      <c r="P150" s="732">
        <f t="shared" si="19"/>
        <v>0</v>
      </c>
      <c r="Q150" s="732">
        <f t="shared" si="19"/>
        <v>0</v>
      </c>
      <c r="R150" s="732">
        <f t="shared" si="19"/>
        <v>0</v>
      </c>
      <c r="S150" s="732">
        <f t="shared" si="19"/>
        <v>0</v>
      </c>
      <c r="T150" s="732">
        <f t="shared" si="19"/>
        <v>0</v>
      </c>
      <c r="U150" s="732">
        <f t="shared" si="19"/>
        <v>0</v>
      </c>
      <c r="V150" s="732">
        <f t="shared" si="19"/>
        <v>0</v>
      </c>
      <c r="W150" s="732">
        <f t="shared" si="19"/>
        <v>0</v>
      </c>
      <c r="X150" s="732">
        <f t="shared" si="19"/>
        <v>0</v>
      </c>
    </row>
    <row r="151" spans="1:24" s="222" customFormat="1">
      <c r="A151" s="280"/>
      <c r="B151" s="280"/>
      <c r="C151" s="263"/>
      <c r="D151" s="514"/>
      <c r="E151" s="515"/>
      <c r="F151" s="520"/>
      <c r="G151" s="520"/>
      <c r="H151" s="520"/>
      <c r="I151" s="520"/>
      <c r="J151" s="520"/>
      <c r="K151" s="520"/>
      <c r="L151" s="520"/>
      <c r="M151" s="520"/>
      <c r="N151" s="520"/>
      <c r="O151" s="520"/>
      <c r="P151" s="520"/>
      <c r="Q151" s="520"/>
      <c r="R151" s="520"/>
      <c r="S151" s="520"/>
      <c r="T151" s="520"/>
      <c r="U151" s="520"/>
      <c r="V151" s="520"/>
      <c r="W151" s="520"/>
      <c r="X151" s="520"/>
    </row>
    <row r="152" spans="1:24" s="222" customFormat="1" ht="14.25">
      <c r="A152" s="296" t="s">
        <v>140</v>
      </c>
      <c r="B152" s="296"/>
      <c r="C152" s="297"/>
      <c r="D152" s="522">
        <f t="shared" ref="D152:X152" si="20">SUM(D144,D150)</f>
        <v>0</v>
      </c>
      <c r="E152" s="522">
        <f t="shared" si="20"/>
        <v>357416.66666666663</v>
      </c>
      <c r="F152" s="522">
        <f t="shared" si="20"/>
        <v>872654.34615384613</v>
      </c>
      <c r="G152" s="522">
        <f t="shared" si="20"/>
        <v>891230.86107692309</v>
      </c>
      <c r="H152" s="522">
        <f t="shared" si="20"/>
        <v>909055.47829846141</v>
      </c>
      <c r="I152" s="522">
        <f t="shared" si="20"/>
        <v>927236.58786443074</v>
      </c>
      <c r="J152" s="522">
        <f t="shared" si="20"/>
        <v>974125.19841691933</v>
      </c>
      <c r="K152" s="522">
        <f t="shared" si="20"/>
        <v>989070.7835948898</v>
      </c>
      <c r="L152" s="522">
        <f t="shared" si="20"/>
        <v>1008852.1992667876</v>
      </c>
      <c r="M152" s="522">
        <f t="shared" si="20"/>
        <v>1029029.2432521235</v>
      </c>
      <c r="N152" s="522">
        <f t="shared" si="20"/>
        <v>1049609.8281171657</v>
      </c>
      <c r="O152" s="522">
        <f t="shared" si="20"/>
        <v>1074992.5274695118</v>
      </c>
      <c r="P152" s="522">
        <f t="shared" si="20"/>
        <v>1092014.0651730995</v>
      </c>
      <c r="Q152" s="522">
        <f t="shared" si="20"/>
        <v>1113854.3464765614</v>
      </c>
      <c r="R152" s="522">
        <f t="shared" si="20"/>
        <v>1136131.4334060927</v>
      </c>
      <c r="S152" s="522">
        <f t="shared" si="20"/>
        <v>1158854.0620742145</v>
      </c>
      <c r="T152" s="522">
        <f t="shared" si="20"/>
        <v>1186358.2091465369</v>
      </c>
      <c r="U152" s="522">
        <f t="shared" si="20"/>
        <v>1205671.7661820129</v>
      </c>
      <c r="V152" s="522">
        <f t="shared" si="20"/>
        <v>1229785.2015056531</v>
      </c>
      <c r="W152" s="522">
        <f t="shared" si="20"/>
        <v>1254380.9055357664</v>
      </c>
      <c r="X152" s="522">
        <f t="shared" si="20"/>
        <v>1279468.5236464816</v>
      </c>
    </row>
    <row r="153" spans="1:24">
      <c r="A153" s="92"/>
      <c r="B153" s="92"/>
      <c r="C153" s="69"/>
      <c r="D153" s="514"/>
      <c r="E153" s="515"/>
      <c r="F153" s="515"/>
      <c r="G153" s="515"/>
      <c r="H153" s="515"/>
      <c r="I153" s="515"/>
      <c r="J153" s="515"/>
      <c r="K153" s="515"/>
      <c r="L153" s="515"/>
      <c r="M153" s="515"/>
      <c r="N153" s="515"/>
      <c r="O153" s="515"/>
      <c r="P153" s="515"/>
      <c r="Q153" s="515"/>
      <c r="R153" s="515"/>
      <c r="S153" s="515"/>
      <c r="T153" s="515"/>
      <c r="U153" s="515"/>
      <c r="V153" s="515"/>
      <c r="W153" s="515"/>
      <c r="X153" s="515"/>
    </row>
    <row r="154" spans="1:24" s="33" customFormat="1">
      <c r="A154" s="47" t="s">
        <v>7</v>
      </c>
      <c r="B154" s="47" t="s">
        <v>7</v>
      </c>
      <c r="C154" s="78" t="s">
        <v>7</v>
      </c>
      <c r="D154" s="604" t="s">
        <v>7</v>
      </c>
      <c r="E154" s="78" t="s">
        <v>7</v>
      </c>
      <c r="F154" s="78" t="s">
        <v>7</v>
      </c>
      <c r="G154" s="78" t="s">
        <v>7</v>
      </c>
      <c r="H154" s="78" t="s">
        <v>7</v>
      </c>
      <c r="I154" s="78" t="s">
        <v>7</v>
      </c>
      <c r="J154" s="78" t="s">
        <v>7</v>
      </c>
      <c r="K154" s="78" t="s">
        <v>7</v>
      </c>
      <c r="L154" s="78" t="s">
        <v>7</v>
      </c>
      <c r="M154" s="78" t="s">
        <v>7</v>
      </c>
      <c r="N154" s="78" t="s">
        <v>7</v>
      </c>
      <c r="O154" s="78" t="s">
        <v>7</v>
      </c>
      <c r="P154" s="78" t="s">
        <v>7</v>
      </c>
      <c r="Q154" s="78" t="s">
        <v>7</v>
      </c>
      <c r="R154" s="78" t="s">
        <v>7</v>
      </c>
      <c r="S154" s="78" t="s">
        <v>7</v>
      </c>
      <c r="T154" s="78" t="s">
        <v>7</v>
      </c>
      <c r="U154" s="78" t="s">
        <v>7</v>
      </c>
      <c r="V154" s="78" t="s">
        <v>7</v>
      </c>
      <c r="W154" s="78" t="s">
        <v>7</v>
      </c>
      <c r="X154" s="78" t="s">
        <v>7</v>
      </c>
    </row>
    <row r="155" spans="1:24">
      <c r="A155" s="92"/>
      <c r="B155" s="92"/>
      <c r="C155" s="69"/>
      <c r="D155" s="518"/>
      <c r="E155" s="515"/>
      <c r="F155" s="515"/>
      <c r="G155" s="515"/>
      <c r="H155" s="515"/>
      <c r="I155" s="515"/>
      <c r="J155" s="515"/>
      <c r="K155" s="515"/>
      <c r="L155" s="515"/>
      <c r="M155" s="515"/>
      <c r="N155" s="515"/>
      <c r="O155" s="515"/>
      <c r="P155" s="515"/>
      <c r="Q155" s="515"/>
      <c r="R155" s="515"/>
      <c r="S155" s="515"/>
      <c r="T155" s="515"/>
      <c r="U155" s="515"/>
      <c r="V155" s="515"/>
      <c r="W155" s="515"/>
      <c r="X155" s="515"/>
    </row>
    <row r="156" spans="1:24" s="16" customFormat="1" ht="14.25">
      <c r="A156" s="278" t="s">
        <v>116</v>
      </c>
      <c r="B156" s="263"/>
      <c r="C156" s="263"/>
      <c r="D156" s="518">
        <f>D119-(D136+D142)</f>
        <v>0</v>
      </c>
      <c r="E156" s="520">
        <f>E119-E152</f>
        <v>-299391.66666666663</v>
      </c>
      <c r="F156" s="520">
        <f t="shared" ref="F156:X156" si="21">F119-F152</f>
        <v>913020.46551490424</v>
      </c>
      <c r="G156" s="520">
        <f t="shared" si="21"/>
        <v>1046889.8468252018</v>
      </c>
      <c r="H156" s="520">
        <f t="shared" si="21"/>
        <v>1065607.6437617061</v>
      </c>
      <c r="I156" s="520">
        <f t="shared" si="21"/>
        <v>1084699.79663694</v>
      </c>
      <c r="J156" s="520">
        <f t="shared" si="21"/>
        <v>1322745.4137744787</v>
      </c>
      <c r="K156" s="520">
        <f t="shared" si="21"/>
        <v>1346578.9308403365</v>
      </c>
      <c r="L156" s="520">
        <f t="shared" si="21"/>
        <v>1366352.1994571434</v>
      </c>
      <c r="M156" s="520">
        <f t="shared" si="21"/>
        <v>1386520.9334462865</v>
      </c>
      <c r="N156" s="520">
        <f t="shared" si="21"/>
        <v>1407093.042115212</v>
      </c>
      <c r="O156" s="520">
        <f t="shared" si="21"/>
        <v>1486002.4651675138</v>
      </c>
      <c r="P156" s="520">
        <f t="shared" si="21"/>
        <v>1511796.1898166661</v>
      </c>
      <c r="Q156" s="520">
        <f t="shared" si="21"/>
        <v>1533627.476113</v>
      </c>
      <c r="R156" s="520">
        <f t="shared" si="21"/>
        <v>1555895.3881352595</v>
      </c>
      <c r="S156" s="520">
        <f t="shared" si="21"/>
        <v>1578608.6583979649</v>
      </c>
      <c r="T156" s="520">
        <f t="shared" si="21"/>
        <v>1659865.5032350863</v>
      </c>
      <c r="U156" s="520">
        <f t="shared" si="21"/>
        <v>1687823.4554472431</v>
      </c>
      <c r="V156" s="520">
        <f t="shared" si="21"/>
        <v>1711926.959556188</v>
      </c>
      <c r="W156" s="520">
        <f t="shared" si="21"/>
        <v>1736512.5337473112</v>
      </c>
      <c r="X156" s="520">
        <f t="shared" si="21"/>
        <v>1761589.8194222578</v>
      </c>
    </row>
    <row r="157" spans="1:24">
      <c r="A157" s="30"/>
      <c r="B157" s="92"/>
      <c r="C157" s="69"/>
      <c r="D157" s="514"/>
      <c r="E157" s="515"/>
      <c r="F157" s="515"/>
      <c r="G157" s="515"/>
      <c r="H157" s="515"/>
      <c r="I157" s="515"/>
      <c r="J157" s="515"/>
      <c r="K157" s="515"/>
      <c r="L157" s="515"/>
      <c r="M157" s="515"/>
      <c r="N157" s="515"/>
      <c r="O157" s="515"/>
      <c r="P157" s="515"/>
      <c r="Q157" s="515"/>
      <c r="R157" s="515"/>
      <c r="S157" s="515"/>
      <c r="T157" s="515"/>
      <c r="U157" s="515"/>
      <c r="V157" s="515"/>
      <c r="W157" s="515"/>
      <c r="X157" s="515"/>
    </row>
    <row r="158" spans="1:24" s="594" customFormat="1">
      <c r="A158" s="589" t="s">
        <v>125</v>
      </c>
      <c r="B158" s="590"/>
      <c r="C158" s="591"/>
      <c r="D158" s="592">
        <v>0</v>
      </c>
      <c r="E158" s="593">
        <v>0</v>
      </c>
      <c r="F158" s="593">
        <v>0</v>
      </c>
      <c r="G158" s="593">
        <v>0</v>
      </c>
      <c r="H158" s="593">
        <v>0</v>
      </c>
      <c r="I158" s="593">
        <v>0</v>
      </c>
      <c r="J158" s="593">
        <v>0</v>
      </c>
      <c r="K158" s="593">
        <v>0</v>
      </c>
      <c r="L158" s="593">
        <v>0</v>
      </c>
      <c r="M158" s="593">
        <v>0</v>
      </c>
      <c r="N158" s="593">
        <v>0</v>
      </c>
      <c r="O158" s="593">
        <v>0</v>
      </c>
      <c r="P158" s="593">
        <v>0</v>
      </c>
      <c r="Q158" s="593">
        <v>0</v>
      </c>
      <c r="R158" s="593">
        <v>0</v>
      </c>
      <c r="S158" s="593">
        <v>0</v>
      </c>
      <c r="T158" s="593">
        <v>0</v>
      </c>
      <c r="U158" s="593">
        <v>0</v>
      </c>
      <c r="V158" s="593">
        <v>0</v>
      </c>
      <c r="W158" s="593">
        <v>0</v>
      </c>
      <c r="X158" s="593">
        <v>0</v>
      </c>
    </row>
    <row r="159" spans="1:24">
      <c r="A159" s="92"/>
      <c r="B159" s="92"/>
      <c r="C159" s="69"/>
      <c r="D159" s="514"/>
      <c r="E159" s="515"/>
      <c r="F159" s="515"/>
      <c r="G159" s="515"/>
      <c r="H159" s="515"/>
      <c r="I159" s="515"/>
      <c r="J159" s="515"/>
      <c r="K159" s="515"/>
      <c r="L159" s="515"/>
      <c r="M159" s="515"/>
      <c r="N159" s="515"/>
      <c r="O159" s="515"/>
      <c r="P159" s="515"/>
      <c r="Q159" s="515"/>
      <c r="R159" s="515"/>
      <c r="S159" s="515"/>
      <c r="T159" s="515"/>
      <c r="U159" s="515"/>
      <c r="V159" s="515"/>
      <c r="W159" s="515"/>
      <c r="X159" s="515"/>
    </row>
    <row r="160" spans="1:24" s="16" customFormat="1" ht="14.25">
      <c r="A160" s="278" t="s">
        <v>117</v>
      </c>
      <c r="B160" s="278"/>
      <c r="C160" s="263"/>
      <c r="D160" s="518">
        <v>0</v>
      </c>
      <c r="E160" s="520">
        <f>E156-E158</f>
        <v>-299391.66666666663</v>
      </c>
      <c r="F160" s="520">
        <f t="shared" ref="F160:X160" si="22">F156-F158</f>
        <v>913020.46551490424</v>
      </c>
      <c r="G160" s="520">
        <f t="shared" si="22"/>
        <v>1046889.8468252018</v>
      </c>
      <c r="H160" s="520">
        <f t="shared" si="22"/>
        <v>1065607.6437617061</v>
      </c>
      <c r="I160" s="520">
        <f t="shared" si="22"/>
        <v>1084699.79663694</v>
      </c>
      <c r="J160" s="520">
        <f t="shared" si="22"/>
        <v>1322745.4137744787</v>
      </c>
      <c r="K160" s="520">
        <f t="shared" si="22"/>
        <v>1346578.9308403365</v>
      </c>
      <c r="L160" s="520">
        <f t="shared" si="22"/>
        <v>1366352.1994571434</v>
      </c>
      <c r="M160" s="520">
        <f t="shared" si="22"/>
        <v>1386520.9334462865</v>
      </c>
      <c r="N160" s="520">
        <f t="shared" si="22"/>
        <v>1407093.042115212</v>
      </c>
      <c r="O160" s="520">
        <f t="shared" si="22"/>
        <v>1486002.4651675138</v>
      </c>
      <c r="P160" s="520">
        <f t="shared" si="22"/>
        <v>1511796.1898166661</v>
      </c>
      <c r="Q160" s="520">
        <f t="shared" si="22"/>
        <v>1533627.476113</v>
      </c>
      <c r="R160" s="520">
        <f t="shared" si="22"/>
        <v>1555895.3881352595</v>
      </c>
      <c r="S160" s="520">
        <f t="shared" si="22"/>
        <v>1578608.6583979649</v>
      </c>
      <c r="T160" s="520">
        <f t="shared" si="22"/>
        <v>1659865.5032350863</v>
      </c>
      <c r="U160" s="520">
        <f t="shared" si="22"/>
        <v>1687823.4554472431</v>
      </c>
      <c r="V160" s="520">
        <f t="shared" si="22"/>
        <v>1711926.959556188</v>
      </c>
      <c r="W160" s="520">
        <f t="shared" si="22"/>
        <v>1736512.5337473112</v>
      </c>
      <c r="X160" s="520">
        <f t="shared" si="22"/>
        <v>1761589.8194222578</v>
      </c>
    </row>
    <row r="161" spans="1:24">
      <c r="A161" s="92"/>
      <c r="B161" s="92"/>
      <c r="C161" s="69"/>
      <c r="D161" s="514"/>
      <c r="E161" s="515"/>
      <c r="F161" s="515"/>
      <c r="G161" s="515"/>
      <c r="H161" s="515"/>
      <c r="I161" s="515"/>
      <c r="J161" s="515"/>
      <c r="K161" s="515"/>
      <c r="L161" s="515"/>
      <c r="M161" s="515"/>
      <c r="N161" s="515"/>
      <c r="O161" s="515"/>
      <c r="P161" s="515"/>
      <c r="Q161" s="515"/>
      <c r="R161" s="515"/>
      <c r="S161" s="515"/>
      <c r="T161" s="515"/>
      <c r="U161" s="515"/>
      <c r="V161" s="515"/>
      <c r="W161" s="515"/>
      <c r="X161" s="515"/>
    </row>
    <row r="162" spans="1:24">
      <c r="A162" s="271" t="s">
        <v>126</v>
      </c>
      <c r="B162" s="272"/>
      <c r="C162" s="273"/>
      <c r="D162" s="523"/>
      <c r="E162" s="523"/>
      <c r="F162" s="523"/>
      <c r="G162" s="523"/>
      <c r="H162" s="523"/>
      <c r="I162" s="523"/>
      <c r="J162" s="523"/>
      <c r="K162" s="523"/>
      <c r="L162" s="523"/>
      <c r="M162" s="523"/>
      <c r="N162" s="523"/>
      <c r="O162" s="523"/>
      <c r="P162" s="523"/>
      <c r="Q162" s="523"/>
      <c r="R162" s="523"/>
      <c r="S162" s="523"/>
      <c r="T162" s="523"/>
      <c r="U162" s="523"/>
      <c r="V162" s="523"/>
      <c r="W162" s="523"/>
      <c r="X162" s="523"/>
    </row>
    <row r="163" spans="1:24" s="32" customFormat="1">
      <c r="A163" s="280"/>
      <c r="B163" s="91"/>
      <c r="C163" s="69"/>
      <c r="D163" s="514"/>
      <c r="E163" s="515"/>
      <c r="F163" s="515"/>
      <c r="G163" s="515"/>
      <c r="H163" s="515"/>
      <c r="I163" s="515"/>
      <c r="J163" s="515"/>
      <c r="K163" s="515"/>
      <c r="L163" s="515"/>
      <c r="M163" s="515"/>
      <c r="N163" s="515"/>
      <c r="O163" s="515"/>
      <c r="P163" s="515"/>
      <c r="Q163" s="515"/>
      <c r="R163" s="515"/>
      <c r="S163" s="515"/>
      <c r="T163" s="515"/>
      <c r="U163" s="515"/>
      <c r="V163" s="515"/>
      <c r="W163" s="515"/>
      <c r="X163" s="515"/>
    </row>
    <row r="164" spans="1:24" s="96" customFormat="1">
      <c r="A164" s="885" t="s">
        <v>136</v>
      </c>
      <c r="B164" s="719"/>
      <c r="C164" s="69"/>
      <c r="D164" s="514">
        <v>0</v>
      </c>
      <c r="E164" s="515">
        <f>'OPEX - Concept B2 - ALL'!L169</f>
        <v>0</v>
      </c>
      <c r="F164" s="515">
        <f>'OPEX - Concept B2 - ALL'!M169</f>
        <v>49995</v>
      </c>
      <c r="G164" s="515">
        <f>'OPEX - Concept B2 - ALL'!N169</f>
        <v>50994.9</v>
      </c>
      <c r="H164" s="515">
        <f>'OPEX - Concept B2 - ALL'!O169</f>
        <v>52014.798000000003</v>
      </c>
      <c r="I164" s="515">
        <f>'OPEX - Concept B2 - ALL'!P169</f>
        <v>53055.093959999998</v>
      </c>
      <c r="J164" s="515">
        <f>'OPEX - Concept B2 - ALL'!Q169</f>
        <v>54116.195839200002</v>
      </c>
      <c r="K164" s="515">
        <f>'OPEX - Concept B2 - ALL'!R169</f>
        <v>55198.519755984002</v>
      </c>
      <c r="L164" s="515">
        <f>'OPEX - Concept B2 - ALL'!S169</f>
        <v>56302.490151103681</v>
      </c>
      <c r="M164" s="515">
        <f>'OPEX - Concept B2 - ALL'!T169</f>
        <v>57428.539954125758</v>
      </c>
      <c r="N164" s="515">
        <f>'OPEX - Concept B2 - ALL'!U169</f>
        <v>58577.110753208275</v>
      </c>
      <c r="O164" s="515">
        <f>'OPEX - Concept B2 - ALL'!V169</f>
        <v>59748.652968272443</v>
      </c>
      <c r="P164" s="515">
        <f>'OPEX - Concept B2 - ALL'!W169</f>
        <v>60943.626027637896</v>
      </c>
      <c r="Q164" s="515">
        <f>'OPEX - Concept B2 - ALL'!X169</f>
        <v>62162.498548190648</v>
      </c>
      <c r="R164" s="515">
        <f>'OPEX - Concept B2 - ALL'!Y169</f>
        <v>63405.748519154462</v>
      </c>
      <c r="S164" s="515">
        <f>'OPEX - Concept B2 - ALL'!Z169</f>
        <v>64673.863489537544</v>
      </c>
      <c r="T164" s="515">
        <f>'OPEX - Concept B2 - ALL'!AA169</f>
        <v>65967.340759328305</v>
      </c>
      <c r="U164" s="515">
        <f>'OPEX - Concept B2 - ALL'!AB169</f>
        <v>67286.687574514872</v>
      </c>
      <c r="V164" s="515">
        <f>'OPEX - Concept B2 - ALL'!AC169</f>
        <v>68632.421326005177</v>
      </c>
      <c r="W164" s="515">
        <f>'OPEX - Concept B2 - ALL'!AD169</f>
        <v>70005.069752525276</v>
      </c>
      <c r="X164" s="515">
        <f>'OPEX - Concept B2 - ALL'!AE169</f>
        <v>71405.171147575791</v>
      </c>
    </row>
    <row r="165" spans="1:24" s="96" customFormat="1">
      <c r="A165" s="885" t="s">
        <v>458</v>
      </c>
      <c r="B165" s="719"/>
      <c r="C165" s="69"/>
      <c r="D165" s="514">
        <v>0</v>
      </c>
      <c r="E165" s="515">
        <f>'OPEX - Concept B2 - ALL'!L171</f>
        <v>591295.19999999995</v>
      </c>
      <c r="F165" s="515">
        <f>'OPEX - Concept B2 - ALL'!M171</f>
        <v>591295.19999999995</v>
      </c>
      <c r="G165" s="515">
        <f>'OPEX - Concept B2 - ALL'!N171</f>
        <v>591295.19999999995</v>
      </c>
      <c r="H165" s="515">
        <f>'OPEX - Concept B2 - ALL'!O171</f>
        <v>591295.19999999995</v>
      </c>
      <c r="I165" s="515">
        <f>'OPEX - Concept B2 - ALL'!P171</f>
        <v>591295.19999999995</v>
      </c>
      <c r="J165" s="515">
        <f>'OPEX - Concept B2 - ALL'!Q171</f>
        <v>591295.19999999995</v>
      </c>
      <c r="K165" s="515">
        <f>'OPEX - Concept B2 - ALL'!R171</f>
        <v>591295.19999999995</v>
      </c>
      <c r="L165" s="515">
        <f>'OPEX - Concept B2 - ALL'!S171</f>
        <v>591295.19999999995</v>
      </c>
      <c r="M165" s="515">
        <f>'OPEX - Concept B2 - ALL'!T171</f>
        <v>591295.19999999995</v>
      </c>
      <c r="N165" s="515">
        <f>'OPEX - Concept B2 - ALL'!U171</f>
        <v>591295.19999999995</v>
      </c>
      <c r="O165" s="515">
        <f>'OPEX - Concept B2 - ALL'!V171</f>
        <v>591295.19999999995</v>
      </c>
      <c r="P165" s="515">
        <f>'OPEX - Concept B2 - ALL'!W171</f>
        <v>591295.19999999995</v>
      </c>
      <c r="Q165" s="515">
        <f>'OPEX - Concept B2 - ALL'!X171</f>
        <v>591295.19999999995</v>
      </c>
      <c r="R165" s="515">
        <f>'OPEX - Concept B2 - ALL'!Y171</f>
        <v>591295.19999999995</v>
      </c>
      <c r="S165" s="515">
        <f>'OPEX - Concept B2 - ALL'!Z171</f>
        <v>591295.19999999995</v>
      </c>
      <c r="T165" s="515">
        <f>'OPEX - Concept B2 - ALL'!AA171</f>
        <v>591295.19999999995</v>
      </c>
      <c r="U165" s="515">
        <f>'OPEX - Concept B2 - ALL'!AB171</f>
        <v>591295.19999999995</v>
      </c>
      <c r="V165" s="515">
        <f>'OPEX - Concept B2 - ALL'!AC171</f>
        <v>591295.19999999995</v>
      </c>
      <c r="W165" s="515">
        <f>'OPEX - Concept B2 - ALL'!AD171</f>
        <v>591295.19999999995</v>
      </c>
      <c r="X165" s="515">
        <f>'OPEX - Concept B2 - ALL'!AE171</f>
        <v>591295.19999999995</v>
      </c>
    </row>
    <row r="166" spans="1:24" s="341" customFormat="1">
      <c r="A166" s="696" t="s">
        <v>315</v>
      </c>
      <c r="B166" s="697"/>
      <c r="C166" s="698"/>
      <c r="D166" s="699">
        <v>0</v>
      </c>
      <c r="E166" s="700">
        <v>0</v>
      </c>
      <c r="F166" s="700">
        <v>0</v>
      </c>
      <c r="G166" s="700">
        <v>0</v>
      </c>
      <c r="H166" s="700">
        <v>0</v>
      </c>
      <c r="I166" s="700">
        <v>0</v>
      </c>
      <c r="J166" s="700">
        <v>0</v>
      </c>
      <c r="K166" s="700">
        <v>0</v>
      </c>
      <c r="L166" s="700">
        <v>0</v>
      </c>
      <c r="M166" s="700">
        <v>0</v>
      </c>
      <c r="N166" s="700">
        <v>0</v>
      </c>
      <c r="O166" s="700">
        <v>0</v>
      </c>
      <c r="P166" s="700">
        <v>0</v>
      </c>
      <c r="Q166" s="700">
        <v>0</v>
      </c>
      <c r="R166" s="700">
        <v>0</v>
      </c>
      <c r="S166" s="700">
        <v>0</v>
      </c>
      <c r="T166" s="700">
        <v>0</v>
      </c>
      <c r="U166" s="700">
        <v>0</v>
      </c>
      <c r="V166" s="700">
        <v>0</v>
      </c>
      <c r="W166" s="700">
        <v>0</v>
      </c>
      <c r="X166" s="700">
        <v>0</v>
      </c>
    </row>
    <row r="167" spans="1:24" s="32" customFormat="1">
      <c r="A167" s="93" t="s">
        <v>316</v>
      </c>
      <c r="B167" s="298"/>
      <c r="C167" s="298"/>
      <c r="D167" s="505">
        <v>0</v>
      </c>
      <c r="E167" s="506">
        <v>246000</v>
      </c>
      <c r="F167" s="506">
        <v>246000</v>
      </c>
      <c r="G167" s="506">
        <v>246000</v>
      </c>
      <c r="H167" s="506">
        <v>246000</v>
      </c>
      <c r="I167" s="506">
        <v>246000</v>
      </c>
      <c r="J167" s="506">
        <v>246000</v>
      </c>
      <c r="K167" s="506">
        <v>246000</v>
      </c>
      <c r="L167" s="506">
        <v>246000</v>
      </c>
      <c r="M167" s="506">
        <v>246000</v>
      </c>
      <c r="N167" s="506">
        <v>246000</v>
      </c>
      <c r="O167" s="506">
        <v>246000</v>
      </c>
      <c r="P167" s="506">
        <v>246000</v>
      </c>
      <c r="Q167" s="506">
        <v>246000</v>
      </c>
      <c r="R167" s="506">
        <v>246000</v>
      </c>
      <c r="S167" s="506">
        <v>246000</v>
      </c>
      <c r="T167" s="506">
        <v>246000</v>
      </c>
      <c r="U167" s="506">
        <v>246000</v>
      </c>
      <c r="V167" s="506">
        <v>246000</v>
      </c>
      <c r="W167" s="506">
        <v>246000</v>
      </c>
      <c r="X167" s="506">
        <v>246000</v>
      </c>
    </row>
    <row r="168" spans="1:24" s="222" customFormat="1" ht="14.25">
      <c r="A168" s="263" t="s">
        <v>134</v>
      </c>
      <c r="B168" s="264"/>
      <c r="C168" s="264"/>
      <c r="D168" s="524">
        <f>SUM(D164:D167)</f>
        <v>0</v>
      </c>
      <c r="E168" s="525">
        <f t="shared" ref="E168:X168" si="23">SUM(E164:E167)</f>
        <v>837295.2</v>
      </c>
      <c r="F168" s="525">
        <f t="shared" si="23"/>
        <v>887290.2</v>
      </c>
      <c r="G168" s="525">
        <f t="shared" si="23"/>
        <v>888290.1</v>
      </c>
      <c r="H168" s="525">
        <f t="shared" si="23"/>
        <v>889309.99799999991</v>
      </c>
      <c r="I168" s="525">
        <f t="shared" si="23"/>
        <v>890350.29395999992</v>
      </c>
      <c r="J168" s="525">
        <f t="shared" si="23"/>
        <v>891411.39583920001</v>
      </c>
      <c r="K168" s="525">
        <f t="shared" si="23"/>
        <v>892493.71975598391</v>
      </c>
      <c r="L168" s="525">
        <f t="shared" si="23"/>
        <v>893597.69015110366</v>
      </c>
      <c r="M168" s="525">
        <f t="shared" si="23"/>
        <v>894723.73995412572</v>
      </c>
      <c r="N168" s="525">
        <f t="shared" si="23"/>
        <v>895872.31075320824</v>
      </c>
      <c r="O168" s="525">
        <f t="shared" si="23"/>
        <v>897043.8529682724</v>
      </c>
      <c r="P168" s="525">
        <f t="shared" si="23"/>
        <v>898238.82602763781</v>
      </c>
      <c r="Q168" s="525">
        <f t="shared" si="23"/>
        <v>899457.69854819064</v>
      </c>
      <c r="R168" s="525">
        <f t="shared" si="23"/>
        <v>900700.94851915445</v>
      </c>
      <c r="S168" s="525">
        <f t="shared" si="23"/>
        <v>901969.06348953745</v>
      </c>
      <c r="T168" s="525">
        <f t="shared" si="23"/>
        <v>903262.54075932829</v>
      </c>
      <c r="U168" s="525">
        <f t="shared" si="23"/>
        <v>904581.88757451484</v>
      </c>
      <c r="V168" s="525">
        <f t="shared" si="23"/>
        <v>905927.62132600509</v>
      </c>
      <c r="W168" s="525">
        <f t="shared" si="23"/>
        <v>907300.26975252526</v>
      </c>
      <c r="X168" s="525">
        <f t="shared" si="23"/>
        <v>908700.37114757579</v>
      </c>
    </row>
    <row r="169" spans="1:24" s="32" customFormat="1">
      <c r="A169" s="69"/>
      <c r="B169" s="90"/>
      <c r="C169" s="90"/>
      <c r="D169" s="526"/>
      <c r="E169" s="527"/>
      <c r="F169" s="527"/>
      <c r="G169" s="527"/>
      <c r="H169" s="527"/>
      <c r="I169" s="527"/>
      <c r="J169" s="527"/>
      <c r="K169" s="527"/>
      <c r="L169" s="527"/>
      <c r="M169" s="527"/>
      <c r="N169" s="527"/>
      <c r="O169" s="527"/>
      <c r="P169" s="527"/>
      <c r="Q169" s="527"/>
      <c r="R169" s="527"/>
      <c r="S169" s="527"/>
      <c r="T169" s="527"/>
      <c r="U169" s="527"/>
      <c r="V169" s="527"/>
      <c r="W169" s="527"/>
      <c r="X169" s="527"/>
    </row>
    <row r="170" spans="1:24" s="32" customFormat="1">
      <c r="A170" s="94" t="s">
        <v>137</v>
      </c>
      <c r="C170" s="69"/>
      <c r="D170" s="514">
        <v>0</v>
      </c>
      <c r="E170" s="515">
        <f>E160-E164</f>
        <v>-299391.66666666663</v>
      </c>
      <c r="F170" s="515">
        <f t="shared" ref="F170:X170" si="24">F156-F164</f>
        <v>863025.46551490424</v>
      </c>
      <c r="G170" s="515">
        <f t="shared" si="24"/>
        <v>995894.94682520174</v>
      </c>
      <c r="H170" s="515">
        <f t="shared" si="24"/>
        <v>1013592.8457617061</v>
      </c>
      <c r="I170" s="515">
        <f t="shared" si="24"/>
        <v>1031644.70267694</v>
      </c>
      <c r="J170" s="515">
        <f t="shared" si="24"/>
        <v>1268629.2179352788</v>
      </c>
      <c r="K170" s="515">
        <f t="shared" si="24"/>
        <v>1291380.4110843525</v>
      </c>
      <c r="L170" s="515">
        <f t="shared" si="24"/>
        <v>1310049.7093060398</v>
      </c>
      <c r="M170" s="515">
        <f t="shared" si="24"/>
        <v>1329092.3934921608</v>
      </c>
      <c r="N170" s="515">
        <f t="shared" si="24"/>
        <v>1348515.9313620038</v>
      </c>
      <c r="O170" s="515">
        <f t="shared" si="24"/>
        <v>1426253.8121992415</v>
      </c>
      <c r="P170" s="515">
        <f t="shared" si="24"/>
        <v>1450852.5637890282</v>
      </c>
      <c r="Q170" s="515">
        <f t="shared" si="24"/>
        <v>1471464.9775648094</v>
      </c>
      <c r="R170" s="515">
        <f t="shared" si="24"/>
        <v>1492489.639616105</v>
      </c>
      <c r="S170" s="515">
        <f t="shared" si="24"/>
        <v>1513934.7949084274</v>
      </c>
      <c r="T170" s="515">
        <f t="shared" si="24"/>
        <v>1593898.162475758</v>
      </c>
      <c r="U170" s="515">
        <f t="shared" si="24"/>
        <v>1620536.7678727282</v>
      </c>
      <c r="V170" s="515">
        <f t="shared" si="24"/>
        <v>1643294.5382301828</v>
      </c>
      <c r="W170" s="515">
        <f t="shared" si="24"/>
        <v>1666507.4639947859</v>
      </c>
      <c r="X170" s="515">
        <f t="shared" si="24"/>
        <v>1690184.648274682</v>
      </c>
    </row>
    <row r="171" spans="1:24" ht="16.5" customHeight="1">
      <c r="A171" s="88" t="s">
        <v>128</v>
      </c>
      <c r="B171" s="98"/>
      <c r="C171" s="98"/>
      <c r="D171" s="528">
        <v>0</v>
      </c>
      <c r="E171" s="529">
        <f>E160-E168</f>
        <v>-1136686.8666666667</v>
      </c>
      <c r="F171" s="529">
        <f t="shared" ref="F171:X171" si="25">F160-F168</f>
        <v>25730.265514904284</v>
      </c>
      <c r="G171" s="529">
        <f t="shared" si="25"/>
        <v>158599.74682520179</v>
      </c>
      <c r="H171" s="529">
        <f t="shared" si="25"/>
        <v>176297.64576170617</v>
      </c>
      <c r="I171" s="529">
        <f t="shared" si="25"/>
        <v>194349.50267694006</v>
      </c>
      <c r="J171" s="529">
        <f t="shared" si="25"/>
        <v>431334.01793527871</v>
      </c>
      <c r="K171" s="529">
        <f t="shared" si="25"/>
        <v>454085.21108435257</v>
      </c>
      <c r="L171" s="529">
        <f t="shared" si="25"/>
        <v>472754.50930603978</v>
      </c>
      <c r="M171" s="529">
        <f t="shared" si="25"/>
        <v>491797.19349216076</v>
      </c>
      <c r="N171" s="529">
        <f t="shared" si="25"/>
        <v>511220.73136200372</v>
      </c>
      <c r="O171" s="529">
        <f t="shared" si="25"/>
        <v>588958.61219924141</v>
      </c>
      <c r="P171" s="529">
        <f t="shared" si="25"/>
        <v>613557.36378902826</v>
      </c>
      <c r="Q171" s="529">
        <f t="shared" si="25"/>
        <v>634169.77756480931</v>
      </c>
      <c r="R171" s="529">
        <f t="shared" si="25"/>
        <v>655194.43961610505</v>
      </c>
      <c r="S171" s="529">
        <f t="shared" si="25"/>
        <v>676639.59490842745</v>
      </c>
      <c r="T171" s="529">
        <f t="shared" si="25"/>
        <v>756602.96247575805</v>
      </c>
      <c r="U171" s="529">
        <f t="shared" si="25"/>
        <v>783241.56787272822</v>
      </c>
      <c r="V171" s="529">
        <f t="shared" si="25"/>
        <v>805999.33823018288</v>
      </c>
      <c r="W171" s="529">
        <f t="shared" si="25"/>
        <v>829212.26399478596</v>
      </c>
      <c r="X171" s="529">
        <f t="shared" si="25"/>
        <v>852889.44827468204</v>
      </c>
    </row>
    <row r="172" spans="1:24" ht="16.5" customHeight="1">
      <c r="A172" s="88"/>
      <c r="B172" s="88"/>
      <c r="C172" s="88"/>
      <c r="D172" s="526"/>
      <c r="E172" s="527"/>
      <c r="F172" s="527"/>
      <c r="G172" s="527"/>
      <c r="H172" s="527"/>
      <c r="I172" s="527"/>
      <c r="J172" s="527"/>
      <c r="K172" s="527"/>
      <c r="L172" s="527"/>
      <c r="M172" s="527"/>
      <c r="N172" s="527"/>
      <c r="O172" s="527"/>
      <c r="P172" s="527"/>
      <c r="Q172" s="527"/>
      <c r="R172" s="527"/>
      <c r="S172" s="527"/>
      <c r="T172" s="527"/>
      <c r="U172" s="527"/>
      <c r="V172" s="527"/>
      <c r="W172" s="527"/>
      <c r="X172" s="527"/>
    </row>
    <row r="173" spans="1:24" ht="16.5" customHeight="1">
      <c r="A173" s="88" t="s">
        <v>129</v>
      </c>
      <c r="B173" s="632">
        <f>NPV(Cost_of_Money__DPC,E160:X160)</f>
        <v>26863765.054744031</v>
      </c>
      <c r="C173" s="88"/>
      <c r="D173" s="526"/>
      <c r="E173" s="527"/>
      <c r="F173" s="527"/>
      <c r="G173" s="527"/>
      <c r="H173" s="527"/>
      <c r="I173" s="527"/>
      <c r="J173" s="527"/>
      <c r="K173" s="527"/>
      <c r="L173" s="527"/>
      <c r="M173" s="527"/>
      <c r="N173" s="527"/>
      <c r="O173" s="527"/>
      <c r="P173" s="527"/>
      <c r="Q173" s="527"/>
      <c r="R173" s="527"/>
      <c r="S173" s="527"/>
      <c r="T173" s="527"/>
      <c r="U173" s="527"/>
      <c r="V173" s="527"/>
      <c r="W173" s="527"/>
      <c r="X173" s="527"/>
    </row>
    <row r="174" spans="1:24" ht="16.5" customHeight="1">
      <c r="A174" s="300" t="s">
        <v>130</v>
      </c>
      <c r="B174" s="733">
        <f>SUM(E171:X171)</f>
        <v>8975947.32621767</v>
      </c>
      <c r="C174" s="301"/>
      <c r="D174" s="530">
        <v>0</v>
      </c>
      <c r="E174" s="530">
        <f>E160-E168</f>
        <v>-1136686.8666666667</v>
      </c>
      <c r="F174" s="530">
        <f t="shared" ref="F174:X174" si="26">F160-F168</f>
        <v>25730.265514904284</v>
      </c>
      <c r="G174" s="530">
        <f t="shared" si="26"/>
        <v>158599.74682520179</v>
      </c>
      <c r="H174" s="530">
        <f t="shared" si="26"/>
        <v>176297.64576170617</v>
      </c>
      <c r="I174" s="530">
        <f t="shared" si="26"/>
        <v>194349.50267694006</v>
      </c>
      <c r="J174" s="530">
        <f t="shared" si="26"/>
        <v>431334.01793527871</v>
      </c>
      <c r="K174" s="530">
        <f t="shared" si="26"/>
        <v>454085.21108435257</v>
      </c>
      <c r="L174" s="530">
        <f t="shared" si="26"/>
        <v>472754.50930603978</v>
      </c>
      <c r="M174" s="530">
        <f t="shared" si="26"/>
        <v>491797.19349216076</v>
      </c>
      <c r="N174" s="530">
        <f t="shared" si="26"/>
        <v>511220.73136200372</v>
      </c>
      <c r="O174" s="530">
        <f t="shared" si="26"/>
        <v>588958.61219924141</v>
      </c>
      <c r="P174" s="530">
        <f t="shared" si="26"/>
        <v>613557.36378902826</v>
      </c>
      <c r="Q174" s="530">
        <f t="shared" si="26"/>
        <v>634169.77756480931</v>
      </c>
      <c r="R174" s="530">
        <f t="shared" si="26"/>
        <v>655194.43961610505</v>
      </c>
      <c r="S174" s="530">
        <f t="shared" si="26"/>
        <v>676639.59490842745</v>
      </c>
      <c r="T174" s="530">
        <f t="shared" si="26"/>
        <v>756602.96247575805</v>
      </c>
      <c r="U174" s="530">
        <f t="shared" si="26"/>
        <v>783241.56787272822</v>
      </c>
      <c r="V174" s="530">
        <f t="shared" si="26"/>
        <v>805999.33823018288</v>
      </c>
      <c r="W174" s="530">
        <f t="shared" si="26"/>
        <v>829212.26399478596</v>
      </c>
      <c r="X174" s="530">
        <f t="shared" si="26"/>
        <v>852889.44827468204</v>
      </c>
    </row>
    <row r="175" spans="1:24" s="58" customFormat="1" ht="16.5" customHeight="1">
      <c r="A175" s="90" t="s">
        <v>32</v>
      </c>
      <c r="B175" s="358">
        <f>IRR(E174:X174)</f>
        <v>0.24782461044586745</v>
      </c>
      <c r="C175" s="356"/>
      <c r="D175" s="502"/>
      <c r="E175" s="504"/>
      <c r="F175" s="504"/>
      <c r="G175" s="504"/>
      <c r="H175" s="504"/>
      <c r="I175" s="504"/>
      <c r="J175" s="504"/>
      <c r="K175" s="504"/>
      <c r="L175" s="504"/>
      <c r="M175" s="504"/>
      <c r="N175" s="504"/>
      <c r="O175" s="504"/>
      <c r="P175" s="504"/>
      <c r="Q175" s="504"/>
      <c r="R175" s="504"/>
      <c r="S175" s="504"/>
      <c r="T175" s="504"/>
      <c r="U175" s="504"/>
      <c r="V175" s="504"/>
      <c r="W175" s="504"/>
      <c r="X175" s="504"/>
    </row>
    <row r="176" spans="1:24">
      <c r="A176" s="30"/>
      <c r="B176" s="30"/>
      <c r="C176" s="30"/>
      <c r="D176" s="502"/>
      <c r="E176" s="512"/>
      <c r="F176" s="512"/>
      <c r="G176" s="512"/>
      <c r="H176" s="512"/>
      <c r="I176" s="512"/>
      <c r="J176" s="512"/>
      <c r="K176" s="512"/>
      <c r="L176" s="512"/>
      <c r="M176" s="512"/>
      <c r="N176" s="512"/>
      <c r="O176" s="512"/>
      <c r="P176" s="512"/>
      <c r="Q176" s="512"/>
      <c r="R176" s="512"/>
      <c r="S176" s="512"/>
      <c r="T176" s="512"/>
      <c r="U176" s="512"/>
      <c r="V176" s="512"/>
      <c r="W176" s="512"/>
      <c r="X176" s="512"/>
    </row>
    <row r="177" spans="1:24">
      <c r="A177" s="274" t="s">
        <v>28</v>
      </c>
      <c r="B177" s="275"/>
      <c r="C177" s="275"/>
      <c r="D177" s="531"/>
      <c r="E177" s="531"/>
      <c r="F177" s="531"/>
      <c r="G177" s="531"/>
      <c r="H177" s="531"/>
      <c r="I177" s="531"/>
      <c r="J177" s="531"/>
      <c r="K177" s="531"/>
      <c r="L177" s="531"/>
      <c r="M177" s="531"/>
      <c r="N177" s="531"/>
      <c r="O177" s="531"/>
      <c r="P177" s="531"/>
      <c r="Q177" s="531"/>
      <c r="R177" s="531"/>
      <c r="S177" s="531"/>
      <c r="T177" s="531"/>
      <c r="U177" s="531"/>
      <c r="V177" s="531"/>
      <c r="W177" s="531"/>
      <c r="X177" s="531"/>
    </row>
    <row r="178" spans="1:24">
      <c r="A178" s="30"/>
      <c r="B178" s="30"/>
      <c r="C178" s="30"/>
      <c r="D178" s="502"/>
      <c r="E178" s="512"/>
      <c r="F178" s="512"/>
      <c r="G178" s="512"/>
      <c r="H178" s="512"/>
      <c r="I178" s="512"/>
      <c r="J178" s="512"/>
      <c r="K178" s="512"/>
      <c r="L178" s="512"/>
      <c r="M178" s="512"/>
      <c r="N178" s="512"/>
      <c r="O178" s="512"/>
      <c r="P178" s="512"/>
      <c r="Q178" s="512"/>
      <c r="R178" s="512"/>
      <c r="S178" s="512"/>
      <c r="T178" s="512"/>
      <c r="U178" s="512"/>
      <c r="V178" s="512"/>
      <c r="W178" s="512"/>
      <c r="X178" s="512"/>
    </row>
    <row r="179" spans="1:24">
      <c r="A179" s="30" t="s">
        <v>300</v>
      </c>
      <c r="B179" s="30"/>
      <c r="C179" s="87"/>
      <c r="D179" s="502">
        <v>0</v>
      </c>
      <c r="E179" s="512"/>
      <c r="F179" s="512"/>
      <c r="G179" s="512"/>
      <c r="H179" s="512"/>
      <c r="I179" s="512"/>
      <c r="J179" s="512"/>
      <c r="K179" s="512"/>
      <c r="L179" s="512"/>
      <c r="M179" s="512"/>
      <c r="N179" s="512"/>
      <c r="O179" s="512"/>
      <c r="P179" s="512"/>
      <c r="Q179" s="512"/>
      <c r="R179" s="512"/>
      <c r="S179" s="512"/>
      <c r="T179" s="512"/>
      <c r="U179" s="512"/>
      <c r="V179" s="512"/>
      <c r="W179" s="512"/>
      <c r="X179" s="512"/>
    </row>
    <row r="180" spans="1:24">
      <c r="A180" s="30" t="s">
        <v>301</v>
      </c>
      <c r="B180" s="30"/>
      <c r="C180" s="30"/>
      <c r="D180" s="502">
        <v>0</v>
      </c>
      <c r="E180" s="512"/>
      <c r="F180" s="512"/>
      <c r="G180" s="512"/>
      <c r="H180" s="512"/>
      <c r="I180" s="512"/>
      <c r="J180" s="512"/>
      <c r="K180" s="512"/>
      <c r="L180" s="512"/>
      <c r="M180" s="512"/>
      <c r="N180" s="512"/>
      <c r="O180" s="512"/>
      <c r="P180" s="512"/>
      <c r="Q180" s="512"/>
      <c r="R180" s="512"/>
      <c r="S180" s="512"/>
      <c r="T180" s="512"/>
      <c r="U180" s="512"/>
      <c r="V180" s="512"/>
      <c r="W180" s="512"/>
      <c r="X180" s="512"/>
    </row>
    <row r="181" spans="1:24">
      <c r="A181" s="30"/>
      <c r="B181" s="30"/>
      <c r="C181" s="30"/>
      <c r="D181" s="502"/>
      <c r="E181" s="512"/>
      <c r="F181" s="512"/>
      <c r="G181" s="512"/>
      <c r="H181" s="512"/>
      <c r="I181" s="512"/>
      <c r="J181" s="512"/>
      <c r="K181" s="512"/>
      <c r="L181" s="512"/>
      <c r="M181" s="512"/>
      <c r="N181" s="512"/>
      <c r="O181" s="512"/>
      <c r="P181" s="512"/>
      <c r="Q181" s="512"/>
      <c r="R181" s="512"/>
      <c r="S181" s="512"/>
      <c r="T181" s="512"/>
      <c r="U181" s="512"/>
      <c r="V181" s="512"/>
      <c r="W181" s="512"/>
      <c r="X181" s="512"/>
    </row>
    <row r="182" spans="1:24">
      <c r="A182" s="30" t="s">
        <v>298</v>
      </c>
      <c r="B182" s="30"/>
      <c r="C182" s="30"/>
      <c r="D182" s="502">
        <v>0</v>
      </c>
      <c r="E182" s="512"/>
      <c r="F182" s="512"/>
      <c r="G182" s="512"/>
      <c r="H182" s="512"/>
      <c r="I182" s="512"/>
      <c r="J182" s="512"/>
      <c r="K182" s="512"/>
      <c r="L182" s="512"/>
      <c r="M182" s="512"/>
      <c r="N182" s="512"/>
      <c r="O182" s="512"/>
      <c r="P182" s="512"/>
      <c r="Q182" s="512"/>
      <c r="R182" s="512"/>
      <c r="S182" s="512"/>
      <c r="T182" s="512"/>
      <c r="U182" s="512"/>
      <c r="V182" s="512"/>
      <c r="W182" s="512"/>
      <c r="X182" s="512"/>
    </row>
    <row r="183" spans="1:24">
      <c r="A183" s="30" t="s">
        <v>299</v>
      </c>
      <c r="B183" s="30"/>
      <c r="C183" s="30"/>
      <c r="D183" s="502">
        <v>0</v>
      </c>
      <c r="E183" s="512"/>
      <c r="F183" s="512"/>
      <c r="G183" s="512"/>
      <c r="H183" s="512"/>
      <c r="I183" s="512"/>
      <c r="J183" s="512"/>
      <c r="K183" s="512"/>
      <c r="L183" s="512"/>
      <c r="M183" s="512"/>
      <c r="N183" s="512"/>
      <c r="O183" s="512"/>
      <c r="P183" s="512"/>
      <c r="Q183" s="512"/>
      <c r="R183" s="512"/>
      <c r="S183" s="512"/>
      <c r="T183" s="512"/>
      <c r="U183" s="512"/>
      <c r="V183" s="512"/>
      <c r="W183" s="512"/>
      <c r="X183" s="512"/>
    </row>
    <row r="184" spans="1:24">
      <c r="D184" s="502"/>
      <c r="E184" s="532"/>
      <c r="F184" s="532"/>
      <c r="G184" s="532"/>
      <c r="H184" s="532"/>
      <c r="I184" s="532"/>
      <c r="J184" s="532"/>
      <c r="K184" s="532"/>
      <c r="L184" s="532"/>
      <c r="M184" s="532"/>
      <c r="N184" s="532"/>
      <c r="O184" s="532"/>
      <c r="P184" s="532"/>
      <c r="Q184" s="532"/>
      <c r="R184" s="532"/>
      <c r="S184" s="532"/>
      <c r="T184" s="532"/>
      <c r="U184" s="532"/>
      <c r="V184" s="532"/>
      <c r="W184" s="532"/>
      <c r="X184" s="532"/>
    </row>
    <row r="185" spans="1:24">
      <c r="A185" s="131"/>
      <c r="B185" s="131"/>
      <c r="C185" s="131"/>
      <c r="D185" s="493"/>
      <c r="E185" s="334"/>
      <c r="F185" s="334"/>
      <c r="G185" s="334"/>
      <c r="H185" s="334"/>
      <c r="I185" s="334"/>
      <c r="J185" s="334"/>
      <c r="K185" s="334"/>
      <c r="L185" s="334"/>
      <c r="M185" s="334"/>
      <c r="N185" s="334"/>
      <c r="O185" s="334"/>
      <c r="P185" s="334"/>
      <c r="Q185" s="334"/>
      <c r="R185" s="334"/>
      <c r="S185" s="334"/>
      <c r="T185" s="334"/>
      <c r="U185" s="334"/>
      <c r="V185" s="334"/>
      <c r="W185" s="334"/>
      <c r="X185" s="334"/>
    </row>
    <row r="186" spans="1:24">
      <c r="D186" s="494"/>
      <c r="E186" s="327"/>
      <c r="F186" s="327"/>
      <c r="G186" s="327"/>
      <c r="H186" s="327"/>
      <c r="I186" s="327"/>
      <c r="J186" s="327"/>
      <c r="K186" s="327"/>
      <c r="L186" s="327"/>
      <c r="M186" s="327"/>
      <c r="N186" s="327"/>
      <c r="O186" s="327"/>
      <c r="P186" s="327"/>
      <c r="Q186" s="327"/>
      <c r="R186" s="327"/>
      <c r="S186" s="327"/>
      <c r="T186" s="327"/>
      <c r="U186" s="327"/>
      <c r="V186" s="327"/>
      <c r="W186" s="327"/>
      <c r="X186" s="327"/>
    </row>
    <row r="187" spans="1:24">
      <c r="A187"/>
      <c r="D187" s="494"/>
      <c r="E187" s="327"/>
      <c r="F187" s="327"/>
      <c r="G187" s="327"/>
      <c r="H187" s="327"/>
      <c r="I187" s="327"/>
      <c r="J187" s="327"/>
      <c r="K187" s="327"/>
      <c r="L187" s="327"/>
      <c r="M187" s="327"/>
      <c r="N187" s="327"/>
      <c r="O187" s="327"/>
      <c r="P187" s="327"/>
      <c r="Q187" s="327"/>
      <c r="R187" s="327"/>
      <c r="S187" s="327"/>
      <c r="T187" s="327"/>
      <c r="U187" s="327"/>
      <c r="V187" s="327"/>
      <c r="W187" s="327"/>
      <c r="X187" s="327"/>
    </row>
    <row r="188" spans="1:24">
      <c r="A188"/>
      <c r="D188" s="494"/>
      <c r="E188" s="327"/>
      <c r="F188" s="327"/>
      <c r="G188" s="327"/>
      <c r="H188" s="327"/>
      <c r="I188" s="327"/>
      <c r="J188" s="327"/>
      <c r="K188" s="327"/>
      <c r="L188" s="327"/>
      <c r="M188" s="327"/>
      <c r="N188" s="327"/>
      <c r="O188" s="327"/>
      <c r="P188" s="327"/>
      <c r="Q188" s="327"/>
      <c r="R188" s="327"/>
      <c r="S188" s="327"/>
      <c r="T188" s="327"/>
      <c r="U188" s="327"/>
      <c r="V188" s="327"/>
      <c r="W188" s="327"/>
      <c r="X188" s="327"/>
    </row>
    <row r="189" spans="1:24">
      <c r="D189" s="494"/>
      <c r="E189" s="327"/>
      <c r="F189" s="327"/>
      <c r="G189" s="327"/>
      <c r="H189" s="362"/>
      <c r="I189" s="327"/>
      <c r="J189" s="327"/>
      <c r="K189" s="327"/>
      <c r="L189" s="327"/>
      <c r="M189" s="327"/>
      <c r="N189" s="327"/>
      <c r="O189" s="327"/>
      <c r="P189" s="327"/>
      <c r="Q189" s="327"/>
      <c r="R189" s="327"/>
      <c r="S189" s="327"/>
      <c r="T189" s="327"/>
      <c r="U189" s="327"/>
      <c r="V189" s="327"/>
      <c r="W189" s="327"/>
      <c r="X189" s="327"/>
    </row>
    <row r="190" spans="1:24">
      <c r="D190" s="326"/>
      <c r="E190" s="327"/>
      <c r="F190" s="327"/>
      <c r="G190" s="327"/>
      <c r="H190" s="359"/>
      <c r="I190" s="327"/>
      <c r="J190" s="327"/>
      <c r="K190" s="327"/>
      <c r="L190" s="327"/>
      <c r="M190" s="327"/>
      <c r="N190" s="327"/>
      <c r="O190" s="327"/>
      <c r="P190" s="327"/>
      <c r="Q190" s="327"/>
      <c r="R190" s="327"/>
      <c r="S190" s="327"/>
      <c r="T190" s="327"/>
      <c r="U190" s="327"/>
      <c r="V190" s="327"/>
      <c r="W190" s="327"/>
      <c r="X190" s="327"/>
    </row>
    <row r="191" spans="1:24">
      <c r="H191" s="305"/>
    </row>
    <row r="192" spans="1:24">
      <c r="H192" s="30"/>
    </row>
    <row r="193" spans="8:8">
      <c r="H193" s="87"/>
    </row>
    <row r="195" spans="8:8">
      <c r="H195" s="360"/>
    </row>
    <row r="196" spans="8:8">
      <c r="H196" s="361"/>
    </row>
  </sheetData>
  <pageMargins left="0.7" right="0.7" top="0.75" bottom="0.75" header="0.3" footer="0.3"/>
  <pageSetup paperSize="9" scale="2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XFD196"/>
  <sheetViews>
    <sheetView topLeftCell="A73" zoomScale="62" zoomScaleNormal="55" workbookViewId="0">
      <selection activeCell="A117" sqref="A117:XFD117"/>
    </sheetView>
  </sheetViews>
  <sheetFormatPr defaultColWidth="9" defaultRowHeight="16.5"/>
  <cols>
    <col min="1" max="1" width="71.875" style="18" customWidth="1"/>
    <col min="2" max="2" width="53.125" style="18" bestFit="1" customWidth="1"/>
    <col min="3" max="3" width="8" style="18" bestFit="1" customWidth="1"/>
    <col min="4" max="4" width="8" style="262" bestFit="1" customWidth="1"/>
    <col min="5" max="10" width="17.25" style="18" bestFit="1" customWidth="1"/>
    <col min="11" max="12" width="17.625" style="18" bestFit="1" customWidth="1"/>
    <col min="13" max="14" width="17.25" style="18" bestFit="1" customWidth="1"/>
    <col min="15" max="15" width="17.625" style="18" bestFit="1" customWidth="1"/>
    <col min="16" max="19" width="17.25" style="18" bestFit="1" customWidth="1"/>
    <col min="20" max="20" width="16.875" style="18" bestFit="1" customWidth="1"/>
    <col min="21" max="21" width="17.625" style="18" bestFit="1" customWidth="1"/>
    <col min="22" max="24" width="17.25" style="18" bestFit="1" customWidth="1"/>
    <col min="25" max="25" width="22.625" style="18" bestFit="1" customWidth="1"/>
    <col min="26" max="26" width="9" style="18"/>
    <col min="27" max="27" width="14.625" style="18" bestFit="1" customWidth="1"/>
    <col min="28" max="16384" width="9" style="18"/>
  </cols>
  <sheetData>
    <row r="1" spans="1:25" ht="18.75" thickBot="1">
      <c r="A1" s="11" t="str">
        <f>Intro!A1</f>
        <v>Town of Bar Harbor</v>
      </c>
      <c r="B1" s="27"/>
      <c r="C1" s="17"/>
      <c r="D1" s="260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</row>
    <row r="2" spans="1:25" ht="17.25" thickBot="1">
      <c r="A2" s="380" t="str">
        <f>Intro!A2</f>
        <v>Ferry Property Business Plan</v>
      </c>
      <c r="B2" s="13"/>
      <c r="C2" s="17"/>
      <c r="D2" s="260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</row>
    <row r="3" spans="1:25" s="381" customFormat="1" ht="14.25" thickBot="1">
      <c r="A3" s="384" t="str">
        <f>Intro!A3</f>
        <v>05.23.2018</v>
      </c>
      <c r="B3" s="304"/>
      <c r="C3" s="387"/>
      <c r="D3" s="388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7"/>
      <c r="X3" s="387"/>
    </row>
    <row r="4" spans="1:25" s="381" customFormat="1" ht="13.5">
      <c r="A4" s="384" t="str">
        <f ca="1">Intro!A4</f>
        <v>Town of Bar Harbor</v>
      </c>
      <c r="B4" s="382"/>
      <c r="C4" s="383">
        <f ca="1">NOW()</f>
        <v>43242.835659143515</v>
      </c>
      <c r="D4" s="388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  <c r="Q4" s="387"/>
      <c r="R4" s="387"/>
      <c r="S4" s="387"/>
      <c r="T4" s="387"/>
      <c r="U4" s="387"/>
      <c r="V4" s="387"/>
      <c r="W4" s="387"/>
      <c r="X4" s="387"/>
    </row>
    <row r="5" spans="1:25">
      <c r="A5" s="244" t="s">
        <v>343</v>
      </c>
      <c r="B5" s="244"/>
      <c r="C5" s="245"/>
      <c r="D5" s="261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</row>
    <row r="6" spans="1:25">
      <c r="D6" s="485"/>
    </row>
    <row r="7" spans="1:25">
      <c r="A7" s="22"/>
      <c r="B7" s="71"/>
      <c r="C7" s="71"/>
      <c r="D7" s="72">
        <f>'Cruise Projections'!T7</f>
        <v>2018</v>
      </c>
      <c r="E7" s="72">
        <f>'Cruise Projections'!U7</f>
        <v>2019</v>
      </c>
      <c r="F7" s="72">
        <f>'Cruise Projections'!V7</f>
        <v>2020</v>
      </c>
      <c r="G7" s="72">
        <f>'Cruise Projections'!W7</f>
        <v>2021</v>
      </c>
      <c r="H7" s="72">
        <f>'Cruise Projections'!X7</f>
        <v>2022</v>
      </c>
      <c r="I7" s="72">
        <f>'Cruise Projections'!Y7</f>
        <v>2023</v>
      </c>
      <c r="J7" s="72">
        <f>'Cruise Projections'!Z7</f>
        <v>2024</v>
      </c>
      <c r="K7" s="72">
        <f>'Cruise Projections'!AA7</f>
        <v>2025</v>
      </c>
      <c r="L7" s="72">
        <f>'Cruise Projections'!AB7</f>
        <v>2026</v>
      </c>
      <c r="M7" s="72">
        <f>'Cruise Projections'!AC7</f>
        <v>2027</v>
      </c>
      <c r="N7" s="72">
        <f>'Cruise Projections'!AD7</f>
        <v>2028</v>
      </c>
      <c r="O7" s="72">
        <f>'Cruise Projections'!AE7</f>
        <v>2029</v>
      </c>
      <c r="P7" s="72">
        <f>'Cruise Projections'!AF7</f>
        <v>2030</v>
      </c>
      <c r="Q7" s="72">
        <f>'Cruise Projections'!AG7</f>
        <v>2031</v>
      </c>
      <c r="R7" s="72">
        <f>'Cruise Projections'!AH7</f>
        <v>2032</v>
      </c>
      <c r="S7" s="72">
        <f>'Cruise Projections'!AI7</f>
        <v>2033</v>
      </c>
      <c r="T7" s="72">
        <f>'Cruise Projections'!AJ7</f>
        <v>2034</v>
      </c>
      <c r="U7" s="72">
        <f>'Cruise Projections'!AK7</f>
        <v>2035</v>
      </c>
      <c r="V7" s="72">
        <f>'Cruise Projections'!AL7</f>
        <v>2036</v>
      </c>
      <c r="W7" s="72">
        <f>'Cruise Projections'!AM7</f>
        <v>2037</v>
      </c>
      <c r="X7" s="72">
        <f>'Cruise Projections'!AN7</f>
        <v>2038</v>
      </c>
    </row>
    <row r="8" spans="1:25" ht="17.25" thickBot="1">
      <c r="D8" s="488"/>
    </row>
    <row r="9" spans="1:25" ht="17.25" thickBot="1">
      <c r="A9" s="117" t="s">
        <v>34</v>
      </c>
      <c r="B9" s="484" t="str">
        <f>'Cruise Projections'!A77</f>
        <v>Scenario 3 - Percent of 2018 Business - Carnival</v>
      </c>
      <c r="D9" s="489"/>
      <c r="E9" s="327"/>
      <c r="F9" s="327"/>
      <c r="G9" s="327"/>
      <c r="H9" s="327"/>
      <c r="I9" s="327"/>
      <c r="J9" s="327"/>
      <c r="K9" s="327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</row>
    <row r="10" spans="1:25">
      <c r="D10" s="489"/>
      <c r="E10" s="327"/>
      <c r="F10" s="327"/>
      <c r="G10" s="327"/>
      <c r="H10" s="327"/>
      <c r="I10" s="327"/>
      <c r="J10" s="327"/>
      <c r="K10" s="327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</row>
    <row r="11" spans="1:25" s="279" customFormat="1" ht="14.25">
      <c r="A11" s="279" t="s">
        <v>83</v>
      </c>
      <c r="D11" s="490"/>
      <c r="E11" s="328"/>
      <c r="F11" s="328"/>
      <c r="G11" s="328"/>
      <c r="H11" s="328"/>
      <c r="I11" s="328"/>
      <c r="J11" s="328"/>
      <c r="K11" s="328"/>
      <c r="L11" s="328"/>
      <c r="M11" s="328"/>
      <c r="N11" s="328"/>
      <c r="O11" s="328"/>
      <c r="P11" s="328"/>
      <c r="Q11" s="328"/>
      <c r="R11" s="328"/>
      <c r="S11" s="328"/>
      <c r="T11" s="328"/>
      <c r="U11" s="328"/>
      <c r="V11" s="328"/>
      <c r="W11" s="328"/>
      <c r="X11" s="328"/>
    </row>
    <row r="12" spans="1:25">
      <c r="A12" s="53" t="str">
        <f>'Cruise Projections'!A67</f>
        <v>Passengers</v>
      </c>
      <c r="B12" s="21"/>
      <c r="C12" s="21"/>
      <c r="D12" s="486">
        <f>'Cruise Projections'!T67</f>
        <v>0</v>
      </c>
      <c r="E12" s="313">
        <v>0</v>
      </c>
      <c r="F12" s="313">
        <f>'Cruise Projections'!V79</f>
        <v>105331.33459735833</v>
      </c>
      <c r="G12" s="313">
        <f>'Cruise Projections'!W79</f>
        <v>105331.33459735833</v>
      </c>
      <c r="H12" s="313">
        <f>'Cruise Projections'!X79</f>
        <v>105331.33459735833</v>
      </c>
      <c r="I12" s="313">
        <f>'Cruise Projections'!Y79</f>
        <v>105331.33459735833</v>
      </c>
      <c r="J12" s="313">
        <f>'Cruise Projections'!Z79</f>
        <v>105331.33459735833</v>
      </c>
      <c r="K12" s="313">
        <f>'Cruise Projections'!AA79</f>
        <v>105331.33459735833</v>
      </c>
      <c r="L12" s="313">
        <f>'Cruise Projections'!AB79</f>
        <v>105331.33459735833</v>
      </c>
      <c r="M12" s="313">
        <f>'Cruise Projections'!AC79</f>
        <v>105331.33459735833</v>
      </c>
      <c r="N12" s="313">
        <f>'Cruise Projections'!AD79</f>
        <v>105331.33459735833</v>
      </c>
      <c r="O12" s="313">
        <f>'Cruise Projections'!AE79</f>
        <v>105331.33459735833</v>
      </c>
      <c r="P12" s="313">
        <f>'Cruise Projections'!AF79</f>
        <v>105331.33459735833</v>
      </c>
      <c r="Q12" s="313">
        <f>'Cruise Projections'!AG79</f>
        <v>105331.33459735833</v>
      </c>
      <c r="R12" s="313">
        <f>'Cruise Projections'!AH79</f>
        <v>105331.33459735833</v>
      </c>
      <c r="S12" s="313">
        <f>'Cruise Projections'!AI79</f>
        <v>105331.33459735833</v>
      </c>
      <c r="T12" s="313">
        <f>'Cruise Projections'!AJ79</f>
        <v>105331.33459735833</v>
      </c>
      <c r="U12" s="313">
        <f>'Cruise Projections'!AK79</f>
        <v>105331.33459735833</v>
      </c>
      <c r="V12" s="313">
        <f>'Cruise Projections'!AL79</f>
        <v>105331.33459735833</v>
      </c>
      <c r="W12" s="313">
        <f>'Cruise Projections'!AM79</f>
        <v>105331.33459735833</v>
      </c>
      <c r="X12" s="313">
        <f>'Cruise Projections'!AN79</f>
        <v>105331.33459735833</v>
      </c>
      <c r="Y12" s="312"/>
    </row>
    <row r="13" spans="1:25">
      <c r="A13" s="53" t="str">
        <f>'Cruise Projections'!A68</f>
        <v>Calls</v>
      </c>
      <c r="B13" s="21"/>
      <c r="C13" s="21"/>
      <c r="D13" s="486">
        <f>'Cruise Projections'!T68</f>
        <v>0</v>
      </c>
      <c r="E13" s="313">
        <v>0</v>
      </c>
      <c r="F13" s="313">
        <f>'Cruise Projections'!V80</f>
        <v>60.199999999999996</v>
      </c>
      <c r="G13" s="313">
        <f>'Cruise Projections'!W80</f>
        <v>60.199999999999996</v>
      </c>
      <c r="H13" s="313">
        <f>'Cruise Projections'!X80</f>
        <v>60.199999999999996</v>
      </c>
      <c r="I13" s="313">
        <f>'Cruise Projections'!Y80</f>
        <v>60.199999999999996</v>
      </c>
      <c r="J13" s="313">
        <f>'Cruise Projections'!Z80</f>
        <v>60.199999999999996</v>
      </c>
      <c r="K13" s="313">
        <f>'Cruise Projections'!AA80</f>
        <v>60.199999999999996</v>
      </c>
      <c r="L13" s="313">
        <f>'Cruise Projections'!AB80</f>
        <v>60.199999999999996</v>
      </c>
      <c r="M13" s="313">
        <f>'Cruise Projections'!AC80</f>
        <v>60.199999999999996</v>
      </c>
      <c r="N13" s="313">
        <f>'Cruise Projections'!AD80</f>
        <v>60.199999999999996</v>
      </c>
      <c r="O13" s="313">
        <f>'Cruise Projections'!AE80</f>
        <v>60.199999999999996</v>
      </c>
      <c r="P13" s="313">
        <f>'Cruise Projections'!AF80</f>
        <v>60.199999999999996</v>
      </c>
      <c r="Q13" s="313">
        <f>'Cruise Projections'!AG80</f>
        <v>60.199999999999996</v>
      </c>
      <c r="R13" s="313">
        <f>'Cruise Projections'!AH80</f>
        <v>60.199999999999996</v>
      </c>
      <c r="S13" s="313">
        <f>'Cruise Projections'!AI80</f>
        <v>60.199999999999996</v>
      </c>
      <c r="T13" s="313">
        <f>'Cruise Projections'!AJ80</f>
        <v>60.199999999999996</v>
      </c>
      <c r="U13" s="313">
        <f>'Cruise Projections'!AK80</f>
        <v>60.199999999999996</v>
      </c>
      <c r="V13" s="313">
        <f>'Cruise Projections'!AL80</f>
        <v>60.199999999999996</v>
      </c>
      <c r="W13" s="313">
        <f>'Cruise Projections'!AM80</f>
        <v>60.199999999999996</v>
      </c>
      <c r="X13" s="313">
        <f>'Cruise Projections'!AN80</f>
        <v>60.199999999999996</v>
      </c>
      <c r="Y13" s="312"/>
    </row>
    <row r="14" spans="1:25">
      <c r="A14" s="53" t="str">
        <f>'Cruise Projections'!A69</f>
        <v>Passengers per Call</v>
      </c>
      <c r="B14" s="21"/>
      <c r="C14" s="21"/>
      <c r="D14" s="486">
        <f>'Cruise Projections'!T69</f>
        <v>0</v>
      </c>
      <c r="E14" s="313">
        <v>0</v>
      </c>
      <c r="F14" s="313">
        <f>'Cruise Projections'!V81</f>
        <v>1749.6899434777133</v>
      </c>
      <c r="G14" s="313">
        <f>'Cruise Projections'!W81</f>
        <v>1749.6899434777133</v>
      </c>
      <c r="H14" s="313">
        <f>'Cruise Projections'!X81</f>
        <v>1749.6899434777133</v>
      </c>
      <c r="I14" s="313">
        <f>'Cruise Projections'!Y81</f>
        <v>1749.6899434777133</v>
      </c>
      <c r="J14" s="313">
        <f>'Cruise Projections'!Z81</f>
        <v>1749.6899434777133</v>
      </c>
      <c r="K14" s="313">
        <f>'Cruise Projections'!AA81</f>
        <v>1749.6899434777133</v>
      </c>
      <c r="L14" s="313">
        <f>'Cruise Projections'!AB81</f>
        <v>1749.6899434777133</v>
      </c>
      <c r="M14" s="313">
        <f>'Cruise Projections'!AC81</f>
        <v>1749.6899434777133</v>
      </c>
      <c r="N14" s="313">
        <f>'Cruise Projections'!AD81</f>
        <v>1749.6899434777133</v>
      </c>
      <c r="O14" s="313">
        <f>'Cruise Projections'!AE81</f>
        <v>1749.6899434777133</v>
      </c>
      <c r="P14" s="313">
        <f>'Cruise Projections'!AF81</f>
        <v>1749.6899434777133</v>
      </c>
      <c r="Q14" s="313">
        <f>'Cruise Projections'!AG81</f>
        <v>1749.6899434777133</v>
      </c>
      <c r="R14" s="313">
        <f>'Cruise Projections'!AH81</f>
        <v>1749.6899434777133</v>
      </c>
      <c r="S14" s="313">
        <f>'Cruise Projections'!AI81</f>
        <v>1749.6899434777133</v>
      </c>
      <c r="T14" s="313">
        <f>'Cruise Projections'!AJ81</f>
        <v>1749.6899434777133</v>
      </c>
      <c r="U14" s="313">
        <f>'Cruise Projections'!AK81</f>
        <v>1749.6899434777133</v>
      </c>
      <c r="V14" s="313">
        <f>'Cruise Projections'!AL81</f>
        <v>1749.6899434777133</v>
      </c>
      <c r="W14" s="313">
        <f>'Cruise Projections'!AM81</f>
        <v>1749.6899434777133</v>
      </c>
      <c r="X14" s="313">
        <f>'Cruise Projections'!AN81</f>
        <v>1749.6899434777133</v>
      </c>
      <c r="Y14" s="312"/>
    </row>
    <row r="15" spans="1:25" s="96" customFormat="1">
      <c r="A15" s="54" t="s">
        <v>313</v>
      </c>
      <c r="B15" s="487"/>
      <c r="C15" s="487"/>
      <c r="D15" s="486">
        <f>'Cruise Projections'!T70</f>
        <v>0</v>
      </c>
      <c r="E15" s="313">
        <v>0</v>
      </c>
      <c r="F15" s="313">
        <f>'Shuttle Projections'!D24</f>
        <v>4120</v>
      </c>
      <c r="G15" s="313">
        <f>'Shuttle Projections'!E24</f>
        <v>4120</v>
      </c>
      <c r="H15" s="313">
        <f>'Shuttle Projections'!F24</f>
        <v>4120</v>
      </c>
      <c r="I15" s="313">
        <f>'Shuttle Projections'!G24</f>
        <v>4120</v>
      </c>
      <c r="J15" s="313">
        <f>'Shuttle Projections'!H24</f>
        <v>4120</v>
      </c>
      <c r="K15" s="313">
        <f>'Shuttle Projections'!I24</f>
        <v>4120</v>
      </c>
      <c r="L15" s="313">
        <f>'Shuttle Projections'!J24</f>
        <v>4120</v>
      </c>
      <c r="M15" s="313">
        <f>'Shuttle Projections'!K24</f>
        <v>4120</v>
      </c>
      <c r="N15" s="313">
        <f>'Shuttle Projections'!L24</f>
        <v>4120</v>
      </c>
      <c r="O15" s="313">
        <f>'Shuttle Projections'!M24</f>
        <v>4120</v>
      </c>
      <c r="P15" s="313">
        <f>'Shuttle Projections'!N24</f>
        <v>4120</v>
      </c>
      <c r="Q15" s="313">
        <f>'Shuttle Projections'!O24</f>
        <v>4120</v>
      </c>
      <c r="R15" s="313">
        <f>'Shuttle Projections'!P24</f>
        <v>4120</v>
      </c>
      <c r="S15" s="313">
        <f>'Shuttle Projections'!Q24</f>
        <v>4120</v>
      </c>
      <c r="T15" s="313">
        <f>'Shuttle Projections'!R24</f>
        <v>4120</v>
      </c>
      <c r="U15" s="313">
        <f>'Shuttle Projections'!S24</f>
        <v>4120</v>
      </c>
      <c r="V15" s="313">
        <f>'Shuttle Projections'!T24</f>
        <v>4120</v>
      </c>
      <c r="W15" s="313">
        <f>'Shuttle Projections'!U24</f>
        <v>4120</v>
      </c>
      <c r="X15" s="313">
        <f>'Shuttle Projections'!V24</f>
        <v>4120</v>
      </c>
      <c r="Y15" s="313"/>
    </row>
    <row r="16" spans="1:25">
      <c r="A16" s="54"/>
      <c r="B16" s="21"/>
      <c r="C16" s="21"/>
      <c r="D16" s="486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</row>
    <row r="17" spans="1:25" s="547" customFormat="1" ht="14.25">
      <c r="A17" s="549" t="s">
        <v>163</v>
      </c>
      <c r="B17" s="550"/>
      <c r="C17" s="550"/>
      <c r="D17" s="610"/>
      <c r="E17" s="551"/>
      <c r="F17" s="551"/>
      <c r="G17" s="551"/>
      <c r="H17" s="551"/>
      <c r="I17" s="551"/>
      <c r="J17" s="551"/>
      <c r="K17" s="551"/>
      <c r="L17" s="551"/>
      <c r="M17" s="551"/>
      <c r="N17" s="551"/>
      <c r="O17" s="551"/>
      <c r="P17" s="551"/>
      <c r="Q17" s="551"/>
      <c r="R17" s="551"/>
      <c r="S17" s="551"/>
      <c r="T17" s="551"/>
      <c r="U17" s="551"/>
      <c r="V17" s="551"/>
      <c r="W17" s="551"/>
      <c r="X17" s="551"/>
    </row>
    <row r="18" spans="1:25" s="341" customFormat="1">
      <c r="A18" s="552" t="str">
        <f>'International Ferry Projections'!A11</f>
        <v>Passengers</v>
      </c>
      <c r="B18" s="553"/>
      <c r="C18" s="553"/>
      <c r="D18" s="554">
        <f>'International Ferry Projections'!B11</f>
        <v>0</v>
      </c>
      <c r="E18" s="555">
        <f>'International Ferry Projections'!C11</f>
        <v>60000</v>
      </c>
      <c r="F18" s="555">
        <f>'International Ferry Projections'!D11</f>
        <v>70000</v>
      </c>
      <c r="G18" s="555">
        <f>'International Ferry Projections'!E11</f>
        <v>80000</v>
      </c>
      <c r="H18" s="555">
        <f>'International Ferry Projections'!F11</f>
        <v>80000</v>
      </c>
      <c r="I18" s="555">
        <f>'International Ferry Projections'!G11</f>
        <v>80000</v>
      </c>
      <c r="J18" s="555">
        <f>'International Ferry Projections'!H11</f>
        <v>80000</v>
      </c>
      <c r="K18" s="555">
        <f>'International Ferry Projections'!I11</f>
        <v>80000</v>
      </c>
      <c r="L18" s="555">
        <f>'International Ferry Projections'!J11</f>
        <v>80000</v>
      </c>
      <c r="M18" s="555">
        <f>'International Ferry Projections'!K11</f>
        <v>80000</v>
      </c>
      <c r="N18" s="555">
        <f>'International Ferry Projections'!L11</f>
        <v>80000</v>
      </c>
      <c r="O18" s="555">
        <f>'International Ferry Projections'!M11</f>
        <v>80000</v>
      </c>
      <c r="P18" s="555">
        <f>'International Ferry Projections'!N11</f>
        <v>80000</v>
      </c>
      <c r="Q18" s="555">
        <f>'International Ferry Projections'!O11</f>
        <v>80000</v>
      </c>
      <c r="R18" s="555">
        <f>'International Ferry Projections'!P11</f>
        <v>80000</v>
      </c>
      <c r="S18" s="555">
        <f>'International Ferry Projections'!Q11</f>
        <v>80000</v>
      </c>
      <c r="T18" s="555">
        <f>'International Ferry Projections'!R11</f>
        <v>80000</v>
      </c>
      <c r="U18" s="555">
        <f>'International Ferry Projections'!S11</f>
        <v>80000</v>
      </c>
      <c r="V18" s="555">
        <f>'International Ferry Projections'!T11</f>
        <v>80000</v>
      </c>
      <c r="W18" s="555">
        <f>'International Ferry Projections'!U11</f>
        <v>80000</v>
      </c>
      <c r="X18" s="555">
        <f>'International Ferry Projections'!V11</f>
        <v>80000</v>
      </c>
    </row>
    <row r="19" spans="1:25" s="341" customFormat="1">
      <c r="A19" s="552" t="str">
        <f>'International Ferry Projections'!A12</f>
        <v>Cars</v>
      </c>
      <c r="B19" s="553"/>
      <c r="C19" s="553"/>
      <c r="D19" s="554">
        <f>'International Ferry Projections'!B12</f>
        <v>0</v>
      </c>
      <c r="E19" s="555">
        <f>'International Ferry Projections'!C12</f>
        <v>24000</v>
      </c>
      <c r="F19" s="555">
        <f>'International Ferry Projections'!D12</f>
        <v>28000</v>
      </c>
      <c r="G19" s="555">
        <f>'International Ferry Projections'!E12</f>
        <v>32000</v>
      </c>
      <c r="H19" s="555">
        <f>'International Ferry Projections'!F12</f>
        <v>32000</v>
      </c>
      <c r="I19" s="555">
        <f>'International Ferry Projections'!G12</f>
        <v>32000</v>
      </c>
      <c r="J19" s="555">
        <f>'International Ferry Projections'!H12</f>
        <v>32000</v>
      </c>
      <c r="K19" s="555">
        <f>'International Ferry Projections'!I12</f>
        <v>32000</v>
      </c>
      <c r="L19" s="555">
        <f>'International Ferry Projections'!J12</f>
        <v>32000</v>
      </c>
      <c r="M19" s="555">
        <f>'International Ferry Projections'!K12</f>
        <v>32000</v>
      </c>
      <c r="N19" s="555">
        <f>'International Ferry Projections'!L12</f>
        <v>32000</v>
      </c>
      <c r="O19" s="555">
        <f>'International Ferry Projections'!M12</f>
        <v>32000</v>
      </c>
      <c r="P19" s="555">
        <f>'International Ferry Projections'!N12</f>
        <v>32000</v>
      </c>
      <c r="Q19" s="555">
        <f>'International Ferry Projections'!O12</f>
        <v>32000</v>
      </c>
      <c r="R19" s="555">
        <f>'International Ferry Projections'!P12</f>
        <v>32000</v>
      </c>
      <c r="S19" s="555">
        <f>'International Ferry Projections'!Q12</f>
        <v>32000</v>
      </c>
      <c r="T19" s="555">
        <f>'International Ferry Projections'!R12</f>
        <v>32000</v>
      </c>
      <c r="U19" s="555">
        <f>'International Ferry Projections'!S12</f>
        <v>32000</v>
      </c>
      <c r="V19" s="555">
        <f>'International Ferry Projections'!T12</f>
        <v>32000</v>
      </c>
      <c r="W19" s="555">
        <f>'International Ferry Projections'!U12</f>
        <v>32000</v>
      </c>
      <c r="X19" s="555">
        <f>'International Ferry Projections'!V12</f>
        <v>32000</v>
      </c>
    </row>
    <row r="20" spans="1:25" s="341" customFormat="1">
      <c r="A20" s="552" t="str">
        <f>'International Ferry Projections'!A13</f>
        <v>Buses</v>
      </c>
      <c r="B20" s="553"/>
      <c r="C20" s="553"/>
      <c r="D20" s="554">
        <f>'International Ferry Projections'!B13</f>
        <v>0</v>
      </c>
      <c r="E20" s="555">
        <f>'International Ferry Projections'!C13</f>
        <v>40</v>
      </c>
      <c r="F20" s="555">
        <f>'International Ferry Projections'!D13</f>
        <v>50</v>
      </c>
      <c r="G20" s="555">
        <f>'International Ferry Projections'!E13</f>
        <v>60</v>
      </c>
      <c r="H20" s="555">
        <f>'International Ferry Projections'!F13</f>
        <v>60</v>
      </c>
      <c r="I20" s="555">
        <f>'International Ferry Projections'!G13</f>
        <v>60</v>
      </c>
      <c r="J20" s="555">
        <f>'International Ferry Projections'!H13</f>
        <v>60</v>
      </c>
      <c r="K20" s="555">
        <f>'International Ferry Projections'!I13</f>
        <v>60</v>
      </c>
      <c r="L20" s="555">
        <f>'International Ferry Projections'!J13</f>
        <v>60</v>
      </c>
      <c r="M20" s="555">
        <f>'International Ferry Projections'!K13</f>
        <v>60</v>
      </c>
      <c r="N20" s="555">
        <f>'International Ferry Projections'!L13</f>
        <v>60</v>
      </c>
      <c r="O20" s="555">
        <f>'International Ferry Projections'!M13</f>
        <v>60</v>
      </c>
      <c r="P20" s="555">
        <f>'International Ferry Projections'!N13</f>
        <v>60</v>
      </c>
      <c r="Q20" s="555">
        <f>'International Ferry Projections'!O13</f>
        <v>60</v>
      </c>
      <c r="R20" s="555">
        <f>'International Ferry Projections'!P13</f>
        <v>60</v>
      </c>
      <c r="S20" s="555">
        <f>'International Ferry Projections'!Q13</f>
        <v>60</v>
      </c>
      <c r="T20" s="555">
        <f>'International Ferry Projections'!R13</f>
        <v>60</v>
      </c>
      <c r="U20" s="555">
        <f>'International Ferry Projections'!S13</f>
        <v>60</v>
      </c>
      <c r="V20" s="555">
        <f>'International Ferry Projections'!T13</f>
        <v>60</v>
      </c>
      <c r="W20" s="555">
        <f>'International Ferry Projections'!U13</f>
        <v>60</v>
      </c>
      <c r="X20" s="555">
        <f>'International Ferry Projections'!V13</f>
        <v>60</v>
      </c>
    </row>
    <row r="21" spans="1:25">
      <c r="A21" s="54"/>
      <c r="B21" s="21"/>
      <c r="C21" s="21"/>
      <c r="D21" s="486"/>
      <c r="E21" s="313"/>
      <c r="F21" s="313"/>
      <c r="G21" s="313"/>
      <c r="H21" s="313"/>
      <c r="I21" s="313"/>
      <c r="J21" s="313"/>
      <c r="K21" s="313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</row>
    <row r="22" spans="1:25" s="582" customFormat="1">
      <c r="A22" s="293" t="str">
        <f>'BH Tariffs'!A30</f>
        <v>Local Ferry</v>
      </c>
      <c r="B22" s="581"/>
      <c r="C22" s="581"/>
      <c r="D22" s="486">
        <v>0</v>
      </c>
      <c r="E22" s="329"/>
      <c r="F22" s="329"/>
      <c r="G22" s="329"/>
      <c r="H22" s="329"/>
      <c r="I22" s="329"/>
      <c r="J22" s="329"/>
      <c r="K22" s="329"/>
      <c r="L22" s="329"/>
      <c r="M22" s="329"/>
      <c r="N22" s="329"/>
      <c r="O22" s="329"/>
      <c r="P22" s="329"/>
      <c r="Q22" s="329"/>
      <c r="R22" s="329"/>
      <c r="S22" s="329"/>
      <c r="T22" s="329"/>
      <c r="U22" s="329"/>
      <c r="V22" s="329"/>
      <c r="W22" s="329"/>
      <c r="X22" s="329"/>
    </row>
    <row r="23" spans="1:25" s="96" customFormat="1">
      <c r="A23" s="54" t="str">
        <f>'BH Tariffs'!A31</f>
        <v>Dock Rent (6 Months Only)</v>
      </c>
      <c r="B23" s="487"/>
      <c r="C23" s="487"/>
      <c r="D23" s="486">
        <v>0</v>
      </c>
      <c r="E23" s="623" t="s">
        <v>286</v>
      </c>
      <c r="F23" s="623" t="s">
        <v>286</v>
      </c>
      <c r="G23" s="623" t="s">
        <v>286</v>
      </c>
      <c r="H23" s="623" t="s">
        <v>286</v>
      </c>
      <c r="I23" s="623" t="s">
        <v>286</v>
      </c>
      <c r="J23" s="623" t="s">
        <v>286</v>
      </c>
      <c r="K23" s="623" t="s">
        <v>286</v>
      </c>
      <c r="L23" s="623" t="s">
        <v>286</v>
      </c>
      <c r="M23" s="623" t="s">
        <v>286</v>
      </c>
      <c r="N23" s="623" t="s">
        <v>286</v>
      </c>
      <c r="O23" s="623" t="s">
        <v>286</v>
      </c>
      <c r="P23" s="623" t="s">
        <v>286</v>
      </c>
      <c r="Q23" s="623" t="s">
        <v>286</v>
      </c>
      <c r="R23" s="623" t="s">
        <v>286</v>
      </c>
      <c r="S23" s="623" t="s">
        <v>286</v>
      </c>
      <c r="T23" s="623" t="s">
        <v>286</v>
      </c>
      <c r="U23" s="623" t="s">
        <v>286</v>
      </c>
      <c r="V23" s="623" t="s">
        <v>286</v>
      </c>
      <c r="W23" s="623" t="s">
        <v>286</v>
      </c>
      <c r="X23" s="623" t="s">
        <v>286</v>
      </c>
    </row>
    <row r="24" spans="1:25" s="341" customFormat="1">
      <c r="A24" s="552"/>
      <c r="B24" s="553"/>
      <c r="C24" s="553"/>
      <c r="D24" s="554"/>
      <c r="E24" s="555"/>
      <c r="F24" s="555"/>
      <c r="G24" s="555"/>
      <c r="H24" s="555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</row>
    <row r="25" spans="1:25" s="96" customFormat="1">
      <c r="A25" s="559" t="s">
        <v>227</v>
      </c>
      <c r="B25" s="487"/>
      <c r="C25" s="487"/>
      <c r="D25" s="486"/>
      <c r="E25" s="313"/>
      <c r="F25" s="313"/>
      <c r="G25" s="313"/>
      <c r="H25" s="313"/>
      <c r="I25" s="313"/>
      <c r="J25" s="313"/>
      <c r="K25" s="313"/>
      <c r="L25" s="313"/>
      <c r="M25" s="313"/>
      <c r="N25" s="313"/>
      <c r="O25" s="313"/>
      <c r="P25" s="313"/>
      <c r="Q25" s="313"/>
      <c r="R25" s="313"/>
      <c r="S25" s="313"/>
      <c r="T25" s="313"/>
      <c r="U25" s="313"/>
      <c r="V25" s="313"/>
      <c r="W25" s="313"/>
      <c r="X25" s="313"/>
    </row>
    <row r="26" spans="1:25">
      <c r="A26" s="54"/>
      <c r="B26" s="21"/>
      <c r="C26" s="21"/>
      <c r="D26" s="486"/>
      <c r="E26" s="313"/>
      <c r="F26" s="313"/>
      <c r="G26" s="313"/>
      <c r="H26" s="313"/>
      <c r="I26" s="313"/>
      <c r="J26" s="313"/>
      <c r="K26" s="313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</row>
    <row r="27" spans="1:25">
      <c r="A27" s="54" t="s">
        <v>420</v>
      </c>
      <c r="B27" s="21"/>
      <c r="C27" s="21"/>
      <c r="D27" s="486">
        <v>0</v>
      </c>
      <c r="E27" s="313">
        <f>'Marina Projections'!C9</f>
        <v>0</v>
      </c>
      <c r="F27" s="313">
        <f>'Marina Projections'!D9</f>
        <v>214</v>
      </c>
      <c r="G27" s="313">
        <f>'Marina Projections'!E9</f>
        <v>214</v>
      </c>
      <c r="H27" s="313">
        <f>'Marina Projections'!F9</f>
        <v>214</v>
      </c>
      <c r="I27" s="313">
        <f>'Marina Projections'!G9</f>
        <v>214</v>
      </c>
      <c r="J27" s="313">
        <f>'Marina Projections'!H9</f>
        <v>214</v>
      </c>
      <c r="K27" s="313">
        <f>'Marina Projections'!I9</f>
        <v>214</v>
      </c>
      <c r="L27" s="313">
        <f>'Marina Projections'!J9</f>
        <v>214</v>
      </c>
      <c r="M27" s="313">
        <f>'Marina Projections'!K9</f>
        <v>214</v>
      </c>
      <c r="N27" s="313">
        <f>'Marina Projections'!L9</f>
        <v>214</v>
      </c>
      <c r="O27" s="313">
        <f>'Marina Projections'!M9</f>
        <v>214</v>
      </c>
      <c r="P27" s="313">
        <f>'Marina Projections'!N9</f>
        <v>214</v>
      </c>
      <c r="Q27" s="313">
        <f>'Marina Projections'!O9</f>
        <v>214</v>
      </c>
      <c r="R27" s="313">
        <f>'Marina Projections'!P9</f>
        <v>214</v>
      </c>
      <c r="S27" s="313">
        <f>'Marina Projections'!Q9</f>
        <v>214</v>
      </c>
      <c r="T27" s="313">
        <f>'Marina Projections'!R9</f>
        <v>214</v>
      </c>
      <c r="U27" s="313">
        <f>'Marina Projections'!S9</f>
        <v>214</v>
      </c>
      <c r="V27" s="313">
        <f>'Marina Projections'!T9</f>
        <v>214</v>
      </c>
      <c r="W27" s="313">
        <f>'Marina Projections'!U9</f>
        <v>214</v>
      </c>
      <c r="X27" s="313">
        <f>'Marina Projections'!V9</f>
        <v>214</v>
      </c>
    </row>
    <row r="28" spans="1:25">
      <c r="A28" s="54" t="s">
        <v>205</v>
      </c>
      <c r="B28" s="21"/>
      <c r="C28" s="21"/>
      <c r="D28" s="486">
        <v>0</v>
      </c>
      <c r="E28" s="330">
        <v>0</v>
      </c>
      <c r="F28" s="330">
        <f>'Cruise Projections'!V80</f>
        <v>60.199999999999996</v>
      </c>
      <c r="G28" s="330">
        <f>'Cruise Projections'!W80</f>
        <v>60.199999999999996</v>
      </c>
      <c r="H28" s="330">
        <f>'Cruise Projections'!X80</f>
        <v>60.199999999999996</v>
      </c>
      <c r="I28" s="330">
        <f>'Cruise Projections'!Y80</f>
        <v>60.199999999999996</v>
      </c>
      <c r="J28" s="330">
        <f>'Cruise Projections'!Z80</f>
        <v>60.199999999999996</v>
      </c>
      <c r="K28" s="330">
        <f>'Cruise Projections'!AA80</f>
        <v>60.199999999999996</v>
      </c>
      <c r="L28" s="330">
        <f>'Cruise Projections'!AB80</f>
        <v>60.199999999999996</v>
      </c>
      <c r="M28" s="330">
        <f>'Cruise Projections'!AC80</f>
        <v>60.199999999999996</v>
      </c>
      <c r="N28" s="330">
        <f>'Cruise Projections'!AD80</f>
        <v>60.199999999999996</v>
      </c>
      <c r="O28" s="330">
        <f>'Cruise Projections'!AE80</f>
        <v>60.199999999999996</v>
      </c>
      <c r="P28" s="330">
        <f>'Cruise Projections'!AF80</f>
        <v>60.199999999999996</v>
      </c>
      <c r="Q28" s="330">
        <f>'Cruise Projections'!AG80</f>
        <v>60.199999999999996</v>
      </c>
      <c r="R28" s="330">
        <f>'Cruise Projections'!AH80</f>
        <v>60.199999999999996</v>
      </c>
      <c r="S28" s="330">
        <f>'Cruise Projections'!AI80</f>
        <v>60.199999999999996</v>
      </c>
      <c r="T28" s="330">
        <f>'Cruise Projections'!AJ80</f>
        <v>60.199999999999996</v>
      </c>
      <c r="U28" s="330">
        <f>'Cruise Projections'!AK80</f>
        <v>60.199999999999996</v>
      </c>
      <c r="V28" s="330">
        <f>'Cruise Projections'!AL80</f>
        <v>60.199999999999996</v>
      </c>
      <c r="W28" s="330">
        <f>'Cruise Projections'!AM80</f>
        <v>60.199999999999996</v>
      </c>
      <c r="X28" s="330">
        <f>'Cruise Projections'!AN80</f>
        <v>60.199999999999996</v>
      </c>
      <c r="Y28" s="32"/>
    </row>
    <row r="29" spans="1:25" s="341" customFormat="1">
      <c r="A29" s="552" t="s">
        <v>219</v>
      </c>
      <c r="B29" s="553"/>
      <c r="C29" s="553"/>
      <c r="D29" s="554">
        <v>0</v>
      </c>
      <c r="E29" s="560">
        <v>150</v>
      </c>
      <c r="F29" s="560">
        <f>E29</f>
        <v>150</v>
      </c>
      <c r="G29" s="560">
        <f t="shared" ref="G29:X29" si="0">F29</f>
        <v>150</v>
      </c>
      <c r="H29" s="560">
        <f t="shared" si="0"/>
        <v>150</v>
      </c>
      <c r="I29" s="560">
        <f t="shared" si="0"/>
        <v>150</v>
      </c>
      <c r="J29" s="560">
        <f t="shared" si="0"/>
        <v>150</v>
      </c>
      <c r="K29" s="560">
        <f t="shared" si="0"/>
        <v>150</v>
      </c>
      <c r="L29" s="560">
        <f t="shared" si="0"/>
        <v>150</v>
      </c>
      <c r="M29" s="560">
        <f t="shared" si="0"/>
        <v>150</v>
      </c>
      <c r="N29" s="560">
        <f t="shared" si="0"/>
        <v>150</v>
      </c>
      <c r="O29" s="560">
        <f t="shared" si="0"/>
        <v>150</v>
      </c>
      <c r="P29" s="560">
        <f t="shared" si="0"/>
        <v>150</v>
      </c>
      <c r="Q29" s="560">
        <f t="shared" si="0"/>
        <v>150</v>
      </c>
      <c r="R29" s="560">
        <f t="shared" si="0"/>
        <v>150</v>
      </c>
      <c r="S29" s="560">
        <f t="shared" si="0"/>
        <v>150</v>
      </c>
      <c r="T29" s="560">
        <f t="shared" si="0"/>
        <v>150</v>
      </c>
      <c r="U29" s="560">
        <f t="shared" si="0"/>
        <v>150</v>
      </c>
      <c r="V29" s="560">
        <f t="shared" si="0"/>
        <v>150</v>
      </c>
      <c r="W29" s="560">
        <f t="shared" si="0"/>
        <v>150</v>
      </c>
      <c r="X29" s="560">
        <f t="shared" si="0"/>
        <v>150</v>
      </c>
      <c r="Y29" s="561"/>
    </row>
    <row r="30" spans="1:25" s="341" customFormat="1">
      <c r="A30" s="552" t="s">
        <v>220</v>
      </c>
      <c r="B30" s="553"/>
      <c r="C30" s="553"/>
      <c r="D30" s="554">
        <v>0</v>
      </c>
      <c r="E30" s="611">
        <f>E28/E29</f>
        <v>0</v>
      </c>
      <c r="F30" s="611">
        <f t="shared" ref="F30:X30" si="1">F28/F29</f>
        <v>0.40133333333333332</v>
      </c>
      <c r="G30" s="611">
        <f t="shared" si="1"/>
        <v>0.40133333333333332</v>
      </c>
      <c r="H30" s="611">
        <f t="shared" si="1"/>
        <v>0.40133333333333332</v>
      </c>
      <c r="I30" s="611">
        <f t="shared" si="1"/>
        <v>0.40133333333333332</v>
      </c>
      <c r="J30" s="611">
        <f t="shared" si="1"/>
        <v>0.40133333333333332</v>
      </c>
      <c r="K30" s="611">
        <f t="shared" si="1"/>
        <v>0.40133333333333332</v>
      </c>
      <c r="L30" s="611">
        <f t="shared" si="1"/>
        <v>0.40133333333333332</v>
      </c>
      <c r="M30" s="611">
        <f t="shared" si="1"/>
        <v>0.40133333333333332</v>
      </c>
      <c r="N30" s="611">
        <f t="shared" si="1"/>
        <v>0.40133333333333332</v>
      </c>
      <c r="O30" s="611">
        <f t="shared" si="1"/>
        <v>0.40133333333333332</v>
      </c>
      <c r="P30" s="611">
        <f t="shared" si="1"/>
        <v>0.40133333333333332</v>
      </c>
      <c r="Q30" s="611">
        <f t="shared" si="1"/>
        <v>0.40133333333333332</v>
      </c>
      <c r="R30" s="611">
        <f t="shared" si="1"/>
        <v>0.40133333333333332</v>
      </c>
      <c r="S30" s="611">
        <f t="shared" si="1"/>
        <v>0.40133333333333332</v>
      </c>
      <c r="T30" s="611">
        <f t="shared" si="1"/>
        <v>0.40133333333333332</v>
      </c>
      <c r="U30" s="611">
        <f t="shared" si="1"/>
        <v>0.40133333333333332</v>
      </c>
      <c r="V30" s="611">
        <f t="shared" si="1"/>
        <v>0.40133333333333332</v>
      </c>
      <c r="W30" s="611">
        <f t="shared" si="1"/>
        <v>0.40133333333333332</v>
      </c>
      <c r="X30" s="611">
        <f t="shared" si="1"/>
        <v>0.40133333333333332</v>
      </c>
      <c r="Y30" s="561"/>
    </row>
    <row r="31" spans="1:25" s="96" customFormat="1">
      <c r="A31" s="54" t="s">
        <v>226</v>
      </c>
      <c r="B31" s="487"/>
      <c r="C31" s="487"/>
      <c r="D31" s="486">
        <v>0</v>
      </c>
      <c r="E31" s="330">
        <v>0</v>
      </c>
      <c r="F31" s="330">
        <v>125</v>
      </c>
      <c r="G31" s="330">
        <v>125</v>
      </c>
      <c r="H31" s="330">
        <v>125</v>
      </c>
      <c r="I31" s="330">
        <v>125</v>
      </c>
      <c r="J31" s="330">
        <v>125</v>
      </c>
      <c r="K31" s="330">
        <v>125</v>
      </c>
      <c r="L31" s="330">
        <v>125</v>
      </c>
      <c r="M31" s="330">
        <v>125</v>
      </c>
      <c r="N31" s="330">
        <v>125</v>
      </c>
      <c r="O31" s="330">
        <v>125</v>
      </c>
      <c r="P31" s="330">
        <v>125</v>
      </c>
      <c r="Q31" s="330">
        <v>125</v>
      </c>
      <c r="R31" s="330">
        <v>125</v>
      </c>
      <c r="S31" s="330">
        <v>125</v>
      </c>
      <c r="T31" s="330">
        <v>125</v>
      </c>
      <c r="U31" s="330">
        <v>125</v>
      </c>
      <c r="V31" s="330">
        <v>125</v>
      </c>
      <c r="W31" s="330">
        <v>125</v>
      </c>
      <c r="X31" s="330">
        <v>125</v>
      </c>
      <c r="Y31" s="58"/>
    </row>
    <row r="32" spans="1:25">
      <c r="A32" s="54"/>
      <c r="B32" s="21"/>
      <c r="C32" s="21"/>
      <c r="D32" s="486"/>
      <c r="E32" s="495"/>
      <c r="F32" s="495"/>
      <c r="G32" s="495"/>
      <c r="H32" s="495"/>
      <c r="I32" s="495"/>
      <c r="J32" s="495"/>
      <c r="K32" s="495"/>
      <c r="L32" s="495"/>
      <c r="M32" s="495"/>
      <c r="N32" s="495"/>
      <c r="O32" s="495"/>
      <c r="P32" s="495"/>
      <c r="Q32" s="495"/>
      <c r="R32" s="495"/>
      <c r="S32" s="495"/>
      <c r="T32" s="495"/>
      <c r="U32" s="495"/>
      <c r="V32" s="495"/>
      <c r="W32" s="495"/>
      <c r="X32" s="495"/>
      <c r="Y32" s="32"/>
    </row>
    <row r="33" spans="1:25">
      <c r="A33" s="54" t="s">
        <v>206</v>
      </c>
      <c r="B33" s="21"/>
      <c r="C33" s="21"/>
      <c r="D33" s="486">
        <v>0</v>
      </c>
      <c r="E33" s="313">
        <v>0</v>
      </c>
      <c r="F33" s="313">
        <f t="shared" ref="F33:X33" si="2">F12/F28</f>
        <v>1749.6899434777133</v>
      </c>
      <c r="G33" s="313">
        <f t="shared" si="2"/>
        <v>1749.6899434777133</v>
      </c>
      <c r="H33" s="313">
        <f t="shared" si="2"/>
        <v>1749.6899434777133</v>
      </c>
      <c r="I33" s="313">
        <f t="shared" si="2"/>
        <v>1749.6899434777133</v>
      </c>
      <c r="J33" s="313">
        <f t="shared" si="2"/>
        <v>1749.6899434777133</v>
      </c>
      <c r="K33" s="313">
        <f t="shared" si="2"/>
        <v>1749.6899434777133</v>
      </c>
      <c r="L33" s="313">
        <f t="shared" si="2"/>
        <v>1749.6899434777133</v>
      </c>
      <c r="M33" s="313">
        <f t="shared" si="2"/>
        <v>1749.6899434777133</v>
      </c>
      <c r="N33" s="313">
        <f t="shared" si="2"/>
        <v>1749.6899434777133</v>
      </c>
      <c r="O33" s="313">
        <f t="shared" si="2"/>
        <v>1749.6899434777133</v>
      </c>
      <c r="P33" s="313">
        <f t="shared" si="2"/>
        <v>1749.6899434777133</v>
      </c>
      <c r="Q33" s="313">
        <f t="shared" si="2"/>
        <v>1749.6899434777133</v>
      </c>
      <c r="R33" s="313">
        <f t="shared" si="2"/>
        <v>1749.6899434777133</v>
      </c>
      <c r="S33" s="313">
        <f t="shared" si="2"/>
        <v>1749.6899434777133</v>
      </c>
      <c r="T33" s="313">
        <f t="shared" si="2"/>
        <v>1749.6899434777133</v>
      </c>
      <c r="U33" s="313">
        <f t="shared" si="2"/>
        <v>1749.6899434777133</v>
      </c>
      <c r="V33" s="313">
        <f t="shared" si="2"/>
        <v>1749.6899434777133</v>
      </c>
      <c r="W33" s="313">
        <f t="shared" si="2"/>
        <v>1749.6899434777133</v>
      </c>
      <c r="X33" s="313">
        <f t="shared" si="2"/>
        <v>1749.6899434777133</v>
      </c>
    </row>
    <row r="34" spans="1:25">
      <c r="A34" s="54" t="s">
        <v>207</v>
      </c>
      <c r="B34" s="21"/>
      <c r="C34" s="21"/>
      <c r="D34" s="486">
        <v>0</v>
      </c>
      <c r="E34" s="313">
        <v>0</v>
      </c>
      <c r="F34" s="313">
        <v>5500</v>
      </c>
      <c r="G34" s="313">
        <v>5500</v>
      </c>
      <c r="H34" s="313">
        <v>5500</v>
      </c>
      <c r="I34" s="313">
        <v>5500</v>
      </c>
      <c r="J34" s="313">
        <v>5500</v>
      </c>
      <c r="K34" s="313">
        <v>5500</v>
      </c>
      <c r="L34" s="313">
        <v>5500</v>
      </c>
      <c r="M34" s="313">
        <v>5500</v>
      </c>
      <c r="N34" s="313">
        <v>5500</v>
      </c>
      <c r="O34" s="313">
        <v>5500</v>
      </c>
      <c r="P34" s="313">
        <v>5500</v>
      </c>
      <c r="Q34" s="313">
        <v>5500</v>
      </c>
      <c r="R34" s="313">
        <v>5500</v>
      </c>
      <c r="S34" s="313">
        <v>5500</v>
      </c>
      <c r="T34" s="313">
        <v>5500</v>
      </c>
      <c r="U34" s="313">
        <v>5500</v>
      </c>
      <c r="V34" s="313">
        <v>5500</v>
      </c>
      <c r="W34" s="313">
        <v>5500</v>
      </c>
      <c r="X34" s="313">
        <v>5500</v>
      </c>
    </row>
    <row r="35" spans="1:25" s="341" customFormat="1">
      <c r="A35" s="552" t="s">
        <v>221</v>
      </c>
      <c r="B35" s="553"/>
      <c r="C35" s="553"/>
      <c r="D35" s="554">
        <v>0</v>
      </c>
      <c r="E35" s="560">
        <f>E18/E29</f>
        <v>400</v>
      </c>
      <c r="F35" s="560">
        <f t="shared" ref="F35:X35" si="3">F18/F29</f>
        <v>466.66666666666669</v>
      </c>
      <c r="G35" s="560">
        <f t="shared" si="3"/>
        <v>533.33333333333337</v>
      </c>
      <c r="H35" s="560">
        <f t="shared" si="3"/>
        <v>533.33333333333337</v>
      </c>
      <c r="I35" s="560">
        <f t="shared" si="3"/>
        <v>533.33333333333337</v>
      </c>
      <c r="J35" s="560">
        <f t="shared" si="3"/>
        <v>533.33333333333337</v>
      </c>
      <c r="K35" s="560">
        <f t="shared" si="3"/>
        <v>533.33333333333337</v>
      </c>
      <c r="L35" s="560">
        <f t="shared" si="3"/>
        <v>533.33333333333337</v>
      </c>
      <c r="M35" s="560">
        <f t="shared" si="3"/>
        <v>533.33333333333337</v>
      </c>
      <c r="N35" s="560">
        <f t="shared" si="3"/>
        <v>533.33333333333337</v>
      </c>
      <c r="O35" s="560">
        <f t="shared" si="3"/>
        <v>533.33333333333337</v>
      </c>
      <c r="P35" s="560">
        <f t="shared" si="3"/>
        <v>533.33333333333337</v>
      </c>
      <c r="Q35" s="560">
        <f t="shared" si="3"/>
        <v>533.33333333333337</v>
      </c>
      <c r="R35" s="560">
        <f t="shared" si="3"/>
        <v>533.33333333333337</v>
      </c>
      <c r="S35" s="560">
        <f t="shared" si="3"/>
        <v>533.33333333333337</v>
      </c>
      <c r="T35" s="560">
        <f t="shared" si="3"/>
        <v>533.33333333333337</v>
      </c>
      <c r="U35" s="560">
        <f t="shared" si="3"/>
        <v>533.33333333333337</v>
      </c>
      <c r="V35" s="560">
        <f t="shared" si="3"/>
        <v>533.33333333333337</v>
      </c>
      <c r="W35" s="560">
        <f t="shared" si="3"/>
        <v>533.33333333333337</v>
      </c>
      <c r="X35" s="560">
        <f t="shared" si="3"/>
        <v>533.33333333333337</v>
      </c>
    </row>
    <row r="36" spans="1:25" s="341" customFormat="1">
      <c r="A36" s="552" t="s">
        <v>222</v>
      </c>
      <c r="B36" s="553"/>
      <c r="C36" s="553"/>
      <c r="D36" s="554">
        <v>0</v>
      </c>
      <c r="E36" s="560">
        <v>800</v>
      </c>
      <c r="F36" s="560">
        <v>800</v>
      </c>
      <c r="G36" s="560">
        <v>800</v>
      </c>
      <c r="H36" s="560">
        <v>800</v>
      </c>
      <c r="I36" s="560">
        <v>800</v>
      </c>
      <c r="J36" s="560">
        <v>800</v>
      </c>
      <c r="K36" s="560">
        <v>800</v>
      </c>
      <c r="L36" s="560">
        <v>800</v>
      </c>
      <c r="M36" s="560">
        <v>800</v>
      </c>
      <c r="N36" s="560">
        <v>800</v>
      </c>
      <c r="O36" s="560">
        <v>800</v>
      </c>
      <c r="P36" s="560">
        <v>800</v>
      </c>
      <c r="Q36" s="560">
        <v>800</v>
      </c>
      <c r="R36" s="560">
        <v>800</v>
      </c>
      <c r="S36" s="560">
        <v>800</v>
      </c>
      <c r="T36" s="560">
        <v>800</v>
      </c>
      <c r="U36" s="560">
        <v>800</v>
      </c>
      <c r="V36" s="560">
        <v>800</v>
      </c>
      <c r="W36" s="560">
        <v>800</v>
      </c>
      <c r="X36" s="560">
        <v>800</v>
      </c>
    </row>
    <row r="37" spans="1:25" s="341" customFormat="1">
      <c r="A37" s="552" t="s">
        <v>208</v>
      </c>
      <c r="B37" s="553"/>
      <c r="C37" s="553"/>
      <c r="D37" s="554">
        <v>0</v>
      </c>
      <c r="E37" s="560">
        <f>SUM(E34,E36)</f>
        <v>800</v>
      </c>
      <c r="F37" s="560">
        <f t="shared" ref="F37:X37" si="4">SUM(F34,F36)</f>
        <v>6300</v>
      </c>
      <c r="G37" s="560">
        <f t="shared" si="4"/>
        <v>6300</v>
      </c>
      <c r="H37" s="560">
        <f t="shared" si="4"/>
        <v>6300</v>
      </c>
      <c r="I37" s="560">
        <f t="shared" si="4"/>
        <v>6300</v>
      </c>
      <c r="J37" s="560">
        <f t="shared" si="4"/>
        <v>6300</v>
      </c>
      <c r="K37" s="560">
        <f t="shared" si="4"/>
        <v>6300</v>
      </c>
      <c r="L37" s="560">
        <f t="shared" si="4"/>
        <v>6300</v>
      </c>
      <c r="M37" s="560">
        <f t="shared" si="4"/>
        <v>6300</v>
      </c>
      <c r="N37" s="560">
        <f t="shared" si="4"/>
        <v>6300</v>
      </c>
      <c r="O37" s="560">
        <f t="shared" si="4"/>
        <v>6300</v>
      </c>
      <c r="P37" s="560">
        <f t="shared" si="4"/>
        <v>6300</v>
      </c>
      <c r="Q37" s="560">
        <f t="shared" si="4"/>
        <v>6300</v>
      </c>
      <c r="R37" s="560">
        <f t="shared" si="4"/>
        <v>6300</v>
      </c>
      <c r="S37" s="560">
        <f t="shared" si="4"/>
        <v>6300</v>
      </c>
      <c r="T37" s="560">
        <f t="shared" si="4"/>
        <v>6300</v>
      </c>
      <c r="U37" s="560">
        <f t="shared" si="4"/>
        <v>6300</v>
      </c>
      <c r="V37" s="560">
        <f t="shared" si="4"/>
        <v>6300</v>
      </c>
      <c r="W37" s="560">
        <f t="shared" si="4"/>
        <v>6300</v>
      </c>
      <c r="X37" s="560">
        <f t="shared" si="4"/>
        <v>6300</v>
      </c>
    </row>
    <row r="38" spans="1:25">
      <c r="A38" s="54"/>
      <c r="B38" s="21"/>
      <c r="C38" s="21"/>
      <c r="D38" s="486"/>
      <c r="E38" s="330"/>
      <c r="F38" s="330"/>
      <c r="G38" s="330"/>
      <c r="H38" s="330"/>
      <c r="I38" s="330"/>
      <c r="J38" s="330"/>
      <c r="K38" s="330"/>
      <c r="L38" s="330"/>
      <c r="M38" s="330"/>
      <c r="N38" s="330"/>
      <c r="O38" s="330"/>
      <c r="P38" s="330"/>
      <c r="Q38" s="330"/>
      <c r="R38" s="330"/>
      <c r="S38" s="330"/>
      <c r="T38" s="330"/>
      <c r="U38" s="330"/>
      <c r="V38" s="330"/>
      <c r="W38" s="330"/>
      <c r="X38" s="330"/>
    </row>
    <row r="39" spans="1:25" s="341" customFormat="1">
      <c r="A39" s="552" t="s">
        <v>223</v>
      </c>
      <c r="B39" s="557"/>
      <c r="C39" s="557"/>
      <c r="D39" s="554">
        <v>0</v>
      </c>
      <c r="E39" s="555">
        <f>(E19+E20)/E29</f>
        <v>160.26666666666668</v>
      </c>
      <c r="F39" s="555">
        <f t="shared" ref="F39:X39" si="5">(F19+F20)/F29</f>
        <v>187</v>
      </c>
      <c r="G39" s="555">
        <f t="shared" si="5"/>
        <v>213.73333333333332</v>
      </c>
      <c r="H39" s="555">
        <f t="shared" si="5"/>
        <v>213.73333333333332</v>
      </c>
      <c r="I39" s="555">
        <f t="shared" si="5"/>
        <v>213.73333333333332</v>
      </c>
      <c r="J39" s="555">
        <f t="shared" si="5"/>
        <v>213.73333333333332</v>
      </c>
      <c r="K39" s="555">
        <f t="shared" si="5"/>
        <v>213.73333333333332</v>
      </c>
      <c r="L39" s="555">
        <f t="shared" si="5"/>
        <v>213.73333333333332</v>
      </c>
      <c r="M39" s="555">
        <f t="shared" si="5"/>
        <v>213.73333333333332</v>
      </c>
      <c r="N39" s="555">
        <f t="shared" si="5"/>
        <v>213.73333333333332</v>
      </c>
      <c r="O39" s="555">
        <f t="shared" si="5"/>
        <v>213.73333333333332</v>
      </c>
      <c r="P39" s="555">
        <f t="shared" si="5"/>
        <v>213.73333333333332</v>
      </c>
      <c r="Q39" s="555">
        <f t="shared" si="5"/>
        <v>213.73333333333332</v>
      </c>
      <c r="R39" s="555">
        <f t="shared" si="5"/>
        <v>213.73333333333332</v>
      </c>
      <c r="S39" s="555">
        <f t="shared" si="5"/>
        <v>213.73333333333332</v>
      </c>
      <c r="T39" s="555">
        <f t="shared" si="5"/>
        <v>213.73333333333332</v>
      </c>
      <c r="U39" s="555">
        <f t="shared" si="5"/>
        <v>213.73333333333332</v>
      </c>
      <c r="V39" s="555">
        <f t="shared" si="5"/>
        <v>213.73333333333332</v>
      </c>
      <c r="W39" s="555">
        <f t="shared" si="5"/>
        <v>213.73333333333332</v>
      </c>
      <c r="X39" s="555">
        <f t="shared" si="5"/>
        <v>213.73333333333332</v>
      </c>
    </row>
    <row r="40" spans="1:25">
      <c r="A40" s="54"/>
      <c r="B40" s="74"/>
      <c r="C40" s="74"/>
      <c r="D40" s="492"/>
      <c r="E40" s="308"/>
      <c r="F40" s="308"/>
      <c r="G40" s="308"/>
      <c r="H40" s="308"/>
      <c r="I40" s="308"/>
      <c r="J40" s="308"/>
      <c r="K40" s="308"/>
      <c r="L40" s="308"/>
      <c r="M40" s="308"/>
      <c r="N40" s="308"/>
      <c r="O40" s="308"/>
      <c r="P40" s="308"/>
      <c r="Q40" s="308"/>
      <c r="R40" s="308"/>
      <c r="S40" s="308"/>
      <c r="T40" s="308"/>
      <c r="U40" s="308"/>
      <c r="V40" s="308"/>
      <c r="W40" s="308"/>
      <c r="X40" s="308"/>
    </row>
    <row r="41" spans="1:25">
      <c r="A41" s="293" t="s">
        <v>26</v>
      </c>
      <c r="B41" s="74"/>
      <c r="C41" s="74"/>
      <c r="D41" s="492"/>
      <c r="E41" s="308"/>
      <c r="F41" s="308"/>
      <c r="G41" s="308"/>
      <c r="H41" s="308"/>
      <c r="I41" s="308"/>
      <c r="J41" s="308"/>
      <c r="K41" s="308"/>
      <c r="L41" s="308"/>
      <c r="M41" s="308"/>
      <c r="N41" s="308"/>
      <c r="O41" s="308"/>
      <c r="P41" s="308"/>
      <c r="Q41" s="308"/>
      <c r="R41" s="308"/>
      <c r="S41" s="308"/>
      <c r="T41" s="308"/>
      <c r="U41" s="308"/>
      <c r="V41" s="308"/>
      <c r="W41" s="308"/>
      <c r="X41" s="308"/>
    </row>
    <row r="42" spans="1:25">
      <c r="A42" s="54" t="s">
        <v>264</v>
      </c>
      <c r="B42" s="277"/>
      <c r="C42" s="74"/>
      <c r="D42" s="486">
        <v>0</v>
      </c>
      <c r="E42" s="313">
        <f>'Parking Projections'!C68/2</f>
        <v>1832.2239583333337</v>
      </c>
      <c r="F42" s="313">
        <f>'Parking Projections'!D68</f>
        <v>3664.4479166666674</v>
      </c>
      <c r="G42" s="313">
        <f>'Parking Projections'!E68</f>
        <v>3664.4479166666674</v>
      </c>
      <c r="H42" s="313">
        <f>'Parking Projections'!F68</f>
        <v>3664.4479166666674</v>
      </c>
      <c r="I42" s="313">
        <f>'Parking Projections'!G68</f>
        <v>3664.4479166666674</v>
      </c>
      <c r="J42" s="313">
        <f>'Parking Projections'!H68</f>
        <v>3664.4479166666674</v>
      </c>
      <c r="K42" s="313">
        <f>'Parking Projections'!I68</f>
        <v>3664.4479166666674</v>
      </c>
      <c r="L42" s="313">
        <f>'Parking Projections'!J68</f>
        <v>3664.4479166666674</v>
      </c>
      <c r="M42" s="313">
        <f>'Parking Projections'!K68</f>
        <v>3664.4479166666674</v>
      </c>
      <c r="N42" s="313">
        <f>'Parking Projections'!L68</f>
        <v>3664.4479166666674</v>
      </c>
      <c r="O42" s="313">
        <f>'Parking Projections'!M68</f>
        <v>3664.4479166666674</v>
      </c>
      <c r="P42" s="313">
        <f>'Parking Projections'!N68</f>
        <v>3664.4479166666674</v>
      </c>
      <c r="Q42" s="313">
        <f>'Parking Projections'!O68</f>
        <v>3664.4479166666674</v>
      </c>
      <c r="R42" s="313">
        <f>'Parking Projections'!P68</f>
        <v>3664.4479166666674</v>
      </c>
      <c r="S42" s="313">
        <f>'Parking Projections'!Q68</f>
        <v>3664.4479166666674</v>
      </c>
      <c r="T42" s="313">
        <f>'Parking Projections'!R68</f>
        <v>3664.4479166666674</v>
      </c>
      <c r="U42" s="313">
        <f>'Parking Projections'!S68</f>
        <v>3664.4479166666674</v>
      </c>
      <c r="V42" s="313">
        <f>'Parking Projections'!T68</f>
        <v>3664.4479166666674</v>
      </c>
      <c r="W42" s="313">
        <f>'Parking Projections'!U68</f>
        <v>3664.4479166666674</v>
      </c>
      <c r="X42" s="313">
        <f>'Parking Projections'!V68</f>
        <v>3664.4479166666674</v>
      </c>
      <c r="Y42" s="313"/>
    </row>
    <row r="43" spans="1:25">
      <c r="A43" s="54" t="s">
        <v>267</v>
      </c>
      <c r="B43" s="277"/>
      <c r="C43" s="74"/>
      <c r="D43" s="486">
        <v>0</v>
      </c>
      <c r="E43" s="313">
        <f>'Parking Projections'!C72/2</f>
        <v>13371.166666666662</v>
      </c>
      <c r="F43" s="313">
        <f>'Parking Projections'!D72</f>
        <v>26742.333333333325</v>
      </c>
      <c r="G43" s="313">
        <f>'Parking Projections'!E72</f>
        <v>26742.333333333325</v>
      </c>
      <c r="H43" s="313">
        <f>'Parking Projections'!F72</f>
        <v>26742.333333333325</v>
      </c>
      <c r="I43" s="313">
        <f>'Parking Projections'!G72</f>
        <v>26742.333333333325</v>
      </c>
      <c r="J43" s="313">
        <f>'Parking Projections'!H72</f>
        <v>26742.333333333325</v>
      </c>
      <c r="K43" s="313">
        <f>'Parking Projections'!I72</f>
        <v>26742.333333333325</v>
      </c>
      <c r="L43" s="313">
        <f>'Parking Projections'!J72</f>
        <v>26742.333333333325</v>
      </c>
      <c r="M43" s="313">
        <f>'Parking Projections'!K72</f>
        <v>26742.333333333325</v>
      </c>
      <c r="N43" s="313">
        <f>'Parking Projections'!L72</f>
        <v>26742.333333333325</v>
      </c>
      <c r="O43" s="313">
        <f>'Parking Projections'!M72</f>
        <v>26742.333333333325</v>
      </c>
      <c r="P43" s="313">
        <f>'Parking Projections'!N72</f>
        <v>26742.333333333325</v>
      </c>
      <c r="Q43" s="313">
        <f>'Parking Projections'!O72</f>
        <v>26742.333333333325</v>
      </c>
      <c r="R43" s="313">
        <f>'Parking Projections'!P72</f>
        <v>26742.333333333325</v>
      </c>
      <c r="S43" s="313">
        <f>'Parking Projections'!Q72</f>
        <v>26742.333333333325</v>
      </c>
      <c r="T43" s="313">
        <f>'Parking Projections'!R72</f>
        <v>26742.333333333325</v>
      </c>
      <c r="U43" s="313">
        <f>'Parking Projections'!S72</f>
        <v>26742.333333333325</v>
      </c>
      <c r="V43" s="313">
        <f>'Parking Projections'!T72</f>
        <v>26742.333333333325</v>
      </c>
      <c r="W43" s="313">
        <f>'Parking Projections'!U72</f>
        <v>26742.333333333325</v>
      </c>
      <c r="X43" s="313">
        <f>'Parking Projections'!V72</f>
        <v>26742.333333333325</v>
      </c>
      <c r="Y43" s="313"/>
    </row>
    <row r="44" spans="1:25" s="96" customFormat="1">
      <c r="A44" s="54" t="s">
        <v>274</v>
      </c>
      <c r="B44" s="435"/>
      <c r="C44" s="583"/>
      <c r="D44" s="486">
        <v>0</v>
      </c>
      <c r="E44" s="313">
        <f>SUM(E42:E43)</f>
        <v>15203.390624999996</v>
      </c>
      <c r="F44" s="313">
        <f>SUM(F42:F43)</f>
        <v>30406.781249999993</v>
      </c>
      <c r="G44" s="313">
        <f t="shared" ref="G44:X44" si="6">SUM(G42:G43)</f>
        <v>30406.781249999993</v>
      </c>
      <c r="H44" s="313">
        <f t="shared" si="6"/>
        <v>30406.781249999993</v>
      </c>
      <c r="I44" s="313">
        <f t="shared" si="6"/>
        <v>30406.781249999993</v>
      </c>
      <c r="J44" s="313">
        <f t="shared" si="6"/>
        <v>30406.781249999993</v>
      </c>
      <c r="K44" s="313">
        <f t="shared" si="6"/>
        <v>30406.781249999993</v>
      </c>
      <c r="L44" s="313">
        <f t="shared" si="6"/>
        <v>30406.781249999993</v>
      </c>
      <c r="M44" s="313">
        <f t="shared" si="6"/>
        <v>30406.781249999993</v>
      </c>
      <c r="N44" s="313">
        <f t="shared" si="6"/>
        <v>30406.781249999993</v>
      </c>
      <c r="O44" s="313">
        <f t="shared" si="6"/>
        <v>30406.781249999993</v>
      </c>
      <c r="P44" s="313">
        <f t="shared" si="6"/>
        <v>30406.781249999993</v>
      </c>
      <c r="Q44" s="313">
        <f t="shared" si="6"/>
        <v>30406.781249999993</v>
      </c>
      <c r="R44" s="313">
        <f t="shared" si="6"/>
        <v>30406.781249999993</v>
      </c>
      <c r="S44" s="313">
        <f t="shared" si="6"/>
        <v>30406.781249999993</v>
      </c>
      <c r="T44" s="313">
        <f t="shared" si="6"/>
        <v>30406.781249999993</v>
      </c>
      <c r="U44" s="313">
        <f t="shared" si="6"/>
        <v>30406.781249999993</v>
      </c>
      <c r="V44" s="313">
        <f t="shared" si="6"/>
        <v>30406.781249999993</v>
      </c>
      <c r="W44" s="313">
        <f t="shared" si="6"/>
        <v>30406.781249999993</v>
      </c>
      <c r="X44" s="313">
        <f t="shared" si="6"/>
        <v>30406.781249999993</v>
      </c>
      <c r="Y44" s="313"/>
    </row>
    <row r="45" spans="1:25">
      <c r="A45" s="54"/>
      <c r="B45" s="277"/>
      <c r="C45" s="74"/>
      <c r="D45" s="499"/>
      <c r="E45" s="308"/>
      <c r="F45" s="308"/>
      <c r="G45" s="308"/>
      <c r="H45" s="308"/>
      <c r="I45" s="308"/>
      <c r="J45" s="308"/>
      <c r="K45" s="308"/>
      <c r="L45" s="308"/>
      <c r="M45" s="308"/>
      <c r="N45" s="308"/>
      <c r="O45" s="308"/>
      <c r="P45" s="308"/>
      <c r="Q45" s="308"/>
      <c r="R45" s="308"/>
      <c r="S45" s="308"/>
      <c r="T45" s="308"/>
      <c r="U45" s="308"/>
      <c r="V45" s="308"/>
      <c r="W45" s="308"/>
      <c r="X45" s="308"/>
    </row>
    <row r="46" spans="1:25" s="341" customFormat="1">
      <c r="A46" s="552" t="s">
        <v>224</v>
      </c>
      <c r="B46" s="556"/>
      <c r="C46" s="557"/>
      <c r="D46" s="554">
        <v>0</v>
      </c>
      <c r="E46" s="558">
        <v>3</v>
      </c>
      <c r="F46" s="558">
        <v>3</v>
      </c>
      <c r="G46" s="558">
        <v>3</v>
      </c>
      <c r="H46" s="558">
        <v>3</v>
      </c>
      <c r="I46" s="558">
        <v>3</v>
      </c>
      <c r="J46" s="558">
        <v>3</v>
      </c>
      <c r="K46" s="558">
        <v>3</v>
      </c>
      <c r="L46" s="558">
        <v>3</v>
      </c>
      <c r="M46" s="558">
        <v>3</v>
      </c>
      <c r="N46" s="558">
        <v>3</v>
      </c>
      <c r="O46" s="558">
        <v>3</v>
      </c>
      <c r="P46" s="558">
        <v>3</v>
      </c>
      <c r="Q46" s="558">
        <v>3</v>
      </c>
      <c r="R46" s="558">
        <v>3</v>
      </c>
      <c r="S46" s="558">
        <v>3</v>
      </c>
      <c r="T46" s="558">
        <v>3</v>
      </c>
      <c r="U46" s="558">
        <v>3</v>
      </c>
      <c r="V46" s="558">
        <v>3</v>
      </c>
      <c r="W46" s="558">
        <v>3</v>
      </c>
      <c r="X46" s="558">
        <v>3</v>
      </c>
    </row>
    <row r="47" spans="1:25" s="96" customFormat="1">
      <c r="A47" s="54" t="s">
        <v>225</v>
      </c>
      <c r="B47" s="435"/>
      <c r="C47" s="583"/>
      <c r="D47" s="486">
        <v>0</v>
      </c>
      <c r="E47" s="496">
        <v>1</v>
      </c>
      <c r="F47" s="496">
        <v>1</v>
      </c>
      <c r="G47" s="496">
        <v>1</v>
      </c>
      <c r="H47" s="496">
        <v>1</v>
      </c>
      <c r="I47" s="496">
        <v>1</v>
      </c>
      <c r="J47" s="496">
        <v>1</v>
      </c>
      <c r="K47" s="496">
        <v>1</v>
      </c>
      <c r="L47" s="496">
        <v>1</v>
      </c>
      <c r="M47" s="496">
        <v>1</v>
      </c>
      <c r="N47" s="496">
        <v>1</v>
      </c>
      <c r="O47" s="496">
        <v>1</v>
      </c>
      <c r="P47" s="496">
        <v>1</v>
      </c>
      <c r="Q47" s="496">
        <v>1</v>
      </c>
      <c r="R47" s="496">
        <v>1</v>
      </c>
      <c r="S47" s="496">
        <v>1</v>
      </c>
      <c r="T47" s="496">
        <v>1</v>
      </c>
      <c r="U47" s="496">
        <v>1</v>
      </c>
      <c r="V47" s="496">
        <v>1</v>
      </c>
      <c r="W47" s="496">
        <v>1</v>
      </c>
      <c r="X47" s="496">
        <v>1</v>
      </c>
    </row>
    <row r="48" spans="1:25">
      <c r="A48" s="54" t="s">
        <v>209</v>
      </c>
      <c r="B48" s="277"/>
      <c r="C48" s="74"/>
      <c r="D48" s="486">
        <v>0</v>
      </c>
      <c r="E48" s="496">
        <v>0.5</v>
      </c>
      <c r="F48" s="496">
        <v>0.5</v>
      </c>
      <c r="G48" s="496">
        <v>0.5</v>
      </c>
      <c r="H48" s="496">
        <v>0.5</v>
      </c>
      <c r="I48" s="496">
        <v>0.5</v>
      </c>
      <c r="J48" s="496">
        <v>0.5</v>
      </c>
      <c r="K48" s="496">
        <v>0.5</v>
      </c>
      <c r="L48" s="496">
        <v>0.5</v>
      </c>
      <c r="M48" s="496">
        <v>0.5</v>
      </c>
      <c r="N48" s="496">
        <v>0.5</v>
      </c>
      <c r="O48" s="496">
        <v>0.5</v>
      </c>
      <c r="P48" s="496">
        <v>0.5</v>
      </c>
      <c r="Q48" s="496">
        <v>0.5</v>
      </c>
      <c r="R48" s="496">
        <v>0.5</v>
      </c>
      <c r="S48" s="496">
        <v>0.5</v>
      </c>
      <c r="T48" s="496">
        <v>0.5</v>
      </c>
      <c r="U48" s="496">
        <v>0.5</v>
      </c>
      <c r="V48" s="496">
        <v>0.5</v>
      </c>
      <c r="W48" s="496">
        <v>0.5</v>
      </c>
      <c r="X48" s="496">
        <v>0.5</v>
      </c>
    </row>
    <row r="49" spans="1:25 16384:16384">
      <c r="A49" s="54" t="s">
        <v>289</v>
      </c>
      <c r="B49" s="277"/>
      <c r="C49" s="74"/>
      <c r="D49" s="486">
        <v>0</v>
      </c>
      <c r="E49" s="496">
        <f>SUM(E47:E48)/2</f>
        <v>0.75</v>
      </c>
      <c r="F49" s="496">
        <f t="shared" ref="F49:X49" si="7">SUM(F47:F48)/2</f>
        <v>0.75</v>
      </c>
      <c r="G49" s="496">
        <f t="shared" si="7"/>
        <v>0.75</v>
      </c>
      <c r="H49" s="496">
        <f t="shared" si="7"/>
        <v>0.75</v>
      </c>
      <c r="I49" s="496">
        <f t="shared" si="7"/>
        <v>0.75</v>
      </c>
      <c r="J49" s="496">
        <f t="shared" si="7"/>
        <v>0.75</v>
      </c>
      <c r="K49" s="496">
        <f t="shared" si="7"/>
        <v>0.75</v>
      </c>
      <c r="L49" s="496">
        <f t="shared" si="7"/>
        <v>0.75</v>
      </c>
      <c r="M49" s="496">
        <f t="shared" si="7"/>
        <v>0.75</v>
      </c>
      <c r="N49" s="496">
        <f t="shared" si="7"/>
        <v>0.75</v>
      </c>
      <c r="O49" s="496">
        <f t="shared" si="7"/>
        <v>0.75</v>
      </c>
      <c r="P49" s="496">
        <f t="shared" si="7"/>
        <v>0.75</v>
      </c>
      <c r="Q49" s="496">
        <f t="shared" si="7"/>
        <v>0.75</v>
      </c>
      <c r="R49" s="496">
        <f t="shared" si="7"/>
        <v>0.75</v>
      </c>
      <c r="S49" s="496">
        <f t="shared" si="7"/>
        <v>0.75</v>
      </c>
      <c r="T49" s="496">
        <f t="shared" si="7"/>
        <v>0.75</v>
      </c>
      <c r="U49" s="496">
        <f t="shared" si="7"/>
        <v>0.75</v>
      </c>
      <c r="V49" s="496">
        <f t="shared" si="7"/>
        <v>0.75</v>
      </c>
      <c r="W49" s="496">
        <f t="shared" si="7"/>
        <v>0.75</v>
      </c>
      <c r="X49" s="496">
        <f t="shared" si="7"/>
        <v>0.75</v>
      </c>
      <c r="XFD49" s="570">
        <f>SUM(D49:XFC49)</f>
        <v>15</v>
      </c>
    </row>
    <row r="50" spans="1:25 16384:16384">
      <c r="A50" s="54"/>
      <c r="B50" s="277"/>
      <c r="C50" s="74"/>
      <c r="D50" s="486"/>
      <c r="E50" s="496"/>
      <c r="F50" s="496"/>
      <c r="G50" s="496"/>
      <c r="H50" s="496"/>
      <c r="I50" s="496"/>
      <c r="J50" s="496"/>
      <c r="K50" s="496"/>
      <c r="L50" s="496"/>
      <c r="M50" s="496"/>
      <c r="N50" s="496"/>
      <c r="O50" s="496"/>
      <c r="P50" s="496"/>
      <c r="Q50" s="496"/>
      <c r="R50" s="496"/>
      <c r="S50" s="496"/>
      <c r="T50" s="496"/>
      <c r="U50" s="496"/>
      <c r="V50" s="496"/>
      <c r="W50" s="496"/>
      <c r="X50" s="496"/>
      <c r="XFD50" s="570"/>
    </row>
    <row r="51" spans="1:25 16384:16384">
      <c r="A51" s="54" t="s">
        <v>312</v>
      </c>
      <c r="B51" s="277"/>
      <c r="C51" s="74"/>
      <c r="D51" s="486">
        <v>0</v>
      </c>
      <c r="E51" s="313">
        <f>'Shuttle Projections'!C22*0.5</f>
        <v>3595</v>
      </c>
      <c r="F51" s="313">
        <f>'Shuttle Projections'!D22</f>
        <v>7190</v>
      </c>
      <c r="G51" s="313">
        <f>'Shuttle Projections'!E22</f>
        <v>7190</v>
      </c>
      <c r="H51" s="313">
        <f>'Shuttle Projections'!F22</f>
        <v>7190</v>
      </c>
      <c r="I51" s="313">
        <f>'Shuttle Projections'!G22</f>
        <v>7190</v>
      </c>
      <c r="J51" s="313">
        <f>'Shuttle Projections'!H22</f>
        <v>7190</v>
      </c>
      <c r="K51" s="313">
        <f>'Shuttle Projections'!I22</f>
        <v>7190</v>
      </c>
      <c r="L51" s="313">
        <f>'Shuttle Projections'!J22</f>
        <v>7190</v>
      </c>
      <c r="M51" s="313">
        <f>'Shuttle Projections'!K22</f>
        <v>7190</v>
      </c>
      <c r="N51" s="313">
        <f>'Shuttle Projections'!L22</f>
        <v>7190</v>
      </c>
      <c r="O51" s="313">
        <f>'Shuttle Projections'!M22</f>
        <v>7190</v>
      </c>
      <c r="P51" s="313">
        <f>'Shuttle Projections'!N22</f>
        <v>7190</v>
      </c>
      <c r="Q51" s="313">
        <f>'Shuttle Projections'!O22</f>
        <v>7190</v>
      </c>
      <c r="R51" s="313">
        <f>'Shuttle Projections'!P22</f>
        <v>7190</v>
      </c>
      <c r="S51" s="313">
        <f>'Shuttle Projections'!Q22</f>
        <v>7190</v>
      </c>
      <c r="T51" s="313">
        <f>'Shuttle Projections'!R22</f>
        <v>7190</v>
      </c>
      <c r="U51" s="313">
        <f>'Shuttle Projections'!S22</f>
        <v>7190</v>
      </c>
      <c r="V51" s="313">
        <f>'Shuttle Projections'!T22</f>
        <v>7190</v>
      </c>
      <c r="W51" s="313">
        <f>'Shuttle Projections'!U22</f>
        <v>7190</v>
      </c>
      <c r="X51" s="313">
        <f>'Shuttle Projections'!V22</f>
        <v>7190</v>
      </c>
      <c r="XFD51" s="570"/>
    </row>
    <row r="52" spans="1:25 16384:16384">
      <c r="A52" s="54"/>
      <c r="B52" s="277"/>
      <c r="C52" s="74"/>
      <c r="D52" s="486"/>
      <c r="E52" s="308"/>
      <c r="F52" s="308"/>
      <c r="G52" s="308"/>
      <c r="H52" s="308"/>
      <c r="I52" s="308"/>
      <c r="J52" s="308"/>
      <c r="K52" s="308"/>
      <c r="L52" s="308"/>
      <c r="M52" s="308"/>
      <c r="N52" s="308"/>
      <c r="O52" s="308"/>
      <c r="P52" s="308"/>
      <c r="Q52" s="308"/>
      <c r="R52" s="308"/>
      <c r="S52" s="308"/>
      <c r="T52" s="308"/>
      <c r="U52" s="308"/>
      <c r="V52" s="308"/>
      <c r="W52" s="308"/>
      <c r="X52" s="308"/>
    </row>
    <row r="53" spans="1:25 16384:16384" s="612" customFormat="1">
      <c r="A53" s="613" t="s">
        <v>292</v>
      </c>
      <c r="B53" s="614"/>
      <c r="C53" s="615"/>
      <c r="D53" s="616">
        <v>0</v>
      </c>
      <c r="E53" s="617">
        <v>0</v>
      </c>
      <c r="F53" s="617">
        <v>0</v>
      </c>
      <c r="G53" s="617">
        <v>100000</v>
      </c>
      <c r="H53" s="617">
        <v>100000</v>
      </c>
      <c r="I53" s="617">
        <v>100000</v>
      </c>
      <c r="J53" s="617">
        <v>100000</v>
      </c>
      <c r="K53" s="617">
        <v>100000</v>
      </c>
      <c r="L53" s="617">
        <v>100000</v>
      </c>
      <c r="M53" s="617">
        <v>100000</v>
      </c>
      <c r="N53" s="617">
        <v>100000</v>
      </c>
      <c r="O53" s="617">
        <v>100000</v>
      </c>
      <c r="P53" s="617">
        <v>100000</v>
      </c>
      <c r="Q53" s="617">
        <v>100000</v>
      </c>
      <c r="R53" s="617">
        <v>100000</v>
      </c>
      <c r="S53" s="617">
        <v>100000</v>
      </c>
      <c r="T53" s="617">
        <v>100000</v>
      </c>
      <c r="U53" s="617">
        <v>100000</v>
      </c>
      <c r="V53" s="617">
        <v>100000</v>
      </c>
      <c r="W53" s="617">
        <v>100000</v>
      </c>
      <c r="X53" s="618">
        <v>100000</v>
      </c>
    </row>
    <row r="54" spans="1:25 16384:16384">
      <c r="A54" s="54"/>
      <c r="B54" s="277"/>
      <c r="C54" s="74"/>
      <c r="D54" s="486"/>
      <c r="E54" s="308"/>
      <c r="F54" s="308"/>
      <c r="G54" s="308"/>
      <c r="H54" s="308"/>
      <c r="I54" s="308"/>
      <c r="J54" s="308"/>
      <c r="K54" s="308"/>
      <c r="L54" s="308"/>
      <c r="M54" s="308"/>
      <c r="N54" s="308"/>
      <c r="O54" s="308"/>
      <c r="P54" s="308"/>
      <c r="Q54" s="308"/>
      <c r="R54" s="308"/>
      <c r="S54" s="308"/>
      <c r="T54" s="308"/>
      <c r="U54" s="308"/>
      <c r="V54" s="308"/>
      <c r="W54" s="308"/>
      <c r="X54" s="308"/>
    </row>
    <row r="55" spans="1:25 16384:16384" s="582" customFormat="1">
      <c r="A55" s="293" t="str">
        <f>'BH Tariffs'!A33</f>
        <v>Recreational/Commercial Marina</v>
      </c>
      <c r="B55" s="584"/>
      <c r="C55" s="585"/>
      <c r="D55" s="486"/>
      <c r="E55" s="586"/>
      <c r="F55" s="586"/>
      <c r="G55" s="586"/>
      <c r="H55" s="586"/>
      <c r="I55" s="586"/>
      <c r="J55" s="586"/>
      <c r="K55" s="586"/>
      <c r="L55" s="586"/>
      <c r="M55" s="586"/>
      <c r="N55" s="586"/>
      <c r="O55" s="586"/>
      <c r="P55" s="586"/>
      <c r="Q55" s="586"/>
      <c r="R55" s="586"/>
      <c r="S55" s="586"/>
      <c r="T55" s="586"/>
      <c r="U55" s="586"/>
      <c r="V55" s="586"/>
      <c r="W55" s="586"/>
      <c r="X55" s="586"/>
    </row>
    <row r="56" spans="1:25 16384:16384" s="96" customFormat="1">
      <c r="A56" s="54" t="s">
        <v>291</v>
      </c>
      <c r="B56" s="435"/>
      <c r="C56" s="583"/>
      <c r="D56" s="486">
        <v>0</v>
      </c>
      <c r="E56" s="313">
        <v>0</v>
      </c>
      <c r="F56" s="313">
        <f>'Marina Projections'!D85</f>
        <v>42</v>
      </c>
      <c r="G56" s="313">
        <f>'Marina Projections'!E85</f>
        <v>42</v>
      </c>
      <c r="H56" s="313">
        <f>'Marina Projections'!F85</f>
        <v>42</v>
      </c>
      <c r="I56" s="313">
        <f>'Marina Projections'!G85</f>
        <v>42</v>
      </c>
      <c r="J56" s="313">
        <f>'Marina Projections'!H85</f>
        <v>42</v>
      </c>
      <c r="K56" s="313">
        <f>'Marina Projections'!I85</f>
        <v>42</v>
      </c>
      <c r="L56" s="313">
        <f>'Marina Projections'!J85</f>
        <v>42</v>
      </c>
      <c r="M56" s="313">
        <f>'Marina Projections'!K85</f>
        <v>42</v>
      </c>
      <c r="N56" s="313">
        <f>'Marina Projections'!L85</f>
        <v>42</v>
      </c>
      <c r="O56" s="313">
        <f>'Marina Projections'!M85</f>
        <v>42</v>
      </c>
      <c r="P56" s="313">
        <f>'Marina Projections'!N85</f>
        <v>42</v>
      </c>
      <c r="Q56" s="313">
        <f>'Marina Projections'!O85</f>
        <v>42</v>
      </c>
      <c r="R56" s="313">
        <f>'Marina Projections'!P85</f>
        <v>42</v>
      </c>
      <c r="S56" s="313">
        <f>'Marina Projections'!Q85</f>
        <v>42</v>
      </c>
      <c r="T56" s="313">
        <f>'Marina Projections'!R85</f>
        <v>42</v>
      </c>
      <c r="U56" s="313">
        <f>'Marina Projections'!S85</f>
        <v>42</v>
      </c>
      <c r="V56" s="313">
        <f>'Marina Projections'!T85</f>
        <v>42</v>
      </c>
      <c r="W56" s="313">
        <f>'Marina Projections'!U85</f>
        <v>42</v>
      </c>
      <c r="X56" s="313">
        <f>'Marina Projections'!V85</f>
        <v>42</v>
      </c>
    </row>
    <row r="57" spans="1:25 16384:16384" s="96" customFormat="1">
      <c r="A57" s="54" t="s">
        <v>293</v>
      </c>
      <c r="B57" s="435"/>
      <c r="C57" s="583"/>
      <c r="D57" s="486">
        <v>0</v>
      </c>
      <c r="E57" s="313">
        <v>0</v>
      </c>
      <c r="F57" s="313">
        <f>'Marina Projections'!D92</f>
        <v>39290.600625000006</v>
      </c>
      <c r="G57" s="313">
        <f>'Marina Projections'!E92</f>
        <v>39290.600625000006</v>
      </c>
      <c r="H57" s="313">
        <f>'Marina Projections'!F92</f>
        <v>39290.600625000006</v>
      </c>
      <c r="I57" s="313">
        <f>'Marina Projections'!G92</f>
        <v>39290.600625000006</v>
      </c>
      <c r="J57" s="313">
        <f>'Marina Projections'!H92</f>
        <v>39290.600625000006</v>
      </c>
      <c r="K57" s="313">
        <f>'Marina Projections'!I92</f>
        <v>39290.600625000006</v>
      </c>
      <c r="L57" s="313">
        <f>'Marina Projections'!J92</f>
        <v>39290.600625000006</v>
      </c>
      <c r="M57" s="313">
        <f>'Marina Projections'!K92</f>
        <v>39290.600625000006</v>
      </c>
      <c r="N57" s="313">
        <f>'Marina Projections'!L92</f>
        <v>39290.600625000006</v>
      </c>
      <c r="O57" s="313">
        <f>'Marina Projections'!M92</f>
        <v>39290.600625000006</v>
      </c>
      <c r="P57" s="313">
        <f>'Marina Projections'!N92</f>
        <v>39290.600625000006</v>
      </c>
      <c r="Q57" s="313">
        <f>'Marina Projections'!O92</f>
        <v>39290.600625000006</v>
      </c>
      <c r="R57" s="313">
        <f>'Marina Projections'!P92</f>
        <v>39290.600625000006</v>
      </c>
      <c r="S57" s="313">
        <f>'Marina Projections'!Q92</f>
        <v>39290.600625000006</v>
      </c>
      <c r="T57" s="313">
        <f>'Marina Projections'!R92</f>
        <v>39290.600625000006</v>
      </c>
      <c r="U57" s="313">
        <f>'Marina Projections'!S92</f>
        <v>39290.600625000006</v>
      </c>
      <c r="V57" s="313">
        <f>'Marina Projections'!T92</f>
        <v>39290.600625000006</v>
      </c>
      <c r="W57" s="313">
        <f>'Marina Projections'!U92</f>
        <v>39290.600625000006</v>
      </c>
      <c r="X57" s="313">
        <f>'Marina Projections'!V92</f>
        <v>39290.600625000006</v>
      </c>
    </row>
    <row r="58" spans="1:25 16384:16384" s="96" customFormat="1">
      <c r="A58" s="54" t="s">
        <v>294</v>
      </c>
      <c r="B58" s="435"/>
      <c r="C58" s="583"/>
      <c r="D58" s="486">
        <v>0</v>
      </c>
      <c r="E58" s="313">
        <v>0</v>
      </c>
      <c r="F58" s="313">
        <f>'Marina Projections'!D88</f>
        <v>1476.3000000000002</v>
      </c>
      <c r="G58" s="313">
        <f>'Marina Projections'!E88</f>
        <v>1476.3000000000002</v>
      </c>
      <c r="H58" s="313">
        <f>'Marina Projections'!F88</f>
        <v>1476.3000000000002</v>
      </c>
      <c r="I58" s="313">
        <f>'Marina Projections'!G88</f>
        <v>1476.3000000000002</v>
      </c>
      <c r="J58" s="313">
        <f>'Marina Projections'!H88</f>
        <v>1476.3000000000002</v>
      </c>
      <c r="K58" s="313">
        <f>'Marina Projections'!I88</f>
        <v>1476.3000000000002</v>
      </c>
      <c r="L58" s="313">
        <f>'Marina Projections'!J88</f>
        <v>1476.3000000000002</v>
      </c>
      <c r="M58" s="313">
        <f>'Marina Projections'!K88</f>
        <v>1476.3000000000002</v>
      </c>
      <c r="N58" s="313">
        <f>'Marina Projections'!L88</f>
        <v>1476.3000000000002</v>
      </c>
      <c r="O58" s="313">
        <f>'Marina Projections'!M88</f>
        <v>1476.3000000000002</v>
      </c>
      <c r="P58" s="313">
        <f>'Marina Projections'!N88</f>
        <v>1476.3000000000002</v>
      </c>
      <c r="Q58" s="313">
        <f>'Marina Projections'!O88</f>
        <v>1476.3000000000002</v>
      </c>
      <c r="R58" s="313">
        <f>'Marina Projections'!P88</f>
        <v>1476.3000000000002</v>
      </c>
      <c r="S58" s="313">
        <f>'Marina Projections'!Q88</f>
        <v>1476.3000000000002</v>
      </c>
      <c r="T58" s="313">
        <f>'Marina Projections'!R88</f>
        <v>1476.3000000000002</v>
      </c>
      <c r="U58" s="313">
        <f>'Marina Projections'!S88</f>
        <v>1476.3000000000002</v>
      </c>
      <c r="V58" s="313">
        <f>'Marina Projections'!T88</f>
        <v>1476.3000000000002</v>
      </c>
      <c r="W58" s="313">
        <f>'Marina Projections'!U88</f>
        <v>1476.3000000000002</v>
      </c>
      <c r="X58" s="313">
        <f>'Marina Projections'!V88</f>
        <v>1476.3000000000002</v>
      </c>
    </row>
    <row r="59" spans="1:25 16384:16384" s="167" customFormat="1">
      <c r="A59" s="497" t="s">
        <v>170</v>
      </c>
      <c r="B59" s="450"/>
      <c r="C59" s="498"/>
      <c r="D59" s="486">
        <v>0</v>
      </c>
      <c r="E59" s="587">
        <v>0</v>
      </c>
      <c r="F59" s="587">
        <v>0</v>
      </c>
      <c r="G59" s="587">
        <v>0</v>
      </c>
      <c r="H59" s="587">
        <v>0</v>
      </c>
      <c r="I59" s="587">
        <v>0</v>
      </c>
      <c r="J59" s="587">
        <v>0</v>
      </c>
      <c r="K59" s="587">
        <v>0</v>
      </c>
      <c r="L59" s="587">
        <v>0</v>
      </c>
      <c r="M59" s="587">
        <v>0</v>
      </c>
      <c r="N59" s="587">
        <v>0</v>
      </c>
      <c r="O59" s="587">
        <v>0</v>
      </c>
      <c r="P59" s="587">
        <v>0</v>
      </c>
      <c r="Q59" s="587">
        <v>0</v>
      </c>
      <c r="R59" s="587">
        <v>0</v>
      </c>
      <c r="S59" s="587">
        <v>0</v>
      </c>
      <c r="T59" s="587">
        <v>0</v>
      </c>
      <c r="U59" s="587">
        <v>0</v>
      </c>
      <c r="V59" s="587">
        <v>0</v>
      </c>
      <c r="W59" s="587">
        <v>0</v>
      </c>
      <c r="X59" s="587">
        <v>0</v>
      </c>
      <c r="Y59" s="167" t="s">
        <v>282</v>
      </c>
    </row>
    <row r="60" spans="1:25 16384:16384" s="167" customFormat="1">
      <c r="A60" s="497" t="s">
        <v>16</v>
      </c>
      <c r="B60" s="450"/>
      <c r="C60" s="498"/>
      <c r="D60" s="499">
        <v>0</v>
      </c>
      <c r="E60" s="587">
        <v>0</v>
      </c>
      <c r="F60" s="587">
        <v>0</v>
      </c>
      <c r="G60" s="587">
        <v>0</v>
      </c>
      <c r="H60" s="587">
        <v>0</v>
      </c>
      <c r="I60" s="587">
        <v>0</v>
      </c>
      <c r="J60" s="587">
        <v>0</v>
      </c>
      <c r="K60" s="587">
        <v>0</v>
      </c>
      <c r="L60" s="587">
        <v>0</v>
      </c>
      <c r="M60" s="587">
        <v>0</v>
      </c>
      <c r="N60" s="587">
        <v>0</v>
      </c>
      <c r="O60" s="587">
        <v>0</v>
      </c>
      <c r="P60" s="587">
        <v>0</v>
      </c>
      <c r="Q60" s="587">
        <v>0</v>
      </c>
      <c r="R60" s="587">
        <v>0</v>
      </c>
      <c r="S60" s="587">
        <v>0</v>
      </c>
      <c r="T60" s="587">
        <v>0</v>
      </c>
      <c r="U60" s="587">
        <v>0</v>
      </c>
      <c r="V60" s="587">
        <v>0</v>
      </c>
      <c r="W60" s="587">
        <v>0</v>
      </c>
      <c r="X60" s="587">
        <v>0</v>
      </c>
      <c r="Y60" s="167" t="s">
        <v>282</v>
      </c>
    </row>
    <row r="61" spans="1:25 16384:16384">
      <c r="A61" s="54"/>
      <c r="B61" s="277"/>
      <c r="C61" s="74"/>
      <c r="D61" s="492"/>
      <c r="E61" s="308"/>
      <c r="F61" s="308"/>
      <c r="G61" s="308"/>
      <c r="H61" s="308"/>
      <c r="I61" s="308"/>
      <c r="J61" s="308"/>
      <c r="K61" s="308"/>
      <c r="L61" s="308"/>
      <c r="M61" s="308"/>
      <c r="N61" s="308"/>
      <c r="O61" s="308"/>
      <c r="P61" s="308"/>
      <c r="Q61" s="308"/>
      <c r="R61" s="308"/>
      <c r="S61" s="308"/>
      <c r="T61" s="308"/>
      <c r="U61" s="308"/>
      <c r="V61" s="308"/>
      <c r="W61" s="308"/>
      <c r="X61" s="308"/>
    </row>
    <row r="62" spans="1:25 16384:16384">
      <c r="A62" s="293" t="s">
        <v>2</v>
      </c>
      <c r="B62" s="277"/>
      <c r="C62" s="74"/>
      <c r="D62" s="492"/>
      <c r="E62" s="308"/>
      <c r="F62" s="308"/>
      <c r="G62" s="308"/>
      <c r="H62" s="308"/>
      <c r="I62" s="308"/>
      <c r="J62" s="308"/>
      <c r="K62" s="308"/>
      <c r="L62" s="308"/>
      <c r="M62" s="308"/>
      <c r="N62" s="308"/>
      <c r="O62" s="308"/>
      <c r="P62" s="308"/>
      <c r="Q62" s="308"/>
      <c r="R62" s="308"/>
      <c r="S62" s="308"/>
      <c r="T62" s="308"/>
      <c r="U62" s="308"/>
      <c r="V62" s="308"/>
      <c r="W62" s="308"/>
      <c r="X62" s="308"/>
    </row>
    <row r="63" spans="1:25 16384:16384" s="96" customFormat="1">
      <c r="A63" s="54" t="s">
        <v>290</v>
      </c>
      <c r="B63" s="435">
        <v>500</v>
      </c>
      <c r="C63" s="487"/>
      <c r="D63" s="486">
        <v>0</v>
      </c>
      <c r="E63" s="313">
        <v>0</v>
      </c>
      <c r="F63" s="313">
        <v>0</v>
      </c>
      <c r="G63" s="313">
        <f t="shared" ref="G63:X63" si="8">$B$63</f>
        <v>500</v>
      </c>
      <c r="H63" s="313">
        <f t="shared" si="8"/>
        <v>500</v>
      </c>
      <c r="I63" s="313">
        <f t="shared" si="8"/>
        <v>500</v>
      </c>
      <c r="J63" s="313">
        <f t="shared" si="8"/>
        <v>500</v>
      </c>
      <c r="K63" s="313">
        <f t="shared" si="8"/>
        <v>500</v>
      </c>
      <c r="L63" s="313">
        <f t="shared" si="8"/>
        <v>500</v>
      </c>
      <c r="M63" s="313">
        <f t="shared" si="8"/>
        <v>500</v>
      </c>
      <c r="N63" s="313">
        <f t="shared" si="8"/>
        <v>500</v>
      </c>
      <c r="O63" s="313">
        <f t="shared" si="8"/>
        <v>500</v>
      </c>
      <c r="P63" s="313">
        <f t="shared" si="8"/>
        <v>500</v>
      </c>
      <c r="Q63" s="313">
        <f t="shared" si="8"/>
        <v>500</v>
      </c>
      <c r="R63" s="313">
        <f t="shared" si="8"/>
        <v>500</v>
      </c>
      <c r="S63" s="313">
        <f t="shared" si="8"/>
        <v>500</v>
      </c>
      <c r="T63" s="313">
        <f t="shared" si="8"/>
        <v>500</v>
      </c>
      <c r="U63" s="313">
        <f t="shared" si="8"/>
        <v>500</v>
      </c>
      <c r="V63" s="313">
        <f t="shared" si="8"/>
        <v>500</v>
      </c>
      <c r="W63" s="313">
        <f t="shared" si="8"/>
        <v>500</v>
      </c>
      <c r="X63" s="313">
        <f t="shared" si="8"/>
        <v>500</v>
      </c>
    </row>
    <row r="64" spans="1:25 16384:16384" s="96" customFormat="1">
      <c r="A64" s="54" t="s">
        <v>540</v>
      </c>
      <c r="B64" s="435"/>
      <c r="C64" s="487"/>
      <c r="D64" s="1055">
        <v>0</v>
      </c>
      <c r="E64" s="1056">
        <v>0</v>
      </c>
      <c r="F64" s="1056">
        <v>0</v>
      </c>
      <c r="G64" s="1056">
        <v>200000</v>
      </c>
      <c r="H64" s="1056">
        <f>G64</f>
        <v>200000</v>
      </c>
      <c r="I64" s="1056">
        <f t="shared" ref="I64:X64" si="9">H64</f>
        <v>200000</v>
      </c>
      <c r="J64" s="1056">
        <f t="shared" si="9"/>
        <v>200000</v>
      </c>
      <c r="K64" s="1056">
        <f t="shared" si="9"/>
        <v>200000</v>
      </c>
      <c r="L64" s="1056">
        <f t="shared" si="9"/>
        <v>200000</v>
      </c>
      <c r="M64" s="1056">
        <f t="shared" si="9"/>
        <v>200000</v>
      </c>
      <c r="N64" s="1056">
        <f t="shared" si="9"/>
        <v>200000</v>
      </c>
      <c r="O64" s="1056">
        <f t="shared" si="9"/>
        <v>200000</v>
      </c>
      <c r="P64" s="1056">
        <f t="shared" si="9"/>
        <v>200000</v>
      </c>
      <c r="Q64" s="1056">
        <f t="shared" si="9"/>
        <v>200000</v>
      </c>
      <c r="R64" s="1056">
        <f t="shared" si="9"/>
        <v>200000</v>
      </c>
      <c r="S64" s="1056">
        <f t="shared" si="9"/>
        <v>200000</v>
      </c>
      <c r="T64" s="1056">
        <f t="shared" si="9"/>
        <v>200000</v>
      </c>
      <c r="U64" s="1056">
        <f t="shared" si="9"/>
        <v>200000</v>
      </c>
      <c r="V64" s="1056">
        <f t="shared" si="9"/>
        <v>200000</v>
      </c>
      <c r="W64" s="1056">
        <f t="shared" si="9"/>
        <v>200000</v>
      </c>
      <c r="X64" s="1056">
        <f t="shared" si="9"/>
        <v>200000</v>
      </c>
    </row>
    <row r="65" spans="1:25" s="96" customFormat="1">
      <c r="A65" s="54" t="s">
        <v>210</v>
      </c>
      <c r="B65" s="487"/>
      <c r="C65" s="487"/>
      <c r="D65" s="486">
        <v>0</v>
      </c>
      <c r="E65" s="313">
        <v>0</v>
      </c>
      <c r="F65" s="313">
        <v>1</v>
      </c>
      <c r="G65" s="313">
        <v>2</v>
      </c>
      <c r="H65" s="313">
        <v>2</v>
      </c>
      <c r="I65" s="313">
        <v>2</v>
      </c>
      <c r="J65" s="313">
        <v>3</v>
      </c>
      <c r="K65" s="313">
        <v>3</v>
      </c>
      <c r="L65" s="313">
        <v>3</v>
      </c>
      <c r="M65" s="313">
        <v>3</v>
      </c>
      <c r="N65" s="313">
        <v>3</v>
      </c>
      <c r="O65" s="313">
        <v>4</v>
      </c>
      <c r="P65" s="313">
        <v>4</v>
      </c>
      <c r="Q65" s="313">
        <v>4</v>
      </c>
      <c r="R65" s="313">
        <v>4</v>
      </c>
      <c r="S65" s="313">
        <v>4</v>
      </c>
      <c r="T65" s="313">
        <v>5</v>
      </c>
      <c r="U65" s="313">
        <v>5</v>
      </c>
      <c r="V65" s="313">
        <v>5</v>
      </c>
      <c r="W65" s="313">
        <v>5</v>
      </c>
      <c r="X65" s="313">
        <v>5</v>
      </c>
      <c r="Y65" s="313"/>
    </row>
    <row r="66" spans="1:25" s="96" customFormat="1">
      <c r="A66" s="96" t="s">
        <v>211</v>
      </c>
      <c r="D66" s="486">
        <v>0</v>
      </c>
      <c r="E66" s="435">
        <v>0</v>
      </c>
      <c r="F66" s="435">
        <v>3</v>
      </c>
      <c r="G66" s="435">
        <v>3</v>
      </c>
      <c r="H66" s="435">
        <v>3</v>
      </c>
      <c r="I66" s="435">
        <v>3</v>
      </c>
      <c r="J66" s="435">
        <v>3</v>
      </c>
      <c r="K66" s="435">
        <v>3</v>
      </c>
      <c r="L66" s="435">
        <v>3</v>
      </c>
      <c r="M66" s="435">
        <v>3</v>
      </c>
      <c r="N66" s="435">
        <v>3</v>
      </c>
      <c r="O66" s="435">
        <v>3</v>
      </c>
      <c r="P66" s="435">
        <v>3</v>
      </c>
      <c r="Q66" s="435">
        <v>3</v>
      </c>
      <c r="R66" s="435">
        <v>3</v>
      </c>
      <c r="S66" s="435">
        <v>3</v>
      </c>
      <c r="T66" s="435">
        <v>3</v>
      </c>
      <c r="U66" s="435">
        <v>3</v>
      </c>
      <c r="V66" s="435">
        <v>3</v>
      </c>
      <c r="W66" s="435">
        <v>3</v>
      </c>
      <c r="X66" s="435">
        <v>3</v>
      </c>
    </row>
    <row r="67" spans="1:25" s="167" customFormat="1">
      <c r="A67" s="497"/>
      <c r="B67" s="501"/>
      <c r="C67" s="501"/>
      <c r="D67" s="499"/>
      <c r="E67" s="500"/>
      <c r="F67" s="500"/>
      <c r="G67" s="500"/>
      <c r="H67" s="500"/>
      <c r="I67" s="500"/>
      <c r="J67" s="500"/>
      <c r="K67" s="500"/>
      <c r="L67" s="500"/>
      <c r="M67" s="500"/>
      <c r="N67" s="500"/>
      <c r="O67" s="500"/>
      <c r="P67" s="500"/>
      <c r="Q67" s="500"/>
      <c r="R67" s="500"/>
      <c r="S67" s="500"/>
      <c r="T67" s="500"/>
      <c r="U67" s="500"/>
      <c r="V67" s="500"/>
      <c r="W67" s="500"/>
      <c r="X67" s="500"/>
      <c r="Y67" s="500"/>
    </row>
    <row r="68" spans="1:25">
      <c r="A68" s="28"/>
      <c r="D68" s="486"/>
      <c r="E68" s="331"/>
      <c r="F68" s="333"/>
      <c r="G68" s="331"/>
      <c r="H68" s="331"/>
      <c r="I68" s="331"/>
      <c r="J68" s="331"/>
      <c r="K68" s="331"/>
      <c r="L68" s="331"/>
      <c r="M68" s="331"/>
      <c r="N68" s="331"/>
      <c r="O68" s="331"/>
      <c r="P68" s="331"/>
      <c r="Q68" s="331"/>
      <c r="R68" s="331"/>
      <c r="S68" s="331"/>
      <c r="T68" s="331"/>
      <c r="U68" s="331"/>
      <c r="V68" s="331"/>
      <c r="W68" s="331"/>
      <c r="X68" s="331"/>
    </row>
    <row r="69" spans="1:25">
      <c r="A69" s="266" t="s">
        <v>135</v>
      </c>
      <c r="B69" s="223"/>
      <c r="C69" s="267"/>
      <c r="D69" s="332"/>
      <c r="E69" s="332"/>
      <c r="F69" s="349"/>
      <c r="G69" s="332"/>
      <c r="H69" s="332"/>
      <c r="I69" s="332"/>
      <c r="J69" s="332"/>
      <c r="K69" s="332"/>
      <c r="L69" s="332"/>
      <c r="M69" s="332"/>
      <c r="N69" s="332"/>
      <c r="O69" s="332"/>
      <c r="P69" s="332"/>
      <c r="Q69" s="332"/>
      <c r="R69" s="332"/>
      <c r="S69" s="332"/>
      <c r="T69" s="332"/>
      <c r="U69" s="332"/>
      <c r="V69" s="332"/>
      <c r="W69" s="332"/>
      <c r="X69" s="332"/>
    </row>
    <row r="70" spans="1:25" s="341" customFormat="1">
      <c r="A70" s="353"/>
      <c r="B70" s="355"/>
      <c r="C70" s="355"/>
      <c r="D70" s="502"/>
      <c r="E70" s="503"/>
      <c r="F70" s="503"/>
      <c r="G70" s="503"/>
      <c r="H70" s="503"/>
      <c r="I70" s="503"/>
      <c r="J70" s="503"/>
      <c r="K70" s="503"/>
      <c r="L70" s="503"/>
      <c r="M70" s="503"/>
      <c r="N70" s="503"/>
      <c r="O70" s="503"/>
      <c r="P70" s="503"/>
      <c r="Q70" s="503"/>
      <c r="R70" s="503"/>
      <c r="S70" s="503"/>
      <c r="T70" s="503"/>
      <c r="U70" s="503"/>
      <c r="V70" s="503"/>
      <c r="W70" s="503"/>
      <c r="X70" s="503"/>
    </row>
    <row r="71" spans="1:25" s="341" customFormat="1">
      <c r="A71" s="691" t="s">
        <v>144</v>
      </c>
      <c r="B71" s="355"/>
      <c r="C71" s="355"/>
      <c r="D71" s="548"/>
      <c r="E71" s="503"/>
      <c r="F71" s="503"/>
      <c r="G71" s="503"/>
      <c r="H71" s="503"/>
      <c r="I71" s="503"/>
      <c r="J71" s="503"/>
      <c r="K71" s="503"/>
      <c r="L71" s="503"/>
      <c r="M71" s="503"/>
      <c r="N71" s="503"/>
      <c r="O71" s="503"/>
      <c r="P71" s="503"/>
      <c r="Q71" s="503"/>
      <c r="R71" s="503"/>
      <c r="S71" s="503"/>
      <c r="T71" s="503"/>
      <c r="U71" s="503"/>
      <c r="V71" s="503"/>
      <c r="W71" s="503"/>
      <c r="X71" s="503"/>
    </row>
    <row r="72" spans="1:25" s="561" customFormat="1">
      <c r="A72" s="353" t="str">
        <f>'BH Tariffs'!A11</f>
        <v>Port Fee</v>
      </c>
      <c r="B72" s="355"/>
      <c r="C72" s="355"/>
      <c r="D72" s="548">
        <v>0</v>
      </c>
      <c r="E72" s="503">
        <f>'BH Tariffs'!D11*'P&amp;L - Concept B3 - Carnival'!E12</f>
        <v>0</v>
      </c>
      <c r="F72" s="503">
        <v>0</v>
      </c>
      <c r="G72" s="503">
        <v>0</v>
      </c>
      <c r="H72" s="503">
        <v>0</v>
      </c>
      <c r="I72" s="503">
        <v>0</v>
      </c>
      <c r="J72" s="503">
        <v>0</v>
      </c>
      <c r="K72" s="503">
        <v>0</v>
      </c>
      <c r="L72" s="503">
        <v>0</v>
      </c>
      <c r="M72" s="503">
        <v>0</v>
      </c>
      <c r="N72" s="503">
        <v>0</v>
      </c>
      <c r="O72" s="503">
        <v>0</v>
      </c>
      <c r="P72" s="503">
        <v>0</v>
      </c>
      <c r="Q72" s="503">
        <v>0</v>
      </c>
      <c r="R72" s="503">
        <v>0</v>
      </c>
      <c r="S72" s="503">
        <v>0</v>
      </c>
      <c r="T72" s="503">
        <v>0</v>
      </c>
      <c r="U72" s="503">
        <v>0</v>
      </c>
      <c r="V72" s="503">
        <v>0</v>
      </c>
      <c r="W72" s="503">
        <v>0</v>
      </c>
      <c r="X72" s="503">
        <v>0</v>
      </c>
    </row>
    <row r="73" spans="1:25">
      <c r="A73" s="88"/>
      <c r="B73" s="89"/>
      <c r="C73" s="89"/>
      <c r="D73" s="502"/>
      <c r="E73" s="504"/>
      <c r="F73" s="504"/>
      <c r="G73" s="504"/>
      <c r="H73" s="504"/>
      <c r="I73" s="504"/>
      <c r="J73" s="504"/>
      <c r="K73" s="504"/>
      <c r="L73" s="504"/>
      <c r="M73" s="504"/>
      <c r="N73" s="504"/>
      <c r="O73" s="504"/>
      <c r="P73" s="504"/>
      <c r="Q73" s="504"/>
      <c r="R73" s="504"/>
      <c r="S73" s="504"/>
      <c r="T73" s="504"/>
      <c r="U73" s="504"/>
      <c r="V73" s="504"/>
      <c r="W73" s="504"/>
      <c r="X73" s="504"/>
    </row>
    <row r="74" spans="1:25" s="16" customFormat="1" ht="14.25">
      <c r="A74" s="280" t="s">
        <v>124</v>
      </c>
      <c r="B74" s="533"/>
      <c r="C74" s="533"/>
      <c r="D74" s="534"/>
      <c r="E74" s="535"/>
      <c r="F74" s="535"/>
      <c r="G74" s="535"/>
      <c r="H74" s="535"/>
      <c r="I74" s="535"/>
      <c r="J74" s="535"/>
      <c r="K74" s="535"/>
      <c r="L74" s="535"/>
      <c r="M74" s="535"/>
      <c r="N74" s="535"/>
      <c r="O74" s="535"/>
      <c r="P74" s="535"/>
      <c r="Q74" s="535"/>
      <c r="R74" s="535"/>
      <c r="S74" s="535"/>
      <c r="T74" s="535"/>
      <c r="U74" s="535"/>
      <c r="V74" s="535"/>
      <c r="W74" s="535"/>
      <c r="X74" s="535"/>
    </row>
    <row r="75" spans="1:25" s="279" customFormat="1" ht="14.25">
      <c r="A75" s="91" t="s">
        <v>83</v>
      </c>
      <c r="B75" s="536"/>
      <c r="C75" s="536"/>
      <c r="D75" s="537"/>
      <c r="E75" s="538"/>
      <c r="F75" s="538"/>
      <c r="G75" s="538"/>
      <c r="H75" s="538"/>
      <c r="I75" s="538"/>
      <c r="J75" s="538"/>
      <c r="K75" s="538"/>
      <c r="L75" s="538"/>
      <c r="M75" s="538"/>
      <c r="N75" s="538"/>
      <c r="O75" s="538"/>
      <c r="P75" s="538"/>
      <c r="Q75" s="538"/>
      <c r="R75" s="538"/>
      <c r="S75" s="538"/>
      <c r="T75" s="538"/>
      <c r="U75" s="538"/>
      <c r="V75" s="538"/>
      <c r="W75" s="538"/>
      <c r="X75" s="538"/>
    </row>
    <row r="76" spans="1:25">
      <c r="A76" s="90" t="str">
        <f>'BH Tariffs'!A19</f>
        <v>Town Wharfage (Exclusive Use, Ferry Property Only)</v>
      </c>
      <c r="B76" s="89"/>
      <c r="C76" s="89"/>
      <c r="D76" s="502">
        <v>0</v>
      </c>
      <c r="E76" s="504">
        <f>'BH Tariffs'!D19*'P&amp;L - Concept B3 - Carnival'!E12</f>
        <v>0</v>
      </c>
      <c r="F76" s="504">
        <f>'BH Tariffs'!E19*'P&amp;L - Concept B3 - Carnival'!F12</f>
        <v>737024.41444463574</v>
      </c>
      <c r="G76" s="504">
        <f>'BH Tariffs'!F19*'P&amp;L - Concept B3 - Carnival'!G12</f>
        <v>751764.90273352852</v>
      </c>
      <c r="H76" s="504">
        <f>'BH Tariffs'!G19*'P&amp;L - Concept B3 - Carnival'!H12</f>
        <v>766800.20078819909</v>
      </c>
      <c r="I76" s="504">
        <f>'BH Tariffs'!H19*'P&amp;L - Concept B3 - Carnival'!I12</f>
        <v>782136.20480396308</v>
      </c>
      <c r="J76" s="504">
        <f>'BH Tariffs'!I19*'P&amp;L - Concept B3 - Carnival'!J12</f>
        <v>797778.92890004232</v>
      </c>
      <c r="K76" s="504">
        <f>'BH Tariffs'!J19*'P&amp;L - Concept B3 - Carnival'!K12</f>
        <v>813734.5074780432</v>
      </c>
      <c r="L76" s="504">
        <f>'BH Tariffs'!K19*'P&amp;L - Concept B3 - Carnival'!L12</f>
        <v>830009.19762760401</v>
      </c>
      <c r="M76" s="504">
        <f>'BH Tariffs'!L19*'P&amp;L - Concept B3 - Carnival'!M12</f>
        <v>846609.38158015627</v>
      </c>
      <c r="N76" s="504">
        <f>'BH Tariffs'!M19*'P&amp;L - Concept B3 - Carnival'!N12</f>
        <v>863541.56921175926</v>
      </c>
      <c r="O76" s="504">
        <f>'BH Tariffs'!N19*'P&amp;L - Concept B3 - Carnival'!O12</f>
        <v>880812.40059599455</v>
      </c>
      <c r="P76" s="504">
        <f>'BH Tariffs'!O19*'P&amp;L - Concept B3 - Carnival'!P12</f>
        <v>898428.64860791445</v>
      </c>
      <c r="Q76" s="504">
        <f>'BH Tariffs'!P19*'P&amp;L - Concept B3 - Carnival'!Q12</f>
        <v>916397.22158007277</v>
      </c>
      <c r="R76" s="504">
        <f>'BH Tariffs'!Q19*'P&amp;L - Concept B3 - Carnival'!R12</f>
        <v>934725.1660116741</v>
      </c>
      <c r="S76" s="504">
        <f>'BH Tariffs'!R19*'P&amp;L - Concept B3 - Carnival'!S12</f>
        <v>953419.66933190764</v>
      </c>
      <c r="T76" s="504">
        <f>'BH Tariffs'!S19*'P&amp;L - Concept B3 - Carnival'!T12</f>
        <v>972488.06271854579</v>
      </c>
      <c r="U76" s="504">
        <f>'BH Tariffs'!T19*'P&amp;L - Concept B3 - Carnival'!U12</f>
        <v>991937.82397291681</v>
      </c>
      <c r="V76" s="504">
        <f>'BH Tariffs'!U19*'P&amp;L - Concept B3 - Carnival'!V12</f>
        <v>1011776.5804523751</v>
      </c>
      <c r="W76" s="504">
        <f>'BH Tariffs'!V19*'P&amp;L - Concept B3 - Carnival'!W12</f>
        <v>1032012.1120614228</v>
      </c>
      <c r="X76" s="504">
        <f>'BH Tariffs'!W19*'P&amp;L - Concept B3 - Carnival'!X12</f>
        <v>1052652.3543026512</v>
      </c>
      <c r="Y76" s="413">
        <f>SUM(D76:X76)</f>
        <v>16834049.347203407</v>
      </c>
    </row>
    <row r="77" spans="1:25" s="341" customFormat="1">
      <c r="A77" s="353" t="str">
        <f>'BH Tariffs'!A21</f>
        <v>CBP Infastructure Fee (Ferry Property Only)</v>
      </c>
      <c r="B77" s="355"/>
      <c r="C77" s="355"/>
      <c r="D77" s="548">
        <v>0</v>
      </c>
      <c r="E77" s="503">
        <v>0</v>
      </c>
      <c r="F77" s="503">
        <v>0</v>
      </c>
      <c r="G77" s="503">
        <v>0</v>
      </c>
      <c r="H77" s="503">
        <v>0</v>
      </c>
      <c r="I77" s="503">
        <v>0</v>
      </c>
      <c r="J77" s="503">
        <v>0</v>
      </c>
      <c r="K77" s="503">
        <v>0</v>
      </c>
      <c r="L77" s="503">
        <v>0</v>
      </c>
      <c r="M77" s="503">
        <v>0</v>
      </c>
      <c r="N77" s="503">
        <v>0</v>
      </c>
      <c r="O77" s="503">
        <v>0</v>
      </c>
      <c r="P77" s="503">
        <v>0</v>
      </c>
      <c r="Q77" s="503">
        <v>0</v>
      </c>
      <c r="R77" s="503">
        <v>0</v>
      </c>
      <c r="S77" s="503">
        <v>0</v>
      </c>
      <c r="T77" s="503">
        <v>0</v>
      </c>
      <c r="U77" s="503">
        <v>0</v>
      </c>
      <c r="V77" s="503">
        <v>0</v>
      </c>
      <c r="W77" s="503">
        <v>0</v>
      </c>
      <c r="X77" s="503">
        <v>0</v>
      </c>
      <c r="Y77" s="413"/>
    </row>
    <row r="78" spans="1:25" s="96" customFormat="1">
      <c r="A78" s="90" t="str">
        <f>'BH Tariffs'!A22</f>
        <v>Infrastructure Fee</v>
      </c>
      <c r="B78" s="356"/>
      <c r="C78" s="356"/>
      <c r="D78" s="502">
        <v>0</v>
      </c>
      <c r="E78" s="504">
        <v>0</v>
      </c>
      <c r="F78" s="504">
        <f>'BH Tariffs'!E22*'Cruise Projections'!V97</f>
        <v>522936.74160000001</v>
      </c>
      <c r="G78" s="504">
        <f>'BH Tariffs'!F22*'Cruise Projections'!W97</f>
        <v>533395.47643200005</v>
      </c>
      <c r="H78" s="504">
        <f>'BH Tariffs'!G22*'Cruise Projections'!X97</f>
        <v>544063.38596063992</v>
      </c>
      <c r="I78" s="504">
        <f>'BH Tariffs'!H22*'Cruise Projections'!Y97</f>
        <v>554944.65367985272</v>
      </c>
      <c r="J78" s="504">
        <f>'BH Tariffs'!I22*'Cruise Projections'!Z97</f>
        <v>566043.54675344983</v>
      </c>
      <c r="K78" s="504">
        <f>'BH Tariffs'!J22*'Cruise Projections'!AA97</f>
        <v>577364.41768851888</v>
      </c>
      <c r="L78" s="504">
        <f>'BH Tariffs'!K22*'Cruise Projections'!AB97</f>
        <v>588911.70604228915</v>
      </c>
      <c r="M78" s="504">
        <f>'BH Tariffs'!L22*'Cruise Projections'!AC97</f>
        <v>600689.94016313506</v>
      </c>
      <c r="N78" s="504">
        <f>'BH Tariffs'!M22*'Cruise Projections'!AD97</f>
        <v>612703.73896639771</v>
      </c>
      <c r="O78" s="504">
        <f>'BH Tariffs'!N22*'Cruise Projections'!AE97</f>
        <v>624957.81374572578</v>
      </c>
      <c r="P78" s="504">
        <f>'BH Tariffs'!O22*'Cruise Projections'!AF97</f>
        <v>637456.97002064029</v>
      </c>
      <c r="Q78" s="504">
        <f>'BH Tariffs'!P22*'Cruise Projections'!AG97</f>
        <v>650206.10942105309</v>
      </c>
      <c r="R78" s="504">
        <f>'BH Tariffs'!Q22*'Cruise Projections'!AH97</f>
        <v>663210.23160947405</v>
      </c>
      <c r="S78" s="504">
        <f>'BH Tariffs'!R22*'Cruise Projections'!AI97</f>
        <v>676474.43624166364</v>
      </c>
      <c r="T78" s="504">
        <f>'BH Tariffs'!S22*'Cruise Projections'!AJ97</f>
        <v>690003.924966497</v>
      </c>
      <c r="U78" s="504">
        <f>'BH Tariffs'!T22*'Cruise Projections'!AK97</f>
        <v>703804.00346582686</v>
      </c>
      <c r="V78" s="504">
        <f>'BH Tariffs'!U22*'Cruise Projections'!AL97</f>
        <v>717880.08353514341</v>
      </c>
      <c r="W78" s="504">
        <f>'BH Tariffs'!V22*'Cruise Projections'!AM97</f>
        <v>732237.68520584644</v>
      </c>
      <c r="X78" s="504">
        <f>'BH Tariffs'!W22*'Cruise Projections'!AN97</f>
        <v>746882.43890996324</v>
      </c>
      <c r="Y78" s="413">
        <f t="shared" ref="Y78" si="10">SUM(D78:X78)</f>
        <v>11944167.30440812</v>
      </c>
    </row>
    <row r="79" spans="1:25">
      <c r="A79" s="90"/>
      <c r="B79" s="89"/>
      <c r="C79" s="89"/>
      <c r="D79" s="502"/>
      <c r="E79" s="504"/>
      <c r="F79" s="504"/>
      <c r="G79" s="504"/>
      <c r="H79" s="504"/>
      <c r="I79" s="504"/>
      <c r="J79" s="504"/>
      <c r="K79" s="504"/>
      <c r="L79" s="504"/>
      <c r="M79" s="504"/>
      <c r="N79" s="504"/>
      <c r="O79" s="504"/>
      <c r="P79" s="504"/>
      <c r="Q79" s="504"/>
      <c r="R79" s="504"/>
      <c r="S79" s="504"/>
      <c r="T79" s="504"/>
      <c r="U79" s="504"/>
      <c r="V79" s="504"/>
      <c r="W79" s="504"/>
      <c r="X79" s="504"/>
    </row>
    <row r="80" spans="1:25" s="341" customFormat="1">
      <c r="A80" s="543" t="s">
        <v>163</v>
      </c>
      <c r="B80" s="354"/>
      <c r="C80" s="355"/>
      <c r="D80" s="548"/>
      <c r="E80" s="503"/>
      <c r="F80" s="503"/>
      <c r="G80" s="503"/>
      <c r="H80" s="503"/>
      <c r="I80" s="503"/>
      <c r="J80" s="503"/>
      <c r="K80" s="503"/>
      <c r="L80" s="503"/>
      <c r="M80" s="503"/>
      <c r="N80" s="503"/>
      <c r="O80" s="503"/>
      <c r="P80" s="503"/>
      <c r="Q80" s="503"/>
      <c r="R80" s="503"/>
      <c r="S80" s="503"/>
      <c r="T80" s="503"/>
      <c r="U80" s="503"/>
      <c r="V80" s="503"/>
      <c r="W80" s="503"/>
      <c r="X80" s="503"/>
    </row>
    <row r="81" spans="1:25" s="341" customFormat="1">
      <c r="A81" s="353" t="str">
        <f>'BH Tariffs'!A25</f>
        <v>Dock Rent (12 months)</v>
      </c>
      <c r="B81" s="354"/>
      <c r="C81" s="355"/>
      <c r="D81" s="548">
        <v>0</v>
      </c>
      <c r="E81" s="503">
        <v>0</v>
      </c>
      <c r="F81" s="503">
        <v>0</v>
      </c>
      <c r="G81" s="503">
        <v>0</v>
      </c>
      <c r="H81" s="503">
        <v>0</v>
      </c>
      <c r="I81" s="503">
        <v>0</v>
      </c>
      <c r="J81" s="503">
        <v>0</v>
      </c>
      <c r="K81" s="503">
        <v>0</v>
      </c>
      <c r="L81" s="503">
        <v>0</v>
      </c>
      <c r="M81" s="503">
        <v>0</v>
      </c>
      <c r="N81" s="503">
        <v>0</v>
      </c>
      <c r="O81" s="503">
        <v>0</v>
      </c>
      <c r="P81" s="503">
        <v>0</v>
      </c>
      <c r="Q81" s="503">
        <v>0</v>
      </c>
      <c r="R81" s="503">
        <v>0</v>
      </c>
      <c r="S81" s="503">
        <v>0</v>
      </c>
      <c r="T81" s="503">
        <v>0</v>
      </c>
      <c r="U81" s="503">
        <v>0</v>
      </c>
      <c r="V81" s="503">
        <v>0</v>
      </c>
      <c r="W81" s="503">
        <v>0</v>
      </c>
      <c r="X81" s="503">
        <v>0</v>
      </c>
    </row>
    <row r="82" spans="1:25" s="341" customFormat="1">
      <c r="A82" s="353" t="str">
        <f>'BH Tariffs'!A26</f>
        <v>Ferry Passenger Wharfage</v>
      </c>
      <c r="B82" s="354"/>
      <c r="C82" s="355"/>
      <c r="D82" s="548">
        <v>0</v>
      </c>
      <c r="E82" s="503">
        <v>0</v>
      </c>
      <c r="F82" s="503">
        <v>0</v>
      </c>
      <c r="G82" s="503">
        <v>0</v>
      </c>
      <c r="H82" s="503">
        <v>0</v>
      </c>
      <c r="I82" s="503">
        <v>0</v>
      </c>
      <c r="J82" s="503">
        <v>0</v>
      </c>
      <c r="K82" s="503">
        <v>0</v>
      </c>
      <c r="L82" s="503">
        <v>0</v>
      </c>
      <c r="M82" s="503">
        <v>0</v>
      </c>
      <c r="N82" s="503">
        <v>0</v>
      </c>
      <c r="O82" s="503">
        <v>0</v>
      </c>
      <c r="P82" s="503">
        <v>0</v>
      </c>
      <c r="Q82" s="503">
        <v>0</v>
      </c>
      <c r="R82" s="503">
        <v>0</v>
      </c>
      <c r="S82" s="503">
        <v>0</v>
      </c>
      <c r="T82" s="503">
        <v>0</v>
      </c>
      <c r="U82" s="503">
        <v>0</v>
      </c>
      <c r="V82" s="503">
        <v>0</v>
      </c>
      <c r="W82" s="503">
        <v>0</v>
      </c>
      <c r="X82" s="503">
        <v>0</v>
      </c>
    </row>
    <row r="83" spans="1:25" s="341" customFormat="1">
      <c r="A83" s="353" t="str">
        <f>'BH Tariffs'!A27</f>
        <v>Ferry Passenger Vehicle Wharfage</v>
      </c>
      <c r="B83" s="354"/>
      <c r="C83" s="355"/>
      <c r="D83" s="548">
        <v>0</v>
      </c>
      <c r="E83" s="503">
        <v>0</v>
      </c>
      <c r="F83" s="503">
        <v>0</v>
      </c>
      <c r="G83" s="503">
        <v>0</v>
      </c>
      <c r="H83" s="503">
        <v>0</v>
      </c>
      <c r="I83" s="503">
        <v>0</v>
      </c>
      <c r="J83" s="503">
        <v>0</v>
      </c>
      <c r="K83" s="503">
        <v>0</v>
      </c>
      <c r="L83" s="503">
        <v>0</v>
      </c>
      <c r="M83" s="503">
        <v>0</v>
      </c>
      <c r="N83" s="503">
        <v>0</v>
      </c>
      <c r="O83" s="503">
        <v>0</v>
      </c>
      <c r="P83" s="503">
        <v>0</v>
      </c>
      <c r="Q83" s="503">
        <v>0</v>
      </c>
      <c r="R83" s="503">
        <v>0</v>
      </c>
      <c r="S83" s="503">
        <v>0</v>
      </c>
      <c r="T83" s="503">
        <v>0</v>
      </c>
      <c r="U83" s="503">
        <v>0</v>
      </c>
      <c r="V83" s="503">
        <v>0</v>
      </c>
      <c r="W83" s="503">
        <v>0</v>
      </c>
      <c r="X83" s="503">
        <v>0</v>
      </c>
    </row>
    <row r="84" spans="1:25" s="341" customFormat="1">
      <c r="A84" s="353" t="str">
        <f>'BH Tariffs'!A28</f>
        <v>Ferry Bus Wharfage</v>
      </c>
      <c r="B84" s="354"/>
      <c r="C84" s="355"/>
      <c r="D84" s="548">
        <v>0</v>
      </c>
      <c r="E84" s="503">
        <v>0</v>
      </c>
      <c r="F84" s="503">
        <v>0</v>
      </c>
      <c r="G84" s="503">
        <v>0</v>
      </c>
      <c r="H84" s="503">
        <v>0</v>
      </c>
      <c r="I84" s="503">
        <v>0</v>
      </c>
      <c r="J84" s="503">
        <v>0</v>
      </c>
      <c r="K84" s="503">
        <v>0</v>
      </c>
      <c r="L84" s="503">
        <v>0</v>
      </c>
      <c r="M84" s="503">
        <v>0</v>
      </c>
      <c r="N84" s="503">
        <v>0</v>
      </c>
      <c r="O84" s="503">
        <v>0</v>
      </c>
      <c r="P84" s="503">
        <v>0</v>
      </c>
      <c r="Q84" s="503">
        <v>0</v>
      </c>
      <c r="R84" s="503">
        <v>0</v>
      </c>
      <c r="S84" s="503">
        <v>0</v>
      </c>
      <c r="T84" s="503">
        <v>0</v>
      </c>
      <c r="U84" s="503">
        <v>0</v>
      </c>
      <c r="V84" s="503">
        <v>0</v>
      </c>
      <c r="W84" s="503">
        <v>0</v>
      </c>
      <c r="X84" s="503">
        <v>0</v>
      </c>
    </row>
    <row r="85" spans="1:25">
      <c r="A85" s="88"/>
      <c r="B85" s="30"/>
      <c r="C85" s="89"/>
      <c r="D85" s="502"/>
      <c r="E85" s="504"/>
      <c r="F85" s="504"/>
      <c r="G85" s="504"/>
      <c r="H85" s="504"/>
      <c r="I85" s="504"/>
      <c r="J85" s="504"/>
      <c r="K85" s="504"/>
      <c r="L85" s="504"/>
      <c r="M85" s="504"/>
      <c r="N85" s="504"/>
      <c r="O85" s="504"/>
      <c r="P85" s="504"/>
      <c r="Q85" s="504"/>
      <c r="R85" s="504"/>
      <c r="S85" s="504"/>
      <c r="T85" s="504"/>
      <c r="U85" s="504"/>
      <c r="V85" s="504"/>
      <c r="W85" s="504"/>
      <c r="X85" s="504"/>
    </row>
    <row r="86" spans="1:25" s="96" customFormat="1">
      <c r="A86" s="605" t="s">
        <v>164</v>
      </c>
      <c r="B86" s="606"/>
      <c r="C86" s="356"/>
      <c r="D86" s="502"/>
      <c r="E86" s="504"/>
      <c r="F86" s="504"/>
      <c r="G86" s="504"/>
      <c r="H86" s="504"/>
      <c r="I86" s="504"/>
      <c r="J86" s="504"/>
      <c r="K86" s="504"/>
      <c r="L86" s="504"/>
      <c r="M86" s="504"/>
      <c r="N86" s="504"/>
      <c r="O86" s="504"/>
      <c r="P86" s="504"/>
      <c r="Q86" s="504"/>
      <c r="R86" s="504"/>
      <c r="S86" s="504"/>
      <c r="T86" s="504"/>
      <c r="U86" s="504"/>
      <c r="V86" s="504"/>
      <c r="W86" s="504"/>
      <c r="X86" s="504"/>
    </row>
    <row r="87" spans="1:25" s="96" customFormat="1">
      <c r="A87" s="90" t="str">
        <f>'BH Tariffs'!A31</f>
        <v>Dock Rent (6 Months Only)</v>
      </c>
      <c r="B87" s="606"/>
      <c r="C87" s="356"/>
      <c r="D87" s="502">
        <v>0</v>
      </c>
      <c r="E87" s="504">
        <v>0</v>
      </c>
      <c r="F87" s="504">
        <f>'BH Tariffs'!E31*6</f>
        <v>12240</v>
      </c>
      <c r="G87" s="504">
        <f>'BH Tariffs'!F31*6</f>
        <v>12484.800000000001</v>
      </c>
      <c r="H87" s="504">
        <f>'BH Tariffs'!G31*6</f>
        <v>12734.495999999999</v>
      </c>
      <c r="I87" s="504">
        <f>'BH Tariffs'!H31*6</f>
        <v>12989.18592</v>
      </c>
      <c r="J87" s="504">
        <f>'BH Tariffs'!I31*6</f>
        <v>13248.9696384</v>
      </c>
      <c r="K87" s="504">
        <f>'BH Tariffs'!J31*6</f>
        <v>13513.949031168002</v>
      </c>
      <c r="L87" s="504">
        <f>'BH Tariffs'!K31*6</f>
        <v>13784.228011791361</v>
      </c>
      <c r="M87" s="504">
        <f>'BH Tariffs'!L31*6</f>
        <v>14059.912572027188</v>
      </c>
      <c r="N87" s="504">
        <f>'BH Tariffs'!M31*6</f>
        <v>14341.110823467734</v>
      </c>
      <c r="O87" s="504">
        <f>'BH Tariffs'!N31*6</f>
        <v>14627.933039937088</v>
      </c>
      <c r="P87" s="504">
        <f>'BH Tariffs'!O31*6</f>
        <v>14920.491700735829</v>
      </c>
      <c r="Q87" s="504">
        <f>'BH Tariffs'!P31*6</f>
        <v>15218.901534750545</v>
      </c>
      <c r="R87" s="504">
        <f>'BH Tariffs'!Q31*6</f>
        <v>15523.279565445555</v>
      </c>
      <c r="S87" s="504">
        <f>'BH Tariffs'!R31*6</f>
        <v>15833.745156754467</v>
      </c>
      <c r="T87" s="504">
        <f>'BH Tariffs'!S31*6</f>
        <v>16150.420059889559</v>
      </c>
      <c r="U87" s="504">
        <f>'BH Tariffs'!T31*6</f>
        <v>16473.428461087351</v>
      </c>
      <c r="V87" s="504">
        <f>'BH Tariffs'!U31*6</f>
        <v>16802.897030309097</v>
      </c>
      <c r="W87" s="504">
        <f>'BH Tariffs'!V31*6</f>
        <v>17138.954970915282</v>
      </c>
      <c r="X87" s="504">
        <f>'BH Tariffs'!W31*6</f>
        <v>17481.734070333587</v>
      </c>
    </row>
    <row r="88" spans="1:25" s="96" customFormat="1">
      <c r="A88" s="90"/>
      <c r="B88" s="606"/>
      <c r="C88" s="356"/>
      <c r="D88" s="502"/>
      <c r="E88" s="504"/>
      <c r="F88" s="504"/>
      <c r="G88" s="504"/>
      <c r="H88" s="504"/>
      <c r="I88" s="504"/>
      <c r="J88" s="504"/>
      <c r="K88" s="504"/>
      <c r="L88" s="504"/>
      <c r="M88" s="504"/>
      <c r="N88" s="504"/>
      <c r="O88" s="504"/>
      <c r="P88" s="504"/>
      <c r="Q88" s="504"/>
      <c r="R88" s="504"/>
      <c r="S88" s="504"/>
      <c r="T88" s="504"/>
      <c r="U88" s="504"/>
      <c r="V88" s="504"/>
      <c r="W88" s="504"/>
      <c r="X88" s="504"/>
    </row>
    <row r="89" spans="1:25" s="582" customFormat="1" ht="14.25">
      <c r="A89" s="605" t="str">
        <f>'BH Tariffs'!A33</f>
        <v>Recreational/Commercial Marina</v>
      </c>
      <c r="B89" s="607"/>
      <c r="C89" s="608"/>
      <c r="D89" s="537"/>
      <c r="E89" s="538"/>
      <c r="F89" s="538"/>
      <c r="G89" s="538"/>
      <c r="H89" s="538"/>
      <c r="I89" s="538"/>
      <c r="J89" s="538"/>
      <c r="K89" s="538"/>
      <c r="L89" s="538"/>
      <c r="M89" s="538"/>
      <c r="N89" s="538"/>
      <c r="O89" s="538"/>
      <c r="P89" s="538"/>
      <c r="Q89" s="538"/>
      <c r="R89" s="538"/>
      <c r="S89" s="538"/>
      <c r="T89" s="538"/>
      <c r="U89" s="538"/>
      <c r="V89" s="538"/>
      <c r="W89" s="538"/>
      <c r="X89" s="538"/>
    </row>
    <row r="90" spans="1:25" s="96" customFormat="1">
      <c r="A90" s="90" t="str">
        <f>'BH Tariffs'!A34</f>
        <v>Transient Slip Rent</v>
      </c>
      <c r="B90" s="606"/>
      <c r="C90" s="356"/>
      <c r="D90" s="502">
        <v>0</v>
      </c>
      <c r="E90" s="504">
        <v>0</v>
      </c>
      <c r="F90" s="504">
        <f>'BH Tariffs'!E34*'P&amp;L - Concept B3 - Carnival'!F57</f>
        <v>100191.03159375001</v>
      </c>
      <c r="G90" s="504">
        <f>'BH Tariffs'!F34*'P&amp;L - Concept B3 - Carnival'!G57</f>
        <v>102194.85222562501</v>
      </c>
      <c r="H90" s="504">
        <f>'BH Tariffs'!G34*'P&amp;L - Concept B3 - Carnival'!H57</f>
        <v>104238.7492701375</v>
      </c>
      <c r="I90" s="504">
        <f>'BH Tariffs'!H34*'P&amp;L - Concept B3 - Carnival'!I57</f>
        <v>106323.52425554027</v>
      </c>
      <c r="J90" s="504">
        <f>'BH Tariffs'!I34*'P&amp;L - Concept B3 - Carnival'!J57</f>
        <v>108449.99474065108</v>
      </c>
      <c r="K90" s="504">
        <f>'BH Tariffs'!J34*'P&amp;L - Concept B3 - Carnival'!K57</f>
        <v>110618.9946354641</v>
      </c>
      <c r="L90" s="504">
        <f>'BH Tariffs'!K34*'P&amp;L - Concept B3 - Carnival'!L57</f>
        <v>112831.37452817339</v>
      </c>
      <c r="M90" s="504">
        <f>'BH Tariffs'!L34*'P&amp;L - Concept B3 - Carnival'!M57</f>
        <v>115088.00201873686</v>
      </c>
      <c r="N90" s="504">
        <f>'BH Tariffs'!M34*'P&amp;L - Concept B3 - Carnival'!N57</f>
        <v>117389.76205911158</v>
      </c>
      <c r="O90" s="504">
        <f>'BH Tariffs'!N34*'P&amp;L - Concept B3 - Carnival'!O57</f>
        <v>119737.55730029383</v>
      </c>
      <c r="P90" s="504">
        <f>'BH Tariffs'!O34*'P&amp;L - Concept B3 - Carnival'!P57</f>
        <v>122132.30844629971</v>
      </c>
      <c r="Q90" s="504">
        <f>'BH Tariffs'!P34*'P&amp;L - Concept B3 - Carnival'!Q57</f>
        <v>124574.9546152257</v>
      </c>
      <c r="R90" s="504">
        <f>'BH Tariffs'!Q34*'P&amp;L - Concept B3 - Carnival'!R57</f>
        <v>127066.45370753021</v>
      </c>
      <c r="S90" s="504">
        <f>'BH Tariffs'!R34*'P&amp;L - Concept B3 - Carnival'!S57</f>
        <v>129607.78278168083</v>
      </c>
      <c r="T90" s="504">
        <f>'BH Tariffs'!S34*'P&amp;L - Concept B3 - Carnival'!T57</f>
        <v>132199.93843731444</v>
      </c>
      <c r="U90" s="504">
        <f>'BH Tariffs'!T34*'P&amp;L - Concept B3 - Carnival'!U57</f>
        <v>134843.93720606071</v>
      </c>
      <c r="V90" s="504">
        <f>'BH Tariffs'!U34*'P&amp;L - Concept B3 - Carnival'!V57</f>
        <v>137540.81595018198</v>
      </c>
      <c r="W90" s="504">
        <f>'BH Tariffs'!V34*'P&amp;L - Concept B3 - Carnival'!W57</f>
        <v>140291.63226918562</v>
      </c>
      <c r="X90" s="504">
        <f>'BH Tariffs'!W34*'P&amp;L - Concept B3 - Carnival'!X57</f>
        <v>143097.46491456931</v>
      </c>
    </row>
    <row r="91" spans="1:25" s="96" customFormat="1">
      <c r="A91" s="90" t="s">
        <v>280</v>
      </c>
      <c r="B91" s="606"/>
      <c r="C91" s="356"/>
      <c r="D91" s="502">
        <v>0</v>
      </c>
      <c r="E91" s="504">
        <v>0</v>
      </c>
      <c r="F91" s="504">
        <f>'BH Tariffs'!E35*'P&amp;L - Concept B3 - Carnival'!F58</f>
        <v>158111.73000000004</v>
      </c>
      <c r="G91" s="504">
        <f>'BH Tariffs'!F35*'P&amp;L - Concept B3 - Carnival'!G58</f>
        <v>161273.96460000004</v>
      </c>
      <c r="H91" s="504">
        <f>'BH Tariffs'!G35*'P&amp;L - Concept B3 - Carnival'!H58</f>
        <v>164499.44389200001</v>
      </c>
      <c r="I91" s="504">
        <f>'BH Tariffs'!H35*'P&amp;L - Concept B3 - Carnival'!I58</f>
        <v>167789.43276984003</v>
      </c>
      <c r="J91" s="504">
        <f>'BH Tariffs'!I35*'P&amp;L - Concept B3 - Carnival'!J58</f>
        <v>171145.22142523681</v>
      </c>
      <c r="K91" s="504">
        <f>'BH Tariffs'!J35*'P&amp;L - Concept B3 - Carnival'!K58</f>
        <v>174568.12585374157</v>
      </c>
      <c r="L91" s="504">
        <f>'BH Tariffs'!K35*'P&amp;L - Concept B3 - Carnival'!L58</f>
        <v>178059.4883708164</v>
      </c>
      <c r="M91" s="504">
        <f>'BH Tariffs'!L35*'P&amp;L - Concept B3 - Carnival'!M58</f>
        <v>181620.67813823273</v>
      </c>
      <c r="N91" s="504">
        <f>'BH Tariffs'!M35*'P&amp;L - Concept B3 - Carnival'!N58</f>
        <v>185253.09170099738</v>
      </c>
      <c r="O91" s="504">
        <f>'BH Tariffs'!N35*'P&amp;L - Concept B3 - Carnival'!O58</f>
        <v>188958.15353501734</v>
      </c>
      <c r="P91" s="504">
        <f>'BH Tariffs'!O35*'P&amp;L - Concept B3 - Carnival'!P58</f>
        <v>192737.3166057177</v>
      </c>
      <c r="Q91" s="504">
        <f>'BH Tariffs'!P35*'P&amp;L - Concept B3 - Carnival'!Q58</f>
        <v>196592.06293783203</v>
      </c>
      <c r="R91" s="504">
        <f>'BH Tariffs'!Q35*'P&amp;L - Concept B3 - Carnival'!R58</f>
        <v>200523.90419658867</v>
      </c>
      <c r="S91" s="504">
        <f>'BH Tariffs'!R35*'P&amp;L - Concept B3 - Carnival'!S58</f>
        <v>204534.38228052045</v>
      </c>
      <c r="T91" s="504">
        <f>'BH Tariffs'!S35*'P&amp;L - Concept B3 - Carnival'!T58</f>
        <v>208625.06992613088</v>
      </c>
      <c r="U91" s="504">
        <f>'BH Tariffs'!T35*'P&amp;L - Concept B3 - Carnival'!U58</f>
        <v>212797.57132465352</v>
      </c>
      <c r="V91" s="504">
        <f>'BH Tariffs'!U35*'P&amp;L - Concept B3 - Carnival'!V58</f>
        <v>217053.52275114658</v>
      </c>
      <c r="W91" s="504">
        <f>'BH Tariffs'!V35*'P&amp;L - Concept B3 - Carnival'!W58</f>
        <v>221394.59320616955</v>
      </c>
      <c r="X91" s="504">
        <f>'BH Tariffs'!W35*'P&amp;L - Concept B3 - Carnival'!X58</f>
        <v>225822.48507029293</v>
      </c>
    </row>
    <row r="92" spans="1:25" s="167" customFormat="1">
      <c r="A92" s="539" t="str">
        <f>'BH Tariffs'!A36</f>
        <v>Water/Sewer</v>
      </c>
      <c r="B92" s="609"/>
      <c r="C92" s="540"/>
      <c r="D92" s="541">
        <v>0</v>
      </c>
      <c r="E92" s="542">
        <v>0</v>
      </c>
      <c r="F92" s="542">
        <v>0</v>
      </c>
      <c r="G92" s="542">
        <v>0</v>
      </c>
      <c r="H92" s="542">
        <v>0</v>
      </c>
      <c r="I92" s="542">
        <v>0</v>
      </c>
      <c r="J92" s="542">
        <v>0</v>
      </c>
      <c r="K92" s="542">
        <v>0</v>
      </c>
      <c r="L92" s="542">
        <v>0</v>
      </c>
      <c r="M92" s="542">
        <v>0</v>
      </c>
      <c r="N92" s="542">
        <v>0</v>
      </c>
      <c r="O92" s="542">
        <v>0</v>
      </c>
      <c r="P92" s="542">
        <v>0</v>
      </c>
      <c r="Q92" s="542">
        <v>0</v>
      </c>
      <c r="R92" s="542">
        <v>0</v>
      </c>
      <c r="S92" s="542">
        <v>0</v>
      </c>
      <c r="T92" s="542">
        <v>0</v>
      </c>
      <c r="U92" s="542">
        <v>0</v>
      </c>
      <c r="V92" s="542">
        <v>0</v>
      </c>
      <c r="W92" s="542">
        <v>0</v>
      </c>
      <c r="X92" s="542">
        <v>0</v>
      </c>
      <c r="Y92" s="167" t="s">
        <v>282</v>
      </c>
    </row>
    <row r="93" spans="1:25" s="167" customFormat="1">
      <c r="A93" s="539" t="str">
        <f>'BH Tariffs'!A37</f>
        <v xml:space="preserve">Power (Electricity) </v>
      </c>
      <c r="B93" s="609"/>
      <c r="C93" s="540"/>
      <c r="D93" s="541">
        <v>0</v>
      </c>
      <c r="E93" s="542">
        <v>0</v>
      </c>
      <c r="F93" s="542">
        <v>0</v>
      </c>
      <c r="G93" s="542">
        <v>0</v>
      </c>
      <c r="H93" s="542">
        <v>0</v>
      </c>
      <c r="I93" s="542">
        <v>0</v>
      </c>
      <c r="J93" s="542">
        <v>0</v>
      </c>
      <c r="K93" s="542">
        <v>0</v>
      </c>
      <c r="L93" s="542">
        <v>0</v>
      </c>
      <c r="M93" s="542">
        <v>0</v>
      </c>
      <c r="N93" s="542">
        <v>0</v>
      </c>
      <c r="O93" s="542">
        <v>0</v>
      </c>
      <c r="P93" s="542">
        <v>0</v>
      </c>
      <c r="Q93" s="542">
        <v>0</v>
      </c>
      <c r="R93" s="542">
        <v>0</v>
      </c>
      <c r="S93" s="542">
        <v>0</v>
      </c>
      <c r="T93" s="542">
        <v>0</v>
      </c>
      <c r="U93" s="542">
        <v>0</v>
      </c>
      <c r="V93" s="542">
        <v>0</v>
      </c>
      <c r="W93" s="542">
        <v>0</v>
      </c>
      <c r="X93" s="542">
        <v>0</v>
      </c>
      <c r="Y93" s="167" t="s">
        <v>282</v>
      </c>
    </row>
    <row r="94" spans="1:25" s="96" customFormat="1">
      <c r="A94" s="90" t="s">
        <v>526</v>
      </c>
      <c r="B94" s="606"/>
      <c r="C94" s="356"/>
      <c r="D94" s="502">
        <v>0</v>
      </c>
      <c r="E94" s="504">
        <v>0</v>
      </c>
      <c r="F94" s="504">
        <f>'BH Tariffs'!E38*'P&amp;L - Concept B3 - Carnival'!F56</f>
        <v>26250</v>
      </c>
      <c r="G94" s="504">
        <f>'BH Tariffs'!F38*'P&amp;L - Concept B3 - Carnival'!G56</f>
        <v>26775</v>
      </c>
      <c r="H94" s="504">
        <f>'BH Tariffs'!G38*'P&amp;L - Concept B3 - Carnival'!H56</f>
        <v>27310.5</v>
      </c>
      <c r="I94" s="504">
        <f>'BH Tariffs'!H38*'P&amp;L - Concept B3 - Carnival'!I56</f>
        <v>27856.71</v>
      </c>
      <c r="J94" s="504">
        <f>'BH Tariffs'!I38*'P&amp;L - Concept B3 - Carnival'!J56</f>
        <v>28413.8442</v>
      </c>
      <c r="K94" s="504">
        <f>'BH Tariffs'!J38*'P&amp;L - Concept B3 - Carnival'!K56</f>
        <v>28982.121084000002</v>
      </c>
      <c r="L94" s="504">
        <f>'BH Tariffs'!K38*'P&amp;L - Concept B3 - Carnival'!L56</f>
        <v>29561.763505679999</v>
      </c>
      <c r="M94" s="504">
        <f>'BH Tariffs'!L38*'P&amp;L - Concept B3 - Carnival'!M56</f>
        <v>30152.9987757936</v>
      </c>
      <c r="N94" s="504">
        <f>'BH Tariffs'!M38*'P&amp;L - Concept B3 - Carnival'!N56</f>
        <v>30756.058751309476</v>
      </c>
      <c r="O94" s="504">
        <f>'BH Tariffs'!N38*'P&amp;L - Concept B3 - Carnival'!O56</f>
        <v>31371.179926335666</v>
      </c>
      <c r="P94" s="504">
        <f>'BH Tariffs'!O38*'P&amp;L - Concept B3 - Carnival'!P56</f>
        <v>31998.603524862378</v>
      </c>
      <c r="Q94" s="504">
        <f>'BH Tariffs'!P38*'P&amp;L - Concept B3 - Carnival'!Q56</f>
        <v>32638.575595359627</v>
      </c>
      <c r="R94" s="504">
        <f>'BH Tariffs'!Q38*'P&amp;L - Concept B3 - Carnival'!R56</f>
        <v>33291.347107266818</v>
      </c>
      <c r="S94" s="504">
        <f>'BH Tariffs'!R38*'P&amp;L - Concept B3 - Carnival'!S56</f>
        <v>33957.174049412148</v>
      </c>
      <c r="T94" s="504">
        <f>'BH Tariffs'!S38*'P&amp;L - Concept B3 - Carnival'!T56</f>
        <v>34636.317530400396</v>
      </c>
      <c r="U94" s="504">
        <f>'BH Tariffs'!T38*'P&amp;L - Concept B3 - Carnival'!U56</f>
        <v>35329.043881008409</v>
      </c>
      <c r="V94" s="504">
        <f>'BH Tariffs'!U38*'P&amp;L - Concept B3 - Carnival'!V56</f>
        <v>36035.624758628575</v>
      </c>
      <c r="W94" s="504">
        <f>'BH Tariffs'!V38*'P&amp;L - Concept B3 - Carnival'!W56</f>
        <v>36756.337253801154</v>
      </c>
      <c r="X94" s="504">
        <f>'BH Tariffs'!W38*'P&amp;L - Concept B3 - Carnival'!X56</f>
        <v>37491.463998877174</v>
      </c>
    </row>
    <row r="95" spans="1:25">
      <c r="A95" s="88"/>
      <c r="B95" s="30"/>
      <c r="C95" s="89"/>
      <c r="D95" s="502"/>
      <c r="E95" s="504"/>
      <c r="F95" s="504"/>
      <c r="G95" s="504"/>
      <c r="H95" s="504"/>
      <c r="I95" s="504"/>
      <c r="J95" s="504"/>
      <c r="K95" s="504"/>
      <c r="L95" s="504"/>
      <c r="M95" s="504"/>
      <c r="N95" s="504"/>
      <c r="O95" s="504"/>
      <c r="P95" s="504"/>
      <c r="Q95" s="504"/>
      <c r="R95" s="504"/>
      <c r="S95" s="504"/>
      <c r="T95" s="504"/>
      <c r="U95" s="504"/>
      <c r="V95" s="504"/>
      <c r="W95" s="504"/>
      <c r="X95" s="504"/>
    </row>
    <row r="96" spans="1:25">
      <c r="A96" s="91" t="s">
        <v>26</v>
      </c>
      <c r="B96" s="30"/>
      <c r="C96" s="89"/>
      <c r="D96" s="502"/>
      <c r="E96" s="504"/>
      <c r="F96" s="504"/>
      <c r="G96" s="504"/>
      <c r="H96" s="504"/>
      <c r="I96" s="504"/>
      <c r="J96" s="504"/>
      <c r="K96" s="504"/>
      <c r="L96" s="504"/>
      <c r="M96" s="504"/>
      <c r="N96" s="504"/>
      <c r="O96" s="504"/>
      <c r="P96" s="504"/>
      <c r="Q96" s="504"/>
      <c r="R96" s="504"/>
      <c r="S96" s="504"/>
      <c r="T96" s="504"/>
      <c r="U96" s="504"/>
      <c r="V96" s="504"/>
      <c r="W96" s="504"/>
      <c r="X96" s="504"/>
    </row>
    <row r="97" spans="1:24" s="341" customFormat="1">
      <c r="A97" s="353" t="s">
        <v>214</v>
      </c>
      <c r="B97" s="354"/>
      <c r="C97" s="355"/>
      <c r="D97" s="548">
        <v>0</v>
      </c>
      <c r="E97" s="503">
        <v>0</v>
      </c>
      <c r="F97" s="503">
        <v>0</v>
      </c>
      <c r="G97" s="503">
        <v>0</v>
      </c>
      <c r="H97" s="503">
        <v>0</v>
      </c>
      <c r="I97" s="503">
        <v>0</v>
      </c>
      <c r="J97" s="503">
        <v>0</v>
      </c>
      <c r="K97" s="503">
        <v>0</v>
      </c>
      <c r="L97" s="503">
        <v>0</v>
      </c>
      <c r="M97" s="503">
        <v>0</v>
      </c>
      <c r="N97" s="503">
        <v>0</v>
      </c>
      <c r="O97" s="503">
        <v>0</v>
      </c>
      <c r="P97" s="503">
        <v>0</v>
      </c>
      <c r="Q97" s="503">
        <v>0</v>
      </c>
      <c r="R97" s="503">
        <v>0</v>
      </c>
      <c r="S97" s="503">
        <v>0</v>
      </c>
      <c r="T97" s="503">
        <v>0</v>
      </c>
      <c r="U97" s="503">
        <v>0</v>
      </c>
      <c r="V97" s="503">
        <v>0</v>
      </c>
      <c r="W97" s="503">
        <v>0</v>
      </c>
      <c r="X97" s="503">
        <v>0</v>
      </c>
    </row>
    <row r="98" spans="1:24">
      <c r="A98" s="88" t="s">
        <v>215</v>
      </c>
      <c r="B98" s="30"/>
      <c r="C98" s="89"/>
      <c r="D98" s="502">
        <v>0</v>
      </c>
      <c r="E98" s="504">
        <f>'BH Tariffs'!D43*'P&amp;L - Concept B3 - Carnival'!E44</f>
        <v>0</v>
      </c>
      <c r="F98" s="504">
        <f>'BH Tariffs'!E43*'P&amp;L - Concept B3 - Carnival'!F44</f>
        <v>0</v>
      </c>
      <c r="G98" s="504">
        <f>'BH Tariffs'!F43*'P&amp;L - Concept B3 - Carnival'!G44</f>
        <v>0</v>
      </c>
      <c r="H98" s="504">
        <f>'BH Tariffs'!G43*'P&amp;L - Concept B3 - Carnival'!H44</f>
        <v>0</v>
      </c>
      <c r="I98" s="504">
        <f>'BH Tariffs'!H43*'P&amp;L - Concept B3 - Carnival'!I44</f>
        <v>0</v>
      </c>
      <c r="J98" s="504">
        <f>'BH Tariffs'!I43*'P&amp;L - Concept B3 - Carnival'!J44</f>
        <v>243254.24999999994</v>
      </c>
      <c r="K98" s="504">
        <f>'BH Tariffs'!J43*'P&amp;L - Concept B3 - Carnival'!K44</f>
        <v>243254.24999999994</v>
      </c>
      <c r="L98" s="504">
        <f>'BH Tariffs'!K43*'P&amp;L - Concept B3 - Carnival'!L44</f>
        <v>243254.24999999994</v>
      </c>
      <c r="M98" s="504">
        <f>'BH Tariffs'!L43*'P&amp;L - Concept B3 - Carnival'!M44</f>
        <v>243254.24999999994</v>
      </c>
      <c r="N98" s="504">
        <f>'BH Tariffs'!M43*'P&amp;L - Concept B3 - Carnival'!N44</f>
        <v>243254.24999999994</v>
      </c>
      <c r="O98" s="504">
        <f>'BH Tariffs'!N43*'P&amp;L - Concept B3 - Carnival'!O44</f>
        <v>304067.81249999994</v>
      </c>
      <c r="P98" s="504">
        <f>'BH Tariffs'!O43*'P&amp;L - Concept B3 - Carnival'!P44</f>
        <v>304067.81249999994</v>
      </c>
      <c r="Q98" s="504">
        <f>'BH Tariffs'!P43*'P&amp;L - Concept B3 - Carnival'!Q44</f>
        <v>304067.81249999994</v>
      </c>
      <c r="R98" s="504">
        <f>'BH Tariffs'!Q43*'P&amp;L - Concept B3 - Carnival'!R44</f>
        <v>304067.81249999994</v>
      </c>
      <c r="S98" s="504">
        <f>'BH Tariffs'!R43*'P&amp;L - Concept B3 - Carnival'!S44</f>
        <v>304067.81249999994</v>
      </c>
      <c r="T98" s="504">
        <f>'BH Tariffs'!S43*'P&amp;L - Concept B3 - Carnival'!T44</f>
        <v>364881.37499999988</v>
      </c>
      <c r="U98" s="504">
        <f>'BH Tariffs'!T43*'P&amp;L - Concept B3 - Carnival'!U44</f>
        <v>364881.37499999988</v>
      </c>
      <c r="V98" s="504">
        <f>'BH Tariffs'!U43*'P&amp;L - Concept B3 - Carnival'!V44</f>
        <v>364881.37499999988</v>
      </c>
      <c r="W98" s="504">
        <f>'BH Tariffs'!V43*'P&amp;L - Concept B3 - Carnival'!W44</f>
        <v>364881.37499999988</v>
      </c>
      <c r="X98" s="504">
        <f>'BH Tariffs'!W43*'P&amp;L - Concept B3 - Carnival'!X44</f>
        <v>364881.37499999988</v>
      </c>
    </row>
    <row r="99" spans="1:24">
      <c r="A99" s="91"/>
      <c r="B99" s="30"/>
      <c r="C99" s="89"/>
      <c r="D99" s="502"/>
      <c r="E99" s="504"/>
      <c r="F99" s="504"/>
      <c r="G99" s="504"/>
      <c r="H99" s="504"/>
      <c r="I99" s="504"/>
      <c r="J99" s="504"/>
      <c r="K99" s="504"/>
      <c r="L99" s="504"/>
      <c r="M99" s="504"/>
      <c r="N99" s="504"/>
      <c r="O99" s="504"/>
      <c r="P99" s="504"/>
      <c r="Q99" s="504"/>
      <c r="R99" s="504"/>
      <c r="S99" s="504"/>
      <c r="T99" s="504"/>
      <c r="U99" s="504"/>
      <c r="V99" s="504"/>
      <c r="W99" s="504"/>
      <c r="X99" s="504"/>
    </row>
    <row r="100" spans="1:24">
      <c r="A100" s="91" t="s">
        <v>2</v>
      </c>
      <c r="B100" s="30"/>
      <c r="C100" s="89"/>
      <c r="D100" s="502"/>
      <c r="E100" s="504"/>
      <c r="F100" s="504"/>
      <c r="G100" s="504"/>
      <c r="H100" s="504"/>
      <c r="I100" s="504"/>
      <c r="J100" s="504"/>
      <c r="K100" s="504"/>
      <c r="L100" s="504"/>
      <c r="M100" s="504"/>
      <c r="N100" s="504"/>
      <c r="O100" s="504"/>
      <c r="P100" s="504"/>
      <c r="Q100" s="504"/>
      <c r="R100" s="504"/>
      <c r="S100" s="504"/>
      <c r="T100" s="504"/>
      <c r="U100" s="504"/>
      <c r="V100" s="504"/>
      <c r="W100" s="504"/>
      <c r="X100" s="504"/>
    </row>
    <row r="101" spans="1:24">
      <c r="A101" s="88" t="str">
        <f>'BH Tariffs'!A44</f>
        <v>Commerical Rent (Seasonal Kiosk(s)/Vendor(s))</v>
      </c>
      <c r="B101" s="30"/>
      <c r="C101" s="89"/>
      <c r="D101" s="502">
        <v>0</v>
      </c>
      <c r="E101" s="504">
        <f>'BH Tariffs'!D44*'P&amp;L - Concept B3 - Carnival'!E63</f>
        <v>0</v>
      </c>
      <c r="F101" s="504">
        <f>'BH Tariffs'!E44*'P&amp;L - Concept B3 - Carnival'!F63</f>
        <v>0</v>
      </c>
      <c r="G101" s="504">
        <f>'BH Tariffs'!F44*'P&amp;L - Concept B3 - Carnival'!G63*6</f>
        <v>6242.4000000000005</v>
      </c>
      <c r="H101" s="504">
        <f>'BH Tariffs'!G44*'P&amp;L - Concept B3 - Carnival'!H63*6</f>
        <v>6367.2479999999996</v>
      </c>
      <c r="I101" s="504">
        <f>'BH Tariffs'!H44*'P&amp;L - Concept B3 - Carnival'!I63*6</f>
        <v>6494.5929599999999</v>
      </c>
      <c r="J101" s="504">
        <f>'BH Tariffs'!I44*'P&amp;L - Concept B3 - Carnival'!J63*6</f>
        <v>6624.4848191999999</v>
      </c>
      <c r="K101" s="504">
        <f>'BH Tariffs'!J44*'P&amp;L - Concept B3 - Carnival'!K63*6</f>
        <v>6756.974515584001</v>
      </c>
      <c r="L101" s="504">
        <f>'BH Tariffs'!K44*'P&amp;L - Concept B3 - Carnival'!L63*6</f>
        <v>6892.1140058956807</v>
      </c>
      <c r="M101" s="504">
        <f>'BH Tariffs'!L44*'P&amp;L - Concept B3 - Carnival'!M63*6</f>
        <v>7029.9562860135939</v>
      </c>
      <c r="N101" s="504">
        <f>'BH Tariffs'!M44*'P&amp;L - Concept B3 - Carnival'!N63*6</f>
        <v>7170.555411733867</v>
      </c>
      <c r="O101" s="504">
        <f>'BH Tariffs'!N44*'P&amp;L - Concept B3 - Carnival'!O63*6</f>
        <v>7313.9665199685442</v>
      </c>
      <c r="P101" s="504">
        <f>'BH Tariffs'!O44*'P&amp;L - Concept B3 - Carnival'!P63*6</f>
        <v>7460.2458503679145</v>
      </c>
      <c r="Q101" s="504">
        <f>'BH Tariffs'!P44*'P&amp;L - Concept B3 - Carnival'!Q63*6</f>
        <v>7609.4507673752723</v>
      </c>
      <c r="R101" s="504">
        <f>'BH Tariffs'!Q44*'P&amp;L - Concept B3 - Carnival'!R63*6</f>
        <v>7761.6397827227775</v>
      </c>
      <c r="S101" s="504">
        <f>'BH Tariffs'!R44*'P&amp;L - Concept B3 - Carnival'!S63*6</f>
        <v>7916.8725783772334</v>
      </c>
      <c r="T101" s="504">
        <f>'BH Tariffs'!S44*'P&amp;L - Concept B3 - Carnival'!T63*6</f>
        <v>8075.2100299447793</v>
      </c>
      <c r="U101" s="504">
        <f>'BH Tariffs'!T44*'P&amp;L - Concept B3 - Carnival'!U63*6</f>
        <v>8236.7142305436755</v>
      </c>
      <c r="V101" s="504">
        <f>'BH Tariffs'!U44*'P&amp;L - Concept B3 - Carnival'!V63*6</f>
        <v>8401.4485151545487</v>
      </c>
      <c r="W101" s="504">
        <f>'BH Tariffs'!V44*'P&amp;L - Concept B3 - Carnival'!W63*6</f>
        <v>8569.4774854576408</v>
      </c>
      <c r="X101" s="504">
        <f>'BH Tariffs'!W44*'P&amp;L - Concept B3 - Carnival'!X63*6</f>
        <v>8740.8670351667934</v>
      </c>
    </row>
    <row r="102" spans="1:24" s="96" customFormat="1">
      <c r="A102" s="90" t="s">
        <v>541</v>
      </c>
      <c r="B102" s="606"/>
      <c r="C102" s="356"/>
      <c r="D102" s="502">
        <v>0</v>
      </c>
      <c r="E102" s="504">
        <v>0</v>
      </c>
      <c r="F102" s="504">
        <v>0</v>
      </c>
      <c r="G102" s="504">
        <f>G64*0.05</f>
        <v>10000</v>
      </c>
      <c r="H102" s="504">
        <f t="shared" ref="H102:X102" si="11">H64*0.05</f>
        <v>10000</v>
      </c>
      <c r="I102" s="504">
        <f t="shared" si="11"/>
        <v>10000</v>
      </c>
      <c r="J102" s="504">
        <f t="shared" si="11"/>
        <v>10000</v>
      </c>
      <c r="K102" s="504">
        <f t="shared" si="11"/>
        <v>10000</v>
      </c>
      <c r="L102" s="504">
        <f t="shared" si="11"/>
        <v>10000</v>
      </c>
      <c r="M102" s="504">
        <f t="shared" si="11"/>
        <v>10000</v>
      </c>
      <c r="N102" s="504">
        <f t="shared" si="11"/>
        <v>10000</v>
      </c>
      <c r="O102" s="504">
        <f t="shared" si="11"/>
        <v>10000</v>
      </c>
      <c r="P102" s="504">
        <f t="shared" si="11"/>
        <v>10000</v>
      </c>
      <c r="Q102" s="504">
        <f t="shared" si="11"/>
        <v>10000</v>
      </c>
      <c r="R102" s="504">
        <f t="shared" si="11"/>
        <v>10000</v>
      </c>
      <c r="S102" s="504">
        <f t="shared" si="11"/>
        <v>10000</v>
      </c>
      <c r="T102" s="504">
        <f t="shared" si="11"/>
        <v>10000</v>
      </c>
      <c r="U102" s="504">
        <f t="shared" si="11"/>
        <v>10000</v>
      </c>
      <c r="V102" s="504">
        <f t="shared" si="11"/>
        <v>10000</v>
      </c>
      <c r="W102" s="504">
        <f t="shared" si="11"/>
        <v>10000</v>
      </c>
      <c r="X102" s="504">
        <f t="shared" si="11"/>
        <v>10000</v>
      </c>
    </row>
    <row r="103" spans="1:24">
      <c r="A103" s="88" t="str">
        <f>'BH Tariffs'!A45</f>
        <v>Motorcoach Access/Tour Operator Licenses</v>
      </c>
      <c r="B103" s="30"/>
      <c r="C103" s="89"/>
      <c r="D103" s="502">
        <v>0</v>
      </c>
      <c r="E103" s="504">
        <v>0</v>
      </c>
      <c r="F103" s="504">
        <f>'BH Tariffs'!E45*'P&amp;L - Concept B3 - Carnival'!F66</f>
        <v>3060</v>
      </c>
      <c r="G103" s="504">
        <f>'BH Tariffs'!F45*'P&amp;L - Concept B3 - Carnival'!G66</f>
        <v>3121.2000000000003</v>
      </c>
      <c r="H103" s="504">
        <f>'BH Tariffs'!G45*'P&amp;L - Concept B3 - Carnival'!H66</f>
        <v>3183.6239999999998</v>
      </c>
      <c r="I103" s="504">
        <f>'BH Tariffs'!H45*'P&amp;L - Concept B3 - Carnival'!I66</f>
        <v>3247.29648</v>
      </c>
      <c r="J103" s="504">
        <f>'BH Tariffs'!I45*'P&amp;L - Concept B3 - Carnival'!J66</f>
        <v>3312.2424096</v>
      </c>
      <c r="K103" s="504">
        <f>'BH Tariffs'!J45*'P&amp;L - Concept B3 - Carnival'!K66</f>
        <v>3378.4872577920005</v>
      </c>
      <c r="L103" s="504">
        <f>'BH Tariffs'!K45*'P&amp;L - Concept B3 - Carnival'!L66</f>
        <v>3446.0570029478404</v>
      </c>
      <c r="M103" s="504">
        <f>'BH Tariffs'!L45*'P&amp;L - Concept B3 - Carnival'!M66</f>
        <v>3514.9781430067969</v>
      </c>
      <c r="N103" s="504">
        <f>'BH Tariffs'!M45*'P&amp;L - Concept B3 - Carnival'!N66</f>
        <v>3585.2777058669335</v>
      </c>
      <c r="O103" s="504">
        <f>'BH Tariffs'!N45*'P&amp;L - Concept B3 - Carnival'!O66</f>
        <v>3656.9832599842721</v>
      </c>
      <c r="P103" s="504">
        <f>'BH Tariffs'!O45*'P&amp;L - Concept B3 - Carnival'!P66</f>
        <v>3730.1229251839572</v>
      </c>
      <c r="Q103" s="504">
        <f>'BH Tariffs'!P45*'P&amp;L - Concept B3 - Carnival'!Q66</f>
        <v>3804.7253836876362</v>
      </c>
      <c r="R103" s="504">
        <f>'BH Tariffs'!Q45*'P&amp;L - Concept B3 - Carnival'!R66</f>
        <v>3880.8198913613887</v>
      </c>
      <c r="S103" s="504">
        <f>'BH Tariffs'!R45*'P&amp;L - Concept B3 - Carnival'!S66</f>
        <v>3958.4362891886167</v>
      </c>
      <c r="T103" s="504">
        <f>'BH Tariffs'!S45*'P&amp;L - Concept B3 - Carnival'!T66</f>
        <v>4037.6050149723897</v>
      </c>
      <c r="U103" s="504">
        <f>'BH Tariffs'!T45*'P&amp;L - Concept B3 - Carnival'!U66</f>
        <v>4118.3571152718378</v>
      </c>
      <c r="V103" s="504">
        <f>'BH Tariffs'!U45*'P&amp;L - Concept B3 - Carnival'!V66</f>
        <v>4200.7242575772743</v>
      </c>
      <c r="W103" s="504">
        <f>'BH Tariffs'!V45*'P&amp;L - Concept B3 - Carnival'!W66</f>
        <v>4284.7387427288204</v>
      </c>
      <c r="X103" s="504">
        <f>'BH Tariffs'!W45*'P&amp;L - Concept B3 - Carnival'!X66</f>
        <v>4370.4335175833967</v>
      </c>
    </row>
    <row r="104" spans="1:24">
      <c r="A104" s="299" t="s">
        <v>217</v>
      </c>
      <c r="B104" s="299"/>
      <c r="C104" s="299"/>
      <c r="D104" s="505">
        <v>0</v>
      </c>
      <c r="E104" s="506">
        <v>0</v>
      </c>
      <c r="F104" s="506">
        <f>'BH Tariffs'!E46*'P&amp;L - Concept B3 - Carnival'!F65</f>
        <v>500</v>
      </c>
      <c r="G104" s="506">
        <f>'BH Tariffs'!F46*'P&amp;L - Concept B3 - Carnival'!G65</f>
        <v>1000</v>
      </c>
      <c r="H104" s="506">
        <f>'BH Tariffs'!G46*'P&amp;L - Concept B3 - Carnival'!H65</f>
        <v>1000</v>
      </c>
      <c r="I104" s="506">
        <f>'BH Tariffs'!H46*'P&amp;L - Concept B3 - Carnival'!I65</f>
        <v>1000</v>
      </c>
      <c r="J104" s="506">
        <f>'BH Tariffs'!I46*'P&amp;L - Concept B3 - Carnival'!J65</f>
        <v>1650</v>
      </c>
      <c r="K104" s="506">
        <f>'BH Tariffs'!J46*'P&amp;L - Concept B3 - Carnival'!K65</f>
        <v>1650</v>
      </c>
      <c r="L104" s="506">
        <f>'BH Tariffs'!K46*'P&amp;L - Concept B3 - Carnival'!L65</f>
        <v>1650</v>
      </c>
      <c r="M104" s="506">
        <f>'BH Tariffs'!L46*'P&amp;L - Concept B3 - Carnival'!M65</f>
        <v>1650</v>
      </c>
      <c r="N104" s="506">
        <f>'BH Tariffs'!M46*'P&amp;L - Concept B3 - Carnival'!N65</f>
        <v>1650</v>
      </c>
      <c r="O104" s="506">
        <f>'BH Tariffs'!N46*'P&amp;L - Concept B3 - Carnival'!O65</f>
        <v>2400</v>
      </c>
      <c r="P104" s="506">
        <f>'BH Tariffs'!O46*'P&amp;L - Concept B3 - Carnival'!P65</f>
        <v>2400</v>
      </c>
      <c r="Q104" s="506">
        <f>'BH Tariffs'!P46*'P&amp;L - Concept B3 - Carnival'!Q65</f>
        <v>2400</v>
      </c>
      <c r="R104" s="506">
        <f>'BH Tariffs'!Q46*'P&amp;L - Concept B3 - Carnival'!R65</f>
        <v>2400</v>
      </c>
      <c r="S104" s="506">
        <f>'BH Tariffs'!R46*'P&amp;L - Concept B3 - Carnival'!S65</f>
        <v>2400</v>
      </c>
      <c r="T104" s="506">
        <f>'BH Tariffs'!S46*'P&amp;L - Concept B3 - Carnival'!T65</f>
        <v>3250</v>
      </c>
      <c r="U104" s="506">
        <f>'BH Tariffs'!T46*'P&amp;L - Concept B3 - Carnival'!U65</f>
        <v>3250</v>
      </c>
      <c r="V104" s="506">
        <f>'BH Tariffs'!U46*'P&amp;L - Concept B3 - Carnival'!V65</f>
        <v>3250</v>
      </c>
      <c r="W104" s="506">
        <f>'BH Tariffs'!V46*'P&amp;L - Concept B3 - Carnival'!W65</f>
        <v>3250</v>
      </c>
      <c r="X104" s="506">
        <f>'BH Tariffs'!W46*'P&amp;L - Concept B3 - Carnival'!X65</f>
        <v>3250</v>
      </c>
    </row>
    <row r="105" spans="1:24">
      <c r="A105" s="278" t="s">
        <v>145</v>
      </c>
      <c r="D105" s="507">
        <f>SUM(D71:D104)</f>
        <v>0</v>
      </c>
      <c r="E105" s="508">
        <f>SUM(E70:E104)</f>
        <v>0</v>
      </c>
      <c r="F105" s="508">
        <f t="shared" ref="F105:X105" si="12">SUM(F70:F104)</f>
        <v>1560313.9176383857</v>
      </c>
      <c r="G105" s="508">
        <f t="shared" si="12"/>
        <v>1608252.5959911535</v>
      </c>
      <c r="H105" s="508">
        <f t="shared" si="12"/>
        <v>1640197.6479109763</v>
      </c>
      <c r="I105" s="508">
        <f t="shared" si="12"/>
        <v>1672781.6008691962</v>
      </c>
      <c r="J105" s="508">
        <f t="shared" si="12"/>
        <v>1949921.4828865798</v>
      </c>
      <c r="K105" s="508">
        <f t="shared" si="12"/>
        <v>1983821.8275443118</v>
      </c>
      <c r="L105" s="508">
        <f t="shared" si="12"/>
        <v>2018400.1790951982</v>
      </c>
      <c r="M105" s="508">
        <f t="shared" si="12"/>
        <v>2053670.0976771023</v>
      </c>
      <c r="N105" s="508">
        <f t="shared" si="12"/>
        <v>2089645.4146306443</v>
      </c>
      <c r="O105" s="508">
        <f t="shared" si="12"/>
        <v>2187903.8004232571</v>
      </c>
      <c r="P105" s="508">
        <f t="shared" si="12"/>
        <v>2225332.520181722</v>
      </c>
      <c r="Q105" s="508">
        <f t="shared" si="12"/>
        <v>2263509.8143353565</v>
      </c>
      <c r="R105" s="508">
        <f t="shared" si="12"/>
        <v>2302450.6543720635</v>
      </c>
      <c r="S105" s="508">
        <f t="shared" si="12"/>
        <v>2342170.311209505</v>
      </c>
      <c r="T105" s="508">
        <f t="shared" si="12"/>
        <v>2444347.923683695</v>
      </c>
      <c r="U105" s="508">
        <f t="shared" si="12"/>
        <v>2485672.2546573691</v>
      </c>
      <c r="V105" s="508">
        <f t="shared" si="12"/>
        <v>2527823.0722505166</v>
      </c>
      <c r="W105" s="508">
        <f t="shared" si="12"/>
        <v>2570816.9061955269</v>
      </c>
      <c r="X105" s="508">
        <f t="shared" si="12"/>
        <v>2614670.6168194376</v>
      </c>
    </row>
    <row r="106" spans="1:24">
      <c r="D106" s="507"/>
      <c r="E106" s="413"/>
      <c r="F106" s="413"/>
      <c r="G106" s="413"/>
      <c r="H106" s="413"/>
      <c r="I106" s="413"/>
      <c r="J106" s="413"/>
      <c r="K106" s="413"/>
      <c r="L106" s="413"/>
      <c r="M106" s="413"/>
      <c r="N106" s="413"/>
      <c r="O106" s="413"/>
      <c r="P106" s="413"/>
      <c r="Q106" s="413"/>
      <c r="R106" s="413"/>
      <c r="S106" s="413"/>
      <c r="T106" s="413"/>
      <c r="U106" s="413"/>
      <c r="V106" s="413"/>
      <c r="W106" s="413"/>
      <c r="X106" s="413"/>
    </row>
    <row r="107" spans="1:24">
      <c r="A107" s="271" t="s">
        <v>146</v>
      </c>
      <c r="B107" s="149"/>
      <c r="C107" s="149"/>
      <c r="D107" s="509"/>
      <c r="E107" s="510"/>
      <c r="F107" s="510"/>
      <c r="G107" s="510"/>
      <c r="H107" s="510"/>
      <c r="I107" s="510"/>
      <c r="J107" s="510"/>
      <c r="K107" s="510"/>
      <c r="L107" s="510"/>
      <c r="M107" s="510"/>
      <c r="N107" s="510"/>
      <c r="O107" s="510"/>
      <c r="P107" s="510"/>
      <c r="Q107" s="510"/>
      <c r="R107" s="510"/>
      <c r="S107" s="510"/>
      <c r="T107" s="510"/>
      <c r="U107" s="510"/>
      <c r="V107" s="510"/>
      <c r="W107" s="510"/>
      <c r="X107" s="510"/>
    </row>
    <row r="108" spans="1:24">
      <c r="D108" s="507"/>
      <c r="E108" s="413"/>
      <c r="F108" s="413"/>
      <c r="G108" s="413"/>
      <c r="H108" s="413"/>
      <c r="I108" s="413"/>
      <c r="J108" s="413"/>
      <c r="K108" s="413"/>
      <c r="L108" s="413"/>
      <c r="M108" s="413"/>
      <c r="N108" s="413"/>
      <c r="O108" s="413"/>
      <c r="P108" s="413"/>
      <c r="Q108" s="413"/>
      <c r="R108" s="413"/>
      <c r="S108" s="413"/>
      <c r="T108" s="413"/>
      <c r="U108" s="413"/>
      <c r="V108" s="413"/>
      <c r="W108" s="413"/>
      <c r="X108" s="413"/>
    </row>
    <row r="109" spans="1:24">
      <c r="A109" s="91" t="s">
        <v>380</v>
      </c>
      <c r="B109" s="89"/>
      <c r="C109" s="89"/>
      <c r="D109" s="502"/>
      <c r="E109" s="504"/>
      <c r="F109" s="504"/>
      <c r="G109" s="504"/>
      <c r="H109" s="504"/>
      <c r="I109" s="504"/>
      <c r="J109" s="504"/>
      <c r="K109" s="504"/>
      <c r="L109" s="504"/>
      <c r="M109" s="504"/>
      <c r="N109" s="504"/>
      <c r="O109" s="504"/>
      <c r="P109" s="504"/>
      <c r="Q109" s="504"/>
      <c r="R109" s="504"/>
      <c r="S109" s="504"/>
      <c r="T109" s="504"/>
      <c r="U109" s="504"/>
      <c r="V109" s="504"/>
      <c r="W109" s="504"/>
      <c r="X109" s="504"/>
    </row>
    <row r="110" spans="1:24">
      <c r="A110" s="88" t="s">
        <v>432</v>
      </c>
      <c r="B110" s="89"/>
      <c r="C110" s="89"/>
      <c r="D110" s="502">
        <v>0</v>
      </c>
      <c r="E110" s="504">
        <v>0</v>
      </c>
      <c r="F110" s="504">
        <v>0</v>
      </c>
      <c r="G110" s="504">
        <v>0</v>
      </c>
      <c r="H110" s="504">
        <v>0</v>
      </c>
      <c r="I110" s="504">
        <v>0</v>
      </c>
      <c r="J110" s="504">
        <v>0</v>
      </c>
      <c r="K110" s="504">
        <v>0</v>
      </c>
      <c r="L110" s="504">
        <v>0</v>
      </c>
      <c r="M110" s="504">
        <v>0</v>
      </c>
      <c r="N110" s="504">
        <v>0</v>
      </c>
      <c r="O110" s="504">
        <v>0</v>
      </c>
      <c r="P110" s="504">
        <v>0</v>
      </c>
      <c r="Q110" s="504">
        <v>0</v>
      </c>
      <c r="R110" s="504">
        <v>0</v>
      </c>
      <c r="S110" s="504">
        <v>0</v>
      </c>
      <c r="T110" s="504">
        <v>0</v>
      </c>
      <c r="U110" s="504">
        <v>0</v>
      </c>
      <c r="V110" s="504">
        <v>0</v>
      </c>
      <c r="W110" s="504">
        <v>0</v>
      </c>
      <c r="X110" s="504">
        <v>0</v>
      </c>
    </row>
    <row r="111" spans="1:24">
      <c r="A111" s="88" t="s">
        <v>433</v>
      </c>
      <c r="B111" s="89"/>
      <c r="C111" s="89"/>
      <c r="D111" s="502">
        <v>0</v>
      </c>
      <c r="E111" s="504">
        <v>0</v>
      </c>
      <c r="F111" s="504">
        <v>0</v>
      </c>
      <c r="G111" s="504">
        <v>0</v>
      </c>
      <c r="H111" s="504">
        <v>0</v>
      </c>
      <c r="I111" s="504">
        <v>0</v>
      </c>
      <c r="J111" s="504">
        <v>0</v>
      </c>
      <c r="K111" s="504">
        <v>0</v>
      </c>
      <c r="L111" s="504">
        <v>0</v>
      </c>
      <c r="M111" s="504">
        <v>0</v>
      </c>
      <c r="N111" s="504">
        <v>0</v>
      </c>
      <c r="O111" s="504">
        <v>0</v>
      </c>
      <c r="P111" s="504">
        <v>0</v>
      </c>
      <c r="Q111" s="504">
        <v>0</v>
      </c>
      <c r="R111" s="504">
        <v>0</v>
      </c>
      <c r="S111" s="504">
        <v>0</v>
      </c>
      <c r="T111" s="504">
        <v>0</v>
      </c>
      <c r="U111" s="504">
        <v>0</v>
      </c>
      <c r="V111" s="504">
        <v>0</v>
      </c>
      <c r="W111" s="504">
        <v>0</v>
      </c>
      <c r="X111" s="504">
        <v>0</v>
      </c>
    </row>
    <row r="112" spans="1:24">
      <c r="A112" s="88" t="s">
        <v>434</v>
      </c>
      <c r="B112" s="89"/>
      <c r="C112" s="89"/>
      <c r="D112" s="502">
        <v>0</v>
      </c>
      <c r="E112" s="504">
        <v>0</v>
      </c>
      <c r="F112" s="504">
        <v>0</v>
      </c>
      <c r="G112" s="504">
        <v>0</v>
      </c>
      <c r="H112" s="504">
        <v>0</v>
      </c>
      <c r="I112" s="504">
        <v>0</v>
      </c>
      <c r="J112" s="504">
        <v>0</v>
      </c>
      <c r="K112" s="504">
        <v>0</v>
      </c>
      <c r="L112" s="504">
        <v>0</v>
      </c>
      <c r="M112" s="504">
        <v>0</v>
      </c>
      <c r="N112" s="504">
        <v>0</v>
      </c>
      <c r="O112" s="504">
        <v>0</v>
      </c>
      <c r="P112" s="504">
        <v>0</v>
      </c>
      <c r="Q112" s="504">
        <v>0</v>
      </c>
      <c r="R112" s="504">
        <v>0</v>
      </c>
      <c r="S112" s="504">
        <v>0</v>
      </c>
      <c r="T112" s="504">
        <v>0</v>
      </c>
      <c r="U112" s="504">
        <v>0</v>
      </c>
      <c r="V112" s="504">
        <v>0</v>
      </c>
      <c r="W112" s="504">
        <v>0</v>
      </c>
      <c r="X112" s="504">
        <v>0</v>
      </c>
    </row>
    <row r="113" spans="1:27">
      <c r="A113" s="88" t="s">
        <v>229</v>
      </c>
      <c r="B113" s="30"/>
      <c r="C113" s="89"/>
      <c r="D113" s="502">
        <v>0</v>
      </c>
      <c r="E113" s="504">
        <v>0</v>
      </c>
      <c r="F113" s="504">
        <v>0</v>
      </c>
      <c r="G113" s="504">
        <v>0</v>
      </c>
      <c r="H113" s="504">
        <v>0</v>
      </c>
      <c r="I113" s="504">
        <v>0</v>
      </c>
      <c r="J113" s="504">
        <v>0</v>
      </c>
      <c r="K113" s="504">
        <v>0</v>
      </c>
      <c r="L113" s="504">
        <v>0</v>
      </c>
      <c r="M113" s="504">
        <v>0</v>
      </c>
      <c r="N113" s="504">
        <v>0</v>
      </c>
      <c r="O113" s="504">
        <v>0</v>
      </c>
      <c r="P113" s="504">
        <v>0</v>
      </c>
      <c r="Q113" s="504">
        <v>0</v>
      </c>
      <c r="R113" s="504">
        <v>0</v>
      </c>
      <c r="S113" s="504">
        <v>0</v>
      </c>
      <c r="T113" s="504">
        <v>0</v>
      </c>
      <c r="U113" s="504">
        <v>0</v>
      </c>
      <c r="V113" s="504">
        <v>0</v>
      </c>
      <c r="W113" s="504">
        <v>0</v>
      </c>
      <c r="X113" s="504">
        <v>0</v>
      </c>
    </row>
    <row r="114" spans="1:27" s="32" customFormat="1">
      <c r="A114" s="299" t="s">
        <v>297</v>
      </c>
      <c r="B114" s="299"/>
      <c r="C114" s="299"/>
      <c r="D114" s="505">
        <v>0</v>
      </c>
      <c r="E114" s="506">
        <v>0</v>
      </c>
      <c r="F114" s="506">
        <v>0</v>
      </c>
      <c r="G114" s="506">
        <f t="shared" ref="G114:X114" si="13">G53</f>
        <v>100000</v>
      </c>
      <c r="H114" s="506">
        <f t="shared" si="13"/>
        <v>100000</v>
      </c>
      <c r="I114" s="506">
        <f t="shared" si="13"/>
        <v>100000</v>
      </c>
      <c r="J114" s="506">
        <f t="shared" si="13"/>
        <v>100000</v>
      </c>
      <c r="K114" s="506">
        <f t="shared" si="13"/>
        <v>100000</v>
      </c>
      <c r="L114" s="506">
        <f t="shared" si="13"/>
        <v>100000</v>
      </c>
      <c r="M114" s="506">
        <f t="shared" si="13"/>
        <v>100000</v>
      </c>
      <c r="N114" s="506">
        <f t="shared" si="13"/>
        <v>100000</v>
      </c>
      <c r="O114" s="506">
        <f t="shared" si="13"/>
        <v>100000</v>
      </c>
      <c r="P114" s="506">
        <f t="shared" si="13"/>
        <v>100000</v>
      </c>
      <c r="Q114" s="506">
        <f t="shared" si="13"/>
        <v>100000</v>
      </c>
      <c r="R114" s="506">
        <f t="shared" si="13"/>
        <v>100000</v>
      </c>
      <c r="S114" s="506">
        <f t="shared" si="13"/>
        <v>100000</v>
      </c>
      <c r="T114" s="506">
        <f t="shared" si="13"/>
        <v>100000</v>
      </c>
      <c r="U114" s="506">
        <f t="shared" si="13"/>
        <v>100000</v>
      </c>
      <c r="V114" s="506">
        <f t="shared" si="13"/>
        <v>100000</v>
      </c>
      <c r="W114" s="506">
        <f t="shared" si="13"/>
        <v>100000</v>
      </c>
      <c r="X114" s="506">
        <f t="shared" si="13"/>
        <v>100000</v>
      </c>
    </row>
    <row r="115" spans="1:27">
      <c r="A115" s="278" t="s">
        <v>147</v>
      </c>
      <c r="D115" s="507">
        <f>SUM(D113:D114)</f>
        <v>0</v>
      </c>
      <c r="E115" s="508">
        <f>SUM(E110:E114)</f>
        <v>0</v>
      </c>
      <c r="F115" s="508">
        <f t="shared" ref="F115:X115" si="14">SUM(F110:F114)</f>
        <v>0</v>
      </c>
      <c r="G115" s="508">
        <f t="shared" si="14"/>
        <v>100000</v>
      </c>
      <c r="H115" s="508">
        <f t="shared" si="14"/>
        <v>100000</v>
      </c>
      <c r="I115" s="508">
        <f t="shared" si="14"/>
        <v>100000</v>
      </c>
      <c r="J115" s="508">
        <f t="shared" si="14"/>
        <v>100000</v>
      </c>
      <c r="K115" s="508">
        <f t="shared" si="14"/>
        <v>100000</v>
      </c>
      <c r="L115" s="508">
        <f t="shared" si="14"/>
        <v>100000</v>
      </c>
      <c r="M115" s="508">
        <f t="shared" si="14"/>
        <v>100000</v>
      </c>
      <c r="N115" s="508">
        <f t="shared" si="14"/>
        <v>100000</v>
      </c>
      <c r="O115" s="508">
        <f t="shared" si="14"/>
        <v>100000</v>
      </c>
      <c r="P115" s="508">
        <f t="shared" si="14"/>
        <v>100000</v>
      </c>
      <c r="Q115" s="508">
        <f t="shared" si="14"/>
        <v>100000</v>
      </c>
      <c r="R115" s="508">
        <f t="shared" si="14"/>
        <v>100000</v>
      </c>
      <c r="S115" s="508">
        <f t="shared" si="14"/>
        <v>100000</v>
      </c>
      <c r="T115" s="508">
        <f t="shared" si="14"/>
        <v>100000</v>
      </c>
      <c r="U115" s="508">
        <f t="shared" si="14"/>
        <v>100000</v>
      </c>
      <c r="V115" s="508">
        <f t="shared" si="14"/>
        <v>100000</v>
      </c>
      <c r="W115" s="508">
        <f t="shared" si="14"/>
        <v>100000</v>
      </c>
      <c r="X115" s="508">
        <f t="shared" si="14"/>
        <v>100000</v>
      </c>
    </row>
    <row r="116" spans="1:27">
      <c r="D116" s="507"/>
      <c r="E116" s="413"/>
      <c r="F116" s="413"/>
      <c r="G116" s="413"/>
      <c r="H116" s="413"/>
      <c r="I116" s="413"/>
      <c r="J116" s="413"/>
      <c r="K116" s="413"/>
      <c r="L116" s="413"/>
      <c r="M116" s="413"/>
      <c r="N116" s="413"/>
      <c r="O116" s="413"/>
      <c r="P116" s="413"/>
      <c r="Q116" s="413"/>
      <c r="R116" s="413"/>
      <c r="S116" s="413"/>
      <c r="T116" s="413"/>
      <c r="U116" s="413"/>
      <c r="V116" s="413"/>
      <c r="W116" s="413"/>
      <c r="X116" s="413"/>
    </row>
    <row r="117" spans="1:27">
      <c r="A117" s="88" t="s">
        <v>608</v>
      </c>
      <c r="D117" s="507">
        <f t="shared" ref="D117" si="15">SUM(D115:D116)</f>
        <v>0</v>
      </c>
      <c r="E117" s="413">
        <v>58025</v>
      </c>
      <c r="F117" s="413">
        <v>0</v>
      </c>
      <c r="G117" s="413">
        <v>0</v>
      </c>
      <c r="H117" s="413">
        <v>0</v>
      </c>
      <c r="I117" s="413">
        <v>0</v>
      </c>
      <c r="J117" s="413">
        <v>0</v>
      </c>
      <c r="K117" s="413">
        <v>0</v>
      </c>
      <c r="L117" s="413">
        <v>0</v>
      </c>
      <c r="M117" s="413">
        <v>0</v>
      </c>
      <c r="N117" s="413">
        <v>0</v>
      </c>
      <c r="O117" s="413">
        <v>0</v>
      </c>
      <c r="P117" s="413">
        <v>0</v>
      </c>
      <c r="Q117" s="413">
        <v>0</v>
      </c>
      <c r="R117" s="413">
        <v>0</v>
      </c>
      <c r="S117" s="413">
        <v>0</v>
      </c>
      <c r="T117" s="413">
        <v>0</v>
      </c>
      <c r="U117" s="413">
        <v>0</v>
      </c>
      <c r="V117" s="413">
        <v>0</v>
      </c>
      <c r="W117" s="413">
        <v>0</v>
      </c>
      <c r="X117" s="413">
        <v>0</v>
      </c>
    </row>
    <row r="118" spans="1:27">
      <c r="D118" s="507"/>
      <c r="E118" s="413"/>
      <c r="F118" s="413"/>
      <c r="G118" s="413"/>
      <c r="H118" s="413"/>
      <c r="I118" s="413"/>
      <c r="J118" s="413"/>
      <c r="K118" s="413"/>
      <c r="L118" s="413"/>
      <c r="M118" s="413"/>
      <c r="N118" s="413"/>
      <c r="O118" s="413"/>
      <c r="P118" s="413"/>
      <c r="Q118" s="413"/>
      <c r="R118" s="413"/>
      <c r="S118" s="413"/>
      <c r="T118" s="413"/>
      <c r="U118" s="413"/>
      <c r="V118" s="413"/>
      <c r="W118" s="413"/>
      <c r="X118" s="413"/>
    </row>
    <row r="119" spans="1:27" s="16" customFormat="1" ht="14.25">
      <c r="A119" s="295" t="s">
        <v>148</v>
      </c>
      <c r="B119" s="295"/>
      <c r="C119" s="295"/>
      <c r="D119" s="511">
        <f>SUM(D105,D115)</f>
        <v>0</v>
      </c>
      <c r="E119" s="511">
        <f>SUM(E105,E115,E117)</f>
        <v>58025</v>
      </c>
      <c r="F119" s="511">
        <f t="shared" ref="F119:X119" si="16">SUM(F105,F115,F117)</f>
        <v>1560313.9176383857</v>
      </c>
      <c r="G119" s="511">
        <f t="shared" si="16"/>
        <v>1708252.5959911535</v>
      </c>
      <c r="H119" s="511">
        <f t="shared" si="16"/>
        <v>1740197.6479109763</v>
      </c>
      <c r="I119" s="511">
        <f t="shared" si="16"/>
        <v>1772781.6008691962</v>
      </c>
      <c r="J119" s="511">
        <f t="shared" si="16"/>
        <v>2049921.4828865798</v>
      </c>
      <c r="K119" s="511">
        <f t="shared" si="16"/>
        <v>2083821.8275443118</v>
      </c>
      <c r="L119" s="511">
        <f t="shared" si="16"/>
        <v>2118400.1790951984</v>
      </c>
      <c r="M119" s="511">
        <f t="shared" si="16"/>
        <v>2153670.0976771023</v>
      </c>
      <c r="N119" s="511">
        <f t="shared" si="16"/>
        <v>2189645.414630644</v>
      </c>
      <c r="O119" s="511">
        <f t="shared" si="16"/>
        <v>2287903.8004232571</v>
      </c>
      <c r="P119" s="511">
        <f t="shared" si="16"/>
        <v>2325332.520181722</v>
      </c>
      <c r="Q119" s="511">
        <f t="shared" si="16"/>
        <v>2363509.8143353565</v>
      </c>
      <c r="R119" s="511">
        <f t="shared" si="16"/>
        <v>2402450.6543720635</v>
      </c>
      <c r="S119" s="511">
        <f t="shared" si="16"/>
        <v>2442170.311209505</v>
      </c>
      <c r="T119" s="511">
        <f t="shared" si="16"/>
        <v>2544347.923683695</v>
      </c>
      <c r="U119" s="511">
        <f t="shared" si="16"/>
        <v>2585672.2546573691</v>
      </c>
      <c r="V119" s="511">
        <f t="shared" si="16"/>
        <v>2627823.0722505166</v>
      </c>
      <c r="W119" s="511">
        <f t="shared" si="16"/>
        <v>2670816.9061955269</v>
      </c>
      <c r="X119" s="511">
        <f t="shared" si="16"/>
        <v>2714670.6168194376</v>
      </c>
      <c r="Y119" s="622">
        <f>SUM(D119:X119)</f>
        <v>42399727.638372004</v>
      </c>
      <c r="AA119" s="370">
        <f>(Y76+Y78)/Y119</f>
        <v>0.67873588474580371</v>
      </c>
    </row>
    <row r="120" spans="1:27">
      <c r="A120" s="30"/>
      <c r="B120" s="30"/>
      <c r="C120" s="30"/>
      <c r="D120" s="502"/>
      <c r="E120" s="512"/>
      <c r="F120" s="512"/>
      <c r="G120" s="512"/>
      <c r="H120" s="512"/>
      <c r="I120" s="512"/>
      <c r="J120" s="512"/>
      <c r="K120" s="512"/>
      <c r="L120" s="512"/>
      <c r="M120" s="512"/>
      <c r="N120" s="512"/>
      <c r="O120" s="512"/>
      <c r="P120" s="512"/>
      <c r="Q120" s="512"/>
      <c r="R120" s="512"/>
      <c r="S120" s="512"/>
      <c r="T120" s="512"/>
      <c r="U120" s="512"/>
      <c r="V120" s="512"/>
      <c r="W120" s="512"/>
      <c r="X120" s="512"/>
    </row>
    <row r="121" spans="1:27" s="33" customFormat="1">
      <c r="A121" s="47" t="s">
        <v>7</v>
      </c>
      <c r="B121" s="47" t="s">
        <v>7</v>
      </c>
      <c r="C121" s="78" t="s">
        <v>7</v>
      </c>
      <c r="D121" s="604" t="s">
        <v>7</v>
      </c>
      <c r="E121" s="78" t="s">
        <v>7</v>
      </c>
      <c r="F121" s="78" t="s">
        <v>7</v>
      </c>
      <c r="G121" s="78" t="s">
        <v>7</v>
      </c>
      <c r="H121" s="78" t="s">
        <v>7</v>
      </c>
      <c r="I121" s="78" t="s">
        <v>7</v>
      </c>
      <c r="J121" s="78" t="s">
        <v>7</v>
      </c>
      <c r="K121" s="78" t="s">
        <v>7</v>
      </c>
      <c r="L121" s="78" t="s">
        <v>7</v>
      </c>
      <c r="M121" s="78" t="s">
        <v>7</v>
      </c>
      <c r="N121" s="78" t="s">
        <v>7</v>
      </c>
      <c r="O121" s="78" t="s">
        <v>7</v>
      </c>
      <c r="P121" s="78" t="s">
        <v>7</v>
      </c>
      <c r="Q121" s="78" t="s">
        <v>7</v>
      </c>
      <c r="R121" s="78" t="s">
        <v>7</v>
      </c>
      <c r="S121" s="78" t="s">
        <v>7</v>
      </c>
      <c r="T121" s="78" t="s">
        <v>7</v>
      </c>
      <c r="U121" s="78" t="s">
        <v>7</v>
      </c>
      <c r="V121" s="78" t="s">
        <v>7</v>
      </c>
      <c r="W121" s="78" t="s">
        <v>7</v>
      </c>
      <c r="X121" s="78" t="s">
        <v>7</v>
      </c>
    </row>
    <row r="122" spans="1:27">
      <c r="A122" s="30"/>
      <c r="B122" s="30"/>
      <c r="C122" s="30"/>
      <c r="D122" s="502"/>
      <c r="E122" s="512"/>
      <c r="F122" s="512"/>
      <c r="G122" s="512"/>
      <c r="H122" s="512"/>
      <c r="I122" s="512"/>
      <c r="J122" s="512"/>
      <c r="K122" s="512"/>
      <c r="L122" s="512"/>
      <c r="M122" s="512"/>
      <c r="N122" s="512"/>
      <c r="O122" s="512"/>
      <c r="P122" s="512"/>
      <c r="Q122" s="512"/>
      <c r="R122" s="512"/>
      <c r="S122" s="512"/>
      <c r="T122" s="512"/>
      <c r="U122" s="512"/>
      <c r="V122" s="512"/>
      <c r="W122" s="512"/>
      <c r="X122" s="512"/>
    </row>
    <row r="123" spans="1:27">
      <c r="A123" s="269" t="s">
        <v>131</v>
      </c>
      <c r="B123" s="269"/>
      <c r="C123" s="270"/>
      <c r="D123" s="513"/>
      <c r="E123" s="513"/>
      <c r="F123" s="513"/>
      <c r="G123" s="513"/>
      <c r="H123" s="513"/>
      <c r="I123" s="513"/>
      <c r="J123" s="513"/>
      <c r="K123" s="513"/>
      <c r="L123" s="513"/>
      <c r="M123" s="513"/>
      <c r="N123" s="513"/>
      <c r="O123" s="513"/>
      <c r="P123" s="513"/>
      <c r="Q123" s="513"/>
      <c r="R123" s="513"/>
      <c r="S123" s="513"/>
      <c r="T123" s="513"/>
      <c r="U123" s="513"/>
      <c r="V123" s="513"/>
      <c r="W123" s="513"/>
      <c r="X123" s="513"/>
    </row>
    <row r="124" spans="1:27">
      <c r="A124" s="69"/>
      <c r="B124" s="69"/>
      <c r="C124" s="69"/>
      <c r="D124" s="502"/>
      <c r="E124" s="504"/>
      <c r="F124" s="504"/>
      <c r="G124" s="504"/>
      <c r="H124" s="504"/>
      <c r="I124" s="504"/>
      <c r="J124" s="504"/>
      <c r="K124" s="504"/>
      <c r="L124" s="504"/>
      <c r="M124" s="504"/>
      <c r="N124" s="504"/>
      <c r="O124" s="504"/>
      <c r="P124" s="504"/>
      <c r="Q124" s="504"/>
      <c r="R124" s="504"/>
      <c r="S124" s="504"/>
      <c r="T124" s="504"/>
      <c r="U124" s="504"/>
      <c r="V124" s="504"/>
      <c r="W124" s="504"/>
      <c r="X124" s="504"/>
    </row>
    <row r="125" spans="1:27" s="96" customFormat="1">
      <c r="A125" s="69" t="s">
        <v>13</v>
      </c>
      <c r="B125" s="69"/>
      <c r="C125" s="69"/>
      <c r="D125" s="514">
        <v>0</v>
      </c>
      <c r="E125" s="515">
        <f>'OPEX - Concept B3 - Carnival'!L80</f>
        <v>12250</v>
      </c>
      <c r="F125" s="515">
        <f>'OPEX - Concept B3 - Carnival'!M80</f>
        <v>171500</v>
      </c>
      <c r="G125" s="515">
        <f>'OPEX - Concept B3 - Carnival'!N80</f>
        <v>174930</v>
      </c>
      <c r="H125" s="515">
        <f>'OPEX - Concept B3 - Carnival'!O80</f>
        <v>178428.59999999998</v>
      </c>
      <c r="I125" s="515">
        <f>'OPEX - Concept B3 - Carnival'!P80</f>
        <v>181997.17199999996</v>
      </c>
      <c r="J125" s="515">
        <f>'OPEX - Concept B3 - Carnival'!Q80</f>
        <v>185637.11543999997</v>
      </c>
      <c r="K125" s="515">
        <f>'OPEX - Concept B3 - Carnival'!R80</f>
        <v>189349.85774879999</v>
      </c>
      <c r="L125" s="515">
        <f>'OPEX - Concept B3 - Carnival'!S80</f>
        <v>193136.85490377599</v>
      </c>
      <c r="M125" s="515">
        <f>'OPEX - Concept B3 - Carnival'!T80</f>
        <v>196999.59200185153</v>
      </c>
      <c r="N125" s="515">
        <f>'OPEX - Concept B3 - Carnival'!U80</f>
        <v>200939.58384188855</v>
      </c>
      <c r="O125" s="515">
        <f>'OPEX - Concept B3 - Carnival'!V80</f>
        <v>204958.37551872636</v>
      </c>
      <c r="P125" s="515">
        <f>'OPEX - Concept B3 - Carnival'!W80</f>
        <v>209057.54302910087</v>
      </c>
      <c r="Q125" s="515">
        <f>'OPEX - Concept B3 - Carnival'!X80</f>
        <v>213238.69388968288</v>
      </c>
      <c r="R125" s="515">
        <f>'OPEX - Concept B3 - Carnival'!Y80</f>
        <v>217503.46776747654</v>
      </c>
      <c r="S125" s="515">
        <f>'OPEX - Concept B3 - Carnival'!Z80</f>
        <v>221853.53712282603</v>
      </c>
      <c r="T125" s="515">
        <f>'OPEX - Concept B3 - Carnival'!AA80</f>
        <v>226290.60786528263</v>
      </c>
      <c r="U125" s="515">
        <f>'OPEX - Concept B3 - Carnival'!AB80</f>
        <v>230816.42002258825</v>
      </c>
      <c r="V125" s="515">
        <f>'OPEX - Concept B3 - Carnival'!AC80</f>
        <v>235432.74842304003</v>
      </c>
      <c r="W125" s="515">
        <f>'OPEX - Concept B3 - Carnival'!AD80</f>
        <v>240141.40339150085</v>
      </c>
      <c r="X125" s="515">
        <f>'OPEX - Concept B3 - Carnival'!AE80</f>
        <v>244944.23145933088</v>
      </c>
    </row>
    <row r="126" spans="1:27" s="96" customFormat="1">
      <c r="A126" s="69" t="s">
        <v>41</v>
      </c>
      <c r="B126" s="69"/>
      <c r="C126" s="69"/>
      <c r="D126" s="514">
        <v>0</v>
      </c>
      <c r="E126" s="515">
        <f>'OPEX - Concept B3 - Carnival'!L88</f>
        <v>25000</v>
      </c>
      <c r="F126" s="515">
        <f>'OPEX - Concept B3 - Carnival'!M88</f>
        <v>25500</v>
      </c>
      <c r="G126" s="515">
        <f>'OPEX - Concept B3 - Carnival'!N88</f>
        <v>26010</v>
      </c>
      <c r="H126" s="515">
        <f>'OPEX - Concept B3 - Carnival'!O88</f>
        <v>26530.199999999997</v>
      </c>
      <c r="I126" s="515">
        <f>'OPEX - Concept B3 - Carnival'!P88</f>
        <v>27060.804</v>
      </c>
      <c r="J126" s="515">
        <f>'OPEX - Concept B3 - Carnival'!Q88</f>
        <v>27602.020080000002</v>
      </c>
      <c r="K126" s="515">
        <f>'OPEX - Concept B3 - Carnival'!R88</f>
        <v>28154.060481600001</v>
      </c>
      <c r="L126" s="515">
        <f>'OPEX - Concept B3 - Carnival'!S88</f>
        <v>28717.141691232002</v>
      </c>
      <c r="M126" s="515">
        <f>'OPEX - Concept B3 - Carnival'!T88</f>
        <v>29291.484525056643</v>
      </c>
      <c r="N126" s="515">
        <f>'OPEX - Concept B3 - Carnival'!U88</f>
        <v>29877.314215557777</v>
      </c>
      <c r="O126" s="515">
        <f>'OPEX - Concept B3 - Carnival'!V88</f>
        <v>30474.860499868933</v>
      </c>
      <c r="P126" s="515">
        <f>'OPEX - Concept B3 - Carnival'!W88</f>
        <v>31084.357709866312</v>
      </c>
      <c r="Q126" s="515">
        <f>'OPEX - Concept B3 - Carnival'!X88</f>
        <v>31706.044864063639</v>
      </c>
      <c r="R126" s="515">
        <f>'OPEX - Concept B3 - Carnival'!Y88</f>
        <v>32340.165761344906</v>
      </c>
      <c r="S126" s="515">
        <f>'OPEX - Concept B3 - Carnival'!Z88</f>
        <v>32986.969076571811</v>
      </c>
      <c r="T126" s="515">
        <f>'OPEX - Concept B3 - Carnival'!AA88</f>
        <v>33646.708458103247</v>
      </c>
      <c r="U126" s="515">
        <f>'OPEX - Concept B3 - Carnival'!AB88</f>
        <v>34319.642627265312</v>
      </c>
      <c r="V126" s="515">
        <f>'OPEX - Concept B3 - Carnival'!AC88</f>
        <v>35006.03547981062</v>
      </c>
      <c r="W126" s="515">
        <f>'OPEX - Concept B3 - Carnival'!AD88</f>
        <v>35706.156189406836</v>
      </c>
      <c r="X126" s="515">
        <f>'OPEX - Concept B3 - Carnival'!AE88</f>
        <v>36420.279313194973</v>
      </c>
    </row>
    <row r="127" spans="1:27" s="96" customFormat="1">
      <c r="A127" s="69" t="s">
        <v>424</v>
      </c>
      <c r="B127" s="69"/>
      <c r="C127" s="69"/>
      <c r="D127" s="514">
        <v>0</v>
      </c>
      <c r="E127" s="515">
        <f>'OPEX - Concept B3 - Carnival'!L89</f>
        <v>10000</v>
      </c>
      <c r="F127" s="515">
        <f>'OPEX - Concept B3 - Carnival'!M89</f>
        <v>500</v>
      </c>
      <c r="G127" s="515">
        <f>'OPEX - Concept B3 - Carnival'!N89</f>
        <v>520.20000000000005</v>
      </c>
      <c r="H127" s="515">
        <f>'OPEX - Concept B3 - Carnival'!O89</f>
        <v>530.60399999999993</v>
      </c>
      <c r="I127" s="515">
        <f>'OPEX - Concept B3 - Carnival'!P89</f>
        <v>541.21608000000003</v>
      </c>
      <c r="J127" s="515">
        <f>'OPEX - Concept B3 - Carnival'!Q89</f>
        <v>5000</v>
      </c>
      <c r="K127" s="515">
        <f>'OPEX - Concept B3 - Carnival'!R89</f>
        <v>563.08120963200008</v>
      </c>
      <c r="L127" s="515">
        <f>'OPEX - Concept B3 - Carnival'!S89</f>
        <v>574.34283382464002</v>
      </c>
      <c r="M127" s="515">
        <f>'OPEX - Concept B3 - Carnival'!T89</f>
        <v>585.82969050113286</v>
      </c>
      <c r="N127" s="515">
        <f>'OPEX - Concept B3 - Carnival'!U89</f>
        <v>597.54628431115555</v>
      </c>
      <c r="O127" s="515">
        <f>'OPEX - Concept B3 - Carnival'!V89</f>
        <v>5000</v>
      </c>
      <c r="P127" s="515">
        <f>'OPEX - Concept B3 - Carnival'!W89</f>
        <v>621.68715419732621</v>
      </c>
      <c r="Q127" s="515">
        <f>'OPEX - Concept B3 - Carnival'!X89</f>
        <v>634.12089728127273</v>
      </c>
      <c r="R127" s="515">
        <f>'OPEX - Concept B3 - Carnival'!Y89</f>
        <v>646.80331522689812</v>
      </c>
      <c r="S127" s="515">
        <f>'OPEX - Concept B3 - Carnival'!Z89</f>
        <v>659.73938153143615</v>
      </c>
      <c r="T127" s="515">
        <f>'OPEX - Concept B3 - Carnival'!AA89</f>
        <v>5000</v>
      </c>
      <c r="U127" s="515">
        <f>'OPEX - Concept B3 - Carnival'!AB89</f>
        <v>686.39285254530625</v>
      </c>
      <c r="V127" s="515">
        <f>'OPEX - Concept B3 - Carnival'!AC89</f>
        <v>700.12070959621246</v>
      </c>
      <c r="W127" s="515">
        <f>'OPEX - Concept B3 - Carnival'!AD89</f>
        <v>714.1231237881367</v>
      </c>
      <c r="X127" s="515">
        <f>'OPEX - Concept B3 - Carnival'!AE89</f>
        <v>728.40558626389941</v>
      </c>
    </row>
    <row r="128" spans="1:27" s="96" customFormat="1">
      <c r="A128" s="69" t="s">
        <v>42</v>
      </c>
      <c r="B128" s="69"/>
      <c r="C128" s="69"/>
      <c r="D128" s="514">
        <v>0</v>
      </c>
      <c r="E128" s="515">
        <f>'OPEX - Concept B3 - Carnival'!L90</f>
        <v>50000</v>
      </c>
      <c r="F128" s="515">
        <f>'OPEX - Concept B3 - Carnival'!M90</f>
        <v>51000</v>
      </c>
      <c r="G128" s="515">
        <f>'OPEX - Concept B3 - Carnival'!N90</f>
        <v>52020</v>
      </c>
      <c r="H128" s="515">
        <f>'OPEX - Concept B3 - Carnival'!O90</f>
        <v>53060.399999999994</v>
      </c>
      <c r="I128" s="515">
        <f>'OPEX - Concept B3 - Carnival'!P90</f>
        <v>54121.608</v>
      </c>
      <c r="J128" s="515">
        <f>'OPEX - Concept B3 - Carnival'!Q90</f>
        <v>55204.040160000004</v>
      </c>
      <c r="K128" s="515">
        <f>'OPEX - Concept B3 - Carnival'!R90</f>
        <v>56308.120963200003</v>
      </c>
      <c r="L128" s="515">
        <f>'OPEX - Concept B3 - Carnival'!S90</f>
        <v>57434.283382464004</v>
      </c>
      <c r="M128" s="515">
        <f>'OPEX - Concept B3 - Carnival'!T90</f>
        <v>58582.969050113286</v>
      </c>
      <c r="N128" s="515">
        <f>'OPEX - Concept B3 - Carnival'!U90</f>
        <v>59754.628431115554</v>
      </c>
      <c r="O128" s="515">
        <f>'OPEX - Concept B3 - Carnival'!V90</f>
        <v>60949.720999737867</v>
      </c>
      <c r="P128" s="515">
        <f>'OPEX - Concept B3 - Carnival'!W90</f>
        <v>62168.715419732624</v>
      </c>
      <c r="Q128" s="515">
        <f>'OPEX - Concept B3 - Carnival'!X90</f>
        <v>63412.089728127277</v>
      </c>
      <c r="R128" s="515">
        <f>'OPEX - Concept B3 - Carnival'!Y90</f>
        <v>64680.331522689812</v>
      </c>
      <c r="S128" s="515">
        <f>'OPEX - Concept B3 - Carnival'!Z90</f>
        <v>65973.938153143623</v>
      </c>
      <c r="T128" s="515">
        <f>'OPEX - Concept B3 - Carnival'!AA90</f>
        <v>67293.416916206494</v>
      </c>
      <c r="U128" s="515">
        <f>'OPEX - Concept B3 - Carnival'!AB90</f>
        <v>68639.285254530623</v>
      </c>
      <c r="V128" s="515">
        <f>'OPEX - Concept B3 - Carnival'!AC90</f>
        <v>70012.07095962124</v>
      </c>
      <c r="W128" s="515">
        <f>'OPEX - Concept B3 - Carnival'!AD90</f>
        <v>71412.312378813673</v>
      </c>
      <c r="X128" s="515">
        <f>'OPEX - Concept B3 - Carnival'!AE90</f>
        <v>72840.558626389946</v>
      </c>
    </row>
    <row r="129" spans="1:24" s="96" customFormat="1">
      <c r="A129" s="69" t="s">
        <v>43</v>
      </c>
      <c r="B129" s="69"/>
      <c r="C129" s="69"/>
      <c r="D129" s="514">
        <v>0</v>
      </c>
      <c r="E129" s="515">
        <f>'OPEX - Concept B3 - Carnival'!L91</f>
        <v>500</v>
      </c>
      <c r="F129" s="515">
        <f>'OPEX - Concept B3 - Carnival'!M91</f>
        <v>2040</v>
      </c>
      <c r="G129" s="515">
        <f>'OPEX - Concept B3 - Carnival'!N91</f>
        <v>2080.8000000000002</v>
      </c>
      <c r="H129" s="515">
        <f>'OPEX - Concept B3 - Carnival'!O91</f>
        <v>2122.4159999999997</v>
      </c>
      <c r="I129" s="515">
        <f>'OPEX - Concept B3 - Carnival'!P91</f>
        <v>2164.8643200000001</v>
      </c>
      <c r="J129" s="515">
        <f>'OPEX - Concept B3 - Carnival'!Q91</f>
        <v>2208.1616064</v>
      </c>
      <c r="K129" s="515">
        <f>'OPEX - Concept B3 - Carnival'!R91</f>
        <v>2252.3248385280003</v>
      </c>
      <c r="L129" s="515">
        <f>'OPEX - Concept B3 - Carnival'!S91</f>
        <v>2297.3713352985601</v>
      </c>
      <c r="M129" s="515">
        <f>'OPEX - Concept B3 - Carnival'!T91</f>
        <v>2343.3187620045314</v>
      </c>
      <c r="N129" s="515">
        <f>'OPEX - Concept B3 - Carnival'!U91</f>
        <v>2390.1851372446222</v>
      </c>
      <c r="O129" s="515">
        <f>'OPEX - Concept B3 - Carnival'!V91</f>
        <v>2437.9888399895149</v>
      </c>
      <c r="P129" s="515">
        <f>'OPEX - Concept B3 - Carnival'!W91</f>
        <v>2486.7486167893048</v>
      </c>
      <c r="Q129" s="515">
        <f>'OPEX - Concept B3 - Carnival'!X91</f>
        <v>2536.4835891250909</v>
      </c>
      <c r="R129" s="515">
        <f>'OPEX - Concept B3 - Carnival'!Y91</f>
        <v>2587.2132609075925</v>
      </c>
      <c r="S129" s="515">
        <f>'OPEX - Concept B3 - Carnival'!Z91</f>
        <v>2638.9575261257446</v>
      </c>
      <c r="T129" s="515">
        <f>'OPEX - Concept B3 - Carnival'!AA91</f>
        <v>2691.7366766482596</v>
      </c>
      <c r="U129" s="515">
        <f>'OPEX - Concept B3 - Carnival'!AB91</f>
        <v>2745.571410181225</v>
      </c>
      <c r="V129" s="515">
        <f>'OPEX - Concept B3 - Carnival'!AC91</f>
        <v>2800.4828383848499</v>
      </c>
      <c r="W129" s="515">
        <f>'OPEX - Concept B3 - Carnival'!AD91</f>
        <v>2856.4924951525468</v>
      </c>
      <c r="X129" s="515">
        <f>'OPEX - Concept B3 - Carnival'!AE91</f>
        <v>2913.6223450555976</v>
      </c>
    </row>
    <row r="130" spans="1:24" s="96" customFormat="1">
      <c r="A130" s="69" t="s">
        <v>44</v>
      </c>
      <c r="B130" s="69"/>
      <c r="C130" s="69"/>
      <c r="D130" s="514">
        <v>0</v>
      </c>
      <c r="E130" s="515">
        <f>'OPEX - Concept B3 - Carnival'!L92</f>
        <v>250</v>
      </c>
      <c r="F130" s="515">
        <f>'OPEX - Concept B3 - Carnival'!M92</f>
        <v>1020</v>
      </c>
      <c r="G130" s="515">
        <f>'OPEX - Concept B3 - Carnival'!N92</f>
        <v>1040.4000000000001</v>
      </c>
      <c r="H130" s="515">
        <f>'OPEX - Concept B3 - Carnival'!O92</f>
        <v>1061.2079999999999</v>
      </c>
      <c r="I130" s="515">
        <f>'OPEX - Concept B3 - Carnival'!P92</f>
        <v>1082.4321600000001</v>
      </c>
      <c r="J130" s="515">
        <f>'OPEX - Concept B3 - Carnival'!Q92</f>
        <v>1104.0808032</v>
      </c>
      <c r="K130" s="515">
        <f>'OPEX - Concept B3 - Carnival'!R92</f>
        <v>1126.1624192640002</v>
      </c>
      <c r="L130" s="515">
        <f>'OPEX - Concept B3 - Carnival'!S92</f>
        <v>1148.68566764928</v>
      </c>
      <c r="M130" s="515">
        <f>'OPEX - Concept B3 - Carnival'!T92</f>
        <v>1171.6593810022657</v>
      </c>
      <c r="N130" s="515">
        <f>'OPEX - Concept B3 - Carnival'!U92</f>
        <v>1195.0925686223111</v>
      </c>
      <c r="O130" s="515">
        <f>'OPEX - Concept B3 - Carnival'!V92</f>
        <v>1218.9944199947574</v>
      </c>
      <c r="P130" s="515">
        <f>'OPEX - Concept B3 - Carnival'!W92</f>
        <v>1243.3743083946524</v>
      </c>
      <c r="Q130" s="515">
        <f>'OPEX - Concept B3 - Carnival'!X92</f>
        <v>1268.2417945625455</v>
      </c>
      <c r="R130" s="515">
        <f>'OPEX - Concept B3 - Carnival'!Y92</f>
        <v>1293.6066304537962</v>
      </c>
      <c r="S130" s="515">
        <f>'OPEX - Concept B3 - Carnival'!Z92</f>
        <v>1319.4787630628723</v>
      </c>
      <c r="T130" s="515">
        <f>'OPEX - Concept B3 - Carnival'!AA92</f>
        <v>1345.8683383241298</v>
      </c>
      <c r="U130" s="515">
        <f>'OPEX - Concept B3 - Carnival'!AB92</f>
        <v>1372.7857050906125</v>
      </c>
      <c r="V130" s="515">
        <f>'OPEX - Concept B3 - Carnival'!AC92</f>
        <v>1400.2414191924249</v>
      </c>
      <c r="W130" s="515">
        <f>'OPEX - Concept B3 - Carnival'!AD92</f>
        <v>1428.2462475762734</v>
      </c>
      <c r="X130" s="515">
        <f>'OPEX - Concept B3 - Carnival'!AE92</f>
        <v>1456.8111725277988</v>
      </c>
    </row>
    <row r="131" spans="1:24" s="96" customFormat="1">
      <c r="A131" s="69" t="s">
        <v>2</v>
      </c>
      <c r="B131" s="69"/>
      <c r="C131" s="69"/>
      <c r="D131" s="514">
        <v>0</v>
      </c>
      <c r="E131" s="515">
        <f>'OPEX - Concept B3 - Carnival'!L93</f>
        <v>1000</v>
      </c>
      <c r="F131" s="515">
        <f>'OPEX - Concept B3 - Carnival'!M93</f>
        <v>1020</v>
      </c>
      <c r="G131" s="515">
        <f>'OPEX - Concept B3 - Carnival'!N93</f>
        <v>1040.4000000000001</v>
      </c>
      <c r="H131" s="515">
        <f>'OPEX - Concept B3 - Carnival'!O93</f>
        <v>1061.2079999999999</v>
      </c>
      <c r="I131" s="515">
        <f>'OPEX - Concept B3 - Carnival'!P93</f>
        <v>1082.4321600000001</v>
      </c>
      <c r="J131" s="515">
        <f>'OPEX - Concept B3 - Carnival'!Q93</f>
        <v>1104.0808032</v>
      </c>
      <c r="K131" s="515">
        <f>'OPEX - Concept B3 - Carnival'!R93</f>
        <v>1126.1624192640002</v>
      </c>
      <c r="L131" s="515">
        <f>'OPEX - Concept B3 - Carnival'!S93</f>
        <v>1148.68566764928</v>
      </c>
      <c r="M131" s="515">
        <f>'OPEX - Concept B3 - Carnival'!T93</f>
        <v>1171.6593810022657</v>
      </c>
      <c r="N131" s="515">
        <f>'OPEX - Concept B3 - Carnival'!U93</f>
        <v>1195.0925686223111</v>
      </c>
      <c r="O131" s="515">
        <f>'OPEX - Concept B3 - Carnival'!V93</f>
        <v>1218.9944199947574</v>
      </c>
      <c r="P131" s="515">
        <f>'OPEX - Concept B3 - Carnival'!W93</f>
        <v>1243.3743083946524</v>
      </c>
      <c r="Q131" s="515">
        <f>'OPEX - Concept B3 - Carnival'!X93</f>
        <v>1268.2417945625455</v>
      </c>
      <c r="R131" s="515">
        <f>'OPEX - Concept B3 - Carnival'!Y93</f>
        <v>1293.6066304537962</v>
      </c>
      <c r="S131" s="515">
        <f>'OPEX - Concept B3 - Carnival'!Z93</f>
        <v>1319.4787630628723</v>
      </c>
      <c r="T131" s="515">
        <f>'OPEX - Concept B3 - Carnival'!AA93</f>
        <v>1345.8683383241298</v>
      </c>
      <c r="U131" s="515">
        <f>'OPEX - Concept B3 - Carnival'!AB93</f>
        <v>1372.7857050906125</v>
      </c>
      <c r="V131" s="515">
        <f>'OPEX - Concept B3 - Carnival'!AC93</f>
        <v>1400.2414191924249</v>
      </c>
      <c r="W131" s="515">
        <f>'OPEX - Concept B3 - Carnival'!AD93</f>
        <v>1428.2462475762734</v>
      </c>
      <c r="X131" s="515">
        <f>'OPEX - Concept B3 - Carnival'!AE93</f>
        <v>1456.8111725277988</v>
      </c>
    </row>
    <row r="132" spans="1:24" s="96" customFormat="1">
      <c r="A132" s="69"/>
      <c r="B132" s="69"/>
      <c r="C132" s="69"/>
      <c r="D132" s="514"/>
      <c r="E132" s="515"/>
      <c r="F132" s="515"/>
      <c r="G132" s="515"/>
      <c r="H132" s="515"/>
      <c r="I132" s="515"/>
      <c r="J132" s="515"/>
      <c r="K132" s="515"/>
      <c r="L132" s="515"/>
      <c r="M132" s="515"/>
      <c r="N132" s="515"/>
      <c r="O132" s="515"/>
      <c r="P132" s="515"/>
      <c r="Q132" s="515"/>
      <c r="R132" s="515"/>
      <c r="S132" s="515"/>
      <c r="T132" s="515"/>
      <c r="U132" s="515"/>
      <c r="V132" s="515"/>
      <c r="W132" s="515"/>
      <c r="X132" s="515"/>
    </row>
    <row r="133" spans="1:24" s="96" customFormat="1">
      <c r="A133" s="69" t="s">
        <v>25</v>
      </c>
      <c r="B133" s="69"/>
      <c r="C133" s="69"/>
      <c r="D133" s="514">
        <v>0</v>
      </c>
      <c r="E133" s="515">
        <f>'OPEX - Concept B3 - Carnival'!L109</f>
        <v>23741.666666666664</v>
      </c>
      <c r="F133" s="515">
        <f>'OPEX - Concept B3 - Carnival'!M109</f>
        <v>24216.5</v>
      </c>
      <c r="G133" s="515">
        <f>'OPEX - Concept B3 - Carnival'!N109</f>
        <v>24700.83</v>
      </c>
      <c r="H133" s="515">
        <f>'OPEX - Concept B3 - Carnival'!O109</f>
        <v>25194.846599999997</v>
      </c>
      <c r="I133" s="515">
        <f>'OPEX - Concept B3 - Carnival'!P109</f>
        <v>25698.743532</v>
      </c>
      <c r="J133" s="515">
        <f>'OPEX - Concept B3 - Carnival'!Q109</f>
        <v>26212.718402639999</v>
      </c>
      <c r="K133" s="515">
        <f>'OPEX - Concept B3 - Carnival'!R109</f>
        <v>26736.972770692802</v>
      </c>
      <c r="L133" s="515">
        <f>'OPEX - Concept B3 - Carnival'!S109</f>
        <v>27271.712226106654</v>
      </c>
      <c r="M133" s="515">
        <f>'OPEX - Concept B3 - Carnival'!T109</f>
        <v>27817.146470628788</v>
      </c>
      <c r="N133" s="515">
        <f>'OPEX - Concept B3 - Carnival'!U109</f>
        <v>28373.48940004137</v>
      </c>
      <c r="O133" s="515">
        <f>'OPEX - Concept B3 - Carnival'!V109</f>
        <v>28940.959188042198</v>
      </c>
      <c r="P133" s="515">
        <f>'OPEX - Concept B3 - Carnival'!W109</f>
        <v>29519.77837180304</v>
      </c>
      <c r="Q133" s="515">
        <f>'OPEX - Concept B3 - Carnival'!X109</f>
        <v>30110.173939239099</v>
      </c>
      <c r="R133" s="515">
        <f>'OPEX - Concept B3 - Carnival'!Y109</f>
        <v>30712.37741802388</v>
      </c>
      <c r="S133" s="515">
        <f>'OPEX - Concept B3 - Carnival'!Z109</f>
        <v>31326.624966384359</v>
      </c>
      <c r="T133" s="515">
        <f>'OPEX - Concept B3 - Carnival'!AA109</f>
        <v>31953.157465712051</v>
      </c>
      <c r="U133" s="515">
        <f>'OPEX - Concept B3 - Carnival'!AB109</f>
        <v>32592.220615026294</v>
      </c>
      <c r="V133" s="515">
        <f>'OPEX - Concept B3 - Carnival'!AC109</f>
        <v>33244.065027326818</v>
      </c>
      <c r="W133" s="515">
        <f>'OPEX - Concept B3 - Carnival'!AD109</f>
        <v>33908.946327873353</v>
      </c>
      <c r="X133" s="515">
        <f>'OPEX - Concept B3 - Carnival'!AE109</f>
        <v>34587.125254430823</v>
      </c>
    </row>
    <row r="134" spans="1:24" s="96" customFormat="1">
      <c r="A134" s="782" t="s">
        <v>426</v>
      </c>
      <c r="B134" s="69"/>
      <c r="C134" s="69"/>
      <c r="D134" s="514">
        <v>0</v>
      </c>
      <c r="E134" s="515">
        <f>'OPEX - Concept B3 - Carnival'!L97</f>
        <v>1000</v>
      </c>
      <c r="F134" s="515">
        <f>'OPEX - Concept B3 - Carnival'!M97</f>
        <v>1020</v>
      </c>
      <c r="G134" s="515">
        <f>'OPEX - Concept B3 - Carnival'!N97</f>
        <v>1040.4000000000001</v>
      </c>
      <c r="H134" s="515">
        <f>'OPEX - Concept B3 - Carnival'!O97</f>
        <v>1061.2079999999999</v>
      </c>
      <c r="I134" s="515">
        <f>'OPEX - Concept B3 - Carnival'!P97</f>
        <v>1082.4321600000001</v>
      </c>
      <c r="J134" s="515">
        <f>'OPEX - Concept B3 - Carnival'!Q97</f>
        <v>25000</v>
      </c>
      <c r="K134" s="515">
        <f>'OPEX - Concept B3 - Carnival'!R97</f>
        <v>25500</v>
      </c>
      <c r="L134" s="515">
        <f>'OPEX - Concept B3 - Carnival'!S97</f>
        <v>26010</v>
      </c>
      <c r="M134" s="515">
        <f>'OPEX - Concept B3 - Carnival'!T97</f>
        <v>26530.199999999997</v>
      </c>
      <c r="N134" s="515">
        <f>'OPEX - Concept B3 - Carnival'!U97</f>
        <v>27060.804</v>
      </c>
      <c r="O134" s="515">
        <f>'OPEX - Concept B3 - Carnival'!V97</f>
        <v>27602.020080000002</v>
      </c>
      <c r="P134" s="515">
        <f>'OPEX - Concept B3 - Carnival'!W97</f>
        <v>28154.060481600001</v>
      </c>
      <c r="Q134" s="515">
        <f>'OPEX - Concept B3 - Carnival'!X97</f>
        <v>28717.141691232002</v>
      </c>
      <c r="R134" s="515">
        <f>'OPEX - Concept B3 - Carnival'!Y97</f>
        <v>29291.484525056643</v>
      </c>
      <c r="S134" s="515">
        <f>'OPEX - Concept B3 - Carnival'!Z97</f>
        <v>29877.314215557777</v>
      </c>
      <c r="T134" s="515">
        <f>'OPEX - Concept B3 - Carnival'!AA97</f>
        <v>30474.860499868933</v>
      </c>
      <c r="U134" s="515">
        <f>'OPEX - Concept B3 - Carnival'!AB97</f>
        <v>31084.357709866312</v>
      </c>
      <c r="V134" s="515">
        <f>'OPEX - Concept B3 - Carnival'!AC97</f>
        <v>31706.044864063639</v>
      </c>
      <c r="W134" s="515">
        <f>'OPEX - Concept B3 - Carnival'!AD97</f>
        <v>32340.165761344906</v>
      </c>
      <c r="X134" s="515">
        <f>'OPEX - Concept B3 - Carnival'!AE97</f>
        <v>32986.969076571811</v>
      </c>
    </row>
    <row r="135" spans="1:24" s="96" customFormat="1">
      <c r="A135" s="644" t="s">
        <v>302</v>
      </c>
      <c r="B135" s="69"/>
      <c r="C135" s="69"/>
      <c r="D135" s="514">
        <v>0</v>
      </c>
      <c r="E135" s="515">
        <f>'Shuttle Projections'!C28/2</f>
        <v>233675</v>
      </c>
      <c r="F135" s="515">
        <f>'Shuttle Projections'!D28</f>
        <v>476697</v>
      </c>
      <c r="G135" s="515">
        <f>'Shuttle Projections'!E28</f>
        <v>486230.94000000006</v>
      </c>
      <c r="H135" s="515">
        <f>'Shuttle Projections'!F28</f>
        <v>495955.55879999994</v>
      </c>
      <c r="I135" s="515">
        <f>'Shuttle Projections'!G28</f>
        <v>505874.66997599998</v>
      </c>
      <c r="J135" s="515">
        <f>'Shuttle Projections'!H28</f>
        <v>515992.16337552003</v>
      </c>
      <c r="K135" s="515">
        <f>'Shuttle Projections'!I28</f>
        <v>526312.00664303044</v>
      </c>
      <c r="L135" s="515">
        <f>'Shuttle Projections'!J28</f>
        <v>536838.24677589093</v>
      </c>
      <c r="M135" s="515">
        <f>'Shuttle Projections'!K28</f>
        <v>547575.01171140897</v>
      </c>
      <c r="N135" s="515">
        <f>'Shuttle Projections'!L28</f>
        <v>558526.51194563706</v>
      </c>
      <c r="O135" s="515">
        <f>'Shuttle Projections'!M28</f>
        <v>569697.04218454985</v>
      </c>
      <c r="P135" s="515">
        <f>'Shuttle Projections'!N28</f>
        <v>581090.98302824085</v>
      </c>
      <c r="Q135" s="515">
        <f>'Shuttle Projections'!O28</f>
        <v>592712.80268880562</v>
      </c>
      <c r="R135" s="515">
        <f>'Shuttle Projections'!P28</f>
        <v>604567.05874258175</v>
      </c>
      <c r="S135" s="515">
        <f>'Shuttle Projections'!Q28</f>
        <v>616658.39991743339</v>
      </c>
      <c r="T135" s="515">
        <f>'Shuttle Projections'!R28</f>
        <v>628991.5679157821</v>
      </c>
      <c r="U135" s="515">
        <f>'Shuttle Projections'!S28</f>
        <v>641571.39927409776</v>
      </c>
      <c r="V135" s="515">
        <f>'Shuttle Projections'!T28</f>
        <v>654402.82725957979</v>
      </c>
      <c r="W135" s="515">
        <f>'Shuttle Projections'!U28</f>
        <v>667490.88380477135</v>
      </c>
      <c r="X135" s="515">
        <f>'Shuttle Projections'!V28</f>
        <v>680840.70148086676</v>
      </c>
    </row>
    <row r="136" spans="1:24" s="422" customFormat="1" ht="14.25">
      <c r="A136" s="790" t="s">
        <v>132</v>
      </c>
      <c r="B136" s="276"/>
      <c r="C136" s="276"/>
      <c r="D136" s="516">
        <f>SUM(D124:D135)</f>
        <v>0</v>
      </c>
      <c r="E136" s="517">
        <f t="shared" ref="E136:X136" si="17">SUM(E125:E135)</f>
        <v>357416.66666666663</v>
      </c>
      <c r="F136" s="517">
        <f t="shared" si="17"/>
        <v>754513.5</v>
      </c>
      <c r="G136" s="517">
        <f t="shared" si="17"/>
        <v>769613.97000000009</v>
      </c>
      <c r="H136" s="517">
        <f t="shared" si="17"/>
        <v>785006.24939999986</v>
      </c>
      <c r="I136" s="517">
        <f t="shared" si="17"/>
        <v>800706.374388</v>
      </c>
      <c r="J136" s="517">
        <f t="shared" si="17"/>
        <v>845064.38067096006</v>
      </c>
      <c r="K136" s="517">
        <f t="shared" si="17"/>
        <v>857428.74949401116</v>
      </c>
      <c r="L136" s="517">
        <f t="shared" si="17"/>
        <v>874577.32448389137</v>
      </c>
      <c r="M136" s="517">
        <f t="shared" si="17"/>
        <v>892068.87097356934</v>
      </c>
      <c r="N136" s="517">
        <f t="shared" si="17"/>
        <v>909910.24839304073</v>
      </c>
      <c r="O136" s="517">
        <f t="shared" si="17"/>
        <v>932498.9561509043</v>
      </c>
      <c r="P136" s="517">
        <f t="shared" si="17"/>
        <v>946670.62242811965</v>
      </c>
      <c r="Q136" s="517">
        <f t="shared" si="17"/>
        <v>965604.03487668198</v>
      </c>
      <c r="R136" s="517">
        <f t="shared" si="17"/>
        <v>984916.11557421566</v>
      </c>
      <c r="S136" s="517">
        <f t="shared" si="17"/>
        <v>1004614.4378856999</v>
      </c>
      <c r="T136" s="517">
        <f t="shared" si="17"/>
        <v>1029033.7924742519</v>
      </c>
      <c r="U136" s="517">
        <f t="shared" si="17"/>
        <v>1045200.8611762824</v>
      </c>
      <c r="V136" s="517">
        <f t="shared" si="17"/>
        <v>1066104.878399808</v>
      </c>
      <c r="W136" s="517">
        <f t="shared" si="17"/>
        <v>1087426.9759678042</v>
      </c>
      <c r="X136" s="517">
        <f t="shared" si="17"/>
        <v>1109175.5154871603</v>
      </c>
    </row>
    <row r="137" spans="1:24" s="96" customFormat="1">
      <c r="A137" s="719"/>
      <c r="B137" s="69"/>
      <c r="C137" s="69"/>
      <c r="D137" s="514"/>
      <c r="E137" s="515"/>
      <c r="F137" s="515"/>
      <c r="G137" s="515"/>
      <c r="H137" s="515"/>
      <c r="I137" s="515"/>
      <c r="J137" s="515"/>
      <c r="K137" s="515"/>
      <c r="L137" s="515"/>
      <c r="M137" s="515"/>
      <c r="N137" s="515"/>
      <c r="O137" s="515"/>
      <c r="P137" s="515"/>
      <c r="Q137" s="515"/>
      <c r="R137" s="515"/>
      <c r="S137" s="515"/>
      <c r="T137" s="515"/>
      <c r="U137" s="515"/>
      <c r="V137" s="515"/>
      <c r="W137" s="515"/>
      <c r="X137" s="515"/>
    </row>
    <row r="138" spans="1:24" s="96" customFormat="1">
      <c r="A138" s="269" t="s">
        <v>85</v>
      </c>
      <c r="B138" s="269"/>
      <c r="C138" s="793"/>
      <c r="D138" s="513"/>
      <c r="E138" s="513"/>
      <c r="F138" s="513"/>
      <c r="G138" s="513"/>
      <c r="H138" s="513"/>
      <c r="I138" s="513"/>
      <c r="J138" s="513"/>
      <c r="K138" s="513"/>
      <c r="L138" s="513"/>
      <c r="M138" s="513"/>
      <c r="N138" s="513"/>
      <c r="O138" s="513"/>
      <c r="P138" s="513"/>
      <c r="Q138" s="513"/>
      <c r="R138" s="513"/>
      <c r="S138" s="513"/>
      <c r="T138" s="513"/>
      <c r="U138" s="513"/>
      <c r="V138" s="513"/>
      <c r="W138" s="513"/>
      <c r="X138" s="513"/>
    </row>
    <row r="139" spans="1:24" s="58" customFormat="1">
      <c r="A139" s="263"/>
      <c r="B139" s="263"/>
      <c r="C139" s="783"/>
      <c r="D139" s="514"/>
      <c r="E139" s="515"/>
      <c r="F139" s="515"/>
      <c r="G139" s="515"/>
      <c r="H139" s="515"/>
      <c r="I139" s="515"/>
      <c r="J139" s="515"/>
      <c r="K139" s="515"/>
      <c r="L139" s="515"/>
      <c r="M139" s="515"/>
      <c r="N139" s="515"/>
      <c r="O139" s="515"/>
      <c r="P139" s="515"/>
      <c r="Q139" s="515"/>
      <c r="R139" s="515"/>
      <c r="S139" s="515"/>
      <c r="T139" s="515"/>
      <c r="U139" s="515"/>
      <c r="V139" s="515"/>
      <c r="W139" s="515"/>
      <c r="X139" s="515"/>
    </row>
    <row r="140" spans="1:24" s="58" customFormat="1">
      <c r="A140" s="69" t="s">
        <v>0</v>
      </c>
      <c r="B140" s="263"/>
      <c r="C140" s="783"/>
      <c r="D140" s="514">
        <v>0</v>
      </c>
      <c r="E140" s="515">
        <f>'OPEX - Concept B3 - Carnival'!L132</f>
        <v>0</v>
      </c>
      <c r="F140" s="515">
        <f>'OPEX - Concept B3 - Carnival'!M132</f>
        <v>54570</v>
      </c>
      <c r="G140" s="515">
        <f>'OPEX - Concept B3 - Carnival'!N132</f>
        <v>56774.628000000004</v>
      </c>
      <c r="H140" s="515">
        <f>'OPEX - Concept B3 - Carnival'!O132</f>
        <v>57910.120559999996</v>
      </c>
      <c r="I140" s="515">
        <f>'OPEX - Concept B3 - Carnival'!P132</f>
        <v>59068.322971199988</v>
      </c>
      <c r="J140" s="515">
        <f>'OPEX - Concept B3 - Carnival'!Q132</f>
        <v>60249.689430623999</v>
      </c>
      <c r="K140" s="515">
        <f>'OPEX - Concept B3 - Carnival'!R132</f>
        <v>61454.683219236475</v>
      </c>
      <c r="L140" s="515">
        <f>'OPEX - Concept B3 - Carnival'!S132</f>
        <v>62683.776883621205</v>
      </c>
      <c r="M140" s="515">
        <f>'OPEX - Concept B3 - Carnival'!T132</f>
        <v>63937.452421293638</v>
      </c>
      <c r="N140" s="515">
        <f>'OPEX - Concept B3 - Carnival'!U132</f>
        <v>65216.201469719512</v>
      </c>
      <c r="O140" s="515">
        <f>'OPEX - Concept B3 - Carnival'!V132</f>
        <v>66520.525499113894</v>
      </c>
      <c r="P140" s="515">
        <f>'OPEX - Concept B3 - Carnival'!W132</f>
        <v>67850.936009096185</v>
      </c>
      <c r="Q140" s="515">
        <f>'OPEX - Concept B3 - Carnival'!X132</f>
        <v>69207.954729278121</v>
      </c>
      <c r="R140" s="515">
        <f>'OPEX - Concept B3 - Carnival'!Y132</f>
        <v>70592.113823863678</v>
      </c>
      <c r="S140" s="515">
        <f>'OPEX - Concept B3 - Carnival'!Z132</f>
        <v>72003.956100340947</v>
      </c>
      <c r="T140" s="515">
        <f>'OPEX - Concept B3 - Carnival'!AA132</f>
        <v>73444.035222347768</v>
      </c>
      <c r="U140" s="515">
        <f>'OPEX - Concept B3 - Carnival'!AB132</f>
        <v>74912.915926794725</v>
      </c>
      <c r="V140" s="515">
        <f>'OPEX - Concept B3 - Carnival'!AC132</f>
        <v>76411.174245330621</v>
      </c>
      <c r="W140" s="515">
        <f>'OPEX - Concept B3 - Carnival'!AD132</f>
        <v>77939.397730237237</v>
      </c>
      <c r="X140" s="515">
        <f>'OPEX - Concept B3 - Carnival'!AE132</f>
        <v>79498.18568484197</v>
      </c>
    </row>
    <row r="141" spans="1:24" s="58" customFormat="1">
      <c r="A141" s="69" t="s">
        <v>4</v>
      </c>
      <c r="B141" s="263"/>
      <c r="C141" s="783"/>
      <c r="D141" s="514">
        <v>0</v>
      </c>
      <c r="E141" s="515">
        <f>'OPEX - Concept B3 - Carnival'!L155</f>
        <v>0</v>
      </c>
      <c r="F141" s="515">
        <f>'OPEX - Concept B3 - Carnival'!M155</f>
        <v>85335.846153846156</v>
      </c>
      <c r="G141" s="515">
        <f>'OPEX - Concept B3 - Carnival'!N155</f>
        <v>87042.563076923077</v>
      </c>
      <c r="H141" s="515">
        <f>'OPEX - Concept B3 - Carnival'!O155</f>
        <v>88783.41433846156</v>
      </c>
      <c r="I141" s="515">
        <f>'OPEX - Concept B3 - Carnival'!P155</f>
        <v>90559.082625230774</v>
      </c>
      <c r="J141" s="515">
        <f>'OPEX - Concept B3 - Carnival'!Q155</f>
        <v>92370.264277735376</v>
      </c>
      <c r="K141" s="515">
        <f>'OPEX - Concept B3 - Carnival'!R155</f>
        <v>94217.669563290081</v>
      </c>
      <c r="L141" s="515">
        <f>'OPEX - Concept B3 - Carnival'!S155</f>
        <v>96102.022954555898</v>
      </c>
      <c r="M141" s="515">
        <f>'OPEX - Concept B3 - Carnival'!T155</f>
        <v>98024.063413647003</v>
      </c>
      <c r="N141" s="515">
        <f>'OPEX - Concept B3 - Carnival'!U155</f>
        <v>99984.544681919942</v>
      </c>
      <c r="O141" s="515">
        <f>'OPEX - Concept B3 - Carnival'!V155</f>
        <v>101984.23557555837</v>
      </c>
      <c r="P141" s="515">
        <f>'OPEX - Concept B3 - Carnival'!W155</f>
        <v>104023.92028706953</v>
      </c>
      <c r="Q141" s="515">
        <f>'OPEX - Concept B3 - Carnival'!X155</f>
        <v>106104.39869281092</v>
      </c>
      <c r="R141" s="515">
        <f>'OPEX - Concept B3 - Carnival'!Y155</f>
        <v>108226.48666666714</v>
      </c>
      <c r="S141" s="515">
        <f>'OPEX - Concept B3 - Carnival'!Z155</f>
        <v>110391.01640000047</v>
      </c>
      <c r="T141" s="515">
        <f>'OPEX - Concept B3 - Carnival'!AA155</f>
        <v>112598.8367280005</v>
      </c>
      <c r="U141" s="515">
        <f>'OPEX - Concept B3 - Carnival'!AB155</f>
        <v>114850.8134625605</v>
      </c>
      <c r="V141" s="515">
        <f>'OPEX - Concept B3 - Carnival'!AC155</f>
        <v>117147.82973181173</v>
      </c>
      <c r="W141" s="515">
        <f>'OPEX - Concept B3 - Carnival'!AD155</f>
        <v>119490.78632644797</v>
      </c>
      <c r="X141" s="515">
        <f>'OPEX - Concept B3 - Carnival'!AE155</f>
        <v>121880.60205297693</v>
      </c>
    </row>
    <row r="142" spans="1:24" s="16" customFormat="1" ht="14.25">
      <c r="A142" s="282" t="s">
        <v>133</v>
      </c>
      <c r="B142" s="276"/>
      <c r="C142" s="276"/>
      <c r="D142" s="516">
        <f>SUM(D140:D141)</f>
        <v>0</v>
      </c>
      <c r="E142" s="517">
        <f>SUM(E140:E141)</f>
        <v>0</v>
      </c>
      <c r="F142" s="517">
        <f t="shared" ref="F142:X142" si="18">SUM(F140:F141)</f>
        <v>139905.84615384616</v>
      </c>
      <c r="G142" s="517">
        <f t="shared" si="18"/>
        <v>143817.19107692307</v>
      </c>
      <c r="H142" s="517">
        <f t="shared" si="18"/>
        <v>146693.53489846154</v>
      </c>
      <c r="I142" s="517">
        <f t="shared" si="18"/>
        <v>149627.40559643076</v>
      </c>
      <c r="J142" s="517">
        <f t="shared" si="18"/>
        <v>152619.95370835939</v>
      </c>
      <c r="K142" s="517">
        <f t="shared" si="18"/>
        <v>155672.35278252655</v>
      </c>
      <c r="L142" s="517">
        <f t="shared" si="18"/>
        <v>158785.7998381771</v>
      </c>
      <c r="M142" s="517">
        <f t="shared" si="18"/>
        <v>161961.51583494066</v>
      </c>
      <c r="N142" s="517">
        <f t="shared" si="18"/>
        <v>165200.74615163944</v>
      </c>
      <c r="O142" s="517">
        <f t="shared" si="18"/>
        <v>168504.76107467228</v>
      </c>
      <c r="P142" s="517">
        <f t="shared" si="18"/>
        <v>171874.85629616573</v>
      </c>
      <c r="Q142" s="517">
        <f t="shared" si="18"/>
        <v>175312.35342208904</v>
      </c>
      <c r="R142" s="517">
        <f t="shared" si="18"/>
        <v>178818.60049053084</v>
      </c>
      <c r="S142" s="517">
        <f t="shared" si="18"/>
        <v>182394.97250034142</v>
      </c>
      <c r="T142" s="517">
        <f t="shared" si="18"/>
        <v>186042.87195034826</v>
      </c>
      <c r="U142" s="517">
        <f t="shared" si="18"/>
        <v>189763.72938935523</v>
      </c>
      <c r="V142" s="517">
        <f t="shared" si="18"/>
        <v>193559.00397714233</v>
      </c>
      <c r="W142" s="517">
        <f t="shared" si="18"/>
        <v>197430.18405668519</v>
      </c>
      <c r="X142" s="517">
        <f t="shared" si="18"/>
        <v>201378.7877378189</v>
      </c>
    </row>
    <row r="143" spans="1:24">
      <c r="A143" s="92"/>
      <c r="B143" s="92"/>
      <c r="C143" s="69"/>
      <c r="D143" s="514"/>
      <c r="E143" s="515"/>
      <c r="F143" s="515"/>
      <c r="G143" s="515"/>
      <c r="H143" s="515"/>
      <c r="I143" s="515"/>
      <c r="J143" s="515"/>
      <c r="K143" s="515"/>
      <c r="L143" s="515"/>
      <c r="M143" s="515"/>
      <c r="N143" s="515"/>
      <c r="O143" s="515"/>
      <c r="P143" s="515"/>
      <c r="Q143" s="515"/>
      <c r="R143" s="515"/>
      <c r="S143" s="515"/>
      <c r="T143" s="515"/>
      <c r="U143" s="515"/>
      <c r="V143" s="515"/>
      <c r="W143" s="515"/>
      <c r="X143" s="515"/>
    </row>
    <row r="144" spans="1:24" s="16" customFormat="1" ht="14.25">
      <c r="A144" s="350" t="s">
        <v>118</v>
      </c>
      <c r="B144" s="350"/>
      <c r="C144" s="351"/>
      <c r="D144" s="519">
        <f t="shared" ref="D144:X144" si="19">SUM(D136,D142)</f>
        <v>0</v>
      </c>
      <c r="E144" s="519">
        <f t="shared" si="19"/>
        <v>357416.66666666663</v>
      </c>
      <c r="F144" s="519">
        <f t="shared" si="19"/>
        <v>894419.34615384613</v>
      </c>
      <c r="G144" s="519">
        <f t="shared" si="19"/>
        <v>913431.16107692313</v>
      </c>
      <c r="H144" s="519">
        <f t="shared" si="19"/>
        <v>931699.7842984614</v>
      </c>
      <c r="I144" s="519">
        <f t="shared" si="19"/>
        <v>950333.77998443076</v>
      </c>
      <c r="J144" s="519">
        <f t="shared" si="19"/>
        <v>997684.33437931945</v>
      </c>
      <c r="K144" s="519">
        <f t="shared" si="19"/>
        <v>1013101.1022765377</v>
      </c>
      <c r="L144" s="519">
        <f t="shared" si="19"/>
        <v>1033363.1243220684</v>
      </c>
      <c r="M144" s="519">
        <f t="shared" si="19"/>
        <v>1054030.3868085099</v>
      </c>
      <c r="N144" s="519">
        <f t="shared" si="19"/>
        <v>1075110.9945446802</v>
      </c>
      <c r="O144" s="519">
        <f t="shared" si="19"/>
        <v>1101003.7172255765</v>
      </c>
      <c r="P144" s="519">
        <f t="shared" si="19"/>
        <v>1118545.4787242855</v>
      </c>
      <c r="Q144" s="519">
        <f t="shared" si="19"/>
        <v>1140916.3882987711</v>
      </c>
      <c r="R144" s="519">
        <f t="shared" si="19"/>
        <v>1163734.7160647465</v>
      </c>
      <c r="S144" s="519">
        <f t="shared" si="19"/>
        <v>1187009.4103860413</v>
      </c>
      <c r="T144" s="519">
        <f t="shared" si="19"/>
        <v>1215076.6644246001</v>
      </c>
      <c r="U144" s="519">
        <f t="shared" si="19"/>
        <v>1234964.5905656377</v>
      </c>
      <c r="V144" s="519">
        <f t="shared" si="19"/>
        <v>1259663.8823769502</v>
      </c>
      <c r="W144" s="519">
        <f t="shared" si="19"/>
        <v>1284857.1600244893</v>
      </c>
      <c r="X144" s="519">
        <f t="shared" si="19"/>
        <v>1310554.3032249792</v>
      </c>
    </row>
    <row r="145" spans="1:24" s="222" customFormat="1" ht="14.25">
      <c r="A145" s="280"/>
      <c r="B145" s="280"/>
      <c r="C145" s="263"/>
      <c r="D145" s="518"/>
      <c r="E145" s="520"/>
      <c r="F145" s="520"/>
      <c r="G145" s="520"/>
      <c r="H145" s="520"/>
      <c r="I145" s="520"/>
      <c r="J145" s="520"/>
      <c r="K145" s="520"/>
      <c r="L145" s="520"/>
      <c r="M145" s="520"/>
      <c r="N145" s="520"/>
      <c r="O145" s="520"/>
      <c r="P145" s="520"/>
      <c r="Q145" s="520"/>
      <c r="R145" s="520"/>
      <c r="S145" s="520"/>
      <c r="T145" s="520"/>
      <c r="U145" s="520"/>
      <c r="V145" s="520"/>
      <c r="W145" s="520"/>
      <c r="X145" s="520"/>
    </row>
    <row r="146" spans="1:24" s="222" customFormat="1" ht="14.25">
      <c r="A146" s="271" t="s">
        <v>295</v>
      </c>
      <c r="B146" s="271"/>
      <c r="C146" s="269"/>
      <c r="D146" s="521"/>
      <c r="E146" s="521"/>
      <c r="F146" s="521"/>
      <c r="G146" s="521"/>
      <c r="H146" s="521"/>
      <c r="I146" s="521"/>
      <c r="J146" s="521"/>
      <c r="K146" s="521"/>
      <c r="L146" s="521"/>
      <c r="M146" s="521"/>
      <c r="N146" s="521"/>
      <c r="O146" s="521"/>
      <c r="P146" s="521"/>
      <c r="Q146" s="521"/>
      <c r="R146" s="521"/>
      <c r="S146" s="521"/>
      <c r="T146" s="521"/>
      <c r="U146" s="521"/>
      <c r="V146" s="521"/>
      <c r="W146" s="521"/>
      <c r="X146" s="521"/>
    </row>
    <row r="147" spans="1:24" s="222" customFormat="1" ht="14.25">
      <c r="A147" s="280"/>
      <c r="B147" s="280"/>
      <c r="C147" s="263"/>
      <c r="D147" s="518"/>
      <c r="E147" s="520"/>
      <c r="F147" s="520"/>
      <c r="G147" s="520"/>
      <c r="H147" s="520"/>
      <c r="I147" s="520"/>
      <c r="J147" s="520"/>
      <c r="K147" s="520"/>
      <c r="L147" s="520"/>
      <c r="M147" s="520"/>
      <c r="N147" s="520"/>
      <c r="O147" s="520"/>
      <c r="P147" s="520"/>
      <c r="Q147" s="520"/>
      <c r="R147" s="520"/>
      <c r="S147" s="520"/>
      <c r="T147" s="520"/>
      <c r="U147" s="520"/>
      <c r="V147" s="520"/>
      <c r="W147" s="520"/>
      <c r="X147" s="520"/>
    </row>
    <row r="148" spans="1:24" s="725" customFormat="1">
      <c r="A148" s="353" t="s">
        <v>228</v>
      </c>
      <c r="B148" s="691"/>
      <c r="C148" s="724"/>
      <c r="D148" s="699">
        <v>0</v>
      </c>
      <c r="E148" s="700"/>
      <c r="F148" s="700"/>
      <c r="G148" s="700"/>
      <c r="H148" s="700"/>
      <c r="I148" s="700"/>
      <c r="J148" s="700"/>
      <c r="K148" s="700"/>
      <c r="L148" s="700"/>
      <c r="M148" s="700"/>
      <c r="N148" s="700"/>
      <c r="O148" s="700"/>
      <c r="P148" s="700"/>
      <c r="Q148" s="700"/>
      <c r="R148" s="700"/>
      <c r="S148" s="700"/>
      <c r="T148" s="700"/>
      <c r="U148" s="700"/>
      <c r="V148" s="700"/>
      <c r="W148" s="700"/>
      <c r="X148" s="700"/>
    </row>
    <row r="149" spans="1:24" s="725" customFormat="1">
      <c r="A149" s="726" t="s">
        <v>228</v>
      </c>
      <c r="B149" s="727"/>
      <c r="C149" s="728"/>
      <c r="D149" s="729">
        <v>0</v>
      </c>
      <c r="E149" s="730"/>
      <c r="F149" s="730"/>
      <c r="G149" s="730"/>
      <c r="H149" s="730"/>
      <c r="I149" s="730"/>
      <c r="J149" s="730"/>
      <c r="K149" s="730"/>
      <c r="L149" s="730"/>
      <c r="M149" s="730"/>
      <c r="N149" s="730"/>
      <c r="O149" s="730"/>
      <c r="P149" s="730"/>
      <c r="Q149" s="730"/>
      <c r="R149" s="730"/>
      <c r="S149" s="730"/>
      <c r="T149" s="730"/>
      <c r="U149" s="730"/>
      <c r="V149" s="730"/>
      <c r="W149" s="730"/>
      <c r="X149" s="730"/>
    </row>
    <row r="150" spans="1:24" s="725" customFormat="1" ht="14.25">
      <c r="A150" s="691" t="s">
        <v>296</v>
      </c>
      <c r="B150" s="691"/>
      <c r="C150" s="724"/>
      <c r="D150" s="731">
        <f t="shared" ref="D150:X150" si="20">SUM(D148:D149)</f>
        <v>0</v>
      </c>
      <c r="E150" s="732">
        <f t="shared" si="20"/>
        <v>0</v>
      </c>
      <c r="F150" s="732">
        <f t="shared" si="20"/>
        <v>0</v>
      </c>
      <c r="G150" s="732">
        <f t="shared" si="20"/>
        <v>0</v>
      </c>
      <c r="H150" s="732">
        <f t="shared" si="20"/>
        <v>0</v>
      </c>
      <c r="I150" s="732">
        <f t="shared" si="20"/>
        <v>0</v>
      </c>
      <c r="J150" s="732">
        <f t="shared" si="20"/>
        <v>0</v>
      </c>
      <c r="K150" s="732">
        <f t="shared" si="20"/>
        <v>0</v>
      </c>
      <c r="L150" s="732">
        <f t="shared" si="20"/>
        <v>0</v>
      </c>
      <c r="M150" s="732">
        <f t="shared" si="20"/>
        <v>0</v>
      </c>
      <c r="N150" s="732">
        <f t="shared" si="20"/>
        <v>0</v>
      </c>
      <c r="O150" s="732">
        <f t="shared" si="20"/>
        <v>0</v>
      </c>
      <c r="P150" s="732">
        <f t="shared" si="20"/>
        <v>0</v>
      </c>
      <c r="Q150" s="732">
        <f t="shared" si="20"/>
        <v>0</v>
      </c>
      <c r="R150" s="732">
        <f t="shared" si="20"/>
        <v>0</v>
      </c>
      <c r="S150" s="732">
        <f t="shared" si="20"/>
        <v>0</v>
      </c>
      <c r="T150" s="732">
        <f t="shared" si="20"/>
        <v>0</v>
      </c>
      <c r="U150" s="732">
        <f t="shared" si="20"/>
        <v>0</v>
      </c>
      <c r="V150" s="732">
        <f t="shared" si="20"/>
        <v>0</v>
      </c>
      <c r="W150" s="732">
        <f t="shared" si="20"/>
        <v>0</v>
      </c>
      <c r="X150" s="732">
        <f t="shared" si="20"/>
        <v>0</v>
      </c>
    </row>
    <row r="151" spans="1:24" s="222" customFormat="1">
      <c r="A151" s="280"/>
      <c r="B151" s="280"/>
      <c r="C151" s="263"/>
      <c r="D151" s="514"/>
      <c r="E151" s="515"/>
      <c r="F151" s="520"/>
      <c r="G151" s="520"/>
      <c r="H151" s="520"/>
      <c r="I151" s="520"/>
      <c r="J151" s="520"/>
      <c r="K151" s="520"/>
      <c r="L151" s="520"/>
      <c r="M151" s="520"/>
      <c r="N151" s="520"/>
      <c r="O151" s="520"/>
      <c r="P151" s="520"/>
      <c r="Q151" s="520"/>
      <c r="R151" s="520"/>
      <c r="S151" s="520"/>
      <c r="T151" s="520"/>
      <c r="U151" s="520"/>
      <c r="V151" s="520"/>
      <c r="W151" s="520"/>
      <c r="X151" s="520"/>
    </row>
    <row r="152" spans="1:24" s="222" customFormat="1" ht="14.25">
      <c r="A152" s="296" t="s">
        <v>140</v>
      </c>
      <c r="B152" s="296"/>
      <c r="C152" s="297"/>
      <c r="D152" s="522">
        <f t="shared" ref="D152:X152" si="21">SUM(D144,D150)</f>
        <v>0</v>
      </c>
      <c r="E152" s="522">
        <f t="shared" si="21"/>
        <v>357416.66666666663</v>
      </c>
      <c r="F152" s="522">
        <f t="shared" si="21"/>
        <v>894419.34615384613</v>
      </c>
      <c r="G152" s="522">
        <f t="shared" si="21"/>
        <v>913431.16107692313</v>
      </c>
      <c r="H152" s="522">
        <f t="shared" si="21"/>
        <v>931699.7842984614</v>
      </c>
      <c r="I152" s="522">
        <f t="shared" si="21"/>
        <v>950333.77998443076</v>
      </c>
      <c r="J152" s="522">
        <f t="shared" si="21"/>
        <v>997684.33437931945</v>
      </c>
      <c r="K152" s="522">
        <f t="shared" si="21"/>
        <v>1013101.1022765377</v>
      </c>
      <c r="L152" s="522">
        <f t="shared" si="21"/>
        <v>1033363.1243220684</v>
      </c>
      <c r="M152" s="522">
        <f t="shared" si="21"/>
        <v>1054030.3868085099</v>
      </c>
      <c r="N152" s="522">
        <f t="shared" si="21"/>
        <v>1075110.9945446802</v>
      </c>
      <c r="O152" s="522">
        <f t="shared" si="21"/>
        <v>1101003.7172255765</v>
      </c>
      <c r="P152" s="522">
        <f t="shared" si="21"/>
        <v>1118545.4787242855</v>
      </c>
      <c r="Q152" s="522">
        <f t="shared" si="21"/>
        <v>1140916.3882987711</v>
      </c>
      <c r="R152" s="522">
        <f t="shared" si="21"/>
        <v>1163734.7160647465</v>
      </c>
      <c r="S152" s="522">
        <f t="shared" si="21"/>
        <v>1187009.4103860413</v>
      </c>
      <c r="T152" s="522">
        <f t="shared" si="21"/>
        <v>1215076.6644246001</v>
      </c>
      <c r="U152" s="522">
        <f t="shared" si="21"/>
        <v>1234964.5905656377</v>
      </c>
      <c r="V152" s="522">
        <f t="shared" si="21"/>
        <v>1259663.8823769502</v>
      </c>
      <c r="W152" s="522">
        <f t="shared" si="21"/>
        <v>1284857.1600244893</v>
      </c>
      <c r="X152" s="522">
        <f t="shared" si="21"/>
        <v>1310554.3032249792</v>
      </c>
    </row>
    <row r="153" spans="1:24">
      <c r="A153" s="92"/>
      <c r="B153" s="92"/>
      <c r="C153" s="69"/>
      <c r="D153" s="514"/>
      <c r="E153" s="515"/>
      <c r="F153" s="515"/>
      <c r="G153" s="515"/>
      <c r="H153" s="515"/>
      <c r="I153" s="515"/>
      <c r="J153" s="515"/>
      <c r="K153" s="515"/>
      <c r="L153" s="515"/>
      <c r="M153" s="515"/>
      <c r="N153" s="515"/>
      <c r="O153" s="515"/>
      <c r="P153" s="515"/>
      <c r="Q153" s="515"/>
      <c r="R153" s="515"/>
      <c r="S153" s="515"/>
      <c r="T153" s="515"/>
      <c r="U153" s="515"/>
      <c r="V153" s="515"/>
      <c r="W153" s="515"/>
      <c r="X153" s="515"/>
    </row>
    <row r="154" spans="1:24" s="33" customFormat="1">
      <c r="A154" s="47" t="s">
        <v>7</v>
      </c>
      <c r="B154" s="47" t="s">
        <v>7</v>
      </c>
      <c r="C154" s="78" t="s">
        <v>7</v>
      </c>
      <c r="D154" s="604" t="s">
        <v>7</v>
      </c>
      <c r="E154" s="78" t="s">
        <v>7</v>
      </c>
      <c r="F154" s="78" t="s">
        <v>7</v>
      </c>
      <c r="G154" s="78" t="s">
        <v>7</v>
      </c>
      <c r="H154" s="78" t="s">
        <v>7</v>
      </c>
      <c r="I154" s="78" t="s">
        <v>7</v>
      </c>
      <c r="J154" s="78" t="s">
        <v>7</v>
      </c>
      <c r="K154" s="78" t="s">
        <v>7</v>
      </c>
      <c r="L154" s="78" t="s">
        <v>7</v>
      </c>
      <c r="M154" s="78" t="s">
        <v>7</v>
      </c>
      <c r="N154" s="78" t="s">
        <v>7</v>
      </c>
      <c r="O154" s="78" t="s">
        <v>7</v>
      </c>
      <c r="P154" s="78" t="s">
        <v>7</v>
      </c>
      <c r="Q154" s="78" t="s">
        <v>7</v>
      </c>
      <c r="R154" s="78" t="s">
        <v>7</v>
      </c>
      <c r="S154" s="78" t="s">
        <v>7</v>
      </c>
      <c r="T154" s="78" t="s">
        <v>7</v>
      </c>
      <c r="U154" s="78" t="s">
        <v>7</v>
      </c>
      <c r="V154" s="78" t="s">
        <v>7</v>
      </c>
      <c r="W154" s="78" t="s">
        <v>7</v>
      </c>
      <c r="X154" s="78" t="s">
        <v>7</v>
      </c>
    </row>
    <row r="155" spans="1:24">
      <c r="A155" s="92"/>
      <c r="B155" s="92"/>
      <c r="C155" s="69"/>
      <c r="D155" s="518"/>
      <c r="E155" s="515"/>
      <c r="F155" s="515"/>
      <c r="G155" s="515"/>
      <c r="H155" s="515"/>
      <c r="I155" s="515"/>
      <c r="J155" s="515"/>
      <c r="K155" s="515"/>
      <c r="L155" s="515"/>
      <c r="M155" s="515"/>
      <c r="N155" s="515"/>
      <c r="O155" s="515"/>
      <c r="P155" s="515"/>
      <c r="Q155" s="515"/>
      <c r="R155" s="515"/>
      <c r="S155" s="515"/>
      <c r="T155" s="515"/>
      <c r="U155" s="515"/>
      <c r="V155" s="515"/>
      <c r="W155" s="515"/>
      <c r="X155" s="515"/>
    </row>
    <row r="156" spans="1:24" s="16" customFormat="1" ht="14.25">
      <c r="A156" s="278" t="s">
        <v>116</v>
      </c>
      <c r="B156" s="263"/>
      <c r="C156" s="263"/>
      <c r="D156" s="518">
        <f>D119-(D136+D142)</f>
        <v>0</v>
      </c>
      <c r="E156" s="520">
        <f>E119-E152</f>
        <v>-299391.66666666663</v>
      </c>
      <c r="F156" s="520">
        <f t="shared" ref="F156:X156" si="22">F119-F152</f>
        <v>665894.57148453954</v>
      </c>
      <c r="G156" s="520">
        <f t="shared" si="22"/>
        <v>794821.43491423037</v>
      </c>
      <c r="H156" s="520">
        <f t="shared" si="22"/>
        <v>808497.86361251492</v>
      </c>
      <c r="I156" s="520">
        <f t="shared" si="22"/>
        <v>822447.82088476548</v>
      </c>
      <c r="J156" s="520">
        <f t="shared" si="22"/>
        <v>1052237.1485072603</v>
      </c>
      <c r="K156" s="520">
        <f t="shared" si="22"/>
        <v>1070720.725267774</v>
      </c>
      <c r="L156" s="520">
        <f t="shared" si="22"/>
        <v>1085037.05477313</v>
      </c>
      <c r="M156" s="520">
        <f t="shared" si="22"/>
        <v>1099639.7108685924</v>
      </c>
      <c r="N156" s="520">
        <f t="shared" si="22"/>
        <v>1114534.4200859638</v>
      </c>
      <c r="O156" s="520">
        <f t="shared" si="22"/>
        <v>1186900.0831976805</v>
      </c>
      <c r="P156" s="520">
        <f t="shared" si="22"/>
        <v>1206787.0414574365</v>
      </c>
      <c r="Q156" s="520">
        <f t="shared" si="22"/>
        <v>1222593.4260365854</v>
      </c>
      <c r="R156" s="520">
        <f t="shared" si="22"/>
        <v>1238715.938307317</v>
      </c>
      <c r="S156" s="520">
        <f t="shared" si="22"/>
        <v>1255160.9008234637</v>
      </c>
      <c r="T156" s="520">
        <f t="shared" si="22"/>
        <v>1329271.2592590949</v>
      </c>
      <c r="U156" s="520">
        <f t="shared" si="22"/>
        <v>1350707.6640917314</v>
      </c>
      <c r="V156" s="520">
        <f t="shared" si="22"/>
        <v>1368159.1898735664</v>
      </c>
      <c r="W156" s="520">
        <f t="shared" si="22"/>
        <v>1385959.7461710377</v>
      </c>
      <c r="X156" s="520">
        <f t="shared" si="22"/>
        <v>1404116.3135944584</v>
      </c>
    </row>
    <row r="157" spans="1:24">
      <c r="A157" s="30"/>
      <c r="B157" s="92"/>
      <c r="C157" s="69"/>
      <c r="D157" s="514"/>
      <c r="E157" s="515"/>
      <c r="F157" s="515"/>
      <c r="G157" s="515"/>
      <c r="H157" s="515"/>
      <c r="I157" s="515"/>
      <c r="J157" s="515"/>
      <c r="K157" s="515"/>
      <c r="L157" s="515"/>
      <c r="M157" s="515"/>
      <c r="N157" s="515"/>
      <c r="O157" s="515"/>
      <c r="P157" s="515"/>
      <c r="Q157" s="515"/>
      <c r="R157" s="515"/>
      <c r="S157" s="515"/>
      <c r="T157" s="515"/>
      <c r="U157" s="515"/>
      <c r="V157" s="515"/>
      <c r="W157" s="515"/>
      <c r="X157" s="515"/>
    </row>
    <row r="158" spans="1:24" s="594" customFormat="1">
      <c r="A158" s="589" t="s">
        <v>125</v>
      </c>
      <c r="B158" s="590"/>
      <c r="C158" s="591"/>
      <c r="D158" s="592">
        <v>0</v>
      </c>
      <c r="E158" s="593">
        <v>0</v>
      </c>
      <c r="F158" s="593">
        <v>0</v>
      </c>
      <c r="G158" s="593">
        <v>0</v>
      </c>
      <c r="H158" s="593">
        <v>0</v>
      </c>
      <c r="I158" s="593">
        <v>0</v>
      </c>
      <c r="J158" s="593">
        <v>0</v>
      </c>
      <c r="K158" s="593">
        <v>0</v>
      </c>
      <c r="L158" s="593">
        <v>0</v>
      </c>
      <c r="M158" s="593">
        <v>0</v>
      </c>
      <c r="N158" s="593">
        <v>0</v>
      </c>
      <c r="O158" s="593">
        <v>0</v>
      </c>
      <c r="P158" s="593">
        <v>0</v>
      </c>
      <c r="Q158" s="593">
        <v>0</v>
      </c>
      <c r="R158" s="593">
        <v>0</v>
      </c>
      <c r="S158" s="593">
        <v>0</v>
      </c>
      <c r="T158" s="593">
        <v>0</v>
      </c>
      <c r="U158" s="593">
        <v>0</v>
      </c>
      <c r="V158" s="593">
        <v>0</v>
      </c>
      <c r="W158" s="593">
        <v>0</v>
      </c>
      <c r="X158" s="593">
        <v>0</v>
      </c>
    </row>
    <row r="159" spans="1:24">
      <c r="A159" s="92"/>
      <c r="B159" s="92"/>
      <c r="C159" s="69"/>
      <c r="D159" s="514"/>
      <c r="E159" s="515"/>
      <c r="F159" s="515"/>
      <c r="G159" s="515"/>
      <c r="H159" s="515"/>
      <c r="I159" s="515"/>
      <c r="J159" s="515"/>
      <c r="K159" s="515"/>
      <c r="L159" s="515"/>
      <c r="M159" s="515"/>
      <c r="N159" s="515"/>
      <c r="O159" s="515"/>
      <c r="P159" s="515"/>
      <c r="Q159" s="515"/>
      <c r="R159" s="515"/>
      <c r="S159" s="515"/>
      <c r="T159" s="515"/>
      <c r="U159" s="515"/>
      <c r="V159" s="515"/>
      <c r="W159" s="515"/>
      <c r="X159" s="515"/>
    </row>
    <row r="160" spans="1:24" s="16" customFormat="1" ht="14.25">
      <c r="A160" s="278" t="s">
        <v>117</v>
      </c>
      <c r="B160" s="278"/>
      <c r="C160" s="263"/>
      <c r="D160" s="518">
        <v>0</v>
      </c>
      <c r="E160" s="520">
        <f>E156-E158</f>
        <v>-299391.66666666663</v>
      </c>
      <c r="F160" s="520">
        <f t="shared" ref="F160:X160" si="23">F156-F158</f>
        <v>665894.57148453954</v>
      </c>
      <c r="G160" s="520">
        <f t="shared" si="23"/>
        <v>794821.43491423037</v>
      </c>
      <c r="H160" s="520">
        <f t="shared" si="23"/>
        <v>808497.86361251492</v>
      </c>
      <c r="I160" s="520">
        <f t="shared" si="23"/>
        <v>822447.82088476548</v>
      </c>
      <c r="J160" s="520">
        <f t="shared" si="23"/>
        <v>1052237.1485072603</v>
      </c>
      <c r="K160" s="520">
        <f t="shared" si="23"/>
        <v>1070720.725267774</v>
      </c>
      <c r="L160" s="520">
        <f t="shared" si="23"/>
        <v>1085037.05477313</v>
      </c>
      <c r="M160" s="520">
        <f t="shared" si="23"/>
        <v>1099639.7108685924</v>
      </c>
      <c r="N160" s="520">
        <f t="shared" si="23"/>
        <v>1114534.4200859638</v>
      </c>
      <c r="O160" s="520">
        <f t="shared" si="23"/>
        <v>1186900.0831976805</v>
      </c>
      <c r="P160" s="520">
        <f t="shared" si="23"/>
        <v>1206787.0414574365</v>
      </c>
      <c r="Q160" s="520">
        <f t="shared" si="23"/>
        <v>1222593.4260365854</v>
      </c>
      <c r="R160" s="520">
        <f t="shared" si="23"/>
        <v>1238715.938307317</v>
      </c>
      <c r="S160" s="520">
        <f t="shared" si="23"/>
        <v>1255160.9008234637</v>
      </c>
      <c r="T160" s="520">
        <f t="shared" si="23"/>
        <v>1329271.2592590949</v>
      </c>
      <c r="U160" s="520">
        <f t="shared" si="23"/>
        <v>1350707.6640917314</v>
      </c>
      <c r="V160" s="520">
        <f t="shared" si="23"/>
        <v>1368159.1898735664</v>
      </c>
      <c r="W160" s="520">
        <f t="shared" si="23"/>
        <v>1385959.7461710377</v>
      </c>
      <c r="X160" s="520">
        <f t="shared" si="23"/>
        <v>1404116.3135944584</v>
      </c>
    </row>
    <row r="161" spans="1:24">
      <c r="A161" s="92"/>
      <c r="B161" s="92"/>
      <c r="C161" s="69"/>
      <c r="D161" s="514"/>
      <c r="E161" s="515"/>
      <c r="F161" s="515"/>
      <c r="G161" s="515"/>
      <c r="H161" s="515"/>
      <c r="I161" s="515"/>
      <c r="J161" s="515"/>
      <c r="K161" s="515"/>
      <c r="L161" s="515"/>
      <c r="M161" s="515"/>
      <c r="N161" s="515"/>
      <c r="O161" s="515"/>
      <c r="P161" s="515"/>
      <c r="Q161" s="515"/>
      <c r="R161" s="515"/>
      <c r="S161" s="515"/>
      <c r="T161" s="515"/>
      <c r="U161" s="515"/>
      <c r="V161" s="515"/>
      <c r="W161" s="515"/>
      <c r="X161" s="515"/>
    </row>
    <row r="162" spans="1:24">
      <c r="A162" s="271" t="s">
        <v>126</v>
      </c>
      <c r="B162" s="272"/>
      <c r="C162" s="273"/>
      <c r="D162" s="523"/>
      <c r="E162" s="523"/>
      <c r="F162" s="523"/>
      <c r="G162" s="523"/>
      <c r="H162" s="523"/>
      <c r="I162" s="523"/>
      <c r="J162" s="523"/>
      <c r="K162" s="523"/>
      <c r="L162" s="523"/>
      <c r="M162" s="523"/>
      <c r="N162" s="523"/>
      <c r="O162" s="523"/>
      <c r="P162" s="523"/>
      <c r="Q162" s="523"/>
      <c r="R162" s="523"/>
      <c r="S162" s="523"/>
      <c r="T162" s="523"/>
      <c r="U162" s="523"/>
      <c r="V162" s="523"/>
      <c r="W162" s="523"/>
      <c r="X162" s="523"/>
    </row>
    <row r="163" spans="1:24" s="32" customFormat="1">
      <c r="A163" s="280"/>
      <c r="B163" s="91"/>
      <c r="C163" s="69"/>
      <c r="D163" s="514"/>
      <c r="E163" s="515"/>
      <c r="F163" s="515"/>
      <c r="G163" s="515"/>
      <c r="H163" s="515"/>
      <c r="I163" s="515"/>
      <c r="J163" s="515"/>
      <c r="K163" s="515"/>
      <c r="L163" s="515"/>
      <c r="M163" s="515"/>
      <c r="N163" s="515"/>
      <c r="O163" s="515"/>
      <c r="P163" s="515"/>
      <c r="Q163" s="515"/>
      <c r="R163" s="515"/>
      <c r="S163" s="515"/>
      <c r="T163" s="515"/>
      <c r="U163" s="515"/>
      <c r="V163" s="515"/>
      <c r="W163" s="515"/>
      <c r="X163" s="515"/>
    </row>
    <row r="164" spans="1:24" s="96" customFormat="1">
      <c r="A164" s="885" t="s">
        <v>136</v>
      </c>
      <c r="B164" s="719"/>
      <c r="C164" s="69"/>
      <c r="D164" s="514">
        <v>0</v>
      </c>
      <c r="E164" s="515">
        <f>'OPEX - Concept B3 - Carnival'!L170</f>
        <v>0</v>
      </c>
      <c r="F164" s="515">
        <f>'OPEX - Concept B3 - Carnival'!M170</f>
        <v>67225</v>
      </c>
      <c r="G164" s="515">
        <f>'OPEX - Concept B3 - Carnival'!N170</f>
        <v>68569.5</v>
      </c>
      <c r="H164" s="515">
        <f>'OPEX - Concept B3 - Carnival'!O170</f>
        <v>69940.89</v>
      </c>
      <c r="I164" s="515">
        <f>'OPEX - Concept B3 - Carnival'!P170</f>
        <v>71339.707799999989</v>
      </c>
      <c r="J164" s="515">
        <f>'OPEX - Concept B3 - Carnival'!Q170</f>
        <v>72766.501955999993</v>
      </c>
      <c r="K164" s="515">
        <f>'OPEX - Concept B3 - Carnival'!R170</f>
        <v>74221.831995119996</v>
      </c>
      <c r="L164" s="515">
        <f>'OPEX - Concept B3 - Carnival'!S170</f>
        <v>75706.26863502241</v>
      </c>
      <c r="M164" s="515">
        <f>'OPEX - Concept B3 - Carnival'!T170</f>
        <v>77220.394007722847</v>
      </c>
      <c r="N164" s="515">
        <f>'OPEX - Concept B3 - Carnival'!U170</f>
        <v>78764.801887877315</v>
      </c>
      <c r="O164" s="515">
        <f>'OPEX - Concept B3 - Carnival'!V170</f>
        <v>80340.097925634866</v>
      </c>
      <c r="P164" s="515">
        <f>'OPEX - Concept B3 - Carnival'!W170</f>
        <v>81946.899884147555</v>
      </c>
      <c r="Q164" s="515">
        <f>'OPEX - Concept B3 - Carnival'!X170</f>
        <v>83585.837881830506</v>
      </c>
      <c r="R164" s="515">
        <f>'OPEX - Concept B3 - Carnival'!Y170</f>
        <v>85257.554639467126</v>
      </c>
      <c r="S164" s="515">
        <f>'OPEX - Concept B3 - Carnival'!Z170</f>
        <v>86962.705732256451</v>
      </c>
      <c r="T164" s="515">
        <f>'OPEX - Concept B3 - Carnival'!AA170</f>
        <v>88701.959846901591</v>
      </c>
      <c r="U164" s="515">
        <f>'OPEX - Concept B3 - Carnival'!AB170</f>
        <v>90475.999043839634</v>
      </c>
      <c r="V164" s="515">
        <f>'OPEX - Concept B3 - Carnival'!AC170</f>
        <v>92285.519024716428</v>
      </c>
      <c r="W164" s="515">
        <f>'OPEX - Concept B3 - Carnival'!AD170</f>
        <v>94131.229405210761</v>
      </c>
      <c r="X164" s="515">
        <f>'OPEX - Concept B3 - Carnival'!AE170</f>
        <v>96013.853993314973</v>
      </c>
    </row>
    <row r="165" spans="1:24" s="96" customFormat="1">
      <c r="A165" s="885" t="s">
        <v>458</v>
      </c>
      <c r="B165" s="719"/>
      <c r="C165" s="69"/>
      <c r="D165" s="514">
        <v>0</v>
      </c>
      <c r="E165" s="515">
        <f>'OPEX - Concept B3 - Carnival'!L172</f>
        <v>706995.96</v>
      </c>
      <c r="F165" s="515">
        <f>'OPEX - Concept B3 - Carnival'!M172</f>
        <v>706995.96</v>
      </c>
      <c r="G165" s="515">
        <f>'OPEX - Concept B3 - Carnival'!N172</f>
        <v>706995.96</v>
      </c>
      <c r="H165" s="515">
        <f>'OPEX - Concept B3 - Carnival'!O172</f>
        <v>706995.96</v>
      </c>
      <c r="I165" s="515">
        <f>'OPEX - Concept B3 - Carnival'!P172</f>
        <v>706995.96</v>
      </c>
      <c r="J165" s="515">
        <f>'OPEX - Concept B3 - Carnival'!Q172</f>
        <v>706995.96</v>
      </c>
      <c r="K165" s="515">
        <f>'OPEX - Concept B3 - Carnival'!R172</f>
        <v>706995.96</v>
      </c>
      <c r="L165" s="515">
        <f>'OPEX - Concept B3 - Carnival'!S172</f>
        <v>706995.96</v>
      </c>
      <c r="M165" s="515">
        <f>'OPEX - Concept B3 - Carnival'!T172</f>
        <v>706995.96</v>
      </c>
      <c r="N165" s="515">
        <f>'OPEX - Concept B3 - Carnival'!U172</f>
        <v>706995.96</v>
      </c>
      <c r="O165" s="515">
        <f>'OPEX - Concept B3 - Carnival'!V172</f>
        <v>706995.96</v>
      </c>
      <c r="P165" s="515">
        <f>'OPEX - Concept B3 - Carnival'!W172</f>
        <v>706995.96</v>
      </c>
      <c r="Q165" s="515">
        <f>'OPEX - Concept B3 - Carnival'!X172</f>
        <v>706995.96</v>
      </c>
      <c r="R165" s="515">
        <f>'OPEX - Concept B3 - Carnival'!Y172</f>
        <v>706995.96</v>
      </c>
      <c r="S165" s="515">
        <f>'OPEX - Concept B3 - Carnival'!Z172</f>
        <v>706995.96</v>
      </c>
      <c r="T165" s="515">
        <f>'OPEX - Concept B3 - Carnival'!AA172</f>
        <v>706995.96</v>
      </c>
      <c r="U165" s="515">
        <f>'OPEX - Concept B3 - Carnival'!AB172</f>
        <v>706995.96</v>
      </c>
      <c r="V165" s="515">
        <f>'OPEX - Concept B3 - Carnival'!AC172</f>
        <v>706995.96</v>
      </c>
      <c r="W165" s="515">
        <f>'OPEX - Concept B3 - Carnival'!AD172</f>
        <v>706995.96</v>
      </c>
      <c r="X165" s="515">
        <f>'OPEX - Concept B3 - Carnival'!AE172</f>
        <v>706995.96</v>
      </c>
    </row>
    <row r="166" spans="1:24" s="341" customFormat="1">
      <c r="A166" s="696" t="s">
        <v>315</v>
      </c>
      <c r="B166" s="697"/>
      <c r="C166" s="698"/>
      <c r="D166" s="699">
        <v>0</v>
      </c>
      <c r="E166" s="700">
        <v>0</v>
      </c>
      <c r="F166" s="700">
        <v>0</v>
      </c>
      <c r="G166" s="700">
        <v>0</v>
      </c>
      <c r="H166" s="700">
        <v>0</v>
      </c>
      <c r="I166" s="700">
        <v>0</v>
      </c>
      <c r="J166" s="700">
        <v>0</v>
      </c>
      <c r="K166" s="700">
        <v>0</v>
      </c>
      <c r="L166" s="700">
        <v>0</v>
      </c>
      <c r="M166" s="700">
        <v>0</v>
      </c>
      <c r="N166" s="700">
        <v>0</v>
      </c>
      <c r="O166" s="700">
        <v>0</v>
      </c>
      <c r="P166" s="700">
        <v>0</v>
      </c>
      <c r="Q166" s="700">
        <v>0</v>
      </c>
      <c r="R166" s="700">
        <v>0</v>
      </c>
      <c r="S166" s="700">
        <v>0</v>
      </c>
      <c r="T166" s="700">
        <v>0</v>
      </c>
      <c r="U166" s="700">
        <v>0</v>
      </c>
      <c r="V166" s="700">
        <v>0</v>
      </c>
      <c r="W166" s="700">
        <v>0</v>
      </c>
      <c r="X166" s="700">
        <v>0</v>
      </c>
    </row>
    <row r="167" spans="1:24" s="32" customFormat="1">
      <c r="A167" s="93" t="s">
        <v>316</v>
      </c>
      <c r="B167" s="298"/>
      <c r="C167" s="298"/>
      <c r="D167" s="505">
        <v>0</v>
      </c>
      <c r="E167" s="506">
        <v>246000</v>
      </c>
      <c r="F167" s="506">
        <v>246000</v>
      </c>
      <c r="G167" s="506">
        <v>246000</v>
      </c>
      <c r="H167" s="506">
        <v>246000</v>
      </c>
      <c r="I167" s="506">
        <v>246000</v>
      </c>
      <c r="J167" s="506">
        <v>246000</v>
      </c>
      <c r="K167" s="506">
        <v>246000</v>
      </c>
      <c r="L167" s="506">
        <v>246000</v>
      </c>
      <c r="M167" s="506">
        <v>246000</v>
      </c>
      <c r="N167" s="506">
        <v>246000</v>
      </c>
      <c r="O167" s="506">
        <v>246000</v>
      </c>
      <c r="P167" s="506">
        <v>246000</v>
      </c>
      <c r="Q167" s="506">
        <v>246000</v>
      </c>
      <c r="R167" s="506">
        <v>246000</v>
      </c>
      <c r="S167" s="506">
        <v>246000</v>
      </c>
      <c r="T167" s="506">
        <v>246000</v>
      </c>
      <c r="U167" s="506">
        <v>246000</v>
      </c>
      <c r="V167" s="506">
        <v>246000</v>
      </c>
      <c r="W167" s="506">
        <v>246000</v>
      </c>
      <c r="X167" s="506">
        <v>246000</v>
      </c>
    </row>
    <row r="168" spans="1:24" s="222" customFormat="1" ht="14.25">
      <c r="A168" s="263" t="s">
        <v>134</v>
      </c>
      <c r="B168" s="264"/>
      <c r="C168" s="264"/>
      <c r="D168" s="524">
        <f>SUM(D164:D167)</f>
        <v>0</v>
      </c>
      <c r="E168" s="525">
        <f t="shared" ref="E168:X168" si="24">SUM(E164:E167)</f>
        <v>952995.96</v>
      </c>
      <c r="F168" s="525">
        <f t="shared" si="24"/>
        <v>1020220.96</v>
      </c>
      <c r="G168" s="525">
        <f t="shared" si="24"/>
        <v>1021565.46</v>
      </c>
      <c r="H168" s="525">
        <f t="shared" si="24"/>
        <v>1022936.85</v>
      </c>
      <c r="I168" s="525">
        <f t="shared" si="24"/>
        <v>1024335.6677999999</v>
      </c>
      <c r="J168" s="525">
        <f t="shared" si="24"/>
        <v>1025762.461956</v>
      </c>
      <c r="K168" s="525">
        <f t="shared" si="24"/>
        <v>1027217.79199512</v>
      </c>
      <c r="L168" s="525">
        <f t="shared" si="24"/>
        <v>1028702.2286350224</v>
      </c>
      <c r="M168" s="525">
        <f t="shared" si="24"/>
        <v>1030216.3540077228</v>
      </c>
      <c r="N168" s="525">
        <f t="shared" si="24"/>
        <v>1031760.7618878772</v>
      </c>
      <c r="O168" s="525">
        <f t="shared" si="24"/>
        <v>1033336.0579256348</v>
      </c>
      <c r="P168" s="525">
        <f t="shared" si="24"/>
        <v>1034942.8598841475</v>
      </c>
      <c r="Q168" s="525">
        <f t="shared" si="24"/>
        <v>1036581.7978818305</v>
      </c>
      <c r="R168" s="525">
        <f t="shared" si="24"/>
        <v>1038253.5146394671</v>
      </c>
      <c r="S168" s="525">
        <f t="shared" si="24"/>
        <v>1039958.6657322564</v>
      </c>
      <c r="T168" s="525">
        <f t="shared" si="24"/>
        <v>1041697.9198469016</v>
      </c>
      <c r="U168" s="525">
        <f t="shared" si="24"/>
        <v>1043471.9590438396</v>
      </c>
      <c r="V168" s="525">
        <f t="shared" si="24"/>
        <v>1045281.4790247164</v>
      </c>
      <c r="W168" s="525">
        <f t="shared" si="24"/>
        <v>1047127.1894052108</v>
      </c>
      <c r="X168" s="525">
        <f t="shared" si="24"/>
        <v>1049009.813993315</v>
      </c>
    </row>
    <row r="169" spans="1:24" s="32" customFormat="1">
      <c r="A169" s="69"/>
      <c r="B169" s="90"/>
      <c r="C169" s="90"/>
      <c r="D169" s="526"/>
      <c r="E169" s="527"/>
      <c r="F169" s="527"/>
      <c r="G169" s="527"/>
      <c r="H169" s="527"/>
      <c r="I169" s="527"/>
      <c r="J169" s="527"/>
      <c r="K169" s="527"/>
      <c r="L169" s="527"/>
      <c r="M169" s="527"/>
      <c r="N169" s="527"/>
      <c r="O169" s="527"/>
      <c r="P169" s="527"/>
      <c r="Q169" s="527"/>
      <c r="R169" s="527"/>
      <c r="S169" s="527"/>
      <c r="T169" s="527"/>
      <c r="U169" s="527"/>
      <c r="V169" s="527"/>
      <c r="W169" s="527"/>
      <c r="X169" s="527"/>
    </row>
    <row r="170" spans="1:24" s="32" customFormat="1">
      <c r="A170" s="94" t="s">
        <v>137</v>
      </c>
      <c r="C170" s="69"/>
      <c r="D170" s="514">
        <v>0</v>
      </c>
      <c r="E170" s="515">
        <f>E160-E164</f>
        <v>-299391.66666666663</v>
      </c>
      <c r="F170" s="515">
        <f t="shared" ref="F170:X170" si="25">F156-F164</f>
        <v>598669.57148453954</v>
      </c>
      <c r="G170" s="515">
        <f t="shared" si="25"/>
        <v>726251.93491423037</v>
      </c>
      <c r="H170" s="515">
        <f t="shared" si="25"/>
        <v>738556.97361251491</v>
      </c>
      <c r="I170" s="515">
        <f t="shared" si="25"/>
        <v>751108.1130847655</v>
      </c>
      <c r="J170" s="515">
        <f t="shared" si="25"/>
        <v>979470.64655126026</v>
      </c>
      <c r="K170" s="515">
        <f t="shared" si="25"/>
        <v>996498.89327265392</v>
      </c>
      <c r="L170" s="515">
        <f t="shared" si="25"/>
        <v>1009330.7861381075</v>
      </c>
      <c r="M170" s="515">
        <f t="shared" si="25"/>
        <v>1022419.3168608695</v>
      </c>
      <c r="N170" s="515">
        <f t="shared" si="25"/>
        <v>1035769.6181980865</v>
      </c>
      <c r="O170" s="515">
        <f t="shared" si="25"/>
        <v>1106559.9852720457</v>
      </c>
      <c r="P170" s="515">
        <f t="shared" si="25"/>
        <v>1124840.1415732889</v>
      </c>
      <c r="Q170" s="515">
        <f t="shared" si="25"/>
        <v>1139007.5881547548</v>
      </c>
      <c r="R170" s="515">
        <f t="shared" si="25"/>
        <v>1153458.3836678499</v>
      </c>
      <c r="S170" s="515">
        <f t="shared" si="25"/>
        <v>1168198.1950912073</v>
      </c>
      <c r="T170" s="515">
        <f t="shared" si="25"/>
        <v>1240569.2994121932</v>
      </c>
      <c r="U170" s="515">
        <f t="shared" si="25"/>
        <v>1260231.6650478919</v>
      </c>
      <c r="V170" s="515">
        <f t="shared" si="25"/>
        <v>1275873.6708488499</v>
      </c>
      <c r="W170" s="515">
        <f t="shared" si="25"/>
        <v>1291828.5167658268</v>
      </c>
      <c r="X170" s="515">
        <f t="shared" si="25"/>
        <v>1308102.4596011434</v>
      </c>
    </row>
    <row r="171" spans="1:24" ht="16.5" customHeight="1">
      <c r="A171" s="88" t="s">
        <v>128</v>
      </c>
      <c r="B171" s="98"/>
      <c r="C171" s="98"/>
      <c r="D171" s="528">
        <v>0</v>
      </c>
      <c r="E171" s="529">
        <f>E160-E168</f>
        <v>-1252387.6266666665</v>
      </c>
      <c r="F171" s="529">
        <f t="shared" ref="F171:X171" si="26">F160-F168</f>
        <v>-354326.38851546042</v>
      </c>
      <c r="G171" s="529">
        <f t="shared" si="26"/>
        <v>-226744.02508576959</v>
      </c>
      <c r="H171" s="529">
        <f t="shared" si="26"/>
        <v>-214438.98638748506</v>
      </c>
      <c r="I171" s="529">
        <f t="shared" si="26"/>
        <v>-201887.84691523446</v>
      </c>
      <c r="J171" s="529">
        <f t="shared" si="26"/>
        <v>26474.686551260296</v>
      </c>
      <c r="K171" s="529">
        <f t="shared" si="26"/>
        <v>43502.933272653958</v>
      </c>
      <c r="L171" s="529">
        <f t="shared" si="26"/>
        <v>56334.826138107572</v>
      </c>
      <c r="M171" s="529">
        <f t="shared" si="26"/>
        <v>69423.356860869564</v>
      </c>
      <c r="N171" s="529">
        <f t="shared" si="26"/>
        <v>82773.658198086545</v>
      </c>
      <c r="O171" s="529">
        <f t="shared" si="26"/>
        <v>153564.02527204575</v>
      </c>
      <c r="P171" s="529">
        <f t="shared" si="26"/>
        <v>171844.18157328898</v>
      </c>
      <c r="Q171" s="529">
        <f t="shared" si="26"/>
        <v>186011.62815475487</v>
      </c>
      <c r="R171" s="529">
        <f t="shared" si="26"/>
        <v>200462.42366784986</v>
      </c>
      <c r="S171" s="529">
        <f t="shared" si="26"/>
        <v>215202.23509120732</v>
      </c>
      <c r="T171" s="529">
        <f t="shared" si="26"/>
        <v>287573.3394121934</v>
      </c>
      <c r="U171" s="529">
        <f t="shared" si="26"/>
        <v>307235.70504789182</v>
      </c>
      <c r="V171" s="529">
        <f t="shared" si="26"/>
        <v>322877.71084884997</v>
      </c>
      <c r="W171" s="529">
        <f t="shared" si="26"/>
        <v>338832.55676582688</v>
      </c>
      <c r="X171" s="529">
        <f t="shared" si="26"/>
        <v>355106.49960114341</v>
      </c>
    </row>
    <row r="172" spans="1:24" ht="16.5" customHeight="1">
      <c r="A172" s="88"/>
      <c r="B172" s="88"/>
      <c r="C172" s="88"/>
      <c r="D172" s="526"/>
      <c r="E172" s="527"/>
      <c r="F172" s="527"/>
      <c r="G172" s="527"/>
      <c r="H172" s="527"/>
      <c r="I172" s="527"/>
      <c r="J172" s="527"/>
      <c r="K172" s="527"/>
      <c r="L172" s="527"/>
      <c r="M172" s="527"/>
      <c r="N172" s="527"/>
      <c r="O172" s="527"/>
      <c r="P172" s="527"/>
      <c r="Q172" s="527"/>
      <c r="R172" s="527"/>
      <c r="S172" s="527"/>
      <c r="T172" s="527"/>
      <c r="U172" s="527"/>
      <c r="V172" s="527"/>
      <c r="W172" s="527"/>
      <c r="X172" s="527"/>
    </row>
    <row r="173" spans="1:24" ht="16.5" customHeight="1">
      <c r="A173" s="88" t="s">
        <v>129</v>
      </c>
      <c r="B173" s="632">
        <f>NPV(Cost_of_Money__DPC,E160:X160)</f>
        <v>21162810.646544475</v>
      </c>
      <c r="C173" s="88"/>
      <c r="D173" s="526"/>
      <c r="E173" s="527"/>
      <c r="F173" s="527"/>
      <c r="G173" s="527"/>
      <c r="H173" s="527"/>
      <c r="I173" s="527"/>
      <c r="J173" s="527"/>
      <c r="K173" s="527"/>
      <c r="L173" s="527"/>
      <c r="M173" s="527"/>
      <c r="N173" s="527"/>
      <c r="O173" s="527"/>
      <c r="P173" s="527"/>
      <c r="Q173" s="527"/>
      <c r="R173" s="527"/>
      <c r="S173" s="527"/>
      <c r="T173" s="527"/>
      <c r="U173" s="527"/>
      <c r="V173" s="527"/>
      <c r="W173" s="527"/>
      <c r="X173" s="527"/>
    </row>
    <row r="174" spans="1:24" ht="16.5" customHeight="1">
      <c r="A174" s="300" t="s">
        <v>130</v>
      </c>
      <c r="B174" s="733">
        <f>SUM(E171:X171)</f>
        <v>567434.89288541442</v>
      </c>
      <c r="C174" s="301"/>
      <c r="D174" s="530">
        <v>0</v>
      </c>
      <c r="E174" s="530">
        <f>E160-E168</f>
        <v>-1252387.6266666665</v>
      </c>
      <c r="F174" s="530">
        <f t="shared" ref="F174:X174" si="27">F160-F168</f>
        <v>-354326.38851546042</v>
      </c>
      <c r="G174" s="530">
        <f t="shared" si="27"/>
        <v>-226744.02508576959</v>
      </c>
      <c r="H174" s="530">
        <f t="shared" si="27"/>
        <v>-214438.98638748506</v>
      </c>
      <c r="I174" s="530">
        <f t="shared" si="27"/>
        <v>-201887.84691523446</v>
      </c>
      <c r="J174" s="530">
        <f t="shared" si="27"/>
        <v>26474.686551260296</v>
      </c>
      <c r="K174" s="530">
        <f t="shared" si="27"/>
        <v>43502.933272653958</v>
      </c>
      <c r="L174" s="530">
        <f t="shared" si="27"/>
        <v>56334.826138107572</v>
      </c>
      <c r="M174" s="530">
        <f t="shared" si="27"/>
        <v>69423.356860869564</v>
      </c>
      <c r="N174" s="530">
        <f t="shared" si="27"/>
        <v>82773.658198086545</v>
      </c>
      <c r="O174" s="530">
        <f t="shared" si="27"/>
        <v>153564.02527204575</v>
      </c>
      <c r="P174" s="530">
        <f t="shared" si="27"/>
        <v>171844.18157328898</v>
      </c>
      <c r="Q174" s="530">
        <f t="shared" si="27"/>
        <v>186011.62815475487</v>
      </c>
      <c r="R174" s="530">
        <f t="shared" si="27"/>
        <v>200462.42366784986</v>
      </c>
      <c r="S174" s="530">
        <f t="shared" si="27"/>
        <v>215202.23509120732</v>
      </c>
      <c r="T174" s="530">
        <f t="shared" si="27"/>
        <v>287573.3394121934</v>
      </c>
      <c r="U174" s="530">
        <f t="shared" si="27"/>
        <v>307235.70504789182</v>
      </c>
      <c r="V174" s="530">
        <f t="shared" si="27"/>
        <v>322877.71084884997</v>
      </c>
      <c r="W174" s="530">
        <f t="shared" si="27"/>
        <v>338832.55676582688</v>
      </c>
      <c r="X174" s="530">
        <f t="shared" si="27"/>
        <v>355106.49960114341</v>
      </c>
    </row>
    <row r="175" spans="1:24" s="58" customFormat="1" ht="16.5" customHeight="1">
      <c r="A175" s="90" t="s">
        <v>32</v>
      </c>
      <c r="B175" s="792">
        <f>IRR(E174:X174)</f>
        <v>1.6883373751096498E-2</v>
      </c>
      <c r="C175" s="356"/>
      <c r="D175" s="502"/>
      <c r="E175" s="504"/>
      <c r="F175" s="504"/>
      <c r="G175" s="504"/>
      <c r="H175" s="504"/>
      <c r="I175" s="504"/>
      <c r="J175" s="504"/>
      <c r="K175" s="504"/>
      <c r="L175" s="504"/>
      <c r="M175" s="504"/>
      <c r="N175" s="504"/>
      <c r="O175" s="504"/>
      <c r="P175" s="504"/>
      <c r="Q175" s="504"/>
      <c r="R175" s="504"/>
      <c r="S175" s="504"/>
      <c r="T175" s="504"/>
      <c r="U175" s="504"/>
      <c r="V175" s="504"/>
      <c r="W175" s="504"/>
      <c r="X175" s="504"/>
    </row>
    <row r="176" spans="1:24">
      <c r="A176" s="30"/>
      <c r="B176" s="30"/>
      <c r="C176" s="30"/>
      <c r="D176" s="502"/>
      <c r="E176" s="512"/>
      <c r="F176" s="512"/>
      <c r="G176" s="512"/>
      <c r="H176" s="512"/>
      <c r="I176" s="512"/>
      <c r="J176" s="512"/>
      <c r="K176" s="512"/>
      <c r="L176" s="512"/>
      <c r="M176" s="512"/>
      <c r="N176" s="512"/>
      <c r="O176" s="512"/>
      <c r="P176" s="512"/>
      <c r="Q176" s="512"/>
      <c r="R176" s="512"/>
      <c r="S176" s="512"/>
      <c r="T176" s="512"/>
      <c r="U176" s="512"/>
      <c r="V176" s="512"/>
      <c r="W176" s="512"/>
      <c r="X176" s="512"/>
    </row>
    <row r="177" spans="1:24">
      <c r="A177" s="274" t="s">
        <v>28</v>
      </c>
      <c r="B177" s="275"/>
      <c r="C177" s="275"/>
      <c r="D177" s="531"/>
      <c r="E177" s="531"/>
      <c r="F177" s="531"/>
      <c r="G177" s="531"/>
      <c r="H177" s="531"/>
      <c r="I177" s="531"/>
      <c r="J177" s="531"/>
      <c r="K177" s="531"/>
      <c r="L177" s="531"/>
      <c r="M177" s="531"/>
      <c r="N177" s="531"/>
      <c r="O177" s="531"/>
      <c r="P177" s="531"/>
      <c r="Q177" s="531"/>
      <c r="R177" s="531"/>
      <c r="S177" s="531"/>
      <c r="T177" s="531"/>
      <c r="U177" s="531"/>
      <c r="V177" s="531"/>
      <c r="W177" s="531"/>
      <c r="X177" s="531"/>
    </row>
    <row r="178" spans="1:24">
      <c r="A178" s="30"/>
      <c r="B178" s="30"/>
      <c r="C178" s="30"/>
      <c r="D178" s="502"/>
      <c r="E178" s="512"/>
      <c r="F178" s="512"/>
      <c r="G178" s="512"/>
      <c r="H178" s="512"/>
      <c r="I178" s="512"/>
      <c r="J178" s="512"/>
      <c r="K178" s="512"/>
      <c r="L178" s="512"/>
      <c r="M178" s="512"/>
      <c r="N178" s="512"/>
      <c r="O178" s="512"/>
      <c r="P178" s="512"/>
      <c r="Q178" s="512"/>
      <c r="R178" s="512"/>
      <c r="S178" s="512"/>
      <c r="T178" s="512"/>
      <c r="U178" s="512"/>
      <c r="V178" s="512"/>
      <c r="W178" s="512"/>
      <c r="X178" s="512"/>
    </row>
    <row r="179" spans="1:24">
      <c r="A179" s="30" t="s">
        <v>300</v>
      </c>
      <c r="B179" s="30"/>
      <c r="C179" s="87"/>
      <c r="D179" s="502">
        <v>0</v>
      </c>
      <c r="E179" s="512"/>
      <c r="F179" s="512"/>
      <c r="G179" s="512"/>
      <c r="H179" s="512"/>
      <c r="I179" s="512"/>
      <c r="J179" s="512"/>
      <c r="K179" s="512"/>
      <c r="L179" s="512"/>
      <c r="M179" s="512"/>
      <c r="N179" s="512"/>
      <c r="O179" s="512"/>
      <c r="P179" s="512"/>
      <c r="Q179" s="512"/>
      <c r="R179" s="512"/>
      <c r="S179" s="512"/>
      <c r="T179" s="512"/>
      <c r="U179" s="512"/>
      <c r="V179" s="512"/>
      <c r="W179" s="512"/>
      <c r="X179" s="512"/>
    </row>
    <row r="180" spans="1:24">
      <c r="A180" s="30" t="s">
        <v>301</v>
      </c>
      <c r="B180" s="30"/>
      <c r="C180" s="30"/>
      <c r="D180" s="502">
        <v>0</v>
      </c>
      <c r="E180" s="512"/>
      <c r="F180" s="512"/>
      <c r="G180" s="512"/>
      <c r="H180" s="512"/>
      <c r="I180" s="512"/>
      <c r="J180" s="512"/>
      <c r="K180" s="512"/>
      <c r="L180" s="512"/>
      <c r="M180" s="512"/>
      <c r="N180" s="512"/>
      <c r="O180" s="512"/>
      <c r="P180" s="512"/>
      <c r="Q180" s="512"/>
      <c r="R180" s="512"/>
      <c r="S180" s="512"/>
      <c r="T180" s="512"/>
      <c r="U180" s="512"/>
      <c r="V180" s="512"/>
      <c r="W180" s="512"/>
      <c r="X180" s="512"/>
    </row>
    <row r="181" spans="1:24">
      <c r="A181" s="30"/>
      <c r="B181" s="30"/>
      <c r="C181" s="30"/>
      <c r="D181" s="502"/>
      <c r="E181" s="512"/>
      <c r="F181" s="512"/>
      <c r="G181" s="512"/>
      <c r="H181" s="512"/>
      <c r="I181" s="512"/>
      <c r="J181" s="512"/>
      <c r="K181" s="512"/>
      <c r="L181" s="512"/>
      <c r="M181" s="512"/>
      <c r="N181" s="512"/>
      <c r="O181" s="512"/>
      <c r="P181" s="512"/>
      <c r="Q181" s="512"/>
      <c r="R181" s="512"/>
      <c r="S181" s="512"/>
      <c r="T181" s="512"/>
      <c r="U181" s="512"/>
      <c r="V181" s="512"/>
      <c r="W181" s="512"/>
      <c r="X181" s="512"/>
    </row>
    <row r="182" spans="1:24">
      <c r="A182" s="30" t="s">
        <v>298</v>
      </c>
      <c r="B182" s="30"/>
      <c r="C182" s="30"/>
      <c r="D182" s="502">
        <v>0</v>
      </c>
      <c r="E182" s="512"/>
      <c r="F182" s="512"/>
      <c r="G182" s="512"/>
      <c r="H182" s="512"/>
      <c r="I182" s="512"/>
      <c r="J182" s="512"/>
      <c r="K182" s="512"/>
      <c r="L182" s="512"/>
      <c r="M182" s="512"/>
      <c r="N182" s="512"/>
      <c r="O182" s="512"/>
      <c r="P182" s="512"/>
      <c r="Q182" s="512"/>
      <c r="R182" s="512"/>
      <c r="S182" s="512"/>
      <c r="T182" s="512"/>
      <c r="U182" s="512"/>
      <c r="V182" s="512"/>
      <c r="W182" s="512"/>
      <c r="X182" s="512"/>
    </row>
    <row r="183" spans="1:24">
      <c r="A183" s="30" t="s">
        <v>299</v>
      </c>
      <c r="B183" s="30"/>
      <c r="C183" s="30"/>
      <c r="D183" s="502">
        <v>0</v>
      </c>
      <c r="E183" s="512"/>
      <c r="F183" s="512"/>
      <c r="G183" s="512"/>
      <c r="H183" s="512"/>
      <c r="I183" s="512"/>
      <c r="J183" s="512"/>
      <c r="K183" s="512"/>
      <c r="L183" s="512"/>
      <c r="M183" s="512"/>
      <c r="N183" s="512"/>
      <c r="O183" s="512"/>
      <c r="P183" s="512"/>
      <c r="Q183" s="512"/>
      <c r="R183" s="512"/>
      <c r="S183" s="512"/>
      <c r="T183" s="512"/>
      <c r="U183" s="512"/>
      <c r="V183" s="512"/>
      <c r="W183" s="512"/>
      <c r="X183" s="512"/>
    </row>
    <row r="184" spans="1:24">
      <c r="D184" s="502"/>
      <c r="E184" s="532"/>
      <c r="F184" s="532"/>
      <c r="G184" s="532"/>
      <c r="H184" s="532"/>
      <c r="I184" s="532"/>
      <c r="J184" s="532"/>
      <c r="K184" s="532"/>
      <c r="L184" s="532"/>
      <c r="M184" s="532"/>
      <c r="N184" s="532"/>
      <c r="O184" s="532"/>
      <c r="P184" s="532"/>
      <c r="Q184" s="532"/>
      <c r="R184" s="532"/>
      <c r="S184" s="532"/>
      <c r="T184" s="532"/>
      <c r="U184" s="532"/>
      <c r="V184" s="532"/>
      <c r="W184" s="532"/>
      <c r="X184" s="532"/>
    </row>
    <row r="185" spans="1:24">
      <c r="A185" s="131"/>
      <c r="B185" s="131"/>
      <c r="C185" s="131"/>
      <c r="D185" s="493"/>
      <c r="E185" s="334"/>
      <c r="F185" s="334"/>
      <c r="G185" s="334"/>
      <c r="H185" s="334"/>
      <c r="I185" s="334"/>
      <c r="J185" s="334"/>
      <c r="K185" s="334"/>
      <c r="L185" s="334"/>
      <c r="M185" s="334"/>
      <c r="N185" s="334"/>
      <c r="O185" s="334"/>
      <c r="P185" s="334"/>
      <c r="Q185" s="334"/>
      <c r="R185" s="334"/>
      <c r="S185" s="334"/>
      <c r="T185" s="334"/>
      <c r="U185" s="334"/>
      <c r="V185" s="334"/>
      <c r="W185" s="334"/>
      <c r="X185" s="334"/>
    </row>
    <row r="186" spans="1:24">
      <c r="D186" s="494"/>
      <c r="E186" s="327"/>
      <c r="F186" s="327"/>
      <c r="G186" s="327"/>
      <c r="H186" s="327"/>
      <c r="I186" s="327"/>
      <c r="J186" s="327"/>
      <c r="K186" s="327"/>
      <c r="L186" s="327"/>
      <c r="M186" s="327"/>
      <c r="N186" s="327"/>
      <c r="O186" s="327"/>
      <c r="P186" s="327"/>
      <c r="Q186" s="327"/>
      <c r="R186" s="327"/>
      <c r="S186" s="327"/>
      <c r="T186" s="327"/>
      <c r="U186" s="327"/>
      <c r="V186" s="327"/>
      <c r="W186" s="327"/>
      <c r="X186" s="327"/>
    </row>
    <row r="187" spans="1:24">
      <c r="A187"/>
      <c r="D187" s="494"/>
      <c r="E187" s="327"/>
      <c r="F187" s="327"/>
      <c r="G187" s="327"/>
      <c r="H187" s="327"/>
      <c r="I187" s="327"/>
      <c r="J187" s="327"/>
      <c r="K187" s="327"/>
      <c r="L187" s="327"/>
      <c r="M187" s="327"/>
      <c r="N187" s="327"/>
      <c r="O187" s="327"/>
      <c r="P187" s="327"/>
      <c r="Q187" s="327"/>
      <c r="R187" s="327"/>
      <c r="S187" s="327"/>
      <c r="T187" s="327"/>
      <c r="U187" s="327"/>
      <c r="V187" s="327"/>
      <c r="W187" s="327"/>
      <c r="X187" s="327"/>
    </row>
    <row r="188" spans="1:24">
      <c r="A188"/>
      <c r="D188" s="494"/>
      <c r="E188" s="327"/>
      <c r="F188" s="327"/>
      <c r="G188" s="327"/>
      <c r="H188" s="327"/>
      <c r="I188" s="327"/>
      <c r="J188" s="327"/>
      <c r="K188" s="327"/>
      <c r="L188" s="327"/>
      <c r="M188" s="327"/>
      <c r="N188" s="327"/>
      <c r="O188" s="327"/>
      <c r="P188" s="327"/>
      <c r="Q188" s="327"/>
      <c r="R188" s="327"/>
      <c r="S188" s="327"/>
      <c r="T188" s="327"/>
      <c r="U188" s="327"/>
      <c r="V188" s="327"/>
      <c r="W188" s="327"/>
      <c r="X188" s="327"/>
    </row>
    <row r="189" spans="1:24">
      <c r="D189" s="494"/>
      <c r="E189" s="327"/>
      <c r="F189" s="327"/>
      <c r="G189" s="327"/>
      <c r="H189" s="362"/>
      <c r="I189" s="327"/>
      <c r="J189" s="327"/>
      <c r="K189" s="327"/>
      <c r="L189" s="327"/>
      <c r="M189" s="327"/>
      <c r="N189" s="327"/>
      <c r="O189" s="327"/>
      <c r="P189" s="327"/>
      <c r="Q189" s="327"/>
      <c r="R189" s="327"/>
      <c r="S189" s="327"/>
      <c r="T189" s="327"/>
      <c r="U189" s="327"/>
      <c r="V189" s="327"/>
      <c r="W189" s="327"/>
      <c r="X189" s="327"/>
    </row>
    <row r="190" spans="1:24">
      <c r="D190" s="326"/>
      <c r="E190" s="327"/>
      <c r="F190" s="327"/>
      <c r="G190" s="327"/>
      <c r="H190" s="359"/>
      <c r="I190" s="327"/>
      <c r="J190" s="327"/>
      <c r="K190" s="327"/>
      <c r="L190" s="327"/>
      <c r="M190" s="327"/>
      <c r="N190" s="327"/>
      <c r="O190" s="327"/>
      <c r="P190" s="327"/>
      <c r="Q190" s="327"/>
      <c r="R190" s="327"/>
      <c r="S190" s="327"/>
      <c r="T190" s="327"/>
      <c r="U190" s="327"/>
      <c r="V190" s="327"/>
      <c r="W190" s="327"/>
      <c r="X190" s="327"/>
    </row>
    <row r="191" spans="1:24">
      <c r="H191" s="305"/>
    </row>
    <row r="192" spans="1:24">
      <c r="H192" s="30"/>
    </row>
    <row r="193" spans="8:8">
      <c r="H193" s="87"/>
    </row>
    <row r="195" spans="8:8">
      <c r="H195" s="360"/>
    </row>
    <row r="196" spans="8:8">
      <c r="H196" s="361"/>
    </row>
  </sheetData>
  <pageMargins left="0.7" right="0.7" top="0.75" bottom="0.75" header="0.3" footer="0.3"/>
  <pageSetup paperSize="9" scale="2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XFD196"/>
  <sheetViews>
    <sheetView topLeftCell="A70" zoomScale="62" zoomScaleNormal="55" workbookViewId="0">
      <selection activeCell="A117" sqref="A117:XFD117"/>
    </sheetView>
  </sheetViews>
  <sheetFormatPr defaultColWidth="9" defaultRowHeight="16.5"/>
  <cols>
    <col min="1" max="1" width="71.875" style="18" customWidth="1"/>
    <col min="2" max="2" width="50.5" style="18" bestFit="1" customWidth="1"/>
    <col min="3" max="3" width="8" style="18" bestFit="1" customWidth="1"/>
    <col min="4" max="4" width="8" style="262" bestFit="1" customWidth="1"/>
    <col min="5" max="6" width="17.25" style="18" bestFit="1" customWidth="1"/>
    <col min="7" max="7" width="16.875" style="18" bestFit="1" customWidth="1"/>
    <col min="8" max="10" width="17.25" style="18" bestFit="1" customWidth="1"/>
    <col min="11" max="11" width="16.875" style="18" bestFit="1" customWidth="1"/>
    <col min="12" max="12" width="17.25" style="18" bestFit="1" customWidth="1"/>
    <col min="13" max="14" width="16.875" style="18" bestFit="1" customWidth="1"/>
    <col min="15" max="15" width="17.25" style="18" bestFit="1" customWidth="1"/>
    <col min="16" max="18" width="17.625" style="18" bestFit="1" customWidth="1"/>
    <col min="19" max="20" width="17.25" style="18" bestFit="1" customWidth="1"/>
    <col min="21" max="21" width="17.625" style="18" bestFit="1" customWidth="1"/>
    <col min="22" max="22" width="17.25" style="18" bestFit="1" customWidth="1"/>
    <col min="23" max="23" width="17.625" style="18" bestFit="1" customWidth="1"/>
    <col min="24" max="24" width="17.25" style="18" bestFit="1" customWidth="1"/>
    <col min="25" max="25" width="22.625" style="18" bestFit="1" customWidth="1"/>
    <col min="26" max="16384" width="9" style="18"/>
  </cols>
  <sheetData>
    <row r="1" spans="1:25" ht="18.75" thickBot="1">
      <c r="A1" s="11" t="str">
        <f>Intro!A1</f>
        <v>Town of Bar Harbor</v>
      </c>
      <c r="B1" s="27"/>
      <c r="C1" s="17"/>
      <c r="D1" s="260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</row>
    <row r="2" spans="1:25" ht="17.25" thickBot="1">
      <c r="A2" s="380" t="str">
        <f>Intro!A2</f>
        <v>Ferry Property Business Plan</v>
      </c>
      <c r="B2" s="13"/>
      <c r="C2" s="17"/>
      <c r="D2" s="260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</row>
    <row r="3" spans="1:25" s="381" customFormat="1" ht="14.25" thickBot="1">
      <c r="A3" s="384" t="str">
        <f>Intro!A3</f>
        <v>05.23.2018</v>
      </c>
      <c r="B3" s="304"/>
      <c r="C3" s="387"/>
      <c r="D3" s="388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7"/>
      <c r="X3" s="387"/>
    </row>
    <row r="4" spans="1:25" s="381" customFormat="1" ht="13.5">
      <c r="A4" s="384" t="str">
        <f ca="1">Intro!A4</f>
        <v>Town of Bar Harbor</v>
      </c>
      <c r="B4" s="382"/>
      <c r="C4" s="383">
        <f ca="1">NOW()</f>
        <v>43242.835659143515</v>
      </c>
      <c r="D4" s="388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  <c r="Q4" s="387"/>
      <c r="R4" s="387"/>
      <c r="S4" s="387"/>
      <c r="T4" s="387"/>
      <c r="U4" s="387"/>
      <c r="V4" s="387"/>
      <c r="W4" s="387"/>
      <c r="X4" s="387"/>
    </row>
    <row r="5" spans="1:25">
      <c r="A5" s="244" t="s">
        <v>343</v>
      </c>
      <c r="B5" s="244"/>
      <c r="C5" s="245"/>
      <c r="D5" s="261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</row>
    <row r="6" spans="1:25">
      <c r="D6" s="485"/>
    </row>
    <row r="7" spans="1:25">
      <c r="A7" s="22"/>
      <c r="B7" s="71"/>
      <c r="C7" s="71"/>
      <c r="D7" s="72">
        <f>'Cruise Projections'!T7</f>
        <v>2018</v>
      </c>
      <c r="E7" s="72">
        <f>'Cruise Projections'!U7</f>
        <v>2019</v>
      </c>
      <c r="F7" s="72">
        <f>'Cruise Projections'!V7</f>
        <v>2020</v>
      </c>
      <c r="G7" s="72">
        <f>'Cruise Projections'!W7</f>
        <v>2021</v>
      </c>
      <c r="H7" s="72">
        <f>'Cruise Projections'!X7</f>
        <v>2022</v>
      </c>
      <c r="I7" s="72">
        <f>'Cruise Projections'!Y7</f>
        <v>2023</v>
      </c>
      <c r="J7" s="72">
        <f>'Cruise Projections'!Z7</f>
        <v>2024</v>
      </c>
      <c r="K7" s="72">
        <f>'Cruise Projections'!AA7</f>
        <v>2025</v>
      </c>
      <c r="L7" s="72">
        <f>'Cruise Projections'!AB7</f>
        <v>2026</v>
      </c>
      <c r="M7" s="72">
        <f>'Cruise Projections'!AC7</f>
        <v>2027</v>
      </c>
      <c r="N7" s="72">
        <f>'Cruise Projections'!AD7</f>
        <v>2028</v>
      </c>
      <c r="O7" s="72">
        <f>'Cruise Projections'!AE7</f>
        <v>2029</v>
      </c>
      <c r="P7" s="72">
        <f>'Cruise Projections'!AF7</f>
        <v>2030</v>
      </c>
      <c r="Q7" s="72">
        <f>'Cruise Projections'!AG7</f>
        <v>2031</v>
      </c>
      <c r="R7" s="72">
        <f>'Cruise Projections'!AH7</f>
        <v>2032</v>
      </c>
      <c r="S7" s="72">
        <f>'Cruise Projections'!AI7</f>
        <v>2033</v>
      </c>
      <c r="T7" s="72">
        <f>'Cruise Projections'!AJ7</f>
        <v>2034</v>
      </c>
      <c r="U7" s="72">
        <f>'Cruise Projections'!AK7</f>
        <v>2035</v>
      </c>
      <c r="V7" s="72">
        <f>'Cruise Projections'!AL7</f>
        <v>2036</v>
      </c>
      <c r="W7" s="72">
        <f>'Cruise Projections'!AM7</f>
        <v>2037</v>
      </c>
      <c r="X7" s="72">
        <f>'Cruise Projections'!AN7</f>
        <v>2038</v>
      </c>
    </row>
    <row r="8" spans="1:25" ht="17.25" thickBot="1">
      <c r="D8" s="488"/>
    </row>
    <row r="9" spans="1:25" ht="17.25" thickBot="1">
      <c r="A9" s="117" t="s">
        <v>34</v>
      </c>
      <c r="B9" s="484" t="str">
        <f>'Cruise Projections'!A83</f>
        <v>Scenario 4 - Percent of 2018 Business - RCCL</v>
      </c>
      <c r="D9" s="489"/>
      <c r="E9" s="327"/>
      <c r="F9" s="327"/>
      <c r="G9" s="327"/>
      <c r="H9" s="327"/>
      <c r="I9" s="327"/>
      <c r="J9" s="327"/>
      <c r="K9" s="327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</row>
    <row r="10" spans="1:25">
      <c r="D10" s="489"/>
      <c r="E10" s="327"/>
      <c r="F10" s="327"/>
      <c r="G10" s="327"/>
      <c r="H10" s="327"/>
      <c r="I10" s="327"/>
      <c r="J10" s="327"/>
      <c r="K10" s="327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</row>
    <row r="11" spans="1:25" s="279" customFormat="1" ht="14.25">
      <c r="A11" s="279" t="s">
        <v>83</v>
      </c>
      <c r="D11" s="490"/>
      <c r="E11" s="328"/>
      <c r="F11" s="328"/>
      <c r="G11" s="328"/>
      <c r="H11" s="328"/>
      <c r="I11" s="328"/>
      <c r="J11" s="328"/>
      <c r="K11" s="328"/>
      <c r="L11" s="328"/>
      <c r="M11" s="328"/>
      <c r="N11" s="328"/>
      <c r="O11" s="328"/>
      <c r="P11" s="328"/>
      <c r="Q11" s="328"/>
      <c r="R11" s="328"/>
      <c r="S11" s="328"/>
      <c r="T11" s="328"/>
      <c r="U11" s="328"/>
      <c r="V11" s="328"/>
      <c r="W11" s="328"/>
      <c r="X11" s="328"/>
    </row>
    <row r="12" spans="1:25">
      <c r="A12" s="53" t="str">
        <f>'Cruise Projections'!A67</f>
        <v>Passengers</v>
      </c>
      <c r="B12" s="21"/>
      <c r="C12" s="21"/>
      <c r="D12" s="486">
        <f>'Cruise Projections'!T67</f>
        <v>0</v>
      </c>
      <c r="E12" s="313">
        <v>0</v>
      </c>
      <c r="F12" s="313">
        <f>'Cruise Projections'!V85</f>
        <v>89162.177869620791</v>
      </c>
      <c r="G12" s="313">
        <f>'Cruise Projections'!W85</f>
        <v>89162.177869620791</v>
      </c>
      <c r="H12" s="313">
        <f>'Cruise Projections'!X85</f>
        <v>89162.177869620791</v>
      </c>
      <c r="I12" s="313">
        <f>'Cruise Projections'!Y85</f>
        <v>89162.177869620791</v>
      </c>
      <c r="J12" s="313">
        <f>'Cruise Projections'!Z85</f>
        <v>89162.177869620791</v>
      </c>
      <c r="K12" s="313">
        <f>'Cruise Projections'!AA85</f>
        <v>89162.177869620791</v>
      </c>
      <c r="L12" s="313">
        <f>'Cruise Projections'!AB85</f>
        <v>89162.177869620791</v>
      </c>
      <c r="M12" s="313">
        <f>'Cruise Projections'!AC85</f>
        <v>89162.177869620791</v>
      </c>
      <c r="N12" s="313">
        <f>'Cruise Projections'!AD85</f>
        <v>89162.177869620791</v>
      </c>
      <c r="O12" s="313">
        <f>'Cruise Projections'!AE85</f>
        <v>89162.177869620791</v>
      </c>
      <c r="P12" s="313">
        <f>'Cruise Projections'!AF85</f>
        <v>89162.177869620791</v>
      </c>
      <c r="Q12" s="313">
        <f>'Cruise Projections'!AG85</f>
        <v>89162.177869620791</v>
      </c>
      <c r="R12" s="313">
        <f>'Cruise Projections'!AH85</f>
        <v>89162.177869620791</v>
      </c>
      <c r="S12" s="313">
        <f>'Cruise Projections'!AI85</f>
        <v>89162.177869620791</v>
      </c>
      <c r="T12" s="313">
        <f>'Cruise Projections'!AJ85</f>
        <v>89162.177869620791</v>
      </c>
      <c r="U12" s="313">
        <f>'Cruise Projections'!AK85</f>
        <v>89162.177869620791</v>
      </c>
      <c r="V12" s="313">
        <f>'Cruise Projections'!AL85</f>
        <v>89162.177869620791</v>
      </c>
      <c r="W12" s="313">
        <f>'Cruise Projections'!AM85</f>
        <v>89162.177869620791</v>
      </c>
      <c r="X12" s="313">
        <f>'Cruise Projections'!AN85</f>
        <v>89162.177869620791</v>
      </c>
      <c r="Y12" s="312"/>
    </row>
    <row r="13" spans="1:25">
      <c r="A13" s="53" t="str">
        <f>'Cruise Projections'!A68</f>
        <v>Calls</v>
      </c>
      <c r="B13" s="21"/>
      <c r="C13" s="21"/>
      <c r="D13" s="486">
        <f>'Cruise Projections'!T68</f>
        <v>0</v>
      </c>
      <c r="E13" s="313">
        <v>0</v>
      </c>
      <c r="F13" s="313">
        <f>'Cruise Projections'!V86</f>
        <v>28.666666666666664</v>
      </c>
      <c r="G13" s="313">
        <f>'Cruise Projections'!W86</f>
        <v>28.666666666666664</v>
      </c>
      <c r="H13" s="313">
        <f>'Cruise Projections'!X86</f>
        <v>28.666666666666664</v>
      </c>
      <c r="I13" s="313">
        <f>'Cruise Projections'!Y86</f>
        <v>28.666666666666664</v>
      </c>
      <c r="J13" s="313">
        <f>'Cruise Projections'!Z86</f>
        <v>28.666666666666664</v>
      </c>
      <c r="K13" s="313">
        <f>'Cruise Projections'!AA86</f>
        <v>28.666666666666664</v>
      </c>
      <c r="L13" s="313">
        <f>'Cruise Projections'!AB86</f>
        <v>28.666666666666664</v>
      </c>
      <c r="M13" s="313">
        <f>'Cruise Projections'!AC86</f>
        <v>28.666666666666664</v>
      </c>
      <c r="N13" s="313">
        <f>'Cruise Projections'!AD86</f>
        <v>28.666666666666664</v>
      </c>
      <c r="O13" s="313">
        <f>'Cruise Projections'!AE86</f>
        <v>28.666666666666664</v>
      </c>
      <c r="P13" s="313">
        <f>'Cruise Projections'!AF86</f>
        <v>28.666666666666664</v>
      </c>
      <c r="Q13" s="313">
        <f>'Cruise Projections'!AG86</f>
        <v>28.666666666666664</v>
      </c>
      <c r="R13" s="313">
        <f>'Cruise Projections'!AH86</f>
        <v>28.666666666666664</v>
      </c>
      <c r="S13" s="313">
        <f>'Cruise Projections'!AI86</f>
        <v>28.666666666666664</v>
      </c>
      <c r="T13" s="313">
        <f>'Cruise Projections'!AJ86</f>
        <v>28.666666666666664</v>
      </c>
      <c r="U13" s="313">
        <f>'Cruise Projections'!AK86</f>
        <v>28.666666666666664</v>
      </c>
      <c r="V13" s="313">
        <f>'Cruise Projections'!AL86</f>
        <v>28.666666666666664</v>
      </c>
      <c r="W13" s="313">
        <f>'Cruise Projections'!AM86</f>
        <v>28.666666666666664</v>
      </c>
      <c r="X13" s="313">
        <f>'Cruise Projections'!AN86</f>
        <v>28.666666666666664</v>
      </c>
      <c r="Y13" s="312"/>
    </row>
    <row r="14" spans="1:25">
      <c r="A14" s="53" t="str">
        <f>'Cruise Projections'!A69</f>
        <v>Passengers per Call</v>
      </c>
      <c r="B14" s="21"/>
      <c r="C14" s="21"/>
      <c r="D14" s="486">
        <f>'Cruise Projections'!T69</f>
        <v>0</v>
      </c>
      <c r="E14" s="313">
        <v>0</v>
      </c>
      <c r="F14" s="313">
        <f>'Cruise Projections'!V87</f>
        <v>3110.3085303356092</v>
      </c>
      <c r="G14" s="313">
        <f>'Cruise Projections'!W87</f>
        <v>3110.3085303356092</v>
      </c>
      <c r="H14" s="313">
        <f>'Cruise Projections'!X87</f>
        <v>3110.3085303356092</v>
      </c>
      <c r="I14" s="313">
        <f>'Cruise Projections'!Y87</f>
        <v>3110.3085303356092</v>
      </c>
      <c r="J14" s="313">
        <f>'Cruise Projections'!Z87</f>
        <v>3110.3085303356092</v>
      </c>
      <c r="K14" s="313">
        <f>'Cruise Projections'!AA87</f>
        <v>3110.3085303356092</v>
      </c>
      <c r="L14" s="313">
        <f>'Cruise Projections'!AB87</f>
        <v>3110.3085303356092</v>
      </c>
      <c r="M14" s="313">
        <f>'Cruise Projections'!AC87</f>
        <v>3110.3085303356092</v>
      </c>
      <c r="N14" s="313">
        <f>'Cruise Projections'!AD87</f>
        <v>3110.3085303356092</v>
      </c>
      <c r="O14" s="313">
        <f>'Cruise Projections'!AE87</f>
        <v>3110.3085303356092</v>
      </c>
      <c r="P14" s="313">
        <f>'Cruise Projections'!AF87</f>
        <v>3110.3085303356092</v>
      </c>
      <c r="Q14" s="313">
        <f>'Cruise Projections'!AG87</f>
        <v>3110.3085303356092</v>
      </c>
      <c r="R14" s="313">
        <f>'Cruise Projections'!AH87</f>
        <v>3110.3085303356092</v>
      </c>
      <c r="S14" s="313">
        <f>'Cruise Projections'!AI87</f>
        <v>3110.3085303356092</v>
      </c>
      <c r="T14" s="313">
        <f>'Cruise Projections'!AJ87</f>
        <v>3110.3085303356092</v>
      </c>
      <c r="U14" s="313">
        <f>'Cruise Projections'!AK87</f>
        <v>3110.3085303356092</v>
      </c>
      <c r="V14" s="313">
        <f>'Cruise Projections'!AL87</f>
        <v>3110.3085303356092</v>
      </c>
      <c r="W14" s="313">
        <f>'Cruise Projections'!AM87</f>
        <v>3110.3085303356092</v>
      </c>
      <c r="X14" s="313">
        <f>'Cruise Projections'!AN87</f>
        <v>3110.3085303356092</v>
      </c>
      <c r="Y14" s="312"/>
    </row>
    <row r="15" spans="1:25" s="96" customFormat="1">
      <c r="A15" s="54" t="s">
        <v>313</v>
      </c>
      <c r="B15" s="487"/>
      <c r="C15" s="487"/>
      <c r="D15" s="486">
        <f>'Cruise Projections'!T70</f>
        <v>0</v>
      </c>
      <c r="E15" s="313">
        <v>0</v>
      </c>
      <c r="F15" s="313">
        <f>'Shuttle Projections'!D24</f>
        <v>4120</v>
      </c>
      <c r="G15" s="313">
        <f>'Shuttle Projections'!E24</f>
        <v>4120</v>
      </c>
      <c r="H15" s="313">
        <f>'Shuttle Projections'!F24</f>
        <v>4120</v>
      </c>
      <c r="I15" s="313">
        <f>'Shuttle Projections'!G24</f>
        <v>4120</v>
      </c>
      <c r="J15" s="313">
        <f>'Shuttle Projections'!H24</f>
        <v>4120</v>
      </c>
      <c r="K15" s="313">
        <f>'Shuttle Projections'!I24</f>
        <v>4120</v>
      </c>
      <c r="L15" s="313">
        <f>'Shuttle Projections'!J24</f>
        <v>4120</v>
      </c>
      <c r="M15" s="313">
        <f>'Shuttle Projections'!K24</f>
        <v>4120</v>
      </c>
      <c r="N15" s="313">
        <f>'Shuttle Projections'!L24</f>
        <v>4120</v>
      </c>
      <c r="O15" s="313">
        <f>'Shuttle Projections'!M24</f>
        <v>4120</v>
      </c>
      <c r="P15" s="313">
        <f>'Shuttle Projections'!N24</f>
        <v>4120</v>
      </c>
      <c r="Q15" s="313">
        <f>'Shuttle Projections'!O24</f>
        <v>4120</v>
      </c>
      <c r="R15" s="313">
        <f>'Shuttle Projections'!P24</f>
        <v>4120</v>
      </c>
      <c r="S15" s="313">
        <f>'Shuttle Projections'!Q24</f>
        <v>4120</v>
      </c>
      <c r="T15" s="313">
        <f>'Shuttle Projections'!R24</f>
        <v>4120</v>
      </c>
      <c r="U15" s="313">
        <f>'Shuttle Projections'!S24</f>
        <v>4120</v>
      </c>
      <c r="V15" s="313">
        <f>'Shuttle Projections'!T24</f>
        <v>4120</v>
      </c>
      <c r="W15" s="313">
        <f>'Shuttle Projections'!U24</f>
        <v>4120</v>
      </c>
      <c r="X15" s="313">
        <f>'Shuttle Projections'!V24</f>
        <v>4120</v>
      </c>
      <c r="Y15" s="313"/>
    </row>
    <row r="16" spans="1:25">
      <c r="A16" s="54"/>
      <c r="B16" s="21"/>
      <c r="C16" s="21"/>
      <c r="D16" s="486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</row>
    <row r="17" spans="1:25" s="547" customFormat="1" ht="14.25">
      <c r="A17" s="549" t="s">
        <v>163</v>
      </c>
      <c r="B17" s="550"/>
      <c r="C17" s="550"/>
      <c r="D17" s="610"/>
      <c r="E17" s="551"/>
      <c r="F17" s="551"/>
      <c r="G17" s="551"/>
      <c r="H17" s="551"/>
      <c r="I17" s="551"/>
      <c r="J17" s="551"/>
      <c r="K17" s="551"/>
      <c r="L17" s="551"/>
      <c r="M17" s="551"/>
      <c r="N17" s="551"/>
      <c r="O17" s="551"/>
      <c r="P17" s="551"/>
      <c r="Q17" s="551"/>
      <c r="R17" s="551"/>
      <c r="S17" s="551"/>
      <c r="T17" s="551"/>
      <c r="U17" s="551"/>
      <c r="V17" s="551"/>
      <c r="W17" s="551"/>
      <c r="X17" s="551"/>
    </row>
    <row r="18" spans="1:25" s="341" customFormat="1">
      <c r="A18" s="552" t="str">
        <f>'International Ferry Projections'!A11</f>
        <v>Passengers</v>
      </c>
      <c r="B18" s="553"/>
      <c r="C18" s="553"/>
      <c r="D18" s="554">
        <f>'International Ferry Projections'!B11</f>
        <v>0</v>
      </c>
      <c r="E18" s="555">
        <f>'International Ferry Projections'!C11</f>
        <v>60000</v>
      </c>
      <c r="F18" s="555">
        <f>'International Ferry Projections'!D11</f>
        <v>70000</v>
      </c>
      <c r="G18" s="555">
        <f>'International Ferry Projections'!E11</f>
        <v>80000</v>
      </c>
      <c r="H18" s="555">
        <f>'International Ferry Projections'!F11</f>
        <v>80000</v>
      </c>
      <c r="I18" s="555">
        <f>'International Ferry Projections'!G11</f>
        <v>80000</v>
      </c>
      <c r="J18" s="555">
        <f>'International Ferry Projections'!H11</f>
        <v>80000</v>
      </c>
      <c r="K18" s="555">
        <f>'International Ferry Projections'!I11</f>
        <v>80000</v>
      </c>
      <c r="L18" s="555">
        <f>'International Ferry Projections'!J11</f>
        <v>80000</v>
      </c>
      <c r="M18" s="555">
        <f>'International Ferry Projections'!K11</f>
        <v>80000</v>
      </c>
      <c r="N18" s="555">
        <f>'International Ferry Projections'!L11</f>
        <v>80000</v>
      </c>
      <c r="O18" s="555">
        <f>'International Ferry Projections'!M11</f>
        <v>80000</v>
      </c>
      <c r="P18" s="555">
        <f>'International Ferry Projections'!N11</f>
        <v>80000</v>
      </c>
      <c r="Q18" s="555">
        <f>'International Ferry Projections'!O11</f>
        <v>80000</v>
      </c>
      <c r="R18" s="555">
        <f>'International Ferry Projections'!P11</f>
        <v>80000</v>
      </c>
      <c r="S18" s="555">
        <f>'International Ferry Projections'!Q11</f>
        <v>80000</v>
      </c>
      <c r="T18" s="555">
        <f>'International Ferry Projections'!R11</f>
        <v>80000</v>
      </c>
      <c r="U18" s="555">
        <f>'International Ferry Projections'!S11</f>
        <v>80000</v>
      </c>
      <c r="V18" s="555">
        <f>'International Ferry Projections'!T11</f>
        <v>80000</v>
      </c>
      <c r="W18" s="555">
        <f>'International Ferry Projections'!U11</f>
        <v>80000</v>
      </c>
      <c r="X18" s="555">
        <f>'International Ferry Projections'!V11</f>
        <v>80000</v>
      </c>
    </row>
    <row r="19" spans="1:25" s="341" customFormat="1">
      <c r="A19" s="552" t="str">
        <f>'International Ferry Projections'!A12</f>
        <v>Cars</v>
      </c>
      <c r="B19" s="553"/>
      <c r="C19" s="553"/>
      <c r="D19" s="554">
        <f>'International Ferry Projections'!B12</f>
        <v>0</v>
      </c>
      <c r="E19" s="555">
        <f>'International Ferry Projections'!C12</f>
        <v>24000</v>
      </c>
      <c r="F19" s="555">
        <f>'International Ferry Projections'!D12</f>
        <v>28000</v>
      </c>
      <c r="G19" s="555">
        <f>'International Ferry Projections'!E12</f>
        <v>32000</v>
      </c>
      <c r="H19" s="555">
        <f>'International Ferry Projections'!F12</f>
        <v>32000</v>
      </c>
      <c r="I19" s="555">
        <f>'International Ferry Projections'!G12</f>
        <v>32000</v>
      </c>
      <c r="J19" s="555">
        <f>'International Ferry Projections'!H12</f>
        <v>32000</v>
      </c>
      <c r="K19" s="555">
        <f>'International Ferry Projections'!I12</f>
        <v>32000</v>
      </c>
      <c r="L19" s="555">
        <f>'International Ferry Projections'!J12</f>
        <v>32000</v>
      </c>
      <c r="M19" s="555">
        <f>'International Ferry Projections'!K12</f>
        <v>32000</v>
      </c>
      <c r="N19" s="555">
        <f>'International Ferry Projections'!L12</f>
        <v>32000</v>
      </c>
      <c r="O19" s="555">
        <f>'International Ferry Projections'!M12</f>
        <v>32000</v>
      </c>
      <c r="P19" s="555">
        <f>'International Ferry Projections'!N12</f>
        <v>32000</v>
      </c>
      <c r="Q19" s="555">
        <f>'International Ferry Projections'!O12</f>
        <v>32000</v>
      </c>
      <c r="R19" s="555">
        <f>'International Ferry Projections'!P12</f>
        <v>32000</v>
      </c>
      <c r="S19" s="555">
        <f>'International Ferry Projections'!Q12</f>
        <v>32000</v>
      </c>
      <c r="T19" s="555">
        <f>'International Ferry Projections'!R12</f>
        <v>32000</v>
      </c>
      <c r="U19" s="555">
        <f>'International Ferry Projections'!S12</f>
        <v>32000</v>
      </c>
      <c r="V19" s="555">
        <f>'International Ferry Projections'!T12</f>
        <v>32000</v>
      </c>
      <c r="W19" s="555">
        <f>'International Ferry Projections'!U12</f>
        <v>32000</v>
      </c>
      <c r="X19" s="555">
        <f>'International Ferry Projections'!V12</f>
        <v>32000</v>
      </c>
    </row>
    <row r="20" spans="1:25" s="341" customFormat="1">
      <c r="A20" s="552" t="str">
        <f>'International Ferry Projections'!A13</f>
        <v>Buses</v>
      </c>
      <c r="B20" s="553"/>
      <c r="C20" s="553"/>
      <c r="D20" s="554">
        <f>'International Ferry Projections'!B13</f>
        <v>0</v>
      </c>
      <c r="E20" s="555">
        <f>'International Ferry Projections'!C13</f>
        <v>40</v>
      </c>
      <c r="F20" s="555">
        <f>'International Ferry Projections'!D13</f>
        <v>50</v>
      </c>
      <c r="G20" s="555">
        <f>'International Ferry Projections'!E13</f>
        <v>60</v>
      </c>
      <c r="H20" s="555">
        <f>'International Ferry Projections'!F13</f>
        <v>60</v>
      </c>
      <c r="I20" s="555">
        <f>'International Ferry Projections'!G13</f>
        <v>60</v>
      </c>
      <c r="J20" s="555">
        <f>'International Ferry Projections'!H13</f>
        <v>60</v>
      </c>
      <c r="K20" s="555">
        <f>'International Ferry Projections'!I13</f>
        <v>60</v>
      </c>
      <c r="L20" s="555">
        <f>'International Ferry Projections'!J13</f>
        <v>60</v>
      </c>
      <c r="M20" s="555">
        <f>'International Ferry Projections'!K13</f>
        <v>60</v>
      </c>
      <c r="N20" s="555">
        <f>'International Ferry Projections'!L13</f>
        <v>60</v>
      </c>
      <c r="O20" s="555">
        <f>'International Ferry Projections'!M13</f>
        <v>60</v>
      </c>
      <c r="P20" s="555">
        <f>'International Ferry Projections'!N13</f>
        <v>60</v>
      </c>
      <c r="Q20" s="555">
        <f>'International Ferry Projections'!O13</f>
        <v>60</v>
      </c>
      <c r="R20" s="555">
        <f>'International Ferry Projections'!P13</f>
        <v>60</v>
      </c>
      <c r="S20" s="555">
        <f>'International Ferry Projections'!Q13</f>
        <v>60</v>
      </c>
      <c r="T20" s="555">
        <f>'International Ferry Projections'!R13</f>
        <v>60</v>
      </c>
      <c r="U20" s="555">
        <f>'International Ferry Projections'!S13</f>
        <v>60</v>
      </c>
      <c r="V20" s="555">
        <f>'International Ferry Projections'!T13</f>
        <v>60</v>
      </c>
      <c r="W20" s="555">
        <f>'International Ferry Projections'!U13</f>
        <v>60</v>
      </c>
      <c r="X20" s="555">
        <f>'International Ferry Projections'!V13</f>
        <v>60</v>
      </c>
    </row>
    <row r="21" spans="1:25">
      <c r="A21" s="54"/>
      <c r="B21" s="21"/>
      <c r="C21" s="21"/>
      <c r="D21" s="486"/>
      <c r="E21" s="313"/>
      <c r="F21" s="313"/>
      <c r="G21" s="313"/>
      <c r="H21" s="313"/>
      <c r="I21" s="313"/>
      <c r="J21" s="313"/>
      <c r="K21" s="313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</row>
    <row r="22" spans="1:25" s="582" customFormat="1">
      <c r="A22" s="293" t="str">
        <f>'BH Tariffs'!A30</f>
        <v>Local Ferry</v>
      </c>
      <c r="B22" s="581"/>
      <c r="C22" s="581"/>
      <c r="D22" s="486">
        <v>0</v>
      </c>
      <c r="E22" s="329"/>
      <c r="F22" s="329"/>
      <c r="G22" s="329"/>
      <c r="H22" s="329"/>
      <c r="I22" s="329"/>
      <c r="J22" s="329"/>
      <c r="K22" s="329"/>
      <c r="L22" s="329"/>
      <c r="M22" s="329"/>
      <c r="N22" s="329"/>
      <c r="O22" s="329"/>
      <c r="P22" s="329"/>
      <c r="Q22" s="329"/>
      <c r="R22" s="329"/>
      <c r="S22" s="329"/>
      <c r="T22" s="329"/>
      <c r="U22" s="329"/>
      <c r="V22" s="329"/>
      <c r="W22" s="329"/>
      <c r="X22" s="329"/>
    </row>
    <row r="23" spans="1:25" s="96" customFormat="1">
      <c r="A23" s="54" t="str">
        <f>'BH Tariffs'!A31</f>
        <v>Dock Rent (6 Months Only)</v>
      </c>
      <c r="B23" s="487"/>
      <c r="C23" s="487"/>
      <c r="D23" s="486">
        <v>0</v>
      </c>
      <c r="E23" s="623" t="s">
        <v>286</v>
      </c>
      <c r="F23" s="623" t="s">
        <v>286</v>
      </c>
      <c r="G23" s="623" t="s">
        <v>286</v>
      </c>
      <c r="H23" s="623" t="s">
        <v>286</v>
      </c>
      <c r="I23" s="623" t="s">
        <v>286</v>
      </c>
      <c r="J23" s="623" t="s">
        <v>286</v>
      </c>
      <c r="K23" s="623" t="s">
        <v>286</v>
      </c>
      <c r="L23" s="623" t="s">
        <v>286</v>
      </c>
      <c r="M23" s="623" t="s">
        <v>286</v>
      </c>
      <c r="N23" s="623" t="s">
        <v>286</v>
      </c>
      <c r="O23" s="623" t="s">
        <v>286</v>
      </c>
      <c r="P23" s="623" t="s">
        <v>286</v>
      </c>
      <c r="Q23" s="623" t="s">
        <v>286</v>
      </c>
      <c r="R23" s="623" t="s">
        <v>286</v>
      </c>
      <c r="S23" s="623" t="s">
        <v>286</v>
      </c>
      <c r="T23" s="623" t="s">
        <v>286</v>
      </c>
      <c r="U23" s="623" t="s">
        <v>286</v>
      </c>
      <c r="V23" s="623" t="s">
        <v>286</v>
      </c>
      <c r="W23" s="623" t="s">
        <v>286</v>
      </c>
      <c r="X23" s="623" t="s">
        <v>286</v>
      </c>
    </row>
    <row r="24" spans="1:25" s="341" customFormat="1">
      <c r="A24" s="552"/>
      <c r="B24" s="553"/>
      <c r="C24" s="553"/>
      <c r="D24" s="554"/>
      <c r="E24" s="555"/>
      <c r="F24" s="555"/>
      <c r="G24" s="555"/>
      <c r="H24" s="555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</row>
    <row r="25" spans="1:25" s="96" customFormat="1">
      <c r="A25" s="559" t="s">
        <v>227</v>
      </c>
      <c r="B25" s="487"/>
      <c r="C25" s="487"/>
      <c r="D25" s="486"/>
      <c r="E25" s="313"/>
      <c r="F25" s="313"/>
      <c r="G25" s="313"/>
      <c r="H25" s="313"/>
      <c r="I25" s="313"/>
      <c r="J25" s="313"/>
      <c r="K25" s="313"/>
      <c r="L25" s="313"/>
      <c r="M25" s="313"/>
      <c r="N25" s="313"/>
      <c r="O25" s="313"/>
      <c r="P25" s="313"/>
      <c r="Q25" s="313"/>
      <c r="R25" s="313"/>
      <c r="S25" s="313"/>
      <c r="T25" s="313"/>
      <c r="U25" s="313"/>
      <c r="V25" s="313"/>
      <c r="W25" s="313"/>
      <c r="X25" s="313"/>
    </row>
    <row r="26" spans="1:25">
      <c r="A26" s="54"/>
      <c r="B26" s="21"/>
      <c r="C26" s="21"/>
      <c r="D26" s="486"/>
      <c r="E26" s="313"/>
      <c r="F26" s="313"/>
      <c r="G26" s="313"/>
      <c r="H26" s="313"/>
      <c r="I26" s="313"/>
      <c r="J26" s="313"/>
      <c r="K26" s="313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</row>
    <row r="27" spans="1:25">
      <c r="A27" s="54" t="s">
        <v>420</v>
      </c>
      <c r="B27" s="21"/>
      <c r="C27" s="21"/>
      <c r="D27" s="486">
        <v>0</v>
      </c>
      <c r="E27" s="313">
        <f>'Marina Projections'!C9</f>
        <v>0</v>
      </c>
      <c r="F27" s="313">
        <f>'Marina Projections'!D9</f>
        <v>214</v>
      </c>
      <c r="G27" s="313">
        <f>'Marina Projections'!E9</f>
        <v>214</v>
      </c>
      <c r="H27" s="313">
        <f>'Marina Projections'!F9</f>
        <v>214</v>
      </c>
      <c r="I27" s="313">
        <f>'Marina Projections'!G9</f>
        <v>214</v>
      </c>
      <c r="J27" s="313">
        <f>'Marina Projections'!H9</f>
        <v>214</v>
      </c>
      <c r="K27" s="313">
        <f>'Marina Projections'!I9</f>
        <v>214</v>
      </c>
      <c r="L27" s="313">
        <f>'Marina Projections'!J9</f>
        <v>214</v>
      </c>
      <c r="M27" s="313">
        <f>'Marina Projections'!K9</f>
        <v>214</v>
      </c>
      <c r="N27" s="313">
        <f>'Marina Projections'!L9</f>
        <v>214</v>
      </c>
      <c r="O27" s="313">
        <f>'Marina Projections'!M9</f>
        <v>214</v>
      </c>
      <c r="P27" s="313">
        <f>'Marina Projections'!N9</f>
        <v>214</v>
      </c>
      <c r="Q27" s="313">
        <f>'Marina Projections'!O9</f>
        <v>214</v>
      </c>
      <c r="R27" s="313">
        <f>'Marina Projections'!P9</f>
        <v>214</v>
      </c>
      <c r="S27" s="313">
        <f>'Marina Projections'!Q9</f>
        <v>214</v>
      </c>
      <c r="T27" s="313">
        <f>'Marina Projections'!R9</f>
        <v>214</v>
      </c>
      <c r="U27" s="313">
        <f>'Marina Projections'!S9</f>
        <v>214</v>
      </c>
      <c r="V27" s="313">
        <f>'Marina Projections'!T9</f>
        <v>214</v>
      </c>
      <c r="W27" s="313">
        <f>'Marina Projections'!U9</f>
        <v>214</v>
      </c>
      <c r="X27" s="313">
        <f>'Marina Projections'!V9</f>
        <v>214</v>
      </c>
    </row>
    <row r="28" spans="1:25">
      <c r="A28" s="54" t="s">
        <v>205</v>
      </c>
      <c r="B28" s="21"/>
      <c r="C28" s="21"/>
      <c r="D28" s="486">
        <v>0</v>
      </c>
      <c r="E28" s="330">
        <v>0</v>
      </c>
      <c r="F28" s="330">
        <f>'Cruise Projections'!V86</f>
        <v>28.666666666666664</v>
      </c>
      <c r="G28" s="330">
        <f>'Cruise Projections'!W86</f>
        <v>28.666666666666664</v>
      </c>
      <c r="H28" s="330">
        <f>'Cruise Projections'!X86</f>
        <v>28.666666666666664</v>
      </c>
      <c r="I28" s="330">
        <f>'Cruise Projections'!Y86</f>
        <v>28.666666666666664</v>
      </c>
      <c r="J28" s="330">
        <f>'Cruise Projections'!Z86</f>
        <v>28.666666666666664</v>
      </c>
      <c r="K28" s="330">
        <f>'Cruise Projections'!AA86</f>
        <v>28.666666666666664</v>
      </c>
      <c r="L28" s="330">
        <f>'Cruise Projections'!AB86</f>
        <v>28.666666666666664</v>
      </c>
      <c r="M28" s="330">
        <f>'Cruise Projections'!AC86</f>
        <v>28.666666666666664</v>
      </c>
      <c r="N28" s="330">
        <f>'Cruise Projections'!AD86</f>
        <v>28.666666666666664</v>
      </c>
      <c r="O28" s="330">
        <f>'Cruise Projections'!AE86</f>
        <v>28.666666666666664</v>
      </c>
      <c r="P28" s="330">
        <f>'Cruise Projections'!AF86</f>
        <v>28.666666666666664</v>
      </c>
      <c r="Q28" s="330">
        <f>'Cruise Projections'!AG86</f>
        <v>28.666666666666664</v>
      </c>
      <c r="R28" s="330">
        <f>'Cruise Projections'!AH86</f>
        <v>28.666666666666664</v>
      </c>
      <c r="S28" s="330">
        <f>'Cruise Projections'!AI86</f>
        <v>28.666666666666664</v>
      </c>
      <c r="T28" s="330">
        <f>'Cruise Projections'!AJ86</f>
        <v>28.666666666666664</v>
      </c>
      <c r="U28" s="330">
        <f>'Cruise Projections'!AK86</f>
        <v>28.666666666666664</v>
      </c>
      <c r="V28" s="330">
        <f>'Cruise Projections'!AL86</f>
        <v>28.666666666666664</v>
      </c>
      <c r="W28" s="330">
        <f>'Cruise Projections'!AM86</f>
        <v>28.666666666666664</v>
      </c>
      <c r="X28" s="330">
        <f>'Cruise Projections'!AN86</f>
        <v>28.666666666666664</v>
      </c>
      <c r="Y28" s="32"/>
    </row>
    <row r="29" spans="1:25" s="341" customFormat="1">
      <c r="A29" s="552" t="s">
        <v>219</v>
      </c>
      <c r="B29" s="553"/>
      <c r="C29" s="553"/>
      <c r="D29" s="554">
        <v>0</v>
      </c>
      <c r="E29" s="560">
        <v>150</v>
      </c>
      <c r="F29" s="560">
        <f>E29</f>
        <v>150</v>
      </c>
      <c r="G29" s="560">
        <f t="shared" ref="G29:X29" si="0">F29</f>
        <v>150</v>
      </c>
      <c r="H29" s="560">
        <f t="shared" si="0"/>
        <v>150</v>
      </c>
      <c r="I29" s="560">
        <f t="shared" si="0"/>
        <v>150</v>
      </c>
      <c r="J29" s="560">
        <f t="shared" si="0"/>
        <v>150</v>
      </c>
      <c r="K29" s="560">
        <f t="shared" si="0"/>
        <v>150</v>
      </c>
      <c r="L29" s="560">
        <f t="shared" si="0"/>
        <v>150</v>
      </c>
      <c r="M29" s="560">
        <f t="shared" si="0"/>
        <v>150</v>
      </c>
      <c r="N29" s="560">
        <f t="shared" si="0"/>
        <v>150</v>
      </c>
      <c r="O29" s="560">
        <f t="shared" si="0"/>
        <v>150</v>
      </c>
      <c r="P29" s="560">
        <f t="shared" si="0"/>
        <v>150</v>
      </c>
      <c r="Q29" s="560">
        <f t="shared" si="0"/>
        <v>150</v>
      </c>
      <c r="R29" s="560">
        <f t="shared" si="0"/>
        <v>150</v>
      </c>
      <c r="S29" s="560">
        <f t="shared" si="0"/>
        <v>150</v>
      </c>
      <c r="T29" s="560">
        <f t="shared" si="0"/>
        <v>150</v>
      </c>
      <c r="U29" s="560">
        <f t="shared" si="0"/>
        <v>150</v>
      </c>
      <c r="V29" s="560">
        <f t="shared" si="0"/>
        <v>150</v>
      </c>
      <c r="W29" s="560">
        <f t="shared" si="0"/>
        <v>150</v>
      </c>
      <c r="X29" s="560">
        <f t="shared" si="0"/>
        <v>150</v>
      </c>
      <c r="Y29" s="561"/>
    </row>
    <row r="30" spans="1:25" s="341" customFormat="1">
      <c r="A30" s="552" t="s">
        <v>220</v>
      </c>
      <c r="B30" s="553"/>
      <c r="C30" s="553"/>
      <c r="D30" s="554">
        <v>0</v>
      </c>
      <c r="E30" s="611">
        <f>E28/E29</f>
        <v>0</v>
      </c>
      <c r="F30" s="611">
        <f t="shared" ref="F30:X30" si="1">F28/F29</f>
        <v>0.19111111111111109</v>
      </c>
      <c r="G30" s="611">
        <f t="shared" si="1"/>
        <v>0.19111111111111109</v>
      </c>
      <c r="H30" s="611">
        <f t="shared" si="1"/>
        <v>0.19111111111111109</v>
      </c>
      <c r="I30" s="611">
        <f t="shared" si="1"/>
        <v>0.19111111111111109</v>
      </c>
      <c r="J30" s="611">
        <f t="shared" si="1"/>
        <v>0.19111111111111109</v>
      </c>
      <c r="K30" s="611">
        <f t="shared" si="1"/>
        <v>0.19111111111111109</v>
      </c>
      <c r="L30" s="611">
        <f t="shared" si="1"/>
        <v>0.19111111111111109</v>
      </c>
      <c r="M30" s="611">
        <f t="shared" si="1"/>
        <v>0.19111111111111109</v>
      </c>
      <c r="N30" s="611">
        <f t="shared" si="1"/>
        <v>0.19111111111111109</v>
      </c>
      <c r="O30" s="611">
        <f t="shared" si="1"/>
        <v>0.19111111111111109</v>
      </c>
      <c r="P30" s="611">
        <f t="shared" si="1"/>
        <v>0.19111111111111109</v>
      </c>
      <c r="Q30" s="611">
        <f t="shared" si="1"/>
        <v>0.19111111111111109</v>
      </c>
      <c r="R30" s="611">
        <f t="shared" si="1"/>
        <v>0.19111111111111109</v>
      </c>
      <c r="S30" s="611">
        <f t="shared" si="1"/>
        <v>0.19111111111111109</v>
      </c>
      <c r="T30" s="611">
        <f t="shared" si="1"/>
        <v>0.19111111111111109</v>
      </c>
      <c r="U30" s="611">
        <f t="shared" si="1"/>
        <v>0.19111111111111109</v>
      </c>
      <c r="V30" s="611">
        <f t="shared" si="1"/>
        <v>0.19111111111111109</v>
      </c>
      <c r="W30" s="611">
        <f t="shared" si="1"/>
        <v>0.19111111111111109</v>
      </c>
      <c r="X30" s="611">
        <f t="shared" si="1"/>
        <v>0.19111111111111109</v>
      </c>
      <c r="Y30" s="561"/>
    </row>
    <row r="31" spans="1:25" s="96" customFormat="1">
      <c r="A31" s="54" t="s">
        <v>226</v>
      </c>
      <c r="B31" s="487"/>
      <c r="C31" s="487"/>
      <c r="D31" s="486">
        <v>0</v>
      </c>
      <c r="E31" s="330">
        <v>0</v>
      </c>
      <c r="F31" s="330">
        <v>125</v>
      </c>
      <c r="G31" s="330">
        <v>125</v>
      </c>
      <c r="H31" s="330">
        <v>125</v>
      </c>
      <c r="I31" s="330">
        <v>125</v>
      </c>
      <c r="J31" s="330">
        <v>125</v>
      </c>
      <c r="K31" s="330">
        <v>125</v>
      </c>
      <c r="L31" s="330">
        <v>125</v>
      </c>
      <c r="M31" s="330">
        <v>125</v>
      </c>
      <c r="N31" s="330">
        <v>125</v>
      </c>
      <c r="O31" s="330">
        <v>125</v>
      </c>
      <c r="P31" s="330">
        <v>125</v>
      </c>
      <c r="Q31" s="330">
        <v>125</v>
      </c>
      <c r="R31" s="330">
        <v>125</v>
      </c>
      <c r="S31" s="330">
        <v>125</v>
      </c>
      <c r="T31" s="330">
        <v>125</v>
      </c>
      <c r="U31" s="330">
        <v>125</v>
      </c>
      <c r="V31" s="330">
        <v>125</v>
      </c>
      <c r="W31" s="330">
        <v>125</v>
      </c>
      <c r="X31" s="330">
        <v>125</v>
      </c>
      <c r="Y31" s="58"/>
    </row>
    <row r="32" spans="1:25">
      <c r="A32" s="54"/>
      <c r="B32" s="21"/>
      <c r="C32" s="21"/>
      <c r="D32" s="486"/>
      <c r="E32" s="495"/>
      <c r="F32" s="495"/>
      <c r="G32" s="495"/>
      <c r="H32" s="495"/>
      <c r="I32" s="495"/>
      <c r="J32" s="495"/>
      <c r="K32" s="495"/>
      <c r="L32" s="495"/>
      <c r="M32" s="495"/>
      <c r="N32" s="495"/>
      <c r="O32" s="495"/>
      <c r="P32" s="495"/>
      <c r="Q32" s="495"/>
      <c r="R32" s="495"/>
      <c r="S32" s="495"/>
      <c r="T32" s="495"/>
      <c r="U32" s="495"/>
      <c r="V32" s="495"/>
      <c r="W32" s="495"/>
      <c r="X32" s="495"/>
      <c r="Y32" s="32"/>
    </row>
    <row r="33" spans="1:24">
      <c r="A33" s="54" t="s">
        <v>206</v>
      </c>
      <c r="B33" s="21"/>
      <c r="C33" s="21"/>
      <c r="D33" s="486">
        <v>0</v>
      </c>
      <c r="E33" s="313">
        <v>0</v>
      </c>
      <c r="F33" s="313">
        <f t="shared" ref="F33:X33" si="2">F12/F28</f>
        <v>3110.3085303356092</v>
      </c>
      <c r="G33" s="313">
        <f t="shared" si="2"/>
        <v>3110.3085303356092</v>
      </c>
      <c r="H33" s="313">
        <f t="shared" si="2"/>
        <v>3110.3085303356092</v>
      </c>
      <c r="I33" s="313">
        <f t="shared" si="2"/>
        <v>3110.3085303356092</v>
      </c>
      <c r="J33" s="313">
        <f t="shared" si="2"/>
        <v>3110.3085303356092</v>
      </c>
      <c r="K33" s="313">
        <f t="shared" si="2"/>
        <v>3110.3085303356092</v>
      </c>
      <c r="L33" s="313">
        <f t="shared" si="2"/>
        <v>3110.3085303356092</v>
      </c>
      <c r="M33" s="313">
        <f t="shared" si="2"/>
        <v>3110.3085303356092</v>
      </c>
      <c r="N33" s="313">
        <f t="shared" si="2"/>
        <v>3110.3085303356092</v>
      </c>
      <c r="O33" s="313">
        <f t="shared" si="2"/>
        <v>3110.3085303356092</v>
      </c>
      <c r="P33" s="313">
        <f t="shared" si="2"/>
        <v>3110.3085303356092</v>
      </c>
      <c r="Q33" s="313">
        <f t="shared" si="2"/>
        <v>3110.3085303356092</v>
      </c>
      <c r="R33" s="313">
        <f t="shared" si="2"/>
        <v>3110.3085303356092</v>
      </c>
      <c r="S33" s="313">
        <f t="shared" si="2"/>
        <v>3110.3085303356092</v>
      </c>
      <c r="T33" s="313">
        <f t="shared" si="2"/>
        <v>3110.3085303356092</v>
      </c>
      <c r="U33" s="313">
        <f t="shared" si="2"/>
        <v>3110.3085303356092</v>
      </c>
      <c r="V33" s="313">
        <f t="shared" si="2"/>
        <v>3110.3085303356092</v>
      </c>
      <c r="W33" s="313">
        <f t="shared" si="2"/>
        <v>3110.3085303356092</v>
      </c>
      <c r="X33" s="313">
        <f t="shared" si="2"/>
        <v>3110.3085303356092</v>
      </c>
    </row>
    <row r="34" spans="1:24">
      <c r="A34" s="54" t="s">
        <v>207</v>
      </c>
      <c r="B34" s="21"/>
      <c r="C34" s="21"/>
      <c r="D34" s="486">
        <v>0</v>
      </c>
      <c r="E34" s="313">
        <v>0</v>
      </c>
      <c r="F34" s="313">
        <v>5500</v>
      </c>
      <c r="G34" s="313">
        <v>5500</v>
      </c>
      <c r="H34" s="313">
        <v>5500</v>
      </c>
      <c r="I34" s="313">
        <v>5500</v>
      </c>
      <c r="J34" s="313">
        <v>5500</v>
      </c>
      <c r="K34" s="313">
        <v>5500</v>
      </c>
      <c r="L34" s="313">
        <v>5500</v>
      </c>
      <c r="M34" s="313">
        <v>5500</v>
      </c>
      <c r="N34" s="313">
        <v>5500</v>
      </c>
      <c r="O34" s="313">
        <v>5500</v>
      </c>
      <c r="P34" s="313">
        <v>5500</v>
      </c>
      <c r="Q34" s="313">
        <v>5500</v>
      </c>
      <c r="R34" s="313">
        <v>5500</v>
      </c>
      <c r="S34" s="313">
        <v>5500</v>
      </c>
      <c r="T34" s="313">
        <v>5500</v>
      </c>
      <c r="U34" s="313">
        <v>5500</v>
      </c>
      <c r="V34" s="313">
        <v>5500</v>
      </c>
      <c r="W34" s="313">
        <v>5500</v>
      </c>
      <c r="X34" s="313">
        <v>5500</v>
      </c>
    </row>
    <row r="35" spans="1:24" s="341" customFormat="1">
      <c r="A35" s="552" t="s">
        <v>221</v>
      </c>
      <c r="B35" s="553"/>
      <c r="C35" s="553"/>
      <c r="D35" s="554">
        <v>0</v>
      </c>
      <c r="E35" s="560">
        <f>E18/E29</f>
        <v>400</v>
      </c>
      <c r="F35" s="560">
        <f t="shared" ref="F35:X35" si="3">F18/F29</f>
        <v>466.66666666666669</v>
      </c>
      <c r="G35" s="560">
        <f t="shared" si="3"/>
        <v>533.33333333333337</v>
      </c>
      <c r="H35" s="560">
        <f t="shared" si="3"/>
        <v>533.33333333333337</v>
      </c>
      <c r="I35" s="560">
        <f t="shared" si="3"/>
        <v>533.33333333333337</v>
      </c>
      <c r="J35" s="560">
        <f t="shared" si="3"/>
        <v>533.33333333333337</v>
      </c>
      <c r="K35" s="560">
        <f t="shared" si="3"/>
        <v>533.33333333333337</v>
      </c>
      <c r="L35" s="560">
        <f t="shared" si="3"/>
        <v>533.33333333333337</v>
      </c>
      <c r="M35" s="560">
        <f t="shared" si="3"/>
        <v>533.33333333333337</v>
      </c>
      <c r="N35" s="560">
        <f t="shared" si="3"/>
        <v>533.33333333333337</v>
      </c>
      <c r="O35" s="560">
        <f t="shared" si="3"/>
        <v>533.33333333333337</v>
      </c>
      <c r="P35" s="560">
        <f t="shared" si="3"/>
        <v>533.33333333333337</v>
      </c>
      <c r="Q35" s="560">
        <f t="shared" si="3"/>
        <v>533.33333333333337</v>
      </c>
      <c r="R35" s="560">
        <f t="shared" si="3"/>
        <v>533.33333333333337</v>
      </c>
      <c r="S35" s="560">
        <f t="shared" si="3"/>
        <v>533.33333333333337</v>
      </c>
      <c r="T35" s="560">
        <f t="shared" si="3"/>
        <v>533.33333333333337</v>
      </c>
      <c r="U35" s="560">
        <f t="shared" si="3"/>
        <v>533.33333333333337</v>
      </c>
      <c r="V35" s="560">
        <f t="shared" si="3"/>
        <v>533.33333333333337</v>
      </c>
      <c r="W35" s="560">
        <f t="shared" si="3"/>
        <v>533.33333333333337</v>
      </c>
      <c r="X35" s="560">
        <f t="shared" si="3"/>
        <v>533.33333333333337</v>
      </c>
    </row>
    <row r="36" spans="1:24" s="341" customFormat="1">
      <c r="A36" s="552" t="s">
        <v>222</v>
      </c>
      <c r="B36" s="553"/>
      <c r="C36" s="553"/>
      <c r="D36" s="554">
        <v>0</v>
      </c>
      <c r="E36" s="560">
        <v>800</v>
      </c>
      <c r="F36" s="560">
        <v>800</v>
      </c>
      <c r="G36" s="560">
        <v>800</v>
      </c>
      <c r="H36" s="560">
        <v>800</v>
      </c>
      <c r="I36" s="560">
        <v>800</v>
      </c>
      <c r="J36" s="560">
        <v>800</v>
      </c>
      <c r="K36" s="560">
        <v>800</v>
      </c>
      <c r="L36" s="560">
        <v>800</v>
      </c>
      <c r="M36" s="560">
        <v>800</v>
      </c>
      <c r="N36" s="560">
        <v>800</v>
      </c>
      <c r="O36" s="560">
        <v>800</v>
      </c>
      <c r="P36" s="560">
        <v>800</v>
      </c>
      <c r="Q36" s="560">
        <v>800</v>
      </c>
      <c r="R36" s="560">
        <v>800</v>
      </c>
      <c r="S36" s="560">
        <v>800</v>
      </c>
      <c r="T36" s="560">
        <v>800</v>
      </c>
      <c r="U36" s="560">
        <v>800</v>
      </c>
      <c r="V36" s="560">
        <v>800</v>
      </c>
      <c r="W36" s="560">
        <v>800</v>
      </c>
      <c r="X36" s="560">
        <v>800</v>
      </c>
    </row>
    <row r="37" spans="1:24" s="341" customFormat="1">
      <c r="A37" s="552" t="s">
        <v>208</v>
      </c>
      <c r="B37" s="553"/>
      <c r="C37" s="553"/>
      <c r="D37" s="554">
        <v>0</v>
      </c>
      <c r="E37" s="560">
        <f>SUM(E34,E36)</f>
        <v>800</v>
      </c>
      <c r="F37" s="560">
        <f t="shared" ref="F37:X37" si="4">SUM(F34,F36)</f>
        <v>6300</v>
      </c>
      <c r="G37" s="560">
        <f t="shared" si="4"/>
        <v>6300</v>
      </c>
      <c r="H37" s="560">
        <f t="shared" si="4"/>
        <v>6300</v>
      </c>
      <c r="I37" s="560">
        <f t="shared" si="4"/>
        <v>6300</v>
      </c>
      <c r="J37" s="560">
        <f t="shared" si="4"/>
        <v>6300</v>
      </c>
      <c r="K37" s="560">
        <f t="shared" si="4"/>
        <v>6300</v>
      </c>
      <c r="L37" s="560">
        <f t="shared" si="4"/>
        <v>6300</v>
      </c>
      <c r="M37" s="560">
        <f t="shared" si="4"/>
        <v>6300</v>
      </c>
      <c r="N37" s="560">
        <f t="shared" si="4"/>
        <v>6300</v>
      </c>
      <c r="O37" s="560">
        <f t="shared" si="4"/>
        <v>6300</v>
      </c>
      <c r="P37" s="560">
        <f t="shared" si="4"/>
        <v>6300</v>
      </c>
      <c r="Q37" s="560">
        <f t="shared" si="4"/>
        <v>6300</v>
      </c>
      <c r="R37" s="560">
        <f t="shared" si="4"/>
        <v>6300</v>
      </c>
      <c r="S37" s="560">
        <f t="shared" si="4"/>
        <v>6300</v>
      </c>
      <c r="T37" s="560">
        <f t="shared" si="4"/>
        <v>6300</v>
      </c>
      <c r="U37" s="560">
        <f t="shared" si="4"/>
        <v>6300</v>
      </c>
      <c r="V37" s="560">
        <f t="shared" si="4"/>
        <v>6300</v>
      </c>
      <c r="W37" s="560">
        <f t="shared" si="4"/>
        <v>6300</v>
      </c>
      <c r="X37" s="560">
        <f t="shared" si="4"/>
        <v>6300</v>
      </c>
    </row>
    <row r="38" spans="1:24">
      <c r="A38" s="54"/>
      <c r="B38" s="21"/>
      <c r="C38" s="21"/>
      <c r="D38" s="486"/>
      <c r="E38" s="330"/>
      <c r="F38" s="330"/>
      <c r="G38" s="330"/>
      <c r="H38" s="330"/>
      <c r="I38" s="330"/>
      <c r="J38" s="330"/>
      <c r="K38" s="330"/>
      <c r="L38" s="330"/>
      <c r="M38" s="330"/>
      <c r="N38" s="330"/>
      <c r="O38" s="330"/>
      <c r="P38" s="330"/>
      <c r="Q38" s="330"/>
      <c r="R38" s="330"/>
      <c r="S38" s="330"/>
      <c r="T38" s="330"/>
      <c r="U38" s="330"/>
      <c r="V38" s="330"/>
      <c r="W38" s="330"/>
      <c r="X38" s="330"/>
    </row>
    <row r="39" spans="1:24" s="341" customFormat="1">
      <c r="A39" s="552" t="s">
        <v>223</v>
      </c>
      <c r="B39" s="557"/>
      <c r="C39" s="557"/>
      <c r="D39" s="554">
        <v>0</v>
      </c>
      <c r="E39" s="555">
        <f>(E19+E20)/E29</f>
        <v>160.26666666666668</v>
      </c>
      <c r="F39" s="555">
        <f t="shared" ref="F39:X39" si="5">(F19+F20)/F29</f>
        <v>187</v>
      </c>
      <c r="G39" s="555">
        <f t="shared" si="5"/>
        <v>213.73333333333332</v>
      </c>
      <c r="H39" s="555">
        <f t="shared" si="5"/>
        <v>213.73333333333332</v>
      </c>
      <c r="I39" s="555">
        <f t="shared" si="5"/>
        <v>213.73333333333332</v>
      </c>
      <c r="J39" s="555">
        <f t="shared" si="5"/>
        <v>213.73333333333332</v>
      </c>
      <c r="K39" s="555">
        <f t="shared" si="5"/>
        <v>213.73333333333332</v>
      </c>
      <c r="L39" s="555">
        <f t="shared" si="5"/>
        <v>213.73333333333332</v>
      </c>
      <c r="M39" s="555">
        <f t="shared" si="5"/>
        <v>213.73333333333332</v>
      </c>
      <c r="N39" s="555">
        <f t="shared" si="5"/>
        <v>213.73333333333332</v>
      </c>
      <c r="O39" s="555">
        <f t="shared" si="5"/>
        <v>213.73333333333332</v>
      </c>
      <c r="P39" s="555">
        <f t="shared" si="5"/>
        <v>213.73333333333332</v>
      </c>
      <c r="Q39" s="555">
        <f t="shared" si="5"/>
        <v>213.73333333333332</v>
      </c>
      <c r="R39" s="555">
        <f t="shared" si="5"/>
        <v>213.73333333333332</v>
      </c>
      <c r="S39" s="555">
        <f t="shared" si="5"/>
        <v>213.73333333333332</v>
      </c>
      <c r="T39" s="555">
        <f t="shared" si="5"/>
        <v>213.73333333333332</v>
      </c>
      <c r="U39" s="555">
        <f t="shared" si="5"/>
        <v>213.73333333333332</v>
      </c>
      <c r="V39" s="555">
        <f t="shared" si="5"/>
        <v>213.73333333333332</v>
      </c>
      <c r="W39" s="555">
        <f t="shared" si="5"/>
        <v>213.73333333333332</v>
      </c>
      <c r="X39" s="555">
        <f t="shared" si="5"/>
        <v>213.73333333333332</v>
      </c>
    </row>
    <row r="40" spans="1:24">
      <c r="A40" s="54"/>
      <c r="B40" s="74"/>
      <c r="C40" s="74"/>
      <c r="D40" s="492"/>
      <c r="E40" s="308"/>
      <c r="F40" s="308"/>
      <c r="G40" s="308"/>
      <c r="H40" s="308"/>
      <c r="I40" s="308"/>
      <c r="J40" s="308"/>
      <c r="K40" s="308"/>
      <c r="L40" s="308"/>
      <c r="M40" s="308"/>
      <c r="N40" s="308"/>
      <c r="O40" s="308"/>
      <c r="P40" s="308"/>
      <c r="Q40" s="308"/>
      <c r="R40" s="308"/>
      <c r="S40" s="308"/>
      <c r="T40" s="308"/>
      <c r="U40" s="308"/>
      <c r="V40" s="308"/>
      <c r="W40" s="308"/>
      <c r="X40" s="308"/>
    </row>
    <row r="41" spans="1:24">
      <c r="A41" s="293" t="s">
        <v>26</v>
      </c>
      <c r="B41" s="74"/>
      <c r="C41" s="74"/>
      <c r="D41" s="492"/>
      <c r="E41" s="308"/>
      <c r="F41" s="308"/>
      <c r="G41" s="308"/>
      <c r="H41" s="308"/>
      <c r="I41" s="308"/>
      <c r="J41" s="308"/>
      <c r="K41" s="308"/>
      <c r="L41" s="308"/>
      <c r="M41" s="308"/>
      <c r="N41" s="308"/>
      <c r="O41" s="308"/>
      <c r="P41" s="308"/>
      <c r="Q41" s="308"/>
      <c r="R41" s="308"/>
      <c r="S41" s="308"/>
      <c r="T41" s="308"/>
      <c r="U41" s="308"/>
      <c r="V41" s="308"/>
      <c r="W41" s="308"/>
      <c r="X41" s="308"/>
    </row>
    <row r="42" spans="1:24">
      <c r="A42" s="54" t="s">
        <v>264</v>
      </c>
      <c r="B42" s="277"/>
      <c r="C42" s="74"/>
      <c r="D42" s="486">
        <v>0</v>
      </c>
      <c r="E42" s="313">
        <f>'Parking Projections'!C68/2</f>
        <v>1832.2239583333337</v>
      </c>
      <c r="F42" s="313">
        <f>'Parking Projections'!D68</f>
        <v>3664.4479166666674</v>
      </c>
      <c r="G42" s="313">
        <f>'Parking Projections'!E68</f>
        <v>3664.4479166666674</v>
      </c>
      <c r="H42" s="313">
        <f>'Parking Projections'!F68</f>
        <v>3664.4479166666674</v>
      </c>
      <c r="I42" s="313">
        <f>'Parking Projections'!G68</f>
        <v>3664.4479166666674</v>
      </c>
      <c r="J42" s="313">
        <f>'Parking Projections'!H68</f>
        <v>3664.4479166666674</v>
      </c>
      <c r="K42" s="313">
        <f>'Parking Projections'!I68</f>
        <v>3664.4479166666674</v>
      </c>
      <c r="L42" s="313">
        <f>'Parking Projections'!J68</f>
        <v>3664.4479166666674</v>
      </c>
      <c r="M42" s="313">
        <f>'Parking Projections'!K68</f>
        <v>3664.4479166666674</v>
      </c>
      <c r="N42" s="313">
        <f>'Parking Projections'!L68</f>
        <v>3664.4479166666674</v>
      </c>
      <c r="O42" s="313">
        <f>'Parking Projections'!M68</f>
        <v>3664.4479166666674</v>
      </c>
      <c r="P42" s="313">
        <f>'Parking Projections'!N68</f>
        <v>3664.4479166666674</v>
      </c>
      <c r="Q42" s="313">
        <f>'Parking Projections'!O68</f>
        <v>3664.4479166666674</v>
      </c>
      <c r="R42" s="313">
        <f>'Parking Projections'!P68</f>
        <v>3664.4479166666674</v>
      </c>
      <c r="S42" s="313">
        <f>'Parking Projections'!Q68</f>
        <v>3664.4479166666674</v>
      </c>
      <c r="T42" s="313">
        <f>'Parking Projections'!R68</f>
        <v>3664.4479166666674</v>
      </c>
      <c r="U42" s="313">
        <f>'Parking Projections'!S68</f>
        <v>3664.4479166666674</v>
      </c>
      <c r="V42" s="313">
        <f>'Parking Projections'!T68</f>
        <v>3664.4479166666674</v>
      </c>
      <c r="W42" s="313">
        <f>'Parking Projections'!U68</f>
        <v>3664.4479166666674</v>
      </c>
      <c r="X42" s="313">
        <f>'Parking Projections'!V68</f>
        <v>3664.4479166666674</v>
      </c>
    </row>
    <row r="43" spans="1:24">
      <c r="A43" s="54" t="s">
        <v>267</v>
      </c>
      <c r="B43" s="277"/>
      <c r="C43" s="74"/>
      <c r="D43" s="486">
        <v>0</v>
      </c>
      <c r="E43" s="313">
        <f>'Parking Projections'!C72/2</f>
        <v>13371.166666666662</v>
      </c>
      <c r="F43" s="313">
        <f>'Parking Projections'!D72</f>
        <v>26742.333333333325</v>
      </c>
      <c r="G43" s="313">
        <f>'Parking Projections'!E72</f>
        <v>26742.333333333325</v>
      </c>
      <c r="H43" s="313">
        <f>'Parking Projections'!F72</f>
        <v>26742.333333333325</v>
      </c>
      <c r="I43" s="313">
        <f>'Parking Projections'!G72</f>
        <v>26742.333333333325</v>
      </c>
      <c r="J43" s="313">
        <f>'Parking Projections'!H72</f>
        <v>26742.333333333325</v>
      </c>
      <c r="K43" s="313">
        <f>'Parking Projections'!I72</f>
        <v>26742.333333333325</v>
      </c>
      <c r="L43" s="313">
        <f>'Parking Projections'!J72</f>
        <v>26742.333333333325</v>
      </c>
      <c r="M43" s="313">
        <f>'Parking Projections'!K72</f>
        <v>26742.333333333325</v>
      </c>
      <c r="N43" s="313">
        <f>'Parking Projections'!L72</f>
        <v>26742.333333333325</v>
      </c>
      <c r="O43" s="313">
        <f>'Parking Projections'!M72</f>
        <v>26742.333333333325</v>
      </c>
      <c r="P43" s="313">
        <f>'Parking Projections'!N72</f>
        <v>26742.333333333325</v>
      </c>
      <c r="Q43" s="313">
        <f>'Parking Projections'!O72</f>
        <v>26742.333333333325</v>
      </c>
      <c r="R43" s="313">
        <f>'Parking Projections'!P72</f>
        <v>26742.333333333325</v>
      </c>
      <c r="S43" s="313">
        <f>'Parking Projections'!Q72</f>
        <v>26742.333333333325</v>
      </c>
      <c r="T43" s="313">
        <f>'Parking Projections'!R72</f>
        <v>26742.333333333325</v>
      </c>
      <c r="U43" s="313">
        <f>'Parking Projections'!S72</f>
        <v>26742.333333333325</v>
      </c>
      <c r="V43" s="313">
        <f>'Parking Projections'!T72</f>
        <v>26742.333333333325</v>
      </c>
      <c r="W43" s="313">
        <f>'Parking Projections'!U72</f>
        <v>26742.333333333325</v>
      </c>
      <c r="X43" s="313">
        <f>'Parking Projections'!V72</f>
        <v>26742.333333333325</v>
      </c>
    </row>
    <row r="44" spans="1:24" s="96" customFormat="1">
      <c r="A44" s="54" t="s">
        <v>274</v>
      </c>
      <c r="B44" s="435"/>
      <c r="C44" s="583"/>
      <c r="D44" s="486">
        <v>0</v>
      </c>
      <c r="E44" s="313">
        <f>SUM(E42:E43)</f>
        <v>15203.390624999996</v>
      </c>
      <c r="F44" s="313">
        <f t="shared" ref="F44:X44" si="6">SUM(F42:F43)</f>
        <v>30406.781249999993</v>
      </c>
      <c r="G44" s="313">
        <f t="shared" si="6"/>
        <v>30406.781249999993</v>
      </c>
      <c r="H44" s="313">
        <f t="shared" si="6"/>
        <v>30406.781249999993</v>
      </c>
      <c r="I44" s="313">
        <f t="shared" si="6"/>
        <v>30406.781249999993</v>
      </c>
      <c r="J44" s="313">
        <f t="shared" si="6"/>
        <v>30406.781249999993</v>
      </c>
      <c r="K44" s="313">
        <f t="shared" si="6"/>
        <v>30406.781249999993</v>
      </c>
      <c r="L44" s="313">
        <f t="shared" si="6"/>
        <v>30406.781249999993</v>
      </c>
      <c r="M44" s="313">
        <f t="shared" si="6"/>
        <v>30406.781249999993</v>
      </c>
      <c r="N44" s="313">
        <f t="shared" si="6"/>
        <v>30406.781249999993</v>
      </c>
      <c r="O44" s="313">
        <f t="shared" si="6"/>
        <v>30406.781249999993</v>
      </c>
      <c r="P44" s="313">
        <f t="shared" si="6"/>
        <v>30406.781249999993</v>
      </c>
      <c r="Q44" s="313">
        <f t="shared" si="6"/>
        <v>30406.781249999993</v>
      </c>
      <c r="R44" s="313">
        <f t="shared" si="6"/>
        <v>30406.781249999993</v>
      </c>
      <c r="S44" s="313">
        <f t="shared" si="6"/>
        <v>30406.781249999993</v>
      </c>
      <c r="T44" s="313">
        <f t="shared" si="6"/>
        <v>30406.781249999993</v>
      </c>
      <c r="U44" s="313">
        <f t="shared" si="6"/>
        <v>30406.781249999993</v>
      </c>
      <c r="V44" s="313">
        <f t="shared" si="6"/>
        <v>30406.781249999993</v>
      </c>
      <c r="W44" s="313">
        <f t="shared" si="6"/>
        <v>30406.781249999993</v>
      </c>
      <c r="X44" s="313">
        <f t="shared" si="6"/>
        <v>30406.781249999993</v>
      </c>
    </row>
    <row r="45" spans="1:24">
      <c r="A45" s="54"/>
      <c r="B45" s="277"/>
      <c r="C45" s="74"/>
      <c r="D45" s="499"/>
      <c r="E45" s="308"/>
      <c r="F45" s="308"/>
      <c r="G45" s="308"/>
      <c r="H45" s="308"/>
      <c r="I45" s="308"/>
      <c r="J45" s="308"/>
      <c r="K45" s="308"/>
      <c r="L45" s="308"/>
      <c r="M45" s="308"/>
      <c r="N45" s="308"/>
      <c r="O45" s="308"/>
      <c r="P45" s="308"/>
      <c r="Q45" s="308"/>
      <c r="R45" s="308"/>
      <c r="S45" s="308"/>
      <c r="T45" s="308"/>
      <c r="U45" s="308"/>
      <c r="V45" s="308"/>
      <c r="W45" s="308"/>
      <c r="X45" s="308"/>
    </row>
    <row r="46" spans="1:24" s="341" customFormat="1">
      <c r="A46" s="552" t="s">
        <v>224</v>
      </c>
      <c r="B46" s="556"/>
      <c r="C46" s="557"/>
      <c r="D46" s="554">
        <v>0</v>
      </c>
      <c r="E46" s="558">
        <v>3</v>
      </c>
      <c r="F46" s="558">
        <v>3</v>
      </c>
      <c r="G46" s="558">
        <v>3</v>
      </c>
      <c r="H46" s="558">
        <v>3</v>
      </c>
      <c r="I46" s="558">
        <v>3</v>
      </c>
      <c r="J46" s="558">
        <v>3</v>
      </c>
      <c r="K46" s="558">
        <v>3</v>
      </c>
      <c r="L46" s="558">
        <v>3</v>
      </c>
      <c r="M46" s="558">
        <v>3</v>
      </c>
      <c r="N46" s="558">
        <v>3</v>
      </c>
      <c r="O46" s="558">
        <v>3</v>
      </c>
      <c r="P46" s="558">
        <v>3</v>
      </c>
      <c r="Q46" s="558">
        <v>3</v>
      </c>
      <c r="R46" s="558">
        <v>3</v>
      </c>
      <c r="S46" s="558">
        <v>3</v>
      </c>
      <c r="T46" s="558">
        <v>3</v>
      </c>
      <c r="U46" s="558">
        <v>3</v>
      </c>
      <c r="V46" s="558">
        <v>3</v>
      </c>
      <c r="W46" s="558">
        <v>3</v>
      </c>
      <c r="X46" s="558">
        <v>3</v>
      </c>
    </row>
    <row r="47" spans="1:24" s="96" customFormat="1">
      <c r="A47" s="54" t="s">
        <v>225</v>
      </c>
      <c r="B47" s="435"/>
      <c r="C47" s="583"/>
      <c r="D47" s="486">
        <v>0</v>
      </c>
      <c r="E47" s="496">
        <v>1</v>
      </c>
      <c r="F47" s="496">
        <v>1</v>
      </c>
      <c r="G47" s="496">
        <v>1</v>
      </c>
      <c r="H47" s="496">
        <v>1</v>
      </c>
      <c r="I47" s="496">
        <v>1</v>
      </c>
      <c r="J47" s="496">
        <v>1</v>
      </c>
      <c r="K47" s="496">
        <v>1</v>
      </c>
      <c r="L47" s="496">
        <v>1</v>
      </c>
      <c r="M47" s="496">
        <v>1</v>
      </c>
      <c r="N47" s="496">
        <v>1</v>
      </c>
      <c r="O47" s="496">
        <v>1</v>
      </c>
      <c r="P47" s="496">
        <v>1</v>
      </c>
      <c r="Q47" s="496">
        <v>1</v>
      </c>
      <c r="R47" s="496">
        <v>1</v>
      </c>
      <c r="S47" s="496">
        <v>1</v>
      </c>
      <c r="T47" s="496">
        <v>1</v>
      </c>
      <c r="U47" s="496">
        <v>1</v>
      </c>
      <c r="V47" s="496">
        <v>1</v>
      </c>
      <c r="W47" s="496">
        <v>1</v>
      </c>
      <c r="X47" s="496">
        <v>1</v>
      </c>
    </row>
    <row r="48" spans="1:24">
      <c r="A48" s="54" t="s">
        <v>209</v>
      </c>
      <c r="B48" s="277"/>
      <c r="C48" s="74"/>
      <c r="D48" s="486">
        <v>0</v>
      </c>
      <c r="E48" s="496">
        <v>0.5</v>
      </c>
      <c r="F48" s="496">
        <v>0.5</v>
      </c>
      <c r="G48" s="496">
        <v>0.5</v>
      </c>
      <c r="H48" s="496">
        <v>0.5</v>
      </c>
      <c r="I48" s="496">
        <v>0.5</v>
      </c>
      <c r="J48" s="496">
        <v>0.5</v>
      </c>
      <c r="K48" s="496">
        <v>0.5</v>
      </c>
      <c r="L48" s="496">
        <v>0.5</v>
      </c>
      <c r="M48" s="496">
        <v>0.5</v>
      </c>
      <c r="N48" s="496">
        <v>0.5</v>
      </c>
      <c r="O48" s="496">
        <v>0.5</v>
      </c>
      <c r="P48" s="496">
        <v>0.5</v>
      </c>
      <c r="Q48" s="496">
        <v>0.5</v>
      </c>
      <c r="R48" s="496">
        <v>0.5</v>
      </c>
      <c r="S48" s="496">
        <v>0.5</v>
      </c>
      <c r="T48" s="496">
        <v>0.5</v>
      </c>
      <c r="U48" s="496">
        <v>0.5</v>
      </c>
      <c r="V48" s="496">
        <v>0.5</v>
      </c>
      <c r="W48" s="496">
        <v>0.5</v>
      </c>
      <c r="X48" s="496">
        <v>0.5</v>
      </c>
    </row>
    <row r="49" spans="1:25 16384:16384">
      <c r="A49" s="54" t="s">
        <v>289</v>
      </c>
      <c r="B49" s="277"/>
      <c r="C49" s="74"/>
      <c r="D49" s="486">
        <v>0</v>
      </c>
      <c r="E49" s="496">
        <f>SUM(E47:E48)/2</f>
        <v>0.75</v>
      </c>
      <c r="F49" s="496">
        <f t="shared" ref="F49:X49" si="7">SUM(F47:F48)/2</f>
        <v>0.75</v>
      </c>
      <c r="G49" s="496">
        <f t="shared" si="7"/>
        <v>0.75</v>
      </c>
      <c r="H49" s="496">
        <f t="shared" si="7"/>
        <v>0.75</v>
      </c>
      <c r="I49" s="496">
        <f t="shared" si="7"/>
        <v>0.75</v>
      </c>
      <c r="J49" s="496">
        <f t="shared" si="7"/>
        <v>0.75</v>
      </c>
      <c r="K49" s="496">
        <f t="shared" si="7"/>
        <v>0.75</v>
      </c>
      <c r="L49" s="496">
        <f t="shared" si="7"/>
        <v>0.75</v>
      </c>
      <c r="M49" s="496">
        <f t="shared" si="7"/>
        <v>0.75</v>
      </c>
      <c r="N49" s="496">
        <f t="shared" si="7"/>
        <v>0.75</v>
      </c>
      <c r="O49" s="496">
        <f t="shared" si="7"/>
        <v>0.75</v>
      </c>
      <c r="P49" s="496">
        <f t="shared" si="7"/>
        <v>0.75</v>
      </c>
      <c r="Q49" s="496">
        <f t="shared" si="7"/>
        <v>0.75</v>
      </c>
      <c r="R49" s="496">
        <f t="shared" si="7"/>
        <v>0.75</v>
      </c>
      <c r="S49" s="496">
        <f t="shared" si="7"/>
        <v>0.75</v>
      </c>
      <c r="T49" s="496">
        <f t="shared" si="7"/>
        <v>0.75</v>
      </c>
      <c r="U49" s="496">
        <f t="shared" si="7"/>
        <v>0.75</v>
      </c>
      <c r="V49" s="496">
        <f t="shared" si="7"/>
        <v>0.75</v>
      </c>
      <c r="W49" s="496">
        <f t="shared" si="7"/>
        <v>0.75</v>
      </c>
      <c r="X49" s="496">
        <f t="shared" si="7"/>
        <v>0.75</v>
      </c>
      <c r="XFD49" s="570">
        <f>SUM(D49:XFC49)</f>
        <v>15</v>
      </c>
    </row>
    <row r="50" spans="1:25 16384:16384">
      <c r="A50" s="54"/>
      <c r="B50" s="277"/>
      <c r="C50" s="74"/>
      <c r="D50" s="486"/>
      <c r="E50" s="496"/>
      <c r="F50" s="496"/>
      <c r="G50" s="496"/>
      <c r="H50" s="496"/>
      <c r="I50" s="496"/>
      <c r="J50" s="496"/>
      <c r="K50" s="496"/>
      <c r="L50" s="496"/>
      <c r="M50" s="496"/>
      <c r="N50" s="496"/>
      <c r="O50" s="496"/>
      <c r="P50" s="496"/>
      <c r="Q50" s="496"/>
      <c r="R50" s="496"/>
      <c r="S50" s="496"/>
      <c r="T50" s="496"/>
      <c r="U50" s="496"/>
      <c r="V50" s="496"/>
      <c r="W50" s="496"/>
      <c r="X50" s="496"/>
      <c r="XFD50" s="570"/>
    </row>
    <row r="51" spans="1:25 16384:16384">
      <c r="A51" s="54" t="s">
        <v>312</v>
      </c>
      <c r="B51" s="277"/>
      <c r="C51" s="74"/>
      <c r="D51" s="486">
        <v>0</v>
      </c>
      <c r="E51" s="313">
        <f>'Shuttle Projections'!C22*0.5</f>
        <v>3595</v>
      </c>
      <c r="F51" s="313">
        <f>'Shuttle Projections'!D22</f>
        <v>7190</v>
      </c>
      <c r="G51" s="313">
        <f>'Shuttle Projections'!E22</f>
        <v>7190</v>
      </c>
      <c r="H51" s="313">
        <f>'Shuttle Projections'!F22</f>
        <v>7190</v>
      </c>
      <c r="I51" s="313">
        <f>'Shuttle Projections'!G22</f>
        <v>7190</v>
      </c>
      <c r="J51" s="313">
        <f>'Shuttle Projections'!H22</f>
        <v>7190</v>
      </c>
      <c r="K51" s="313">
        <f>'Shuttle Projections'!I22</f>
        <v>7190</v>
      </c>
      <c r="L51" s="313">
        <f>'Shuttle Projections'!J22</f>
        <v>7190</v>
      </c>
      <c r="M51" s="313">
        <f>'Shuttle Projections'!K22</f>
        <v>7190</v>
      </c>
      <c r="N51" s="313">
        <f>'Shuttle Projections'!L22</f>
        <v>7190</v>
      </c>
      <c r="O51" s="313">
        <f>'Shuttle Projections'!M22</f>
        <v>7190</v>
      </c>
      <c r="P51" s="313">
        <f>'Shuttle Projections'!N22</f>
        <v>7190</v>
      </c>
      <c r="Q51" s="313">
        <f>'Shuttle Projections'!O22</f>
        <v>7190</v>
      </c>
      <c r="R51" s="313">
        <f>'Shuttle Projections'!P22</f>
        <v>7190</v>
      </c>
      <c r="S51" s="313">
        <f>'Shuttle Projections'!Q22</f>
        <v>7190</v>
      </c>
      <c r="T51" s="313">
        <f>'Shuttle Projections'!R22</f>
        <v>7190</v>
      </c>
      <c r="U51" s="313">
        <f>'Shuttle Projections'!S22</f>
        <v>7190</v>
      </c>
      <c r="V51" s="313">
        <f>'Shuttle Projections'!T22</f>
        <v>7190</v>
      </c>
      <c r="W51" s="313">
        <f>'Shuttle Projections'!U22</f>
        <v>7190</v>
      </c>
      <c r="X51" s="313">
        <f>'Shuttle Projections'!V22</f>
        <v>7190</v>
      </c>
      <c r="XFD51" s="570"/>
    </row>
    <row r="52" spans="1:25 16384:16384">
      <c r="A52" s="54"/>
      <c r="B52" s="277"/>
      <c r="C52" s="74"/>
      <c r="D52" s="486"/>
      <c r="E52" s="308"/>
      <c r="F52" s="308"/>
      <c r="G52" s="308"/>
      <c r="H52" s="308"/>
      <c r="I52" s="308"/>
      <c r="J52" s="308"/>
      <c r="K52" s="308"/>
      <c r="L52" s="308"/>
      <c r="M52" s="308"/>
      <c r="N52" s="308"/>
      <c r="O52" s="308"/>
      <c r="P52" s="308"/>
      <c r="Q52" s="308"/>
      <c r="R52" s="308"/>
      <c r="S52" s="308"/>
      <c r="T52" s="308"/>
      <c r="U52" s="308"/>
      <c r="V52" s="308"/>
      <c r="W52" s="308"/>
      <c r="X52" s="308"/>
    </row>
    <row r="53" spans="1:25 16384:16384" s="612" customFormat="1">
      <c r="A53" s="613" t="s">
        <v>292</v>
      </c>
      <c r="B53" s="614"/>
      <c r="C53" s="615"/>
      <c r="D53" s="616">
        <v>0</v>
      </c>
      <c r="E53" s="617">
        <v>0</v>
      </c>
      <c r="F53" s="617">
        <v>0</v>
      </c>
      <c r="G53" s="617">
        <v>100000</v>
      </c>
      <c r="H53" s="617">
        <v>100000</v>
      </c>
      <c r="I53" s="617">
        <v>100000</v>
      </c>
      <c r="J53" s="617">
        <v>100000</v>
      </c>
      <c r="K53" s="617">
        <v>100000</v>
      </c>
      <c r="L53" s="617">
        <v>100000</v>
      </c>
      <c r="M53" s="617">
        <v>100000</v>
      </c>
      <c r="N53" s="617">
        <v>100000</v>
      </c>
      <c r="O53" s="617">
        <v>100000</v>
      </c>
      <c r="P53" s="617">
        <v>100000</v>
      </c>
      <c r="Q53" s="617">
        <v>100000</v>
      </c>
      <c r="R53" s="617">
        <v>100000</v>
      </c>
      <c r="S53" s="617">
        <v>100000</v>
      </c>
      <c r="T53" s="617">
        <v>100000</v>
      </c>
      <c r="U53" s="617">
        <v>100000</v>
      </c>
      <c r="V53" s="617">
        <v>100000</v>
      </c>
      <c r="W53" s="617">
        <v>100000</v>
      </c>
      <c r="X53" s="618">
        <v>100000</v>
      </c>
    </row>
    <row r="54" spans="1:25 16384:16384">
      <c r="A54" s="54"/>
      <c r="B54" s="277"/>
      <c r="C54" s="74"/>
      <c r="D54" s="486"/>
      <c r="E54" s="308"/>
      <c r="F54" s="308"/>
      <c r="G54" s="308"/>
      <c r="H54" s="308"/>
      <c r="I54" s="308"/>
      <c r="J54" s="308"/>
      <c r="K54" s="308"/>
      <c r="L54" s="308"/>
      <c r="M54" s="308"/>
      <c r="N54" s="308"/>
      <c r="O54" s="308"/>
      <c r="P54" s="308"/>
      <c r="Q54" s="308"/>
      <c r="R54" s="308"/>
      <c r="S54" s="308"/>
      <c r="T54" s="308"/>
      <c r="U54" s="308"/>
      <c r="V54" s="308"/>
      <c r="W54" s="308"/>
      <c r="X54" s="308"/>
    </row>
    <row r="55" spans="1:25 16384:16384" s="582" customFormat="1">
      <c r="A55" s="293" t="str">
        <f>'BH Tariffs'!A33</f>
        <v>Recreational/Commercial Marina</v>
      </c>
      <c r="B55" s="584"/>
      <c r="C55" s="585"/>
      <c r="D55" s="486"/>
      <c r="E55" s="586"/>
      <c r="F55" s="586"/>
      <c r="G55" s="586"/>
      <c r="H55" s="586"/>
      <c r="I55" s="586"/>
      <c r="J55" s="586"/>
      <c r="K55" s="586"/>
      <c r="L55" s="586"/>
      <c r="M55" s="586"/>
      <c r="N55" s="586"/>
      <c r="O55" s="586"/>
      <c r="P55" s="586"/>
      <c r="Q55" s="586"/>
      <c r="R55" s="586"/>
      <c r="S55" s="586"/>
      <c r="T55" s="586"/>
      <c r="U55" s="586"/>
      <c r="V55" s="586"/>
      <c r="W55" s="586"/>
      <c r="X55" s="586"/>
    </row>
    <row r="56" spans="1:25 16384:16384" s="96" customFormat="1">
      <c r="A56" s="54" t="s">
        <v>291</v>
      </c>
      <c r="B56" s="435"/>
      <c r="C56" s="583"/>
      <c r="D56" s="486">
        <v>0</v>
      </c>
      <c r="E56" s="313">
        <v>0</v>
      </c>
      <c r="F56" s="313">
        <f>'Marina Projections'!D85</f>
        <v>42</v>
      </c>
      <c r="G56" s="313">
        <f>'Marina Projections'!E85</f>
        <v>42</v>
      </c>
      <c r="H56" s="313">
        <f>'Marina Projections'!F85</f>
        <v>42</v>
      </c>
      <c r="I56" s="313">
        <f>'Marina Projections'!G85</f>
        <v>42</v>
      </c>
      <c r="J56" s="313">
        <f>'Marina Projections'!H85</f>
        <v>42</v>
      </c>
      <c r="K56" s="313">
        <f>'Marina Projections'!I85</f>
        <v>42</v>
      </c>
      <c r="L56" s="313">
        <f>'Marina Projections'!J85</f>
        <v>42</v>
      </c>
      <c r="M56" s="313">
        <f>'Marina Projections'!K85</f>
        <v>42</v>
      </c>
      <c r="N56" s="313">
        <f>'Marina Projections'!L85</f>
        <v>42</v>
      </c>
      <c r="O56" s="313">
        <f>'Marina Projections'!M85</f>
        <v>42</v>
      </c>
      <c r="P56" s="313">
        <f>'Marina Projections'!N85</f>
        <v>42</v>
      </c>
      <c r="Q56" s="313">
        <f>'Marina Projections'!O85</f>
        <v>42</v>
      </c>
      <c r="R56" s="313">
        <f>'Marina Projections'!P85</f>
        <v>42</v>
      </c>
      <c r="S56" s="313">
        <f>'Marina Projections'!Q85</f>
        <v>42</v>
      </c>
      <c r="T56" s="313">
        <f>'Marina Projections'!R85</f>
        <v>42</v>
      </c>
      <c r="U56" s="313">
        <f>'Marina Projections'!S85</f>
        <v>42</v>
      </c>
      <c r="V56" s="313">
        <f>'Marina Projections'!T85</f>
        <v>42</v>
      </c>
      <c r="W56" s="313">
        <f>'Marina Projections'!U85</f>
        <v>42</v>
      </c>
      <c r="X56" s="313">
        <f>'Marina Projections'!V85</f>
        <v>42</v>
      </c>
    </row>
    <row r="57" spans="1:25 16384:16384" s="96" customFormat="1">
      <c r="A57" s="54" t="s">
        <v>293</v>
      </c>
      <c r="B57" s="435"/>
      <c r="C57" s="583"/>
      <c r="D57" s="486">
        <v>0</v>
      </c>
      <c r="E57" s="313">
        <v>0</v>
      </c>
      <c r="F57" s="313">
        <f>'Marina Projections'!D92</f>
        <v>39290.600625000006</v>
      </c>
      <c r="G57" s="313">
        <f>'Marina Projections'!E92</f>
        <v>39290.600625000006</v>
      </c>
      <c r="H57" s="313">
        <f>'Marina Projections'!F92</f>
        <v>39290.600625000006</v>
      </c>
      <c r="I57" s="313">
        <f>'Marina Projections'!G92</f>
        <v>39290.600625000006</v>
      </c>
      <c r="J57" s="313">
        <f>'Marina Projections'!H92</f>
        <v>39290.600625000006</v>
      </c>
      <c r="K57" s="313">
        <f>'Marina Projections'!I92</f>
        <v>39290.600625000006</v>
      </c>
      <c r="L57" s="313">
        <f>'Marina Projections'!J92</f>
        <v>39290.600625000006</v>
      </c>
      <c r="M57" s="313">
        <f>'Marina Projections'!K92</f>
        <v>39290.600625000006</v>
      </c>
      <c r="N57" s="313">
        <f>'Marina Projections'!L92</f>
        <v>39290.600625000006</v>
      </c>
      <c r="O57" s="313">
        <f>'Marina Projections'!M92</f>
        <v>39290.600625000006</v>
      </c>
      <c r="P57" s="313">
        <f>'Marina Projections'!N92</f>
        <v>39290.600625000006</v>
      </c>
      <c r="Q57" s="313">
        <f>'Marina Projections'!O92</f>
        <v>39290.600625000006</v>
      </c>
      <c r="R57" s="313">
        <f>'Marina Projections'!P92</f>
        <v>39290.600625000006</v>
      </c>
      <c r="S57" s="313">
        <f>'Marina Projections'!Q92</f>
        <v>39290.600625000006</v>
      </c>
      <c r="T57" s="313">
        <f>'Marina Projections'!R92</f>
        <v>39290.600625000006</v>
      </c>
      <c r="U57" s="313">
        <f>'Marina Projections'!S92</f>
        <v>39290.600625000006</v>
      </c>
      <c r="V57" s="313">
        <f>'Marina Projections'!T92</f>
        <v>39290.600625000006</v>
      </c>
      <c r="W57" s="313">
        <f>'Marina Projections'!U92</f>
        <v>39290.600625000006</v>
      </c>
      <c r="X57" s="313">
        <f>'Marina Projections'!V92</f>
        <v>39290.600625000006</v>
      </c>
    </row>
    <row r="58" spans="1:25 16384:16384" s="96" customFormat="1">
      <c r="A58" s="54" t="s">
        <v>294</v>
      </c>
      <c r="B58" s="435"/>
      <c r="C58" s="583"/>
      <c r="D58" s="486">
        <v>0</v>
      </c>
      <c r="E58" s="313">
        <v>0</v>
      </c>
      <c r="F58" s="313">
        <f>'Marina Projections'!D88</f>
        <v>1476.3000000000002</v>
      </c>
      <c r="G58" s="313">
        <f>'Marina Projections'!E88</f>
        <v>1476.3000000000002</v>
      </c>
      <c r="H58" s="313">
        <f>'Marina Projections'!F88</f>
        <v>1476.3000000000002</v>
      </c>
      <c r="I58" s="313">
        <f>'Marina Projections'!G88</f>
        <v>1476.3000000000002</v>
      </c>
      <c r="J58" s="313">
        <f>'Marina Projections'!H88</f>
        <v>1476.3000000000002</v>
      </c>
      <c r="K58" s="313">
        <f>'Marina Projections'!I88</f>
        <v>1476.3000000000002</v>
      </c>
      <c r="L58" s="313">
        <f>'Marina Projections'!J88</f>
        <v>1476.3000000000002</v>
      </c>
      <c r="M58" s="313">
        <f>'Marina Projections'!K88</f>
        <v>1476.3000000000002</v>
      </c>
      <c r="N58" s="313">
        <f>'Marina Projections'!L88</f>
        <v>1476.3000000000002</v>
      </c>
      <c r="O58" s="313">
        <f>'Marina Projections'!M88</f>
        <v>1476.3000000000002</v>
      </c>
      <c r="P58" s="313">
        <f>'Marina Projections'!N88</f>
        <v>1476.3000000000002</v>
      </c>
      <c r="Q58" s="313">
        <f>'Marina Projections'!O88</f>
        <v>1476.3000000000002</v>
      </c>
      <c r="R58" s="313">
        <f>'Marina Projections'!P88</f>
        <v>1476.3000000000002</v>
      </c>
      <c r="S58" s="313">
        <f>'Marina Projections'!Q88</f>
        <v>1476.3000000000002</v>
      </c>
      <c r="T58" s="313">
        <f>'Marina Projections'!R88</f>
        <v>1476.3000000000002</v>
      </c>
      <c r="U58" s="313">
        <f>'Marina Projections'!S88</f>
        <v>1476.3000000000002</v>
      </c>
      <c r="V58" s="313">
        <f>'Marina Projections'!T88</f>
        <v>1476.3000000000002</v>
      </c>
      <c r="W58" s="313">
        <f>'Marina Projections'!U88</f>
        <v>1476.3000000000002</v>
      </c>
      <c r="X58" s="313">
        <f>'Marina Projections'!V88</f>
        <v>1476.3000000000002</v>
      </c>
    </row>
    <row r="59" spans="1:25 16384:16384" s="167" customFormat="1">
      <c r="A59" s="497" t="s">
        <v>170</v>
      </c>
      <c r="B59" s="450"/>
      <c r="C59" s="498"/>
      <c r="D59" s="486">
        <v>0</v>
      </c>
      <c r="E59" s="587">
        <v>0</v>
      </c>
      <c r="F59" s="587">
        <v>0</v>
      </c>
      <c r="G59" s="587">
        <v>0</v>
      </c>
      <c r="H59" s="587">
        <v>0</v>
      </c>
      <c r="I59" s="587">
        <v>0</v>
      </c>
      <c r="J59" s="587">
        <v>0</v>
      </c>
      <c r="K59" s="587">
        <v>0</v>
      </c>
      <c r="L59" s="587">
        <v>0</v>
      </c>
      <c r="M59" s="587">
        <v>0</v>
      </c>
      <c r="N59" s="587">
        <v>0</v>
      </c>
      <c r="O59" s="587">
        <v>0</v>
      </c>
      <c r="P59" s="587">
        <v>0</v>
      </c>
      <c r="Q59" s="587">
        <v>0</v>
      </c>
      <c r="R59" s="587">
        <v>0</v>
      </c>
      <c r="S59" s="587">
        <v>0</v>
      </c>
      <c r="T59" s="587">
        <v>0</v>
      </c>
      <c r="U59" s="587">
        <v>0</v>
      </c>
      <c r="V59" s="587">
        <v>0</v>
      </c>
      <c r="W59" s="587">
        <v>0</v>
      </c>
      <c r="X59" s="587">
        <v>0</v>
      </c>
      <c r="Y59" s="167" t="s">
        <v>282</v>
      </c>
    </row>
    <row r="60" spans="1:25 16384:16384" s="167" customFormat="1">
      <c r="A60" s="497" t="s">
        <v>16</v>
      </c>
      <c r="B60" s="450"/>
      <c r="C60" s="498"/>
      <c r="D60" s="499">
        <v>0</v>
      </c>
      <c r="E60" s="587">
        <v>0</v>
      </c>
      <c r="F60" s="587">
        <v>0</v>
      </c>
      <c r="G60" s="587">
        <v>0</v>
      </c>
      <c r="H60" s="587">
        <v>0</v>
      </c>
      <c r="I60" s="587">
        <v>0</v>
      </c>
      <c r="J60" s="587">
        <v>0</v>
      </c>
      <c r="K60" s="587">
        <v>0</v>
      </c>
      <c r="L60" s="587">
        <v>0</v>
      </c>
      <c r="M60" s="587">
        <v>0</v>
      </c>
      <c r="N60" s="587">
        <v>0</v>
      </c>
      <c r="O60" s="587">
        <v>0</v>
      </c>
      <c r="P60" s="587">
        <v>0</v>
      </c>
      <c r="Q60" s="587">
        <v>0</v>
      </c>
      <c r="R60" s="587">
        <v>0</v>
      </c>
      <c r="S60" s="587">
        <v>0</v>
      </c>
      <c r="T60" s="587">
        <v>0</v>
      </c>
      <c r="U60" s="587">
        <v>0</v>
      </c>
      <c r="V60" s="587">
        <v>0</v>
      </c>
      <c r="W60" s="587">
        <v>0</v>
      </c>
      <c r="X60" s="587">
        <v>0</v>
      </c>
      <c r="Y60" s="167" t="s">
        <v>282</v>
      </c>
    </row>
    <row r="61" spans="1:25 16384:16384">
      <c r="A61" s="54"/>
      <c r="B61" s="277"/>
      <c r="C61" s="74"/>
      <c r="D61" s="492"/>
      <c r="E61" s="308"/>
      <c r="F61" s="308"/>
      <c r="G61" s="308"/>
      <c r="H61" s="308"/>
      <c r="I61" s="308"/>
      <c r="J61" s="308"/>
      <c r="K61" s="308"/>
      <c r="L61" s="308"/>
      <c r="M61" s="308"/>
      <c r="N61" s="308"/>
      <c r="O61" s="308"/>
      <c r="P61" s="308"/>
      <c r="Q61" s="308"/>
      <c r="R61" s="308"/>
      <c r="S61" s="308"/>
      <c r="T61" s="308"/>
      <c r="U61" s="308"/>
      <c r="V61" s="308"/>
      <c r="W61" s="308"/>
      <c r="X61" s="308"/>
    </row>
    <row r="62" spans="1:25 16384:16384">
      <c r="A62" s="293" t="s">
        <v>2</v>
      </c>
      <c r="B62" s="277"/>
      <c r="C62" s="74"/>
      <c r="D62" s="492"/>
      <c r="E62" s="308"/>
      <c r="F62" s="308"/>
      <c r="G62" s="308"/>
      <c r="H62" s="308"/>
      <c r="I62" s="308"/>
      <c r="J62" s="308"/>
      <c r="K62" s="308"/>
      <c r="L62" s="308"/>
      <c r="M62" s="308"/>
      <c r="N62" s="308"/>
      <c r="O62" s="308"/>
      <c r="P62" s="308"/>
      <c r="Q62" s="308"/>
      <c r="R62" s="308"/>
      <c r="S62" s="308"/>
      <c r="T62" s="308"/>
      <c r="U62" s="308"/>
      <c r="V62" s="308"/>
      <c r="W62" s="308"/>
      <c r="X62" s="308"/>
    </row>
    <row r="63" spans="1:25 16384:16384" s="96" customFormat="1">
      <c r="A63" s="54" t="s">
        <v>290</v>
      </c>
      <c r="B63" s="435">
        <v>500</v>
      </c>
      <c r="C63" s="487"/>
      <c r="D63" s="486">
        <v>0</v>
      </c>
      <c r="E63" s="313">
        <v>0</v>
      </c>
      <c r="F63" s="313">
        <v>0</v>
      </c>
      <c r="G63" s="313">
        <f t="shared" ref="G63:X63" si="8">$B$63</f>
        <v>500</v>
      </c>
      <c r="H63" s="313">
        <f t="shared" si="8"/>
        <v>500</v>
      </c>
      <c r="I63" s="313">
        <f t="shared" si="8"/>
        <v>500</v>
      </c>
      <c r="J63" s="313">
        <f t="shared" si="8"/>
        <v>500</v>
      </c>
      <c r="K63" s="313">
        <f t="shared" si="8"/>
        <v>500</v>
      </c>
      <c r="L63" s="313">
        <f t="shared" si="8"/>
        <v>500</v>
      </c>
      <c r="M63" s="313">
        <f t="shared" si="8"/>
        <v>500</v>
      </c>
      <c r="N63" s="313">
        <f t="shared" si="8"/>
        <v>500</v>
      </c>
      <c r="O63" s="313">
        <f t="shared" si="8"/>
        <v>500</v>
      </c>
      <c r="P63" s="313">
        <f t="shared" si="8"/>
        <v>500</v>
      </c>
      <c r="Q63" s="313">
        <f t="shared" si="8"/>
        <v>500</v>
      </c>
      <c r="R63" s="313">
        <f t="shared" si="8"/>
        <v>500</v>
      </c>
      <c r="S63" s="313">
        <f t="shared" si="8"/>
        <v>500</v>
      </c>
      <c r="T63" s="313">
        <f t="shared" si="8"/>
        <v>500</v>
      </c>
      <c r="U63" s="313">
        <f t="shared" si="8"/>
        <v>500</v>
      </c>
      <c r="V63" s="313">
        <f t="shared" si="8"/>
        <v>500</v>
      </c>
      <c r="W63" s="313">
        <f t="shared" si="8"/>
        <v>500</v>
      </c>
      <c r="X63" s="313">
        <f t="shared" si="8"/>
        <v>500</v>
      </c>
    </row>
    <row r="64" spans="1:25 16384:16384" s="96" customFormat="1">
      <c r="A64" s="54" t="s">
        <v>540</v>
      </c>
      <c r="B64" s="435"/>
      <c r="C64" s="487"/>
      <c r="D64" s="1055">
        <v>0</v>
      </c>
      <c r="E64" s="1056">
        <v>0</v>
      </c>
      <c r="F64" s="1056">
        <v>0</v>
      </c>
      <c r="G64" s="1056">
        <v>200000</v>
      </c>
      <c r="H64" s="1056">
        <f>G64</f>
        <v>200000</v>
      </c>
      <c r="I64" s="1056">
        <f t="shared" ref="I64:X64" si="9">H64</f>
        <v>200000</v>
      </c>
      <c r="J64" s="1056">
        <f t="shared" si="9"/>
        <v>200000</v>
      </c>
      <c r="K64" s="1056">
        <f t="shared" si="9"/>
        <v>200000</v>
      </c>
      <c r="L64" s="1056">
        <f t="shared" si="9"/>
        <v>200000</v>
      </c>
      <c r="M64" s="1056">
        <f t="shared" si="9"/>
        <v>200000</v>
      </c>
      <c r="N64" s="1056">
        <f t="shared" si="9"/>
        <v>200000</v>
      </c>
      <c r="O64" s="1056">
        <f t="shared" si="9"/>
        <v>200000</v>
      </c>
      <c r="P64" s="1056">
        <f t="shared" si="9"/>
        <v>200000</v>
      </c>
      <c r="Q64" s="1056">
        <f t="shared" si="9"/>
        <v>200000</v>
      </c>
      <c r="R64" s="1056">
        <f t="shared" si="9"/>
        <v>200000</v>
      </c>
      <c r="S64" s="1056">
        <f t="shared" si="9"/>
        <v>200000</v>
      </c>
      <c r="T64" s="1056">
        <f t="shared" si="9"/>
        <v>200000</v>
      </c>
      <c r="U64" s="1056">
        <f t="shared" si="9"/>
        <v>200000</v>
      </c>
      <c r="V64" s="1056">
        <f t="shared" si="9"/>
        <v>200000</v>
      </c>
      <c r="W64" s="1056">
        <f t="shared" si="9"/>
        <v>200000</v>
      </c>
      <c r="X64" s="1056">
        <f t="shared" si="9"/>
        <v>200000</v>
      </c>
    </row>
    <row r="65" spans="1:25" s="96" customFormat="1">
      <c r="A65" s="54" t="s">
        <v>210</v>
      </c>
      <c r="B65" s="487"/>
      <c r="C65" s="487"/>
      <c r="D65" s="486">
        <v>0</v>
      </c>
      <c r="E65" s="313">
        <v>0</v>
      </c>
      <c r="F65" s="313">
        <v>1</v>
      </c>
      <c r="G65" s="313">
        <v>2</v>
      </c>
      <c r="H65" s="313">
        <v>2</v>
      </c>
      <c r="I65" s="313">
        <v>2</v>
      </c>
      <c r="J65" s="313">
        <v>3</v>
      </c>
      <c r="K65" s="313">
        <v>3</v>
      </c>
      <c r="L65" s="313">
        <v>3</v>
      </c>
      <c r="M65" s="313">
        <v>3</v>
      </c>
      <c r="N65" s="313">
        <v>3</v>
      </c>
      <c r="O65" s="313">
        <v>4</v>
      </c>
      <c r="P65" s="313">
        <v>4</v>
      </c>
      <c r="Q65" s="313">
        <v>4</v>
      </c>
      <c r="R65" s="313">
        <v>4</v>
      </c>
      <c r="S65" s="313">
        <v>4</v>
      </c>
      <c r="T65" s="313">
        <v>5</v>
      </c>
      <c r="U65" s="313">
        <v>5</v>
      </c>
      <c r="V65" s="313">
        <v>5</v>
      </c>
      <c r="W65" s="313">
        <v>5</v>
      </c>
      <c r="X65" s="313">
        <v>5</v>
      </c>
      <c r="Y65" s="313"/>
    </row>
    <row r="66" spans="1:25" s="96" customFormat="1">
      <c r="A66" s="96" t="s">
        <v>211</v>
      </c>
      <c r="D66" s="486">
        <v>0</v>
      </c>
      <c r="E66" s="435">
        <v>0</v>
      </c>
      <c r="F66" s="435">
        <v>3</v>
      </c>
      <c r="G66" s="435">
        <v>3</v>
      </c>
      <c r="H66" s="435">
        <v>3</v>
      </c>
      <c r="I66" s="435">
        <v>3</v>
      </c>
      <c r="J66" s="435">
        <v>3</v>
      </c>
      <c r="K66" s="435">
        <v>3</v>
      </c>
      <c r="L66" s="435">
        <v>3</v>
      </c>
      <c r="M66" s="435">
        <v>3</v>
      </c>
      <c r="N66" s="435">
        <v>3</v>
      </c>
      <c r="O66" s="435">
        <v>3</v>
      </c>
      <c r="P66" s="435">
        <v>3</v>
      </c>
      <c r="Q66" s="435">
        <v>3</v>
      </c>
      <c r="R66" s="435">
        <v>3</v>
      </c>
      <c r="S66" s="435">
        <v>3</v>
      </c>
      <c r="T66" s="435">
        <v>3</v>
      </c>
      <c r="U66" s="435">
        <v>3</v>
      </c>
      <c r="V66" s="435">
        <v>3</v>
      </c>
      <c r="W66" s="435">
        <v>3</v>
      </c>
      <c r="X66" s="435">
        <v>3</v>
      </c>
    </row>
    <row r="67" spans="1:25" s="167" customFormat="1">
      <c r="A67" s="497"/>
      <c r="B67" s="501"/>
      <c r="C67" s="501"/>
      <c r="D67" s="499"/>
      <c r="E67" s="500"/>
      <c r="F67" s="500"/>
      <c r="G67" s="500"/>
      <c r="H67" s="500"/>
      <c r="I67" s="500"/>
      <c r="J67" s="500"/>
      <c r="K67" s="500"/>
      <c r="L67" s="500"/>
      <c r="M67" s="500"/>
      <c r="N67" s="500"/>
      <c r="O67" s="500"/>
      <c r="P67" s="500"/>
      <c r="Q67" s="500"/>
      <c r="R67" s="500"/>
      <c r="S67" s="500"/>
      <c r="T67" s="500"/>
      <c r="U67" s="500"/>
      <c r="V67" s="500"/>
      <c r="W67" s="500"/>
      <c r="X67" s="500"/>
      <c r="Y67" s="500"/>
    </row>
    <row r="68" spans="1:25">
      <c r="A68" s="28"/>
      <c r="D68" s="486"/>
      <c r="E68" s="331"/>
      <c r="F68" s="333"/>
      <c r="G68" s="331"/>
      <c r="H68" s="331"/>
      <c r="I68" s="331"/>
      <c r="J68" s="331"/>
      <c r="K68" s="331"/>
      <c r="L68" s="331"/>
      <c r="M68" s="331"/>
      <c r="N68" s="331"/>
      <c r="O68" s="331"/>
      <c r="P68" s="331"/>
      <c r="Q68" s="331"/>
      <c r="R68" s="331"/>
      <c r="S68" s="331"/>
      <c r="T68" s="331"/>
      <c r="U68" s="331"/>
      <c r="V68" s="331"/>
      <c r="W68" s="331"/>
      <c r="X68" s="331"/>
    </row>
    <row r="69" spans="1:25">
      <c r="A69" s="266" t="s">
        <v>135</v>
      </c>
      <c r="B69" s="223"/>
      <c r="C69" s="267"/>
      <c r="D69" s="332"/>
      <c r="E69" s="332"/>
      <c r="F69" s="349"/>
      <c r="G69" s="332"/>
      <c r="H69" s="332"/>
      <c r="I69" s="332"/>
      <c r="J69" s="332"/>
      <c r="K69" s="332"/>
      <c r="L69" s="332"/>
      <c r="M69" s="332"/>
      <c r="N69" s="332"/>
      <c r="O69" s="332"/>
      <c r="P69" s="332"/>
      <c r="Q69" s="332"/>
      <c r="R69" s="332"/>
      <c r="S69" s="332"/>
      <c r="T69" s="332"/>
      <c r="U69" s="332"/>
      <c r="V69" s="332"/>
      <c r="W69" s="332"/>
      <c r="X69" s="332"/>
    </row>
    <row r="70" spans="1:25" s="341" customFormat="1">
      <c r="A70" s="353"/>
      <c r="B70" s="355"/>
      <c r="C70" s="355"/>
      <c r="D70" s="502"/>
      <c r="E70" s="503"/>
      <c r="F70" s="503"/>
      <c r="G70" s="503"/>
      <c r="H70" s="503"/>
      <c r="I70" s="503"/>
      <c r="J70" s="503"/>
      <c r="K70" s="503"/>
      <c r="L70" s="503"/>
      <c r="M70" s="503"/>
      <c r="N70" s="503"/>
      <c r="O70" s="503"/>
      <c r="P70" s="503"/>
      <c r="Q70" s="503"/>
      <c r="R70" s="503"/>
      <c r="S70" s="503"/>
      <c r="T70" s="503"/>
      <c r="U70" s="503"/>
      <c r="V70" s="503"/>
      <c r="W70" s="503"/>
      <c r="X70" s="503"/>
    </row>
    <row r="71" spans="1:25" s="341" customFormat="1">
      <c r="A71" s="691" t="s">
        <v>144</v>
      </c>
      <c r="B71" s="355"/>
      <c r="C71" s="355"/>
      <c r="D71" s="548"/>
      <c r="E71" s="503"/>
      <c r="F71" s="503"/>
      <c r="G71" s="503"/>
      <c r="H71" s="503"/>
      <c r="I71" s="503"/>
      <c r="J71" s="503"/>
      <c r="K71" s="503"/>
      <c r="L71" s="503"/>
      <c r="M71" s="503"/>
      <c r="N71" s="503"/>
      <c r="O71" s="503"/>
      <c r="P71" s="503"/>
      <c r="Q71" s="503"/>
      <c r="R71" s="503"/>
      <c r="S71" s="503"/>
      <c r="T71" s="503"/>
      <c r="U71" s="503"/>
      <c r="V71" s="503"/>
      <c r="W71" s="503"/>
      <c r="X71" s="503"/>
    </row>
    <row r="72" spans="1:25" s="561" customFormat="1">
      <c r="A72" s="353" t="str">
        <f>'BH Tariffs'!A11</f>
        <v>Port Fee</v>
      </c>
      <c r="B72" s="355"/>
      <c r="C72" s="355"/>
      <c r="D72" s="548">
        <v>0</v>
      </c>
      <c r="E72" s="503">
        <f>'BH Tariffs'!D11*'P&amp;L - Concept B3 - RCCL'!E12</f>
        <v>0</v>
      </c>
      <c r="F72" s="503">
        <v>0</v>
      </c>
      <c r="G72" s="503">
        <v>0</v>
      </c>
      <c r="H72" s="503">
        <v>0</v>
      </c>
      <c r="I72" s="503">
        <v>0</v>
      </c>
      <c r="J72" s="503">
        <v>0</v>
      </c>
      <c r="K72" s="503">
        <v>0</v>
      </c>
      <c r="L72" s="503">
        <v>0</v>
      </c>
      <c r="M72" s="503">
        <v>0</v>
      </c>
      <c r="N72" s="503">
        <v>0</v>
      </c>
      <c r="O72" s="503">
        <v>0</v>
      </c>
      <c r="P72" s="503">
        <v>0</v>
      </c>
      <c r="Q72" s="503">
        <v>0</v>
      </c>
      <c r="R72" s="503">
        <v>0</v>
      </c>
      <c r="S72" s="503">
        <v>0</v>
      </c>
      <c r="T72" s="503">
        <v>0</v>
      </c>
      <c r="U72" s="503">
        <v>0</v>
      </c>
      <c r="V72" s="503">
        <v>0</v>
      </c>
      <c r="W72" s="503">
        <v>0</v>
      </c>
      <c r="X72" s="503">
        <v>0</v>
      </c>
    </row>
    <row r="73" spans="1:25">
      <c r="A73" s="88"/>
      <c r="B73" s="89"/>
      <c r="C73" s="89"/>
      <c r="D73" s="502"/>
      <c r="E73" s="504"/>
      <c r="F73" s="504"/>
      <c r="G73" s="504"/>
      <c r="H73" s="504"/>
      <c r="I73" s="504"/>
      <c r="J73" s="504"/>
      <c r="K73" s="504"/>
      <c r="L73" s="504"/>
      <c r="M73" s="504"/>
      <c r="N73" s="504"/>
      <c r="O73" s="504"/>
      <c r="P73" s="504"/>
      <c r="Q73" s="504"/>
      <c r="R73" s="504"/>
      <c r="S73" s="504"/>
      <c r="T73" s="504"/>
      <c r="U73" s="504"/>
      <c r="V73" s="504"/>
      <c r="W73" s="504"/>
      <c r="X73" s="504"/>
    </row>
    <row r="74" spans="1:25" s="16" customFormat="1" ht="14.25">
      <c r="A74" s="280" t="s">
        <v>124</v>
      </c>
      <c r="B74" s="533"/>
      <c r="C74" s="533"/>
      <c r="D74" s="534"/>
      <c r="E74" s="535"/>
      <c r="F74" s="535"/>
      <c r="G74" s="535"/>
      <c r="H74" s="535"/>
      <c r="I74" s="535"/>
      <c r="J74" s="535"/>
      <c r="K74" s="535"/>
      <c r="L74" s="535"/>
      <c r="M74" s="535"/>
      <c r="N74" s="535"/>
      <c r="O74" s="535"/>
      <c r="P74" s="535"/>
      <c r="Q74" s="535"/>
      <c r="R74" s="535"/>
      <c r="S74" s="535"/>
      <c r="T74" s="535"/>
      <c r="U74" s="535"/>
      <c r="V74" s="535"/>
      <c r="W74" s="535"/>
      <c r="X74" s="535"/>
    </row>
    <row r="75" spans="1:25" s="279" customFormat="1" ht="14.25">
      <c r="A75" s="91" t="s">
        <v>83</v>
      </c>
      <c r="B75" s="536"/>
      <c r="C75" s="536"/>
      <c r="D75" s="537"/>
      <c r="E75" s="538"/>
      <c r="F75" s="538"/>
      <c r="G75" s="538"/>
      <c r="H75" s="538"/>
      <c r="I75" s="538"/>
      <c r="J75" s="538"/>
      <c r="K75" s="538"/>
      <c r="L75" s="538"/>
      <c r="M75" s="538"/>
      <c r="N75" s="538"/>
      <c r="O75" s="538"/>
      <c r="P75" s="538"/>
      <c r="Q75" s="538"/>
      <c r="R75" s="538"/>
      <c r="S75" s="538"/>
      <c r="T75" s="538"/>
      <c r="U75" s="538"/>
      <c r="V75" s="538"/>
      <c r="W75" s="538"/>
      <c r="X75" s="538"/>
    </row>
    <row r="76" spans="1:25">
      <c r="A76" s="90" t="str">
        <f>'BH Tariffs'!A19</f>
        <v>Town Wharfage (Exclusive Use, Ferry Property Only)</v>
      </c>
      <c r="B76" s="89"/>
      <c r="C76" s="89"/>
      <c r="D76" s="502">
        <v>0</v>
      </c>
      <c r="E76" s="504">
        <f>'BH Tariffs'!D19*'P&amp;L - Concept B3 - RCCL'!E12</f>
        <v>0</v>
      </c>
      <c r="F76" s="504">
        <f>'BH Tariffs'!E19*'P&amp;L - Concept B3 - RCCL'!F12</f>
        <v>623885.59098931064</v>
      </c>
      <c r="G76" s="504">
        <f>'BH Tariffs'!F19*'P&amp;L - Concept B3 - RCCL'!G12</f>
        <v>636363.30280909687</v>
      </c>
      <c r="H76" s="504">
        <f>'BH Tariffs'!G19*'P&amp;L - Concept B3 - RCCL'!H12</f>
        <v>649090.56886527874</v>
      </c>
      <c r="I76" s="504">
        <f>'BH Tariffs'!H19*'P&amp;L - Concept B3 - RCCL'!I12</f>
        <v>662072.38024258439</v>
      </c>
      <c r="J76" s="504">
        <f>'BH Tariffs'!I19*'P&amp;L - Concept B3 - RCCL'!J12</f>
        <v>675313.82784743607</v>
      </c>
      <c r="K76" s="504">
        <f>'BH Tariffs'!J19*'P&amp;L - Concept B3 - RCCL'!K12</f>
        <v>688820.10440438474</v>
      </c>
      <c r="L76" s="504">
        <f>'BH Tariffs'!K19*'P&amp;L - Concept B3 - RCCL'!L12</f>
        <v>702596.50649247249</v>
      </c>
      <c r="M76" s="504">
        <f>'BH Tariffs'!L19*'P&amp;L - Concept B3 - RCCL'!M12</f>
        <v>716648.43662232207</v>
      </c>
      <c r="N76" s="504">
        <f>'BH Tariffs'!M19*'P&amp;L - Concept B3 - RCCL'!N12</f>
        <v>730981.40535476839</v>
      </c>
      <c r="O76" s="504">
        <f>'BH Tariffs'!N19*'P&amp;L - Concept B3 - RCCL'!O12</f>
        <v>745601.03346186387</v>
      </c>
      <c r="P76" s="504">
        <f>'BH Tariffs'!O19*'P&amp;L - Concept B3 - RCCL'!P12</f>
        <v>760513.05413110112</v>
      </c>
      <c r="Q76" s="504">
        <f>'BH Tariffs'!P19*'P&amp;L - Concept B3 - RCCL'!Q12</f>
        <v>775723.31521372311</v>
      </c>
      <c r="R76" s="504">
        <f>'BH Tariffs'!Q19*'P&amp;L - Concept B3 - RCCL'!R12</f>
        <v>791237.7815179975</v>
      </c>
      <c r="S76" s="504">
        <f>'BH Tariffs'!R19*'P&amp;L - Concept B3 - RCCL'!S12</f>
        <v>807062.53714835749</v>
      </c>
      <c r="T76" s="504">
        <f>'BH Tariffs'!S19*'P&amp;L - Concept B3 - RCCL'!T12</f>
        <v>823203.78789132461</v>
      </c>
      <c r="U76" s="504">
        <f>'BH Tariffs'!T19*'P&amp;L - Concept B3 - RCCL'!U12</f>
        <v>839667.86364915129</v>
      </c>
      <c r="V76" s="504">
        <f>'BH Tariffs'!U19*'P&amp;L - Concept B3 - RCCL'!V12</f>
        <v>856461.22092213423</v>
      </c>
      <c r="W76" s="504">
        <f>'BH Tariffs'!V19*'P&amp;L - Concept B3 - RCCL'!W12</f>
        <v>873590.44534057705</v>
      </c>
      <c r="X76" s="504">
        <f>'BH Tariffs'!W19*'P&amp;L - Concept B3 - RCCL'!X12</f>
        <v>891062.25424738857</v>
      </c>
      <c r="Y76" s="413">
        <f>SUM(D76:X76)</f>
        <v>14249895.417151274</v>
      </c>
    </row>
    <row r="77" spans="1:25" s="341" customFormat="1">
      <c r="A77" s="353" t="str">
        <f>'BH Tariffs'!A21</f>
        <v>CBP Infastructure Fee (Ferry Property Only)</v>
      </c>
      <c r="B77" s="355"/>
      <c r="C77" s="355"/>
      <c r="D77" s="548">
        <v>0</v>
      </c>
      <c r="E77" s="503">
        <v>0</v>
      </c>
      <c r="F77" s="503">
        <v>0</v>
      </c>
      <c r="G77" s="503">
        <v>0</v>
      </c>
      <c r="H77" s="503">
        <v>0</v>
      </c>
      <c r="I77" s="503">
        <v>0</v>
      </c>
      <c r="J77" s="503">
        <v>0</v>
      </c>
      <c r="K77" s="503">
        <v>0</v>
      </c>
      <c r="L77" s="503">
        <v>0</v>
      </c>
      <c r="M77" s="503">
        <v>0</v>
      </c>
      <c r="N77" s="503">
        <v>0</v>
      </c>
      <c r="O77" s="503">
        <v>0</v>
      </c>
      <c r="P77" s="503">
        <v>0</v>
      </c>
      <c r="Q77" s="503">
        <v>0</v>
      </c>
      <c r="R77" s="503">
        <v>0</v>
      </c>
      <c r="S77" s="503">
        <v>0</v>
      </c>
      <c r="T77" s="503">
        <v>0</v>
      </c>
      <c r="U77" s="503">
        <v>0</v>
      </c>
      <c r="V77" s="503">
        <v>0</v>
      </c>
      <c r="W77" s="503">
        <v>0</v>
      </c>
      <c r="X77" s="503">
        <v>0</v>
      </c>
      <c r="Y77" s="413"/>
    </row>
    <row r="78" spans="1:25" s="96" customFormat="1">
      <c r="A78" s="90" t="str">
        <f>'BH Tariffs'!A22</f>
        <v>Infrastructure Fee</v>
      </c>
      <c r="B78" s="356"/>
      <c r="C78" s="356"/>
      <c r="D78" s="502">
        <v>0</v>
      </c>
      <c r="E78" s="504">
        <v>0</v>
      </c>
      <c r="F78" s="504">
        <f>'BH Tariffs'!E22*'Cruise Projections'!V97</f>
        <v>522936.74160000001</v>
      </c>
      <c r="G78" s="504">
        <f>'BH Tariffs'!F22*'Cruise Projections'!W97</f>
        <v>533395.47643200005</v>
      </c>
      <c r="H78" s="504">
        <f>'BH Tariffs'!G22*'Cruise Projections'!X97</f>
        <v>544063.38596063992</v>
      </c>
      <c r="I78" s="504">
        <f>'BH Tariffs'!H22*'Cruise Projections'!Y97</f>
        <v>554944.65367985272</v>
      </c>
      <c r="J78" s="504">
        <f>'BH Tariffs'!I22*'Cruise Projections'!Z97</f>
        <v>566043.54675344983</v>
      </c>
      <c r="K78" s="504">
        <f>'BH Tariffs'!J22*'Cruise Projections'!AA97</f>
        <v>577364.41768851888</v>
      </c>
      <c r="L78" s="504">
        <f>'BH Tariffs'!K22*'Cruise Projections'!AB97</f>
        <v>588911.70604228915</v>
      </c>
      <c r="M78" s="504">
        <f>'BH Tariffs'!L22*'Cruise Projections'!AC97</f>
        <v>600689.94016313506</v>
      </c>
      <c r="N78" s="504">
        <f>'BH Tariffs'!M22*'Cruise Projections'!AD97</f>
        <v>612703.73896639771</v>
      </c>
      <c r="O78" s="504">
        <f>'BH Tariffs'!N22*'Cruise Projections'!AE97</f>
        <v>624957.81374572578</v>
      </c>
      <c r="P78" s="504">
        <f>'BH Tariffs'!O22*'Cruise Projections'!AF97</f>
        <v>637456.97002064029</v>
      </c>
      <c r="Q78" s="504">
        <f>'BH Tariffs'!P22*'Cruise Projections'!AG97</f>
        <v>650206.10942105309</v>
      </c>
      <c r="R78" s="504">
        <f>'BH Tariffs'!Q22*'Cruise Projections'!AH97</f>
        <v>663210.23160947405</v>
      </c>
      <c r="S78" s="504">
        <f>'BH Tariffs'!R22*'Cruise Projections'!AI97</f>
        <v>676474.43624166364</v>
      </c>
      <c r="T78" s="504">
        <f>'BH Tariffs'!S22*'Cruise Projections'!AJ97</f>
        <v>690003.924966497</v>
      </c>
      <c r="U78" s="504">
        <f>'BH Tariffs'!T22*'Cruise Projections'!AK97</f>
        <v>703804.00346582686</v>
      </c>
      <c r="V78" s="504">
        <f>'BH Tariffs'!U22*'Cruise Projections'!AL97</f>
        <v>717880.08353514341</v>
      </c>
      <c r="W78" s="504">
        <f>'BH Tariffs'!V22*'Cruise Projections'!AM97</f>
        <v>732237.68520584644</v>
      </c>
      <c r="X78" s="504">
        <f>'BH Tariffs'!W22*'Cruise Projections'!AN97</f>
        <v>746882.43890996324</v>
      </c>
      <c r="Y78" s="413">
        <f t="shared" ref="Y78" si="10">SUM(D78:X78)</f>
        <v>11944167.30440812</v>
      </c>
    </row>
    <row r="79" spans="1:25">
      <c r="A79" s="90"/>
      <c r="B79" s="89"/>
      <c r="C79" s="89"/>
      <c r="D79" s="502"/>
      <c r="E79" s="504"/>
      <c r="F79" s="504"/>
      <c r="G79" s="504"/>
      <c r="H79" s="504"/>
      <c r="I79" s="504"/>
      <c r="J79" s="504"/>
      <c r="K79" s="504"/>
      <c r="L79" s="504"/>
      <c r="M79" s="504"/>
      <c r="N79" s="504"/>
      <c r="O79" s="504"/>
      <c r="P79" s="504"/>
      <c r="Q79" s="504"/>
      <c r="R79" s="504"/>
      <c r="S79" s="504"/>
      <c r="T79" s="504"/>
      <c r="U79" s="504"/>
      <c r="V79" s="504"/>
      <c r="W79" s="504"/>
      <c r="X79" s="504"/>
    </row>
    <row r="80" spans="1:25" s="341" customFormat="1">
      <c r="A80" s="543" t="s">
        <v>163</v>
      </c>
      <c r="B80" s="354"/>
      <c r="C80" s="355"/>
      <c r="D80" s="548"/>
      <c r="E80" s="503"/>
      <c r="F80" s="503"/>
      <c r="G80" s="503"/>
      <c r="H80" s="503"/>
      <c r="I80" s="503"/>
      <c r="J80" s="503"/>
      <c r="K80" s="503"/>
      <c r="L80" s="503"/>
      <c r="M80" s="503"/>
      <c r="N80" s="503"/>
      <c r="O80" s="503"/>
      <c r="P80" s="503"/>
      <c r="Q80" s="503"/>
      <c r="R80" s="503"/>
      <c r="S80" s="503"/>
      <c r="T80" s="503"/>
      <c r="U80" s="503"/>
      <c r="V80" s="503"/>
      <c r="W80" s="503"/>
      <c r="X80" s="503"/>
    </row>
    <row r="81" spans="1:25" s="341" customFormat="1">
      <c r="A81" s="353" t="str">
        <f>'BH Tariffs'!A25</f>
        <v>Dock Rent (12 months)</v>
      </c>
      <c r="B81" s="354"/>
      <c r="C81" s="355"/>
      <c r="D81" s="548">
        <v>0</v>
      </c>
      <c r="E81" s="503">
        <v>0</v>
      </c>
      <c r="F81" s="503">
        <v>0</v>
      </c>
      <c r="G81" s="503">
        <v>0</v>
      </c>
      <c r="H81" s="503">
        <v>0</v>
      </c>
      <c r="I81" s="503">
        <v>0</v>
      </c>
      <c r="J81" s="503">
        <v>0</v>
      </c>
      <c r="K81" s="503">
        <v>0</v>
      </c>
      <c r="L81" s="503">
        <v>0</v>
      </c>
      <c r="M81" s="503">
        <v>0</v>
      </c>
      <c r="N81" s="503">
        <v>0</v>
      </c>
      <c r="O81" s="503">
        <v>0</v>
      </c>
      <c r="P81" s="503">
        <v>0</v>
      </c>
      <c r="Q81" s="503">
        <v>0</v>
      </c>
      <c r="R81" s="503">
        <v>0</v>
      </c>
      <c r="S81" s="503">
        <v>0</v>
      </c>
      <c r="T81" s="503">
        <v>0</v>
      </c>
      <c r="U81" s="503">
        <v>0</v>
      </c>
      <c r="V81" s="503">
        <v>0</v>
      </c>
      <c r="W81" s="503">
        <v>0</v>
      </c>
      <c r="X81" s="503">
        <v>0</v>
      </c>
    </row>
    <row r="82" spans="1:25" s="341" customFormat="1">
      <c r="A82" s="353" t="str">
        <f>'BH Tariffs'!A26</f>
        <v>Ferry Passenger Wharfage</v>
      </c>
      <c r="B82" s="354"/>
      <c r="C82" s="355"/>
      <c r="D82" s="548">
        <v>0</v>
      </c>
      <c r="E82" s="503">
        <v>0</v>
      </c>
      <c r="F82" s="503">
        <v>0</v>
      </c>
      <c r="G82" s="503">
        <v>0</v>
      </c>
      <c r="H82" s="503">
        <v>0</v>
      </c>
      <c r="I82" s="503">
        <v>0</v>
      </c>
      <c r="J82" s="503">
        <v>0</v>
      </c>
      <c r="K82" s="503">
        <v>0</v>
      </c>
      <c r="L82" s="503">
        <v>0</v>
      </c>
      <c r="M82" s="503">
        <v>0</v>
      </c>
      <c r="N82" s="503">
        <v>0</v>
      </c>
      <c r="O82" s="503">
        <v>0</v>
      </c>
      <c r="P82" s="503">
        <v>0</v>
      </c>
      <c r="Q82" s="503">
        <v>0</v>
      </c>
      <c r="R82" s="503">
        <v>0</v>
      </c>
      <c r="S82" s="503">
        <v>0</v>
      </c>
      <c r="T82" s="503">
        <v>0</v>
      </c>
      <c r="U82" s="503">
        <v>0</v>
      </c>
      <c r="V82" s="503">
        <v>0</v>
      </c>
      <c r="W82" s="503">
        <v>0</v>
      </c>
      <c r="X82" s="503">
        <v>0</v>
      </c>
    </row>
    <row r="83" spans="1:25" s="341" customFormat="1">
      <c r="A83" s="353" t="str">
        <f>'BH Tariffs'!A27</f>
        <v>Ferry Passenger Vehicle Wharfage</v>
      </c>
      <c r="B83" s="354"/>
      <c r="C83" s="355"/>
      <c r="D83" s="548">
        <v>0</v>
      </c>
      <c r="E83" s="503">
        <v>0</v>
      </c>
      <c r="F83" s="503">
        <v>0</v>
      </c>
      <c r="G83" s="503">
        <v>0</v>
      </c>
      <c r="H83" s="503">
        <v>0</v>
      </c>
      <c r="I83" s="503">
        <v>0</v>
      </c>
      <c r="J83" s="503">
        <v>0</v>
      </c>
      <c r="K83" s="503">
        <v>0</v>
      </c>
      <c r="L83" s="503">
        <v>0</v>
      </c>
      <c r="M83" s="503">
        <v>0</v>
      </c>
      <c r="N83" s="503">
        <v>0</v>
      </c>
      <c r="O83" s="503">
        <v>0</v>
      </c>
      <c r="P83" s="503">
        <v>0</v>
      </c>
      <c r="Q83" s="503">
        <v>0</v>
      </c>
      <c r="R83" s="503">
        <v>0</v>
      </c>
      <c r="S83" s="503">
        <v>0</v>
      </c>
      <c r="T83" s="503">
        <v>0</v>
      </c>
      <c r="U83" s="503">
        <v>0</v>
      </c>
      <c r="V83" s="503">
        <v>0</v>
      </c>
      <c r="W83" s="503">
        <v>0</v>
      </c>
      <c r="X83" s="503">
        <v>0</v>
      </c>
    </row>
    <row r="84" spans="1:25" s="341" customFormat="1">
      <c r="A84" s="353" t="str">
        <f>'BH Tariffs'!A28</f>
        <v>Ferry Bus Wharfage</v>
      </c>
      <c r="B84" s="354"/>
      <c r="C84" s="355"/>
      <c r="D84" s="548">
        <v>0</v>
      </c>
      <c r="E84" s="503">
        <v>0</v>
      </c>
      <c r="F84" s="503">
        <v>0</v>
      </c>
      <c r="G84" s="503">
        <v>0</v>
      </c>
      <c r="H84" s="503">
        <v>0</v>
      </c>
      <c r="I84" s="503">
        <v>0</v>
      </c>
      <c r="J84" s="503">
        <v>0</v>
      </c>
      <c r="K84" s="503">
        <v>0</v>
      </c>
      <c r="L84" s="503">
        <v>0</v>
      </c>
      <c r="M84" s="503">
        <v>0</v>
      </c>
      <c r="N84" s="503">
        <v>0</v>
      </c>
      <c r="O84" s="503">
        <v>0</v>
      </c>
      <c r="P84" s="503">
        <v>0</v>
      </c>
      <c r="Q84" s="503">
        <v>0</v>
      </c>
      <c r="R84" s="503">
        <v>0</v>
      </c>
      <c r="S84" s="503">
        <v>0</v>
      </c>
      <c r="T84" s="503">
        <v>0</v>
      </c>
      <c r="U84" s="503">
        <v>0</v>
      </c>
      <c r="V84" s="503">
        <v>0</v>
      </c>
      <c r="W84" s="503">
        <v>0</v>
      </c>
      <c r="X84" s="503">
        <v>0</v>
      </c>
    </row>
    <row r="85" spans="1:25">
      <c r="A85" s="88"/>
      <c r="B85" s="30"/>
      <c r="C85" s="89"/>
      <c r="D85" s="502"/>
      <c r="E85" s="504"/>
      <c r="F85" s="504"/>
      <c r="G85" s="504"/>
      <c r="H85" s="504"/>
      <c r="I85" s="504"/>
      <c r="J85" s="504"/>
      <c r="K85" s="504"/>
      <c r="L85" s="504"/>
      <c r="M85" s="504"/>
      <c r="N85" s="504"/>
      <c r="O85" s="504"/>
      <c r="P85" s="504"/>
      <c r="Q85" s="504"/>
      <c r="R85" s="504"/>
      <c r="S85" s="504"/>
      <c r="T85" s="504"/>
      <c r="U85" s="504"/>
      <c r="V85" s="504"/>
      <c r="W85" s="504"/>
      <c r="X85" s="504"/>
    </row>
    <row r="86" spans="1:25" s="96" customFormat="1">
      <c r="A86" s="605" t="s">
        <v>164</v>
      </c>
      <c r="B86" s="606"/>
      <c r="C86" s="356"/>
      <c r="D86" s="502"/>
      <c r="E86" s="504"/>
      <c r="F86" s="504"/>
      <c r="G86" s="504"/>
      <c r="H86" s="504"/>
      <c r="I86" s="504"/>
      <c r="J86" s="504"/>
      <c r="K86" s="504"/>
      <c r="L86" s="504"/>
      <c r="M86" s="504"/>
      <c r="N86" s="504"/>
      <c r="O86" s="504"/>
      <c r="P86" s="504"/>
      <c r="Q86" s="504"/>
      <c r="R86" s="504"/>
      <c r="S86" s="504"/>
      <c r="T86" s="504"/>
      <c r="U86" s="504"/>
      <c r="V86" s="504"/>
      <c r="W86" s="504"/>
      <c r="X86" s="504"/>
    </row>
    <row r="87" spans="1:25" s="96" customFormat="1">
      <c r="A87" s="90" t="str">
        <f>'BH Tariffs'!A31</f>
        <v>Dock Rent (6 Months Only)</v>
      </c>
      <c r="B87" s="606"/>
      <c r="C87" s="356"/>
      <c r="D87" s="502">
        <v>0</v>
      </c>
      <c r="E87" s="504">
        <v>0</v>
      </c>
      <c r="F87" s="504">
        <f>'BH Tariffs'!E31*6</f>
        <v>12240</v>
      </c>
      <c r="G87" s="504">
        <f>'BH Tariffs'!F31*6</f>
        <v>12484.800000000001</v>
      </c>
      <c r="H87" s="504">
        <f>'BH Tariffs'!G31*6</f>
        <v>12734.495999999999</v>
      </c>
      <c r="I87" s="504">
        <f>'BH Tariffs'!H31*6</f>
        <v>12989.18592</v>
      </c>
      <c r="J87" s="504">
        <f>'BH Tariffs'!I31*6</f>
        <v>13248.9696384</v>
      </c>
      <c r="K87" s="504">
        <f>'BH Tariffs'!J31*6</f>
        <v>13513.949031168002</v>
      </c>
      <c r="L87" s="504">
        <f>'BH Tariffs'!K31*6</f>
        <v>13784.228011791361</v>
      </c>
      <c r="M87" s="504">
        <f>'BH Tariffs'!L31*6</f>
        <v>14059.912572027188</v>
      </c>
      <c r="N87" s="504">
        <f>'BH Tariffs'!M31*6</f>
        <v>14341.110823467734</v>
      </c>
      <c r="O87" s="504">
        <f>'BH Tariffs'!N31*6</f>
        <v>14627.933039937088</v>
      </c>
      <c r="P87" s="504">
        <f>'BH Tariffs'!O31*6</f>
        <v>14920.491700735829</v>
      </c>
      <c r="Q87" s="504">
        <f>'BH Tariffs'!P31*6</f>
        <v>15218.901534750545</v>
      </c>
      <c r="R87" s="504">
        <f>'BH Tariffs'!Q31*6</f>
        <v>15523.279565445555</v>
      </c>
      <c r="S87" s="504">
        <f>'BH Tariffs'!R31*6</f>
        <v>15833.745156754467</v>
      </c>
      <c r="T87" s="504">
        <f>'BH Tariffs'!S31*6</f>
        <v>16150.420059889559</v>
      </c>
      <c r="U87" s="504">
        <f>'BH Tariffs'!T31*6</f>
        <v>16473.428461087351</v>
      </c>
      <c r="V87" s="504">
        <f>'BH Tariffs'!U31*6</f>
        <v>16802.897030309097</v>
      </c>
      <c r="W87" s="504">
        <f>'BH Tariffs'!V31*6</f>
        <v>17138.954970915282</v>
      </c>
      <c r="X87" s="504">
        <f>'BH Tariffs'!W31*6</f>
        <v>17481.734070333587</v>
      </c>
    </row>
    <row r="88" spans="1:25" s="96" customFormat="1">
      <c r="A88" s="90"/>
      <c r="B88" s="606"/>
      <c r="C88" s="356"/>
      <c r="D88" s="502"/>
      <c r="E88" s="504"/>
      <c r="F88" s="504"/>
      <c r="G88" s="504"/>
      <c r="H88" s="504"/>
      <c r="I88" s="504"/>
      <c r="J88" s="504"/>
      <c r="K88" s="504"/>
      <c r="L88" s="504"/>
      <c r="M88" s="504"/>
      <c r="N88" s="504"/>
      <c r="O88" s="504"/>
      <c r="P88" s="504"/>
      <c r="Q88" s="504"/>
      <c r="R88" s="504"/>
      <c r="S88" s="504"/>
      <c r="T88" s="504"/>
      <c r="U88" s="504"/>
      <c r="V88" s="504"/>
      <c r="W88" s="504"/>
      <c r="X88" s="504"/>
    </row>
    <row r="89" spans="1:25" s="582" customFormat="1" ht="14.25">
      <c r="A89" s="605" t="str">
        <f>'BH Tariffs'!A33</f>
        <v>Recreational/Commercial Marina</v>
      </c>
      <c r="B89" s="607"/>
      <c r="C89" s="608"/>
      <c r="D89" s="537"/>
      <c r="E89" s="538"/>
      <c r="F89" s="538"/>
      <c r="G89" s="538"/>
      <c r="H89" s="538"/>
      <c r="I89" s="538"/>
      <c r="J89" s="538"/>
      <c r="K89" s="538"/>
      <c r="L89" s="538"/>
      <c r="M89" s="538"/>
      <c r="N89" s="538"/>
      <c r="O89" s="538"/>
      <c r="P89" s="538"/>
      <c r="Q89" s="538"/>
      <c r="R89" s="538"/>
      <c r="S89" s="538"/>
      <c r="T89" s="538"/>
      <c r="U89" s="538"/>
      <c r="V89" s="538"/>
      <c r="W89" s="538"/>
      <c r="X89" s="538"/>
    </row>
    <row r="90" spans="1:25" s="96" customFormat="1">
      <c r="A90" s="90" t="str">
        <f>'BH Tariffs'!A34</f>
        <v>Transient Slip Rent</v>
      </c>
      <c r="B90" s="606"/>
      <c r="C90" s="356"/>
      <c r="D90" s="502">
        <v>0</v>
      </c>
      <c r="E90" s="504">
        <v>0</v>
      </c>
      <c r="F90" s="504">
        <f>'BH Tariffs'!E34*'P&amp;L - Concept B3 - RCCL'!F57</f>
        <v>100191.03159375001</v>
      </c>
      <c r="G90" s="504">
        <f>'BH Tariffs'!F34*'P&amp;L - Concept B3 - RCCL'!G57</f>
        <v>102194.85222562501</v>
      </c>
      <c r="H90" s="504">
        <f>'BH Tariffs'!G34*'P&amp;L - Concept B3 - RCCL'!H57</f>
        <v>104238.7492701375</v>
      </c>
      <c r="I90" s="504">
        <f>'BH Tariffs'!H34*'P&amp;L - Concept B3 - RCCL'!I57</f>
        <v>106323.52425554027</v>
      </c>
      <c r="J90" s="504">
        <f>'BH Tariffs'!I34*'P&amp;L - Concept B3 - RCCL'!J57</f>
        <v>108449.99474065108</v>
      </c>
      <c r="K90" s="504">
        <f>'BH Tariffs'!J34*'P&amp;L - Concept B3 - RCCL'!K57</f>
        <v>110618.9946354641</v>
      </c>
      <c r="L90" s="504">
        <f>'BH Tariffs'!K34*'P&amp;L - Concept B3 - RCCL'!L57</f>
        <v>112831.37452817339</v>
      </c>
      <c r="M90" s="504">
        <f>'BH Tariffs'!L34*'P&amp;L - Concept B3 - RCCL'!M57</f>
        <v>115088.00201873686</v>
      </c>
      <c r="N90" s="504">
        <f>'BH Tariffs'!M34*'P&amp;L - Concept B3 - RCCL'!N57</f>
        <v>117389.76205911158</v>
      </c>
      <c r="O90" s="504">
        <f>'BH Tariffs'!N34*'P&amp;L - Concept B3 - RCCL'!O57</f>
        <v>119737.55730029383</v>
      </c>
      <c r="P90" s="504">
        <f>'BH Tariffs'!O34*'P&amp;L - Concept B3 - RCCL'!P57</f>
        <v>122132.30844629971</v>
      </c>
      <c r="Q90" s="504">
        <f>'BH Tariffs'!P34*'P&amp;L - Concept B3 - RCCL'!Q57</f>
        <v>124574.9546152257</v>
      </c>
      <c r="R90" s="504">
        <f>'BH Tariffs'!Q34*'P&amp;L - Concept B3 - RCCL'!R57</f>
        <v>127066.45370753021</v>
      </c>
      <c r="S90" s="504">
        <f>'BH Tariffs'!R34*'P&amp;L - Concept B3 - RCCL'!S57</f>
        <v>129607.78278168083</v>
      </c>
      <c r="T90" s="504">
        <f>'BH Tariffs'!S34*'P&amp;L - Concept B3 - RCCL'!T57</f>
        <v>132199.93843731444</v>
      </c>
      <c r="U90" s="504">
        <f>'BH Tariffs'!T34*'P&amp;L - Concept B3 - RCCL'!U57</f>
        <v>134843.93720606071</v>
      </c>
      <c r="V90" s="504">
        <f>'BH Tariffs'!U34*'P&amp;L - Concept B3 - RCCL'!V57</f>
        <v>137540.81595018198</v>
      </c>
      <c r="W90" s="504">
        <f>'BH Tariffs'!V34*'P&amp;L - Concept B3 - RCCL'!W57</f>
        <v>140291.63226918562</v>
      </c>
      <c r="X90" s="504">
        <f>'BH Tariffs'!W34*'P&amp;L - Concept B3 - RCCL'!X57</f>
        <v>143097.46491456931</v>
      </c>
    </row>
    <row r="91" spans="1:25" s="96" customFormat="1">
      <c r="A91" s="90" t="s">
        <v>280</v>
      </c>
      <c r="B91" s="606"/>
      <c r="C91" s="356"/>
      <c r="D91" s="502">
        <v>0</v>
      </c>
      <c r="E91" s="504">
        <v>0</v>
      </c>
      <c r="F91" s="504">
        <f>'BH Tariffs'!E35*'P&amp;L - Concept B3 - RCCL'!F58</f>
        <v>158111.73000000004</v>
      </c>
      <c r="G91" s="504">
        <f>'BH Tariffs'!F35*'P&amp;L - Concept B3 - RCCL'!G58</f>
        <v>161273.96460000004</v>
      </c>
      <c r="H91" s="504">
        <f>'BH Tariffs'!G35*'P&amp;L - Concept B3 - RCCL'!H58</f>
        <v>164499.44389200001</v>
      </c>
      <c r="I91" s="504">
        <f>'BH Tariffs'!H35*'P&amp;L - Concept B3 - RCCL'!I58</f>
        <v>167789.43276984003</v>
      </c>
      <c r="J91" s="504">
        <f>'BH Tariffs'!I35*'P&amp;L - Concept B3 - RCCL'!J58</f>
        <v>171145.22142523681</v>
      </c>
      <c r="K91" s="504">
        <f>'BH Tariffs'!J35*'P&amp;L - Concept B3 - RCCL'!K58</f>
        <v>174568.12585374157</v>
      </c>
      <c r="L91" s="504">
        <f>'BH Tariffs'!K35*'P&amp;L - Concept B3 - RCCL'!L58</f>
        <v>178059.4883708164</v>
      </c>
      <c r="M91" s="504">
        <f>'BH Tariffs'!L35*'P&amp;L - Concept B3 - RCCL'!M58</f>
        <v>181620.67813823273</v>
      </c>
      <c r="N91" s="504">
        <f>'BH Tariffs'!M35*'P&amp;L - Concept B3 - RCCL'!N58</f>
        <v>185253.09170099738</v>
      </c>
      <c r="O91" s="504">
        <f>'BH Tariffs'!N35*'P&amp;L - Concept B3 - RCCL'!O58</f>
        <v>188958.15353501734</v>
      </c>
      <c r="P91" s="504">
        <f>'BH Tariffs'!O35*'P&amp;L - Concept B3 - RCCL'!P58</f>
        <v>192737.3166057177</v>
      </c>
      <c r="Q91" s="504">
        <f>'BH Tariffs'!P35*'P&amp;L - Concept B3 - RCCL'!Q58</f>
        <v>196592.06293783203</v>
      </c>
      <c r="R91" s="504">
        <f>'BH Tariffs'!Q35*'P&amp;L - Concept B3 - RCCL'!R58</f>
        <v>200523.90419658867</v>
      </c>
      <c r="S91" s="504">
        <f>'BH Tariffs'!R35*'P&amp;L - Concept B3 - RCCL'!S58</f>
        <v>204534.38228052045</v>
      </c>
      <c r="T91" s="504">
        <f>'BH Tariffs'!S35*'P&amp;L - Concept B3 - RCCL'!T58</f>
        <v>208625.06992613088</v>
      </c>
      <c r="U91" s="504">
        <f>'BH Tariffs'!T35*'P&amp;L - Concept B3 - RCCL'!U58</f>
        <v>212797.57132465352</v>
      </c>
      <c r="V91" s="504">
        <f>'BH Tariffs'!U35*'P&amp;L - Concept B3 - RCCL'!V58</f>
        <v>217053.52275114658</v>
      </c>
      <c r="W91" s="504">
        <f>'BH Tariffs'!V35*'P&amp;L - Concept B3 - RCCL'!W58</f>
        <v>221394.59320616955</v>
      </c>
      <c r="X91" s="504">
        <f>'BH Tariffs'!W35*'P&amp;L - Concept B3 - RCCL'!X58</f>
        <v>225822.48507029293</v>
      </c>
    </row>
    <row r="92" spans="1:25" s="167" customFormat="1">
      <c r="A92" s="539" t="str">
        <f>'BH Tariffs'!A36</f>
        <v>Water/Sewer</v>
      </c>
      <c r="B92" s="609"/>
      <c r="C92" s="540"/>
      <c r="D92" s="541">
        <v>0</v>
      </c>
      <c r="E92" s="542">
        <v>0</v>
      </c>
      <c r="F92" s="542">
        <v>0</v>
      </c>
      <c r="G92" s="542">
        <v>0</v>
      </c>
      <c r="H92" s="542">
        <v>0</v>
      </c>
      <c r="I92" s="542">
        <v>0</v>
      </c>
      <c r="J92" s="542">
        <v>0</v>
      </c>
      <c r="K92" s="542">
        <v>0</v>
      </c>
      <c r="L92" s="542">
        <v>0</v>
      </c>
      <c r="M92" s="542">
        <v>0</v>
      </c>
      <c r="N92" s="542">
        <v>0</v>
      </c>
      <c r="O92" s="542">
        <v>0</v>
      </c>
      <c r="P92" s="542">
        <v>0</v>
      </c>
      <c r="Q92" s="542">
        <v>0</v>
      </c>
      <c r="R92" s="542">
        <v>0</v>
      </c>
      <c r="S92" s="542">
        <v>0</v>
      </c>
      <c r="T92" s="542">
        <v>0</v>
      </c>
      <c r="U92" s="542">
        <v>0</v>
      </c>
      <c r="V92" s="542">
        <v>0</v>
      </c>
      <c r="W92" s="542">
        <v>0</v>
      </c>
      <c r="X92" s="542">
        <v>0</v>
      </c>
      <c r="Y92" s="167" t="s">
        <v>282</v>
      </c>
    </row>
    <row r="93" spans="1:25" s="167" customFormat="1">
      <c r="A93" s="539" t="str">
        <f>'BH Tariffs'!A37</f>
        <v xml:space="preserve">Power (Electricity) </v>
      </c>
      <c r="B93" s="609"/>
      <c r="C93" s="540"/>
      <c r="D93" s="541">
        <v>0</v>
      </c>
      <c r="E93" s="542">
        <v>0</v>
      </c>
      <c r="F93" s="542">
        <v>0</v>
      </c>
      <c r="G93" s="542">
        <v>0</v>
      </c>
      <c r="H93" s="542">
        <v>0</v>
      </c>
      <c r="I93" s="542">
        <v>0</v>
      </c>
      <c r="J93" s="542">
        <v>0</v>
      </c>
      <c r="K93" s="542">
        <v>0</v>
      </c>
      <c r="L93" s="542">
        <v>0</v>
      </c>
      <c r="M93" s="542">
        <v>0</v>
      </c>
      <c r="N93" s="542">
        <v>0</v>
      </c>
      <c r="O93" s="542">
        <v>0</v>
      </c>
      <c r="P93" s="542">
        <v>0</v>
      </c>
      <c r="Q93" s="542">
        <v>0</v>
      </c>
      <c r="R93" s="542">
        <v>0</v>
      </c>
      <c r="S93" s="542">
        <v>0</v>
      </c>
      <c r="T93" s="542">
        <v>0</v>
      </c>
      <c r="U93" s="542">
        <v>0</v>
      </c>
      <c r="V93" s="542">
        <v>0</v>
      </c>
      <c r="W93" s="542">
        <v>0</v>
      </c>
      <c r="X93" s="542">
        <v>0</v>
      </c>
      <c r="Y93" s="167" t="s">
        <v>282</v>
      </c>
    </row>
    <row r="94" spans="1:25" s="96" customFormat="1">
      <c r="A94" s="90" t="s">
        <v>526</v>
      </c>
      <c r="B94" s="606"/>
      <c r="C94" s="356"/>
      <c r="D94" s="502">
        <v>0</v>
      </c>
      <c r="E94" s="504">
        <v>0</v>
      </c>
      <c r="F94" s="504">
        <f>'BH Tariffs'!E38*'P&amp;L - Concept B3 - RCCL'!F56</f>
        <v>26250</v>
      </c>
      <c r="G94" s="504">
        <f>'BH Tariffs'!F38*'P&amp;L - Concept B3 - RCCL'!G56</f>
        <v>26775</v>
      </c>
      <c r="H94" s="504">
        <f>'BH Tariffs'!G38*'P&amp;L - Concept B3 - RCCL'!H56</f>
        <v>27310.5</v>
      </c>
      <c r="I94" s="504">
        <f>'BH Tariffs'!H38*'P&amp;L - Concept B3 - RCCL'!I56</f>
        <v>27856.71</v>
      </c>
      <c r="J94" s="504">
        <f>'BH Tariffs'!I38*'P&amp;L - Concept B3 - RCCL'!J56</f>
        <v>28413.8442</v>
      </c>
      <c r="K94" s="504">
        <f>'BH Tariffs'!J38*'P&amp;L - Concept B3 - RCCL'!K56</f>
        <v>28982.121084000002</v>
      </c>
      <c r="L94" s="504">
        <f>'BH Tariffs'!K38*'P&amp;L - Concept B3 - RCCL'!L56</f>
        <v>29561.763505679999</v>
      </c>
      <c r="M94" s="504">
        <f>'BH Tariffs'!L38*'P&amp;L - Concept B3 - RCCL'!M56</f>
        <v>30152.9987757936</v>
      </c>
      <c r="N94" s="504">
        <f>'BH Tariffs'!M38*'P&amp;L - Concept B3 - RCCL'!N56</f>
        <v>30756.058751309476</v>
      </c>
      <c r="O94" s="504">
        <f>'BH Tariffs'!N38*'P&amp;L - Concept B3 - RCCL'!O56</f>
        <v>31371.179926335666</v>
      </c>
      <c r="P94" s="504">
        <f>'BH Tariffs'!O38*'P&amp;L - Concept B3 - RCCL'!P56</f>
        <v>31998.603524862378</v>
      </c>
      <c r="Q94" s="504">
        <f>'BH Tariffs'!P38*'P&amp;L - Concept B3 - RCCL'!Q56</f>
        <v>32638.575595359627</v>
      </c>
      <c r="R94" s="504">
        <f>'BH Tariffs'!Q38*'P&amp;L - Concept B3 - RCCL'!R56</f>
        <v>33291.347107266818</v>
      </c>
      <c r="S94" s="504">
        <f>'BH Tariffs'!R38*'P&amp;L - Concept B3 - RCCL'!S56</f>
        <v>33957.174049412148</v>
      </c>
      <c r="T94" s="504">
        <f>'BH Tariffs'!S38*'P&amp;L - Concept B3 - RCCL'!T56</f>
        <v>34636.317530400396</v>
      </c>
      <c r="U94" s="504">
        <f>'BH Tariffs'!T38*'P&amp;L - Concept B3 - RCCL'!U56</f>
        <v>35329.043881008409</v>
      </c>
      <c r="V94" s="504">
        <f>'BH Tariffs'!U38*'P&amp;L - Concept B3 - RCCL'!V56</f>
        <v>36035.624758628575</v>
      </c>
      <c r="W94" s="504">
        <f>'BH Tariffs'!V38*'P&amp;L - Concept B3 - RCCL'!W56</f>
        <v>36756.337253801154</v>
      </c>
      <c r="X94" s="504">
        <f>'BH Tariffs'!W38*'P&amp;L - Concept B3 - RCCL'!X56</f>
        <v>37491.463998877174</v>
      </c>
    </row>
    <row r="95" spans="1:25">
      <c r="A95" s="88"/>
      <c r="B95" s="30"/>
      <c r="C95" s="89"/>
      <c r="D95" s="502"/>
      <c r="E95" s="504"/>
      <c r="F95" s="504"/>
      <c r="G95" s="504"/>
      <c r="H95" s="504"/>
      <c r="I95" s="504"/>
      <c r="J95" s="504"/>
      <c r="K95" s="504"/>
      <c r="L95" s="504"/>
      <c r="M95" s="504"/>
      <c r="N95" s="504"/>
      <c r="O95" s="504"/>
      <c r="P95" s="504"/>
      <c r="Q95" s="504"/>
      <c r="R95" s="504"/>
      <c r="S95" s="504"/>
      <c r="T95" s="504"/>
      <c r="U95" s="504"/>
      <c r="V95" s="504"/>
      <c r="W95" s="504"/>
      <c r="X95" s="504"/>
    </row>
    <row r="96" spans="1:25">
      <c r="A96" s="91" t="s">
        <v>26</v>
      </c>
      <c r="B96" s="30"/>
      <c r="C96" s="89"/>
      <c r="D96" s="502"/>
      <c r="E96" s="504"/>
      <c r="F96" s="504"/>
      <c r="G96" s="504"/>
      <c r="H96" s="504"/>
      <c r="I96" s="504"/>
      <c r="J96" s="504"/>
      <c r="K96" s="504"/>
      <c r="L96" s="504"/>
      <c r="M96" s="504"/>
      <c r="N96" s="504"/>
      <c r="O96" s="504"/>
      <c r="P96" s="504"/>
      <c r="Q96" s="504"/>
      <c r="R96" s="504"/>
      <c r="S96" s="504"/>
      <c r="T96" s="504"/>
      <c r="U96" s="504"/>
      <c r="V96" s="504"/>
      <c r="W96" s="504"/>
      <c r="X96" s="504"/>
    </row>
    <row r="97" spans="1:24" s="341" customFormat="1">
      <c r="A97" s="353" t="s">
        <v>214</v>
      </c>
      <c r="B97" s="354"/>
      <c r="C97" s="355"/>
      <c r="D97" s="548">
        <v>0</v>
      </c>
      <c r="E97" s="503">
        <v>0</v>
      </c>
      <c r="F97" s="503">
        <v>0</v>
      </c>
      <c r="G97" s="503">
        <v>0</v>
      </c>
      <c r="H97" s="503">
        <v>0</v>
      </c>
      <c r="I97" s="503">
        <v>0</v>
      </c>
      <c r="J97" s="503">
        <v>0</v>
      </c>
      <c r="K97" s="503">
        <v>0</v>
      </c>
      <c r="L97" s="503">
        <v>0</v>
      </c>
      <c r="M97" s="503">
        <v>0</v>
      </c>
      <c r="N97" s="503">
        <v>0</v>
      </c>
      <c r="O97" s="503">
        <v>0</v>
      </c>
      <c r="P97" s="503">
        <v>0</v>
      </c>
      <c r="Q97" s="503">
        <v>0</v>
      </c>
      <c r="R97" s="503">
        <v>0</v>
      </c>
      <c r="S97" s="503">
        <v>0</v>
      </c>
      <c r="T97" s="503">
        <v>0</v>
      </c>
      <c r="U97" s="503">
        <v>0</v>
      </c>
      <c r="V97" s="503">
        <v>0</v>
      </c>
      <c r="W97" s="503">
        <v>0</v>
      </c>
      <c r="X97" s="503">
        <v>0</v>
      </c>
    </row>
    <row r="98" spans="1:24">
      <c r="A98" s="88" t="s">
        <v>215</v>
      </c>
      <c r="B98" s="30"/>
      <c r="C98" s="89"/>
      <c r="D98" s="502">
        <v>0</v>
      </c>
      <c r="E98" s="504">
        <f>'BH Tariffs'!D43*'P&amp;L - Concept B3 - RCCL'!E44</f>
        <v>0</v>
      </c>
      <c r="F98" s="504">
        <f>'BH Tariffs'!E43*'P&amp;L - Concept B3 - RCCL'!F44</f>
        <v>0</v>
      </c>
      <c r="G98" s="504">
        <f>'BH Tariffs'!F43*'P&amp;L - Concept B3 - RCCL'!G44</f>
        <v>0</v>
      </c>
      <c r="H98" s="504">
        <f>'BH Tariffs'!G43*'P&amp;L - Concept B3 - RCCL'!H44</f>
        <v>0</v>
      </c>
      <c r="I98" s="504">
        <f>'BH Tariffs'!H43*'P&amp;L - Concept B3 - RCCL'!I44</f>
        <v>0</v>
      </c>
      <c r="J98" s="504">
        <f>'BH Tariffs'!I43*'P&amp;L - Concept B3 - RCCL'!J44</f>
        <v>243254.24999999994</v>
      </c>
      <c r="K98" s="504">
        <f>'BH Tariffs'!J43*'P&amp;L - Concept B3 - RCCL'!K44</f>
        <v>243254.24999999994</v>
      </c>
      <c r="L98" s="504">
        <f>'BH Tariffs'!K43*'P&amp;L - Concept B3 - RCCL'!L44</f>
        <v>243254.24999999994</v>
      </c>
      <c r="M98" s="504">
        <f>'BH Tariffs'!L43*'P&amp;L - Concept B3 - RCCL'!M44</f>
        <v>243254.24999999994</v>
      </c>
      <c r="N98" s="504">
        <f>'BH Tariffs'!M43*'P&amp;L - Concept B3 - RCCL'!N44</f>
        <v>243254.24999999994</v>
      </c>
      <c r="O98" s="504">
        <f>'BH Tariffs'!N43*'P&amp;L - Concept B3 - RCCL'!O44</f>
        <v>304067.81249999994</v>
      </c>
      <c r="P98" s="504">
        <f>'BH Tariffs'!O43*'P&amp;L - Concept B3 - RCCL'!P44</f>
        <v>304067.81249999994</v>
      </c>
      <c r="Q98" s="504">
        <f>'BH Tariffs'!P43*'P&amp;L - Concept B3 - RCCL'!Q44</f>
        <v>304067.81249999994</v>
      </c>
      <c r="R98" s="504">
        <f>'BH Tariffs'!Q43*'P&amp;L - Concept B3 - RCCL'!R44</f>
        <v>304067.81249999994</v>
      </c>
      <c r="S98" s="504">
        <f>'BH Tariffs'!R43*'P&amp;L - Concept B3 - RCCL'!S44</f>
        <v>304067.81249999994</v>
      </c>
      <c r="T98" s="504">
        <f>'BH Tariffs'!S43*'P&amp;L - Concept B3 - RCCL'!T44</f>
        <v>364881.37499999988</v>
      </c>
      <c r="U98" s="504">
        <f>'BH Tariffs'!T43*'P&amp;L - Concept B3 - RCCL'!U44</f>
        <v>364881.37499999988</v>
      </c>
      <c r="V98" s="504">
        <f>'BH Tariffs'!U43*'P&amp;L - Concept B3 - RCCL'!V44</f>
        <v>364881.37499999988</v>
      </c>
      <c r="W98" s="504">
        <f>'BH Tariffs'!V43*'P&amp;L - Concept B3 - RCCL'!W44</f>
        <v>364881.37499999988</v>
      </c>
      <c r="X98" s="504">
        <f>'BH Tariffs'!W43*'P&amp;L - Concept B3 - RCCL'!X44</f>
        <v>364881.37499999988</v>
      </c>
    </row>
    <row r="99" spans="1:24">
      <c r="A99" s="91"/>
      <c r="B99" s="30"/>
      <c r="C99" s="89"/>
      <c r="D99" s="502"/>
      <c r="E99" s="504"/>
      <c r="F99" s="504"/>
      <c r="G99" s="504"/>
      <c r="H99" s="504"/>
      <c r="I99" s="504"/>
      <c r="J99" s="504"/>
      <c r="K99" s="504"/>
      <c r="L99" s="504"/>
      <c r="M99" s="504"/>
      <c r="N99" s="504"/>
      <c r="O99" s="504"/>
      <c r="P99" s="504"/>
      <c r="Q99" s="504"/>
      <c r="R99" s="504"/>
      <c r="S99" s="504"/>
      <c r="T99" s="504"/>
      <c r="U99" s="504"/>
      <c r="V99" s="504"/>
      <c r="W99" s="504"/>
      <c r="X99" s="504"/>
    </row>
    <row r="100" spans="1:24">
      <c r="A100" s="91" t="s">
        <v>2</v>
      </c>
      <c r="B100" s="30"/>
      <c r="C100" s="89"/>
      <c r="D100" s="502"/>
      <c r="E100" s="504"/>
      <c r="F100" s="504"/>
      <c r="G100" s="504"/>
      <c r="H100" s="504"/>
      <c r="I100" s="504"/>
      <c r="J100" s="504"/>
      <c r="K100" s="504"/>
      <c r="L100" s="504"/>
      <c r="M100" s="504"/>
      <c r="N100" s="504"/>
      <c r="O100" s="504"/>
      <c r="P100" s="504"/>
      <c r="Q100" s="504"/>
      <c r="R100" s="504"/>
      <c r="S100" s="504"/>
      <c r="T100" s="504"/>
      <c r="U100" s="504"/>
      <c r="V100" s="504"/>
      <c r="W100" s="504"/>
      <c r="X100" s="504"/>
    </row>
    <row r="101" spans="1:24">
      <c r="A101" s="88" t="str">
        <f>'BH Tariffs'!A44</f>
        <v>Commerical Rent (Seasonal Kiosk(s)/Vendor(s))</v>
      </c>
      <c r="B101" s="30"/>
      <c r="C101" s="89"/>
      <c r="D101" s="502">
        <v>0</v>
      </c>
      <c r="E101" s="504">
        <f>'BH Tariffs'!D44*'P&amp;L - Concept B3 - RCCL'!E63</f>
        <v>0</v>
      </c>
      <c r="F101" s="504">
        <f>'BH Tariffs'!E44*'P&amp;L - Concept B3 - RCCL'!F63</f>
        <v>0</v>
      </c>
      <c r="G101" s="504">
        <f>'BH Tariffs'!F44*'P&amp;L - Concept B3 - RCCL'!G63*6</f>
        <v>6242.4000000000005</v>
      </c>
      <c r="H101" s="504">
        <f>'BH Tariffs'!G44*'P&amp;L - Concept B3 - RCCL'!H63*6</f>
        <v>6367.2479999999996</v>
      </c>
      <c r="I101" s="504">
        <f>'BH Tariffs'!H44*'P&amp;L - Concept B3 - RCCL'!I63*6</f>
        <v>6494.5929599999999</v>
      </c>
      <c r="J101" s="504">
        <f>'BH Tariffs'!I44*'P&amp;L - Concept B3 - RCCL'!J63*6</f>
        <v>6624.4848191999999</v>
      </c>
      <c r="K101" s="504">
        <f>'BH Tariffs'!J44*'P&amp;L - Concept B3 - RCCL'!K63*6</f>
        <v>6756.974515584001</v>
      </c>
      <c r="L101" s="504">
        <f>'BH Tariffs'!K44*'P&amp;L - Concept B3 - RCCL'!L63*6</f>
        <v>6892.1140058956807</v>
      </c>
      <c r="M101" s="504">
        <f>'BH Tariffs'!L44*'P&amp;L - Concept B3 - RCCL'!M63*6</f>
        <v>7029.9562860135939</v>
      </c>
      <c r="N101" s="504">
        <f>'BH Tariffs'!M44*'P&amp;L - Concept B3 - RCCL'!N63*6</f>
        <v>7170.555411733867</v>
      </c>
      <c r="O101" s="504">
        <f>'BH Tariffs'!N44*'P&amp;L - Concept B3 - RCCL'!O63*6</f>
        <v>7313.9665199685442</v>
      </c>
      <c r="P101" s="504">
        <f>'BH Tariffs'!O44*'P&amp;L - Concept B3 - RCCL'!P63*6</f>
        <v>7460.2458503679145</v>
      </c>
      <c r="Q101" s="504">
        <f>'BH Tariffs'!P44*'P&amp;L - Concept B3 - RCCL'!Q63*6</f>
        <v>7609.4507673752723</v>
      </c>
      <c r="R101" s="504">
        <f>'BH Tariffs'!Q44*'P&amp;L - Concept B3 - RCCL'!R63*6</f>
        <v>7761.6397827227775</v>
      </c>
      <c r="S101" s="504">
        <f>'BH Tariffs'!R44*'P&amp;L - Concept B3 - RCCL'!S63*6</f>
        <v>7916.8725783772334</v>
      </c>
      <c r="T101" s="504">
        <f>'BH Tariffs'!S44*'P&amp;L - Concept B3 - RCCL'!T63*6</f>
        <v>8075.2100299447793</v>
      </c>
      <c r="U101" s="504">
        <f>'BH Tariffs'!T44*'P&amp;L - Concept B3 - RCCL'!U63*6</f>
        <v>8236.7142305436755</v>
      </c>
      <c r="V101" s="504">
        <f>'BH Tariffs'!U44*'P&amp;L - Concept B3 - RCCL'!V63*6</f>
        <v>8401.4485151545487</v>
      </c>
      <c r="W101" s="504">
        <f>'BH Tariffs'!V44*'P&amp;L - Concept B3 - RCCL'!W63*6</f>
        <v>8569.4774854576408</v>
      </c>
      <c r="X101" s="504">
        <f>'BH Tariffs'!W44*'P&amp;L - Concept B3 - RCCL'!X63*6</f>
        <v>8740.8670351667934</v>
      </c>
    </row>
    <row r="102" spans="1:24" s="96" customFormat="1">
      <c r="A102" s="90" t="s">
        <v>541</v>
      </c>
      <c r="B102" s="606"/>
      <c r="C102" s="356"/>
      <c r="D102" s="502">
        <v>0</v>
      </c>
      <c r="E102" s="504">
        <v>0</v>
      </c>
      <c r="F102" s="504">
        <v>0</v>
      </c>
      <c r="G102" s="504">
        <f>G64*0.05</f>
        <v>10000</v>
      </c>
      <c r="H102" s="504">
        <f t="shared" ref="H102:X102" si="11">H64*0.05</f>
        <v>10000</v>
      </c>
      <c r="I102" s="504">
        <f t="shared" si="11"/>
        <v>10000</v>
      </c>
      <c r="J102" s="504">
        <f t="shared" si="11"/>
        <v>10000</v>
      </c>
      <c r="K102" s="504">
        <f t="shared" si="11"/>
        <v>10000</v>
      </c>
      <c r="L102" s="504">
        <f t="shared" si="11"/>
        <v>10000</v>
      </c>
      <c r="M102" s="504">
        <f t="shared" si="11"/>
        <v>10000</v>
      </c>
      <c r="N102" s="504">
        <f t="shared" si="11"/>
        <v>10000</v>
      </c>
      <c r="O102" s="504">
        <f t="shared" si="11"/>
        <v>10000</v>
      </c>
      <c r="P102" s="504">
        <f t="shared" si="11"/>
        <v>10000</v>
      </c>
      <c r="Q102" s="504">
        <f t="shared" si="11"/>
        <v>10000</v>
      </c>
      <c r="R102" s="504">
        <f t="shared" si="11"/>
        <v>10000</v>
      </c>
      <c r="S102" s="504">
        <f t="shared" si="11"/>
        <v>10000</v>
      </c>
      <c r="T102" s="504">
        <f t="shared" si="11"/>
        <v>10000</v>
      </c>
      <c r="U102" s="504">
        <f t="shared" si="11"/>
        <v>10000</v>
      </c>
      <c r="V102" s="504">
        <f t="shared" si="11"/>
        <v>10000</v>
      </c>
      <c r="W102" s="504">
        <f t="shared" si="11"/>
        <v>10000</v>
      </c>
      <c r="X102" s="504">
        <f t="shared" si="11"/>
        <v>10000</v>
      </c>
    </row>
    <row r="103" spans="1:24">
      <c r="A103" s="88" t="str">
        <f>'BH Tariffs'!A45</f>
        <v>Motorcoach Access/Tour Operator Licenses</v>
      </c>
      <c r="B103" s="30"/>
      <c r="C103" s="89"/>
      <c r="D103" s="502">
        <v>0</v>
      </c>
      <c r="E103" s="504">
        <v>0</v>
      </c>
      <c r="F103" s="504">
        <f>'BH Tariffs'!E45*'P&amp;L - Concept B3 - RCCL'!F66</f>
        <v>3060</v>
      </c>
      <c r="G103" s="504">
        <f>'BH Tariffs'!F45*'P&amp;L - Concept B3 - RCCL'!G66</f>
        <v>3121.2000000000003</v>
      </c>
      <c r="H103" s="504">
        <f>'BH Tariffs'!G45*'P&amp;L - Concept B3 - RCCL'!H66</f>
        <v>3183.6239999999998</v>
      </c>
      <c r="I103" s="504">
        <f>'BH Tariffs'!H45*'P&amp;L - Concept B3 - RCCL'!I66</f>
        <v>3247.29648</v>
      </c>
      <c r="J103" s="504">
        <f>'BH Tariffs'!I45*'P&amp;L - Concept B3 - RCCL'!J66</f>
        <v>3312.2424096</v>
      </c>
      <c r="K103" s="504">
        <f>'BH Tariffs'!J45*'P&amp;L - Concept B3 - RCCL'!K66</f>
        <v>3378.4872577920005</v>
      </c>
      <c r="L103" s="504">
        <f>'BH Tariffs'!K45*'P&amp;L - Concept B3 - RCCL'!L66</f>
        <v>3446.0570029478404</v>
      </c>
      <c r="M103" s="504">
        <f>'BH Tariffs'!L45*'P&amp;L - Concept B3 - RCCL'!M66</f>
        <v>3514.9781430067969</v>
      </c>
      <c r="N103" s="504">
        <f>'BH Tariffs'!M45*'P&amp;L - Concept B3 - RCCL'!N66</f>
        <v>3585.2777058669335</v>
      </c>
      <c r="O103" s="504">
        <f>'BH Tariffs'!N45*'P&amp;L - Concept B3 - RCCL'!O66</f>
        <v>3656.9832599842721</v>
      </c>
      <c r="P103" s="504">
        <f>'BH Tariffs'!O45*'P&amp;L - Concept B3 - RCCL'!P66</f>
        <v>3730.1229251839572</v>
      </c>
      <c r="Q103" s="504">
        <f>'BH Tariffs'!P45*'P&amp;L - Concept B3 - RCCL'!Q66</f>
        <v>3804.7253836876362</v>
      </c>
      <c r="R103" s="504">
        <f>'BH Tariffs'!Q45*'P&amp;L - Concept B3 - RCCL'!R66</f>
        <v>3880.8198913613887</v>
      </c>
      <c r="S103" s="504">
        <f>'BH Tariffs'!R45*'P&amp;L - Concept B3 - RCCL'!S66</f>
        <v>3958.4362891886167</v>
      </c>
      <c r="T103" s="504">
        <f>'BH Tariffs'!S45*'P&amp;L - Concept B3 - RCCL'!T66</f>
        <v>4037.6050149723897</v>
      </c>
      <c r="U103" s="504">
        <f>'BH Tariffs'!T45*'P&amp;L - Concept B3 - RCCL'!U66</f>
        <v>4118.3571152718378</v>
      </c>
      <c r="V103" s="504">
        <f>'BH Tariffs'!U45*'P&amp;L - Concept B3 - RCCL'!V66</f>
        <v>4200.7242575772743</v>
      </c>
      <c r="W103" s="504">
        <f>'BH Tariffs'!V45*'P&amp;L - Concept B3 - RCCL'!W66</f>
        <v>4284.7387427288204</v>
      </c>
      <c r="X103" s="504">
        <f>'BH Tariffs'!W45*'P&amp;L - Concept B3 - RCCL'!X66</f>
        <v>4370.4335175833967</v>
      </c>
    </row>
    <row r="104" spans="1:24">
      <c r="A104" s="299" t="s">
        <v>217</v>
      </c>
      <c r="B104" s="299"/>
      <c r="C104" s="299"/>
      <c r="D104" s="505">
        <v>0</v>
      </c>
      <c r="E104" s="506">
        <v>0</v>
      </c>
      <c r="F104" s="506">
        <f>'BH Tariffs'!E46*'P&amp;L - Concept B3 - RCCL'!F65</f>
        <v>500</v>
      </c>
      <c r="G104" s="506">
        <f>'BH Tariffs'!F46*'P&amp;L - Concept B3 - RCCL'!G65</f>
        <v>1000</v>
      </c>
      <c r="H104" s="506">
        <f>'BH Tariffs'!G46*'P&amp;L - Concept B3 - RCCL'!H65</f>
        <v>1000</v>
      </c>
      <c r="I104" s="506">
        <f>'BH Tariffs'!H46*'P&amp;L - Concept B3 - RCCL'!I65</f>
        <v>1000</v>
      </c>
      <c r="J104" s="506">
        <f>'BH Tariffs'!I46*'P&amp;L - Concept B3 - RCCL'!J65</f>
        <v>1650</v>
      </c>
      <c r="K104" s="506">
        <f>'BH Tariffs'!J46*'P&amp;L - Concept B3 - RCCL'!K65</f>
        <v>1650</v>
      </c>
      <c r="L104" s="506">
        <f>'BH Tariffs'!K46*'P&amp;L - Concept B3 - RCCL'!L65</f>
        <v>1650</v>
      </c>
      <c r="M104" s="506">
        <f>'BH Tariffs'!L46*'P&amp;L - Concept B3 - RCCL'!M65</f>
        <v>1650</v>
      </c>
      <c r="N104" s="506">
        <f>'BH Tariffs'!M46*'P&amp;L - Concept B3 - RCCL'!N65</f>
        <v>1650</v>
      </c>
      <c r="O104" s="506">
        <f>'BH Tariffs'!N46*'P&amp;L - Concept B3 - RCCL'!O65</f>
        <v>2400</v>
      </c>
      <c r="P104" s="506">
        <f>'BH Tariffs'!O46*'P&amp;L - Concept B3 - RCCL'!P65</f>
        <v>2400</v>
      </c>
      <c r="Q104" s="506">
        <f>'BH Tariffs'!P46*'P&amp;L - Concept B3 - RCCL'!Q65</f>
        <v>2400</v>
      </c>
      <c r="R104" s="506">
        <f>'BH Tariffs'!Q46*'P&amp;L - Concept B3 - RCCL'!R65</f>
        <v>2400</v>
      </c>
      <c r="S104" s="506">
        <f>'BH Tariffs'!R46*'P&amp;L - Concept B3 - RCCL'!S65</f>
        <v>2400</v>
      </c>
      <c r="T104" s="506">
        <f>'BH Tariffs'!S46*'P&amp;L - Concept B3 - RCCL'!T65</f>
        <v>3250</v>
      </c>
      <c r="U104" s="506">
        <f>'BH Tariffs'!T46*'P&amp;L - Concept B3 - RCCL'!U65</f>
        <v>3250</v>
      </c>
      <c r="V104" s="506">
        <f>'BH Tariffs'!U46*'P&amp;L - Concept B3 - RCCL'!V65</f>
        <v>3250</v>
      </c>
      <c r="W104" s="506">
        <f>'BH Tariffs'!V46*'P&amp;L - Concept B3 - RCCL'!W65</f>
        <v>3250</v>
      </c>
      <c r="X104" s="506">
        <f>'BH Tariffs'!W46*'P&amp;L - Concept B3 - RCCL'!X65</f>
        <v>3250</v>
      </c>
    </row>
    <row r="105" spans="1:24">
      <c r="A105" s="278" t="s">
        <v>145</v>
      </c>
      <c r="D105" s="507">
        <f>SUM(D71:D104)</f>
        <v>0</v>
      </c>
      <c r="E105" s="508">
        <f>SUM(E70:E104)</f>
        <v>0</v>
      </c>
      <c r="F105" s="508">
        <f t="shared" ref="F105:X105" si="12">SUM(F70:F104)</f>
        <v>1447175.0941830606</v>
      </c>
      <c r="G105" s="508">
        <f t="shared" si="12"/>
        <v>1492850.9960667219</v>
      </c>
      <c r="H105" s="508">
        <f t="shared" si="12"/>
        <v>1522488.0159880561</v>
      </c>
      <c r="I105" s="508">
        <f t="shared" si="12"/>
        <v>1552717.7763078175</v>
      </c>
      <c r="J105" s="508">
        <f t="shared" si="12"/>
        <v>1827456.3818339736</v>
      </c>
      <c r="K105" s="508">
        <f t="shared" si="12"/>
        <v>1858907.4244706531</v>
      </c>
      <c r="L105" s="508">
        <f t="shared" si="12"/>
        <v>1890987.4879600664</v>
      </c>
      <c r="M105" s="508">
        <f t="shared" si="12"/>
        <v>1923709.1527192681</v>
      </c>
      <c r="N105" s="508">
        <f t="shared" si="12"/>
        <v>1957085.2507736532</v>
      </c>
      <c r="O105" s="508">
        <f t="shared" si="12"/>
        <v>2052692.4332891263</v>
      </c>
      <c r="P105" s="508">
        <f t="shared" si="12"/>
        <v>2087416.925704909</v>
      </c>
      <c r="Q105" s="508">
        <f t="shared" si="12"/>
        <v>2122835.9079690068</v>
      </c>
      <c r="R105" s="508">
        <f t="shared" si="12"/>
        <v>2158963.2698783865</v>
      </c>
      <c r="S105" s="508">
        <f t="shared" si="12"/>
        <v>2195813.1790259546</v>
      </c>
      <c r="T105" s="508">
        <f t="shared" si="12"/>
        <v>2295063.6488564736</v>
      </c>
      <c r="U105" s="508">
        <f t="shared" si="12"/>
        <v>2333402.2943336032</v>
      </c>
      <c r="V105" s="508">
        <f t="shared" si="12"/>
        <v>2372507.7127202754</v>
      </c>
      <c r="W105" s="508">
        <f t="shared" si="12"/>
        <v>2412395.2394746812</v>
      </c>
      <c r="X105" s="508">
        <f t="shared" si="12"/>
        <v>2453080.5167641747</v>
      </c>
    </row>
    <row r="106" spans="1:24">
      <c r="D106" s="507"/>
      <c r="E106" s="413"/>
      <c r="F106" s="413"/>
      <c r="G106" s="413"/>
      <c r="H106" s="413"/>
      <c r="I106" s="413"/>
      <c r="J106" s="413"/>
      <c r="K106" s="413"/>
      <c r="L106" s="413"/>
      <c r="M106" s="413"/>
      <c r="N106" s="413"/>
      <c r="O106" s="413"/>
      <c r="P106" s="413"/>
      <c r="Q106" s="413"/>
      <c r="R106" s="413"/>
      <c r="S106" s="413"/>
      <c r="T106" s="413"/>
      <c r="U106" s="413"/>
      <c r="V106" s="413"/>
      <c r="W106" s="413"/>
      <c r="X106" s="413"/>
    </row>
    <row r="107" spans="1:24">
      <c r="A107" s="271" t="s">
        <v>146</v>
      </c>
      <c r="B107" s="149"/>
      <c r="C107" s="149"/>
      <c r="D107" s="509"/>
      <c r="E107" s="510"/>
      <c r="F107" s="510"/>
      <c r="G107" s="510"/>
      <c r="H107" s="510"/>
      <c r="I107" s="510"/>
      <c r="J107" s="510"/>
      <c r="K107" s="510"/>
      <c r="L107" s="510"/>
      <c r="M107" s="510"/>
      <c r="N107" s="510"/>
      <c r="O107" s="510"/>
      <c r="P107" s="510"/>
      <c r="Q107" s="510"/>
      <c r="R107" s="510"/>
      <c r="S107" s="510"/>
      <c r="T107" s="510"/>
      <c r="U107" s="510"/>
      <c r="V107" s="510"/>
      <c r="W107" s="510"/>
      <c r="X107" s="510"/>
    </row>
    <row r="108" spans="1:24">
      <c r="D108" s="507"/>
      <c r="E108" s="413"/>
      <c r="F108" s="413"/>
      <c r="G108" s="413"/>
      <c r="H108" s="413"/>
      <c r="I108" s="413"/>
      <c r="J108" s="413"/>
      <c r="K108" s="413"/>
      <c r="L108" s="413"/>
      <c r="M108" s="413"/>
      <c r="N108" s="413"/>
      <c r="O108" s="413"/>
      <c r="P108" s="413"/>
      <c r="Q108" s="413"/>
      <c r="R108" s="413"/>
      <c r="S108" s="413"/>
      <c r="T108" s="413"/>
      <c r="U108" s="413"/>
      <c r="V108" s="413"/>
      <c r="W108" s="413"/>
      <c r="X108" s="413"/>
    </row>
    <row r="109" spans="1:24">
      <c r="A109" s="91" t="s">
        <v>380</v>
      </c>
      <c r="B109" s="89"/>
      <c r="C109" s="89"/>
      <c r="D109" s="502"/>
      <c r="E109" s="504"/>
      <c r="F109" s="504"/>
      <c r="G109" s="504"/>
      <c r="H109" s="504"/>
      <c r="I109" s="504"/>
      <c r="J109" s="504"/>
      <c r="K109" s="504"/>
      <c r="L109" s="504"/>
      <c r="M109" s="504"/>
      <c r="N109" s="504"/>
      <c r="O109" s="504"/>
      <c r="P109" s="504"/>
      <c r="Q109" s="504"/>
      <c r="R109" s="504"/>
      <c r="S109" s="504"/>
      <c r="T109" s="504"/>
      <c r="U109" s="504"/>
      <c r="V109" s="504"/>
      <c r="W109" s="504"/>
      <c r="X109" s="504"/>
    </row>
    <row r="110" spans="1:24">
      <c r="A110" s="88" t="s">
        <v>432</v>
      </c>
      <c r="B110" s="89"/>
      <c r="C110" s="89"/>
      <c r="D110" s="502">
        <v>0</v>
      </c>
      <c r="E110" s="504">
        <v>0</v>
      </c>
      <c r="F110" s="504">
        <v>0</v>
      </c>
      <c r="G110" s="504">
        <v>0</v>
      </c>
      <c r="H110" s="504">
        <v>0</v>
      </c>
      <c r="I110" s="504">
        <v>0</v>
      </c>
      <c r="J110" s="504">
        <v>0</v>
      </c>
      <c r="K110" s="504">
        <v>0</v>
      </c>
      <c r="L110" s="504">
        <v>0</v>
      </c>
      <c r="M110" s="504">
        <v>0</v>
      </c>
      <c r="N110" s="504">
        <v>0</v>
      </c>
      <c r="O110" s="504">
        <v>0</v>
      </c>
      <c r="P110" s="504">
        <v>0</v>
      </c>
      <c r="Q110" s="504">
        <v>0</v>
      </c>
      <c r="R110" s="504">
        <v>0</v>
      </c>
      <c r="S110" s="504">
        <v>0</v>
      </c>
      <c r="T110" s="504">
        <v>0</v>
      </c>
      <c r="U110" s="504">
        <v>0</v>
      </c>
      <c r="V110" s="504">
        <v>0</v>
      </c>
      <c r="W110" s="504">
        <v>0</v>
      </c>
      <c r="X110" s="504">
        <v>0</v>
      </c>
    </row>
    <row r="111" spans="1:24">
      <c r="A111" s="88" t="s">
        <v>433</v>
      </c>
      <c r="B111" s="89"/>
      <c r="C111" s="89"/>
      <c r="D111" s="502">
        <v>0</v>
      </c>
      <c r="E111" s="504">
        <v>0</v>
      </c>
      <c r="F111" s="504">
        <v>0</v>
      </c>
      <c r="G111" s="504">
        <v>0</v>
      </c>
      <c r="H111" s="504">
        <v>0</v>
      </c>
      <c r="I111" s="504">
        <v>0</v>
      </c>
      <c r="J111" s="504">
        <v>0</v>
      </c>
      <c r="K111" s="504">
        <v>0</v>
      </c>
      <c r="L111" s="504">
        <v>0</v>
      </c>
      <c r="M111" s="504">
        <v>0</v>
      </c>
      <c r="N111" s="504">
        <v>0</v>
      </c>
      <c r="O111" s="504">
        <v>0</v>
      </c>
      <c r="P111" s="504">
        <v>0</v>
      </c>
      <c r="Q111" s="504">
        <v>0</v>
      </c>
      <c r="R111" s="504">
        <v>0</v>
      </c>
      <c r="S111" s="504">
        <v>0</v>
      </c>
      <c r="T111" s="504">
        <v>0</v>
      </c>
      <c r="U111" s="504">
        <v>0</v>
      </c>
      <c r="V111" s="504">
        <v>0</v>
      </c>
      <c r="W111" s="504">
        <v>0</v>
      </c>
      <c r="X111" s="504">
        <v>0</v>
      </c>
    </row>
    <row r="112" spans="1:24">
      <c r="A112" s="88" t="s">
        <v>434</v>
      </c>
      <c r="B112" s="89"/>
      <c r="C112" s="89"/>
      <c r="D112" s="502">
        <v>0</v>
      </c>
      <c r="E112" s="504">
        <v>0</v>
      </c>
      <c r="F112" s="504">
        <v>0</v>
      </c>
      <c r="G112" s="504">
        <v>0</v>
      </c>
      <c r="H112" s="504">
        <v>0</v>
      </c>
      <c r="I112" s="504">
        <v>0</v>
      </c>
      <c r="J112" s="504">
        <v>0</v>
      </c>
      <c r="K112" s="504">
        <v>0</v>
      </c>
      <c r="L112" s="504">
        <v>0</v>
      </c>
      <c r="M112" s="504">
        <v>0</v>
      </c>
      <c r="N112" s="504">
        <v>0</v>
      </c>
      <c r="O112" s="504">
        <v>0</v>
      </c>
      <c r="P112" s="504">
        <v>0</v>
      </c>
      <c r="Q112" s="504">
        <v>0</v>
      </c>
      <c r="R112" s="504">
        <v>0</v>
      </c>
      <c r="S112" s="504">
        <v>0</v>
      </c>
      <c r="T112" s="504">
        <v>0</v>
      </c>
      <c r="U112" s="504">
        <v>0</v>
      </c>
      <c r="V112" s="504">
        <v>0</v>
      </c>
      <c r="W112" s="504">
        <v>0</v>
      </c>
      <c r="X112" s="504">
        <v>0</v>
      </c>
    </row>
    <row r="113" spans="1:27">
      <c r="A113" s="88" t="s">
        <v>229</v>
      </c>
      <c r="B113" s="30"/>
      <c r="C113" s="89"/>
      <c r="D113" s="502">
        <v>0</v>
      </c>
      <c r="E113" s="504">
        <v>0</v>
      </c>
      <c r="F113" s="504">
        <v>0</v>
      </c>
      <c r="G113" s="504">
        <v>0</v>
      </c>
      <c r="H113" s="504">
        <v>0</v>
      </c>
      <c r="I113" s="504">
        <v>0</v>
      </c>
      <c r="J113" s="504">
        <v>0</v>
      </c>
      <c r="K113" s="504">
        <v>0</v>
      </c>
      <c r="L113" s="504">
        <v>0</v>
      </c>
      <c r="M113" s="504">
        <v>0</v>
      </c>
      <c r="N113" s="504">
        <v>0</v>
      </c>
      <c r="O113" s="504">
        <v>0</v>
      </c>
      <c r="P113" s="504">
        <v>0</v>
      </c>
      <c r="Q113" s="504">
        <v>0</v>
      </c>
      <c r="R113" s="504">
        <v>0</v>
      </c>
      <c r="S113" s="504">
        <v>0</v>
      </c>
      <c r="T113" s="504">
        <v>0</v>
      </c>
      <c r="U113" s="504">
        <v>0</v>
      </c>
      <c r="V113" s="504">
        <v>0</v>
      </c>
      <c r="W113" s="504">
        <v>0</v>
      </c>
      <c r="X113" s="504">
        <v>0</v>
      </c>
    </row>
    <row r="114" spans="1:27" s="32" customFormat="1">
      <c r="A114" s="299" t="s">
        <v>297</v>
      </c>
      <c r="B114" s="299"/>
      <c r="C114" s="299"/>
      <c r="D114" s="505">
        <v>0</v>
      </c>
      <c r="E114" s="506">
        <v>0</v>
      </c>
      <c r="F114" s="506">
        <v>0</v>
      </c>
      <c r="G114" s="506">
        <f t="shared" ref="G114:X114" si="13">G53</f>
        <v>100000</v>
      </c>
      <c r="H114" s="506">
        <f t="shared" si="13"/>
        <v>100000</v>
      </c>
      <c r="I114" s="506">
        <f t="shared" si="13"/>
        <v>100000</v>
      </c>
      <c r="J114" s="506">
        <f t="shared" si="13"/>
        <v>100000</v>
      </c>
      <c r="K114" s="506">
        <f t="shared" si="13"/>
        <v>100000</v>
      </c>
      <c r="L114" s="506">
        <f t="shared" si="13"/>
        <v>100000</v>
      </c>
      <c r="M114" s="506">
        <f t="shared" si="13"/>
        <v>100000</v>
      </c>
      <c r="N114" s="506">
        <f t="shared" si="13"/>
        <v>100000</v>
      </c>
      <c r="O114" s="506">
        <f t="shared" si="13"/>
        <v>100000</v>
      </c>
      <c r="P114" s="506">
        <f t="shared" si="13"/>
        <v>100000</v>
      </c>
      <c r="Q114" s="506">
        <f t="shared" si="13"/>
        <v>100000</v>
      </c>
      <c r="R114" s="506">
        <f t="shared" si="13"/>
        <v>100000</v>
      </c>
      <c r="S114" s="506">
        <f t="shared" si="13"/>
        <v>100000</v>
      </c>
      <c r="T114" s="506">
        <f t="shared" si="13"/>
        <v>100000</v>
      </c>
      <c r="U114" s="506">
        <f t="shared" si="13"/>
        <v>100000</v>
      </c>
      <c r="V114" s="506">
        <f t="shared" si="13"/>
        <v>100000</v>
      </c>
      <c r="W114" s="506">
        <f t="shared" si="13"/>
        <v>100000</v>
      </c>
      <c r="X114" s="506">
        <f t="shared" si="13"/>
        <v>100000</v>
      </c>
    </row>
    <row r="115" spans="1:27">
      <c r="A115" s="278" t="s">
        <v>147</v>
      </c>
      <c r="D115" s="507">
        <f>SUM(D113:D114)</f>
        <v>0</v>
      </c>
      <c r="E115" s="508">
        <f>SUM(E110:E114)</f>
        <v>0</v>
      </c>
      <c r="F115" s="508">
        <f t="shared" ref="F115:X115" si="14">SUM(F110:F114)</f>
        <v>0</v>
      </c>
      <c r="G115" s="508">
        <f t="shared" si="14"/>
        <v>100000</v>
      </c>
      <c r="H115" s="508">
        <f t="shared" si="14"/>
        <v>100000</v>
      </c>
      <c r="I115" s="508">
        <f t="shared" si="14"/>
        <v>100000</v>
      </c>
      <c r="J115" s="508">
        <f t="shared" si="14"/>
        <v>100000</v>
      </c>
      <c r="K115" s="508">
        <f t="shared" si="14"/>
        <v>100000</v>
      </c>
      <c r="L115" s="508">
        <f t="shared" si="14"/>
        <v>100000</v>
      </c>
      <c r="M115" s="508">
        <f t="shared" si="14"/>
        <v>100000</v>
      </c>
      <c r="N115" s="508">
        <f t="shared" si="14"/>
        <v>100000</v>
      </c>
      <c r="O115" s="508">
        <f t="shared" si="14"/>
        <v>100000</v>
      </c>
      <c r="P115" s="508">
        <f t="shared" si="14"/>
        <v>100000</v>
      </c>
      <c r="Q115" s="508">
        <f t="shared" si="14"/>
        <v>100000</v>
      </c>
      <c r="R115" s="508">
        <f t="shared" si="14"/>
        <v>100000</v>
      </c>
      <c r="S115" s="508">
        <f t="shared" si="14"/>
        <v>100000</v>
      </c>
      <c r="T115" s="508">
        <f t="shared" si="14"/>
        <v>100000</v>
      </c>
      <c r="U115" s="508">
        <f t="shared" si="14"/>
        <v>100000</v>
      </c>
      <c r="V115" s="508">
        <f t="shared" si="14"/>
        <v>100000</v>
      </c>
      <c r="W115" s="508">
        <f t="shared" si="14"/>
        <v>100000</v>
      </c>
      <c r="X115" s="508">
        <f t="shared" si="14"/>
        <v>100000</v>
      </c>
    </row>
    <row r="116" spans="1:27">
      <c r="D116" s="507"/>
      <c r="E116" s="413"/>
      <c r="F116" s="413"/>
      <c r="G116" s="413"/>
      <c r="H116" s="413"/>
      <c r="I116" s="413"/>
      <c r="J116" s="413"/>
      <c r="K116" s="413"/>
      <c r="L116" s="413"/>
      <c r="M116" s="413"/>
      <c r="N116" s="413"/>
      <c r="O116" s="413"/>
      <c r="P116" s="413"/>
      <c r="Q116" s="413"/>
      <c r="R116" s="413"/>
      <c r="S116" s="413"/>
      <c r="T116" s="413"/>
      <c r="U116" s="413"/>
      <c r="V116" s="413"/>
      <c r="W116" s="413"/>
      <c r="X116" s="413"/>
    </row>
    <row r="117" spans="1:27">
      <c r="A117" s="88" t="s">
        <v>608</v>
      </c>
      <c r="D117" s="507">
        <f t="shared" ref="D117" si="15">SUM(D115:D116)</f>
        <v>0</v>
      </c>
      <c r="E117" s="413">
        <v>58025</v>
      </c>
      <c r="F117" s="413">
        <v>0</v>
      </c>
      <c r="G117" s="413">
        <v>0</v>
      </c>
      <c r="H117" s="413">
        <v>0</v>
      </c>
      <c r="I117" s="413">
        <v>0</v>
      </c>
      <c r="J117" s="413">
        <v>0</v>
      </c>
      <c r="K117" s="413">
        <v>0</v>
      </c>
      <c r="L117" s="413">
        <v>0</v>
      </c>
      <c r="M117" s="413">
        <v>0</v>
      </c>
      <c r="N117" s="413">
        <v>0</v>
      </c>
      <c r="O117" s="413">
        <v>0</v>
      </c>
      <c r="P117" s="413">
        <v>0</v>
      </c>
      <c r="Q117" s="413">
        <v>0</v>
      </c>
      <c r="R117" s="413">
        <v>0</v>
      </c>
      <c r="S117" s="413">
        <v>0</v>
      </c>
      <c r="T117" s="413">
        <v>0</v>
      </c>
      <c r="U117" s="413">
        <v>0</v>
      </c>
      <c r="V117" s="413">
        <v>0</v>
      </c>
      <c r="W117" s="413">
        <v>0</v>
      </c>
      <c r="X117" s="413">
        <v>0</v>
      </c>
    </row>
    <row r="118" spans="1:27">
      <c r="D118" s="507"/>
      <c r="E118" s="413"/>
      <c r="F118" s="413"/>
      <c r="G118" s="413"/>
      <c r="H118" s="413"/>
      <c r="I118" s="413"/>
      <c r="J118" s="413"/>
      <c r="K118" s="413"/>
      <c r="L118" s="413"/>
      <c r="M118" s="413"/>
      <c r="N118" s="413"/>
      <c r="O118" s="413"/>
      <c r="P118" s="413"/>
      <c r="Q118" s="413"/>
      <c r="R118" s="413"/>
      <c r="S118" s="413"/>
      <c r="T118" s="413"/>
      <c r="U118" s="413"/>
      <c r="V118" s="413"/>
      <c r="W118" s="413"/>
      <c r="X118" s="413"/>
    </row>
    <row r="119" spans="1:27" s="16" customFormat="1" ht="14.25">
      <c r="A119" s="295" t="s">
        <v>148</v>
      </c>
      <c r="B119" s="295"/>
      <c r="C119" s="295"/>
      <c r="D119" s="511">
        <f>SUM(D105,D115)</f>
        <v>0</v>
      </c>
      <c r="E119" s="511">
        <f>SUM(E105,E115,E117)</f>
        <v>58025</v>
      </c>
      <c r="F119" s="511">
        <f t="shared" ref="F119:X119" si="16">SUM(F105,F115,F117)</f>
        <v>1447175.0941830606</v>
      </c>
      <c r="G119" s="511">
        <f t="shared" si="16"/>
        <v>1592850.9960667219</v>
      </c>
      <c r="H119" s="511">
        <f t="shared" si="16"/>
        <v>1622488.0159880561</v>
      </c>
      <c r="I119" s="511">
        <f t="shared" si="16"/>
        <v>1652717.7763078175</v>
      </c>
      <c r="J119" s="511">
        <f t="shared" si="16"/>
        <v>1927456.3818339736</v>
      </c>
      <c r="K119" s="511">
        <f t="shared" si="16"/>
        <v>1958907.4244706531</v>
      </c>
      <c r="L119" s="511">
        <f t="shared" si="16"/>
        <v>1990987.4879600664</v>
      </c>
      <c r="M119" s="511">
        <f t="shared" si="16"/>
        <v>2023709.1527192681</v>
      </c>
      <c r="N119" s="511">
        <f t="shared" si="16"/>
        <v>2057085.2507736532</v>
      </c>
      <c r="O119" s="511">
        <f t="shared" si="16"/>
        <v>2152692.4332891265</v>
      </c>
      <c r="P119" s="511">
        <f t="shared" si="16"/>
        <v>2187416.925704909</v>
      </c>
      <c r="Q119" s="511">
        <f t="shared" si="16"/>
        <v>2222835.9079690068</v>
      </c>
      <c r="R119" s="511">
        <f t="shared" si="16"/>
        <v>2258963.2698783865</v>
      </c>
      <c r="S119" s="511">
        <f t="shared" si="16"/>
        <v>2295813.1790259546</v>
      </c>
      <c r="T119" s="511">
        <f t="shared" si="16"/>
        <v>2395063.6488564736</v>
      </c>
      <c r="U119" s="511">
        <f t="shared" si="16"/>
        <v>2433402.2943336032</v>
      </c>
      <c r="V119" s="511">
        <f t="shared" si="16"/>
        <v>2472507.7127202754</v>
      </c>
      <c r="W119" s="511">
        <f t="shared" si="16"/>
        <v>2512395.2394746812</v>
      </c>
      <c r="X119" s="511">
        <f t="shared" si="16"/>
        <v>2553080.5167641747</v>
      </c>
      <c r="Y119" s="622">
        <f>SUM(D119:X119)</f>
        <v>39815573.708319858</v>
      </c>
      <c r="AA119" s="370">
        <f>(Y76+Y78)/Y119</f>
        <v>0.6578848496181755</v>
      </c>
    </row>
    <row r="120" spans="1:27">
      <c r="A120" s="30"/>
      <c r="B120" s="30"/>
      <c r="C120" s="30"/>
      <c r="D120" s="502"/>
      <c r="E120" s="512"/>
      <c r="F120" s="512"/>
      <c r="G120" s="512"/>
      <c r="H120" s="512"/>
      <c r="I120" s="512"/>
      <c r="J120" s="512"/>
      <c r="K120" s="512"/>
      <c r="L120" s="512"/>
      <c r="M120" s="512"/>
      <c r="N120" s="512"/>
      <c r="O120" s="512"/>
      <c r="P120" s="512"/>
      <c r="Q120" s="512"/>
      <c r="R120" s="512"/>
      <c r="S120" s="512"/>
      <c r="T120" s="512"/>
      <c r="U120" s="512"/>
      <c r="V120" s="512"/>
      <c r="W120" s="512"/>
      <c r="X120" s="512"/>
    </row>
    <row r="121" spans="1:27" s="33" customFormat="1">
      <c r="A121" s="47" t="s">
        <v>7</v>
      </c>
      <c r="B121" s="47" t="s">
        <v>7</v>
      </c>
      <c r="C121" s="78" t="s">
        <v>7</v>
      </c>
      <c r="D121" s="604" t="s">
        <v>7</v>
      </c>
      <c r="E121" s="78" t="s">
        <v>7</v>
      </c>
      <c r="F121" s="78" t="s">
        <v>7</v>
      </c>
      <c r="G121" s="78" t="s">
        <v>7</v>
      </c>
      <c r="H121" s="78" t="s">
        <v>7</v>
      </c>
      <c r="I121" s="78" t="s">
        <v>7</v>
      </c>
      <c r="J121" s="78" t="s">
        <v>7</v>
      </c>
      <c r="K121" s="78" t="s">
        <v>7</v>
      </c>
      <c r="L121" s="78" t="s">
        <v>7</v>
      </c>
      <c r="M121" s="78" t="s">
        <v>7</v>
      </c>
      <c r="N121" s="78" t="s">
        <v>7</v>
      </c>
      <c r="O121" s="78" t="s">
        <v>7</v>
      </c>
      <c r="P121" s="78" t="s">
        <v>7</v>
      </c>
      <c r="Q121" s="78" t="s">
        <v>7</v>
      </c>
      <c r="R121" s="78" t="s">
        <v>7</v>
      </c>
      <c r="S121" s="78" t="s">
        <v>7</v>
      </c>
      <c r="T121" s="78" t="s">
        <v>7</v>
      </c>
      <c r="U121" s="78" t="s">
        <v>7</v>
      </c>
      <c r="V121" s="78" t="s">
        <v>7</v>
      </c>
      <c r="W121" s="78" t="s">
        <v>7</v>
      </c>
      <c r="X121" s="78" t="s">
        <v>7</v>
      </c>
    </row>
    <row r="122" spans="1:27">
      <c r="A122" s="30"/>
      <c r="B122" s="30"/>
      <c r="C122" s="30"/>
      <c r="D122" s="502"/>
      <c r="E122" s="512"/>
      <c r="F122" s="512"/>
      <c r="G122" s="512"/>
      <c r="H122" s="512"/>
      <c r="I122" s="512"/>
      <c r="J122" s="512"/>
      <c r="K122" s="512"/>
      <c r="L122" s="512"/>
      <c r="M122" s="512"/>
      <c r="N122" s="512"/>
      <c r="O122" s="512"/>
      <c r="P122" s="512"/>
      <c r="Q122" s="512"/>
      <c r="R122" s="512"/>
      <c r="S122" s="512"/>
      <c r="T122" s="512"/>
      <c r="U122" s="512"/>
      <c r="V122" s="512"/>
      <c r="W122" s="512"/>
      <c r="X122" s="512"/>
    </row>
    <row r="123" spans="1:27">
      <c r="A123" s="269" t="s">
        <v>131</v>
      </c>
      <c r="B123" s="269"/>
      <c r="C123" s="270"/>
      <c r="D123" s="513"/>
      <c r="E123" s="513"/>
      <c r="F123" s="513"/>
      <c r="G123" s="513"/>
      <c r="H123" s="513"/>
      <c r="I123" s="513"/>
      <c r="J123" s="513"/>
      <c r="K123" s="513"/>
      <c r="L123" s="513"/>
      <c r="M123" s="513"/>
      <c r="N123" s="513"/>
      <c r="O123" s="513"/>
      <c r="P123" s="513"/>
      <c r="Q123" s="513"/>
      <c r="R123" s="513"/>
      <c r="S123" s="513"/>
      <c r="T123" s="513"/>
      <c r="U123" s="513"/>
      <c r="V123" s="513"/>
      <c r="W123" s="513"/>
      <c r="X123" s="513"/>
    </row>
    <row r="124" spans="1:27">
      <c r="A124" s="69"/>
      <c r="B124" s="69"/>
      <c r="C124" s="69"/>
      <c r="D124" s="502"/>
      <c r="E124" s="504"/>
      <c r="F124" s="504"/>
      <c r="G124" s="504"/>
      <c r="H124" s="504"/>
      <c r="I124" s="504"/>
      <c r="J124" s="504"/>
      <c r="K124" s="504"/>
      <c r="L124" s="504"/>
      <c r="M124" s="504"/>
      <c r="N124" s="504"/>
      <c r="O124" s="504"/>
      <c r="P124" s="504"/>
      <c r="Q124" s="504"/>
      <c r="R124" s="504"/>
      <c r="S124" s="504"/>
      <c r="T124" s="504"/>
      <c r="U124" s="504"/>
      <c r="V124" s="504"/>
      <c r="W124" s="504"/>
      <c r="X124" s="504"/>
    </row>
    <row r="125" spans="1:27" s="96" customFormat="1">
      <c r="A125" s="69" t="s">
        <v>13</v>
      </c>
      <c r="B125" s="69"/>
      <c r="C125" s="69"/>
      <c r="D125" s="514">
        <v>0</v>
      </c>
      <c r="E125" s="515">
        <f>'OPEX - Concept B3 - RCCL'!L80</f>
        <v>12250</v>
      </c>
      <c r="F125" s="515">
        <f>'OPEX - Concept B3 - RCCL'!M80</f>
        <v>171500</v>
      </c>
      <c r="G125" s="515">
        <f>'OPEX - Concept B3 - RCCL'!N80</f>
        <v>174930</v>
      </c>
      <c r="H125" s="515">
        <f>'OPEX - Concept B3 - RCCL'!O80</f>
        <v>178428.59999999998</v>
      </c>
      <c r="I125" s="515">
        <f>'OPEX - Concept B3 - RCCL'!P80</f>
        <v>181997.17199999996</v>
      </c>
      <c r="J125" s="515">
        <f>'OPEX - Concept B3 - RCCL'!Q80</f>
        <v>185637.11543999997</v>
      </c>
      <c r="K125" s="515">
        <f>'OPEX - Concept B3 - RCCL'!R80</f>
        <v>189349.85774879999</v>
      </c>
      <c r="L125" s="515">
        <f>'OPEX - Concept B3 - RCCL'!S80</f>
        <v>193136.85490377599</v>
      </c>
      <c r="M125" s="515">
        <f>'OPEX - Concept B3 - RCCL'!T80</f>
        <v>196999.59200185153</v>
      </c>
      <c r="N125" s="515">
        <f>'OPEX - Concept B3 - RCCL'!U80</f>
        <v>200939.58384188855</v>
      </c>
      <c r="O125" s="515">
        <f>'OPEX - Concept B3 - RCCL'!V80</f>
        <v>204958.37551872636</v>
      </c>
      <c r="P125" s="515">
        <f>'OPEX - Concept B3 - RCCL'!W80</f>
        <v>209057.54302910087</v>
      </c>
      <c r="Q125" s="515">
        <f>'OPEX - Concept B3 - RCCL'!X80</f>
        <v>213238.69388968288</v>
      </c>
      <c r="R125" s="515">
        <f>'OPEX - Concept B3 - RCCL'!Y80</f>
        <v>217503.46776747654</v>
      </c>
      <c r="S125" s="515">
        <f>'OPEX - Concept B3 - RCCL'!Z80</f>
        <v>221853.53712282603</v>
      </c>
      <c r="T125" s="515">
        <f>'OPEX - Concept B3 - RCCL'!AA80</f>
        <v>226290.60786528263</v>
      </c>
      <c r="U125" s="515">
        <f>'OPEX - Concept B3 - RCCL'!AB80</f>
        <v>230816.42002258825</v>
      </c>
      <c r="V125" s="515">
        <f>'OPEX - Concept B3 - RCCL'!AC80</f>
        <v>235432.74842304003</v>
      </c>
      <c r="W125" s="515">
        <f>'OPEX - Concept B3 - RCCL'!AD80</f>
        <v>240141.40339150085</v>
      </c>
      <c r="X125" s="515">
        <f>'OPEX - Concept B3 - RCCL'!AE80</f>
        <v>244944.23145933088</v>
      </c>
    </row>
    <row r="126" spans="1:27" s="96" customFormat="1">
      <c r="A126" s="69" t="s">
        <v>41</v>
      </c>
      <c r="B126" s="69"/>
      <c r="C126" s="69"/>
      <c r="D126" s="514">
        <v>0</v>
      </c>
      <c r="E126" s="515">
        <f>'OPEX - Concept B3 - RCCL'!L88</f>
        <v>25000</v>
      </c>
      <c r="F126" s="515">
        <f>'OPEX - Concept B3 - RCCL'!M88</f>
        <v>25500</v>
      </c>
      <c r="G126" s="515">
        <f>'OPEX - Concept B3 - RCCL'!N88</f>
        <v>26010</v>
      </c>
      <c r="H126" s="515">
        <f>'OPEX - Concept B3 - RCCL'!O88</f>
        <v>26530.199999999997</v>
      </c>
      <c r="I126" s="515">
        <f>'OPEX - Concept B3 - RCCL'!P88</f>
        <v>27060.804</v>
      </c>
      <c r="J126" s="515">
        <f>'OPEX - Concept B3 - RCCL'!Q88</f>
        <v>27602.020080000002</v>
      </c>
      <c r="K126" s="515">
        <f>'OPEX - Concept B3 - RCCL'!R88</f>
        <v>28154.060481600001</v>
      </c>
      <c r="L126" s="515">
        <f>'OPEX - Concept B3 - RCCL'!S88</f>
        <v>28717.141691232002</v>
      </c>
      <c r="M126" s="515">
        <f>'OPEX - Concept B3 - RCCL'!T88</f>
        <v>29291.484525056643</v>
      </c>
      <c r="N126" s="515">
        <f>'OPEX - Concept B3 - RCCL'!U88</f>
        <v>29877.314215557777</v>
      </c>
      <c r="O126" s="515">
        <f>'OPEX - Concept B3 - RCCL'!V88</f>
        <v>30474.860499868933</v>
      </c>
      <c r="P126" s="515">
        <f>'OPEX - Concept B3 - RCCL'!W88</f>
        <v>31084.357709866312</v>
      </c>
      <c r="Q126" s="515">
        <f>'OPEX - Concept B3 - RCCL'!X88</f>
        <v>31706.044864063639</v>
      </c>
      <c r="R126" s="515">
        <f>'OPEX - Concept B3 - RCCL'!Y88</f>
        <v>32340.165761344906</v>
      </c>
      <c r="S126" s="515">
        <f>'OPEX - Concept B3 - RCCL'!Z88</f>
        <v>32986.969076571811</v>
      </c>
      <c r="T126" s="515">
        <f>'OPEX - Concept B3 - RCCL'!AA88</f>
        <v>33646.708458103247</v>
      </c>
      <c r="U126" s="515">
        <f>'OPEX - Concept B3 - RCCL'!AB88</f>
        <v>34319.642627265312</v>
      </c>
      <c r="V126" s="515">
        <f>'OPEX - Concept B3 - RCCL'!AC88</f>
        <v>35006.03547981062</v>
      </c>
      <c r="W126" s="515">
        <f>'OPEX - Concept B3 - RCCL'!AD88</f>
        <v>35706.156189406836</v>
      </c>
      <c r="X126" s="515">
        <f>'OPEX - Concept B3 - RCCL'!AE88</f>
        <v>36420.279313194973</v>
      </c>
    </row>
    <row r="127" spans="1:27" s="96" customFormat="1">
      <c r="A127" s="69" t="s">
        <v>424</v>
      </c>
      <c r="B127" s="69"/>
      <c r="C127" s="69"/>
      <c r="D127" s="514">
        <v>0</v>
      </c>
      <c r="E127" s="515">
        <f>'OPEX - Concept B3 - RCCL'!L89</f>
        <v>10000</v>
      </c>
      <c r="F127" s="515">
        <f>'OPEX - Concept B3 - RCCL'!M89</f>
        <v>500</v>
      </c>
      <c r="G127" s="515">
        <f>'OPEX - Concept B3 - RCCL'!N89</f>
        <v>520.20000000000005</v>
      </c>
      <c r="H127" s="515">
        <f>'OPEX - Concept B3 - RCCL'!O89</f>
        <v>530.60399999999993</v>
      </c>
      <c r="I127" s="515">
        <f>'OPEX - Concept B3 - RCCL'!P89</f>
        <v>541.21608000000003</v>
      </c>
      <c r="J127" s="515">
        <f>'OPEX - Concept B3 - RCCL'!Q89</f>
        <v>5000</v>
      </c>
      <c r="K127" s="515">
        <f>'OPEX - Concept B3 - RCCL'!R89</f>
        <v>563.08120963200008</v>
      </c>
      <c r="L127" s="515">
        <f>'OPEX - Concept B3 - RCCL'!S89</f>
        <v>574.34283382464002</v>
      </c>
      <c r="M127" s="515">
        <f>'OPEX - Concept B3 - RCCL'!T89</f>
        <v>585.82969050113286</v>
      </c>
      <c r="N127" s="515">
        <f>'OPEX - Concept B3 - RCCL'!U89</f>
        <v>597.54628431115555</v>
      </c>
      <c r="O127" s="515">
        <f>'OPEX - Concept B3 - RCCL'!V89</f>
        <v>5000</v>
      </c>
      <c r="P127" s="515">
        <f>'OPEX - Concept B3 - RCCL'!W89</f>
        <v>621.68715419732621</v>
      </c>
      <c r="Q127" s="515">
        <f>'OPEX - Concept B3 - RCCL'!X89</f>
        <v>634.12089728127273</v>
      </c>
      <c r="R127" s="515">
        <f>'OPEX - Concept B3 - RCCL'!Y89</f>
        <v>646.80331522689812</v>
      </c>
      <c r="S127" s="515">
        <f>'OPEX - Concept B3 - RCCL'!Z89</f>
        <v>659.73938153143615</v>
      </c>
      <c r="T127" s="515">
        <f>'OPEX - Concept B3 - RCCL'!AA89</f>
        <v>5000</v>
      </c>
      <c r="U127" s="515">
        <f>'OPEX - Concept B3 - RCCL'!AB89</f>
        <v>686.39285254530625</v>
      </c>
      <c r="V127" s="515">
        <f>'OPEX - Concept B3 - RCCL'!AC89</f>
        <v>700.12070959621246</v>
      </c>
      <c r="W127" s="515">
        <f>'OPEX - Concept B3 - RCCL'!AD89</f>
        <v>714.1231237881367</v>
      </c>
      <c r="X127" s="515">
        <f>'OPEX - Concept B3 - RCCL'!AE89</f>
        <v>728.40558626389941</v>
      </c>
    </row>
    <row r="128" spans="1:27" s="96" customFormat="1">
      <c r="A128" s="69" t="s">
        <v>42</v>
      </c>
      <c r="B128" s="69"/>
      <c r="C128" s="69"/>
      <c r="D128" s="514">
        <v>0</v>
      </c>
      <c r="E128" s="515">
        <f>'OPEX - Concept B3 - RCCL'!L90</f>
        <v>50000</v>
      </c>
      <c r="F128" s="515">
        <f>'OPEX - Concept B3 - RCCL'!M90</f>
        <v>51000</v>
      </c>
      <c r="G128" s="515">
        <f>'OPEX - Concept B3 - RCCL'!N90</f>
        <v>52020</v>
      </c>
      <c r="H128" s="515">
        <f>'OPEX - Concept B3 - RCCL'!O90</f>
        <v>53060.399999999994</v>
      </c>
      <c r="I128" s="515">
        <f>'OPEX - Concept B3 - RCCL'!P90</f>
        <v>54121.608</v>
      </c>
      <c r="J128" s="515">
        <f>'OPEX - Concept B3 - RCCL'!Q90</f>
        <v>55204.040160000004</v>
      </c>
      <c r="K128" s="515">
        <f>'OPEX - Concept B3 - RCCL'!R90</f>
        <v>56308.120963200003</v>
      </c>
      <c r="L128" s="515">
        <f>'OPEX - Concept B3 - RCCL'!S90</f>
        <v>57434.283382464004</v>
      </c>
      <c r="M128" s="515">
        <f>'OPEX - Concept B3 - RCCL'!T90</f>
        <v>58582.969050113286</v>
      </c>
      <c r="N128" s="515">
        <f>'OPEX - Concept B3 - RCCL'!U90</f>
        <v>59754.628431115554</v>
      </c>
      <c r="O128" s="515">
        <f>'OPEX - Concept B3 - RCCL'!V90</f>
        <v>60949.720999737867</v>
      </c>
      <c r="P128" s="515">
        <f>'OPEX - Concept B3 - RCCL'!W90</f>
        <v>62168.715419732624</v>
      </c>
      <c r="Q128" s="515">
        <f>'OPEX - Concept B3 - RCCL'!X90</f>
        <v>63412.089728127277</v>
      </c>
      <c r="R128" s="515">
        <f>'OPEX - Concept B3 - RCCL'!Y90</f>
        <v>64680.331522689812</v>
      </c>
      <c r="S128" s="515">
        <f>'OPEX - Concept B3 - RCCL'!Z90</f>
        <v>65973.938153143623</v>
      </c>
      <c r="T128" s="515">
        <f>'OPEX - Concept B3 - RCCL'!AA90</f>
        <v>67293.416916206494</v>
      </c>
      <c r="U128" s="515">
        <f>'OPEX - Concept B3 - RCCL'!AB90</f>
        <v>68639.285254530623</v>
      </c>
      <c r="V128" s="515">
        <f>'OPEX - Concept B3 - RCCL'!AC90</f>
        <v>70012.07095962124</v>
      </c>
      <c r="W128" s="515">
        <f>'OPEX - Concept B3 - RCCL'!AD90</f>
        <v>71412.312378813673</v>
      </c>
      <c r="X128" s="515">
        <f>'OPEX - Concept B3 - RCCL'!AE90</f>
        <v>72840.558626389946</v>
      </c>
    </row>
    <row r="129" spans="1:24" s="96" customFormat="1">
      <c r="A129" s="69" t="s">
        <v>43</v>
      </c>
      <c r="B129" s="69"/>
      <c r="C129" s="69"/>
      <c r="D129" s="514">
        <v>0</v>
      </c>
      <c r="E129" s="515">
        <f>'OPEX - Concept B3 - RCCL'!L91</f>
        <v>500</v>
      </c>
      <c r="F129" s="515">
        <f>'OPEX - Concept B3 - RCCL'!M91</f>
        <v>2040</v>
      </c>
      <c r="G129" s="515">
        <f>'OPEX - Concept B3 - RCCL'!N91</f>
        <v>2080.8000000000002</v>
      </c>
      <c r="H129" s="515">
        <f>'OPEX - Concept B3 - RCCL'!O91</f>
        <v>2122.4159999999997</v>
      </c>
      <c r="I129" s="515">
        <f>'OPEX - Concept B3 - RCCL'!P91</f>
        <v>2164.8643200000001</v>
      </c>
      <c r="J129" s="515">
        <f>'OPEX - Concept B3 - RCCL'!Q91</f>
        <v>2208.1616064</v>
      </c>
      <c r="K129" s="515">
        <f>'OPEX - Concept B3 - RCCL'!R91</f>
        <v>2252.3248385280003</v>
      </c>
      <c r="L129" s="515">
        <f>'OPEX - Concept B3 - RCCL'!S91</f>
        <v>2297.3713352985601</v>
      </c>
      <c r="M129" s="515">
        <f>'OPEX - Concept B3 - RCCL'!T91</f>
        <v>2343.3187620045314</v>
      </c>
      <c r="N129" s="515">
        <f>'OPEX - Concept B3 - RCCL'!U91</f>
        <v>2390.1851372446222</v>
      </c>
      <c r="O129" s="515">
        <f>'OPEX - Concept B3 - RCCL'!V91</f>
        <v>2437.9888399895149</v>
      </c>
      <c r="P129" s="515">
        <f>'OPEX - Concept B3 - RCCL'!W91</f>
        <v>2486.7486167893048</v>
      </c>
      <c r="Q129" s="515">
        <f>'OPEX - Concept B3 - RCCL'!X91</f>
        <v>2536.4835891250909</v>
      </c>
      <c r="R129" s="515">
        <f>'OPEX - Concept B3 - RCCL'!Y91</f>
        <v>2587.2132609075925</v>
      </c>
      <c r="S129" s="515">
        <f>'OPEX - Concept B3 - RCCL'!Z91</f>
        <v>2638.9575261257446</v>
      </c>
      <c r="T129" s="515">
        <f>'OPEX - Concept B3 - RCCL'!AA91</f>
        <v>2691.7366766482596</v>
      </c>
      <c r="U129" s="515">
        <f>'OPEX - Concept B3 - RCCL'!AB91</f>
        <v>2745.571410181225</v>
      </c>
      <c r="V129" s="515">
        <f>'OPEX - Concept B3 - RCCL'!AC91</f>
        <v>2800.4828383848499</v>
      </c>
      <c r="W129" s="515">
        <f>'OPEX - Concept B3 - RCCL'!AD91</f>
        <v>2856.4924951525468</v>
      </c>
      <c r="X129" s="515">
        <f>'OPEX - Concept B3 - RCCL'!AE91</f>
        <v>2913.6223450555976</v>
      </c>
    </row>
    <row r="130" spans="1:24" s="96" customFormat="1">
      <c r="A130" s="69" t="s">
        <v>44</v>
      </c>
      <c r="B130" s="69"/>
      <c r="C130" s="69"/>
      <c r="D130" s="514">
        <v>0</v>
      </c>
      <c r="E130" s="515">
        <f>'OPEX - Concept B3 - RCCL'!L92</f>
        <v>250</v>
      </c>
      <c r="F130" s="515">
        <f>'OPEX - Concept B3 - RCCL'!M92</f>
        <v>1020</v>
      </c>
      <c r="G130" s="515">
        <f>'OPEX - Concept B3 - RCCL'!N92</f>
        <v>1040.4000000000001</v>
      </c>
      <c r="H130" s="515">
        <f>'OPEX - Concept B3 - RCCL'!O92</f>
        <v>1061.2079999999999</v>
      </c>
      <c r="I130" s="515">
        <f>'OPEX - Concept B3 - RCCL'!P92</f>
        <v>1082.4321600000001</v>
      </c>
      <c r="J130" s="515">
        <f>'OPEX - Concept B3 - RCCL'!Q92</f>
        <v>1104.0808032</v>
      </c>
      <c r="K130" s="515">
        <f>'OPEX - Concept B3 - RCCL'!R92</f>
        <v>1126.1624192640002</v>
      </c>
      <c r="L130" s="515">
        <f>'OPEX - Concept B3 - RCCL'!S92</f>
        <v>1148.68566764928</v>
      </c>
      <c r="M130" s="515">
        <f>'OPEX - Concept B3 - RCCL'!T92</f>
        <v>1171.6593810022657</v>
      </c>
      <c r="N130" s="515">
        <f>'OPEX - Concept B3 - RCCL'!U92</f>
        <v>1195.0925686223111</v>
      </c>
      <c r="O130" s="515">
        <f>'OPEX - Concept B3 - RCCL'!V92</f>
        <v>1218.9944199947574</v>
      </c>
      <c r="P130" s="515">
        <f>'OPEX - Concept B3 - RCCL'!W92</f>
        <v>1243.3743083946524</v>
      </c>
      <c r="Q130" s="515">
        <f>'OPEX - Concept B3 - RCCL'!X92</f>
        <v>1268.2417945625455</v>
      </c>
      <c r="R130" s="515">
        <f>'OPEX - Concept B3 - RCCL'!Y92</f>
        <v>1293.6066304537962</v>
      </c>
      <c r="S130" s="515">
        <f>'OPEX - Concept B3 - RCCL'!Z92</f>
        <v>1319.4787630628723</v>
      </c>
      <c r="T130" s="515">
        <f>'OPEX - Concept B3 - RCCL'!AA92</f>
        <v>1345.8683383241298</v>
      </c>
      <c r="U130" s="515">
        <f>'OPEX - Concept B3 - RCCL'!AB92</f>
        <v>1372.7857050906125</v>
      </c>
      <c r="V130" s="515">
        <f>'OPEX - Concept B3 - RCCL'!AC92</f>
        <v>1400.2414191924249</v>
      </c>
      <c r="W130" s="515">
        <f>'OPEX - Concept B3 - RCCL'!AD92</f>
        <v>1428.2462475762734</v>
      </c>
      <c r="X130" s="515">
        <f>'OPEX - Concept B3 - RCCL'!AE92</f>
        <v>1456.8111725277988</v>
      </c>
    </row>
    <row r="131" spans="1:24" s="96" customFormat="1">
      <c r="A131" s="69" t="s">
        <v>2</v>
      </c>
      <c r="B131" s="69"/>
      <c r="C131" s="69"/>
      <c r="D131" s="514">
        <v>0</v>
      </c>
      <c r="E131" s="515">
        <f>'OPEX - Concept B3 - RCCL'!L93</f>
        <v>1000</v>
      </c>
      <c r="F131" s="515">
        <f>'OPEX - Concept B3 - RCCL'!M93</f>
        <v>1020</v>
      </c>
      <c r="G131" s="515">
        <f>'OPEX - Concept B3 - RCCL'!N93</f>
        <v>1040.4000000000001</v>
      </c>
      <c r="H131" s="515">
        <f>'OPEX - Concept B3 - RCCL'!O93</f>
        <v>1061.2079999999999</v>
      </c>
      <c r="I131" s="515">
        <f>'OPEX - Concept B3 - RCCL'!P93</f>
        <v>1082.4321600000001</v>
      </c>
      <c r="J131" s="515">
        <f>'OPEX - Concept B3 - RCCL'!Q93</f>
        <v>1104.0808032</v>
      </c>
      <c r="K131" s="515">
        <f>'OPEX - Concept B3 - RCCL'!R93</f>
        <v>1126.1624192640002</v>
      </c>
      <c r="L131" s="515">
        <f>'OPEX - Concept B3 - RCCL'!S93</f>
        <v>1148.68566764928</v>
      </c>
      <c r="M131" s="515">
        <f>'OPEX - Concept B3 - RCCL'!T93</f>
        <v>1171.6593810022657</v>
      </c>
      <c r="N131" s="515">
        <f>'OPEX - Concept B3 - RCCL'!U93</f>
        <v>1195.0925686223111</v>
      </c>
      <c r="O131" s="515">
        <f>'OPEX - Concept B3 - RCCL'!V93</f>
        <v>1218.9944199947574</v>
      </c>
      <c r="P131" s="515">
        <f>'OPEX - Concept B3 - RCCL'!W93</f>
        <v>1243.3743083946524</v>
      </c>
      <c r="Q131" s="515">
        <f>'OPEX - Concept B3 - RCCL'!X93</f>
        <v>1268.2417945625455</v>
      </c>
      <c r="R131" s="515">
        <f>'OPEX - Concept B3 - RCCL'!Y93</f>
        <v>1293.6066304537962</v>
      </c>
      <c r="S131" s="515">
        <f>'OPEX - Concept B3 - RCCL'!Z93</f>
        <v>1319.4787630628723</v>
      </c>
      <c r="T131" s="515">
        <f>'OPEX - Concept B3 - RCCL'!AA93</f>
        <v>1345.8683383241298</v>
      </c>
      <c r="U131" s="515">
        <f>'OPEX - Concept B3 - RCCL'!AB93</f>
        <v>1372.7857050906125</v>
      </c>
      <c r="V131" s="515">
        <f>'OPEX - Concept B3 - RCCL'!AC93</f>
        <v>1400.2414191924249</v>
      </c>
      <c r="W131" s="515">
        <f>'OPEX - Concept B3 - RCCL'!AD93</f>
        <v>1428.2462475762734</v>
      </c>
      <c r="X131" s="515">
        <f>'OPEX - Concept B3 - RCCL'!AE93</f>
        <v>1456.8111725277988</v>
      </c>
    </row>
    <row r="132" spans="1:24" s="167" customFormat="1">
      <c r="A132" s="591"/>
      <c r="B132" s="591"/>
      <c r="C132" s="591"/>
      <c r="D132" s="592"/>
      <c r="E132" s="593"/>
      <c r="F132" s="593"/>
      <c r="G132" s="593"/>
      <c r="H132" s="593"/>
      <c r="I132" s="593"/>
      <c r="J132" s="593"/>
      <c r="K132" s="593"/>
      <c r="L132" s="593"/>
      <c r="M132" s="593"/>
      <c r="N132" s="593"/>
      <c r="O132" s="593"/>
      <c r="P132" s="593"/>
      <c r="Q132" s="593"/>
      <c r="R132" s="593"/>
      <c r="S132" s="593"/>
      <c r="T132" s="593"/>
      <c r="U132" s="593"/>
      <c r="V132" s="593"/>
      <c r="W132" s="593"/>
      <c r="X132" s="593"/>
    </row>
    <row r="133" spans="1:24" s="96" customFormat="1">
      <c r="A133" s="69" t="s">
        <v>25</v>
      </c>
      <c r="B133" s="69"/>
      <c r="C133" s="69"/>
      <c r="D133" s="514">
        <v>0</v>
      </c>
      <c r="E133" s="515">
        <f>'OPEX - Concept B3 - RCCL'!L109</f>
        <v>23741.666666666664</v>
      </c>
      <c r="F133" s="515">
        <f>'OPEX - Concept B3 - RCCL'!M109</f>
        <v>24216.5</v>
      </c>
      <c r="G133" s="515">
        <f>'OPEX - Concept B3 - RCCL'!N109</f>
        <v>24700.83</v>
      </c>
      <c r="H133" s="515">
        <f>'OPEX - Concept B3 - RCCL'!O109</f>
        <v>25194.846599999997</v>
      </c>
      <c r="I133" s="515">
        <f>'OPEX - Concept B3 - RCCL'!P109</f>
        <v>25698.743532</v>
      </c>
      <c r="J133" s="515">
        <f>'OPEX - Concept B3 - RCCL'!Q109</f>
        <v>26212.718402639999</v>
      </c>
      <c r="K133" s="515">
        <f>'OPEX - Concept B3 - RCCL'!R109</f>
        <v>26736.972770692802</v>
      </c>
      <c r="L133" s="515">
        <f>'OPEX - Concept B3 - RCCL'!S109</f>
        <v>27271.712226106654</v>
      </c>
      <c r="M133" s="515">
        <f>'OPEX - Concept B3 - RCCL'!T109</f>
        <v>27817.146470628788</v>
      </c>
      <c r="N133" s="515">
        <f>'OPEX - Concept B3 - RCCL'!U109</f>
        <v>28373.48940004137</v>
      </c>
      <c r="O133" s="515">
        <f>'OPEX - Concept B3 - RCCL'!V109</f>
        <v>28940.959188042198</v>
      </c>
      <c r="P133" s="515">
        <f>'OPEX - Concept B3 - RCCL'!W109</f>
        <v>29519.77837180304</v>
      </c>
      <c r="Q133" s="515">
        <f>'OPEX - Concept B3 - RCCL'!X109</f>
        <v>30110.173939239099</v>
      </c>
      <c r="R133" s="515">
        <f>'OPEX - Concept B3 - RCCL'!Y109</f>
        <v>30712.37741802388</v>
      </c>
      <c r="S133" s="515">
        <f>'OPEX - Concept B3 - RCCL'!Z109</f>
        <v>31326.624966384359</v>
      </c>
      <c r="T133" s="515">
        <f>'OPEX - Concept B3 - RCCL'!AA109</f>
        <v>31953.157465712051</v>
      </c>
      <c r="U133" s="515">
        <f>'OPEX - Concept B3 - RCCL'!AB109</f>
        <v>32592.220615026294</v>
      </c>
      <c r="V133" s="515">
        <f>'OPEX - Concept B3 - RCCL'!AC109</f>
        <v>33244.065027326818</v>
      </c>
      <c r="W133" s="515">
        <f>'OPEX - Concept B3 - RCCL'!AD109</f>
        <v>33908.946327873353</v>
      </c>
      <c r="X133" s="515">
        <f>'OPEX - Concept B3 - RCCL'!AE109</f>
        <v>34587.125254430823</v>
      </c>
    </row>
    <row r="134" spans="1:24" s="96" customFormat="1">
      <c r="A134" s="782" t="s">
        <v>426</v>
      </c>
      <c r="B134" s="69"/>
      <c r="C134" s="69"/>
      <c r="D134" s="514">
        <v>0</v>
      </c>
      <c r="E134" s="515">
        <f>'OPEX - Concept B3 - RCCL'!L97</f>
        <v>1000</v>
      </c>
      <c r="F134" s="515">
        <f>'OPEX - Concept B3 - RCCL'!M97</f>
        <v>1020</v>
      </c>
      <c r="G134" s="515">
        <f>'OPEX - Concept B3 - RCCL'!N97</f>
        <v>1040.4000000000001</v>
      </c>
      <c r="H134" s="515">
        <f>'OPEX - Concept B3 - RCCL'!O97</f>
        <v>1061.2079999999999</v>
      </c>
      <c r="I134" s="515">
        <f>'OPEX - Concept B3 - RCCL'!P97</f>
        <v>1082.4321600000001</v>
      </c>
      <c r="J134" s="515">
        <f>'OPEX - Concept B3 - RCCL'!Q97</f>
        <v>25000</v>
      </c>
      <c r="K134" s="515">
        <f>'OPEX - Concept B3 - RCCL'!R97</f>
        <v>25500</v>
      </c>
      <c r="L134" s="515">
        <f>'OPEX - Concept B3 - RCCL'!S97</f>
        <v>26010</v>
      </c>
      <c r="M134" s="515">
        <f>'OPEX - Concept B3 - RCCL'!T97</f>
        <v>26530.199999999997</v>
      </c>
      <c r="N134" s="515">
        <f>'OPEX - Concept B3 - RCCL'!U97</f>
        <v>27060.804</v>
      </c>
      <c r="O134" s="515">
        <f>'OPEX - Concept B3 - RCCL'!V97</f>
        <v>27602.020080000002</v>
      </c>
      <c r="P134" s="515">
        <f>'OPEX - Concept B3 - RCCL'!W97</f>
        <v>28154.060481600001</v>
      </c>
      <c r="Q134" s="515">
        <f>'OPEX - Concept B3 - RCCL'!X97</f>
        <v>28717.141691232002</v>
      </c>
      <c r="R134" s="515">
        <f>'OPEX - Concept B3 - RCCL'!Y97</f>
        <v>29291.484525056643</v>
      </c>
      <c r="S134" s="515">
        <f>'OPEX - Concept B3 - RCCL'!Z97</f>
        <v>29877.314215557777</v>
      </c>
      <c r="T134" s="515">
        <f>'OPEX - Concept B3 - RCCL'!AA97</f>
        <v>30474.860499868933</v>
      </c>
      <c r="U134" s="515">
        <f>'OPEX - Concept B3 - RCCL'!AB97</f>
        <v>31084.357709866312</v>
      </c>
      <c r="V134" s="515">
        <f>'OPEX - Concept B3 - RCCL'!AC97</f>
        <v>31706.044864063639</v>
      </c>
      <c r="W134" s="515">
        <f>'OPEX - Concept B3 - RCCL'!AD97</f>
        <v>32340.165761344906</v>
      </c>
      <c r="X134" s="515">
        <f>'OPEX - Concept B3 - RCCL'!AE97</f>
        <v>32986.969076571811</v>
      </c>
    </row>
    <row r="135" spans="1:24" s="96" customFormat="1">
      <c r="A135" s="644" t="s">
        <v>302</v>
      </c>
      <c r="B135" s="69"/>
      <c r="C135" s="69"/>
      <c r="D135" s="514">
        <v>0</v>
      </c>
      <c r="E135" s="515">
        <f>'Shuttle Projections'!C28/2</f>
        <v>233675</v>
      </c>
      <c r="F135" s="515">
        <f>'Shuttle Projections'!D28</f>
        <v>476697</v>
      </c>
      <c r="G135" s="515">
        <f>'Shuttle Projections'!E28</f>
        <v>486230.94000000006</v>
      </c>
      <c r="H135" s="515">
        <f>'Shuttle Projections'!F28</f>
        <v>495955.55879999994</v>
      </c>
      <c r="I135" s="515">
        <f>'Shuttle Projections'!G28</f>
        <v>505874.66997599998</v>
      </c>
      <c r="J135" s="515">
        <f>'Shuttle Projections'!H28</f>
        <v>515992.16337552003</v>
      </c>
      <c r="K135" s="515">
        <f>'Shuttle Projections'!I28</f>
        <v>526312.00664303044</v>
      </c>
      <c r="L135" s="515">
        <f>'Shuttle Projections'!J28</f>
        <v>536838.24677589093</v>
      </c>
      <c r="M135" s="515">
        <f>'Shuttle Projections'!K28</f>
        <v>547575.01171140897</v>
      </c>
      <c r="N135" s="515">
        <f>'Shuttle Projections'!L28</f>
        <v>558526.51194563706</v>
      </c>
      <c r="O135" s="515">
        <f>'Shuttle Projections'!M28</f>
        <v>569697.04218454985</v>
      </c>
      <c r="P135" s="515">
        <f>'Shuttle Projections'!N28</f>
        <v>581090.98302824085</v>
      </c>
      <c r="Q135" s="515">
        <f>'Shuttle Projections'!O28</f>
        <v>592712.80268880562</v>
      </c>
      <c r="R135" s="515">
        <f>'Shuttle Projections'!P28</f>
        <v>604567.05874258175</v>
      </c>
      <c r="S135" s="515">
        <f>'Shuttle Projections'!Q28</f>
        <v>616658.39991743339</v>
      </c>
      <c r="T135" s="515">
        <f>'Shuttle Projections'!R28</f>
        <v>628991.5679157821</v>
      </c>
      <c r="U135" s="515">
        <f>'Shuttle Projections'!S28</f>
        <v>641571.39927409776</v>
      </c>
      <c r="V135" s="515">
        <f>'Shuttle Projections'!T28</f>
        <v>654402.82725957979</v>
      </c>
      <c r="W135" s="515">
        <f>'Shuttle Projections'!U28</f>
        <v>667490.88380477135</v>
      </c>
      <c r="X135" s="515">
        <f>'Shuttle Projections'!V28</f>
        <v>680840.70148086676</v>
      </c>
    </row>
    <row r="136" spans="1:24" s="16" customFormat="1" ht="14.25">
      <c r="A136" s="282" t="s">
        <v>132</v>
      </c>
      <c r="B136" s="276"/>
      <c r="C136" s="276"/>
      <c r="D136" s="516">
        <f>SUM(D124:D135)</f>
        <v>0</v>
      </c>
      <c r="E136" s="517">
        <f t="shared" ref="E136:X136" si="17">SUM(E125:E135)</f>
        <v>357416.66666666663</v>
      </c>
      <c r="F136" s="517">
        <f t="shared" si="17"/>
        <v>754513.5</v>
      </c>
      <c r="G136" s="517">
        <f t="shared" si="17"/>
        <v>769613.97000000009</v>
      </c>
      <c r="H136" s="517">
        <f t="shared" si="17"/>
        <v>785006.24939999986</v>
      </c>
      <c r="I136" s="517">
        <f t="shared" si="17"/>
        <v>800706.374388</v>
      </c>
      <c r="J136" s="517">
        <f t="shared" si="17"/>
        <v>845064.38067096006</v>
      </c>
      <c r="K136" s="517">
        <f t="shared" si="17"/>
        <v>857428.74949401116</v>
      </c>
      <c r="L136" s="517">
        <f t="shared" si="17"/>
        <v>874577.32448389137</v>
      </c>
      <c r="M136" s="517">
        <f t="shared" si="17"/>
        <v>892068.87097356934</v>
      </c>
      <c r="N136" s="517">
        <f t="shared" si="17"/>
        <v>909910.24839304073</v>
      </c>
      <c r="O136" s="517">
        <f t="shared" si="17"/>
        <v>932498.9561509043</v>
      </c>
      <c r="P136" s="517">
        <f t="shared" si="17"/>
        <v>946670.62242811965</v>
      </c>
      <c r="Q136" s="517">
        <f t="shared" si="17"/>
        <v>965604.03487668198</v>
      </c>
      <c r="R136" s="517">
        <f t="shared" si="17"/>
        <v>984916.11557421566</v>
      </c>
      <c r="S136" s="517">
        <f t="shared" si="17"/>
        <v>1004614.4378856999</v>
      </c>
      <c r="T136" s="517">
        <f t="shared" si="17"/>
        <v>1029033.7924742519</v>
      </c>
      <c r="U136" s="517">
        <f t="shared" si="17"/>
        <v>1045200.8611762824</v>
      </c>
      <c r="V136" s="517">
        <f t="shared" si="17"/>
        <v>1066104.878399808</v>
      </c>
      <c r="W136" s="517">
        <f t="shared" si="17"/>
        <v>1087426.9759678042</v>
      </c>
      <c r="X136" s="517">
        <f t="shared" si="17"/>
        <v>1109175.5154871603</v>
      </c>
    </row>
    <row r="137" spans="1:24">
      <c r="A137" s="92"/>
      <c r="B137" s="69"/>
      <c r="C137" s="69"/>
      <c r="D137" s="514"/>
      <c r="E137" s="515"/>
      <c r="F137" s="515"/>
      <c r="G137" s="515"/>
      <c r="H137" s="515"/>
      <c r="I137" s="515"/>
      <c r="J137" s="515"/>
      <c r="K137" s="515"/>
      <c r="L137" s="515"/>
      <c r="M137" s="515"/>
      <c r="N137" s="515"/>
      <c r="O137" s="515"/>
      <c r="P137" s="515"/>
      <c r="Q137" s="515"/>
      <c r="R137" s="515"/>
      <c r="S137" s="515"/>
      <c r="T137" s="515"/>
      <c r="U137" s="515"/>
      <c r="V137" s="515"/>
      <c r="W137" s="515"/>
      <c r="X137" s="515"/>
    </row>
    <row r="138" spans="1:24">
      <c r="A138" s="269" t="s">
        <v>85</v>
      </c>
      <c r="B138" s="269"/>
      <c r="C138" s="270"/>
      <c r="D138" s="513"/>
      <c r="E138" s="513"/>
      <c r="F138" s="513"/>
      <c r="G138" s="513"/>
      <c r="H138" s="513"/>
      <c r="I138" s="513"/>
      <c r="J138" s="513"/>
      <c r="K138" s="513"/>
      <c r="L138" s="513"/>
      <c r="M138" s="513"/>
      <c r="N138" s="513"/>
      <c r="O138" s="513"/>
      <c r="P138" s="513"/>
      <c r="Q138" s="513"/>
      <c r="R138" s="513"/>
      <c r="S138" s="513"/>
      <c r="T138" s="513"/>
      <c r="U138" s="513"/>
      <c r="V138" s="513"/>
      <c r="W138" s="513"/>
      <c r="X138" s="513"/>
    </row>
    <row r="139" spans="1:24" s="368" customFormat="1">
      <c r="A139" s="263"/>
      <c r="B139" s="263"/>
      <c r="C139" s="367"/>
      <c r="D139" s="514"/>
      <c r="E139" s="515"/>
      <c r="F139" s="515"/>
      <c r="G139" s="515"/>
      <c r="H139" s="515"/>
      <c r="I139" s="515"/>
      <c r="J139" s="515"/>
      <c r="K139" s="515"/>
      <c r="L139" s="515"/>
      <c r="M139" s="515"/>
      <c r="N139" s="515"/>
      <c r="O139" s="515"/>
      <c r="P139" s="515"/>
      <c r="Q139" s="515"/>
      <c r="R139" s="515"/>
      <c r="S139" s="515"/>
      <c r="T139" s="515"/>
      <c r="U139" s="515"/>
      <c r="V139" s="515"/>
      <c r="W139" s="515"/>
      <c r="X139" s="515"/>
    </row>
    <row r="140" spans="1:24" s="58" customFormat="1">
      <c r="A140" s="69" t="s">
        <v>0</v>
      </c>
      <c r="B140" s="263"/>
      <c r="C140" s="783"/>
      <c r="D140" s="514">
        <v>0</v>
      </c>
      <c r="E140" s="515">
        <f>'OPEX - Concept B3 - RCCL'!L132</f>
        <v>0</v>
      </c>
      <c r="F140" s="515">
        <f>'OPEX - Concept B3 - RCCL'!M132</f>
        <v>54570</v>
      </c>
      <c r="G140" s="515">
        <f>'OPEX - Concept B3 - RCCL'!N132</f>
        <v>56774.628000000004</v>
      </c>
      <c r="H140" s="515">
        <f>'OPEX - Concept B3 - RCCL'!O132</f>
        <v>57910.120559999996</v>
      </c>
      <c r="I140" s="515">
        <f>'OPEX - Concept B3 - RCCL'!P132</f>
        <v>59068.322971199988</v>
      </c>
      <c r="J140" s="515">
        <f>'OPEX - Concept B3 - RCCL'!Q132</f>
        <v>60249.689430623999</v>
      </c>
      <c r="K140" s="515">
        <f>'OPEX - Concept B3 - RCCL'!R132</f>
        <v>61454.683219236475</v>
      </c>
      <c r="L140" s="515">
        <f>'OPEX - Concept B3 - RCCL'!S132</f>
        <v>62683.776883621205</v>
      </c>
      <c r="M140" s="515">
        <f>'OPEX - Concept B3 - RCCL'!T132</f>
        <v>63937.452421293638</v>
      </c>
      <c r="N140" s="515">
        <f>'OPEX - Concept B3 - RCCL'!U132</f>
        <v>65216.201469719512</v>
      </c>
      <c r="O140" s="515">
        <f>'OPEX - Concept B3 - RCCL'!V132</f>
        <v>66520.525499113894</v>
      </c>
      <c r="P140" s="515">
        <f>'OPEX - Concept B3 - RCCL'!W132</f>
        <v>67850.936009096185</v>
      </c>
      <c r="Q140" s="515">
        <f>'OPEX - Concept B3 - RCCL'!X132</f>
        <v>69207.954729278121</v>
      </c>
      <c r="R140" s="515">
        <f>'OPEX - Concept B3 - RCCL'!Y132</f>
        <v>70592.113823863678</v>
      </c>
      <c r="S140" s="515">
        <f>'OPEX - Concept B3 - RCCL'!Z132</f>
        <v>72003.956100340947</v>
      </c>
      <c r="T140" s="515">
        <f>'OPEX - Concept B3 - RCCL'!AA132</f>
        <v>73444.035222347768</v>
      </c>
      <c r="U140" s="515">
        <f>'OPEX - Concept B3 - RCCL'!AB132</f>
        <v>74912.915926794725</v>
      </c>
      <c r="V140" s="515">
        <f>'OPEX - Concept B3 - RCCL'!AC132</f>
        <v>76411.174245330621</v>
      </c>
      <c r="W140" s="515">
        <f>'OPEX - Concept B3 - RCCL'!AD132</f>
        <v>77939.397730237237</v>
      </c>
      <c r="X140" s="515">
        <f>'OPEX - Concept B3 - RCCL'!AE132</f>
        <v>79498.18568484197</v>
      </c>
    </row>
    <row r="141" spans="1:24" s="58" customFormat="1">
      <c r="A141" s="69" t="s">
        <v>4</v>
      </c>
      <c r="B141" s="263"/>
      <c r="C141" s="783"/>
      <c r="D141" s="514">
        <v>0</v>
      </c>
      <c r="E141" s="515">
        <f>'OPEX - Concept B3 - RCCL'!L155</f>
        <v>0</v>
      </c>
      <c r="F141" s="515">
        <f>'OPEX - Concept B3 - RCCL'!M155</f>
        <v>85335.846153846156</v>
      </c>
      <c r="G141" s="515">
        <f>'OPEX - Concept B3 - RCCL'!N155</f>
        <v>87042.563076923077</v>
      </c>
      <c r="H141" s="515">
        <f>'OPEX - Concept B3 - RCCL'!O155</f>
        <v>88783.41433846156</v>
      </c>
      <c r="I141" s="515">
        <f>'OPEX - Concept B3 - RCCL'!P155</f>
        <v>90559.082625230774</v>
      </c>
      <c r="J141" s="515">
        <f>'OPEX - Concept B3 - RCCL'!Q155</f>
        <v>92370.264277735376</v>
      </c>
      <c r="K141" s="515">
        <f>'OPEX - Concept B3 - RCCL'!R155</f>
        <v>94217.669563290081</v>
      </c>
      <c r="L141" s="515">
        <f>'OPEX - Concept B3 - RCCL'!S155</f>
        <v>96102.022954555898</v>
      </c>
      <c r="M141" s="515">
        <f>'OPEX - Concept B3 - RCCL'!T155</f>
        <v>98024.063413647003</v>
      </c>
      <c r="N141" s="515">
        <f>'OPEX - Concept B3 - RCCL'!U155</f>
        <v>99984.544681919942</v>
      </c>
      <c r="O141" s="515">
        <f>'OPEX - Concept B3 - RCCL'!V155</f>
        <v>101984.23557555837</v>
      </c>
      <c r="P141" s="515">
        <f>'OPEX - Concept B3 - RCCL'!W155</f>
        <v>104023.92028706953</v>
      </c>
      <c r="Q141" s="515">
        <f>'OPEX - Concept B3 - RCCL'!X155</f>
        <v>106104.39869281092</v>
      </c>
      <c r="R141" s="515">
        <f>'OPEX - Concept B3 - RCCL'!Y155</f>
        <v>108226.48666666714</v>
      </c>
      <c r="S141" s="515">
        <f>'OPEX - Concept B3 - RCCL'!Z155</f>
        <v>110391.01640000047</v>
      </c>
      <c r="T141" s="515">
        <f>'OPEX - Concept B3 - RCCL'!AA155</f>
        <v>112598.8367280005</v>
      </c>
      <c r="U141" s="515">
        <f>'OPEX - Concept B3 - RCCL'!AB155</f>
        <v>114850.8134625605</v>
      </c>
      <c r="V141" s="515">
        <f>'OPEX - Concept B3 - RCCL'!AC155</f>
        <v>117147.82973181173</v>
      </c>
      <c r="W141" s="515">
        <f>'OPEX - Concept B3 - RCCL'!AD155</f>
        <v>119490.78632644797</v>
      </c>
      <c r="X141" s="515">
        <f>'OPEX - Concept B3 - RCCL'!AE155</f>
        <v>121880.60205297693</v>
      </c>
    </row>
    <row r="142" spans="1:24" s="16" customFormat="1" ht="14.25">
      <c r="A142" s="282" t="s">
        <v>133</v>
      </c>
      <c r="B142" s="276"/>
      <c r="C142" s="276"/>
      <c r="D142" s="516">
        <f>SUM(D140:D141)</f>
        <v>0</v>
      </c>
      <c r="E142" s="517">
        <f>SUM(E140:E141)</f>
        <v>0</v>
      </c>
      <c r="F142" s="517">
        <f t="shared" ref="F142:X142" si="18">SUM(F140:F141)</f>
        <v>139905.84615384616</v>
      </c>
      <c r="G142" s="517">
        <f t="shared" si="18"/>
        <v>143817.19107692307</v>
      </c>
      <c r="H142" s="517">
        <f t="shared" si="18"/>
        <v>146693.53489846154</v>
      </c>
      <c r="I142" s="517">
        <f t="shared" si="18"/>
        <v>149627.40559643076</v>
      </c>
      <c r="J142" s="517">
        <f t="shared" si="18"/>
        <v>152619.95370835939</v>
      </c>
      <c r="K142" s="517">
        <f t="shared" si="18"/>
        <v>155672.35278252655</v>
      </c>
      <c r="L142" s="517">
        <f t="shared" si="18"/>
        <v>158785.7998381771</v>
      </c>
      <c r="M142" s="517">
        <f t="shared" si="18"/>
        <v>161961.51583494066</v>
      </c>
      <c r="N142" s="517">
        <f t="shared" si="18"/>
        <v>165200.74615163944</v>
      </c>
      <c r="O142" s="517">
        <f t="shared" si="18"/>
        <v>168504.76107467228</v>
      </c>
      <c r="P142" s="517">
        <f t="shared" si="18"/>
        <v>171874.85629616573</v>
      </c>
      <c r="Q142" s="517">
        <f t="shared" si="18"/>
        <v>175312.35342208904</v>
      </c>
      <c r="R142" s="517">
        <f t="shared" si="18"/>
        <v>178818.60049053084</v>
      </c>
      <c r="S142" s="517">
        <f t="shared" si="18"/>
        <v>182394.97250034142</v>
      </c>
      <c r="T142" s="517">
        <f t="shared" si="18"/>
        <v>186042.87195034826</v>
      </c>
      <c r="U142" s="517">
        <f t="shared" si="18"/>
        <v>189763.72938935523</v>
      </c>
      <c r="V142" s="517">
        <f t="shared" si="18"/>
        <v>193559.00397714233</v>
      </c>
      <c r="W142" s="517">
        <f t="shared" si="18"/>
        <v>197430.18405668519</v>
      </c>
      <c r="X142" s="517">
        <f t="shared" si="18"/>
        <v>201378.7877378189</v>
      </c>
    </row>
    <row r="143" spans="1:24">
      <c r="A143" s="92"/>
      <c r="B143" s="92"/>
      <c r="C143" s="69"/>
      <c r="D143" s="514"/>
      <c r="E143" s="515"/>
      <c r="F143" s="515"/>
      <c r="G143" s="515"/>
      <c r="H143" s="515"/>
      <c r="I143" s="515"/>
      <c r="J143" s="515"/>
      <c r="K143" s="515"/>
      <c r="L143" s="515"/>
      <c r="M143" s="515"/>
      <c r="N143" s="515"/>
      <c r="O143" s="515"/>
      <c r="P143" s="515"/>
      <c r="Q143" s="515"/>
      <c r="R143" s="515"/>
      <c r="S143" s="515"/>
      <c r="T143" s="515"/>
      <c r="U143" s="515"/>
      <c r="V143" s="515"/>
      <c r="W143" s="515"/>
      <c r="X143" s="515"/>
    </row>
    <row r="144" spans="1:24" s="16" customFormat="1" ht="14.25">
      <c r="A144" s="350" t="s">
        <v>118</v>
      </c>
      <c r="B144" s="350"/>
      <c r="C144" s="351"/>
      <c r="D144" s="519">
        <f t="shared" ref="D144:X144" si="19">SUM(D136,D142)</f>
        <v>0</v>
      </c>
      <c r="E144" s="519">
        <f t="shared" si="19"/>
        <v>357416.66666666663</v>
      </c>
      <c r="F144" s="519">
        <f t="shared" si="19"/>
        <v>894419.34615384613</v>
      </c>
      <c r="G144" s="519">
        <f t="shared" si="19"/>
        <v>913431.16107692313</v>
      </c>
      <c r="H144" s="519">
        <f t="shared" si="19"/>
        <v>931699.7842984614</v>
      </c>
      <c r="I144" s="519">
        <f t="shared" si="19"/>
        <v>950333.77998443076</v>
      </c>
      <c r="J144" s="519">
        <f t="shared" si="19"/>
        <v>997684.33437931945</v>
      </c>
      <c r="K144" s="519">
        <f t="shared" si="19"/>
        <v>1013101.1022765377</v>
      </c>
      <c r="L144" s="519">
        <f t="shared" si="19"/>
        <v>1033363.1243220684</v>
      </c>
      <c r="M144" s="519">
        <f t="shared" si="19"/>
        <v>1054030.3868085099</v>
      </c>
      <c r="N144" s="519">
        <f t="shared" si="19"/>
        <v>1075110.9945446802</v>
      </c>
      <c r="O144" s="519">
        <f t="shared" si="19"/>
        <v>1101003.7172255765</v>
      </c>
      <c r="P144" s="519">
        <f t="shared" si="19"/>
        <v>1118545.4787242855</v>
      </c>
      <c r="Q144" s="519">
        <f t="shared" si="19"/>
        <v>1140916.3882987711</v>
      </c>
      <c r="R144" s="519">
        <f t="shared" si="19"/>
        <v>1163734.7160647465</v>
      </c>
      <c r="S144" s="519">
        <f t="shared" si="19"/>
        <v>1187009.4103860413</v>
      </c>
      <c r="T144" s="519">
        <f t="shared" si="19"/>
        <v>1215076.6644246001</v>
      </c>
      <c r="U144" s="519">
        <f t="shared" si="19"/>
        <v>1234964.5905656377</v>
      </c>
      <c r="V144" s="519">
        <f t="shared" si="19"/>
        <v>1259663.8823769502</v>
      </c>
      <c r="W144" s="519">
        <f t="shared" si="19"/>
        <v>1284857.1600244893</v>
      </c>
      <c r="X144" s="519">
        <f t="shared" si="19"/>
        <v>1310554.3032249792</v>
      </c>
    </row>
    <row r="145" spans="1:24" s="222" customFormat="1" ht="14.25">
      <c r="A145" s="280"/>
      <c r="B145" s="280"/>
      <c r="C145" s="263"/>
      <c r="D145" s="518"/>
      <c r="E145" s="520"/>
      <c r="F145" s="520"/>
      <c r="G145" s="520"/>
      <c r="H145" s="520"/>
      <c r="I145" s="520"/>
      <c r="J145" s="520"/>
      <c r="K145" s="520"/>
      <c r="L145" s="520"/>
      <c r="M145" s="520"/>
      <c r="N145" s="520"/>
      <c r="O145" s="520"/>
      <c r="P145" s="520"/>
      <c r="Q145" s="520"/>
      <c r="R145" s="520"/>
      <c r="S145" s="520"/>
      <c r="T145" s="520"/>
      <c r="U145" s="520"/>
      <c r="V145" s="520"/>
      <c r="W145" s="520"/>
      <c r="X145" s="520"/>
    </row>
    <row r="146" spans="1:24" s="222" customFormat="1" ht="14.25">
      <c r="A146" s="271" t="s">
        <v>295</v>
      </c>
      <c r="B146" s="271"/>
      <c r="C146" s="269"/>
      <c r="D146" s="521"/>
      <c r="E146" s="521"/>
      <c r="F146" s="521"/>
      <c r="G146" s="521"/>
      <c r="H146" s="521"/>
      <c r="I146" s="521"/>
      <c r="J146" s="521"/>
      <c r="K146" s="521"/>
      <c r="L146" s="521"/>
      <c r="M146" s="521"/>
      <c r="N146" s="521"/>
      <c r="O146" s="521"/>
      <c r="P146" s="521"/>
      <c r="Q146" s="521"/>
      <c r="R146" s="521"/>
      <c r="S146" s="521"/>
      <c r="T146" s="521"/>
      <c r="U146" s="521"/>
      <c r="V146" s="521"/>
      <c r="W146" s="521"/>
      <c r="X146" s="521"/>
    </row>
    <row r="147" spans="1:24" s="222" customFormat="1" ht="14.25">
      <c r="A147" s="280"/>
      <c r="B147" s="280"/>
      <c r="C147" s="263"/>
      <c r="D147" s="518"/>
      <c r="E147" s="520"/>
      <c r="F147" s="520"/>
      <c r="G147" s="520"/>
      <c r="H147" s="520"/>
      <c r="I147" s="520"/>
      <c r="J147" s="520"/>
      <c r="K147" s="520"/>
      <c r="L147" s="520"/>
      <c r="M147" s="520"/>
      <c r="N147" s="520"/>
      <c r="O147" s="520"/>
      <c r="P147" s="520"/>
      <c r="Q147" s="520"/>
      <c r="R147" s="520"/>
      <c r="S147" s="520"/>
      <c r="T147" s="520"/>
      <c r="U147" s="520"/>
      <c r="V147" s="520"/>
      <c r="W147" s="520"/>
      <c r="X147" s="520"/>
    </row>
    <row r="148" spans="1:24" s="598" customFormat="1">
      <c r="A148" s="539" t="s">
        <v>228</v>
      </c>
      <c r="B148" s="597"/>
      <c r="C148" s="595"/>
      <c r="D148" s="592">
        <v>0</v>
      </c>
      <c r="E148" s="593"/>
      <c r="F148" s="593"/>
      <c r="G148" s="593"/>
      <c r="H148" s="593"/>
      <c r="I148" s="593"/>
      <c r="J148" s="593"/>
      <c r="K148" s="593"/>
      <c r="L148" s="593"/>
      <c r="M148" s="593"/>
      <c r="N148" s="593"/>
      <c r="O148" s="593"/>
      <c r="P148" s="593"/>
      <c r="Q148" s="593"/>
      <c r="R148" s="593"/>
      <c r="S148" s="593"/>
      <c r="T148" s="593"/>
      <c r="U148" s="593"/>
      <c r="V148" s="593"/>
      <c r="W148" s="593"/>
      <c r="X148" s="593"/>
    </row>
    <row r="149" spans="1:24" s="598" customFormat="1">
      <c r="A149" s="599" t="s">
        <v>228</v>
      </c>
      <c r="B149" s="600"/>
      <c r="C149" s="601"/>
      <c r="D149" s="602">
        <v>0</v>
      </c>
      <c r="E149" s="603"/>
      <c r="F149" s="603"/>
      <c r="G149" s="603"/>
      <c r="H149" s="603"/>
      <c r="I149" s="603"/>
      <c r="J149" s="603"/>
      <c r="K149" s="603"/>
      <c r="L149" s="603"/>
      <c r="M149" s="603"/>
      <c r="N149" s="603"/>
      <c r="O149" s="603"/>
      <c r="P149" s="603"/>
      <c r="Q149" s="603"/>
      <c r="R149" s="603"/>
      <c r="S149" s="603"/>
      <c r="T149" s="603"/>
      <c r="U149" s="603"/>
      <c r="V149" s="603"/>
      <c r="W149" s="603"/>
      <c r="X149" s="603"/>
    </row>
    <row r="150" spans="1:24" s="222" customFormat="1" ht="14.25">
      <c r="A150" s="280" t="s">
        <v>296</v>
      </c>
      <c r="B150" s="280"/>
      <c r="C150" s="263"/>
      <c r="D150" s="518">
        <f t="shared" ref="D150:X150" si="20">SUM(D148:D149)</f>
        <v>0</v>
      </c>
      <c r="E150" s="520">
        <f t="shared" si="20"/>
        <v>0</v>
      </c>
      <c r="F150" s="520">
        <f t="shared" si="20"/>
        <v>0</v>
      </c>
      <c r="G150" s="520">
        <f t="shared" si="20"/>
        <v>0</v>
      </c>
      <c r="H150" s="520">
        <f t="shared" si="20"/>
        <v>0</v>
      </c>
      <c r="I150" s="520">
        <f t="shared" si="20"/>
        <v>0</v>
      </c>
      <c r="J150" s="520">
        <f t="shared" si="20"/>
        <v>0</v>
      </c>
      <c r="K150" s="520">
        <f t="shared" si="20"/>
        <v>0</v>
      </c>
      <c r="L150" s="520">
        <f t="shared" si="20"/>
        <v>0</v>
      </c>
      <c r="M150" s="520">
        <f t="shared" si="20"/>
        <v>0</v>
      </c>
      <c r="N150" s="520">
        <f t="shared" si="20"/>
        <v>0</v>
      </c>
      <c r="O150" s="520">
        <f t="shared" si="20"/>
        <v>0</v>
      </c>
      <c r="P150" s="520">
        <f t="shared" si="20"/>
        <v>0</v>
      </c>
      <c r="Q150" s="520">
        <f t="shared" si="20"/>
        <v>0</v>
      </c>
      <c r="R150" s="520">
        <f t="shared" si="20"/>
        <v>0</v>
      </c>
      <c r="S150" s="520">
        <f t="shared" si="20"/>
        <v>0</v>
      </c>
      <c r="T150" s="520">
        <f t="shared" si="20"/>
        <v>0</v>
      </c>
      <c r="U150" s="520">
        <f t="shared" si="20"/>
        <v>0</v>
      </c>
      <c r="V150" s="520">
        <f t="shared" si="20"/>
        <v>0</v>
      </c>
      <c r="W150" s="520">
        <f t="shared" si="20"/>
        <v>0</v>
      </c>
      <c r="X150" s="520">
        <f t="shared" si="20"/>
        <v>0</v>
      </c>
    </row>
    <row r="151" spans="1:24" s="222" customFormat="1">
      <c r="A151" s="280"/>
      <c r="B151" s="280"/>
      <c r="C151" s="263"/>
      <c r="D151" s="514"/>
      <c r="E151" s="515"/>
      <c r="F151" s="520"/>
      <c r="G151" s="520"/>
      <c r="H151" s="520"/>
      <c r="I151" s="520"/>
      <c r="J151" s="520"/>
      <c r="K151" s="520"/>
      <c r="L151" s="520"/>
      <c r="M151" s="520"/>
      <c r="N151" s="520"/>
      <c r="O151" s="520"/>
      <c r="P151" s="520"/>
      <c r="Q151" s="520"/>
      <c r="R151" s="520"/>
      <c r="S151" s="520"/>
      <c r="T151" s="520"/>
      <c r="U151" s="520"/>
      <c r="V151" s="520"/>
      <c r="W151" s="520"/>
      <c r="X151" s="520"/>
    </row>
    <row r="152" spans="1:24" s="222" customFormat="1" ht="14.25">
      <c r="A152" s="296" t="s">
        <v>140</v>
      </c>
      <c r="B152" s="296"/>
      <c r="C152" s="297"/>
      <c r="D152" s="522">
        <f t="shared" ref="D152:X152" si="21">SUM(D144,D150)</f>
        <v>0</v>
      </c>
      <c r="E152" s="522">
        <f t="shared" si="21"/>
        <v>357416.66666666663</v>
      </c>
      <c r="F152" s="522">
        <f t="shared" si="21"/>
        <v>894419.34615384613</v>
      </c>
      <c r="G152" s="522">
        <f t="shared" si="21"/>
        <v>913431.16107692313</v>
      </c>
      <c r="H152" s="522">
        <f t="shared" si="21"/>
        <v>931699.7842984614</v>
      </c>
      <c r="I152" s="522">
        <f t="shared" si="21"/>
        <v>950333.77998443076</v>
      </c>
      <c r="J152" s="522">
        <f t="shared" si="21"/>
        <v>997684.33437931945</v>
      </c>
      <c r="K152" s="522">
        <f t="shared" si="21"/>
        <v>1013101.1022765377</v>
      </c>
      <c r="L152" s="522">
        <f t="shared" si="21"/>
        <v>1033363.1243220684</v>
      </c>
      <c r="M152" s="522">
        <f t="shared" si="21"/>
        <v>1054030.3868085099</v>
      </c>
      <c r="N152" s="522">
        <f t="shared" si="21"/>
        <v>1075110.9945446802</v>
      </c>
      <c r="O152" s="522">
        <f t="shared" si="21"/>
        <v>1101003.7172255765</v>
      </c>
      <c r="P152" s="522">
        <f t="shared" si="21"/>
        <v>1118545.4787242855</v>
      </c>
      <c r="Q152" s="522">
        <f t="shared" si="21"/>
        <v>1140916.3882987711</v>
      </c>
      <c r="R152" s="522">
        <f t="shared" si="21"/>
        <v>1163734.7160647465</v>
      </c>
      <c r="S152" s="522">
        <f t="shared" si="21"/>
        <v>1187009.4103860413</v>
      </c>
      <c r="T152" s="522">
        <f t="shared" si="21"/>
        <v>1215076.6644246001</v>
      </c>
      <c r="U152" s="522">
        <f t="shared" si="21"/>
        <v>1234964.5905656377</v>
      </c>
      <c r="V152" s="522">
        <f t="shared" si="21"/>
        <v>1259663.8823769502</v>
      </c>
      <c r="W152" s="522">
        <f t="shared" si="21"/>
        <v>1284857.1600244893</v>
      </c>
      <c r="X152" s="522">
        <f t="shared" si="21"/>
        <v>1310554.3032249792</v>
      </c>
    </row>
    <row r="153" spans="1:24">
      <c r="A153" s="92"/>
      <c r="B153" s="92"/>
      <c r="C153" s="69"/>
      <c r="D153" s="514"/>
      <c r="E153" s="515"/>
      <c r="F153" s="515"/>
      <c r="G153" s="515"/>
      <c r="H153" s="515"/>
      <c r="I153" s="515"/>
      <c r="J153" s="515"/>
      <c r="K153" s="515"/>
      <c r="L153" s="515"/>
      <c r="M153" s="515"/>
      <c r="N153" s="515"/>
      <c r="O153" s="515"/>
      <c r="P153" s="515"/>
      <c r="Q153" s="515"/>
      <c r="R153" s="515"/>
      <c r="S153" s="515"/>
      <c r="T153" s="515"/>
      <c r="U153" s="515"/>
      <c r="V153" s="515"/>
      <c r="W153" s="515"/>
      <c r="X153" s="515"/>
    </row>
    <row r="154" spans="1:24" s="33" customFormat="1">
      <c r="A154" s="47" t="s">
        <v>7</v>
      </c>
      <c r="B154" s="47" t="s">
        <v>7</v>
      </c>
      <c r="C154" s="78" t="s">
        <v>7</v>
      </c>
      <c r="D154" s="604" t="s">
        <v>7</v>
      </c>
      <c r="E154" s="78" t="s">
        <v>7</v>
      </c>
      <c r="F154" s="78" t="s">
        <v>7</v>
      </c>
      <c r="G154" s="78" t="s">
        <v>7</v>
      </c>
      <c r="H154" s="78" t="s">
        <v>7</v>
      </c>
      <c r="I154" s="78" t="s">
        <v>7</v>
      </c>
      <c r="J154" s="78" t="s">
        <v>7</v>
      </c>
      <c r="K154" s="78" t="s">
        <v>7</v>
      </c>
      <c r="L154" s="78" t="s">
        <v>7</v>
      </c>
      <c r="M154" s="78" t="s">
        <v>7</v>
      </c>
      <c r="N154" s="78" t="s">
        <v>7</v>
      </c>
      <c r="O154" s="78" t="s">
        <v>7</v>
      </c>
      <c r="P154" s="78" t="s">
        <v>7</v>
      </c>
      <c r="Q154" s="78" t="s">
        <v>7</v>
      </c>
      <c r="R154" s="78" t="s">
        <v>7</v>
      </c>
      <c r="S154" s="78" t="s">
        <v>7</v>
      </c>
      <c r="T154" s="78" t="s">
        <v>7</v>
      </c>
      <c r="U154" s="78" t="s">
        <v>7</v>
      </c>
      <c r="V154" s="78" t="s">
        <v>7</v>
      </c>
      <c r="W154" s="78" t="s">
        <v>7</v>
      </c>
      <c r="X154" s="78" t="s">
        <v>7</v>
      </c>
    </row>
    <row r="155" spans="1:24">
      <c r="A155" s="92"/>
      <c r="B155" s="92"/>
      <c r="C155" s="69"/>
      <c r="D155" s="518"/>
      <c r="E155" s="515"/>
      <c r="F155" s="515"/>
      <c r="G155" s="515"/>
      <c r="H155" s="515"/>
      <c r="I155" s="515"/>
      <c r="J155" s="515"/>
      <c r="K155" s="515"/>
      <c r="L155" s="515"/>
      <c r="M155" s="515"/>
      <c r="N155" s="515"/>
      <c r="O155" s="515"/>
      <c r="P155" s="515"/>
      <c r="Q155" s="515"/>
      <c r="R155" s="515"/>
      <c r="S155" s="515"/>
      <c r="T155" s="515"/>
      <c r="U155" s="515"/>
      <c r="V155" s="515"/>
      <c r="W155" s="515"/>
      <c r="X155" s="515"/>
    </row>
    <row r="156" spans="1:24" s="16" customFormat="1" ht="14.25">
      <c r="A156" s="278" t="s">
        <v>116</v>
      </c>
      <c r="B156" s="263"/>
      <c r="C156" s="263"/>
      <c r="D156" s="518">
        <f>D119-(D136+D142)</f>
        <v>0</v>
      </c>
      <c r="E156" s="520">
        <f>E119-E152</f>
        <v>-299391.66666666663</v>
      </c>
      <c r="F156" s="520">
        <f t="shared" ref="F156:X156" si="22">F119-F152</f>
        <v>552755.74802921445</v>
      </c>
      <c r="G156" s="520">
        <f t="shared" si="22"/>
        <v>679419.83498979872</v>
      </c>
      <c r="H156" s="520">
        <f t="shared" si="22"/>
        <v>690788.23168959469</v>
      </c>
      <c r="I156" s="520">
        <f t="shared" si="22"/>
        <v>702383.99632338679</v>
      </c>
      <c r="J156" s="520">
        <f t="shared" si="22"/>
        <v>929772.04745465412</v>
      </c>
      <c r="K156" s="520">
        <f t="shared" si="22"/>
        <v>945806.32219411538</v>
      </c>
      <c r="L156" s="520">
        <f t="shared" si="22"/>
        <v>957624.363637998</v>
      </c>
      <c r="M156" s="520">
        <f t="shared" si="22"/>
        <v>969678.76591075817</v>
      </c>
      <c r="N156" s="520">
        <f t="shared" si="22"/>
        <v>981974.25622897292</v>
      </c>
      <c r="O156" s="520">
        <f t="shared" si="22"/>
        <v>1051688.71606355</v>
      </c>
      <c r="P156" s="520">
        <f t="shared" si="22"/>
        <v>1068871.4469806235</v>
      </c>
      <c r="Q156" s="520">
        <f t="shared" si="22"/>
        <v>1081919.5196702357</v>
      </c>
      <c r="R156" s="520">
        <f t="shared" si="22"/>
        <v>1095228.55381364</v>
      </c>
      <c r="S156" s="520">
        <f t="shared" si="22"/>
        <v>1108803.7686399133</v>
      </c>
      <c r="T156" s="520">
        <f t="shared" si="22"/>
        <v>1179986.9844318735</v>
      </c>
      <c r="U156" s="520">
        <f t="shared" si="22"/>
        <v>1198437.7037679655</v>
      </c>
      <c r="V156" s="520">
        <f t="shared" si="22"/>
        <v>1212843.8303433252</v>
      </c>
      <c r="W156" s="520">
        <f t="shared" si="22"/>
        <v>1227538.0794501919</v>
      </c>
      <c r="X156" s="520">
        <f t="shared" si="22"/>
        <v>1242526.2135391955</v>
      </c>
    </row>
    <row r="157" spans="1:24">
      <c r="A157" s="30"/>
      <c r="B157" s="92"/>
      <c r="C157" s="69"/>
      <c r="D157" s="514"/>
      <c r="E157" s="515"/>
      <c r="F157" s="515"/>
      <c r="G157" s="515"/>
      <c r="H157" s="515"/>
      <c r="I157" s="515"/>
      <c r="J157" s="515"/>
      <c r="K157" s="515"/>
      <c r="L157" s="515"/>
      <c r="M157" s="515"/>
      <c r="N157" s="515"/>
      <c r="O157" s="515"/>
      <c r="P157" s="515"/>
      <c r="Q157" s="515"/>
      <c r="R157" s="515"/>
      <c r="S157" s="515"/>
      <c r="T157" s="515"/>
      <c r="U157" s="515"/>
      <c r="V157" s="515"/>
      <c r="W157" s="515"/>
      <c r="X157" s="515"/>
    </row>
    <row r="158" spans="1:24" s="594" customFormat="1">
      <c r="A158" s="589" t="s">
        <v>125</v>
      </c>
      <c r="B158" s="590"/>
      <c r="C158" s="591"/>
      <c r="D158" s="592">
        <v>0</v>
      </c>
      <c r="E158" s="593">
        <v>0</v>
      </c>
      <c r="F158" s="593">
        <v>0</v>
      </c>
      <c r="G158" s="593">
        <v>0</v>
      </c>
      <c r="H158" s="593">
        <v>0</v>
      </c>
      <c r="I158" s="593">
        <v>0</v>
      </c>
      <c r="J158" s="593">
        <v>0</v>
      </c>
      <c r="K158" s="593">
        <v>0</v>
      </c>
      <c r="L158" s="593">
        <v>0</v>
      </c>
      <c r="M158" s="593">
        <v>0</v>
      </c>
      <c r="N158" s="593">
        <v>0</v>
      </c>
      <c r="O158" s="593">
        <v>0</v>
      </c>
      <c r="P158" s="593">
        <v>0</v>
      </c>
      <c r="Q158" s="593">
        <v>0</v>
      </c>
      <c r="R158" s="593">
        <v>0</v>
      </c>
      <c r="S158" s="593">
        <v>0</v>
      </c>
      <c r="T158" s="593">
        <v>0</v>
      </c>
      <c r="U158" s="593">
        <v>0</v>
      </c>
      <c r="V158" s="593">
        <v>0</v>
      </c>
      <c r="W158" s="593">
        <v>0</v>
      </c>
      <c r="X158" s="593">
        <v>0</v>
      </c>
    </row>
    <row r="159" spans="1:24">
      <c r="A159" s="92"/>
      <c r="B159" s="92"/>
      <c r="C159" s="69"/>
      <c r="D159" s="514"/>
      <c r="E159" s="515"/>
      <c r="F159" s="515"/>
      <c r="G159" s="515"/>
      <c r="H159" s="515"/>
      <c r="I159" s="515"/>
      <c r="J159" s="515"/>
      <c r="K159" s="515"/>
      <c r="L159" s="515"/>
      <c r="M159" s="515"/>
      <c r="N159" s="515"/>
      <c r="O159" s="515"/>
      <c r="P159" s="515"/>
      <c r="Q159" s="515"/>
      <c r="R159" s="515"/>
      <c r="S159" s="515"/>
      <c r="T159" s="515"/>
      <c r="U159" s="515"/>
      <c r="V159" s="515"/>
      <c r="W159" s="515"/>
      <c r="X159" s="515"/>
    </row>
    <row r="160" spans="1:24" s="16" customFormat="1" ht="14.25">
      <c r="A160" s="278" t="s">
        <v>117</v>
      </c>
      <c r="B160" s="278"/>
      <c r="C160" s="263"/>
      <c r="D160" s="518">
        <v>0</v>
      </c>
      <c r="E160" s="520">
        <f>E156-E158</f>
        <v>-299391.66666666663</v>
      </c>
      <c r="F160" s="520">
        <f t="shared" ref="F160:X160" si="23">F156-F158</f>
        <v>552755.74802921445</v>
      </c>
      <c r="G160" s="520">
        <f t="shared" si="23"/>
        <v>679419.83498979872</v>
      </c>
      <c r="H160" s="520">
        <f t="shared" si="23"/>
        <v>690788.23168959469</v>
      </c>
      <c r="I160" s="520">
        <f t="shared" si="23"/>
        <v>702383.99632338679</v>
      </c>
      <c r="J160" s="520">
        <f t="shared" si="23"/>
        <v>929772.04745465412</v>
      </c>
      <c r="K160" s="520">
        <f t="shared" si="23"/>
        <v>945806.32219411538</v>
      </c>
      <c r="L160" s="520">
        <f t="shared" si="23"/>
        <v>957624.363637998</v>
      </c>
      <c r="M160" s="520">
        <f t="shared" si="23"/>
        <v>969678.76591075817</v>
      </c>
      <c r="N160" s="520">
        <f t="shared" si="23"/>
        <v>981974.25622897292</v>
      </c>
      <c r="O160" s="520">
        <f t="shared" si="23"/>
        <v>1051688.71606355</v>
      </c>
      <c r="P160" s="520">
        <f t="shared" si="23"/>
        <v>1068871.4469806235</v>
      </c>
      <c r="Q160" s="520">
        <f t="shared" si="23"/>
        <v>1081919.5196702357</v>
      </c>
      <c r="R160" s="520">
        <f t="shared" si="23"/>
        <v>1095228.55381364</v>
      </c>
      <c r="S160" s="520">
        <f t="shared" si="23"/>
        <v>1108803.7686399133</v>
      </c>
      <c r="T160" s="520">
        <f t="shared" si="23"/>
        <v>1179986.9844318735</v>
      </c>
      <c r="U160" s="520">
        <f t="shared" si="23"/>
        <v>1198437.7037679655</v>
      </c>
      <c r="V160" s="520">
        <f t="shared" si="23"/>
        <v>1212843.8303433252</v>
      </c>
      <c r="W160" s="520">
        <f t="shared" si="23"/>
        <v>1227538.0794501919</v>
      </c>
      <c r="X160" s="520">
        <f t="shared" si="23"/>
        <v>1242526.2135391955</v>
      </c>
    </row>
    <row r="161" spans="1:24">
      <c r="A161" s="92"/>
      <c r="B161" s="92"/>
      <c r="C161" s="69"/>
      <c r="D161" s="514"/>
      <c r="E161" s="515"/>
      <c r="F161" s="515"/>
      <c r="G161" s="515"/>
      <c r="H161" s="515"/>
      <c r="I161" s="515"/>
      <c r="J161" s="515"/>
      <c r="K161" s="515"/>
      <c r="L161" s="515"/>
      <c r="M161" s="515"/>
      <c r="N161" s="515"/>
      <c r="O161" s="515"/>
      <c r="P161" s="515"/>
      <c r="Q161" s="515"/>
      <c r="R161" s="515"/>
      <c r="S161" s="515"/>
      <c r="T161" s="515"/>
      <c r="U161" s="515"/>
      <c r="V161" s="515"/>
      <c r="W161" s="515"/>
      <c r="X161" s="515"/>
    </row>
    <row r="162" spans="1:24">
      <c r="A162" s="271" t="s">
        <v>126</v>
      </c>
      <c r="B162" s="272"/>
      <c r="C162" s="273"/>
      <c r="D162" s="523"/>
      <c r="E162" s="523"/>
      <c r="F162" s="523"/>
      <c r="G162" s="523"/>
      <c r="H162" s="523"/>
      <c r="I162" s="523"/>
      <c r="J162" s="523"/>
      <c r="K162" s="523"/>
      <c r="L162" s="523"/>
      <c r="M162" s="523"/>
      <c r="N162" s="523"/>
      <c r="O162" s="523"/>
      <c r="P162" s="523"/>
      <c r="Q162" s="523"/>
      <c r="R162" s="523"/>
      <c r="S162" s="523"/>
      <c r="T162" s="523"/>
      <c r="U162" s="523"/>
      <c r="V162" s="523"/>
      <c r="W162" s="523"/>
      <c r="X162" s="523"/>
    </row>
    <row r="163" spans="1:24" s="32" customFormat="1">
      <c r="A163" s="280"/>
      <c r="B163" s="91"/>
      <c r="C163" s="69"/>
      <c r="D163" s="514"/>
      <c r="E163" s="515"/>
      <c r="F163" s="515"/>
      <c r="G163" s="515"/>
      <c r="H163" s="515"/>
      <c r="I163" s="515"/>
      <c r="J163" s="515"/>
      <c r="K163" s="515"/>
      <c r="L163" s="515"/>
      <c r="M163" s="515"/>
      <c r="N163" s="515"/>
      <c r="O163" s="515"/>
      <c r="P163" s="515"/>
      <c r="Q163" s="515"/>
      <c r="R163" s="515"/>
      <c r="S163" s="515"/>
      <c r="T163" s="515"/>
      <c r="U163" s="515"/>
      <c r="V163" s="515"/>
      <c r="W163" s="515"/>
      <c r="X163" s="515"/>
    </row>
    <row r="164" spans="1:24" s="96" customFormat="1">
      <c r="A164" s="885" t="s">
        <v>136</v>
      </c>
      <c r="B164" s="719"/>
      <c r="C164" s="69"/>
      <c r="D164" s="514">
        <v>0</v>
      </c>
      <c r="E164" s="515">
        <f>'OPEX - Concept B3 - RCCL'!L170</f>
        <v>0</v>
      </c>
      <c r="F164" s="515">
        <f>'OPEX - Concept B3 - RCCL'!M170</f>
        <v>67225</v>
      </c>
      <c r="G164" s="515">
        <f>'OPEX - Concept B3 - RCCL'!N170</f>
        <v>68569.5</v>
      </c>
      <c r="H164" s="515">
        <f>'OPEX - Concept B3 - RCCL'!O170</f>
        <v>69940.89</v>
      </c>
      <c r="I164" s="515">
        <f>'OPEX - Concept B3 - RCCL'!P170</f>
        <v>71339.707799999989</v>
      </c>
      <c r="J164" s="515">
        <f>'OPEX - Concept B3 - RCCL'!Q170</f>
        <v>72766.501955999993</v>
      </c>
      <c r="K164" s="515">
        <f>'OPEX - Concept B3 - RCCL'!R170</f>
        <v>74221.831995119996</v>
      </c>
      <c r="L164" s="515">
        <f>'OPEX - Concept B3 - RCCL'!S170</f>
        <v>75706.26863502241</v>
      </c>
      <c r="M164" s="515">
        <f>'OPEX - Concept B3 - RCCL'!T170</f>
        <v>77220.394007722847</v>
      </c>
      <c r="N164" s="515">
        <f>'OPEX - Concept B3 - RCCL'!U170</f>
        <v>78764.801887877315</v>
      </c>
      <c r="O164" s="515">
        <f>'OPEX - Concept B3 - RCCL'!V170</f>
        <v>80340.097925634866</v>
      </c>
      <c r="P164" s="515">
        <f>'OPEX - Concept B3 - RCCL'!W170</f>
        <v>81946.899884147555</v>
      </c>
      <c r="Q164" s="515">
        <f>'OPEX - Concept B3 - RCCL'!X170</f>
        <v>83585.837881830506</v>
      </c>
      <c r="R164" s="515">
        <f>'OPEX - Concept B3 - RCCL'!Y170</f>
        <v>85257.554639467126</v>
      </c>
      <c r="S164" s="515">
        <f>'OPEX - Concept B3 - RCCL'!Z170</f>
        <v>86962.705732256451</v>
      </c>
      <c r="T164" s="515">
        <f>'OPEX - Concept B3 - RCCL'!AA170</f>
        <v>88701.959846901591</v>
      </c>
      <c r="U164" s="515">
        <f>'OPEX - Concept B3 - RCCL'!AB170</f>
        <v>90475.999043839634</v>
      </c>
      <c r="V164" s="515">
        <f>'OPEX - Concept B3 - RCCL'!AC170</f>
        <v>92285.519024716428</v>
      </c>
      <c r="W164" s="515">
        <f>'OPEX - Concept B3 - RCCL'!AD170</f>
        <v>94131.229405210761</v>
      </c>
      <c r="X164" s="515">
        <f>'OPEX - Concept B3 - RCCL'!AE170</f>
        <v>96013.853993314973</v>
      </c>
    </row>
    <row r="165" spans="1:24" s="96" customFormat="1">
      <c r="A165" s="885" t="s">
        <v>458</v>
      </c>
      <c r="B165" s="719"/>
      <c r="C165" s="69"/>
      <c r="D165" s="514">
        <v>0</v>
      </c>
      <c r="E165" s="515">
        <f>'OPEX - Concept B3 - RCCL'!L172</f>
        <v>706995.96</v>
      </c>
      <c r="F165" s="515">
        <f>'OPEX - Concept B3 - RCCL'!M172</f>
        <v>706995.96</v>
      </c>
      <c r="G165" s="515">
        <f>'OPEX - Concept B3 - RCCL'!N172</f>
        <v>706995.96</v>
      </c>
      <c r="H165" s="515">
        <f>'OPEX - Concept B3 - RCCL'!O172</f>
        <v>706995.96</v>
      </c>
      <c r="I165" s="515">
        <f>'OPEX - Concept B3 - RCCL'!P172</f>
        <v>706995.96</v>
      </c>
      <c r="J165" s="515">
        <f>'OPEX - Concept B3 - RCCL'!Q172</f>
        <v>706995.96</v>
      </c>
      <c r="K165" s="515">
        <f>'OPEX - Concept B3 - RCCL'!R172</f>
        <v>706995.96</v>
      </c>
      <c r="L165" s="515">
        <f>'OPEX - Concept B3 - RCCL'!S172</f>
        <v>706995.96</v>
      </c>
      <c r="M165" s="515">
        <f>'OPEX - Concept B3 - RCCL'!T172</f>
        <v>706995.96</v>
      </c>
      <c r="N165" s="515">
        <f>'OPEX - Concept B3 - RCCL'!U172</f>
        <v>706995.96</v>
      </c>
      <c r="O165" s="515">
        <f>'OPEX - Concept B3 - RCCL'!V172</f>
        <v>706995.96</v>
      </c>
      <c r="P165" s="515">
        <f>'OPEX - Concept B3 - RCCL'!W172</f>
        <v>706995.96</v>
      </c>
      <c r="Q165" s="515">
        <f>'OPEX - Concept B3 - RCCL'!X172</f>
        <v>706995.96</v>
      </c>
      <c r="R165" s="515">
        <f>'OPEX - Concept B3 - RCCL'!Y172</f>
        <v>706995.96</v>
      </c>
      <c r="S165" s="515">
        <f>'OPEX - Concept B3 - RCCL'!Z172</f>
        <v>706995.96</v>
      </c>
      <c r="T165" s="515">
        <f>'OPEX - Concept B3 - RCCL'!AA172</f>
        <v>706995.96</v>
      </c>
      <c r="U165" s="515">
        <f>'OPEX - Concept B3 - RCCL'!AB172</f>
        <v>706995.96</v>
      </c>
      <c r="V165" s="515">
        <f>'OPEX - Concept B3 - RCCL'!AC172</f>
        <v>706995.96</v>
      </c>
      <c r="W165" s="515">
        <f>'OPEX - Concept B3 - RCCL'!AD172</f>
        <v>706995.96</v>
      </c>
      <c r="X165" s="515">
        <f>'OPEX - Concept B3 - RCCL'!AE172</f>
        <v>706995.96</v>
      </c>
    </row>
    <row r="166" spans="1:24" s="341" customFormat="1">
      <c r="A166" s="696" t="s">
        <v>315</v>
      </c>
      <c r="B166" s="697"/>
      <c r="C166" s="698"/>
      <c r="D166" s="699">
        <v>0</v>
      </c>
      <c r="E166" s="700">
        <v>0</v>
      </c>
      <c r="F166" s="700">
        <v>0</v>
      </c>
      <c r="G166" s="700">
        <v>0</v>
      </c>
      <c r="H166" s="700">
        <v>0</v>
      </c>
      <c r="I166" s="700">
        <v>0</v>
      </c>
      <c r="J166" s="700">
        <v>0</v>
      </c>
      <c r="K166" s="700">
        <v>0</v>
      </c>
      <c r="L166" s="700">
        <v>0</v>
      </c>
      <c r="M166" s="700">
        <v>0</v>
      </c>
      <c r="N166" s="700">
        <v>0</v>
      </c>
      <c r="O166" s="700">
        <v>0</v>
      </c>
      <c r="P166" s="700">
        <v>0</v>
      </c>
      <c r="Q166" s="700">
        <v>0</v>
      </c>
      <c r="R166" s="700">
        <v>0</v>
      </c>
      <c r="S166" s="700">
        <v>0</v>
      </c>
      <c r="T166" s="700">
        <v>0</v>
      </c>
      <c r="U166" s="700">
        <v>0</v>
      </c>
      <c r="V166" s="700">
        <v>0</v>
      </c>
      <c r="W166" s="700">
        <v>0</v>
      </c>
      <c r="X166" s="700">
        <v>0</v>
      </c>
    </row>
    <row r="167" spans="1:24" s="32" customFormat="1">
      <c r="A167" s="93" t="s">
        <v>316</v>
      </c>
      <c r="B167" s="298"/>
      <c r="C167" s="298"/>
      <c r="D167" s="505">
        <v>0</v>
      </c>
      <c r="E167" s="506">
        <v>246000</v>
      </c>
      <c r="F167" s="506">
        <v>246000</v>
      </c>
      <c r="G167" s="506">
        <v>246000</v>
      </c>
      <c r="H167" s="506">
        <v>246000</v>
      </c>
      <c r="I167" s="506">
        <v>246000</v>
      </c>
      <c r="J167" s="506">
        <v>246000</v>
      </c>
      <c r="K167" s="506">
        <v>246000</v>
      </c>
      <c r="L167" s="506">
        <v>246000</v>
      </c>
      <c r="M167" s="506">
        <v>246000</v>
      </c>
      <c r="N167" s="506">
        <v>246000</v>
      </c>
      <c r="O167" s="506">
        <v>246000</v>
      </c>
      <c r="P167" s="506">
        <v>246000</v>
      </c>
      <c r="Q167" s="506">
        <v>246000</v>
      </c>
      <c r="R167" s="506">
        <v>246000</v>
      </c>
      <c r="S167" s="506">
        <v>246000</v>
      </c>
      <c r="T167" s="506">
        <v>246000</v>
      </c>
      <c r="U167" s="506">
        <v>246000</v>
      </c>
      <c r="V167" s="506">
        <v>246000</v>
      </c>
      <c r="W167" s="506">
        <v>246000</v>
      </c>
      <c r="X167" s="506">
        <v>246000</v>
      </c>
    </row>
    <row r="168" spans="1:24" s="222" customFormat="1" ht="14.25">
      <c r="A168" s="263" t="s">
        <v>134</v>
      </c>
      <c r="B168" s="264"/>
      <c r="C168" s="264"/>
      <c r="D168" s="524">
        <f>SUM(D164:D167)</f>
        <v>0</v>
      </c>
      <c r="E168" s="525">
        <f t="shared" ref="E168:X168" si="24">SUM(E164:E167)</f>
        <v>952995.96</v>
      </c>
      <c r="F168" s="525">
        <f t="shared" si="24"/>
        <v>1020220.96</v>
      </c>
      <c r="G168" s="525">
        <f t="shared" si="24"/>
        <v>1021565.46</v>
      </c>
      <c r="H168" s="525">
        <f t="shared" si="24"/>
        <v>1022936.85</v>
      </c>
      <c r="I168" s="525">
        <f t="shared" si="24"/>
        <v>1024335.6677999999</v>
      </c>
      <c r="J168" s="525">
        <f t="shared" si="24"/>
        <v>1025762.461956</v>
      </c>
      <c r="K168" s="525">
        <f t="shared" si="24"/>
        <v>1027217.79199512</v>
      </c>
      <c r="L168" s="525">
        <f t="shared" si="24"/>
        <v>1028702.2286350224</v>
      </c>
      <c r="M168" s="525">
        <f t="shared" si="24"/>
        <v>1030216.3540077228</v>
      </c>
      <c r="N168" s="525">
        <f t="shared" si="24"/>
        <v>1031760.7618878772</v>
      </c>
      <c r="O168" s="525">
        <f t="shared" si="24"/>
        <v>1033336.0579256348</v>
      </c>
      <c r="P168" s="525">
        <f t="shared" si="24"/>
        <v>1034942.8598841475</v>
      </c>
      <c r="Q168" s="525">
        <f t="shared" si="24"/>
        <v>1036581.7978818305</v>
      </c>
      <c r="R168" s="525">
        <f t="shared" si="24"/>
        <v>1038253.5146394671</v>
      </c>
      <c r="S168" s="525">
        <f t="shared" si="24"/>
        <v>1039958.6657322564</v>
      </c>
      <c r="T168" s="525">
        <f t="shared" si="24"/>
        <v>1041697.9198469016</v>
      </c>
      <c r="U168" s="525">
        <f t="shared" si="24"/>
        <v>1043471.9590438396</v>
      </c>
      <c r="V168" s="525">
        <f t="shared" si="24"/>
        <v>1045281.4790247164</v>
      </c>
      <c r="W168" s="525">
        <f t="shared" si="24"/>
        <v>1047127.1894052108</v>
      </c>
      <c r="X168" s="525">
        <f t="shared" si="24"/>
        <v>1049009.813993315</v>
      </c>
    </row>
    <row r="169" spans="1:24" s="32" customFormat="1">
      <c r="A169" s="69"/>
      <c r="B169" s="90"/>
      <c r="C169" s="90"/>
      <c r="D169" s="526"/>
      <c r="E169" s="527"/>
      <c r="F169" s="527"/>
      <c r="G169" s="527"/>
      <c r="H169" s="527"/>
      <c r="I169" s="527"/>
      <c r="J169" s="527"/>
      <c r="K169" s="527"/>
      <c r="L169" s="527"/>
      <c r="M169" s="527"/>
      <c r="N169" s="527"/>
      <c r="O169" s="527"/>
      <c r="P169" s="527"/>
      <c r="Q169" s="527"/>
      <c r="R169" s="527"/>
      <c r="S169" s="527"/>
      <c r="T169" s="527"/>
      <c r="U169" s="527"/>
      <c r="V169" s="527"/>
      <c r="W169" s="527"/>
      <c r="X169" s="527"/>
    </row>
    <row r="170" spans="1:24" s="32" customFormat="1">
      <c r="A170" s="94" t="s">
        <v>137</v>
      </c>
      <c r="C170" s="69"/>
      <c r="D170" s="514">
        <v>0</v>
      </c>
      <c r="E170" s="515">
        <f>E160-E164</f>
        <v>-299391.66666666663</v>
      </c>
      <c r="F170" s="515">
        <f t="shared" ref="F170:X170" si="25">F156-F164</f>
        <v>485530.74802921445</v>
      </c>
      <c r="G170" s="515">
        <f t="shared" si="25"/>
        <v>610850.33498979872</v>
      </c>
      <c r="H170" s="515">
        <f t="shared" si="25"/>
        <v>620847.34168959467</v>
      </c>
      <c r="I170" s="515">
        <f t="shared" si="25"/>
        <v>631044.28852338681</v>
      </c>
      <c r="J170" s="515">
        <f t="shared" si="25"/>
        <v>857005.54549865413</v>
      </c>
      <c r="K170" s="515">
        <f t="shared" si="25"/>
        <v>871584.49019899534</v>
      </c>
      <c r="L170" s="515">
        <f t="shared" si="25"/>
        <v>881918.09500297555</v>
      </c>
      <c r="M170" s="515">
        <f t="shared" si="25"/>
        <v>892458.37190303532</v>
      </c>
      <c r="N170" s="515">
        <f t="shared" si="25"/>
        <v>903209.45434109564</v>
      </c>
      <c r="O170" s="515">
        <f t="shared" si="25"/>
        <v>971348.61813791515</v>
      </c>
      <c r="P170" s="515">
        <f t="shared" si="25"/>
        <v>986924.54709647596</v>
      </c>
      <c r="Q170" s="515">
        <f t="shared" si="25"/>
        <v>998333.68178840517</v>
      </c>
      <c r="R170" s="515">
        <f t="shared" si="25"/>
        <v>1009970.9991741729</v>
      </c>
      <c r="S170" s="515">
        <f t="shared" si="25"/>
        <v>1021841.0629076569</v>
      </c>
      <c r="T170" s="515">
        <f t="shared" si="25"/>
        <v>1091285.0245849718</v>
      </c>
      <c r="U170" s="515">
        <f t="shared" si="25"/>
        <v>1107961.704724126</v>
      </c>
      <c r="V170" s="515">
        <f t="shared" si="25"/>
        <v>1120558.3113186087</v>
      </c>
      <c r="W170" s="515">
        <f t="shared" si="25"/>
        <v>1133406.8500449811</v>
      </c>
      <c r="X170" s="515">
        <f t="shared" si="25"/>
        <v>1146512.3595458805</v>
      </c>
    </row>
    <row r="171" spans="1:24" ht="16.5" customHeight="1">
      <c r="A171" s="88" t="s">
        <v>128</v>
      </c>
      <c r="B171" s="98"/>
      <c r="C171" s="98"/>
      <c r="D171" s="528">
        <v>0</v>
      </c>
      <c r="E171" s="529">
        <f>E160-E168</f>
        <v>-1252387.6266666665</v>
      </c>
      <c r="F171" s="529">
        <f t="shared" ref="F171:X171" si="26">F160-F168</f>
        <v>-467465.21197078552</v>
      </c>
      <c r="G171" s="529">
        <f t="shared" si="26"/>
        <v>-342145.62501020124</v>
      </c>
      <c r="H171" s="529">
        <f t="shared" si="26"/>
        <v>-332148.61831040529</v>
      </c>
      <c r="I171" s="529">
        <f t="shared" si="26"/>
        <v>-321951.67147661315</v>
      </c>
      <c r="J171" s="529">
        <f t="shared" si="26"/>
        <v>-95990.414501345833</v>
      </c>
      <c r="K171" s="529">
        <f t="shared" si="26"/>
        <v>-81411.469801004627</v>
      </c>
      <c r="L171" s="529">
        <f t="shared" si="26"/>
        <v>-71077.864997024415</v>
      </c>
      <c r="M171" s="529">
        <f t="shared" si="26"/>
        <v>-60537.588096964639</v>
      </c>
      <c r="N171" s="529">
        <f t="shared" si="26"/>
        <v>-49786.505658904323</v>
      </c>
      <c r="O171" s="529">
        <f t="shared" si="26"/>
        <v>18352.65813791519</v>
      </c>
      <c r="P171" s="529">
        <f t="shared" si="26"/>
        <v>33928.587096475996</v>
      </c>
      <c r="Q171" s="529">
        <f t="shared" si="26"/>
        <v>45337.721788405208</v>
      </c>
      <c r="R171" s="529">
        <f t="shared" si="26"/>
        <v>56975.039174172911</v>
      </c>
      <c r="S171" s="529">
        <f t="shared" si="26"/>
        <v>68845.102907656925</v>
      </c>
      <c r="T171" s="529">
        <f t="shared" si="26"/>
        <v>138289.06458497199</v>
      </c>
      <c r="U171" s="529">
        <f t="shared" si="26"/>
        <v>154965.74472412595</v>
      </c>
      <c r="V171" s="529">
        <f t="shared" si="26"/>
        <v>167562.35131860874</v>
      </c>
      <c r="W171" s="529">
        <f t="shared" si="26"/>
        <v>180410.89004498115</v>
      </c>
      <c r="X171" s="529">
        <f t="shared" si="26"/>
        <v>193516.3995458805</v>
      </c>
    </row>
    <row r="172" spans="1:24" ht="16.5" customHeight="1">
      <c r="A172" s="88"/>
      <c r="B172" s="88"/>
      <c r="C172" s="88"/>
      <c r="D172" s="526"/>
      <c r="E172" s="527"/>
      <c r="F172" s="527"/>
      <c r="G172" s="527"/>
      <c r="H172" s="527"/>
      <c r="I172" s="527"/>
      <c r="J172" s="527"/>
      <c r="K172" s="527"/>
      <c r="L172" s="527"/>
      <c r="M172" s="527"/>
      <c r="N172" s="527"/>
      <c r="O172" s="527"/>
      <c r="P172" s="527"/>
      <c r="Q172" s="527"/>
      <c r="R172" s="527"/>
      <c r="S172" s="527"/>
      <c r="T172" s="527"/>
      <c r="U172" s="527"/>
      <c r="V172" s="527"/>
      <c r="W172" s="527"/>
      <c r="X172" s="527"/>
    </row>
    <row r="173" spans="1:24" ht="16.5" customHeight="1">
      <c r="A173" s="88" t="s">
        <v>129</v>
      </c>
      <c r="B173" s="632">
        <f>NPV(Cost_of_Money__DPC,E160:X160)</f>
        <v>18578656.716492336</v>
      </c>
      <c r="C173" s="88"/>
      <c r="D173" s="526"/>
      <c r="E173" s="527"/>
      <c r="F173" s="527"/>
      <c r="G173" s="527"/>
      <c r="H173" s="527"/>
      <c r="I173" s="527"/>
      <c r="J173" s="527"/>
      <c r="K173" s="527"/>
      <c r="L173" s="527"/>
      <c r="M173" s="527"/>
      <c r="N173" s="527"/>
      <c r="O173" s="527"/>
      <c r="P173" s="527"/>
      <c r="Q173" s="527"/>
      <c r="R173" s="527"/>
      <c r="S173" s="527"/>
      <c r="T173" s="527"/>
      <c r="U173" s="527"/>
      <c r="V173" s="527"/>
      <c r="W173" s="527"/>
      <c r="X173" s="527"/>
    </row>
    <row r="174" spans="1:24" ht="16.5" customHeight="1">
      <c r="A174" s="300" t="s">
        <v>130</v>
      </c>
      <c r="B174" s="733">
        <f>SUM(E171:X171)</f>
        <v>-2016719.0371667212</v>
      </c>
      <c r="C174" s="301"/>
      <c r="D174" s="530">
        <v>0</v>
      </c>
      <c r="E174" s="530">
        <f>E160-E168</f>
        <v>-1252387.6266666665</v>
      </c>
      <c r="F174" s="530">
        <f t="shared" ref="F174:X174" si="27">F160-F168</f>
        <v>-467465.21197078552</v>
      </c>
      <c r="G174" s="530">
        <f t="shared" si="27"/>
        <v>-342145.62501020124</v>
      </c>
      <c r="H174" s="530">
        <f t="shared" si="27"/>
        <v>-332148.61831040529</v>
      </c>
      <c r="I174" s="530">
        <f t="shared" si="27"/>
        <v>-321951.67147661315</v>
      </c>
      <c r="J174" s="530">
        <f t="shared" si="27"/>
        <v>-95990.414501345833</v>
      </c>
      <c r="K174" s="530">
        <f t="shared" si="27"/>
        <v>-81411.469801004627</v>
      </c>
      <c r="L174" s="530">
        <f t="shared" si="27"/>
        <v>-71077.864997024415</v>
      </c>
      <c r="M174" s="530">
        <f t="shared" si="27"/>
        <v>-60537.588096964639</v>
      </c>
      <c r="N174" s="530">
        <f t="shared" si="27"/>
        <v>-49786.505658904323</v>
      </c>
      <c r="O174" s="530">
        <f t="shared" si="27"/>
        <v>18352.65813791519</v>
      </c>
      <c r="P174" s="530">
        <f t="shared" si="27"/>
        <v>33928.587096475996</v>
      </c>
      <c r="Q174" s="530">
        <f t="shared" si="27"/>
        <v>45337.721788405208</v>
      </c>
      <c r="R174" s="530">
        <f t="shared" si="27"/>
        <v>56975.039174172911</v>
      </c>
      <c r="S174" s="530">
        <f t="shared" si="27"/>
        <v>68845.102907656925</v>
      </c>
      <c r="T174" s="530">
        <f t="shared" si="27"/>
        <v>138289.06458497199</v>
      </c>
      <c r="U174" s="530">
        <f t="shared" si="27"/>
        <v>154965.74472412595</v>
      </c>
      <c r="V174" s="530">
        <f t="shared" si="27"/>
        <v>167562.35131860874</v>
      </c>
      <c r="W174" s="530">
        <f t="shared" si="27"/>
        <v>180410.89004498115</v>
      </c>
      <c r="X174" s="530">
        <f t="shared" si="27"/>
        <v>193516.3995458805</v>
      </c>
    </row>
    <row r="175" spans="1:24" s="58" customFormat="1" ht="16.5" customHeight="1">
      <c r="A175" s="90" t="s">
        <v>32</v>
      </c>
      <c r="B175" s="792">
        <f>IRR(E174:X174)</f>
        <v>-7.1962075080338028E-2</v>
      </c>
      <c r="C175" s="356"/>
      <c r="D175" s="502"/>
      <c r="E175" s="504"/>
      <c r="F175" s="504"/>
      <c r="G175" s="504"/>
      <c r="H175" s="504"/>
      <c r="I175" s="504"/>
      <c r="J175" s="504"/>
      <c r="K175" s="504"/>
      <c r="L175" s="504"/>
      <c r="M175" s="504"/>
      <c r="N175" s="504"/>
      <c r="O175" s="504"/>
      <c r="P175" s="504"/>
      <c r="Q175" s="504"/>
      <c r="R175" s="504"/>
      <c r="S175" s="504"/>
      <c r="T175" s="504"/>
      <c r="U175" s="504"/>
      <c r="V175" s="504"/>
      <c r="W175" s="504"/>
      <c r="X175" s="504"/>
    </row>
    <row r="176" spans="1:24">
      <c r="A176" s="30"/>
      <c r="B176" s="30"/>
      <c r="C176" s="30"/>
      <c r="D176" s="502"/>
      <c r="E176" s="512"/>
      <c r="F176" s="512"/>
      <c r="G176" s="512"/>
      <c r="H176" s="512"/>
      <c r="I176" s="512"/>
      <c r="J176" s="512"/>
      <c r="K176" s="512"/>
      <c r="L176" s="512"/>
      <c r="M176" s="512"/>
      <c r="N176" s="512"/>
      <c r="O176" s="512"/>
      <c r="P176" s="512"/>
      <c r="Q176" s="512"/>
      <c r="R176" s="512"/>
      <c r="S176" s="512"/>
      <c r="T176" s="512"/>
      <c r="U176" s="512"/>
      <c r="V176" s="512"/>
      <c r="W176" s="512"/>
      <c r="X176" s="512"/>
    </row>
    <row r="177" spans="1:24">
      <c r="A177" s="274" t="s">
        <v>28</v>
      </c>
      <c r="B177" s="275"/>
      <c r="C177" s="275"/>
      <c r="D177" s="531"/>
      <c r="E177" s="531"/>
      <c r="F177" s="531"/>
      <c r="G177" s="531"/>
      <c r="H177" s="531"/>
      <c r="I177" s="531"/>
      <c r="J177" s="531"/>
      <c r="K177" s="531"/>
      <c r="L177" s="531"/>
      <c r="M177" s="531"/>
      <c r="N177" s="531"/>
      <c r="O177" s="531"/>
      <c r="P177" s="531"/>
      <c r="Q177" s="531"/>
      <c r="R177" s="531"/>
      <c r="S177" s="531"/>
      <c r="T177" s="531"/>
      <c r="U177" s="531"/>
      <c r="V177" s="531"/>
      <c r="W177" s="531"/>
      <c r="X177" s="531"/>
    </row>
    <row r="178" spans="1:24">
      <c r="A178" s="30"/>
      <c r="B178" s="30"/>
      <c r="C178" s="30"/>
      <c r="D178" s="502"/>
      <c r="E178" s="512"/>
      <c r="F178" s="512"/>
      <c r="G178" s="512"/>
      <c r="H178" s="512"/>
      <c r="I178" s="512"/>
      <c r="J178" s="512"/>
      <c r="K178" s="512"/>
      <c r="L178" s="512"/>
      <c r="M178" s="512"/>
      <c r="N178" s="512"/>
      <c r="O178" s="512"/>
      <c r="P178" s="512"/>
      <c r="Q178" s="512"/>
      <c r="R178" s="512"/>
      <c r="S178" s="512"/>
      <c r="T178" s="512"/>
      <c r="U178" s="512"/>
      <c r="V178" s="512"/>
      <c r="W178" s="512"/>
      <c r="X178" s="512"/>
    </row>
    <row r="179" spans="1:24">
      <c r="A179" s="30" t="s">
        <v>300</v>
      </c>
      <c r="B179" s="30"/>
      <c r="C179" s="87"/>
      <c r="D179" s="502">
        <v>0</v>
      </c>
      <c r="E179" s="512"/>
      <c r="F179" s="512"/>
      <c r="G179" s="512"/>
      <c r="H179" s="512"/>
      <c r="I179" s="512"/>
      <c r="J179" s="512"/>
      <c r="K179" s="512"/>
      <c r="L179" s="512"/>
      <c r="M179" s="512"/>
      <c r="N179" s="512"/>
      <c r="O179" s="512"/>
      <c r="P179" s="512"/>
      <c r="Q179" s="512"/>
      <c r="R179" s="512"/>
      <c r="S179" s="512"/>
      <c r="T179" s="512"/>
      <c r="U179" s="512"/>
      <c r="V179" s="512"/>
      <c r="W179" s="512"/>
      <c r="X179" s="512"/>
    </row>
    <row r="180" spans="1:24">
      <c r="A180" s="30" t="s">
        <v>301</v>
      </c>
      <c r="B180" s="30"/>
      <c r="C180" s="30"/>
      <c r="D180" s="502">
        <v>0</v>
      </c>
      <c r="E180" s="512"/>
      <c r="F180" s="512"/>
      <c r="G180" s="512"/>
      <c r="H180" s="512"/>
      <c r="I180" s="512"/>
      <c r="J180" s="512"/>
      <c r="K180" s="512"/>
      <c r="L180" s="512"/>
      <c r="M180" s="512"/>
      <c r="N180" s="512"/>
      <c r="O180" s="512"/>
      <c r="P180" s="512"/>
      <c r="Q180" s="512"/>
      <c r="R180" s="512"/>
      <c r="S180" s="512"/>
      <c r="T180" s="512"/>
      <c r="U180" s="512"/>
      <c r="V180" s="512"/>
      <c r="W180" s="512"/>
      <c r="X180" s="512"/>
    </row>
    <row r="181" spans="1:24">
      <c r="A181" s="30"/>
      <c r="B181" s="30"/>
      <c r="C181" s="30"/>
      <c r="D181" s="502"/>
      <c r="E181" s="512"/>
      <c r="F181" s="512"/>
      <c r="G181" s="512"/>
      <c r="H181" s="512"/>
      <c r="I181" s="512"/>
      <c r="J181" s="512"/>
      <c r="K181" s="512"/>
      <c r="L181" s="512"/>
      <c r="M181" s="512"/>
      <c r="N181" s="512"/>
      <c r="O181" s="512"/>
      <c r="P181" s="512"/>
      <c r="Q181" s="512"/>
      <c r="R181" s="512"/>
      <c r="S181" s="512"/>
      <c r="T181" s="512"/>
      <c r="U181" s="512"/>
      <c r="V181" s="512"/>
      <c r="W181" s="512"/>
      <c r="X181" s="512"/>
    </row>
    <row r="182" spans="1:24">
      <c r="A182" s="30" t="s">
        <v>298</v>
      </c>
      <c r="B182" s="30"/>
      <c r="C182" s="30"/>
      <c r="D182" s="502">
        <v>0</v>
      </c>
      <c r="E182" s="512"/>
      <c r="F182" s="512"/>
      <c r="G182" s="512"/>
      <c r="H182" s="512"/>
      <c r="I182" s="512"/>
      <c r="J182" s="512"/>
      <c r="K182" s="512"/>
      <c r="L182" s="512"/>
      <c r="M182" s="512"/>
      <c r="N182" s="512"/>
      <c r="O182" s="512"/>
      <c r="P182" s="512"/>
      <c r="Q182" s="512"/>
      <c r="R182" s="512"/>
      <c r="S182" s="512"/>
      <c r="T182" s="512"/>
      <c r="U182" s="512"/>
      <c r="V182" s="512"/>
      <c r="W182" s="512"/>
      <c r="X182" s="512"/>
    </row>
    <row r="183" spans="1:24">
      <c r="A183" s="30" t="s">
        <v>299</v>
      </c>
      <c r="B183" s="30"/>
      <c r="C183" s="30"/>
      <c r="D183" s="502">
        <v>0</v>
      </c>
      <c r="E183" s="512"/>
      <c r="F183" s="512"/>
      <c r="G183" s="512"/>
      <c r="H183" s="512"/>
      <c r="I183" s="512"/>
      <c r="J183" s="512"/>
      <c r="K183" s="512"/>
      <c r="L183" s="512"/>
      <c r="M183" s="512"/>
      <c r="N183" s="512"/>
      <c r="O183" s="512"/>
      <c r="P183" s="512"/>
      <c r="Q183" s="512"/>
      <c r="R183" s="512"/>
      <c r="S183" s="512"/>
      <c r="T183" s="512"/>
      <c r="U183" s="512"/>
      <c r="V183" s="512"/>
      <c r="W183" s="512"/>
      <c r="X183" s="512"/>
    </row>
    <row r="184" spans="1:24">
      <c r="D184" s="502"/>
      <c r="E184" s="532"/>
      <c r="F184" s="532"/>
      <c r="G184" s="532"/>
      <c r="H184" s="532"/>
      <c r="I184" s="532"/>
      <c r="J184" s="532"/>
      <c r="K184" s="532"/>
      <c r="L184" s="532"/>
      <c r="M184" s="532"/>
      <c r="N184" s="532"/>
      <c r="O184" s="532"/>
      <c r="P184" s="532"/>
      <c r="Q184" s="532"/>
      <c r="R184" s="532"/>
      <c r="S184" s="532"/>
      <c r="T184" s="532"/>
      <c r="U184" s="532"/>
      <c r="V184" s="532"/>
      <c r="W184" s="532"/>
      <c r="X184" s="532"/>
    </row>
    <row r="185" spans="1:24">
      <c r="A185" s="131"/>
      <c r="B185" s="131"/>
      <c r="C185" s="131"/>
      <c r="D185" s="493"/>
      <c r="E185" s="334"/>
      <c r="F185" s="334"/>
      <c r="G185" s="334"/>
      <c r="H185" s="334"/>
      <c r="I185" s="334"/>
      <c r="J185" s="334"/>
      <c r="K185" s="334"/>
      <c r="L185" s="334"/>
      <c r="M185" s="334"/>
      <c r="N185" s="334"/>
      <c r="O185" s="334"/>
      <c r="P185" s="334"/>
      <c r="Q185" s="334"/>
      <c r="R185" s="334"/>
      <c r="S185" s="334"/>
      <c r="T185" s="334"/>
      <c r="U185" s="334"/>
      <c r="V185" s="334"/>
      <c r="W185" s="334"/>
      <c r="X185" s="334"/>
    </row>
    <row r="186" spans="1:24">
      <c r="D186" s="494"/>
      <c r="E186" s="327"/>
      <c r="F186" s="327"/>
      <c r="G186" s="327"/>
      <c r="H186" s="327"/>
      <c r="I186" s="327"/>
      <c r="J186" s="327"/>
      <c r="K186" s="327"/>
      <c r="L186" s="327"/>
      <c r="M186" s="327"/>
      <c r="N186" s="327"/>
      <c r="O186" s="327"/>
      <c r="P186" s="327"/>
      <c r="Q186" s="327"/>
      <c r="R186" s="327"/>
      <c r="S186" s="327"/>
      <c r="T186" s="327"/>
      <c r="U186" s="327"/>
      <c r="V186" s="327"/>
      <c r="W186" s="327"/>
      <c r="X186" s="327"/>
    </row>
    <row r="187" spans="1:24">
      <c r="A187"/>
      <c r="D187" s="494"/>
      <c r="E187" s="327"/>
      <c r="F187" s="327"/>
      <c r="G187" s="327"/>
      <c r="H187" s="327"/>
      <c r="I187" s="327"/>
      <c r="J187" s="327"/>
      <c r="K187" s="327"/>
      <c r="L187" s="327"/>
      <c r="M187" s="327"/>
      <c r="N187" s="327"/>
      <c r="O187" s="327"/>
      <c r="P187" s="327"/>
      <c r="Q187" s="327"/>
      <c r="R187" s="327"/>
      <c r="S187" s="327"/>
      <c r="T187" s="327"/>
      <c r="U187" s="327"/>
      <c r="V187" s="327"/>
      <c r="W187" s="327"/>
      <c r="X187" s="327"/>
    </row>
    <row r="188" spans="1:24">
      <c r="A188"/>
      <c r="D188" s="494"/>
      <c r="E188" s="327"/>
      <c r="F188" s="327"/>
      <c r="G188" s="327"/>
      <c r="H188" s="327"/>
      <c r="I188" s="327"/>
      <c r="J188" s="327"/>
      <c r="K188" s="327"/>
      <c r="L188" s="327"/>
      <c r="M188" s="327"/>
      <c r="N188" s="327"/>
      <c r="O188" s="327"/>
      <c r="P188" s="327"/>
      <c r="Q188" s="327"/>
      <c r="R188" s="327"/>
      <c r="S188" s="327"/>
      <c r="T188" s="327"/>
      <c r="U188" s="327"/>
      <c r="V188" s="327"/>
      <c r="W188" s="327"/>
      <c r="X188" s="327"/>
    </row>
    <row r="189" spans="1:24">
      <c r="D189" s="494"/>
      <c r="E189" s="327"/>
      <c r="F189" s="327"/>
      <c r="G189" s="327"/>
      <c r="H189" s="362"/>
      <c r="I189" s="327"/>
      <c r="J189" s="327"/>
      <c r="K189" s="327"/>
      <c r="L189" s="327"/>
      <c r="M189" s="327"/>
      <c r="N189" s="327"/>
      <c r="O189" s="327"/>
      <c r="P189" s="327"/>
      <c r="Q189" s="327"/>
      <c r="R189" s="327"/>
      <c r="S189" s="327"/>
      <c r="T189" s="327"/>
      <c r="U189" s="327"/>
      <c r="V189" s="327"/>
      <c r="W189" s="327"/>
      <c r="X189" s="327"/>
    </row>
    <row r="190" spans="1:24">
      <c r="D190" s="326"/>
      <c r="E190" s="327"/>
      <c r="F190" s="327"/>
      <c r="G190" s="327"/>
      <c r="H190" s="359"/>
      <c r="I190" s="327"/>
      <c r="J190" s="327"/>
      <c r="K190" s="327"/>
      <c r="L190" s="327"/>
      <c r="M190" s="327"/>
      <c r="N190" s="327"/>
      <c r="O190" s="327"/>
      <c r="P190" s="327"/>
      <c r="Q190" s="327"/>
      <c r="R190" s="327"/>
      <c r="S190" s="327"/>
      <c r="T190" s="327"/>
      <c r="U190" s="327"/>
      <c r="V190" s="327"/>
      <c r="W190" s="327"/>
      <c r="X190" s="327"/>
    </row>
    <row r="191" spans="1:24">
      <c r="H191" s="305"/>
    </row>
    <row r="192" spans="1:24">
      <c r="H192" s="30"/>
    </row>
    <row r="193" spans="8:8">
      <c r="H193" s="87"/>
    </row>
    <row r="195" spans="8:8">
      <c r="H195" s="360"/>
    </row>
    <row r="196" spans="8:8">
      <c r="H196" s="361"/>
    </row>
  </sheetData>
  <pageMargins left="0.7" right="0.7" top="0.75" bottom="0.75" header="0.3" footer="0.3"/>
  <pageSetup paperSize="9" scale="2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XFD196"/>
  <sheetViews>
    <sheetView topLeftCell="A76" zoomScale="62" zoomScaleNormal="55" workbookViewId="0">
      <selection activeCell="A117" sqref="A117:XFD117"/>
    </sheetView>
  </sheetViews>
  <sheetFormatPr defaultColWidth="9" defaultRowHeight="16.5"/>
  <cols>
    <col min="1" max="1" width="71.875" style="18" customWidth="1"/>
    <col min="2" max="2" width="50.5" style="18" bestFit="1" customWidth="1"/>
    <col min="3" max="3" width="8" style="18" bestFit="1" customWidth="1"/>
    <col min="4" max="4" width="8" style="262" bestFit="1" customWidth="1"/>
    <col min="5" max="10" width="17.25" style="18" bestFit="1" customWidth="1"/>
    <col min="11" max="11" width="16.875" style="18" bestFit="1" customWidth="1"/>
    <col min="12" max="13" width="17.25" style="18" bestFit="1" customWidth="1"/>
    <col min="14" max="14" width="16.875" style="18" bestFit="1" customWidth="1"/>
    <col min="15" max="19" width="17.25" style="18" bestFit="1" customWidth="1"/>
    <col min="20" max="21" width="17.625" style="18" bestFit="1" customWidth="1"/>
    <col min="22" max="23" width="17.25" style="18" bestFit="1" customWidth="1"/>
    <col min="24" max="24" width="17.625" style="18" bestFit="1" customWidth="1"/>
    <col min="25" max="25" width="22.625" style="18" bestFit="1" customWidth="1"/>
    <col min="26" max="16384" width="9" style="18"/>
  </cols>
  <sheetData>
    <row r="1" spans="1:25" ht="18.75" thickBot="1">
      <c r="A1" s="11" t="str">
        <f>Intro!A1</f>
        <v>Town of Bar Harbor</v>
      </c>
      <c r="B1" s="27"/>
      <c r="C1" s="17"/>
      <c r="D1" s="260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</row>
    <row r="2" spans="1:25" ht="17.25" thickBot="1">
      <c r="A2" s="380" t="str">
        <f>Intro!A2</f>
        <v>Ferry Property Business Plan</v>
      </c>
      <c r="B2" s="13"/>
      <c r="C2" s="17"/>
      <c r="D2" s="260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</row>
    <row r="3" spans="1:25" s="381" customFormat="1" ht="14.25" thickBot="1">
      <c r="A3" s="384" t="str">
        <f>Intro!A3</f>
        <v>05.23.2018</v>
      </c>
      <c r="B3" s="304"/>
      <c r="C3" s="387"/>
      <c r="D3" s="388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7"/>
      <c r="X3" s="387"/>
    </row>
    <row r="4" spans="1:25" s="381" customFormat="1" ht="13.5">
      <c r="A4" s="384" t="str">
        <f ca="1">Intro!A4</f>
        <v>Town of Bar Harbor</v>
      </c>
      <c r="B4" s="382"/>
      <c r="C4" s="383">
        <f ca="1">NOW()</f>
        <v>43242.835659143515</v>
      </c>
      <c r="D4" s="388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  <c r="Q4" s="387"/>
      <c r="R4" s="387"/>
      <c r="S4" s="387"/>
      <c r="T4" s="387"/>
      <c r="U4" s="387"/>
      <c r="V4" s="387"/>
      <c r="W4" s="387"/>
      <c r="X4" s="387"/>
    </row>
    <row r="5" spans="1:25">
      <c r="A5" s="244" t="s">
        <v>343</v>
      </c>
      <c r="B5" s="244"/>
      <c r="C5" s="245"/>
      <c r="D5" s="261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</row>
    <row r="6" spans="1:25">
      <c r="D6" s="485"/>
    </row>
    <row r="7" spans="1:25">
      <c r="A7" s="22"/>
      <c r="B7" s="71"/>
      <c r="C7" s="71"/>
      <c r="D7" s="72">
        <f>'Cruise Projections'!T7</f>
        <v>2018</v>
      </c>
      <c r="E7" s="72">
        <f>'Cruise Projections'!U7</f>
        <v>2019</v>
      </c>
      <c r="F7" s="72">
        <f>'Cruise Projections'!V7</f>
        <v>2020</v>
      </c>
      <c r="G7" s="72">
        <f>'Cruise Projections'!W7</f>
        <v>2021</v>
      </c>
      <c r="H7" s="72">
        <f>'Cruise Projections'!X7</f>
        <v>2022</v>
      </c>
      <c r="I7" s="72">
        <f>'Cruise Projections'!Y7</f>
        <v>2023</v>
      </c>
      <c r="J7" s="72">
        <f>'Cruise Projections'!Z7</f>
        <v>2024</v>
      </c>
      <c r="K7" s="72">
        <f>'Cruise Projections'!AA7</f>
        <v>2025</v>
      </c>
      <c r="L7" s="72">
        <f>'Cruise Projections'!AB7</f>
        <v>2026</v>
      </c>
      <c r="M7" s="72">
        <f>'Cruise Projections'!AC7</f>
        <v>2027</v>
      </c>
      <c r="N7" s="72">
        <f>'Cruise Projections'!AD7</f>
        <v>2028</v>
      </c>
      <c r="O7" s="72">
        <f>'Cruise Projections'!AE7</f>
        <v>2029</v>
      </c>
      <c r="P7" s="72">
        <f>'Cruise Projections'!AF7</f>
        <v>2030</v>
      </c>
      <c r="Q7" s="72">
        <f>'Cruise Projections'!AG7</f>
        <v>2031</v>
      </c>
      <c r="R7" s="72">
        <f>'Cruise Projections'!AH7</f>
        <v>2032</v>
      </c>
      <c r="S7" s="72">
        <f>'Cruise Projections'!AI7</f>
        <v>2033</v>
      </c>
      <c r="T7" s="72">
        <f>'Cruise Projections'!AJ7</f>
        <v>2034</v>
      </c>
      <c r="U7" s="72">
        <f>'Cruise Projections'!AK7</f>
        <v>2035</v>
      </c>
      <c r="V7" s="72">
        <f>'Cruise Projections'!AL7</f>
        <v>2036</v>
      </c>
      <c r="W7" s="72">
        <f>'Cruise Projections'!AM7</f>
        <v>2037</v>
      </c>
      <c r="X7" s="72">
        <f>'Cruise Projections'!AN7</f>
        <v>2038</v>
      </c>
    </row>
    <row r="8" spans="1:25" ht="17.25" thickBot="1">
      <c r="D8" s="488"/>
    </row>
    <row r="9" spans="1:25" ht="17.25" thickBot="1">
      <c r="A9" s="117" t="s">
        <v>34</v>
      </c>
      <c r="B9" s="484" t="str">
        <f>'Cruise Projections'!A89</f>
        <v>Scenario 5 - Percent of 2018 Business - NCLH</v>
      </c>
      <c r="D9" s="489"/>
      <c r="E9" s="327"/>
      <c r="F9" s="327"/>
      <c r="G9" s="327"/>
      <c r="H9" s="327"/>
      <c r="I9" s="327"/>
      <c r="J9" s="327"/>
      <c r="K9" s="327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</row>
    <row r="10" spans="1:25">
      <c r="D10" s="489"/>
      <c r="E10" s="327"/>
      <c r="F10" s="327"/>
      <c r="G10" s="327"/>
      <c r="H10" s="327"/>
      <c r="I10" s="327"/>
      <c r="J10" s="327"/>
      <c r="K10" s="327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</row>
    <row r="11" spans="1:25" s="279" customFormat="1" ht="14.25">
      <c r="A11" s="279" t="s">
        <v>83</v>
      </c>
      <c r="D11" s="490"/>
      <c r="E11" s="328"/>
      <c r="F11" s="328"/>
      <c r="G11" s="328"/>
      <c r="H11" s="328"/>
      <c r="I11" s="328"/>
      <c r="J11" s="328"/>
      <c r="K11" s="328"/>
      <c r="L11" s="328"/>
      <c r="M11" s="328"/>
      <c r="N11" s="328"/>
      <c r="O11" s="328"/>
      <c r="P11" s="328"/>
      <c r="Q11" s="328"/>
      <c r="R11" s="328"/>
      <c r="S11" s="328"/>
      <c r="T11" s="328"/>
      <c r="U11" s="328"/>
      <c r="V11" s="328"/>
      <c r="W11" s="328"/>
      <c r="X11" s="328"/>
    </row>
    <row r="12" spans="1:25">
      <c r="A12" s="53" t="str">
        <f>'Cruise Projections'!A67</f>
        <v>Passengers</v>
      </c>
      <c r="B12" s="21"/>
      <c r="C12" s="21"/>
      <c r="D12" s="486">
        <f>'Cruise Projections'!T67</f>
        <v>0</v>
      </c>
      <c r="E12" s="313">
        <v>0</v>
      </c>
      <c r="F12" s="313">
        <f>'Cruise Projections'!V91</f>
        <v>51920.067226246269</v>
      </c>
      <c r="G12" s="313">
        <f>'Cruise Projections'!W91</f>
        <v>51920.067226246269</v>
      </c>
      <c r="H12" s="313">
        <f>'Cruise Projections'!X91</f>
        <v>51920.067226246269</v>
      </c>
      <c r="I12" s="313">
        <f>'Cruise Projections'!Y91</f>
        <v>51920.067226246269</v>
      </c>
      <c r="J12" s="313">
        <f>'Cruise Projections'!Z91</f>
        <v>51920.067226246269</v>
      </c>
      <c r="K12" s="313">
        <f>'Cruise Projections'!AA91</f>
        <v>51920.067226246269</v>
      </c>
      <c r="L12" s="313">
        <f>'Cruise Projections'!AB91</f>
        <v>51920.067226246269</v>
      </c>
      <c r="M12" s="313">
        <f>'Cruise Projections'!AC91</f>
        <v>51920.067226246269</v>
      </c>
      <c r="N12" s="313">
        <f>'Cruise Projections'!AD91</f>
        <v>51920.067226246269</v>
      </c>
      <c r="O12" s="313">
        <f>'Cruise Projections'!AE91</f>
        <v>51920.067226246269</v>
      </c>
      <c r="P12" s="313">
        <f>'Cruise Projections'!AF91</f>
        <v>51920.067226246269</v>
      </c>
      <c r="Q12" s="313">
        <f>'Cruise Projections'!AG91</f>
        <v>51920.067226246269</v>
      </c>
      <c r="R12" s="313">
        <f>'Cruise Projections'!AH91</f>
        <v>51920.067226246269</v>
      </c>
      <c r="S12" s="313">
        <f>'Cruise Projections'!AI91</f>
        <v>51920.067226246269</v>
      </c>
      <c r="T12" s="313">
        <f>'Cruise Projections'!AJ91</f>
        <v>51920.067226246269</v>
      </c>
      <c r="U12" s="313">
        <f>'Cruise Projections'!AK91</f>
        <v>51920.067226246269</v>
      </c>
      <c r="V12" s="313">
        <f>'Cruise Projections'!AL91</f>
        <v>51920.067226246269</v>
      </c>
      <c r="W12" s="313">
        <f>'Cruise Projections'!AM91</f>
        <v>51920.067226246269</v>
      </c>
      <c r="X12" s="313">
        <f>'Cruise Projections'!AN91</f>
        <v>51920.067226246269</v>
      </c>
      <c r="Y12" s="312"/>
    </row>
    <row r="13" spans="1:25">
      <c r="A13" s="53" t="str">
        <f>'Cruise Projections'!A68</f>
        <v>Calls</v>
      </c>
      <c r="B13" s="21"/>
      <c r="C13" s="21"/>
      <c r="D13" s="486">
        <f>'Cruise Projections'!T68</f>
        <v>0</v>
      </c>
      <c r="E13" s="313">
        <v>0</v>
      </c>
      <c r="F13" s="313">
        <f>'Cruise Projections'!V92</f>
        <v>27.711111111111112</v>
      </c>
      <c r="G13" s="313">
        <f>'Cruise Projections'!W92</f>
        <v>27.711111111111112</v>
      </c>
      <c r="H13" s="313">
        <f>'Cruise Projections'!X92</f>
        <v>27.711111111111112</v>
      </c>
      <c r="I13" s="313">
        <f>'Cruise Projections'!Y92</f>
        <v>27.711111111111112</v>
      </c>
      <c r="J13" s="313">
        <f>'Cruise Projections'!Z92</f>
        <v>27.711111111111112</v>
      </c>
      <c r="K13" s="313">
        <f>'Cruise Projections'!AA92</f>
        <v>27.711111111111112</v>
      </c>
      <c r="L13" s="313">
        <f>'Cruise Projections'!AB92</f>
        <v>27.711111111111112</v>
      </c>
      <c r="M13" s="313">
        <f>'Cruise Projections'!AC92</f>
        <v>27.711111111111112</v>
      </c>
      <c r="N13" s="313">
        <f>'Cruise Projections'!AD92</f>
        <v>27.711111111111112</v>
      </c>
      <c r="O13" s="313">
        <f>'Cruise Projections'!AE92</f>
        <v>27.711111111111112</v>
      </c>
      <c r="P13" s="313">
        <f>'Cruise Projections'!AF92</f>
        <v>27.711111111111112</v>
      </c>
      <c r="Q13" s="313">
        <f>'Cruise Projections'!AG92</f>
        <v>27.711111111111112</v>
      </c>
      <c r="R13" s="313">
        <f>'Cruise Projections'!AH92</f>
        <v>27.711111111111112</v>
      </c>
      <c r="S13" s="313">
        <f>'Cruise Projections'!AI92</f>
        <v>27.711111111111112</v>
      </c>
      <c r="T13" s="313">
        <f>'Cruise Projections'!AJ92</f>
        <v>27.711111111111112</v>
      </c>
      <c r="U13" s="313">
        <f>'Cruise Projections'!AK92</f>
        <v>27.711111111111112</v>
      </c>
      <c r="V13" s="313">
        <f>'Cruise Projections'!AL92</f>
        <v>27.711111111111112</v>
      </c>
      <c r="W13" s="313">
        <f>'Cruise Projections'!AM92</f>
        <v>27.711111111111112</v>
      </c>
      <c r="X13" s="313">
        <f>'Cruise Projections'!AN92</f>
        <v>27.711111111111112</v>
      </c>
      <c r="Y13" s="312"/>
    </row>
    <row r="14" spans="1:25">
      <c r="A14" s="53" t="str">
        <f>'Cruise Projections'!A69</f>
        <v>Passengers per Call</v>
      </c>
      <c r="B14" s="21"/>
      <c r="C14" s="21"/>
      <c r="D14" s="486">
        <f>'Cruise Projections'!T69</f>
        <v>0</v>
      </c>
      <c r="E14" s="313">
        <v>0</v>
      </c>
      <c r="F14" s="313">
        <f>'Cruise Projections'!V93</f>
        <v>1873.6191059992639</v>
      </c>
      <c r="G14" s="313">
        <f>'Cruise Projections'!W93</f>
        <v>1873.6191059992639</v>
      </c>
      <c r="H14" s="313">
        <f>'Cruise Projections'!X93</f>
        <v>1873.6191059992639</v>
      </c>
      <c r="I14" s="313">
        <f>'Cruise Projections'!Y93</f>
        <v>1873.6191059992639</v>
      </c>
      <c r="J14" s="313">
        <f>'Cruise Projections'!Z93</f>
        <v>1873.6191059992639</v>
      </c>
      <c r="K14" s="313">
        <f>'Cruise Projections'!AA93</f>
        <v>1873.6191059992639</v>
      </c>
      <c r="L14" s="313">
        <f>'Cruise Projections'!AB93</f>
        <v>1873.6191059992639</v>
      </c>
      <c r="M14" s="313">
        <f>'Cruise Projections'!AC93</f>
        <v>1873.6191059992639</v>
      </c>
      <c r="N14" s="313">
        <f>'Cruise Projections'!AD93</f>
        <v>1873.6191059992639</v>
      </c>
      <c r="O14" s="313">
        <f>'Cruise Projections'!AE93</f>
        <v>1873.6191059992639</v>
      </c>
      <c r="P14" s="313">
        <f>'Cruise Projections'!AF93</f>
        <v>1873.6191059992639</v>
      </c>
      <c r="Q14" s="313">
        <f>'Cruise Projections'!AG93</f>
        <v>1873.6191059992639</v>
      </c>
      <c r="R14" s="313">
        <f>'Cruise Projections'!AH93</f>
        <v>1873.6191059992639</v>
      </c>
      <c r="S14" s="313">
        <f>'Cruise Projections'!AI93</f>
        <v>1873.6191059992639</v>
      </c>
      <c r="T14" s="313">
        <f>'Cruise Projections'!AJ93</f>
        <v>1873.6191059992639</v>
      </c>
      <c r="U14" s="313">
        <f>'Cruise Projections'!AK93</f>
        <v>1873.6191059992639</v>
      </c>
      <c r="V14" s="313">
        <f>'Cruise Projections'!AL93</f>
        <v>1873.6191059992639</v>
      </c>
      <c r="W14" s="313">
        <f>'Cruise Projections'!AM93</f>
        <v>1873.6191059992639</v>
      </c>
      <c r="X14" s="313">
        <f>'Cruise Projections'!AN93</f>
        <v>1873.6191059992639</v>
      </c>
      <c r="Y14" s="312"/>
    </row>
    <row r="15" spans="1:25" s="96" customFormat="1">
      <c r="A15" s="54" t="s">
        <v>313</v>
      </c>
      <c r="B15" s="487"/>
      <c r="C15" s="487"/>
      <c r="D15" s="486">
        <f>'Cruise Projections'!T70</f>
        <v>0</v>
      </c>
      <c r="E15" s="313">
        <v>0</v>
      </c>
      <c r="F15" s="313">
        <f>'Shuttle Projections'!D24</f>
        <v>4120</v>
      </c>
      <c r="G15" s="313">
        <f>'Shuttle Projections'!E24</f>
        <v>4120</v>
      </c>
      <c r="H15" s="313">
        <f>'Shuttle Projections'!F24</f>
        <v>4120</v>
      </c>
      <c r="I15" s="313">
        <f>'Shuttle Projections'!G24</f>
        <v>4120</v>
      </c>
      <c r="J15" s="313">
        <f>'Shuttle Projections'!H24</f>
        <v>4120</v>
      </c>
      <c r="K15" s="313">
        <f>'Shuttle Projections'!I24</f>
        <v>4120</v>
      </c>
      <c r="L15" s="313">
        <f>'Shuttle Projections'!J24</f>
        <v>4120</v>
      </c>
      <c r="M15" s="313">
        <f>'Shuttle Projections'!K24</f>
        <v>4120</v>
      </c>
      <c r="N15" s="313">
        <f>'Shuttle Projections'!L24</f>
        <v>4120</v>
      </c>
      <c r="O15" s="313">
        <f>'Shuttle Projections'!M24</f>
        <v>4120</v>
      </c>
      <c r="P15" s="313">
        <f>'Shuttle Projections'!N24</f>
        <v>4120</v>
      </c>
      <c r="Q15" s="313">
        <f>'Shuttle Projections'!O24</f>
        <v>4120</v>
      </c>
      <c r="R15" s="313">
        <f>'Shuttle Projections'!P24</f>
        <v>4120</v>
      </c>
      <c r="S15" s="313">
        <f>'Shuttle Projections'!Q24</f>
        <v>4120</v>
      </c>
      <c r="T15" s="313">
        <f>'Shuttle Projections'!R24</f>
        <v>4120</v>
      </c>
      <c r="U15" s="313">
        <f>'Shuttle Projections'!S24</f>
        <v>4120</v>
      </c>
      <c r="V15" s="313">
        <f>'Shuttle Projections'!T24</f>
        <v>4120</v>
      </c>
      <c r="W15" s="313">
        <f>'Shuttle Projections'!U24</f>
        <v>4120</v>
      </c>
      <c r="X15" s="313">
        <f>'Shuttle Projections'!V24</f>
        <v>4120</v>
      </c>
      <c r="Y15" s="313"/>
    </row>
    <row r="16" spans="1:25">
      <c r="A16" s="54"/>
      <c r="B16" s="21"/>
      <c r="C16" s="21"/>
      <c r="D16" s="486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</row>
    <row r="17" spans="1:25" s="547" customFormat="1" ht="14.25">
      <c r="A17" s="549" t="s">
        <v>163</v>
      </c>
      <c r="B17" s="550"/>
      <c r="C17" s="550"/>
      <c r="D17" s="610"/>
      <c r="E17" s="551"/>
      <c r="F17" s="551"/>
      <c r="G17" s="551"/>
      <c r="H17" s="551"/>
      <c r="I17" s="551"/>
      <c r="J17" s="551"/>
      <c r="K17" s="551"/>
      <c r="L17" s="551"/>
      <c r="M17" s="551"/>
      <c r="N17" s="551"/>
      <c r="O17" s="551"/>
      <c r="P17" s="551"/>
      <c r="Q17" s="551"/>
      <c r="R17" s="551"/>
      <c r="S17" s="551"/>
      <c r="T17" s="551"/>
      <c r="U17" s="551"/>
      <c r="V17" s="551"/>
      <c r="W17" s="551"/>
      <c r="X17" s="551"/>
    </row>
    <row r="18" spans="1:25" s="341" customFormat="1">
      <c r="A18" s="552" t="str">
        <f>'International Ferry Projections'!A11</f>
        <v>Passengers</v>
      </c>
      <c r="B18" s="553"/>
      <c r="C18" s="553"/>
      <c r="D18" s="554">
        <f>'International Ferry Projections'!B11</f>
        <v>0</v>
      </c>
      <c r="E18" s="555">
        <f>'International Ferry Projections'!C11</f>
        <v>60000</v>
      </c>
      <c r="F18" s="555">
        <f>'International Ferry Projections'!D11</f>
        <v>70000</v>
      </c>
      <c r="G18" s="555">
        <f>'International Ferry Projections'!E11</f>
        <v>80000</v>
      </c>
      <c r="H18" s="555">
        <f>'International Ferry Projections'!F11</f>
        <v>80000</v>
      </c>
      <c r="I18" s="555">
        <f>'International Ferry Projections'!G11</f>
        <v>80000</v>
      </c>
      <c r="J18" s="555">
        <f>'International Ferry Projections'!H11</f>
        <v>80000</v>
      </c>
      <c r="K18" s="555">
        <f>'International Ferry Projections'!I11</f>
        <v>80000</v>
      </c>
      <c r="L18" s="555">
        <f>'International Ferry Projections'!J11</f>
        <v>80000</v>
      </c>
      <c r="M18" s="555">
        <f>'International Ferry Projections'!K11</f>
        <v>80000</v>
      </c>
      <c r="N18" s="555">
        <f>'International Ferry Projections'!L11</f>
        <v>80000</v>
      </c>
      <c r="O18" s="555">
        <f>'International Ferry Projections'!M11</f>
        <v>80000</v>
      </c>
      <c r="P18" s="555">
        <f>'International Ferry Projections'!N11</f>
        <v>80000</v>
      </c>
      <c r="Q18" s="555">
        <f>'International Ferry Projections'!O11</f>
        <v>80000</v>
      </c>
      <c r="R18" s="555">
        <f>'International Ferry Projections'!P11</f>
        <v>80000</v>
      </c>
      <c r="S18" s="555">
        <f>'International Ferry Projections'!Q11</f>
        <v>80000</v>
      </c>
      <c r="T18" s="555">
        <f>'International Ferry Projections'!R11</f>
        <v>80000</v>
      </c>
      <c r="U18" s="555">
        <f>'International Ferry Projections'!S11</f>
        <v>80000</v>
      </c>
      <c r="V18" s="555">
        <f>'International Ferry Projections'!T11</f>
        <v>80000</v>
      </c>
      <c r="W18" s="555">
        <f>'International Ferry Projections'!U11</f>
        <v>80000</v>
      </c>
      <c r="X18" s="555">
        <f>'International Ferry Projections'!V11</f>
        <v>80000</v>
      </c>
    </row>
    <row r="19" spans="1:25" s="341" customFormat="1">
      <c r="A19" s="552" t="str">
        <f>'International Ferry Projections'!A12</f>
        <v>Cars</v>
      </c>
      <c r="B19" s="553"/>
      <c r="C19" s="553"/>
      <c r="D19" s="554">
        <f>'International Ferry Projections'!B12</f>
        <v>0</v>
      </c>
      <c r="E19" s="555">
        <f>'International Ferry Projections'!C12</f>
        <v>24000</v>
      </c>
      <c r="F19" s="555">
        <f>'International Ferry Projections'!D12</f>
        <v>28000</v>
      </c>
      <c r="G19" s="555">
        <f>'International Ferry Projections'!E12</f>
        <v>32000</v>
      </c>
      <c r="H19" s="555">
        <f>'International Ferry Projections'!F12</f>
        <v>32000</v>
      </c>
      <c r="I19" s="555">
        <f>'International Ferry Projections'!G12</f>
        <v>32000</v>
      </c>
      <c r="J19" s="555">
        <f>'International Ferry Projections'!H12</f>
        <v>32000</v>
      </c>
      <c r="K19" s="555">
        <f>'International Ferry Projections'!I12</f>
        <v>32000</v>
      </c>
      <c r="L19" s="555">
        <f>'International Ferry Projections'!J12</f>
        <v>32000</v>
      </c>
      <c r="M19" s="555">
        <f>'International Ferry Projections'!K12</f>
        <v>32000</v>
      </c>
      <c r="N19" s="555">
        <f>'International Ferry Projections'!L12</f>
        <v>32000</v>
      </c>
      <c r="O19" s="555">
        <f>'International Ferry Projections'!M12</f>
        <v>32000</v>
      </c>
      <c r="P19" s="555">
        <f>'International Ferry Projections'!N12</f>
        <v>32000</v>
      </c>
      <c r="Q19" s="555">
        <f>'International Ferry Projections'!O12</f>
        <v>32000</v>
      </c>
      <c r="R19" s="555">
        <f>'International Ferry Projections'!P12</f>
        <v>32000</v>
      </c>
      <c r="S19" s="555">
        <f>'International Ferry Projections'!Q12</f>
        <v>32000</v>
      </c>
      <c r="T19" s="555">
        <f>'International Ferry Projections'!R12</f>
        <v>32000</v>
      </c>
      <c r="U19" s="555">
        <f>'International Ferry Projections'!S12</f>
        <v>32000</v>
      </c>
      <c r="V19" s="555">
        <f>'International Ferry Projections'!T12</f>
        <v>32000</v>
      </c>
      <c r="W19" s="555">
        <f>'International Ferry Projections'!U12</f>
        <v>32000</v>
      </c>
      <c r="X19" s="555">
        <f>'International Ferry Projections'!V12</f>
        <v>32000</v>
      </c>
    </row>
    <row r="20" spans="1:25" s="341" customFormat="1">
      <c r="A20" s="552" t="str">
        <f>'International Ferry Projections'!A13</f>
        <v>Buses</v>
      </c>
      <c r="B20" s="553"/>
      <c r="C20" s="553"/>
      <c r="D20" s="554">
        <f>'International Ferry Projections'!B13</f>
        <v>0</v>
      </c>
      <c r="E20" s="555">
        <f>'International Ferry Projections'!C13</f>
        <v>40</v>
      </c>
      <c r="F20" s="555">
        <f>'International Ferry Projections'!D13</f>
        <v>50</v>
      </c>
      <c r="G20" s="555">
        <f>'International Ferry Projections'!E13</f>
        <v>60</v>
      </c>
      <c r="H20" s="555">
        <f>'International Ferry Projections'!F13</f>
        <v>60</v>
      </c>
      <c r="I20" s="555">
        <f>'International Ferry Projections'!G13</f>
        <v>60</v>
      </c>
      <c r="J20" s="555">
        <f>'International Ferry Projections'!H13</f>
        <v>60</v>
      </c>
      <c r="K20" s="555">
        <f>'International Ferry Projections'!I13</f>
        <v>60</v>
      </c>
      <c r="L20" s="555">
        <f>'International Ferry Projections'!J13</f>
        <v>60</v>
      </c>
      <c r="M20" s="555">
        <f>'International Ferry Projections'!K13</f>
        <v>60</v>
      </c>
      <c r="N20" s="555">
        <f>'International Ferry Projections'!L13</f>
        <v>60</v>
      </c>
      <c r="O20" s="555">
        <f>'International Ferry Projections'!M13</f>
        <v>60</v>
      </c>
      <c r="P20" s="555">
        <f>'International Ferry Projections'!N13</f>
        <v>60</v>
      </c>
      <c r="Q20" s="555">
        <f>'International Ferry Projections'!O13</f>
        <v>60</v>
      </c>
      <c r="R20" s="555">
        <f>'International Ferry Projections'!P13</f>
        <v>60</v>
      </c>
      <c r="S20" s="555">
        <f>'International Ferry Projections'!Q13</f>
        <v>60</v>
      </c>
      <c r="T20" s="555">
        <f>'International Ferry Projections'!R13</f>
        <v>60</v>
      </c>
      <c r="U20" s="555">
        <f>'International Ferry Projections'!S13</f>
        <v>60</v>
      </c>
      <c r="V20" s="555">
        <f>'International Ferry Projections'!T13</f>
        <v>60</v>
      </c>
      <c r="W20" s="555">
        <f>'International Ferry Projections'!U13</f>
        <v>60</v>
      </c>
      <c r="X20" s="555">
        <f>'International Ferry Projections'!V13</f>
        <v>60</v>
      </c>
    </row>
    <row r="21" spans="1:25">
      <c r="A21" s="54"/>
      <c r="B21" s="21"/>
      <c r="C21" s="21"/>
      <c r="D21" s="486"/>
      <c r="E21" s="313"/>
      <c r="F21" s="313"/>
      <c r="G21" s="313"/>
      <c r="H21" s="313"/>
      <c r="I21" s="313"/>
      <c r="J21" s="313"/>
      <c r="K21" s="313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</row>
    <row r="22" spans="1:25" s="582" customFormat="1">
      <c r="A22" s="293" t="str">
        <f>'BH Tariffs'!A30</f>
        <v>Local Ferry</v>
      </c>
      <c r="B22" s="581"/>
      <c r="C22" s="581"/>
      <c r="D22" s="486">
        <v>0</v>
      </c>
      <c r="E22" s="329"/>
      <c r="F22" s="329"/>
      <c r="G22" s="329"/>
      <c r="H22" s="329"/>
      <c r="I22" s="329"/>
      <c r="J22" s="329"/>
      <c r="K22" s="329"/>
      <c r="L22" s="329"/>
      <c r="M22" s="329"/>
      <c r="N22" s="329"/>
      <c r="O22" s="329"/>
      <c r="P22" s="329"/>
      <c r="Q22" s="329"/>
      <c r="R22" s="329"/>
      <c r="S22" s="329"/>
      <c r="T22" s="329"/>
      <c r="U22" s="329"/>
      <c r="V22" s="329"/>
      <c r="W22" s="329"/>
      <c r="X22" s="329"/>
    </row>
    <row r="23" spans="1:25" s="96" customFormat="1">
      <c r="A23" s="54" t="str">
        <f>'BH Tariffs'!A31</f>
        <v>Dock Rent (6 Months Only)</v>
      </c>
      <c r="B23" s="487"/>
      <c r="C23" s="487"/>
      <c r="D23" s="486">
        <v>0</v>
      </c>
      <c r="E23" s="623" t="s">
        <v>286</v>
      </c>
      <c r="F23" s="623" t="s">
        <v>286</v>
      </c>
      <c r="G23" s="623" t="s">
        <v>286</v>
      </c>
      <c r="H23" s="623" t="s">
        <v>286</v>
      </c>
      <c r="I23" s="623" t="s">
        <v>286</v>
      </c>
      <c r="J23" s="623" t="s">
        <v>286</v>
      </c>
      <c r="K23" s="623" t="s">
        <v>286</v>
      </c>
      <c r="L23" s="623" t="s">
        <v>286</v>
      </c>
      <c r="M23" s="623" t="s">
        <v>286</v>
      </c>
      <c r="N23" s="623" t="s">
        <v>286</v>
      </c>
      <c r="O23" s="623" t="s">
        <v>286</v>
      </c>
      <c r="P23" s="623" t="s">
        <v>286</v>
      </c>
      <c r="Q23" s="623" t="s">
        <v>286</v>
      </c>
      <c r="R23" s="623" t="s">
        <v>286</v>
      </c>
      <c r="S23" s="623" t="s">
        <v>286</v>
      </c>
      <c r="T23" s="623" t="s">
        <v>286</v>
      </c>
      <c r="U23" s="623" t="s">
        <v>286</v>
      </c>
      <c r="V23" s="623" t="s">
        <v>286</v>
      </c>
      <c r="W23" s="623" t="s">
        <v>286</v>
      </c>
      <c r="X23" s="623" t="s">
        <v>286</v>
      </c>
    </row>
    <row r="24" spans="1:25" s="341" customFormat="1">
      <c r="A24" s="552"/>
      <c r="B24" s="553"/>
      <c r="C24" s="553"/>
      <c r="D24" s="554"/>
      <c r="E24" s="555"/>
      <c r="F24" s="555"/>
      <c r="G24" s="555"/>
      <c r="H24" s="555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</row>
    <row r="25" spans="1:25" s="96" customFormat="1">
      <c r="A25" s="559" t="s">
        <v>227</v>
      </c>
      <c r="B25" s="487"/>
      <c r="C25" s="487"/>
      <c r="D25" s="486"/>
      <c r="E25" s="313"/>
      <c r="F25" s="313"/>
      <c r="G25" s="313"/>
      <c r="H25" s="313"/>
      <c r="I25" s="313"/>
      <c r="J25" s="313"/>
      <c r="K25" s="313"/>
      <c r="L25" s="313"/>
      <c r="M25" s="313"/>
      <c r="N25" s="313"/>
      <c r="O25" s="313"/>
      <c r="P25" s="313"/>
      <c r="Q25" s="313"/>
      <c r="R25" s="313"/>
      <c r="S25" s="313"/>
      <c r="T25" s="313"/>
      <c r="U25" s="313"/>
      <c r="V25" s="313"/>
      <c r="W25" s="313"/>
      <c r="X25" s="313"/>
    </row>
    <row r="26" spans="1:25">
      <c r="A26" s="54"/>
      <c r="B26" s="21"/>
      <c r="C26" s="21"/>
      <c r="D26" s="486"/>
      <c r="E26" s="313"/>
      <c r="F26" s="313"/>
      <c r="G26" s="313"/>
      <c r="H26" s="313"/>
      <c r="I26" s="313"/>
      <c r="J26" s="313"/>
      <c r="K26" s="313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</row>
    <row r="27" spans="1:25">
      <c r="A27" s="54" t="s">
        <v>420</v>
      </c>
      <c r="B27" s="21"/>
      <c r="C27" s="21"/>
      <c r="D27" s="486">
        <v>0</v>
      </c>
      <c r="E27" s="313">
        <f>'Marina Projections'!C9</f>
        <v>0</v>
      </c>
      <c r="F27" s="313">
        <f>'Marina Projections'!D9</f>
        <v>214</v>
      </c>
      <c r="G27" s="313">
        <f>'Marina Projections'!E9</f>
        <v>214</v>
      </c>
      <c r="H27" s="313">
        <f>'Marina Projections'!F9</f>
        <v>214</v>
      </c>
      <c r="I27" s="313">
        <f>'Marina Projections'!G9</f>
        <v>214</v>
      </c>
      <c r="J27" s="313">
        <f>'Marina Projections'!H9</f>
        <v>214</v>
      </c>
      <c r="K27" s="313">
        <f>'Marina Projections'!I9</f>
        <v>214</v>
      </c>
      <c r="L27" s="313">
        <f>'Marina Projections'!J9</f>
        <v>214</v>
      </c>
      <c r="M27" s="313">
        <f>'Marina Projections'!K9</f>
        <v>214</v>
      </c>
      <c r="N27" s="313">
        <f>'Marina Projections'!L9</f>
        <v>214</v>
      </c>
      <c r="O27" s="313">
        <f>'Marina Projections'!M9</f>
        <v>214</v>
      </c>
      <c r="P27" s="313">
        <f>'Marina Projections'!N9</f>
        <v>214</v>
      </c>
      <c r="Q27" s="313">
        <f>'Marina Projections'!O9</f>
        <v>214</v>
      </c>
      <c r="R27" s="313">
        <f>'Marina Projections'!P9</f>
        <v>214</v>
      </c>
      <c r="S27" s="313">
        <f>'Marina Projections'!Q9</f>
        <v>214</v>
      </c>
      <c r="T27" s="313">
        <f>'Marina Projections'!R9</f>
        <v>214</v>
      </c>
      <c r="U27" s="313">
        <f>'Marina Projections'!S9</f>
        <v>214</v>
      </c>
      <c r="V27" s="313">
        <f>'Marina Projections'!T9</f>
        <v>214</v>
      </c>
      <c r="W27" s="313">
        <f>'Marina Projections'!U9</f>
        <v>214</v>
      </c>
      <c r="X27" s="313">
        <f>'Marina Projections'!V9</f>
        <v>214</v>
      </c>
    </row>
    <row r="28" spans="1:25">
      <c r="A28" s="54" t="s">
        <v>205</v>
      </c>
      <c r="B28" s="21"/>
      <c r="C28" s="21"/>
      <c r="D28" s="486">
        <v>0</v>
      </c>
      <c r="E28" s="330">
        <v>0</v>
      </c>
      <c r="F28" s="330">
        <f>'Cruise Projections'!U92</f>
        <v>27.711111111111112</v>
      </c>
      <c r="G28" s="330">
        <f>'Cruise Projections'!V92</f>
        <v>27.711111111111112</v>
      </c>
      <c r="H28" s="330">
        <f>'Cruise Projections'!W92</f>
        <v>27.711111111111112</v>
      </c>
      <c r="I28" s="330">
        <f>'Cruise Projections'!X92</f>
        <v>27.711111111111112</v>
      </c>
      <c r="J28" s="330">
        <f>'Cruise Projections'!Y92</f>
        <v>27.711111111111112</v>
      </c>
      <c r="K28" s="330">
        <f>'Cruise Projections'!Z92</f>
        <v>27.711111111111112</v>
      </c>
      <c r="L28" s="330">
        <f>'Cruise Projections'!AA92</f>
        <v>27.711111111111112</v>
      </c>
      <c r="M28" s="330">
        <f>'Cruise Projections'!AB92</f>
        <v>27.711111111111112</v>
      </c>
      <c r="N28" s="330">
        <f>'Cruise Projections'!AC92</f>
        <v>27.711111111111112</v>
      </c>
      <c r="O28" s="330">
        <f>'Cruise Projections'!AD92</f>
        <v>27.711111111111112</v>
      </c>
      <c r="P28" s="330">
        <f>'Cruise Projections'!AE92</f>
        <v>27.711111111111112</v>
      </c>
      <c r="Q28" s="330">
        <f>'Cruise Projections'!AF92</f>
        <v>27.711111111111112</v>
      </c>
      <c r="R28" s="330">
        <f>'Cruise Projections'!AG92</f>
        <v>27.711111111111112</v>
      </c>
      <c r="S28" s="330">
        <f>'Cruise Projections'!AH92</f>
        <v>27.711111111111112</v>
      </c>
      <c r="T28" s="330">
        <f>'Cruise Projections'!AI92</f>
        <v>27.711111111111112</v>
      </c>
      <c r="U28" s="330">
        <f>'Cruise Projections'!AJ92</f>
        <v>27.711111111111112</v>
      </c>
      <c r="V28" s="330">
        <f>'Cruise Projections'!AK92</f>
        <v>27.711111111111112</v>
      </c>
      <c r="W28" s="330">
        <f>'Cruise Projections'!AL92</f>
        <v>27.711111111111112</v>
      </c>
      <c r="X28" s="330">
        <f>'Cruise Projections'!AM92</f>
        <v>27.711111111111112</v>
      </c>
      <c r="Y28" s="32"/>
    </row>
    <row r="29" spans="1:25" s="341" customFormat="1">
      <c r="A29" s="552" t="s">
        <v>219</v>
      </c>
      <c r="B29" s="553"/>
      <c r="C29" s="553"/>
      <c r="D29" s="554">
        <v>0</v>
      </c>
      <c r="E29" s="560">
        <v>150</v>
      </c>
      <c r="F29" s="560">
        <f>E29</f>
        <v>150</v>
      </c>
      <c r="G29" s="560">
        <f t="shared" ref="G29:X29" si="0">F29</f>
        <v>150</v>
      </c>
      <c r="H29" s="560">
        <f t="shared" si="0"/>
        <v>150</v>
      </c>
      <c r="I29" s="560">
        <f t="shared" si="0"/>
        <v>150</v>
      </c>
      <c r="J29" s="560">
        <f t="shared" si="0"/>
        <v>150</v>
      </c>
      <c r="K29" s="560">
        <f t="shared" si="0"/>
        <v>150</v>
      </c>
      <c r="L29" s="560">
        <f t="shared" si="0"/>
        <v>150</v>
      </c>
      <c r="M29" s="560">
        <f t="shared" si="0"/>
        <v>150</v>
      </c>
      <c r="N29" s="560">
        <f t="shared" si="0"/>
        <v>150</v>
      </c>
      <c r="O29" s="560">
        <f t="shared" si="0"/>
        <v>150</v>
      </c>
      <c r="P29" s="560">
        <f t="shared" si="0"/>
        <v>150</v>
      </c>
      <c r="Q29" s="560">
        <f t="shared" si="0"/>
        <v>150</v>
      </c>
      <c r="R29" s="560">
        <f t="shared" si="0"/>
        <v>150</v>
      </c>
      <c r="S29" s="560">
        <f t="shared" si="0"/>
        <v>150</v>
      </c>
      <c r="T29" s="560">
        <f t="shared" si="0"/>
        <v>150</v>
      </c>
      <c r="U29" s="560">
        <f t="shared" si="0"/>
        <v>150</v>
      </c>
      <c r="V29" s="560">
        <f t="shared" si="0"/>
        <v>150</v>
      </c>
      <c r="W29" s="560">
        <f t="shared" si="0"/>
        <v>150</v>
      </c>
      <c r="X29" s="560">
        <f t="shared" si="0"/>
        <v>150</v>
      </c>
      <c r="Y29" s="561"/>
    </row>
    <row r="30" spans="1:25" s="341" customFormat="1">
      <c r="A30" s="552" t="s">
        <v>220</v>
      </c>
      <c r="B30" s="553"/>
      <c r="C30" s="553"/>
      <c r="D30" s="554">
        <v>0</v>
      </c>
      <c r="E30" s="611">
        <f>E28/E29</f>
        <v>0</v>
      </c>
      <c r="F30" s="611">
        <f t="shared" ref="F30:X30" si="1">F28/F29</f>
        <v>0.18474074074074076</v>
      </c>
      <c r="G30" s="611">
        <f t="shared" si="1"/>
        <v>0.18474074074074076</v>
      </c>
      <c r="H30" s="611">
        <f t="shared" si="1"/>
        <v>0.18474074074074076</v>
      </c>
      <c r="I30" s="611">
        <f t="shared" si="1"/>
        <v>0.18474074074074076</v>
      </c>
      <c r="J30" s="611">
        <f t="shared" si="1"/>
        <v>0.18474074074074076</v>
      </c>
      <c r="K30" s="611">
        <f t="shared" si="1"/>
        <v>0.18474074074074076</v>
      </c>
      <c r="L30" s="611">
        <f t="shared" si="1"/>
        <v>0.18474074074074076</v>
      </c>
      <c r="M30" s="611">
        <f t="shared" si="1"/>
        <v>0.18474074074074076</v>
      </c>
      <c r="N30" s="611">
        <f t="shared" si="1"/>
        <v>0.18474074074074076</v>
      </c>
      <c r="O30" s="611">
        <f t="shared" si="1"/>
        <v>0.18474074074074076</v>
      </c>
      <c r="P30" s="611">
        <f t="shared" si="1"/>
        <v>0.18474074074074076</v>
      </c>
      <c r="Q30" s="611">
        <f t="shared" si="1"/>
        <v>0.18474074074074076</v>
      </c>
      <c r="R30" s="611">
        <f t="shared" si="1"/>
        <v>0.18474074074074076</v>
      </c>
      <c r="S30" s="611">
        <f t="shared" si="1"/>
        <v>0.18474074074074076</v>
      </c>
      <c r="T30" s="611">
        <f t="shared" si="1"/>
        <v>0.18474074074074076</v>
      </c>
      <c r="U30" s="611">
        <f t="shared" si="1"/>
        <v>0.18474074074074076</v>
      </c>
      <c r="V30" s="611">
        <f t="shared" si="1"/>
        <v>0.18474074074074076</v>
      </c>
      <c r="W30" s="611">
        <f t="shared" si="1"/>
        <v>0.18474074074074076</v>
      </c>
      <c r="X30" s="611">
        <f t="shared" si="1"/>
        <v>0.18474074074074076</v>
      </c>
      <c r="Y30" s="561"/>
    </row>
    <row r="31" spans="1:25" s="96" customFormat="1">
      <c r="A31" s="54" t="s">
        <v>226</v>
      </c>
      <c r="B31" s="487"/>
      <c r="C31" s="487"/>
      <c r="D31" s="486">
        <v>0</v>
      </c>
      <c r="E31" s="330">
        <v>0</v>
      </c>
      <c r="F31" s="330">
        <v>125</v>
      </c>
      <c r="G31" s="330">
        <v>125</v>
      </c>
      <c r="H31" s="330">
        <v>125</v>
      </c>
      <c r="I31" s="330">
        <v>125</v>
      </c>
      <c r="J31" s="330">
        <v>125</v>
      </c>
      <c r="K31" s="330">
        <v>125</v>
      </c>
      <c r="L31" s="330">
        <v>125</v>
      </c>
      <c r="M31" s="330">
        <v>125</v>
      </c>
      <c r="N31" s="330">
        <v>125</v>
      </c>
      <c r="O31" s="330">
        <v>125</v>
      </c>
      <c r="P31" s="330">
        <v>125</v>
      </c>
      <c r="Q31" s="330">
        <v>125</v>
      </c>
      <c r="R31" s="330">
        <v>125</v>
      </c>
      <c r="S31" s="330">
        <v>125</v>
      </c>
      <c r="T31" s="330">
        <v>125</v>
      </c>
      <c r="U31" s="330">
        <v>125</v>
      </c>
      <c r="V31" s="330">
        <v>125</v>
      </c>
      <c r="W31" s="330">
        <v>125</v>
      </c>
      <c r="X31" s="330">
        <v>125</v>
      </c>
      <c r="Y31" s="58"/>
    </row>
    <row r="32" spans="1:25">
      <c r="A32" s="54"/>
      <c r="B32" s="21"/>
      <c r="C32" s="21"/>
      <c r="D32" s="486"/>
      <c r="E32" s="495"/>
      <c r="F32" s="495"/>
      <c r="G32" s="495"/>
      <c r="H32" s="495"/>
      <c r="I32" s="495"/>
      <c r="J32" s="495"/>
      <c r="K32" s="495"/>
      <c r="L32" s="495"/>
      <c r="M32" s="495"/>
      <c r="N32" s="495"/>
      <c r="O32" s="495"/>
      <c r="P32" s="495"/>
      <c r="Q32" s="495"/>
      <c r="R32" s="495"/>
      <c r="S32" s="495"/>
      <c r="T32" s="495"/>
      <c r="U32" s="495"/>
      <c r="V32" s="495"/>
      <c r="W32" s="495"/>
      <c r="X32" s="495"/>
      <c r="Y32" s="32"/>
    </row>
    <row r="33" spans="1:24">
      <c r="A33" s="54" t="s">
        <v>206</v>
      </c>
      <c r="B33" s="21"/>
      <c r="C33" s="21"/>
      <c r="D33" s="486">
        <v>0</v>
      </c>
      <c r="E33" s="313">
        <v>0</v>
      </c>
      <c r="F33" s="313">
        <f t="shared" ref="F33:X33" si="2">F12/F28</f>
        <v>1873.6191059992639</v>
      </c>
      <c r="G33" s="313">
        <f t="shared" si="2"/>
        <v>1873.6191059992639</v>
      </c>
      <c r="H33" s="313">
        <f t="shared" si="2"/>
        <v>1873.6191059992639</v>
      </c>
      <c r="I33" s="313">
        <f t="shared" si="2"/>
        <v>1873.6191059992639</v>
      </c>
      <c r="J33" s="313">
        <f t="shared" si="2"/>
        <v>1873.6191059992639</v>
      </c>
      <c r="K33" s="313">
        <f t="shared" si="2"/>
        <v>1873.6191059992639</v>
      </c>
      <c r="L33" s="313">
        <f t="shared" si="2"/>
        <v>1873.6191059992639</v>
      </c>
      <c r="M33" s="313">
        <f t="shared" si="2"/>
        <v>1873.6191059992639</v>
      </c>
      <c r="N33" s="313">
        <f t="shared" si="2"/>
        <v>1873.6191059992639</v>
      </c>
      <c r="O33" s="313">
        <f t="shared" si="2"/>
        <v>1873.6191059992639</v>
      </c>
      <c r="P33" s="313">
        <f t="shared" si="2"/>
        <v>1873.6191059992639</v>
      </c>
      <c r="Q33" s="313">
        <f t="shared" si="2"/>
        <v>1873.6191059992639</v>
      </c>
      <c r="R33" s="313">
        <f t="shared" si="2"/>
        <v>1873.6191059992639</v>
      </c>
      <c r="S33" s="313">
        <f t="shared" si="2"/>
        <v>1873.6191059992639</v>
      </c>
      <c r="T33" s="313">
        <f t="shared" si="2"/>
        <v>1873.6191059992639</v>
      </c>
      <c r="U33" s="313">
        <f t="shared" si="2"/>
        <v>1873.6191059992639</v>
      </c>
      <c r="V33" s="313">
        <f t="shared" si="2"/>
        <v>1873.6191059992639</v>
      </c>
      <c r="W33" s="313">
        <f t="shared" si="2"/>
        <v>1873.6191059992639</v>
      </c>
      <c r="X33" s="313">
        <f t="shared" si="2"/>
        <v>1873.6191059992639</v>
      </c>
    </row>
    <row r="34" spans="1:24">
      <c r="A34" s="54" t="s">
        <v>207</v>
      </c>
      <c r="B34" s="21"/>
      <c r="C34" s="21"/>
      <c r="D34" s="486">
        <v>0</v>
      </c>
      <c r="E34" s="313">
        <v>0</v>
      </c>
      <c r="F34" s="313">
        <v>5500</v>
      </c>
      <c r="G34" s="313">
        <v>5500</v>
      </c>
      <c r="H34" s="313">
        <v>5500</v>
      </c>
      <c r="I34" s="313">
        <v>5500</v>
      </c>
      <c r="J34" s="313">
        <v>5500</v>
      </c>
      <c r="K34" s="313">
        <v>5500</v>
      </c>
      <c r="L34" s="313">
        <v>5500</v>
      </c>
      <c r="M34" s="313">
        <v>5500</v>
      </c>
      <c r="N34" s="313">
        <v>5500</v>
      </c>
      <c r="O34" s="313">
        <v>5500</v>
      </c>
      <c r="P34" s="313">
        <v>5500</v>
      </c>
      <c r="Q34" s="313">
        <v>5500</v>
      </c>
      <c r="R34" s="313">
        <v>5500</v>
      </c>
      <c r="S34" s="313">
        <v>5500</v>
      </c>
      <c r="T34" s="313">
        <v>5500</v>
      </c>
      <c r="U34" s="313">
        <v>5500</v>
      </c>
      <c r="V34" s="313">
        <v>5500</v>
      </c>
      <c r="W34" s="313">
        <v>5500</v>
      </c>
      <c r="X34" s="313">
        <v>5500</v>
      </c>
    </row>
    <row r="35" spans="1:24" s="341" customFormat="1">
      <c r="A35" s="552" t="s">
        <v>221</v>
      </c>
      <c r="B35" s="553"/>
      <c r="C35" s="553"/>
      <c r="D35" s="554">
        <v>0</v>
      </c>
      <c r="E35" s="560">
        <f>E18/E29</f>
        <v>400</v>
      </c>
      <c r="F35" s="560">
        <f t="shared" ref="F35:X35" si="3">F18/F29</f>
        <v>466.66666666666669</v>
      </c>
      <c r="G35" s="560">
        <f t="shared" si="3"/>
        <v>533.33333333333337</v>
      </c>
      <c r="H35" s="560">
        <f t="shared" si="3"/>
        <v>533.33333333333337</v>
      </c>
      <c r="I35" s="560">
        <f t="shared" si="3"/>
        <v>533.33333333333337</v>
      </c>
      <c r="J35" s="560">
        <f t="shared" si="3"/>
        <v>533.33333333333337</v>
      </c>
      <c r="K35" s="560">
        <f t="shared" si="3"/>
        <v>533.33333333333337</v>
      </c>
      <c r="L35" s="560">
        <f t="shared" si="3"/>
        <v>533.33333333333337</v>
      </c>
      <c r="M35" s="560">
        <f t="shared" si="3"/>
        <v>533.33333333333337</v>
      </c>
      <c r="N35" s="560">
        <f t="shared" si="3"/>
        <v>533.33333333333337</v>
      </c>
      <c r="O35" s="560">
        <f t="shared" si="3"/>
        <v>533.33333333333337</v>
      </c>
      <c r="P35" s="560">
        <f t="shared" si="3"/>
        <v>533.33333333333337</v>
      </c>
      <c r="Q35" s="560">
        <f t="shared" si="3"/>
        <v>533.33333333333337</v>
      </c>
      <c r="R35" s="560">
        <f t="shared" si="3"/>
        <v>533.33333333333337</v>
      </c>
      <c r="S35" s="560">
        <f t="shared" si="3"/>
        <v>533.33333333333337</v>
      </c>
      <c r="T35" s="560">
        <f t="shared" si="3"/>
        <v>533.33333333333337</v>
      </c>
      <c r="U35" s="560">
        <f t="shared" si="3"/>
        <v>533.33333333333337</v>
      </c>
      <c r="V35" s="560">
        <f t="shared" si="3"/>
        <v>533.33333333333337</v>
      </c>
      <c r="W35" s="560">
        <f t="shared" si="3"/>
        <v>533.33333333333337</v>
      </c>
      <c r="X35" s="560">
        <f t="shared" si="3"/>
        <v>533.33333333333337</v>
      </c>
    </row>
    <row r="36" spans="1:24" s="341" customFormat="1">
      <c r="A36" s="552" t="s">
        <v>222</v>
      </c>
      <c r="B36" s="553"/>
      <c r="C36" s="553"/>
      <c r="D36" s="554">
        <v>0</v>
      </c>
      <c r="E36" s="560">
        <v>800</v>
      </c>
      <c r="F36" s="560">
        <v>800</v>
      </c>
      <c r="G36" s="560">
        <v>800</v>
      </c>
      <c r="H36" s="560">
        <v>800</v>
      </c>
      <c r="I36" s="560">
        <v>800</v>
      </c>
      <c r="J36" s="560">
        <v>800</v>
      </c>
      <c r="K36" s="560">
        <v>800</v>
      </c>
      <c r="L36" s="560">
        <v>800</v>
      </c>
      <c r="M36" s="560">
        <v>800</v>
      </c>
      <c r="N36" s="560">
        <v>800</v>
      </c>
      <c r="O36" s="560">
        <v>800</v>
      </c>
      <c r="P36" s="560">
        <v>800</v>
      </c>
      <c r="Q36" s="560">
        <v>800</v>
      </c>
      <c r="R36" s="560">
        <v>800</v>
      </c>
      <c r="S36" s="560">
        <v>800</v>
      </c>
      <c r="T36" s="560">
        <v>800</v>
      </c>
      <c r="U36" s="560">
        <v>800</v>
      </c>
      <c r="V36" s="560">
        <v>800</v>
      </c>
      <c r="W36" s="560">
        <v>800</v>
      </c>
      <c r="X36" s="560">
        <v>800</v>
      </c>
    </row>
    <row r="37" spans="1:24" s="341" customFormat="1">
      <c r="A37" s="552" t="s">
        <v>208</v>
      </c>
      <c r="B37" s="553"/>
      <c r="C37" s="553"/>
      <c r="D37" s="554">
        <v>0</v>
      </c>
      <c r="E37" s="560">
        <f>SUM(E34,E36)</f>
        <v>800</v>
      </c>
      <c r="F37" s="560">
        <f t="shared" ref="F37:X37" si="4">SUM(F34,F36)</f>
        <v>6300</v>
      </c>
      <c r="G37" s="560">
        <f t="shared" si="4"/>
        <v>6300</v>
      </c>
      <c r="H37" s="560">
        <f t="shared" si="4"/>
        <v>6300</v>
      </c>
      <c r="I37" s="560">
        <f t="shared" si="4"/>
        <v>6300</v>
      </c>
      <c r="J37" s="560">
        <f t="shared" si="4"/>
        <v>6300</v>
      </c>
      <c r="K37" s="560">
        <f t="shared" si="4"/>
        <v>6300</v>
      </c>
      <c r="L37" s="560">
        <f t="shared" si="4"/>
        <v>6300</v>
      </c>
      <c r="M37" s="560">
        <f t="shared" si="4"/>
        <v>6300</v>
      </c>
      <c r="N37" s="560">
        <f t="shared" si="4"/>
        <v>6300</v>
      </c>
      <c r="O37" s="560">
        <f t="shared" si="4"/>
        <v>6300</v>
      </c>
      <c r="P37" s="560">
        <f t="shared" si="4"/>
        <v>6300</v>
      </c>
      <c r="Q37" s="560">
        <f t="shared" si="4"/>
        <v>6300</v>
      </c>
      <c r="R37" s="560">
        <f t="shared" si="4"/>
        <v>6300</v>
      </c>
      <c r="S37" s="560">
        <f t="shared" si="4"/>
        <v>6300</v>
      </c>
      <c r="T37" s="560">
        <f t="shared" si="4"/>
        <v>6300</v>
      </c>
      <c r="U37" s="560">
        <f t="shared" si="4"/>
        <v>6300</v>
      </c>
      <c r="V37" s="560">
        <f t="shared" si="4"/>
        <v>6300</v>
      </c>
      <c r="W37" s="560">
        <f t="shared" si="4"/>
        <v>6300</v>
      </c>
      <c r="X37" s="560">
        <f t="shared" si="4"/>
        <v>6300</v>
      </c>
    </row>
    <row r="38" spans="1:24">
      <c r="A38" s="54"/>
      <c r="B38" s="21"/>
      <c r="C38" s="21"/>
      <c r="D38" s="486"/>
      <c r="E38" s="330"/>
      <c r="F38" s="330"/>
      <c r="G38" s="330"/>
      <c r="H38" s="330"/>
      <c r="I38" s="330"/>
      <c r="J38" s="330"/>
      <c r="K38" s="330"/>
      <c r="L38" s="330"/>
      <c r="M38" s="330"/>
      <c r="N38" s="330"/>
      <c r="O38" s="330"/>
      <c r="P38" s="330"/>
      <c r="Q38" s="330"/>
      <c r="R38" s="330"/>
      <c r="S38" s="330"/>
      <c r="T38" s="330"/>
      <c r="U38" s="330"/>
      <c r="V38" s="330"/>
      <c r="W38" s="330"/>
      <c r="X38" s="330"/>
    </row>
    <row r="39" spans="1:24" s="341" customFormat="1">
      <c r="A39" s="552" t="s">
        <v>223</v>
      </c>
      <c r="B39" s="557"/>
      <c r="C39" s="557"/>
      <c r="D39" s="554">
        <v>0</v>
      </c>
      <c r="E39" s="555">
        <f>(E19+E20)/E29</f>
        <v>160.26666666666668</v>
      </c>
      <c r="F39" s="555">
        <f t="shared" ref="F39:X39" si="5">(F19+F20)/F29</f>
        <v>187</v>
      </c>
      <c r="G39" s="555">
        <f t="shared" si="5"/>
        <v>213.73333333333332</v>
      </c>
      <c r="H39" s="555">
        <f t="shared" si="5"/>
        <v>213.73333333333332</v>
      </c>
      <c r="I39" s="555">
        <f t="shared" si="5"/>
        <v>213.73333333333332</v>
      </c>
      <c r="J39" s="555">
        <f t="shared" si="5"/>
        <v>213.73333333333332</v>
      </c>
      <c r="K39" s="555">
        <f t="shared" si="5"/>
        <v>213.73333333333332</v>
      </c>
      <c r="L39" s="555">
        <f t="shared" si="5"/>
        <v>213.73333333333332</v>
      </c>
      <c r="M39" s="555">
        <f t="shared" si="5"/>
        <v>213.73333333333332</v>
      </c>
      <c r="N39" s="555">
        <f t="shared" si="5"/>
        <v>213.73333333333332</v>
      </c>
      <c r="O39" s="555">
        <f t="shared" si="5"/>
        <v>213.73333333333332</v>
      </c>
      <c r="P39" s="555">
        <f t="shared" si="5"/>
        <v>213.73333333333332</v>
      </c>
      <c r="Q39" s="555">
        <f t="shared" si="5"/>
        <v>213.73333333333332</v>
      </c>
      <c r="R39" s="555">
        <f t="shared" si="5"/>
        <v>213.73333333333332</v>
      </c>
      <c r="S39" s="555">
        <f t="shared" si="5"/>
        <v>213.73333333333332</v>
      </c>
      <c r="T39" s="555">
        <f t="shared" si="5"/>
        <v>213.73333333333332</v>
      </c>
      <c r="U39" s="555">
        <f t="shared" si="5"/>
        <v>213.73333333333332</v>
      </c>
      <c r="V39" s="555">
        <f t="shared" si="5"/>
        <v>213.73333333333332</v>
      </c>
      <c r="W39" s="555">
        <f t="shared" si="5"/>
        <v>213.73333333333332</v>
      </c>
      <c r="X39" s="555">
        <f t="shared" si="5"/>
        <v>213.73333333333332</v>
      </c>
    </row>
    <row r="40" spans="1:24">
      <c r="A40" s="54"/>
      <c r="B40" s="74"/>
      <c r="C40" s="74"/>
      <c r="D40" s="492"/>
      <c r="E40" s="308"/>
      <c r="F40" s="308"/>
      <c r="G40" s="308"/>
      <c r="H40" s="308"/>
      <c r="I40" s="308"/>
      <c r="J40" s="308"/>
      <c r="K40" s="308"/>
      <c r="L40" s="308"/>
      <c r="M40" s="308"/>
      <c r="N40" s="308"/>
      <c r="O40" s="308"/>
      <c r="P40" s="308"/>
      <c r="Q40" s="308"/>
      <c r="R40" s="308"/>
      <c r="S40" s="308"/>
      <c r="T40" s="308"/>
      <c r="U40" s="308"/>
      <c r="V40" s="308"/>
      <c r="W40" s="308"/>
      <c r="X40" s="308"/>
    </row>
    <row r="41" spans="1:24">
      <c r="A41" s="293" t="s">
        <v>26</v>
      </c>
      <c r="B41" s="74"/>
      <c r="C41" s="74"/>
      <c r="D41" s="492"/>
      <c r="E41" s="308"/>
      <c r="F41" s="308"/>
      <c r="G41" s="308"/>
      <c r="H41" s="308"/>
      <c r="I41" s="308"/>
      <c r="J41" s="308"/>
      <c r="K41" s="308"/>
      <c r="L41" s="308"/>
      <c r="M41" s="308"/>
      <c r="N41" s="308"/>
      <c r="O41" s="308"/>
      <c r="P41" s="308"/>
      <c r="Q41" s="308"/>
      <c r="R41" s="308"/>
      <c r="S41" s="308"/>
      <c r="T41" s="308"/>
      <c r="U41" s="308"/>
      <c r="V41" s="308"/>
      <c r="W41" s="308"/>
      <c r="X41" s="308"/>
    </row>
    <row r="42" spans="1:24">
      <c r="A42" s="54" t="s">
        <v>264</v>
      </c>
      <c r="B42" s="277"/>
      <c r="C42" s="74"/>
      <c r="D42" s="486">
        <v>0</v>
      </c>
      <c r="E42" s="313">
        <f>'Parking Projections'!C68/2</f>
        <v>1832.2239583333337</v>
      </c>
      <c r="F42" s="313">
        <f>'Parking Projections'!D68</f>
        <v>3664.4479166666674</v>
      </c>
      <c r="G42" s="313">
        <f>'Parking Projections'!E68</f>
        <v>3664.4479166666674</v>
      </c>
      <c r="H42" s="313">
        <f>'Parking Projections'!F68</f>
        <v>3664.4479166666674</v>
      </c>
      <c r="I42" s="313">
        <f>'Parking Projections'!G68</f>
        <v>3664.4479166666674</v>
      </c>
      <c r="J42" s="313">
        <f>'Parking Projections'!H68</f>
        <v>3664.4479166666674</v>
      </c>
      <c r="K42" s="313">
        <f>'Parking Projections'!I68</f>
        <v>3664.4479166666674</v>
      </c>
      <c r="L42" s="313">
        <f>'Parking Projections'!J68</f>
        <v>3664.4479166666674</v>
      </c>
      <c r="M42" s="313">
        <f>'Parking Projections'!K68</f>
        <v>3664.4479166666674</v>
      </c>
      <c r="N42" s="313">
        <f>'Parking Projections'!L68</f>
        <v>3664.4479166666674</v>
      </c>
      <c r="O42" s="313">
        <f>'Parking Projections'!M68</f>
        <v>3664.4479166666674</v>
      </c>
      <c r="P42" s="313">
        <f>'Parking Projections'!N68</f>
        <v>3664.4479166666674</v>
      </c>
      <c r="Q42" s="313">
        <f>'Parking Projections'!O68</f>
        <v>3664.4479166666674</v>
      </c>
      <c r="R42" s="313">
        <f>'Parking Projections'!P68</f>
        <v>3664.4479166666674</v>
      </c>
      <c r="S42" s="313">
        <f>'Parking Projections'!Q68</f>
        <v>3664.4479166666674</v>
      </c>
      <c r="T42" s="313">
        <f>'Parking Projections'!R68</f>
        <v>3664.4479166666674</v>
      </c>
      <c r="U42" s="313">
        <f>'Parking Projections'!S68</f>
        <v>3664.4479166666674</v>
      </c>
      <c r="V42" s="313">
        <f>'Parking Projections'!T68</f>
        <v>3664.4479166666674</v>
      </c>
      <c r="W42" s="313">
        <f>'Parking Projections'!U68</f>
        <v>3664.4479166666674</v>
      </c>
      <c r="X42" s="313">
        <f>'Parking Projections'!V68</f>
        <v>3664.4479166666674</v>
      </c>
    </row>
    <row r="43" spans="1:24">
      <c r="A43" s="54" t="s">
        <v>267</v>
      </c>
      <c r="B43" s="277"/>
      <c r="C43" s="74"/>
      <c r="D43" s="486">
        <v>0</v>
      </c>
      <c r="E43" s="313">
        <f>'Parking Projections'!C72/2</f>
        <v>13371.166666666662</v>
      </c>
      <c r="F43" s="313">
        <f>'Parking Projections'!D72</f>
        <v>26742.333333333325</v>
      </c>
      <c r="G43" s="313">
        <f>'Parking Projections'!E72</f>
        <v>26742.333333333325</v>
      </c>
      <c r="H43" s="313">
        <f>'Parking Projections'!F72</f>
        <v>26742.333333333325</v>
      </c>
      <c r="I43" s="313">
        <f>'Parking Projections'!G72</f>
        <v>26742.333333333325</v>
      </c>
      <c r="J43" s="313">
        <f>'Parking Projections'!H72</f>
        <v>26742.333333333325</v>
      </c>
      <c r="K43" s="313">
        <f>'Parking Projections'!I72</f>
        <v>26742.333333333325</v>
      </c>
      <c r="L43" s="313">
        <f>'Parking Projections'!J72</f>
        <v>26742.333333333325</v>
      </c>
      <c r="M43" s="313">
        <f>'Parking Projections'!K72</f>
        <v>26742.333333333325</v>
      </c>
      <c r="N43" s="313">
        <f>'Parking Projections'!L72</f>
        <v>26742.333333333325</v>
      </c>
      <c r="O43" s="313">
        <f>'Parking Projections'!M72</f>
        <v>26742.333333333325</v>
      </c>
      <c r="P43" s="313">
        <f>'Parking Projections'!N72</f>
        <v>26742.333333333325</v>
      </c>
      <c r="Q43" s="313">
        <f>'Parking Projections'!O72</f>
        <v>26742.333333333325</v>
      </c>
      <c r="R43" s="313">
        <f>'Parking Projections'!P72</f>
        <v>26742.333333333325</v>
      </c>
      <c r="S43" s="313">
        <f>'Parking Projections'!Q72</f>
        <v>26742.333333333325</v>
      </c>
      <c r="T43" s="313">
        <f>'Parking Projections'!R72</f>
        <v>26742.333333333325</v>
      </c>
      <c r="U43" s="313">
        <f>'Parking Projections'!S72</f>
        <v>26742.333333333325</v>
      </c>
      <c r="V43" s="313">
        <f>'Parking Projections'!T72</f>
        <v>26742.333333333325</v>
      </c>
      <c r="W43" s="313">
        <f>'Parking Projections'!U72</f>
        <v>26742.333333333325</v>
      </c>
      <c r="X43" s="313">
        <f>'Parking Projections'!V72</f>
        <v>26742.333333333325</v>
      </c>
    </row>
    <row r="44" spans="1:24" s="96" customFormat="1">
      <c r="A44" s="54" t="s">
        <v>274</v>
      </c>
      <c r="B44" s="435"/>
      <c r="C44" s="583"/>
      <c r="D44" s="486">
        <v>0</v>
      </c>
      <c r="E44" s="313">
        <f>SUM(E42:E43)</f>
        <v>15203.390624999996</v>
      </c>
      <c r="F44" s="313">
        <f t="shared" ref="F44:X44" si="6">SUM(F42:F43)</f>
        <v>30406.781249999993</v>
      </c>
      <c r="G44" s="313">
        <f t="shared" si="6"/>
        <v>30406.781249999993</v>
      </c>
      <c r="H44" s="313">
        <f t="shared" si="6"/>
        <v>30406.781249999993</v>
      </c>
      <c r="I44" s="313">
        <f t="shared" si="6"/>
        <v>30406.781249999993</v>
      </c>
      <c r="J44" s="313">
        <f t="shared" si="6"/>
        <v>30406.781249999993</v>
      </c>
      <c r="K44" s="313">
        <f t="shared" si="6"/>
        <v>30406.781249999993</v>
      </c>
      <c r="L44" s="313">
        <f t="shared" si="6"/>
        <v>30406.781249999993</v>
      </c>
      <c r="M44" s="313">
        <f t="shared" si="6"/>
        <v>30406.781249999993</v>
      </c>
      <c r="N44" s="313">
        <f t="shared" si="6"/>
        <v>30406.781249999993</v>
      </c>
      <c r="O44" s="313">
        <f t="shared" si="6"/>
        <v>30406.781249999993</v>
      </c>
      <c r="P44" s="313">
        <f t="shared" si="6"/>
        <v>30406.781249999993</v>
      </c>
      <c r="Q44" s="313">
        <f t="shared" si="6"/>
        <v>30406.781249999993</v>
      </c>
      <c r="R44" s="313">
        <f t="shared" si="6"/>
        <v>30406.781249999993</v>
      </c>
      <c r="S44" s="313">
        <f t="shared" si="6"/>
        <v>30406.781249999993</v>
      </c>
      <c r="T44" s="313">
        <f t="shared" si="6"/>
        <v>30406.781249999993</v>
      </c>
      <c r="U44" s="313">
        <f t="shared" si="6"/>
        <v>30406.781249999993</v>
      </c>
      <c r="V44" s="313">
        <f t="shared" si="6"/>
        <v>30406.781249999993</v>
      </c>
      <c r="W44" s="313">
        <f t="shared" si="6"/>
        <v>30406.781249999993</v>
      </c>
      <c r="X44" s="313">
        <f t="shared" si="6"/>
        <v>30406.781249999993</v>
      </c>
    </row>
    <row r="45" spans="1:24">
      <c r="A45" s="54"/>
      <c r="B45" s="277"/>
      <c r="C45" s="74"/>
      <c r="D45" s="499"/>
      <c r="E45" s="308"/>
      <c r="F45" s="308"/>
      <c r="G45" s="308"/>
      <c r="H45" s="308"/>
      <c r="I45" s="308"/>
      <c r="J45" s="308"/>
      <c r="K45" s="308"/>
      <c r="L45" s="308"/>
      <c r="M45" s="308"/>
      <c r="N45" s="308"/>
      <c r="O45" s="308"/>
      <c r="P45" s="308"/>
      <c r="Q45" s="308"/>
      <c r="R45" s="308"/>
      <c r="S45" s="308"/>
      <c r="T45" s="308"/>
      <c r="U45" s="308"/>
      <c r="V45" s="308"/>
      <c r="W45" s="308"/>
      <c r="X45" s="308"/>
    </row>
    <row r="46" spans="1:24" s="341" customFormat="1">
      <c r="A46" s="552" t="s">
        <v>224</v>
      </c>
      <c r="B46" s="556"/>
      <c r="C46" s="557"/>
      <c r="D46" s="554">
        <v>0</v>
      </c>
      <c r="E46" s="558">
        <v>3</v>
      </c>
      <c r="F46" s="558">
        <v>3</v>
      </c>
      <c r="G46" s="558">
        <v>3</v>
      </c>
      <c r="H46" s="558">
        <v>3</v>
      </c>
      <c r="I46" s="558">
        <v>3</v>
      </c>
      <c r="J46" s="558">
        <v>3</v>
      </c>
      <c r="K46" s="558">
        <v>3</v>
      </c>
      <c r="L46" s="558">
        <v>3</v>
      </c>
      <c r="M46" s="558">
        <v>3</v>
      </c>
      <c r="N46" s="558">
        <v>3</v>
      </c>
      <c r="O46" s="558">
        <v>3</v>
      </c>
      <c r="P46" s="558">
        <v>3</v>
      </c>
      <c r="Q46" s="558">
        <v>3</v>
      </c>
      <c r="R46" s="558">
        <v>3</v>
      </c>
      <c r="S46" s="558">
        <v>3</v>
      </c>
      <c r="T46" s="558">
        <v>3</v>
      </c>
      <c r="U46" s="558">
        <v>3</v>
      </c>
      <c r="V46" s="558">
        <v>3</v>
      </c>
      <c r="W46" s="558">
        <v>3</v>
      </c>
      <c r="X46" s="558">
        <v>3</v>
      </c>
    </row>
    <row r="47" spans="1:24" s="96" customFormat="1">
      <c r="A47" s="54" t="s">
        <v>225</v>
      </c>
      <c r="B47" s="435"/>
      <c r="C47" s="583"/>
      <c r="D47" s="486">
        <v>0</v>
      </c>
      <c r="E47" s="496">
        <v>1</v>
      </c>
      <c r="F47" s="496">
        <v>1</v>
      </c>
      <c r="G47" s="496">
        <v>1</v>
      </c>
      <c r="H47" s="496">
        <v>1</v>
      </c>
      <c r="I47" s="496">
        <v>1</v>
      </c>
      <c r="J47" s="496">
        <v>1</v>
      </c>
      <c r="K47" s="496">
        <v>1</v>
      </c>
      <c r="L47" s="496">
        <v>1</v>
      </c>
      <c r="M47" s="496">
        <v>1</v>
      </c>
      <c r="N47" s="496">
        <v>1</v>
      </c>
      <c r="O47" s="496">
        <v>1</v>
      </c>
      <c r="P47" s="496">
        <v>1</v>
      </c>
      <c r="Q47" s="496">
        <v>1</v>
      </c>
      <c r="R47" s="496">
        <v>1</v>
      </c>
      <c r="S47" s="496">
        <v>1</v>
      </c>
      <c r="T47" s="496">
        <v>1</v>
      </c>
      <c r="U47" s="496">
        <v>1</v>
      </c>
      <c r="V47" s="496">
        <v>1</v>
      </c>
      <c r="W47" s="496">
        <v>1</v>
      </c>
      <c r="X47" s="496">
        <v>1</v>
      </c>
    </row>
    <row r="48" spans="1:24">
      <c r="A48" s="54" t="s">
        <v>209</v>
      </c>
      <c r="B48" s="277"/>
      <c r="C48" s="74"/>
      <c r="D48" s="486">
        <v>0</v>
      </c>
      <c r="E48" s="496">
        <v>0.5</v>
      </c>
      <c r="F48" s="496">
        <v>0.5</v>
      </c>
      <c r="G48" s="496">
        <v>0.5</v>
      </c>
      <c r="H48" s="496">
        <v>0.5</v>
      </c>
      <c r="I48" s="496">
        <v>0.5</v>
      </c>
      <c r="J48" s="496">
        <v>0.5</v>
      </c>
      <c r="K48" s="496">
        <v>0.5</v>
      </c>
      <c r="L48" s="496">
        <v>0.5</v>
      </c>
      <c r="M48" s="496">
        <v>0.5</v>
      </c>
      <c r="N48" s="496">
        <v>0.5</v>
      </c>
      <c r="O48" s="496">
        <v>0.5</v>
      </c>
      <c r="P48" s="496">
        <v>0.5</v>
      </c>
      <c r="Q48" s="496">
        <v>0.5</v>
      </c>
      <c r="R48" s="496">
        <v>0.5</v>
      </c>
      <c r="S48" s="496">
        <v>0.5</v>
      </c>
      <c r="T48" s="496">
        <v>0.5</v>
      </c>
      <c r="U48" s="496">
        <v>0.5</v>
      </c>
      <c r="V48" s="496">
        <v>0.5</v>
      </c>
      <c r="W48" s="496">
        <v>0.5</v>
      </c>
      <c r="X48" s="496">
        <v>0.5</v>
      </c>
    </row>
    <row r="49" spans="1:25 16384:16384">
      <c r="A49" s="54" t="s">
        <v>289</v>
      </c>
      <c r="B49" s="277"/>
      <c r="C49" s="74"/>
      <c r="D49" s="486">
        <v>0</v>
      </c>
      <c r="E49" s="496">
        <f>SUM(E47:E48)/2</f>
        <v>0.75</v>
      </c>
      <c r="F49" s="496">
        <f t="shared" ref="F49:X49" si="7">SUM(F47:F48)/2</f>
        <v>0.75</v>
      </c>
      <c r="G49" s="496">
        <f t="shared" si="7"/>
        <v>0.75</v>
      </c>
      <c r="H49" s="496">
        <f t="shared" si="7"/>
        <v>0.75</v>
      </c>
      <c r="I49" s="496">
        <f t="shared" si="7"/>
        <v>0.75</v>
      </c>
      <c r="J49" s="496">
        <f t="shared" si="7"/>
        <v>0.75</v>
      </c>
      <c r="K49" s="496">
        <f t="shared" si="7"/>
        <v>0.75</v>
      </c>
      <c r="L49" s="496">
        <f t="shared" si="7"/>
        <v>0.75</v>
      </c>
      <c r="M49" s="496">
        <f t="shared" si="7"/>
        <v>0.75</v>
      </c>
      <c r="N49" s="496">
        <f t="shared" si="7"/>
        <v>0.75</v>
      </c>
      <c r="O49" s="496">
        <f t="shared" si="7"/>
        <v>0.75</v>
      </c>
      <c r="P49" s="496">
        <f t="shared" si="7"/>
        <v>0.75</v>
      </c>
      <c r="Q49" s="496">
        <f t="shared" si="7"/>
        <v>0.75</v>
      </c>
      <c r="R49" s="496">
        <f t="shared" si="7"/>
        <v>0.75</v>
      </c>
      <c r="S49" s="496">
        <f t="shared" si="7"/>
        <v>0.75</v>
      </c>
      <c r="T49" s="496">
        <f t="shared" si="7"/>
        <v>0.75</v>
      </c>
      <c r="U49" s="496">
        <f t="shared" si="7"/>
        <v>0.75</v>
      </c>
      <c r="V49" s="496">
        <f t="shared" si="7"/>
        <v>0.75</v>
      </c>
      <c r="W49" s="496">
        <f t="shared" si="7"/>
        <v>0.75</v>
      </c>
      <c r="X49" s="496">
        <f t="shared" si="7"/>
        <v>0.75</v>
      </c>
      <c r="XFD49" s="570">
        <f>SUM(D49:XFC49)</f>
        <v>15</v>
      </c>
    </row>
    <row r="50" spans="1:25 16384:16384">
      <c r="A50" s="54"/>
      <c r="B50" s="277"/>
      <c r="C50" s="74"/>
      <c r="D50" s="486"/>
      <c r="E50" s="496"/>
      <c r="F50" s="496"/>
      <c r="G50" s="496"/>
      <c r="H50" s="496"/>
      <c r="I50" s="496"/>
      <c r="J50" s="496"/>
      <c r="K50" s="496"/>
      <c r="L50" s="496"/>
      <c r="M50" s="496"/>
      <c r="N50" s="496"/>
      <c r="O50" s="496"/>
      <c r="P50" s="496"/>
      <c r="Q50" s="496"/>
      <c r="R50" s="496"/>
      <c r="S50" s="496"/>
      <c r="T50" s="496"/>
      <c r="U50" s="496"/>
      <c r="V50" s="496"/>
      <c r="W50" s="496"/>
      <c r="X50" s="496"/>
      <c r="XFD50" s="570"/>
    </row>
    <row r="51" spans="1:25 16384:16384">
      <c r="A51" s="54" t="s">
        <v>312</v>
      </c>
      <c r="B51" s="277"/>
      <c r="C51" s="74"/>
      <c r="D51" s="486">
        <v>0</v>
      </c>
      <c r="E51" s="313">
        <f>'Shuttle Projections'!C22*0.5</f>
        <v>3595</v>
      </c>
      <c r="F51" s="313">
        <f>'Shuttle Projections'!D22</f>
        <v>7190</v>
      </c>
      <c r="G51" s="313">
        <f>'Shuttle Projections'!E22</f>
        <v>7190</v>
      </c>
      <c r="H51" s="313">
        <f>'Shuttle Projections'!F22</f>
        <v>7190</v>
      </c>
      <c r="I51" s="313">
        <f>'Shuttle Projections'!G22</f>
        <v>7190</v>
      </c>
      <c r="J51" s="313">
        <f>'Shuttle Projections'!H22</f>
        <v>7190</v>
      </c>
      <c r="K51" s="313">
        <f>'Shuttle Projections'!I22</f>
        <v>7190</v>
      </c>
      <c r="L51" s="313">
        <f>'Shuttle Projections'!J22</f>
        <v>7190</v>
      </c>
      <c r="M51" s="313">
        <f>'Shuttle Projections'!K22</f>
        <v>7190</v>
      </c>
      <c r="N51" s="313">
        <f>'Shuttle Projections'!L22</f>
        <v>7190</v>
      </c>
      <c r="O51" s="313">
        <f>'Shuttle Projections'!M22</f>
        <v>7190</v>
      </c>
      <c r="P51" s="313">
        <f>'Shuttle Projections'!N22</f>
        <v>7190</v>
      </c>
      <c r="Q51" s="313">
        <f>'Shuttle Projections'!O22</f>
        <v>7190</v>
      </c>
      <c r="R51" s="313">
        <f>'Shuttle Projections'!P22</f>
        <v>7190</v>
      </c>
      <c r="S51" s="313">
        <f>'Shuttle Projections'!Q22</f>
        <v>7190</v>
      </c>
      <c r="T51" s="313">
        <f>'Shuttle Projections'!R22</f>
        <v>7190</v>
      </c>
      <c r="U51" s="313">
        <f>'Shuttle Projections'!S22</f>
        <v>7190</v>
      </c>
      <c r="V51" s="313">
        <f>'Shuttle Projections'!T22</f>
        <v>7190</v>
      </c>
      <c r="W51" s="313">
        <f>'Shuttle Projections'!U22</f>
        <v>7190</v>
      </c>
      <c r="X51" s="313">
        <f>'Shuttle Projections'!V22</f>
        <v>7190</v>
      </c>
      <c r="XFD51" s="570"/>
    </row>
    <row r="52" spans="1:25 16384:16384">
      <c r="A52" s="54"/>
      <c r="B52" s="277"/>
      <c r="C52" s="74"/>
      <c r="D52" s="486"/>
      <c r="E52" s="308"/>
      <c r="F52" s="308"/>
      <c r="G52" s="308"/>
      <c r="H52" s="308"/>
      <c r="I52" s="308"/>
      <c r="J52" s="308"/>
      <c r="K52" s="308"/>
      <c r="L52" s="308"/>
      <c r="M52" s="308"/>
      <c r="N52" s="308"/>
      <c r="O52" s="308"/>
      <c r="P52" s="308"/>
      <c r="Q52" s="308"/>
      <c r="R52" s="308"/>
      <c r="S52" s="308"/>
      <c r="T52" s="308"/>
      <c r="U52" s="308"/>
      <c r="V52" s="308"/>
      <c r="W52" s="308"/>
      <c r="X52" s="308"/>
    </row>
    <row r="53" spans="1:25 16384:16384" s="612" customFormat="1">
      <c r="A53" s="613" t="s">
        <v>292</v>
      </c>
      <c r="B53" s="614"/>
      <c r="C53" s="615"/>
      <c r="D53" s="616">
        <v>0</v>
      </c>
      <c r="E53" s="617">
        <v>0</v>
      </c>
      <c r="F53" s="617">
        <v>0</v>
      </c>
      <c r="G53" s="617">
        <v>100000</v>
      </c>
      <c r="H53" s="617">
        <v>100000</v>
      </c>
      <c r="I53" s="617">
        <v>100000</v>
      </c>
      <c r="J53" s="617">
        <v>100000</v>
      </c>
      <c r="K53" s="617">
        <v>100000</v>
      </c>
      <c r="L53" s="617">
        <v>100000</v>
      </c>
      <c r="M53" s="617">
        <v>100000</v>
      </c>
      <c r="N53" s="617">
        <v>100000</v>
      </c>
      <c r="O53" s="617">
        <v>100000</v>
      </c>
      <c r="P53" s="617">
        <v>100000</v>
      </c>
      <c r="Q53" s="617">
        <v>100000</v>
      </c>
      <c r="R53" s="617">
        <v>100000</v>
      </c>
      <c r="S53" s="617">
        <v>100000</v>
      </c>
      <c r="T53" s="617">
        <v>100000</v>
      </c>
      <c r="U53" s="617">
        <v>100000</v>
      </c>
      <c r="V53" s="617">
        <v>100000</v>
      </c>
      <c r="W53" s="617">
        <v>100000</v>
      </c>
      <c r="X53" s="618">
        <v>100000</v>
      </c>
    </row>
    <row r="54" spans="1:25 16384:16384">
      <c r="A54" s="54"/>
      <c r="B54" s="277"/>
      <c r="C54" s="74"/>
      <c r="D54" s="486"/>
      <c r="E54" s="308"/>
      <c r="F54" s="308"/>
      <c r="G54" s="308"/>
      <c r="H54" s="308"/>
      <c r="I54" s="308"/>
      <c r="J54" s="308"/>
      <c r="K54" s="308"/>
      <c r="L54" s="308"/>
      <c r="M54" s="308"/>
      <c r="N54" s="308"/>
      <c r="O54" s="308"/>
      <c r="P54" s="308"/>
      <c r="Q54" s="308"/>
      <c r="R54" s="308"/>
      <c r="S54" s="308"/>
      <c r="T54" s="308"/>
      <c r="U54" s="308"/>
      <c r="V54" s="308"/>
      <c r="W54" s="308"/>
      <c r="X54" s="308"/>
    </row>
    <row r="55" spans="1:25 16384:16384" s="582" customFormat="1">
      <c r="A55" s="293" t="str">
        <f>'BH Tariffs'!A33</f>
        <v>Recreational/Commercial Marina</v>
      </c>
      <c r="B55" s="584"/>
      <c r="C55" s="585"/>
      <c r="D55" s="486"/>
      <c r="E55" s="586"/>
      <c r="F55" s="586"/>
      <c r="G55" s="586"/>
      <c r="H55" s="586"/>
      <c r="I55" s="586"/>
      <c r="J55" s="586"/>
      <c r="K55" s="586"/>
      <c r="L55" s="586"/>
      <c r="M55" s="586"/>
      <c r="N55" s="586"/>
      <c r="O55" s="586"/>
      <c r="P55" s="586"/>
      <c r="Q55" s="586"/>
      <c r="R55" s="586"/>
      <c r="S55" s="586"/>
      <c r="T55" s="586"/>
      <c r="U55" s="586"/>
      <c r="V55" s="586"/>
      <c r="W55" s="586"/>
      <c r="X55" s="586"/>
    </row>
    <row r="56" spans="1:25 16384:16384" s="96" customFormat="1">
      <c r="A56" s="54" t="s">
        <v>291</v>
      </c>
      <c r="B56" s="435"/>
      <c r="C56" s="583"/>
      <c r="D56" s="486">
        <v>0</v>
      </c>
      <c r="E56" s="313">
        <v>0</v>
      </c>
      <c r="F56" s="313">
        <f>'Marina Projections'!D85</f>
        <v>42</v>
      </c>
      <c r="G56" s="313">
        <f>'Marina Projections'!E85</f>
        <v>42</v>
      </c>
      <c r="H56" s="313">
        <f>'Marina Projections'!F85</f>
        <v>42</v>
      </c>
      <c r="I56" s="313">
        <f>'Marina Projections'!G85</f>
        <v>42</v>
      </c>
      <c r="J56" s="313">
        <f>'Marina Projections'!H85</f>
        <v>42</v>
      </c>
      <c r="K56" s="313">
        <f>'Marina Projections'!I85</f>
        <v>42</v>
      </c>
      <c r="L56" s="313">
        <f>'Marina Projections'!J85</f>
        <v>42</v>
      </c>
      <c r="M56" s="313">
        <f>'Marina Projections'!K85</f>
        <v>42</v>
      </c>
      <c r="N56" s="313">
        <f>'Marina Projections'!L85</f>
        <v>42</v>
      </c>
      <c r="O56" s="313">
        <f>'Marina Projections'!M85</f>
        <v>42</v>
      </c>
      <c r="P56" s="313">
        <f>'Marina Projections'!N85</f>
        <v>42</v>
      </c>
      <c r="Q56" s="313">
        <f>'Marina Projections'!O85</f>
        <v>42</v>
      </c>
      <c r="R56" s="313">
        <f>'Marina Projections'!P85</f>
        <v>42</v>
      </c>
      <c r="S56" s="313">
        <f>'Marina Projections'!Q85</f>
        <v>42</v>
      </c>
      <c r="T56" s="313">
        <f>'Marina Projections'!R85</f>
        <v>42</v>
      </c>
      <c r="U56" s="313">
        <f>'Marina Projections'!S85</f>
        <v>42</v>
      </c>
      <c r="V56" s="313">
        <f>'Marina Projections'!T85</f>
        <v>42</v>
      </c>
      <c r="W56" s="313">
        <f>'Marina Projections'!U85</f>
        <v>42</v>
      </c>
      <c r="X56" s="313">
        <f>'Marina Projections'!V85</f>
        <v>42</v>
      </c>
    </row>
    <row r="57" spans="1:25 16384:16384" s="96" customFormat="1">
      <c r="A57" s="54" t="s">
        <v>293</v>
      </c>
      <c r="B57" s="435"/>
      <c r="C57" s="583"/>
      <c r="D57" s="486">
        <v>0</v>
      </c>
      <c r="E57" s="313">
        <v>0</v>
      </c>
      <c r="F57" s="313">
        <f>'Marina Projections'!D92</f>
        <v>39290.600625000006</v>
      </c>
      <c r="G57" s="313">
        <f>'Marina Projections'!E92</f>
        <v>39290.600625000006</v>
      </c>
      <c r="H57" s="313">
        <f>'Marina Projections'!F92</f>
        <v>39290.600625000006</v>
      </c>
      <c r="I57" s="313">
        <f>'Marina Projections'!G92</f>
        <v>39290.600625000006</v>
      </c>
      <c r="J57" s="313">
        <f>'Marina Projections'!H92</f>
        <v>39290.600625000006</v>
      </c>
      <c r="K57" s="313">
        <f>'Marina Projections'!I92</f>
        <v>39290.600625000006</v>
      </c>
      <c r="L57" s="313">
        <f>'Marina Projections'!J92</f>
        <v>39290.600625000006</v>
      </c>
      <c r="M57" s="313">
        <f>'Marina Projections'!K92</f>
        <v>39290.600625000006</v>
      </c>
      <c r="N57" s="313">
        <f>'Marina Projections'!L92</f>
        <v>39290.600625000006</v>
      </c>
      <c r="O57" s="313">
        <f>'Marina Projections'!M92</f>
        <v>39290.600625000006</v>
      </c>
      <c r="P57" s="313">
        <f>'Marina Projections'!N92</f>
        <v>39290.600625000006</v>
      </c>
      <c r="Q57" s="313">
        <f>'Marina Projections'!O92</f>
        <v>39290.600625000006</v>
      </c>
      <c r="R57" s="313">
        <f>'Marina Projections'!P92</f>
        <v>39290.600625000006</v>
      </c>
      <c r="S57" s="313">
        <f>'Marina Projections'!Q92</f>
        <v>39290.600625000006</v>
      </c>
      <c r="T57" s="313">
        <f>'Marina Projections'!R92</f>
        <v>39290.600625000006</v>
      </c>
      <c r="U57" s="313">
        <f>'Marina Projections'!S92</f>
        <v>39290.600625000006</v>
      </c>
      <c r="V57" s="313">
        <f>'Marina Projections'!T92</f>
        <v>39290.600625000006</v>
      </c>
      <c r="W57" s="313">
        <f>'Marina Projections'!U92</f>
        <v>39290.600625000006</v>
      </c>
      <c r="X57" s="313">
        <f>'Marina Projections'!V92</f>
        <v>39290.600625000006</v>
      </c>
    </row>
    <row r="58" spans="1:25 16384:16384" s="96" customFormat="1">
      <c r="A58" s="54" t="s">
        <v>294</v>
      </c>
      <c r="B58" s="435"/>
      <c r="C58" s="583"/>
      <c r="D58" s="486">
        <v>0</v>
      </c>
      <c r="E58" s="313">
        <v>0</v>
      </c>
      <c r="F58" s="313">
        <f>'Marina Projections'!D88</f>
        <v>1476.3000000000002</v>
      </c>
      <c r="G58" s="313">
        <f>'Marina Projections'!E88</f>
        <v>1476.3000000000002</v>
      </c>
      <c r="H58" s="313">
        <f>'Marina Projections'!F88</f>
        <v>1476.3000000000002</v>
      </c>
      <c r="I58" s="313">
        <f>'Marina Projections'!G88</f>
        <v>1476.3000000000002</v>
      </c>
      <c r="J58" s="313">
        <f>'Marina Projections'!H88</f>
        <v>1476.3000000000002</v>
      </c>
      <c r="K58" s="313">
        <f>'Marina Projections'!I88</f>
        <v>1476.3000000000002</v>
      </c>
      <c r="L58" s="313">
        <f>'Marina Projections'!J88</f>
        <v>1476.3000000000002</v>
      </c>
      <c r="M58" s="313">
        <f>'Marina Projections'!K88</f>
        <v>1476.3000000000002</v>
      </c>
      <c r="N58" s="313">
        <f>'Marina Projections'!L88</f>
        <v>1476.3000000000002</v>
      </c>
      <c r="O58" s="313">
        <f>'Marina Projections'!M88</f>
        <v>1476.3000000000002</v>
      </c>
      <c r="P58" s="313">
        <f>'Marina Projections'!N88</f>
        <v>1476.3000000000002</v>
      </c>
      <c r="Q58" s="313">
        <f>'Marina Projections'!O88</f>
        <v>1476.3000000000002</v>
      </c>
      <c r="R58" s="313">
        <f>'Marina Projections'!P88</f>
        <v>1476.3000000000002</v>
      </c>
      <c r="S58" s="313">
        <f>'Marina Projections'!Q88</f>
        <v>1476.3000000000002</v>
      </c>
      <c r="T58" s="313">
        <f>'Marina Projections'!R88</f>
        <v>1476.3000000000002</v>
      </c>
      <c r="U58" s="313">
        <f>'Marina Projections'!S88</f>
        <v>1476.3000000000002</v>
      </c>
      <c r="V58" s="313">
        <f>'Marina Projections'!T88</f>
        <v>1476.3000000000002</v>
      </c>
      <c r="W58" s="313">
        <f>'Marina Projections'!U88</f>
        <v>1476.3000000000002</v>
      </c>
      <c r="X58" s="313">
        <f>'Marina Projections'!V88</f>
        <v>1476.3000000000002</v>
      </c>
    </row>
    <row r="59" spans="1:25 16384:16384" s="167" customFormat="1">
      <c r="A59" s="497" t="s">
        <v>170</v>
      </c>
      <c r="B59" s="450"/>
      <c r="C59" s="498"/>
      <c r="D59" s="486">
        <v>0</v>
      </c>
      <c r="E59" s="587">
        <v>0</v>
      </c>
      <c r="F59" s="587">
        <v>0</v>
      </c>
      <c r="G59" s="587">
        <v>0</v>
      </c>
      <c r="H59" s="587">
        <v>0</v>
      </c>
      <c r="I59" s="587">
        <v>0</v>
      </c>
      <c r="J59" s="587">
        <v>0</v>
      </c>
      <c r="K59" s="587">
        <v>0</v>
      </c>
      <c r="L59" s="587">
        <v>0</v>
      </c>
      <c r="M59" s="587">
        <v>0</v>
      </c>
      <c r="N59" s="587">
        <v>0</v>
      </c>
      <c r="O59" s="587">
        <v>0</v>
      </c>
      <c r="P59" s="587">
        <v>0</v>
      </c>
      <c r="Q59" s="587">
        <v>0</v>
      </c>
      <c r="R59" s="587">
        <v>0</v>
      </c>
      <c r="S59" s="587">
        <v>0</v>
      </c>
      <c r="T59" s="587">
        <v>0</v>
      </c>
      <c r="U59" s="587">
        <v>0</v>
      </c>
      <c r="V59" s="587">
        <v>0</v>
      </c>
      <c r="W59" s="587">
        <v>0</v>
      </c>
      <c r="X59" s="587">
        <v>0</v>
      </c>
      <c r="Y59" s="167" t="s">
        <v>282</v>
      </c>
    </row>
    <row r="60" spans="1:25 16384:16384" s="167" customFormat="1">
      <c r="A60" s="497" t="s">
        <v>16</v>
      </c>
      <c r="B60" s="450"/>
      <c r="C60" s="498"/>
      <c r="D60" s="499">
        <v>0</v>
      </c>
      <c r="E60" s="587">
        <v>0</v>
      </c>
      <c r="F60" s="587">
        <v>0</v>
      </c>
      <c r="G60" s="587">
        <v>0</v>
      </c>
      <c r="H60" s="587">
        <v>0</v>
      </c>
      <c r="I60" s="587">
        <v>0</v>
      </c>
      <c r="J60" s="587">
        <v>0</v>
      </c>
      <c r="K60" s="587">
        <v>0</v>
      </c>
      <c r="L60" s="587">
        <v>0</v>
      </c>
      <c r="M60" s="587">
        <v>0</v>
      </c>
      <c r="N60" s="587">
        <v>0</v>
      </c>
      <c r="O60" s="587">
        <v>0</v>
      </c>
      <c r="P60" s="587">
        <v>0</v>
      </c>
      <c r="Q60" s="587">
        <v>0</v>
      </c>
      <c r="R60" s="587">
        <v>0</v>
      </c>
      <c r="S60" s="587">
        <v>0</v>
      </c>
      <c r="T60" s="587">
        <v>0</v>
      </c>
      <c r="U60" s="587">
        <v>0</v>
      </c>
      <c r="V60" s="587">
        <v>0</v>
      </c>
      <c r="W60" s="587">
        <v>0</v>
      </c>
      <c r="X60" s="587">
        <v>0</v>
      </c>
      <c r="Y60" s="167" t="s">
        <v>282</v>
      </c>
    </row>
    <row r="61" spans="1:25 16384:16384">
      <c r="A61" s="54"/>
      <c r="B61" s="277"/>
      <c r="C61" s="74"/>
      <c r="D61" s="492"/>
      <c r="E61" s="308"/>
      <c r="F61" s="308"/>
      <c r="G61" s="308"/>
      <c r="H61" s="308"/>
      <c r="I61" s="308"/>
      <c r="J61" s="308"/>
      <c r="K61" s="308"/>
      <c r="L61" s="308"/>
      <c r="M61" s="308"/>
      <c r="N61" s="308"/>
      <c r="O61" s="308"/>
      <c r="P61" s="308"/>
      <c r="Q61" s="308"/>
      <c r="R61" s="308"/>
      <c r="S61" s="308"/>
      <c r="T61" s="308"/>
      <c r="U61" s="308"/>
      <c r="V61" s="308"/>
      <c r="W61" s="308"/>
      <c r="X61" s="308"/>
    </row>
    <row r="62" spans="1:25 16384:16384">
      <c r="A62" s="293" t="s">
        <v>2</v>
      </c>
      <c r="B62" s="277"/>
      <c r="C62" s="74"/>
      <c r="D62" s="492"/>
      <c r="E62" s="308"/>
      <c r="F62" s="308"/>
      <c r="G62" s="308"/>
      <c r="H62" s="308"/>
      <c r="I62" s="308"/>
      <c r="J62" s="308"/>
      <c r="K62" s="308"/>
      <c r="L62" s="308"/>
      <c r="M62" s="308"/>
      <c r="N62" s="308"/>
      <c r="O62" s="308"/>
      <c r="P62" s="308"/>
      <c r="Q62" s="308"/>
      <c r="R62" s="308"/>
      <c r="S62" s="308"/>
      <c r="T62" s="308"/>
      <c r="U62" s="308"/>
      <c r="V62" s="308"/>
      <c r="W62" s="308"/>
      <c r="X62" s="308"/>
    </row>
    <row r="63" spans="1:25 16384:16384" s="96" customFormat="1">
      <c r="A63" s="54" t="s">
        <v>290</v>
      </c>
      <c r="B63" s="435">
        <v>500</v>
      </c>
      <c r="C63" s="487"/>
      <c r="D63" s="486">
        <v>0</v>
      </c>
      <c r="E63" s="313">
        <v>0</v>
      </c>
      <c r="F63" s="313">
        <v>0</v>
      </c>
      <c r="G63" s="313">
        <f t="shared" ref="G63:X63" si="8">$B$63</f>
        <v>500</v>
      </c>
      <c r="H63" s="313">
        <f t="shared" si="8"/>
        <v>500</v>
      </c>
      <c r="I63" s="313">
        <f t="shared" si="8"/>
        <v>500</v>
      </c>
      <c r="J63" s="313">
        <f t="shared" si="8"/>
        <v>500</v>
      </c>
      <c r="K63" s="313">
        <f t="shared" si="8"/>
        <v>500</v>
      </c>
      <c r="L63" s="313">
        <f t="shared" si="8"/>
        <v>500</v>
      </c>
      <c r="M63" s="313">
        <f t="shared" si="8"/>
        <v>500</v>
      </c>
      <c r="N63" s="313">
        <f t="shared" si="8"/>
        <v>500</v>
      </c>
      <c r="O63" s="313">
        <f t="shared" si="8"/>
        <v>500</v>
      </c>
      <c r="P63" s="313">
        <f t="shared" si="8"/>
        <v>500</v>
      </c>
      <c r="Q63" s="313">
        <f t="shared" si="8"/>
        <v>500</v>
      </c>
      <c r="R63" s="313">
        <f t="shared" si="8"/>
        <v>500</v>
      </c>
      <c r="S63" s="313">
        <f t="shared" si="8"/>
        <v>500</v>
      </c>
      <c r="T63" s="313">
        <f t="shared" si="8"/>
        <v>500</v>
      </c>
      <c r="U63" s="313">
        <f t="shared" si="8"/>
        <v>500</v>
      </c>
      <c r="V63" s="313">
        <f t="shared" si="8"/>
        <v>500</v>
      </c>
      <c r="W63" s="313">
        <f t="shared" si="8"/>
        <v>500</v>
      </c>
      <c r="X63" s="313">
        <f t="shared" si="8"/>
        <v>500</v>
      </c>
    </row>
    <row r="64" spans="1:25 16384:16384" s="96" customFormat="1">
      <c r="A64" s="54" t="s">
        <v>540</v>
      </c>
      <c r="B64" s="435"/>
      <c r="C64" s="487"/>
      <c r="D64" s="1055">
        <v>0</v>
      </c>
      <c r="E64" s="1056">
        <v>0</v>
      </c>
      <c r="F64" s="1056">
        <v>0</v>
      </c>
      <c r="G64" s="1056">
        <v>200000</v>
      </c>
      <c r="H64" s="1056">
        <f>G64</f>
        <v>200000</v>
      </c>
      <c r="I64" s="1056">
        <f t="shared" ref="I64:X64" si="9">H64</f>
        <v>200000</v>
      </c>
      <c r="J64" s="1056">
        <f t="shared" si="9"/>
        <v>200000</v>
      </c>
      <c r="K64" s="1056">
        <f t="shared" si="9"/>
        <v>200000</v>
      </c>
      <c r="L64" s="1056">
        <f t="shared" si="9"/>
        <v>200000</v>
      </c>
      <c r="M64" s="1056">
        <f t="shared" si="9"/>
        <v>200000</v>
      </c>
      <c r="N64" s="1056">
        <f t="shared" si="9"/>
        <v>200000</v>
      </c>
      <c r="O64" s="1056">
        <f t="shared" si="9"/>
        <v>200000</v>
      </c>
      <c r="P64" s="1056">
        <f t="shared" si="9"/>
        <v>200000</v>
      </c>
      <c r="Q64" s="1056">
        <f t="shared" si="9"/>
        <v>200000</v>
      </c>
      <c r="R64" s="1056">
        <f t="shared" si="9"/>
        <v>200000</v>
      </c>
      <c r="S64" s="1056">
        <f t="shared" si="9"/>
        <v>200000</v>
      </c>
      <c r="T64" s="1056">
        <f t="shared" si="9"/>
        <v>200000</v>
      </c>
      <c r="U64" s="1056">
        <f t="shared" si="9"/>
        <v>200000</v>
      </c>
      <c r="V64" s="1056">
        <f t="shared" si="9"/>
        <v>200000</v>
      </c>
      <c r="W64" s="1056">
        <f t="shared" si="9"/>
        <v>200000</v>
      </c>
      <c r="X64" s="1056">
        <f t="shared" si="9"/>
        <v>200000</v>
      </c>
    </row>
    <row r="65" spans="1:25" s="96" customFormat="1">
      <c r="A65" s="54" t="s">
        <v>210</v>
      </c>
      <c r="B65" s="487"/>
      <c r="C65" s="487"/>
      <c r="D65" s="486">
        <v>0</v>
      </c>
      <c r="E65" s="313">
        <v>0</v>
      </c>
      <c r="F65" s="313">
        <v>1</v>
      </c>
      <c r="G65" s="313">
        <v>2</v>
      </c>
      <c r="H65" s="313">
        <v>2</v>
      </c>
      <c r="I65" s="313">
        <v>2</v>
      </c>
      <c r="J65" s="313">
        <v>3</v>
      </c>
      <c r="K65" s="313">
        <v>3</v>
      </c>
      <c r="L65" s="313">
        <v>3</v>
      </c>
      <c r="M65" s="313">
        <v>3</v>
      </c>
      <c r="N65" s="313">
        <v>3</v>
      </c>
      <c r="O65" s="313">
        <v>4</v>
      </c>
      <c r="P65" s="313">
        <v>4</v>
      </c>
      <c r="Q65" s="313">
        <v>4</v>
      </c>
      <c r="R65" s="313">
        <v>4</v>
      </c>
      <c r="S65" s="313">
        <v>4</v>
      </c>
      <c r="T65" s="313">
        <v>5</v>
      </c>
      <c r="U65" s="313">
        <v>5</v>
      </c>
      <c r="V65" s="313">
        <v>5</v>
      </c>
      <c r="W65" s="313">
        <v>5</v>
      </c>
      <c r="X65" s="313">
        <v>5</v>
      </c>
      <c r="Y65" s="313"/>
    </row>
    <row r="66" spans="1:25" s="96" customFormat="1">
      <c r="A66" s="96" t="s">
        <v>211</v>
      </c>
      <c r="D66" s="486">
        <v>0</v>
      </c>
      <c r="E66" s="435">
        <v>0</v>
      </c>
      <c r="F66" s="435">
        <v>3</v>
      </c>
      <c r="G66" s="435">
        <v>3</v>
      </c>
      <c r="H66" s="435">
        <v>3</v>
      </c>
      <c r="I66" s="435">
        <v>3</v>
      </c>
      <c r="J66" s="435">
        <v>3</v>
      </c>
      <c r="K66" s="435">
        <v>3</v>
      </c>
      <c r="L66" s="435">
        <v>3</v>
      </c>
      <c r="M66" s="435">
        <v>3</v>
      </c>
      <c r="N66" s="435">
        <v>3</v>
      </c>
      <c r="O66" s="435">
        <v>3</v>
      </c>
      <c r="P66" s="435">
        <v>3</v>
      </c>
      <c r="Q66" s="435">
        <v>3</v>
      </c>
      <c r="R66" s="435">
        <v>3</v>
      </c>
      <c r="S66" s="435">
        <v>3</v>
      </c>
      <c r="T66" s="435">
        <v>3</v>
      </c>
      <c r="U66" s="435">
        <v>3</v>
      </c>
      <c r="V66" s="435">
        <v>3</v>
      </c>
      <c r="W66" s="435">
        <v>3</v>
      </c>
      <c r="X66" s="435">
        <v>3</v>
      </c>
    </row>
    <row r="67" spans="1:25" s="167" customFormat="1">
      <c r="A67" s="497"/>
      <c r="B67" s="501"/>
      <c r="C67" s="501"/>
      <c r="D67" s="499"/>
      <c r="E67" s="500"/>
      <c r="F67" s="500"/>
      <c r="G67" s="500"/>
      <c r="H67" s="500"/>
      <c r="I67" s="500"/>
      <c r="J67" s="500"/>
      <c r="K67" s="500"/>
      <c r="L67" s="500"/>
      <c r="M67" s="500"/>
      <c r="N67" s="500"/>
      <c r="O67" s="500"/>
      <c r="P67" s="500"/>
      <c r="Q67" s="500"/>
      <c r="R67" s="500"/>
      <c r="S67" s="500"/>
      <c r="T67" s="500"/>
      <c r="U67" s="500"/>
      <c r="V67" s="500"/>
      <c r="W67" s="500"/>
      <c r="X67" s="500"/>
      <c r="Y67" s="500"/>
    </row>
    <row r="68" spans="1:25">
      <c r="A68" s="28"/>
      <c r="D68" s="486"/>
      <c r="E68" s="331"/>
      <c r="F68" s="333"/>
      <c r="G68" s="331"/>
      <c r="H68" s="331"/>
      <c r="I68" s="331"/>
      <c r="J68" s="331"/>
      <c r="K68" s="331"/>
      <c r="L68" s="331"/>
      <c r="M68" s="331"/>
      <c r="N68" s="331"/>
      <c r="O68" s="331"/>
      <c r="P68" s="331"/>
      <c r="Q68" s="331"/>
      <c r="R68" s="331"/>
      <c r="S68" s="331"/>
      <c r="T68" s="331"/>
      <c r="U68" s="331"/>
      <c r="V68" s="331"/>
      <c r="W68" s="331"/>
      <c r="X68" s="331"/>
    </row>
    <row r="69" spans="1:25">
      <c r="A69" s="266" t="s">
        <v>135</v>
      </c>
      <c r="B69" s="223"/>
      <c r="C69" s="267"/>
      <c r="D69" s="332"/>
      <c r="E69" s="332"/>
      <c r="F69" s="349"/>
      <c r="G69" s="332"/>
      <c r="H69" s="332"/>
      <c r="I69" s="332"/>
      <c r="J69" s="332"/>
      <c r="K69" s="332"/>
      <c r="L69" s="332"/>
      <c r="M69" s="332"/>
      <c r="N69" s="332"/>
      <c r="O69" s="332"/>
      <c r="P69" s="332"/>
      <c r="Q69" s="332"/>
      <c r="R69" s="332"/>
      <c r="S69" s="332"/>
      <c r="T69" s="332"/>
      <c r="U69" s="332"/>
      <c r="V69" s="332"/>
      <c r="W69" s="332"/>
      <c r="X69" s="332"/>
    </row>
    <row r="70" spans="1:25" s="341" customFormat="1">
      <c r="A70" s="353"/>
      <c r="B70" s="355"/>
      <c r="C70" s="355"/>
      <c r="D70" s="502"/>
      <c r="E70" s="503"/>
      <c r="F70" s="503"/>
      <c r="G70" s="503"/>
      <c r="H70" s="503"/>
      <c r="I70" s="503"/>
      <c r="J70" s="503"/>
      <c r="K70" s="503"/>
      <c r="L70" s="503"/>
      <c r="M70" s="503"/>
      <c r="N70" s="503"/>
      <c r="O70" s="503"/>
      <c r="P70" s="503"/>
      <c r="Q70" s="503"/>
      <c r="R70" s="503"/>
      <c r="S70" s="503"/>
      <c r="T70" s="503"/>
      <c r="U70" s="503"/>
      <c r="V70" s="503"/>
      <c r="W70" s="503"/>
      <c r="X70" s="503"/>
    </row>
    <row r="71" spans="1:25" s="341" customFormat="1">
      <c r="A71" s="691" t="s">
        <v>144</v>
      </c>
      <c r="B71" s="355"/>
      <c r="C71" s="355"/>
      <c r="D71" s="548"/>
      <c r="E71" s="503"/>
      <c r="F71" s="503"/>
      <c r="G71" s="503"/>
      <c r="H71" s="503"/>
      <c r="I71" s="503"/>
      <c r="J71" s="503"/>
      <c r="K71" s="503"/>
      <c r="L71" s="503"/>
      <c r="M71" s="503"/>
      <c r="N71" s="503"/>
      <c r="O71" s="503"/>
      <c r="P71" s="503"/>
      <c r="Q71" s="503"/>
      <c r="R71" s="503"/>
      <c r="S71" s="503"/>
      <c r="T71" s="503"/>
      <c r="U71" s="503"/>
      <c r="V71" s="503"/>
      <c r="W71" s="503"/>
      <c r="X71" s="503"/>
    </row>
    <row r="72" spans="1:25" s="561" customFormat="1">
      <c r="A72" s="353" t="str">
        <f>'BH Tariffs'!A11</f>
        <v>Port Fee</v>
      </c>
      <c r="B72" s="355"/>
      <c r="C72" s="355"/>
      <c r="D72" s="548">
        <v>0</v>
      </c>
      <c r="E72" s="503">
        <f>'BH Tariffs'!D11*'P&amp;L - Concept B3 - NCLH'!E12</f>
        <v>0</v>
      </c>
      <c r="F72" s="503">
        <v>0</v>
      </c>
      <c r="G72" s="503">
        <v>0</v>
      </c>
      <c r="H72" s="503">
        <v>0</v>
      </c>
      <c r="I72" s="503">
        <v>0</v>
      </c>
      <c r="J72" s="503">
        <v>0</v>
      </c>
      <c r="K72" s="503">
        <v>0</v>
      </c>
      <c r="L72" s="503">
        <v>0</v>
      </c>
      <c r="M72" s="503">
        <v>0</v>
      </c>
      <c r="N72" s="503">
        <v>0</v>
      </c>
      <c r="O72" s="503">
        <v>0</v>
      </c>
      <c r="P72" s="503">
        <v>0</v>
      </c>
      <c r="Q72" s="503">
        <v>0</v>
      </c>
      <c r="R72" s="503">
        <v>0</v>
      </c>
      <c r="S72" s="503">
        <v>0</v>
      </c>
      <c r="T72" s="503">
        <v>0</v>
      </c>
      <c r="U72" s="503">
        <v>0</v>
      </c>
      <c r="V72" s="503">
        <v>0</v>
      </c>
      <c r="W72" s="503">
        <v>0</v>
      </c>
      <c r="X72" s="503">
        <v>0</v>
      </c>
    </row>
    <row r="73" spans="1:25">
      <c r="A73" s="88"/>
      <c r="B73" s="89"/>
      <c r="C73" s="89"/>
      <c r="D73" s="502"/>
      <c r="E73" s="504"/>
      <c r="F73" s="504"/>
      <c r="G73" s="504"/>
      <c r="H73" s="504"/>
      <c r="I73" s="504"/>
      <c r="J73" s="504"/>
      <c r="K73" s="504"/>
      <c r="L73" s="504"/>
      <c r="M73" s="504"/>
      <c r="N73" s="504"/>
      <c r="O73" s="504"/>
      <c r="P73" s="504"/>
      <c r="Q73" s="504"/>
      <c r="R73" s="504"/>
      <c r="S73" s="504"/>
      <c r="T73" s="504"/>
      <c r="U73" s="504"/>
      <c r="V73" s="504"/>
      <c r="W73" s="504"/>
      <c r="X73" s="504"/>
    </row>
    <row r="74" spans="1:25" s="16" customFormat="1" ht="14.25">
      <c r="A74" s="280" t="s">
        <v>124</v>
      </c>
      <c r="B74" s="533"/>
      <c r="C74" s="533"/>
      <c r="D74" s="534"/>
      <c r="E74" s="535"/>
      <c r="F74" s="535"/>
      <c r="G74" s="535"/>
      <c r="H74" s="535"/>
      <c r="I74" s="535"/>
      <c r="J74" s="535"/>
      <c r="K74" s="535"/>
      <c r="L74" s="535"/>
      <c r="M74" s="535"/>
      <c r="N74" s="535"/>
      <c r="O74" s="535"/>
      <c r="P74" s="535"/>
      <c r="Q74" s="535"/>
      <c r="R74" s="535"/>
      <c r="S74" s="535"/>
      <c r="T74" s="535"/>
      <c r="U74" s="535"/>
      <c r="V74" s="535"/>
      <c r="W74" s="535"/>
      <c r="X74" s="535"/>
    </row>
    <row r="75" spans="1:25" s="279" customFormat="1" ht="14.25">
      <c r="A75" s="91" t="s">
        <v>83</v>
      </c>
      <c r="B75" s="536"/>
      <c r="C75" s="536"/>
      <c r="D75" s="537"/>
      <c r="E75" s="538"/>
      <c r="F75" s="538"/>
      <c r="G75" s="538"/>
      <c r="H75" s="538"/>
      <c r="I75" s="538"/>
      <c r="J75" s="538"/>
      <c r="K75" s="538"/>
      <c r="L75" s="538"/>
      <c r="M75" s="538"/>
      <c r="N75" s="538"/>
      <c r="O75" s="538"/>
      <c r="P75" s="538"/>
      <c r="Q75" s="538"/>
      <c r="R75" s="538"/>
      <c r="S75" s="538"/>
      <c r="T75" s="538"/>
      <c r="U75" s="538"/>
      <c r="V75" s="538"/>
      <c r="W75" s="538"/>
      <c r="X75" s="538"/>
    </row>
    <row r="76" spans="1:25">
      <c r="A76" s="90" t="str">
        <f>'BH Tariffs'!A19</f>
        <v>Town Wharfage (Exclusive Use, Ferry Property Only)</v>
      </c>
      <c r="B76" s="89"/>
      <c r="C76" s="89"/>
      <c r="D76" s="502">
        <v>0</v>
      </c>
      <c r="E76" s="504">
        <f>'BH Tariffs'!D19*'P&amp;L - Concept B3 - NCLH'!E12</f>
        <v>0</v>
      </c>
      <c r="F76" s="504">
        <f>'BH Tariffs'!E19*'P&amp;L - Concept B3 - NCLH'!F12</f>
        <v>363295.09439549042</v>
      </c>
      <c r="G76" s="504">
        <f>'BH Tariffs'!F19*'P&amp;L - Concept B3 - NCLH'!G12</f>
        <v>370560.99628340022</v>
      </c>
      <c r="H76" s="504">
        <f>'BH Tariffs'!G19*'P&amp;L - Concept B3 - NCLH'!H12</f>
        <v>377972.2162090682</v>
      </c>
      <c r="I76" s="504">
        <f>'BH Tariffs'!H19*'P&amp;L - Concept B3 - NCLH'!I12</f>
        <v>385531.66053324961</v>
      </c>
      <c r="J76" s="504">
        <f>'BH Tariffs'!I19*'P&amp;L - Concept B3 - NCLH'!J12</f>
        <v>393242.29374391458</v>
      </c>
      <c r="K76" s="504">
        <f>'BH Tariffs'!J19*'P&amp;L - Concept B3 - NCLH'!K12</f>
        <v>401107.13961879286</v>
      </c>
      <c r="L76" s="504">
        <f>'BH Tariffs'!K19*'P&amp;L - Concept B3 - NCLH'!L12</f>
        <v>409129.28241116874</v>
      </c>
      <c r="M76" s="504">
        <f>'BH Tariffs'!L19*'P&amp;L - Concept B3 - NCLH'!M12</f>
        <v>417311.86805939215</v>
      </c>
      <c r="N76" s="504">
        <f>'BH Tariffs'!M19*'P&amp;L - Concept B3 - NCLH'!N12</f>
        <v>425658.10542058002</v>
      </c>
      <c r="O76" s="504">
        <f>'BH Tariffs'!N19*'P&amp;L - Concept B3 - NCLH'!O12</f>
        <v>434171.26752899162</v>
      </c>
      <c r="P76" s="504">
        <f>'BH Tariffs'!O19*'P&amp;L - Concept B3 - NCLH'!P12</f>
        <v>442854.69287957146</v>
      </c>
      <c r="Q76" s="504">
        <f>'BH Tariffs'!P19*'P&amp;L - Concept B3 - NCLH'!Q12</f>
        <v>451711.78673716291</v>
      </c>
      <c r="R76" s="504">
        <f>'BH Tariffs'!Q19*'P&amp;L - Concept B3 - NCLH'!R12</f>
        <v>460746.02247190609</v>
      </c>
      <c r="S76" s="504">
        <f>'BH Tariffs'!R19*'P&amp;L - Concept B3 - NCLH'!S12</f>
        <v>469960.94292134425</v>
      </c>
      <c r="T76" s="504">
        <f>'BH Tariffs'!S19*'P&amp;L - Concept B3 - NCLH'!T12</f>
        <v>479360.16177977109</v>
      </c>
      <c r="U76" s="504">
        <f>'BH Tariffs'!T19*'P&amp;L - Concept B3 - NCLH'!U12</f>
        <v>488947.36501536664</v>
      </c>
      <c r="V76" s="504">
        <f>'BH Tariffs'!U19*'P&amp;L - Concept B3 - NCLH'!V12</f>
        <v>498726.31231567392</v>
      </c>
      <c r="W76" s="504">
        <f>'BH Tariffs'!V19*'P&amp;L - Concept B3 - NCLH'!W12</f>
        <v>508700.83856198745</v>
      </c>
      <c r="X76" s="504">
        <f>'BH Tariffs'!W19*'P&amp;L - Concept B3 - NCLH'!X12</f>
        <v>518874.8553332272</v>
      </c>
      <c r="Y76" s="413">
        <f>SUM(D76:X76)</f>
        <v>8297862.9022200592</v>
      </c>
    </row>
    <row r="77" spans="1:25" s="341" customFormat="1">
      <c r="A77" s="353" t="str">
        <f>'BH Tariffs'!A21</f>
        <v>CBP Infastructure Fee (Ferry Property Only)</v>
      </c>
      <c r="B77" s="355"/>
      <c r="C77" s="355"/>
      <c r="D77" s="548">
        <v>0</v>
      </c>
      <c r="E77" s="503">
        <v>0</v>
      </c>
      <c r="F77" s="503">
        <v>0</v>
      </c>
      <c r="G77" s="503">
        <v>0</v>
      </c>
      <c r="H77" s="503">
        <v>0</v>
      </c>
      <c r="I77" s="503">
        <v>0</v>
      </c>
      <c r="J77" s="503">
        <v>0</v>
      </c>
      <c r="K77" s="503">
        <v>0</v>
      </c>
      <c r="L77" s="503">
        <v>0</v>
      </c>
      <c r="M77" s="503">
        <v>0</v>
      </c>
      <c r="N77" s="503">
        <v>0</v>
      </c>
      <c r="O77" s="503">
        <v>0</v>
      </c>
      <c r="P77" s="503">
        <v>0</v>
      </c>
      <c r="Q77" s="503">
        <v>0</v>
      </c>
      <c r="R77" s="503">
        <v>0</v>
      </c>
      <c r="S77" s="503">
        <v>0</v>
      </c>
      <c r="T77" s="503">
        <v>0</v>
      </c>
      <c r="U77" s="503">
        <v>0</v>
      </c>
      <c r="V77" s="503">
        <v>0</v>
      </c>
      <c r="W77" s="503">
        <v>0</v>
      </c>
      <c r="X77" s="503">
        <v>0</v>
      </c>
      <c r="Y77" s="413"/>
    </row>
    <row r="78" spans="1:25" s="96" customFormat="1">
      <c r="A78" s="90" t="str">
        <f>'BH Tariffs'!A22</f>
        <v>Infrastructure Fee</v>
      </c>
      <c r="B78" s="356"/>
      <c r="C78" s="356"/>
      <c r="D78" s="502">
        <v>0</v>
      </c>
      <c r="E78" s="504">
        <v>0</v>
      </c>
      <c r="F78" s="504">
        <f>'BH Tariffs'!E22*'Cruise Projections'!V97</f>
        <v>522936.74160000001</v>
      </c>
      <c r="G78" s="504">
        <f>'BH Tariffs'!F22*'Cruise Projections'!W97</f>
        <v>533395.47643200005</v>
      </c>
      <c r="H78" s="504">
        <f>'BH Tariffs'!G22*'Cruise Projections'!X97</f>
        <v>544063.38596063992</v>
      </c>
      <c r="I78" s="504">
        <f>'BH Tariffs'!H22*'Cruise Projections'!Y97</f>
        <v>554944.65367985272</v>
      </c>
      <c r="J78" s="504">
        <f>'BH Tariffs'!I22*'Cruise Projections'!Z97</f>
        <v>566043.54675344983</v>
      </c>
      <c r="K78" s="504">
        <f>'BH Tariffs'!J22*'Cruise Projections'!AA97</f>
        <v>577364.41768851888</v>
      </c>
      <c r="L78" s="504">
        <f>'BH Tariffs'!K22*'Cruise Projections'!AB97</f>
        <v>588911.70604228915</v>
      </c>
      <c r="M78" s="504">
        <f>'BH Tariffs'!L22*'Cruise Projections'!AC97</f>
        <v>600689.94016313506</v>
      </c>
      <c r="N78" s="504">
        <f>'BH Tariffs'!M22*'Cruise Projections'!AD97</f>
        <v>612703.73896639771</v>
      </c>
      <c r="O78" s="504">
        <f>'BH Tariffs'!N22*'Cruise Projections'!AE97</f>
        <v>624957.81374572578</v>
      </c>
      <c r="P78" s="504">
        <f>'BH Tariffs'!O22*'Cruise Projections'!AF97</f>
        <v>637456.97002064029</v>
      </c>
      <c r="Q78" s="504">
        <f>'BH Tariffs'!P22*'Cruise Projections'!AG97</f>
        <v>650206.10942105309</v>
      </c>
      <c r="R78" s="504">
        <f>'BH Tariffs'!Q22*'Cruise Projections'!AH97</f>
        <v>663210.23160947405</v>
      </c>
      <c r="S78" s="504">
        <f>'BH Tariffs'!R22*'Cruise Projections'!AI97</f>
        <v>676474.43624166364</v>
      </c>
      <c r="T78" s="504">
        <f>'BH Tariffs'!S22*'Cruise Projections'!AJ97</f>
        <v>690003.924966497</v>
      </c>
      <c r="U78" s="504">
        <f>'BH Tariffs'!T22*'Cruise Projections'!AK97</f>
        <v>703804.00346582686</v>
      </c>
      <c r="V78" s="504">
        <f>'BH Tariffs'!U22*'Cruise Projections'!AL97</f>
        <v>717880.08353514341</v>
      </c>
      <c r="W78" s="504">
        <f>'BH Tariffs'!V22*'Cruise Projections'!AM97</f>
        <v>732237.68520584644</v>
      </c>
      <c r="X78" s="504">
        <f>'BH Tariffs'!W22*'Cruise Projections'!AN97</f>
        <v>746882.43890996324</v>
      </c>
      <c r="Y78" s="413">
        <f t="shared" ref="Y78" si="10">SUM(D78:X78)</f>
        <v>11944167.30440812</v>
      </c>
    </row>
    <row r="79" spans="1:25">
      <c r="A79" s="90"/>
      <c r="B79" s="89"/>
      <c r="C79" s="89"/>
      <c r="D79" s="502"/>
      <c r="E79" s="504"/>
      <c r="F79" s="504"/>
      <c r="G79" s="504"/>
      <c r="H79" s="504"/>
      <c r="I79" s="504"/>
      <c r="J79" s="504"/>
      <c r="K79" s="504"/>
      <c r="L79" s="504"/>
      <c r="M79" s="504"/>
      <c r="N79" s="504"/>
      <c r="O79" s="504"/>
      <c r="P79" s="504"/>
      <c r="Q79" s="504"/>
      <c r="R79" s="504"/>
      <c r="S79" s="504"/>
      <c r="T79" s="504"/>
      <c r="U79" s="504"/>
      <c r="V79" s="504"/>
      <c r="W79" s="504"/>
      <c r="X79" s="504"/>
    </row>
    <row r="80" spans="1:25" s="341" customFormat="1">
      <c r="A80" s="543" t="s">
        <v>163</v>
      </c>
      <c r="B80" s="354"/>
      <c r="C80" s="355"/>
      <c r="D80" s="548"/>
      <c r="E80" s="503"/>
      <c r="F80" s="503"/>
      <c r="G80" s="503"/>
      <c r="H80" s="503"/>
      <c r="I80" s="503"/>
      <c r="J80" s="503"/>
      <c r="K80" s="503"/>
      <c r="L80" s="503"/>
      <c r="M80" s="503"/>
      <c r="N80" s="503"/>
      <c r="O80" s="503"/>
      <c r="P80" s="503"/>
      <c r="Q80" s="503"/>
      <c r="R80" s="503"/>
      <c r="S80" s="503"/>
      <c r="T80" s="503"/>
      <c r="U80" s="503"/>
      <c r="V80" s="503"/>
      <c r="W80" s="503"/>
      <c r="X80" s="503"/>
    </row>
    <row r="81" spans="1:25" s="341" customFormat="1">
      <c r="A81" s="353" t="str">
        <f>'BH Tariffs'!A25</f>
        <v>Dock Rent (12 months)</v>
      </c>
      <c r="B81" s="354"/>
      <c r="C81" s="355"/>
      <c r="D81" s="548">
        <v>0</v>
      </c>
      <c r="E81" s="503">
        <v>0</v>
      </c>
      <c r="F81" s="503">
        <v>0</v>
      </c>
      <c r="G81" s="503">
        <v>0</v>
      </c>
      <c r="H81" s="503">
        <v>0</v>
      </c>
      <c r="I81" s="503">
        <v>0</v>
      </c>
      <c r="J81" s="503">
        <v>0</v>
      </c>
      <c r="K81" s="503">
        <v>0</v>
      </c>
      <c r="L81" s="503">
        <v>0</v>
      </c>
      <c r="M81" s="503">
        <v>0</v>
      </c>
      <c r="N81" s="503">
        <v>0</v>
      </c>
      <c r="O81" s="503">
        <v>0</v>
      </c>
      <c r="P81" s="503">
        <v>0</v>
      </c>
      <c r="Q81" s="503">
        <v>0</v>
      </c>
      <c r="R81" s="503">
        <v>0</v>
      </c>
      <c r="S81" s="503">
        <v>0</v>
      </c>
      <c r="T81" s="503">
        <v>0</v>
      </c>
      <c r="U81" s="503">
        <v>0</v>
      </c>
      <c r="V81" s="503">
        <v>0</v>
      </c>
      <c r="W81" s="503">
        <v>0</v>
      </c>
      <c r="X81" s="503">
        <v>0</v>
      </c>
    </row>
    <row r="82" spans="1:25" s="341" customFormat="1">
      <c r="A82" s="353" t="str">
        <f>'BH Tariffs'!A26</f>
        <v>Ferry Passenger Wharfage</v>
      </c>
      <c r="B82" s="354"/>
      <c r="C82" s="355"/>
      <c r="D82" s="548">
        <v>0</v>
      </c>
      <c r="E82" s="503">
        <v>0</v>
      </c>
      <c r="F82" s="503">
        <v>0</v>
      </c>
      <c r="G82" s="503">
        <v>0</v>
      </c>
      <c r="H82" s="503">
        <v>0</v>
      </c>
      <c r="I82" s="503">
        <v>0</v>
      </c>
      <c r="J82" s="503">
        <v>0</v>
      </c>
      <c r="K82" s="503">
        <v>0</v>
      </c>
      <c r="L82" s="503">
        <v>0</v>
      </c>
      <c r="M82" s="503">
        <v>0</v>
      </c>
      <c r="N82" s="503">
        <v>0</v>
      </c>
      <c r="O82" s="503">
        <v>0</v>
      </c>
      <c r="P82" s="503">
        <v>0</v>
      </c>
      <c r="Q82" s="503">
        <v>0</v>
      </c>
      <c r="R82" s="503">
        <v>0</v>
      </c>
      <c r="S82" s="503">
        <v>0</v>
      </c>
      <c r="T82" s="503">
        <v>0</v>
      </c>
      <c r="U82" s="503">
        <v>0</v>
      </c>
      <c r="V82" s="503">
        <v>0</v>
      </c>
      <c r="W82" s="503">
        <v>0</v>
      </c>
      <c r="X82" s="503">
        <v>0</v>
      </c>
    </row>
    <row r="83" spans="1:25" s="341" customFormat="1">
      <c r="A83" s="353" t="str">
        <f>'BH Tariffs'!A27</f>
        <v>Ferry Passenger Vehicle Wharfage</v>
      </c>
      <c r="B83" s="354"/>
      <c r="C83" s="355"/>
      <c r="D83" s="548">
        <v>0</v>
      </c>
      <c r="E83" s="503">
        <v>0</v>
      </c>
      <c r="F83" s="503">
        <v>0</v>
      </c>
      <c r="G83" s="503">
        <v>0</v>
      </c>
      <c r="H83" s="503">
        <v>0</v>
      </c>
      <c r="I83" s="503">
        <v>0</v>
      </c>
      <c r="J83" s="503">
        <v>0</v>
      </c>
      <c r="K83" s="503">
        <v>0</v>
      </c>
      <c r="L83" s="503">
        <v>0</v>
      </c>
      <c r="M83" s="503">
        <v>0</v>
      </c>
      <c r="N83" s="503">
        <v>0</v>
      </c>
      <c r="O83" s="503">
        <v>0</v>
      </c>
      <c r="P83" s="503">
        <v>0</v>
      </c>
      <c r="Q83" s="503">
        <v>0</v>
      </c>
      <c r="R83" s="503">
        <v>0</v>
      </c>
      <c r="S83" s="503">
        <v>0</v>
      </c>
      <c r="T83" s="503">
        <v>0</v>
      </c>
      <c r="U83" s="503">
        <v>0</v>
      </c>
      <c r="V83" s="503">
        <v>0</v>
      </c>
      <c r="W83" s="503">
        <v>0</v>
      </c>
      <c r="X83" s="503">
        <v>0</v>
      </c>
    </row>
    <row r="84" spans="1:25" s="341" customFormat="1">
      <c r="A84" s="353" t="str">
        <f>'BH Tariffs'!A28</f>
        <v>Ferry Bus Wharfage</v>
      </c>
      <c r="B84" s="354"/>
      <c r="C84" s="355"/>
      <c r="D84" s="548">
        <v>0</v>
      </c>
      <c r="E84" s="503">
        <v>0</v>
      </c>
      <c r="F84" s="503">
        <v>0</v>
      </c>
      <c r="G84" s="503">
        <v>0</v>
      </c>
      <c r="H84" s="503">
        <v>0</v>
      </c>
      <c r="I84" s="503">
        <v>0</v>
      </c>
      <c r="J84" s="503">
        <v>0</v>
      </c>
      <c r="K84" s="503">
        <v>0</v>
      </c>
      <c r="L84" s="503">
        <v>0</v>
      </c>
      <c r="M84" s="503">
        <v>0</v>
      </c>
      <c r="N84" s="503">
        <v>0</v>
      </c>
      <c r="O84" s="503">
        <v>0</v>
      </c>
      <c r="P84" s="503">
        <v>0</v>
      </c>
      <c r="Q84" s="503">
        <v>0</v>
      </c>
      <c r="R84" s="503">
        <v>0</v>
      </c>
      <c r="S84" s="503">
        <v>0</v>
      </c>
      <c r="T84" s="503">
        <v>0</v>
      </c>
      <c r="U84" s="503">
        <v>0</v>
      </c>
      <c r="V84" s="503">
        <v>0</v>
      </c>
      <c r="W84" s="503">
        <v>0</v>
      </c>
      <c r="X84" s="503">
        <v>0</v>
      </c>
    </row>
    <row r="85" spans="1:25">
      <c r="A85" s="88"/>
      <c r="B85" s="30"/>
      <c r="C85" s="89"/>
      <c r="D85" s="502"/>
      <c r="E85" s="504"/>
      <c r="F85" s="504"/>
      <c r="G85" s="504"/>
      <c r="H85" s="504"/>
      <c r="I85" s="504"/>
      <c r="J85" s="504"/>
      <c r="K85" s="504"/>
      <c r="L85" s="504"/>
      <c r="M85" s="504"/>
      <c r="N85" s="504"/>
      <c r="O85" s="504"/>
      <c r="P85" s="504"/>
      <c r="Q85" s="504"/>
      <c r="R85" s="504"/>
      <c r="S85" s="504"/>
      <c r="T85" s="504"/>
      <c r="U85" s="504"/>
      <c r="V85" s="504"/>
      <c r="W85" s="504"/>
      <c r="X85" s="504"/>
    </row>
    <row r="86" spans="1:25" s="96" customFormat="1">
      <c r="A86" s="605" t="s">
        <v>164</v>
      </c>
      <c r="B86" s="606"/>
      <c r="C86" s="356"/>
      <c r="D86" s="502"/>
      <c r="E86" s="504"/>
      <c r="F86" s="504"/>
      <c r="G86" s="504"/>
      <c r="H86" s="504"/>
      <c r="I86" s="504"/>
      <c r="J86" s="504"/>
      <c r="K86" s="504"/>
      <c r="L86" s="504"/>
      <c r="M86" s="504"/>
      <c r="N86" s="504"/>
      <c r="O86" s="504"/>
      <c r="P86" s="504"/>
      <c r="Q86" s="504"/>
      <c r="R86" s="504"/>
      <c r="S86" s="504"/>
      <c r="T86" s="504"/>
      <c r="U86" s="504"/>
      <c r="V86" s="504"/>
      <c r="W86" s="504"/>
      <c r="X86" s="504"/>
    </row>
    <row r="87" spans="1:25" s="96" customFormat="1">
      <c r="A87" s="90" t="str">
        <f>'BH Tariffs'!A31</f>
        <v>Dock Rent (6 Months Only)</v>
      </c>
      <c r="B87" s="606"/>
      <c r="C87" s="356"/>
      <c r="D87" s="502">
        <v>0</v>
      </c>
      <c r="E87" s="504">
        <v>0</v>
      </c>
      <c r="F87" s="504">
        <f>'BH Tariffs'!E31*6</f>
        <v>12240</v>
      </c>
      <c r="G87" s="504">
        <f>'BH Tariffs'!F31*6</f>
        <v>12484.800000000001</v>
      </c>
      <c r="H87" s="504">
        <f>'BH Tariffs'!G31*6</f>
        <v>12734.495999999999</v>
      </c>
      <c r="I87" s="504">
        <f>'BH Tariffs'!H31*6</f>
        <v>12989.18592</v>
      </c>
      <c r="J87" s="504">
        <f>'BH Tariffs'!I31*6</f>
        <v>13248.9696384</v>
      </c>
      <c r="K87" s="504">
        <f>'BH Tariffs'!J31*6</f>
        <v>13513.949031168002</v>
      </c>
      <c r="L87" s="504">
        <f>'BH Tariffs'!K31*6</f>
        <v>13784.228011791361</v>
      </c>
      <c r="M87" s="504">
        <f>'BH Tariffs'!L31*6</f>
        <v>14059.912572027188</v>
      </c>
      <c r="N87" s="504">
        <f>'BH Tariffs'!M31*6</f>
        <v>14341.110823467734</v>
      </c>
      <c r="O87" s="504">
        <f>'BH Tariffs'!N31*6</f>
        <v>14627.933039937088</v>
      </c>
      <c r="P87" s="504">
        <f>'BH Tariffs'!O31*6</f>
        <v>14920.491700735829</v>
      </c>
      <c r="Q87" s="504">
        <f>'BH Tariffs'!P31*6</f>
        <v>15218.901534750545</v>
      </c>
      <c r="R87" s="504">
        <f>'BH Tariffs'!Q31*6</f>
        <v>15523.279565445555</v>
      </c>
      <c r="S87" s="504">
        <f>'BH Tariffs'!R31*6</f>
        <v>15833.745156754467</v>
      </c>
      <c r="T87" s="504">
        <f>'BH Tariffs'!S31*6</f>
        <v>16150.420059889559</v>
      </c>
      <c r="U87" s="504">
        <f>'BH Tariffs'!T31*6</f>
        <v>16473.428461087351</v>
      </c>
      <c r="V87" s="504">
        <f>'BH Tariffs'!U31*6</f>
        <v>16802.897030309097</v>
      </c>
      <c r="W87" s="504">
        <f>'BH Tariffs'!V31*6</f>
        <v>17138.954970915282</v>
      </c>
      <c r="X87" s="504">
        <f>'BH Tariffs'!W31*6</f>
        <v>17481.734070333587</v>
      </c>
    </row>
    <row r="88" spans="1:25" s="96" customFormat="1">
      <c r="A88" s="90"/>
      <c r="B88" s="606"/>
      <c r="C88" s="356"/>
      <c r="D88" s="502"/>
      <c r="E88" s="504"/>
      <c r="F88" s="504"/>
      <c r="G88" s="504"/>
      <c r="H88" s="504"/>
      <c r="I88" s="504"/>
      <c r="J88" s="504"/>
      <c r="K88" s="504"/>
      <c r="L88" s="504"/>
      <c r="M88" s="504"/>
      <c r="N88" s="504"/>
      <c r="O88" s="504"/>
      <c r="P88" s="504"/>
      <c r="Q88" s="504"/>
      <c r="R88" s="504"/>
      <c r="S88" s="504"/>
      <c r="T88" s="504"/>
      <c r="U88" s="504"/>
      <c r="V88" s="504"/>
      <c r="W88" s="504"/>
      <c r="X88" s="504"/>
    </row>
    <row r="89" spans="1:25" s="582" customFormat="1" ht="14.25">
      <c r="A89" s="605" t="str">
        <f>'BH Tariffs'!A33</f>
        <v>Recreational/Commercial Marina</v>
      </c>
      <c r="B89" s="607"/>
      <c r="C89" s="608"/>
      <c r="D89" s="537"/>
      <c r="E89" s="538"/>
      <c r="F89" s="538"/>
      <c r="G89" s="538"/>
      <c r="H89" s="538"/>
      <c r="I89" s="538"/>
      <c r="J89" s="538"/>
      <c r="K89" s="538"/>
      <c r="L89" s="538"/>
      <c r="M89" s="538"/>
      <c r="N89" s="538"/>
      <c r="O89" s="538"/>
      <c r="P89" s="538"/>
      <c r="Q89" s="538"/>
      <c r="R89" s="538"/>
      <c r="S89" s="538"/>
      <c r="T89" s="538"/>
      <c r="U89" s="538"/>
      <c r="V89" s="538"/>
      <c r="W89" s="538"/>
      <c r="X89" s="538"/>
    </row>
    <row r="90" spans="1:25" s="96" customFormat="1">
      <c r="A90" s="90" t="str">
        <f>'BH Tariffs'!A34</f>
        <v>Transient Slip Rent</v>
      </c>
      <c r="B90" s="606"/>
      <c r="C90" s="356"/>
      <c r="D90" s="502">
        <v>0</v>
      </c>
      <c r="E90" s="504">
        <v>0</v>
      </c>
      <c r="F90" s="504">
        <f>'BH Tariffs'!E34*'P&amp;L - Concept B3 - NCLH'!F57</f>
        <v>100191.03159375001</v>
      </c>
      <c r="G90" s="504">
        <f>'BH Tariffs'!F34*'P&amp;L - Concept B3 - NCLH'!G57</f>
        <v>102194.85222562501</v>
      </c>
      <c r="H90" s="504">
        <f>'BH Tariffs'!G34*'P&amp;L - Concept B3 - NCLH'!H57</f>
        <v>104238.7492701375</v>
      </c>
      <c r="I90" s="504">
        <f>'BH Tariffs'!H34*'P&amp;L - Concept B3 - NCLH'!I57</f>
        <v>106323.52425554027</v>
      </c>
      <c r="J90" s="504">
        <f>'BH Tariffs'!I34*'P&amp;L - Concept B3 - NCLH'!J57</f>
        <v>108449.99474065108</v>
      </c>
      <c r="K90" s="504">
        <f>'BH Tariffs'!J34*'P&amp;L - Concept B3 - NCLH'!K57</f>
        <v>110618.9946354641</v>
      </c>
      <c r="L90" s="504">
        <f>'BH Tariffs'!K34*'P&amp;L - Concept B3 - NCLH'!L57</f>
        <v>112831.37452817339</v>
      </c>
      <c r="M90" s="504">
        <f>'BH Tariffs'!L34*'P&amp;L - Concept B3 - NCLH'!M57</f>
        <v>115088.00201873686</v>
      </c>
      <c r="N90" s="504">
        <f>'BH Tariffs'!M34*'P&amp;L - Concept B3 - NCLH'!N57</f>
        <v>117389.76205911158</v>
      </c>
      <c r="O90" s="504">
        <f>'BH Tariffs'!N34*'P&amp;L - Concept B3 - NCLH'!O57</f>
        <v>119737.55730029383</v>
      </c>
      <c r="P90" s="504">
        <f>'BH Tariffs'!O34*'P&amp;L - Concept B3 - NCLH'!P57</f>
        <v>122132.30844629971</v>
      </c>
      <c r="Q90" s="504">
        <f>'BH Tariffs'!P34*'P&amp;L - Concept B3 - NCLH'!Q57</f>
        <v>124574.9546152257</v>
      </c>
      <c r="R90" s="504">
        <f>'BH Tariffs'!Q34*'P&amp;L - Concept B3 - NCLH'!R57</f>
        <v>127066.45370753021</v>
      </c>
      <c r="S90" s="504">
        <f>'BH Tariffs'!R34*'P&amp;L - Concept B3 - NCLH'!S57</f>
        <v>129607.78278168083</v>
      </c>
      <c r="T90" s="504">
        <f>'BH Tariffs'!S34*'P&amp;L - Concept B3 - NCLH'!T57</f>
        <v>132199.93843731444</v>
      </c>
      <c r="U90" s="504">
        <f>'BH Tariffs'!T34*'P&amp;L - Concept B3 - NCLH'!U57</f>
        <v>134843.93720606071</v>
      </c>
      <c r="V90" s="504">
        <f>'BH Tariffs'!U34*'P&amp;L - Concept B3 - NCLH'!V57</f>
        <v>137540.81595018198</v>
      </c>
      <c r="W90" s="504">
        <f>'BH Tariffs'!V34*'P&amp;L - Concept B3 - NCLH'!W57</f>
        <v>140291.63226918562</v>
      </c>
      <c r="X90" s="504">
        <f>'BH Tariffs'!W34*'P&amp;L - Concept B3 - NCLH'!X57</f>
        <v>143097.46491456931</v>
      </c>
    </row>
    <row r="91" spans="1:25" s="96" customFormat="1">
      <c r="A91" s="90" t="s">
        <v>280</v>
      </c>
      <c r="B91" s="606"/>
      <c r="C91" s="356"/>
      <c r="D91" s="502">
        <v>0</v>
      </c>
      <c r="E91" s="504">
        <v>0</v>
      </c>
      <c r="F91" s="504">
        <f>'BH Tariffs'!E35*'P&amp;L - Concept B3 - NCLH'!F58</f>
        <v>158111.73000000004</v>
      </c>
      <c r="G91" s="504">
        <f>'BH Tariffs'!F35*'P&amp;L - Concept B3 - NCLH'!G58</f>
        <v>161273.96460000004</v>
      </c>
      <c r="H91" s="504">
        <f>'BH Tariffs'!G35*'P&amp;L - Concept B3 - NCLH'!H58</f>
        <v>164499.44389200001</v>
      </c>
      <c r="I91" s="504">
        <f>'BH Tariffs'!H35*'P&amp;L - Concept B3 - NCLH'!I58</f>
        <v>167789.43276984003</v>
      </c>
      <c r="J91" s="504">
        <f>'BH Tariffs'!I35*'P&amp;L - Concept B3 - NCLH'!J58</f>
        <v>171145.22142523681</v>
      </c>
      <c r="K91" s="504">
        <f>'BH Tariffs'!J35*'P&amp;L - Concept B3 - NCLH'!K58</f>
        <v>174568.12585374157</v>
      </c>
      <c r="L91" s="504">
        <f>'BH Tariffs'!K35*'P&amp;L - Concept B3 - NCLH'!L58</f>
        <v>178059.4883708164</v>
      </c>
      <c r="M91" s="504">
        <f>'BH Tariffs'!L35*'P&amp;L - Concept B3 - NCLH'!M58</f>
        <v>181620.67813823273</v>
      </c>
      <c r="N91" s="504">
        <f>'BH Tariffs'!M35*'P&amp;L - Concept B3 - NCLH'!N58</f>
        <v>185253.09170099738</v>
      </c>
      <c r="O91" s="504">
        <f>'BH Tariffs'!N35*'P&amp;L - Concept B3 - NCLH'!O58</f>
        <v>188958.15353501734</v>
      </c>
      <c r="P91" s="504">
        <f>'BH Tariffs'!O35*'P&amp;L - Concept B3 - NCLH'!P58</f>
        <v>192737.3166057177</v>
      </c>
      <c r="Q91" s="504">
        <f>'BH Tariffs'!P35*'P&amp;L - Concept B3 - NCLH'!Q58</f>
        <v>196592.06293783203</v>
      </c>
      <c r="R91" s="504">
        <f>'BH Tariffs'!Q35*'P&amp;L - Concept B3 - NCLH'!R58</f>
        <v>200523.90419658867</v>
      </c>
      <c r="S91" s="504">
        <f>'BH Tariffs'!R35*'P&amp;L - Concept B3 - NCLH'!S58</f>
        <v>204534.38228052045</v>
      </c>
      <c r="T91" s="504">
        <f>'BH Tariffs'!S35*'P&amp;L - Concept B3 - NCLH'!T58</f>
        <v>208625.06992613088</v>
      </c>
      <c r="U91" s="504">
        <f>'BH Tariffs'!T35*'P&amp;L - Concept B3 - NCLH'!U58</f>
        <v>212797.57132465352</v>
      </c>
      <c r="V91" s="504">
        <f>'BH Tariffs'!U35*'P&amp;L - Concept B3 - NCLH'!V58</f>
        <v>217053.52275114658</v>
      </c>
      <c r="W91" s="504">
        <f>'BH Tariffs'!V35*'P&amp;L - Concept B3 - NCLH'!W58</f>
        <v>221394.59320616955</v>
      </c>
      <c r="X91" s="504">
        <f>'BH Tariffs'!W35*'P&amp;L - Concept B3 - NCLH'!X58</f>
        <v>225822.48507029293</v>
      </c>
    </row>
    <row r="92" spans="1:25" s="167" customFormat="1">
      <c r="A92" s="539" t="str">
        <f>'BH Tariffs'!A36</f>
        <v>Water/Sewer</v>
      </c>
      <c r="B92" s="609"/>
      <c r="C92" s="540"/>
      <c r="D92" s="541">
        <v>0</v>
      </c>
      <c r="E92" s="542">
        <v>0</v>
      </c>
      <c r="F92" s="542">
        <v>0</v>
      </c>
      <c r="G92" s="542">
        <v>0</v>
      </c>
      <c r="H92" s="542">
        <v>0</v>
      </c>
      <c r="I92" s="542">
        <v>0</v>
      </c>
      <c r="J92" s="542">
        <v>0</v>
      </c>
      <c r="K92" s="542">
        <v>0</v>
      </c>
      <c r="L92" s="542">
        <v>0</v>
      </c>
      <c r="M92" s="542">
        <v>0</v>
      </c>
      <c r="N92" s="542">
        <v>0</v>
      </c>
      <c r="O92" s="542">
        <v>0</v>
      </c>
      <c r="P92" s="542">
        <v>0</v>
      </c>
      <c r="Q92" s="542">
        <v>0</v>
      </c>
      <c r="R92" s="542">
        <v>0</v>
      </c>
      <c r="S92" s="542">
        <v>0</v>
      </c>
      <c r="T92" s="542">
        <v>0</v>
      </c>
      <c r="U92" s="542">
        <v>0</v>
      </c>
      <c r="V92" s="542">
        <v>0</v>
      </c>
      <c r="W92" s="542">
        <v>0</v>
      </c>
      <c r="X92" s="542">
        <v>0</v>
      </c>
      <c r="Y92" s="167" t="s">
        <v>282</v>
      </c>
    </row>
    <row r="93" spans="1:25" s="167" customFormat="1">
      <c r="A93" s="539" t="str">
        <f>'BH Tariffs'!A37</f>
        <v xml:space="preserve">Power (Electricity) </v>
      </c>
      <c r="B93" s="609"/>
      <c r="C93" s="540"/>
      <c r="D93" s="541">
        <v>0</v>
      </c>
      <c r="E93" s="542">
        <v>0</v>
      </c>
      <c r="F93" s="542">
        <v>0</v>
      </c>
      <c r="G93" s="542">
        <v>0</v>
      </c>
      <c r="H93" s="542">
        <v>0</v>
      </c>
      <c r="I93" s="542">
        <v>0</v>
      </c>
      <c r="J93" s="542">
        <v>0</v>
      </c>
      <c r="K93" s="542">
        <v>0</v>
      </c>
      <c r="L93" s="542">
        <v>0</v>
      </c>
      <c r="M93" s="542">
        <v>0</v>
      </c>
      <c r="N93" s="542">
        <v>0</v>
      </c>
      <c r="O93" s="542">
        <v>0</v>
      </c>
      <c r="P93" s="542">
        <v>0</v>
      </c>
      <c r="Q93" s="542">
        <v>0</v>
      </c>
      <c r="R93" s="542">
        <v>0</v>
      </c>
      <c r="S93" s="542">
        <v>0</v>
      </c>
      <c r="T93" s="542">
        <v>0</v>
      </c>
      <c r="U93" s="542">
        <v>0</v>
      </c>
      <c r="V93" s="542">
        <v>0</v>
      </c>
      <c r="W93" s="542">
        <v>0</v>
      </c>
      <c r="X93" s="542">
        <v>0</v>
      </c>
      <c r="Y93" s="167" t="s">
        <v>282</v>
      </c>
    </row>
    <row r="94" spans="1:25" s="96" customFormat="1">
      <c r="A94" s="90" t="s">
        <v>526</v>
      </c>
      <c r="B94" s="606"/>
      <c r="C94" s="356"/>
      <c r="D94" s="502">
        <v>0</v>
      </c>
      <c r="E94" s="504">
        <v>0</v>
      </c>
      <c r="F94" s="504">
        <f>'BH Tariffs'!E38*'P&amp;L - Concept B3 - NCLH'!F56</f>
        <v>26250</v>
      </c>
      <c r="G94" s="504">
        <f>'BH Tariffs'!F38*'P&amp;L - Concept B3 - NCLH'!G56</f>
        <v>26775</v>
      </c>
      <c r="H94" s="504">
        <f>'BH Tariffs'!G38*'P&amp;L - Concept B3 - NCLH'!H56</f>
        <v>27310.5</v>
      </c>
      <c r="I94" s="504">
        <f>'BH Tariffs'!H38*'P&amp;L - Concept B3 - NCLH'!I56</f>
        <v>27856.71</v>
      </c>
      <c r="J94" s="504">
        <f>'BH Tariffs'!I38*'P&amp;L - Concept B3 - NCLH'!J56</f>
        <v>28413.8442</v>
      </c>
      <c r="K94" s="504">
        <f>'BH Tariffs'!J38*'P&amp;L - Concept B3 - NCLH'!K56</f>
        <v>28982.121084000002</v>
      </c>
      <c r="L94" s="504">
        <f>'BH Tariffs'!K38*'P&amp;L - Concept B3 - NCLH'!L56</f>
        <v>29561.763505679999</v>
      </c>
      <c r="M94" s="504">
        <f>'BH Tariffs'!L38*'P&amp;L - Concept B3 - NCLH'!M56</f>
        <v>30152.9987757936</v>
      </c>
      <c r="N94" s="504">
        <f>'BH Tariffs'!M38*'P&amp;L - Concept B3 - NCLH'!N56</f>
        <v>30756.058751309476</v>
      </c>
      <c r="O94" s="504">
        <f>'BH Tariffs'!N38*'P&amp;L - Concept B3 - NCLH'!O56</f>
        <v>31371.179926335666</v>
      </c>
      <c r="P94" s="504">
        <f>'BH Tariffs'!O38*'P&amp;L - Concept B3 - NCLH'!P56</f>
        <v>31998.603524862378</v>
      </c>
      <c r="Q94" s="504">
        <f>'BH Tariffs'!P38*'P&amp;L - Concept B3 - NCLH'!Q56</f>
        <v>32638.575595359627</v>
      </c>
      <c r="R94" s="504">
        <f>'BH Tariffs'!Q38*'P&amp;L - Concept B3 - NCLH'!R56</f>
        <v>33291.347107266818</v>
      </c>
      <c r="S94" s="504">
        <f>'BH Tariffs'!R38*'P&amp;L - Concept B3 - NCLH'!S56</f>
        <v>33957.174049412148</v>
      </c>
      <c r="T94" s="504">
        <f>'BH Tariffs'!S38*'P&amp;L - Concept B3 - NCLH'!T56</f>
        <v>34636.317530400396</v>
      </c>
      <c r="U94" s="504">
        <f>'BH Tariffs'!T38*'P&amp;L - Concept B3 - NCLH'!U56</f>
        <v>35329.043881008409</v>
      </c>
      <c r="V94" s="504">
        <f>'BH Tariffs'!U38*'P&amp;L - Concept B3 - NCLH'!V56</f>
        <v>36035.624758628575</v>
      </c>
      <c r="W94" s="504">
        <f>'BH Tariffs'!V38*'P&amp;L - Concept B3 - NCLH'!W56</f>
        <v>36756.337253801154</v>
      </c>
      <c r="X94" s="504">
        <f>'BH Tariffs'!W38*'P&amp;L - Concept B3 - NCLH'!X56</f>
        <v>37491.463998877174</v>
      </c>
    </row>
    <row r="95" spans="1:25">
      <c r="A95" s="88"/>
      <c r="B95" s="30"/>
      <c r="C95" s="89"/>
      <c r="D95" s="502"/>
      <c r="E95" s="504"/>
      <c r="F95" s="504"/>
      <c r="G95" s="504"/>
      <c r="H95" s="504"/>
      <c r="I95" s="504"/>
      <c r="J95" s="504"/>
      <c r="K95" s="504"/>
      <c r="L95" s="504"/>
      <c r="M95" s="504"/>
      <c r="N95" s="504"/>
      <c r="O95" s="504"/>
      <c r="P95" s="504"/>
      <c r="Q95" s="504"/>
      <c r="R95" s="504"/>
      <c r="S95" s="504"/>
      <c r="T95" s="504"/>
      <c r="U95" s="504"/>
      <c r="V95" s="504"/>
      <c r="W95" s="504"/>
      <c r="X95" s="504"/>
    </row>
    <row r="96" spans="1:25">
      <c r="A96" s="91" t="s">
        <v>26</v>
      </c>
      <c r="B96" s="30"/>
      <c r="C96" s="89"/>
      <c r="D96" s="502"/>
      <c r="E96" s="504"/>
      <c r="F96" s="504"/>
      <c r="G96" s="504"/>
      <c r="H96" s="504"/>
      <c r="I96" s="504"/>
      <c r="J96" s="504"/>
      <c r="K96" s="504"/>
      <c r="L96" s="504"/>
      <c r="M96" s="504"/>
      <c r="N96" s="504"/>
      <c r="O96" s="504"/>
      <c r="P96" s="504"/>
      <c r="Q96" s="504"/>
      <c r="R96" s="504"/>
      <c r="S96" s="504"/>
      <c r="T96" s="504"/>
      <c r="U96" s="504"/>
      <c r="V96" s="504"/>
      <c r="W96" s="504"/>
      <c r="X96" s="504"/>
    </row>
    <row r="97" spans="1:24" s="341" customFormat="1">
      <c r="A97" s="353" t="s">
        <v>214</v>
      </c>
      <c r="B97" s="354"/>
      <c r="C97" s="355"/>
      <c r="D97" s="548">
        <v>0</v>
      </c>
      <c r="E97" s="503">
        <v>0</v>
      </c>
      <c r="F97" s="503">
        <v>0</v>
      </c>
      <c r="G97" s="503">
        <v>0</v>
      </c>
      <c r="H97" s="503">
        <v>0</v>
      </c>
      <c r="I97" s="503">
        <v>0</v>
      </c>
      <c r="J97" s="503">
        <v>0</v>
      </c>
      <c r="K97" s="503">
        <v>0</v>
      </c>
      <c r="L97" s="503">
        <v>0</v>
      </c>
      <c r="M97" s="503">
        <v>0</v>
      </c>
      <c r="N97" s="503">
        <v>0</v>
      </c>
      <c r="O97" s="503">
        <v>0</v>
      </c>
      <c r="P97" s="503">
        <v>0</v>
      </c>
      <c r="Q97" s="503">
        <v>0</v>
      </c>
      <c r="R97" s="503">
        <v>0</v>
      </c>
      <c r="S97" s="503">
        <v>0</v>
      </c>
      <c r="T97" s="503">
        <v>0</v>
      </c>
      <c r="U97" s="503">
        <v>0</v>
      </c>
      <c r="V97" s="503">
        <v>0</v>
      </c>
      <c r="W97" s="503">
        <v>0</v>
      </c>
      <c r="X97" s="503">
        <v>0</v>
      </c>
    </row>
    <row r="98" spans="1:24">
      <c r="A98" s="88" t="s">
        <v>215</v>
      </c>
      <c r="B98" s="30"/>
      <c r="C98" s="89"/>
      <c r="D98" s="502">
        <v>0</v>
      </c>
      <c r="E98" s="504">
        <f>'BH Tariffs'!D43*'P&amp;L - Concept B3 - NCLH'!E44</f>
        <v>0</v>
      </c>
      <c r="F98" s="504">
        <f>'BH Tariffs'!E43*'P&amp;L - Concept B3 - NCLH'!F44</f>
        <v>0</v>
      </c>
      <c r="G98" s="504">
        <f>'BH Tariffs'!F43*'P&amp;L - Concept B3 - NCLH'!G44</f>
        <v>0</v>
      </c>
      <c r="H98" s="504">
        <f>'BH Tariffs'!G43*'P&amp;L - Concept B3 - NCLH'!H44</f>
        <v>0</v>
      </c>
      <c r="I98" s="504">
        <f>'BH Tariffs'!H43*'P&amp;L - Concept B3 - NCLH'!I44</f>
        <v>0</v>
      </c>
      <c r="J98" s="504">
        <f>'BH Tariffs'!I43*'P&amp;L - Concept B3 - NCLH'!J44</f>
        <v>243254.24999999994</v>
      </c>
      <c r="K98" s="504">
        <f>'BH Tariffs'!J43*'P&amp;L - Concept B3 - NCLH'!K44</f>
        <v>243254.24999999994</v>
      </c>
      <c r="L98" s="504">
        <f>'BH Tariffs'!K43*'P&amp;L - Concept B3 - NCLH'!L44</f>
        <v>243254.24999999994</v>
      </c>
      <c r="M98" s="504">
        <f>'BH Tariffs'!L43*'P&amp;L - Concept B3 - NCLH'!M44</f>
        <v>243254.24999999994</v>
      </c>
      <c r="N98" s="504">
        <f>'BH Tariffs'!M43*'P&amp;L - Concept B3 - NCLH'!N44</f>
        <v>243254.24999999994</v>
      </c>
      <c r="O98" s="504">
        <f>'BH Tariffs'!N43*'P&amp;L - Concept B3 - NCLH'!O44</f>
        <v>304067.81249999994</v>
      </c>
      <c r="P98" s="504">
        <f>'BH Tariffs'!O43*'P&amp;L - Concept B3 - NCLH'!P44</f>
        <v>304067.81249999994</v>
      </c>
      <c r="Q98" s="504">
        <f>'BH Tariffs'!P43*'P&amp;L - Concept B3 - NCLH'!Q44</f>
        <v>304067.81249999994</v>
      </c>
      <c r="R98" s="504">
        <f>'BH Tariffs'!Q43*'P&amp;L - Concept B3 - NCLH'!R44</f>
        <v>304067.81249999994</v>
      </c>
      <c r="S98" s="504">
        <f>'BH Tariffs'!R43*'P&amp;L - Concept B3 - NCLH'!S44</f>
        <v>304067.81249999994</v>
      </c>
      <c r="T98" s="504">
        <f>'BH Tariffs'!S43*'P&amp;L - Concept B3 - NCLH'!T44</f>
        <v>364881.37499999988</v>
      </c>
      <c r="U98" s="504">
        <f>'BH Tariffs'!T43*'P&amp;L - Concept B3 - NCLH'!U44</f>
        <v>364881.37499999988</v>
      </c>
      <c r="V98" s="504">
        <f>'BH Tariffs'!U43*'P&amp;L - Concept B3 - NCLH'!V44</f>
        <v>364881.37499999988</v>
      </c>
      <c r="W98" s="504">
        <f>'BH Tariffs'!V43*'P&amp;L - Concept B3 - NCLH'!W44</f>
        <v>364881.37499999988</v>
      </c>
      <c r="X98" s="504">
        <f>'BH Tariffs'!W43*'P&amp;L - Concept B3 - NCLH'!X44</f>
        <v>364881.37499999988</v>
      </c>
    </row>
    <row r="99" spans="1:24">
      <c r="A99" s="91"/>
      <c r="B99" s="30"/>
      <c r="C99" s="89"/>
      <c r="D99" s="502"/>
      <c r="E99" s="504"/>
      <c r="F99" s="504"/>
      <c r="G99" s="504"/>
      <c r="H99" s="504"/>
      <c r="I99" s="504"/>
      <c r="J99" s="504"/>
      <c r="K99" s="504"/>
      <c r="L99" s="504"/>
      <c r="M99" s="504"/>
      <c r="N99" s="504"/>
      <c r="O99" s="504"/>
      <c r="P99" s="504"/>
      <c r="Q99" s="504"/>
      <c r="R99" s="504"/>
      <c r="S99" s="504"/>
      <c r="T99" s="504"/>
      <c r="U99" s="504"/>
      <c r="V99" s="504"/>
      <c r="W99" s="504"/>
      <c r="X99" s="504"/>
    </row>
    <row r="100" spans="1:24">
      <c r="A100" s="91" t="s">
        <v>2</v>
      </c>
      <c r="B100" s="30"/>
      <c r="C100" s="89"/>
      <c r="D100" s="502"/>
      <c r="E100" s="504"/>
      <c r="F100" s="504"/>
      <c r="G100" s="504"/>
      <c r="H100" s="504"/>
      <c r="I100" s="504"/>
      <c r="J100" s="504"/>
      <c r="K100" s="504"/>
      <c r="L100" s="504"/>
      <c r="M100" s="504"/>
      <c r="N100" s="504"/>
      <c r="O100" s="504"/>
      <c r="P100" s="504"/>
      <c r="Q100" s="504"/>
      <c r="R100" s="504"/>
      <c r="S100" s="504"/>
      <c r="T100" s="504"/>
      <c r="U100" s="504"/>
      <c r="V100" s="504"/>
      <c r="W100" s="504"/>
      <c r="X100" s="504"/>
    </row>
    <row r="101" spans="1:24">
      <c r="A101" s="88" t="str">
        <f>'BH Tariffs'!A44</f>
        <v>Commerical Rent (Seasonal Kiosk(s)/Vendor(s))</v>
      </c>
      <c r="B101" s="30"/>
      <c r="C101" s="89"/>
      <c r="D101" s="502">
        <v>0</v>
      </c>
      <c r="E101" s="504">
        <f>'BH Tariffs'!D44*'P&amp;L - Concept B3 - NCLH'!E63</f>
        <v>0</v>
      </c>
      <c r="F101" s="504">
        <f>'BH Tariffs'!E44*'P&amp;L - Concept B3 - NCLH'!F63</f>
        <v>0</v>
      </c>
      <c r="G101" s="504">
        <f>'BH Tariffs'!F44*'P&amp;L - Concept B3 - NCLH'!G63*6</f>
        <v>6242.4000000000005</v>
      </c>
      <c r="H101" s="504">
        <f>'BH Tariffs'!G44*'P&amp;L - Concept B3 - NCLH'!H63*6</f>
        <v>6367.2479999999996</v>
      </c>
      <c r="I101" s="504">
        <f>'BH Tariffs'!H44*'P&amp;L - Concept B3 - NCLH'!I63*6</f>
        <v>6494.5929599999999</v>
      </c>
      <c r="J101" s="504">
        <f>'BH Tariffs'!I44*'P&amp;L - Concept B3 - NCLH'!J63*6</f>
        <v>6624.4848191999999</v>
      </c>
      <c r="K101" s="504">
        <f>'BH Tariffs'!J44*'P&amp;L - Concept B3 - NCLH'!K63*6</f>
        <v>6756.974515584001</v>
      </c>
      <c r="L101" s="504">
        <f>'BH Tariffs'!K44*'P&amp;L - Concept B3 - NCLH'!L63*6</f>
        <v>6892.1140058956807</v>
      </c>
      <c r="M101" s="504">
        <f>'BH Tariffs'!L44*'P&amp;L - Concept B3 - NCLH'!M63*6</f>
        <v>7029.9562860135939</v>
      </c>
      <c r="N101" s="504">
        <f>'BH Tariffs'!M44*'P&amp;L - Concept B3 - NCLH'!N63*6</f>
        <v>7170.555411733867</v>
      </c>
      <c r="O101" s="504">
        <f>'BH Tariffs'!N44*'P&amp;L - Concept B3 - NCLH'!O63*6</f>
        <v>7313.9665199685442</v>
      </c>
      <c r="P101" s="504">
        <f>'BH Tariffs'!O44*'P&amp;L - Concept B3 - NCLH'!P63*6</f>
        <v>7460.2458503679145</v>
      </c>
      <c r="Q101" s="504">
        <f>'BH Tariffs'!P44*'P&amp;L - Concept B3 - NCLH'!Q63*6</f>
        <v>7609.4507673752723</v>
      </c>
      <c r="R101" s="504">
        <f>'BH Tariffs'!Q44*'P&amp;L - Concept B3 - NCLH'!R63*6</f>
        <v>7761.6397827227775</v>
      </c>
      <c r="S101" s="504">
        <f>'BH Tariffs'!R44*'P&amp;L - Concept B3 - NCLH'!S63*6</f>
        <v>7916.8725783772334</v>
      </c>
      <c r="T101" s="504">
        <f>'BH Tariffs'!S44*'P&amp;L - Concept B3 - NCLH'!T63*6</f>
        <v>8075.2100299447793</v>
      </c>
      <c r="U101" s="504">
        <f>'BH Tariffs'!T44*'P&amp;L - Concept B3 - NCLH'!U63*6</f>
        <v>8236.7142305436755</v>
      </c>
      <c r="V101" s="504">
        <f>'BH Tariffs'!U44*'P&amp;L - Concept B3 - NCLH'!V63*6</f>
        <v>8401.4485151545487</v>
      </c>
      <c r="W101" s="504">
        <f>'BH Tariffs'!V44*'P&amp;L - Concept B3 - NCLH'!W63*6</f>
        <v>8569.4774854576408</v>
      </c>
      <c r="X101" s="504">
        <f>'BH Tariffs'!W44*'P&amp;L - Concept B3 - NCLH'!X63*6</f>
        <v>8740.8670351667934</v>
      </c>
    </row>
    <row r="102" spans="1:24" s="96" customFormat="1">
      <c r="A102" s="90" t="s">
        <v>541</v>
      </c>
      <c r="B102" s="606"/>
      <c r="C102" s="356"/>
      <c r="D102" s="502">
        <v>0</v>
      </c>
      <c r="E102" s="504">
        <v>0</v>
      </c>
      <c r="F102" s="504">
        <v>0</v>
      </c>
      <c r="G102" s="504">
        <f>G64*0.05</f>
        <v>10000</v>
      </c>
      <c r="H102" s="504">
        <f t="shared" ref="H102:X102" si="11">H64*0.05</f>
        <v>10000</v>
      </c>
      <c r="I102" s="504">
        <f t="shared" si="11"/>
        <v>10000</v>
      </c>
      <c r="J102" s="504">
        <f t="shared" si="11"/>
        <v>10000</v>
      </c>
      <c r="K102" s="504">
        <f t="shared" si="11"/>
        <v>10000</v>
      </c>
      <c r="L102" s="504">
        <f t="shared" si="11"/>
        <v>10000</v>
      </c>
      <c r="M102" s="504">
        <f t="shared" si="11"/>
        <v>10000</v>
      </c>
      <c r="N102" s="504">
        <f t="shared" si="11"/>
        <v>10000</v>
      </c>
      <c r="O102" s="504">
        <f t="shared" si="11"/>
        <v>10000</v>
      </c>
      <c r="P102" s="504">
        <f t="shared" si="11"/>
        <v>10000</v>
      </c>
      <c r="Q102" s="504">
        <f t="shared" si="11"/>
        <v>10000</v>
      </c>
      <c r="R102" s="504">
        <f t="shared" si="11"/>
        <v>10000</v>
      </c>
      <c r="S102" s="504">
        <f t="shared" si="11"/>
        <v>10000</v>
      </c>
      <c r="T102" s="504">
        <f t="shared" si="11"/>
        <v>10000</v>
      </c>
      <c r="U102" s="504">
        <f t="shared" si="11"/>
        <v>10000</v>
      </c>
      <c r="V102" s="504">
        <f t="shared" si="11"/>
        <v>10000</v>
      </c>
      <c r="W102" s="504">
        <f t="shared" si="11"/>
        <v>10000</v>
      </c>
      <c r="X102" s="504">
        <f t="shared" si="11"/>
        <v>10000</v>
      </c>
    </row>
    <row r="103" spans="1:24">
      <c r="A103" s="88" t="str">
        <f>'BH Tariffs'!A45</f>
        <v>Motorcoach Access/Tour Operator Licenses</v>
      </c>
      <c r="B103" s="30"/>
      <c r="C103" s="89"/>
      <c r="D103" s="502">
        <v>0</v>
      </c>
      <c r="E103" s="504">
        <v>0</v>
      </c>
      <c r="F103" s="504">
        <f>'BH Tariffs'!E45*'P&amp;L - Concept B3 - NCLH'!F66</f>
        <v>3060</v>
      </c>
      <c r="G103" s="504">
        <f>'BH Tariffs'!F45*'P&amp;L - Concept B3 - NCLH'!G66</f>
        <v>3121.2000000000003</v>
      </c>
      <c r="H103" s="504">
        <f>'BH Tariffs'!G45*'P&amp;L - Concept B3 - NCLH'!H66</f>
        <v>3183.6239999999998</v>
      </c>
      <c r="I103" s="504">
        <f>'BH Tariffs'!H45*'P&amp;L - Concept B3 - NCLH'!I66</f>
        <v>3247.29648</v>
      </c>
      <c r="J103" s="504">
        <f>'BH Tariffs'!I45*'P&amp;L - Concept B3 - NCLH'!J66</f>
        <v>3312.2424096</v>
      </c>
      <c r="K103" s="504">
        <f>'BH Tariffs'!J45*'P&amp;L - Concept B3 - NCLH'!K66</f>
        <v>3378.4872577920005</v>
      </c>
      <c r="L103" s="504">
        <f>'BH Tariffs'!K45*'P&amp;L - Concept B3 - NCLH'!L66</f>
        <v>3446.0570029478404</v>
      </c>
      <c r="M103" s="504">
        <f>'BH Tariffs'!L45*'P&amp;L - Concept B3 - NCLH'!M66</f>
        <v>3514.9781430067969</v>
      </c>
      <c r="N103" s="504">
        <f>'BH Tariffs'!M45*'P&amp;L - Concept B3 - NCLH'!N66</f>
        <v>3585.2777058669335</v>
      </c>
      <c r="O103" s="504">
        <f>'BH Tariffs'!N45*'P&amp;L - Concept B3 - NCLH'!O66</f>
        <v>3656.9832599842721</v>
      </c>
      <c r="P103" s="504">
        <f>'BH Tariffs'!O45*'P&amp;L - Concept B3 - NCLH'!P66</f>
        <v>3730.1229251839572</v>
      </c>
      <c r="Q103" s="504">
        <f>'BH Tariffs'!P45*'P&amp;L - Concept B3 - NCLH'!Q66</f>
        <v>3804.7253836876362</v>
      </c>
      <c r="R103" s="504">
        <f>'BH Tariffs'!Q45*'P&amp;L - Concept B3 - NCLH'!R66</f>
        <v>3880.8198913613887</v>
      </c>
      <c r="S103" s="504">
        <f>'BH Tariffs'!R45*'P&amp;L - Concept B3 - NCLH'!S66</f>
        <v>3958.4362891886167</v>
      </c>
      <c r="T103" s="504">
        <f>'BH Tariffs'!S45*'P&amp;L - Concept B3 - NCLH'!T66</f>
        <v>4037.6050149723897</v>
      </c>
      <c r="U103" s="504">
        <f>'BH Tariffs'!T45*'P&amp;L - Concept B3 - NCLH'!U66</f>
        <v>4118.3571152718378</v>
      </c>
      <c r="V103" s="504">
        <f>'BH Tariffs'!U45*'P&amp;L - Concept B3 - NCLH'!V66</f>
        <v>4200.7242575772743</v>
      </c>
      <c r="W103" s="504">
        <f>'BH Tariffs'!V45*'P&amp;L - Concept B3 - NCLH'!W66</f>
        <v>4284.7387427288204</v>
      </c>
      <c r="X103" s="504">
        <f>'BH Tariffs'!W45*'P&amp;L - Concept B3 - NCLH'!X66</f>
        <v>4370.4335175833967</v>
      </c>
    </row>
    <row r="104" spans="1:24">
      <c r="A104" s="299" t="s">
        <v>217</v>
      </c>
      <c r="B104" s="299"/>
      <c r="C104" s="299"/>
      <c r="D104" s="505">
        <v>0</v>
      </c>
      <c r="E104" s="506">
        <v>0</v>
      </c>
      <c r="F104" s="506">
        <f>'BH Tariffs'!E46*'P&amp;L - Concept B3 - NCLH'!F65</f>
        <v>500</v>
      </c>
      <c r="G104" s="506">
        <f>'BH Tariffs'!F46*'P&amp;L - Concept B3 - NCLH'!G65</f>
        <v>1000</v>
      </c>
      <c r="H104" s="506">
        <f>'BH Tariffs'!G46*'P&amp;L - Concept B3 - NCLH'!H65</f>
        <v>1000</v>
      </c>
      <c r="I104" s="506">
        <f>'BH Tariffs'!H46*'P&amp;L - Concept B3 - NCLH'!I65</f>
        <v>1000</v>
      </c>
      <c r="J104" s="506">
        <f>'BH Tariffs'!I46*'P&amp;L - Concept B3 - NCLH'!J65</f>
        <v>1650</v>
      </c>
      <c r="K104" s="506">
        <f>'BH Tariffs'!J46*'P&amp;L - Concept B3 - NCLH'!K65</f>
        <v>1650</v>
      </c>
      <c r="L104" s="506">
        <f>'BH Tariffs'!K46*'P&amp;L - Concept B3 - NCLH'!L65</f>
        <v>1650</v>
      </c>
      <c r="M104" s="506">
        <f>'BH Tariffs'!L46*'P&amp;L - Concept B3 - NCLH'!M65</f>
        <v>1650</v>
      </c>
      <c r="N104" s="506">
        <f>'BH Tariffs'!M46*'P&amp;L - Concept B3 - NCLH'!N65</f>
        <v>1650</v>
      </c>
      <c r="O104" s="506">
        <f>'BH Tariffs'!N46*'P&amp;L - Concept B3 - NCLH'!O65</f>
        <v>2400</v>
      </c>
      <c r="P104" s="506">
        <f>'BH Tariffs'!O46*'P&amp;L - Concept B3 - NCLH'!P65</f>
        <v>2400</v>
      </c>
      <c r="Q104" s="506">
        <f>'BH Tariffs'!P46*'P&amp;L - Concept B3 - NCLH'!Q65</f>
        <v>2400</v>
      </c>
      <c r="R104" s="506">
        <f>'BH Tariffs'!Q46*'P&amp;L - Concept B3 - NCLH'!R65</f>
        <v>2400</v>
      </c>
      <c r="S104" s="506">
        <f>'BH Tariffs'!R46*'P&amp;L - Concept B3 - NCLH'!S65</f>
        <v>2400</v>
      </c>
      <c r="T104" s="506">
        <f>'BH Tariffs'!S46*'P&amp;L - Concept B3 - NCLH'!T65</f>
        <v>3250</v>
      </c>
      <c r="U104" s="506">
        <f>'BH Tariffs'!T46*'P&amp;L - Concept B3 - NCLH'!U65</f>
        <v>3250</v>
      </c>
      <c r="V104" s="506">
        <f>'BH Tariffs'!U46*'P&amp;L - Concept B3 - NCLH'!V65</f>
        <v>3250</v>
      </c>
      <c r="W104" s="506">
        <f>'BH Tariffs'!V46*'P&amp;L - Concept B3 - NCLH'!W65</f>
        <v>3250</v>
      </c>
      <c r="X104" s="506">
        <f>'BH Tariffs'!W46*'P&amp;L - Concept B3 - NCLH'!X65</f>
        <v>3250</v>
      </c>
    </row>
    <row r="105" spans="1:24">
      <c r="A105" s="278" t="s">
        <v>145</v>
      </c>
      <c r="D105" s="507">
        <f>SUM(D71:D104)</f>
        <v>0</v>
      </c>
      <c r="E105" s="508">
        <f>SUM(E70:E104)</f>
        <v>0</v>
      </c>
      <c r="F105" s="508">
        <f t="shared" ref="F105:X105" si="12">SUM(F70:F104)</f>
        <v>1186584.5975892404</v>
      </c>
      <c r="G105" s="508">
        <f t="shared" si="12"/>
        <v>1227048.6895410253</v>
      </c>
      <c r="H105" s="508">
        <f t="shared" si="12"/>
        <v>1251369.6633318458</v>
      </c>
      <c r="I105" s="508">
        <f t="shared" si="12"/>
        <v>1276177.0565984827</v>
      </c>
      <c r="J105" s="508">
        <f t="shared" si="12"/>
        <v>1545384.8477304522</v>
      </c>
      <c r="K105" s="508">
        <f t="shared" si="12"/>
        <v>1571194.4596850614</v>
      </c>
      <c r="L105" s="508">
        <f t="shared" si="12"/>
        <v>1597520.2638787625</v>
      </c>
      <c r="M105" s="508">
        <f t="shared" si="12"/>
        <v>1624372.5841563381</v>
      </c>
      <c r="N105" s="508">
        <f t="shared" si="12"/>
        <v>1651761.9508394648</v>
      </c>
      <c r="O105" s="508">
        <f t="shared" si="12"/>
        <v>1741262.6673562541</v>
      </c>
      <c r="P105" s="508">
        <f t="shared" si="12"/>
        <v>1769758.5644533793</v>
      </c>
      <c r="Q105" s="508">
        <f t="shared" si="12"/>
        <v>1798824.3794924468</v>
      </c>
      <c r="R105" s="508">
        <f t="shared" si="12"/>
        <v>1828471.5108322955</v>
      </c>
      <c r="S105" s="508">
        <f t="shared" si="12"/>
        <v>1858711.5847989416</v>
      </c>
      <c r="T105" s="508">
        <f t="shared" si="12"/>
        <v>1951220.0227449201</v>
      </c>
      <c r="U105" s="508">
        <f t="shared" si="12"/>
        <v>1982681.7956998185</v>
      </c>
      <c r="V105" s="508">
        <f t="shared" si="12"/>
        <v>2014772.8041138153</v>
      </c>
      <c r="W105" s="508">
        <f t="shared" si="12"/>
        <v>2047505.6326960919</v>
      </c>
      <c r="X105" s="508">
        <f t="shared" si="12"/>
        <v>2080893.1178500138</v>
      </c>
    </row>
    <row r="106" spans="1:24">
      <c r="D106" s="507"/>
      <c r="E106" s="413"/>
      <c r="F106" s="413"/>
      <c r="G106" s="413"/>
      <c r="H106" s="413"/>
      <c r="I106" s="413"/>
      <c r="J106" s="413"/>
      <c r="K106" s="413"/>
      <c r="L106" s="413"/>
      <c r="M106" s="413"/>
      <c r="N106" s="413"/>
      <c r="O106" s="413"/>
      <c r="P106" s="413"/>
      <c r="Q106" s="413"/>
      <c r="R106" s="413"/>
      <c r="S106" s="413"/>
      <c r="T106" s="413"/>
      <c r="U106" s="413"/>
      <c r="V106" s="413"/>
      <c r="W106" s="413"/>
      <c r="X106" s="413"/>
    </row>
    <row r="107" spans="1:24">
      <c r="A107" s="271" t="s">
        <v>146</v>
      </c>
      <c r="B107" s="149"/>
      <c r="C107" s="149"/>
      <c r="D107" s="509"/>
      <c r="E107" s="510"/>
      <c r="F107" s="510"/>
      <c r="G107" s="510"/>
      <c r="H107" s="510"/>
      <c r="I107" s="510"/>
      <c r="J107" s="510"/>
      <c r="K107" s="510"/>
      <c r="L107" s="510"/>
      <c r="M107" s="510"/>
      <c r="N107" s="510"/>
      <c r="O107" s="510"/>
      <c r="P107" s="510"/>
      <c r="Q107" s="510"/>
      <c r="R107" s="510"/>
      <c r="S107" s="510"/>
      <c r="T107" s="510"/>
      <c r="U107" s="510"/>
      <c r="V107" s="510"/>
      <c r="W107" s="510"/>
      <c r="X107" s="510"/>
    </row>
    <row r="108" spans="1:24">
      <c r="D108" s="507"/>
      <c r="E108" s="413"/>
      <c r="F108" s="413"/>
      <c r="G108" s="413"/>
      <c r="H108" s="413"/>
      <c r="I108" s="413"/>
      <c r="J108" s="413"/>
      <c r="K108" s="413"/>
      <c r="L108" s="413"/>
      <c r="M108" s="413"/>
      <c r="N108" s="413"/>
      <c r="O108" s="413"/>
      <c r="P108" s="413"/>
      <c r="Q108" s="413"/>
      <c r="R108" s="413"/>
      <c r="S108" s="413"/>
      <c r="T108" s="413"/>
      <c r="U108" s="413"/>
      <c r="V108" s="413"/>
      <c r="W108" s="413"/>
      <c r="X108" s="413"/>
    </row>
    <row r="109" spans="1:24">
      <c r="A109" s="91" t="s">
        <v>380</v>
      </c>
      <c r="B109" s="89"/>
      <c r="C109" s="89"/>
      <c r="D109" s="502"/>
      <c r="E109" s="504"/>
      <c r="F109" s="504"/>
      <c r="G109" s="504"/>
      <c r="H109" s="504"/>
      <c r="I109" s="504"/>
      <c r="J109" s="504"/>
      <c r="K109" s="504"/>
      <c r="L109" s="504"/>
      <c r="M109" s="504"/>
      <c r="N109" s="504"/>
      <c r="O109" s="504"/>
      <c r="P109" s="504"/>
      <c r="Q109" s="504"/>
      <c r="R109" s="504"/>
      <c r="S109" s="504"/>
      <c r="T109" s="504"/>
      <c r="U109" s="504"/>
      <c r="V109" s="504"/>
      <c r="W109" s="504"/>
      <c r="X109" s="504"/>
    </row>
    <row r="110" spans="1:24">
      <c r="A110" s="88" t="s">
        <v>432</v>
      </c>
      <c r="B110" s="89"/>
      <c r="C110" s="89"/>
      <c r="D110" s="502">
        <v>0</v>
      </c>
      <c r="E110" s="504">
        <v>0</v>
      </c>
      <c r="F110" s="504">
        <v>0</v>
      </c>
      <c r="G110" s="504">
        <v>0</v>
      </c>
      <c r="H110" s="504">
        <v>0</v>
      </c>
      <c r="I110" s="504">
        <v>0</v>
      </c>
      <c r="J110" s="504">
        <v>0</v>
      </c>
      <c r="K110" s="504">
        <v>0</v>
      </c>
      <c r="L110" s="504">
        <v>0</v>
      </c>
      <c r="M110" s="504">
        <v>0</v>
      </c>
      <c r="N110" s="504">
        <v>0</v>
      </c>
      <c r="O110" s="504">
        <v>0</v>
      </c>
      <c r="P110" s="504">
        <v>0</v>
      </c>
      <c r="Q110" s="504">
        <v>0</v>
      </c>
      <c r="R110" s="504">
        <v>0</v>
      </c>
      <c r="S110" s="504">
        <v>0</v>
      </c>
      <c r="T110" s="504">
        <v>0</v>
      </c>
      <c r="U110" s="504">
        <v>0</v>
      </c>
      <c r="V110" s="504">
        <v>0</v>
      </c>
      <c r="W110" s="504">
        <v>0</v>
      </c>
      <c r="X110" s="504">
        <v>0</v>
      </c>
    </row>
    <row r="111" spans="1:24">
      <c r="A111" s="88" t="s">
        <v>433</v>
      </c>
      <c r="B111" s="89"/>
      <c r="C111" s="89"/>
      <c r="D111" s="502">
        <v>0</v>
      </c>
      <c r="E111" s="504">
        <v>0</v>
      </c>
      <c r="F111" s="504">
        <v>0</v>
      </c>
      <c r="G111" s="504">
        <v>0</v>
      </c>
      <c r="H111" s="504">
        <v>0</v>
      </c>
      <c r="I111" s="504">
        <v>0</v>
      </c>
      <c r="J111" s="504">
        <v>0</v>
      </c>
      <c r="K111" s="504">
        <v>0</v>
      </c>
      <c r="L111" s="504">
        <v>0</v>
      </c>
      <c r="M111" s="504">
        <v>0</v>
      </c>
      <c r="N111" s="504">
        <v>0</v>
      </c>
      <c r="O111" s="504">
        <v>0</v>
      </c>
      <c r="P111" s="504">
        <v>0</v>
      </c>
      <c r="Q111" s="504">
        <v>0</v>
      </c>
      <c r="R111" s="504">
        <v>0</v>
      </c>
      <c r="S111" s="504">
        <v>0</v>
      </c>
      <c r="T111" s="504">
        <v>0</v>
      </c>
      <c r="U111" s="504">
        <v>0</v>
      </c>
      <c r="V111" s="504">
        <v>0</v>
      </c>
      <c r="W111" s="504">
        <v>0</v>
      </c>
      <c r="X111" s="504">
        <v>0</v>
      </c>
    </row>
    <row r="112" spans="1:24">
      <c r="A112" s="88" t="s">
        <v>434</v>
      </c>
      <c r="B112" s="89"/>
      <c r="C112" s="89"/>
      <c r="D112" s="502">
        <v>0</v>
      </c>
      <c r="E112" s="504">
        <v>0</v>
      </c>
      <c r="F112" s="504">
        <v>0</v>
      </c>
      <c r="G112" s="504">
        <v>0</v>
      </c>
      <c r="H112" s="504">
        <v>0</v>
      </c>
      <c r="I112" s="504">
        <v>0</v>
      </c>
      <c r="J112" s="504">
        <v>0</v>
      </c>
      <c r="K112" s="504">
        <v>0</v>
      </c>
      <c r="L112" s="504">
        <v>0</v>
      </c>
      <c r="M112" s="504">
        <v>0</v>
      </c>
      <c r="N112" s="504">
        <v>0</v>
      </c>
      <c r="O112" s="504">
        <v>0</v>
      </c>
      <c r="P112" s="504">
        <v>0</v>
      </c>
      <c r="Q112" s="504">
        <v>0</v>
      </c>
      <c r="R112" s="504">
        <v>0</v>
      </c>
      <c r="S112" s="504">
        <v>0</v>
      </c>
      <c r="T112" s="504">
        <v>0</v>
      </c>
      <c r="U112" s="504">
        <v>0</v>
      </c>
      <c r="V112" s="504">
        <v>0</v>
      </c>
      <c r="W112" s="504">
        <v>0</v>
      </c>
      <c r="X112" s="504">
        <v>0</v>
      </c>
    </row>
    <row r="113" spans="1:27">
      <c r="A113" s="88" t="s">
        <v>229</v>
      </c>
      <c r="B113" s="30"/>
      <c r="C113" s="89"/>
      <c r="D113" s="502">
        <v>0</v>
      </c>
      <c r="E113" s="504">
        <v>0</v>
      </c>
      <c r="F113" s="504">
        <v>0</v>
      </c>
      <c r="G113" s="504">
        <v>0</v>
      </c>
      <c r="H113" s="504">
        <v>0</v>
      </c>
      <c r="I113" s="504">
        <v>0</v>
      </c>
      <c r="J113" s="504">
        <v>0</v>
      </c>
      <c r="K113" s="504">
        <v>0</v>
      </c>
      <c r="L113" s="504">
        <v>0</v>
      </c>
      <c r="M113" s="504">
        <v>0</v>
      </c>
      <c r="N113" s="504">
        <v>0</v>
      </c>
      <c r="O113" s="504">
        <v>0</v>
      </c>
      <c r="P113" s="504">
        <v>0</v>
      </c>
      <c r="Q113" s="504">
        <v>0</v>
      </c>
      <c r="R113" s="504">
        <v>0</v>
      </c>
      <c r="S113" s="504">
        <v>0</v>
      </c>
      <c r="T113" s="504">
        <v>0</v>
      </c>
      <c r="U113" s="504">
        <v>0</v>
      </c>
      <c r="V113" s="504">
        <v>0</v>
      </c>
      <c r="W113" s="504">
        <v>0</v>
      </c>
      <c r="X113" s="504">
        <v>0</v>
      </c>
    </row>
    <row r="114" spans="1:27" s="32" customFormat="1">
      <c r="A114" s="299" t="s">
        <v>297</v>
      </c>
      <c r="B114" s="299"/>
      <c r="C114" s="299"/>
      <c r="D114" s="505">
        <v>0</v>
      </c>
      <c r="E114" s="506">
        <v>0</v>
      </c>
      <c r="F114" s="506">
        <v>0</v>
      </c>
      <c r="G114" s="506">
        <f t="shared" ref="G114:X114" si="13">G53</f>
        <v>100000</v>
      </c>
      <c r="H114" s="506">
        <f t="shared" si="13"/>
        <v>100000</v>
      </c>
      <c r="I114" s="506">
        <f t="shared" si="13"/>
        <v>100000</v>
      </c>
      <c r="J114" s="506">
        <f t="shared" si="13"/>
        <v>100000</v>
      </c>
      <c r="K114" s="506">
        <f t="shared" si="13"/>
        <v>100000</v>
      </c>
      <c r="L114" s="506">
        <f t="shared" si="13"/>
        <v>100000</v>
      </c>
      <c r="M114" s="506">
        <f t="shared" si="13"/>
        <v>100000</v>
      </c>
      <c r="N114" s="506">
        <f t="shared" si="13"/>
        <v>100000</v>
      </c>
      <c r="O114" s="506">
        <f t="shared" si="13"/>
        <v>100000</v>
      </c>
      <c r="P114" s="506">
        <f t="shared" si="13"/>
        <v>100000</v>
      </c>
      <c r="Q114" s="506">
        <f t="shared" si="13"/>
        <v>100000</v>
      </c>
      <c r="R114" s="506">
        <f t="shared" si="13"/>
        <v>100000</v>
      </c>
      <c r="S114" s="506">
        <f t="shared" si="13"/>
        <v>100000</v>
      </c>
      <c r="T114" s="506">
        <f t="shared" si="13"/>
        <v>100000</v>
      </c>
      <c r="U114" s="506">
        <f t="shared" si="13"/>
        <v>100000</v>
      </c>
      <c r="V114" s="506">
        <f t="shared" si="13"/>
        <v>100000</v>
      </c>
      <c r="W114" s="506">
        <f t="shared" si="13"/>
        <v>100000</v>
      </c>
      <c r="X114" s="506">
        <f t="shared" si="13"/>
        <v>100000</v>
      </c>
    </row>
    <row r="115" spans="1:27">
      <c r="A115" s="278" t="s">
        <v>147</v>
      </c>
      <c r="D115" s="507">
        <f>SUM(D113:D114)</f>
        <v>0</v>
      </c>
      <c r="E115" s="508">
        <f>SUM(E110:E114)</f>
        <v>0</v>
      </c>
      <c r="F115" s="508">
        <f t="shared" ref="F115:X115" si="14">SUM(F110:F114)</f>
        <v>0</v>
      </c>
      <c r="G115" s="508">
        <f t="shared" si="14"/>
        <v>100000</v>
      </c>
      <c r="H115" s="508">
        <f t="shared" si="14"/>
        <v>100000</v>
      </c>
      <c r="I115" s="508">
        <f t="shared" si="14"/>
        <v>100000</v>
      </c>
      <c r="J115" s="508">
        <f t="shared" si="14"/>
        <v>100000</v>
      </c>
      <c r="K115" s="508">
        <f t="shared" si="14"/>
        <v>100000</v>
      </c>
      <c r="L115" s="508">
        <f t="shared" si="14"/>
        <v>100000</v>
      </c>
      <c r="M115" s="508">
        <f t="shared" si="14"/>
        <v>100000</v>
      </c>
      <c r="N115" s="508">
        <f t="shared" si="14"/>
        <v>100000</v>
      </c>
      <c r="O115" s="508">
        <f t="shared" si="14"/>
        <v>100000</v>
      </c>
      <c r="P115" s="508">
        <f t="shared" si="14"/>
        <v>100000</v>
      </c>
      <c r="Q115" s="508">
        <f t="shared" si="14"/>
        <v>100000</v>
      </c>
      <c r="R115" s="508">
        <f t="shared" si="14"/>
        <v>100000</v>
      </c>
      <c r="S115" s="508">
        <f t="shared" si="14"/>
        <v>100000</v>
      </c>
      <c r="T115" s="508">
        <f t="shared" si="14"/>
        <v>100000</v>
      </c>
      <c r="U115" s="508">
        <f t="shared" si="14"/>
        <v>100000</v>
      </c>
      <c r="V115" s="508">
        <f t="shared" si="14"/>
        <v>100000</v>
      </c>
      <c r="W115" s="508">
        <f t="shared" si="14"/>
        <v>100000</v>
      </c>
      <c r="X115" s="508">
        <f t="shared" si="14"/>
        <v>100000</v>
      </c>
    </row>
    <row r="116" spans="1:27">
      <c r="D116" s="507"/>
      <c r="E116" s="413"/>
      <c r="F116" s="413"/>
      <c r="G116" s="413"/>
      <c r="H116" s="413"/>
      <c r="I116" s="413"/>
      <c r="J116" s="413"/>
      <c r="K116" s="413"/>
      <c r="L116" s="413"/>
      <c r="M116" s="413"/>
      <c r="N116" s="413"/>
      <c r="O116" s="413"/>
      <c r="P116" s="413"/>
      <c r="Q116" s="413"/>
      <c r="R116" s="413"/>
      <c r="S116" s="413"/>
      <c r="T116" s="413"/>
      <c r="U116" s="413"/>
      <c r="V116" s="413"/>
      <c r="W116" s="413"/>
      <c r="X116" s="413"/>
    </row>
    <row r="117" spans="1:27">
      <c r="A117" s="88" t="s">
        <v>608</v>
      </c>
      <c r="D117" s="507">
        <f t="shared" ref="D117" si="15">SUM(D115:D116)</f>
        <v>0</v>
      </c>
      <c r="E117" s="413">
        <v>58025</v>
      </c>
      <c r="F117" s="413">
        <v>0</v>
      </c>
      <c r="G117" s="413">
        <v>0</v>
      </c>
      <c r="H117" s="413">
        <v>0</v>
      </c>
      <c r="I117" s="413">
        <v>0</v>
      </c>
      <c r="J117" s="413">
        <v>0</v>
      </c>
      <c r="K117" s="413">
        <v>0</v>
      </c>
      <c r="L117" s="413">
        <v>0</v>
      </c>
      <c r="M117" s="413">
        <v>0</v>
      </c>
      <c r="N117" s="413">
        <v>0</v>
      </c>
      <c r="O117" s="413">
        <v>0</v>
      </c>
      <c r="P117" s="413">
        <v>0</v>
      </c>
      <c r="Q117" s="413">
        <v>0</v>
      </c>
      <c r="R117" s="413">
        <v>0</v>
      </c>
      <c r="S117" s="413">
        <v>0</v>
      </c>
      <c r="T117" s="413">
        <v>0</v>
      </c>
      <c r="U117" s="413">
        <v>0</v>
      </c>
      <c r="V117" s="413">
        <v>0</v>
      </c>
      <c r="W117" s="413">
        <v>0</v>
      </c>
      <c r="X117" s="413">
        <v>0</v>
      </c>
    </row>
    <row r="118" spans="1:27">
      <c r="D118" s="507"/>
      <c r="E118" s="413"/>
      <c r="F118" s="413"/>
      <c r="G118" s="413"/>
      <c r="H118" s="413"/>
      <c r="I118" s="413"/>
      <c r="J118" s="413"/>
      <c r="K118" s="413"/>
      <c r="L118" s="413"/>
      <c r="M118" s="413"/>
      <c r="N118" s="413"/>
      <c r="O118" s="413"/>
      <c r="P118" s="413"/>
      <c r="Q118" s="413"/>
      <c r="R118" s="413"/>
      <c r="S118" s="413"/>
      <c r="T118" s="413"/>
      <c r="U118" s="413"/>
      <c r="V118" s="413"/>
      <c r="W118" s="413"/>
      <c r="X118" s="413"/>
    </row>
    <row r="119" spans="1:27" s="16" customFormat="1" ht="14.25">
      <c r="A119" s="295" t="s">
        <v>148</v>
      </c>
      <c r="B119" s="295"/>
      <c r="C119" s="295"/>
      <c r="D119" s="511">
        <f>SUM(D105,D115)</f>
        <v>0</v>
      </c>
      <c r="E119" s="511">
        <f>SUM(E105,E115,E117)</f>
        <v>58025</v>
      </c>
      <c r="F119" s="511">
        <f t="shared" ref="F119:X119" si="16">SUM(F105,F115,F117)</f>
        <v>1186584.5975892404</v>
      </c>
      <c r="G119" s="511">
        <f t="shared" si="16"/>
        <v>1327048.6895410253</v>
      </c>
      <c r="H119" s="511">
        <f t="shared" si="16"/>
        <v>1351369.6633318458</v>
      </c>
      <c r="I119" s="511">
        <f t="shared" si="16"/>
        <v>1376177.0565984827</v>
      </c>
      <c r="J119" s="511">
        <f t="shared" si="16"/>
        <v>1645384.8477304522</v>
      </c>
      <c r="K119" s="511">
        <f t="shared" si="16"/>
        <v>1671194.4596850614</v>
      </c>
      <c r="L119" s="511">
        <f t="shared" si="16"/>
        <v>1697520.2638787625</v>
      </c>
      <c r="M119" s="511">
        <f t="shared" si="16"/>
        <v>1724372.5841563381</v>
      </c>
      <c r="N119" s="511">
        <f t="shared" si="16"/>
        <v>1751761.9508394648</v>
      </c>
      <c r="O119" s="511">
        <f t="shared" si="16"/>
        <v>1841262.6673562541</v>
      </c>
      <c r="P119" s="511">
        <f t="shared" si="16"/>
        <v>1869758.5644533793</v>
      </c>
      <c r="Q119" s="511">
        <f t="shared" si="16"/>
        <v>1898824.3794924468</v>
      </c>
      <c r="R119" s="511">
        <f t="shared" si="16"/>
        <v>1928471.5108322955</v>
      </c>
      <c r="S119" s="511">
        <f t="shared" si="16"/>
        <v>1958711.5847989416</v>
      </c>
      <c r="T119" s="511">
        <f t="shared" si="16"/>
        <v>2051220.0227449201</v>
      </c>
      <c r="U119" s="511">
        <f t="shared" si="16"/>
        <v>2082681.7956998185</v>
      </c>
      <c r="V119" s="511">
        <f t="shared" si="16"/>
        <v>2114772.8041138155</v>
      </c>
      <c r="W119" s="511">
        <f t="shared" si="16"/>
        <v>2147505.6326960921</v>
      </c>
      <c r="X119" s="511">
        <f t="shared" si="16"/>
        <v>2180893.117850014</v>
      </c>
      <c r="Y119" s="622">
        <f>SUM(D119:X119)</f>
        <v>33863541.193388656</v>
      </c>
      <c r="AA119" s="370">
        <f>(Y76+Y78)/Y119</f>
        <v>0.59775290750100674</v>
      </c>
    </row>
    <row r="120" spans="1:27">
      <c r="A120" s="30"/>
      <c r="B120" s="30"/>
      <c r="C120" s="30"/>
      <c r="D120" s="502"/>
      <c r="E120" s="512"/>
      <c r="F120" s="512"/>
      <c r="G120" s="512"/>
      <c r="H120" s="512"/>
      <c r="I120" s="512"/>
      <c r="J120" s="512"/>
      <c r="K120" s="512"/>
      <c r="L120" s="512"/>
      <c r="M120" s="512"/>
      <c r="N120" s="512"/>
      <c r="O120" s="512"/>
      <c r="P120" s="512"/>
      <c r="Q120" s="512"/>
      <c r="R120" s="512"/>
      <c r="S120" s="512"/>
      <c r="T120" s="512"/>
      <c r="U120" s="512"/>
      <c r="V120" s="512"/>
      <c r="W120" s="512"/>
      <c r="X120" s="512"/>
    </row>
    <row r="121" spans="1:27" s="33" customFormat="1">
      <c r="A121" s="47" t="s">
        <v>7</v>
      </c>
      <c r="B121" s="47" t="s">
        <v>7</v>
      </c>
      <c r="C121" s="78" t="s">
        <v>7</v>
      </c>
      <c r="D121" s="604" t="s">
        <v>7</v>
      </c>
      <c r="E121" s="78" t="s">
        <v>7</v>
      </c>
      <c r="F121" s="78" t="s">
        <v>7</v>
      </c>
      <c r="G121" s="78" t="s">
        <v>7</v>
      </c>
      <c r="H121" s="78" t="s">
        <v>7</v>
      </c>
      <c r="I121" s="78" t="s">
        <v>7</v>
      </c>
      <c r="J121" s="78" t="s">
        <v>7</v>
      </c>
      <c r="K121" s="78" t="s">
        <v>7</v>
      </c>
      <c r="L121" s="78" t="s">
        <v>7</v>
      </c>
      <c r="M121" s="78" t="s">
        <v>7</v>
      </c>
      <c r="N121" s="78" t="s">
        <v>7</v>
      </c>
      <c r="O121" s="78" t="s">
        <v>7</v>
      </c>
      <c r="P121" s="78" t="s">
        <v>7</v>
      </c>
      <c r="Q121" s="78" t="s">
        <v>7</v>
      </c>
      <c r="R121" s="78" t="s">
        <v>7</v>
      </c>
      <c r="S121" s="78" t="s">
        <v>7</v>
      </c>
      <c r="T121" s="78" t="s">
        <v>7</v>
      </c>
      <c r="U121" s="78" t="s">
        <v>7</v>
      </c>
      <c r="V121" s="78" t="s">
        <v>7</v>
      </c>
      <c r="W121" s="78" t="s">
        <v>7</v>
      </c>
      <c r="X121" s="78" t="s">
        <v>7</v>
      </c>
    </row>
    <row r="122" spans="1:27">
      <c r="A122" s="30"/>
      <c r="B122" s="30"/>
      <c r="C122" s="30"/>
      <c r="D122" s="502"/>
      <c r="E122" s="512"/>
      <c r="F122" s="512"/>
      <c r="G122" s="512"/>
      <c r="H122" s="512"/>
      <c r="I122" s="512"/>
      <c r="J122" s="512"/>
      <c r="K122" s="512"/>
      <c r="L122" s="512"/>
      <c r="M122" s="512"/>
      <c r="N122" s="512"/>
      <c r="O122" s="512"/>
      <c r="P122" s="512"/>
      <c r="Q122" s="512"/>
      <c r="R122" s="512"/>
      <c r="S122" s="512"/>
      <c r="T122" s="512"/>
      <c r="U122" s="512"/>
      <c r="V122" s="512"/>
      <c r="W122" s="512"/>
      <c r="X122" s="512"/>
    </row>
    <row r="123" spans="1:27">
      <c r="A123" s="269" t="s">
        <v>131</v>
      </c>
      <c r="B123" s="269"/>
      <c r="C123" s="270"/>
      <c r="D123" s="513"/>
      <c r="E123" s="513"/>
      <c r="F123" s="513"/>
      <c r="G123" s="513"/>
      <c r="H123" s="513"/>
      <c r="I123" s="513"/>
      <c r="J123" s="513"/>
      <c r="K123" s="513"/>
      <c r="L123" s="513"/>
      <c r="M123" s="513"/>
      <c r="N123" s="513"/>
      <c r="O123" s="513"/>
      <c r="P123" s="513"/>
      <c r="Q123" s="513"/>
      <c r="R123" s="513"/>
      <c r="S123" s="513"/>
      <c r="T123" s="513"/>
      <c r="U123" s="513"/>
      <c r="V123" s="513"/>
      <c r="W123" s="513"/>
      <c r="X123" s="513"/>
    </row>
    <row r="124" spans="1:27">
      <c r="A124" s="69"/>
      <c r="B124" s="69"/>
      <c r="C124" s="69"/>
      <c r="D124" s="502"/>
      <c r="E124" s="504"/>
      <c r="F124" s="504"/>
      <c r="G124" s="504"/>
      <c r="H124" s="504"/>
      <c r="I124" s="504"/>
      <c r="J124" s="504"/>
      <c r="K124" s="504"/>
      <c r="L124" s="504"/>
      <c r="M124" s="504"/>
      <c r="N124" s="504"/>
      <c r="O124" s="504"/>
      <c r="P124" s="504"/>
      <c r="Q124" s="504"/>
      <c r="R124" s="504"/>
      <c r="S124" s="504"/>
      <c r="T124" s="504"/>
      <c r="U124" s="504"/>
      <c r="V124" s="504"/>
      <c r="W124" s="504"/>
      <c r="X124" s="504"/>
    </row>
    <row r="125" spans="1:27" s="96" customFormat="1">
      <c r="A125" s="69" t="s">
        <v>13</v>
      </c>
      <c r="B125" s="69"/>
      <c r="C125" s="69"/>
      <c r="D125" s="514">
        <v>0</v>
      </c>
      <c r="E125" s="515">
        <f>'OPEX - Concept B3 - NCLH'!L80</f>
        <v>12250</v>
      </c>
      <c r="F125" s="515">
        <f>'OPEX - Concept B3 - NCLH'!M80</f>
        <v>171500</v>
      </c>
      <c r="G125" s="515">
        <f>'OPEX - Concept B3 - NCLH'!N80</f>
        <v>174930</v>
      </c>
      <c r="H125" s="515">
        <f>'OPEX - Concept B3 - NCLH'!O80</f>
        <v>178428.59999999998</v>
      </c>
      <c r="I125" s="515">
        <f>'OPEX - Concept B3 - NCLH'!P80</f>
        <v>181997.17199999996</v>
      </c>
      <c r="J125" s="515">
        <f>'OPEX - Concept B3 - NCLH'!Q80</f>
        <v>185637.11543999997</v>
      </c>
      <c r="K125" s="515">
        <f>'OPEX - Concept B3 - NCLH'!R80</f>
        <v>189349.85774879999</v>
      </c>
      <c r="L125" s="515">
        <f>'OPEX - Concept B3 - NCLH'!S80</f>
        <v>193136.85490377599</v>
      </c>
      <c r="M125" s="515">
        <f>'OPEX - Concept B3 - NCLH'!T80</f>
        <v>196999.59200185153</v>
      </c>
      <c r="N125" s="515">
        <f>'OPEX - Concept B3 - NCLH'!U80</f>
        <v>200939.58384188855</v>
      </c>
      <c r="O125" s="515">
        <f>'OPEX - Concept B3 - NCLH'!V80</f>
        <v>204958.37551872636</v>
      </c>
      <c r="P125" s="515">
        <f>'OPEX - Concept B3 - NCLH'!W80</f>
        <v>209057.54302910087</v>
      </c>
      <c r="Q125" s="515">
        <f>'OPEX - Concept B3 - NCLH'!X80</f>
        <v>213238.69388968288</v>
      </c>
      <c r="R125" s="515">
        <f>'OPEX - Concept B3 - NCLH'!Y80</f>
        <v>217503.46776747654</v>
      </c>
      <c r="S125" s="515">
        <f>'OPEX - Concept B3 - NCLH'!Z80</f>
        <v>221853.53712282603</v>
      </c>
      <c r="T125" s="515">
        <f>'OPEX - Concept B3 - NCLH'!AA80</f>
        <v>226290.60786528263</v>
      </c>
      <c r="U125" s="515">
        <f>'OPEX - Concept B3 - NCLH'!AB80</f>
        <v>230816.42002258825</v>
      </c>
      <c r="V125" s="515">
        <f>'OPEX - Concept B3 - NCLH'!AC80</f>
        <v>235432.74842304003</v>
      </c>
      <c r="W125" s="515">
        <f>'OPEX - Concept B3 - NCLH'!AD80</f>
        <v>240141.40339150085</v>
      </c>
      <c r="X125" s="515">
        <f>'OPEX - Concept B3 - NCLH'!AE80</f>
        <v>244944.23145933088</v>
      </c>
    </row>
    <row r="126" spans="1:27" s="96" customFormat="1">
      <c r="A126" s="69" t="s">
        <v>41</v>
      </c>
      <c r="B126" s="69"/>
      <c r="C126" s="69"/>
      <c r="D126" s="514">
        <v>0</v>
      </c>
      <c r="E126" s="515">
        <f>'OPEX - Concept B3 - NCLH'!L88</f>
        <v>25000</v>
      </c>
      <c r="F126" s="515">
        <f>'OPEX - Concept B3 - NCLH'!M88</f>
        <v>25500</v>
      </c>
      <c r="G126" s="515">
        <f>'OPEX - Concept B3 - NCLH'!N88</f>
        <v>26010</v>
      </c>
      <c r="H126" s="515">
        <f>'OPEX - Concept B3 - NCLH'!O88</f>
        <v>26530.199999999997</v>
      </c>
      <c r="I126" s="515">
        <f>'OPEX - Concept B3 - NCLH'!P88</f>
        <v>27060.804</v>
      </c>
      <c r="J126" s="515">
        <f>'OPEX - Concept B3 - NCLH'!Q88</f>
        <v>27602.020080000002</v>
      </c>
      <c r="K126" s="515">
        <f>'OPEX - Concept B3 - NCLH'!R88</f>
        <v>28154.060481600001</v>
      </c>
      <c r="L126" s="515">
        <f>'OPEX - Concept B3 - NCLH'!S88</f>
        <v>28717.141691232002</v>
      </c>
      <c r="M126" s="515">
        <f>'OPEX - Concept B3 - NCLH'!T88</f>
        <v>29291.484525056643</v>
      </c>
      <c r="N126" s="515">
        <f>'OPEX - Concept B3 - NCLH'!U88</f>
        <v>29877.314215557777</v>
      </c>
      <c r="O126" s="515">
        <f>'OPEX - Concept B3 - NCLH'!V88</f>
        <v>30474.860499868933</v>
      </c>
      <c r="P126" s="515">
        <f>'OPEX - Concept B3 - NCLH'!W88</f>
        <v>31084.357709866312</v>
      </c>
      <c r="Q126" s="515">
        <f>'OPEX - Concept B3 - NCLH'!X88</f>
        <v>31706.044864063639</v>
      </c>
      <c r="R126" s="515">
        <f>'OPEX - Concept B3 - NCLH'!Y88</f>
        <v>32340.165761344906</v>
      </c>
      <c r="S126" s="515">
        <f>'OPEX - Concept B3 - NCLH'!Z88</f>
        <v>32986.969076571811</v>
      </c>
      <c r="T126" s="515">
        <f>'OPEX - Concept B3 - NCLH'!AA88</f>
        <v>33646.708458103247</v>
      </c>
      <c r="U126" s="515">
        <f>'OPEX - Concept B3 - NCLH'!AB88</f>
        <v>34319.642627265312</v>
      </c>
      <c r="V126" s="515">
        <f>'OPEX - Concept B3 - NCLH'!AC88</f>
        <v>35006.03547981062</v>
      </c>
      <c r="W126" s="515">
        <f>'OPEX - Concept B3 - NCLH'!AD88</f>
        <v>35706.156189406836</v>
      </c>
      <c r="X126" s="515">
        <f>'OPEX - Concept B3 - NCLH'!AE88</f>
        <v>36420.279313194973</v>
      </c>
    </row>
    <row r="127" spans="1:27" s="96" customFormat="1">
      <c r="A127" s="69" t="s">
        <v>424</v>
      </c>
      <c r="B127" s="69"/>
      <c r="C127" s="69"/>
      <c r="D127" s="514">
        <v>0</v>
      </c>
      <c r="E127" s="515">
        <f>'OPEX - Concept B3 - NCLH'!L89</f>
        <v>10000</v>
      </c>
      <c r="F127" s="515">
        <f>'OPEX - Concept B3 - NCLH'!M89</f>
        <v>500</v>
      </c>
      <c r="G127" s="515">
        <f>'OPEX - Concept B3 - NCLH'!N89</f>
        <v>520.20000000000005</v>
      </c>
      <c r="H127" s="515">
        <f>'OPEX - Concept B3 - NCLH'!O89</f>
        <v>530.60399999999993</v>
      </c>
      <c r="I127" s="515">
        <f>'OPEX - Concept B3 - NCLH'!P89</f>
        <v>541.21608000000003</v>
      </c>
      <c r="J127" s="515">
        <f>'OPEX - Concept B3 - NCLH'!Q89</f>
        <v>5000</v>
      </c>
      <c r="K127" s="515">
        <f>'OPEX - Concept B3 - NCLH'!R89</f>
        <v>563.08120963200008</v>
      </c>
      <c r="L127" s="515">
        <f>'OPEX - Concept B3 - NCLH'!S89</f>
        <v>574.34283382464002</v>
      </c>
      <c r="M127" s="515">
        <f>'OPEX - Concept B3 - NCLH'!T89</f>
        <v>585.82969050113286</v>
      </c>
      <c r="N127" s="515">
        <f>'OPEX - Concept B3 - NCLH'!U89</f>
        <v>597.54628431115555</v>
      </c>
      <c r="O127" s="515">
        <f>'OPEX - Concept B3 - NCLH'!V89</f>
        <v>5000</v>
      </c>
      <c r="P127" s="515">
        <f>'OPEX - Concept B3 - NCLH'!W89</f>
        <v>621.68715419732621</v>
      </c>
      <c r="Q127" s="515">
        <f>'OPEX - Concept B3 - NCLH'!X89</f>
        <v>634.12089728127273</v>
      </c>
      <c r="R127" s="515">
        <f>'OPEX - Concept B3 - NCLH'!Y89</f>
        <v>646.80331522689812</v>
      </c>
      <c r="S127" s="515">
        <f>'OPEX - Concept B3 - NCLH'!Z89</f>
        <v>659.73938153143615</v>
      </c>
      <c r="T127" s="515">
        <f>'OPEX - Concept B3 - NCLH'!AA89</f>
        <v>5000</v>
      </c>
      <c r="U127" s="515">
        <f>'OPEX - Concept B3 - NCLH'!AB89</f>
        <v>686.39285254530625</v>
      </c>
      <c r="V127" s="515">
        <f>'OPEX - Concept B3 - NCLH'!AC89</f>
        <v>700.12070959621246</v>
      </c>
      <c r="W127" s="515">
        <f>'OPEX - Concept B3 - NCLH'!AD89</f>
        <v>714.1231237881367</v>
      </c>
      <c r="X127" s="515">
        <f>'OPEX - Concept B3 - NCLH'!AE89</f>
        <v>728.40558626389941</v>
      </c>
    </row>
    <row r="128" spans="1:27" s="96" customFormat="1">
      <c r="A128" s="69" t="s">
        <v>42</v>
      </c>
      <c r="B128" s="69"/>
      <c r="C128" s="69"/>
      <c r="D128" s="514">
        <v>0</v>
      </c>
      <c r="E128" s="515">
        <f>'OPEX - Concept B3 - NCLH'!L90</f>
        <v>50000</v>
      </c>
      <c r="F128" s="515">
        <f>'OPEX - Concept B3 - NCLH'!M90</f>
        <v>51000</v>
      </c>
      <c r="G128" s="515">
        <f>'OPEX - Concept B3 - NCLH'!N90</f>
        <v>52020</v>
      </c>
      <c r="H128" s="515">
        <f>'OPEX - Concept B3 - NCLH'!O90</f>
        <v>53060.399999999994</v>
      </c>
      <c r="I128" s="515">
        <f>'OPEX - Concept B3 - NCLH'!P90</f>
        <v>54121.608</v>
      </c>
      <c r="J128" s="515">
        <f>'OPEX - Concept B3 - NCLH'!Q90</f>
        <v>55204.040160000004</v>
      </c>
      <c r="K128" s="515">
        <f>'OPEX - Concept B3 - NCLH'!R90</f>
        <v>56308.120963200003</v>
      </c>
      <c r="L128" s="515">
        <f>'OPEX - Concept B3 - NCLH'!S90</f>
        <v>57434.283382464004</v>
      </c>
      <c r="M128" s="515">
        <f>'OPEX - Concept B3 - NCLH'!T90</f>
        <v>58582.969050113286</v>
      </c>
      <c r="N128" s="515">
        <f>'OPEX - Concept B3 - NCLH'!U90</f>
        <v>59754.628431115554</v>
      </c>
      <c r="O128" s="515">
        <f>'OPEX - Concept B3 - NCLH'!V90</f>
        <v>60949.720999737867</v>
      </c>
      <c r="P128" s="515">
        <f>'OPEX - Concept B3 - NCLH'!W90</f>
        <v>62168.715419732624</v>
      </c>
      <c r="Q128" s="515">
        <f>'OPEX - Concept B3 - NCLH'!X90</f>
        <v>63412.089728127277</v>
      </c>
      <c r="R128" s="515">
        <f>'OPEX - Concept B3 - NCLH'!Y90</f>
        <v>64680.331522689812</v>
      </c>
      <c r="S128" s="515">
        <f>'OPEX - Concept B3 - NCLH'!Z90</f>
        <v>65973.938153143623</v>
      </c>
      <c r="T128" s="515">
        <f>'OPEX - Concept B3 - NCLH'!AA90</f>
        <v>67293.416916206494</v>
      </c>
      <c r="U128" s="515">
        <f>'OPEX - Concept B3 - NCLH'!AB90</f>
        <v>68639.285254530623</v>
      </c>
      <c r="V128" s="515">
        <f>'OPEX - Concept B3 - NCLH'!AC90</f>
        <v>70012.07095962124</v>
      </c>
      <c r="W128" s="515">
        <f>'OPEX - Concept B3 - NCLH'!AD90</f>
        <v>71412.312378813673</v>
      </c>
      <c r="X128" s="515">
        <f>'OPEX - Concept B3 - NCLH'!AE90</f>
        <v>72840.558626389946</v>
      </c>
    </row>
    <row r="129" spans="1:24" s="96" customFormat="1">
      <c r="A129" s="69" t="s">
        <v>43</v>
      </c>
      <c r="B129" s="69"/>
      <c r="C129" s="69"/>
      <c r="D129" s="514">
        <v>0</v>
      </c>
      <c r="E129" s="515">
        <f>'OPEX - Concept B3 - NCLH'!L91</f>
        <v>500</v>
      </c>
      <c r="F129" s="515">
        <f>'OPEX - Concept B3 - NCLH'!M91</f>
        <v>2040</v>
      </c>
      <c r="G129" s="515">
        <f>'OPEX - Concept B3 - NCLH'!N91</f>
        <v>2080.8000000000002</v>
      </c>
      <c r="H129" s="515">
        <f>'OPEX - Concept B3 - NCLH'!O91</f>
        <v>2122.4159999999997</v>
      </c>
      <c r="I129" s="515">
        <f>'OPEX - Concept B3 - NCLH'!P91</f>
        <v>2164.8643200000001</v>
      </c>
      <c r="J129" s="515">
        <f>'OPEX - Concept B3 - NCLH'!Q91</f>
        <v>2208.1616064</v>
      </c>
      <c r="K129" s="515">
        <f>'OPEX - Concept B3 - NCLH'!R91</f>
        <v>2252.3248385280003</v>
      </c>
      <c r="L129" s="515">
        <f>'OPEX - Concept B3 - NCLH'!S91</f>
        <v>2297.3713352985601</v>
      </c>
      <c r="M129" s="515">
        <f>'OPEX - Concept B3 - NCLH'!T91</f>
        <v>2343.3187620045314</v>
      </c>
      <c r="N129" s="515">
        <f>'OPEX - Concept B3 - NCLH'!U91</f>
        <v>2390.1851372446222</v>
      </c>
      <c r="O129" s="515">
        <f>'OPEX - Concept B3 - NCLH'!V91</f>
        <v>2437.9888399895149</v>
      </c>
      <c r="P129" s="515">
        <f>'OPEX - Concept B3 - NCLH'!W91</f>
        <v>2486.7486167893048</v>
      </c>
      <c r="Q129" s="515">
        <f>'OPEX - Concept B3 - NCLH'!X91</f>
        <v>2536.4835891250909</v>
      </c>
      <c r="R129" s="515">
        <f>'OPEX - Concept B3 - NCLH'!Y91</f>
        <v>2587.2132609075925</v>
      </c>
      <c r="S129" s="515">
        <f>'OPEX - Concept B3 - NCLH'!Z91</f>
        <v>2638.9575261257446</v>
      </c>
      <c r="T129" s="515">
        <f>'OPEX - Concept B3 - NCLH'!AA91</f>
        <v>2691.7366766482596</v>
      </c>
      <c r="U129" s="515">
        <f>'OPEX - Concept B3 - NCLH'!AB91</f>
        <v>2745.571410181225</v>
      </c>
      <c r="V129" s="515">
        <f>'OPEX - Concept B3 - NCLH'!AC91</f>
        <v>2800.4828383848499</v>
      </c>
      <c r="W129" s="515">
        <f>'OPEX - Concept B3 - NCLH'!AD91</f>
        <v>2856.4924951525468</v>
      </c>
      <c r="X129" s="515">
        <f>'OPEX - Concept B3 - NCLH'!AE91</f>
        <v>2913.6223450555976</v>
      </c>
    </row>
    <row r="130" spans="1:24" s="96" customFormat="1">
      <c r="A130" s="69" t="s">
        <v>44</v>
      </c>
      <c r="B130" s="69"/>
      <c r="C130" s="69"/>
      <c r="D130" s="514">
        <v>0</v>
      </c>
      <c r="E130" s="515">
        <f>'OPEX - Concept B3 - NCLH'!L92</f>
        <v>250</v>
      </c>
      <c r="F130" s="515">
        <f>'OPEX - Concept B3 - NCLH'!M92</f>
        <v>1020</v>
      </c>
      <c r="G130" s="515">
        <f>'OPEX - Concept B3 - NCLH'!N92</f>
        <v>1040.4000000000001</v>
      </c>
      <c r="H130" s="515">
        <f>'OPEX - Concept B3 - NCLH'!O92</f>
        <v>1061.2079999999999</v>
      </c>
      <c r="I130" s="515">
        <f>'OPEX - Concept B3 - NCLH'!P92</f>
        <v>1082.4321600000001</v>
      </c>
      <c r="J130" s="515">
        <f>'OPEX - Concept B3 - NCLH'!Q92</f>
        <v>1104.0808032</v>
      </c>
      <c r="K130" s="515">
        <f>'OPEX - Concept B3 - NCLH'!R92</f>
        <v>1126.1624192640002</v>
      </c>
      <c r="L130" s="515">
        <f>'OPEX - Concept B3 - NCLH'!S92</f>
        <v>1148.68566764928</v>
      </c>
      <c r="M130" s="515">
        <f>'OPEX - Concept B3 - NCLH'!T92</f>
        <v>1171.6593810022657</v>
      </c>
      <c r="N130" s="515">
        <f>'OPEX - Concept B3 - NCLH'!U92</f>
        <v>1195.0925686223111</v>
      </c>
      <c r="O130" s="515">
        <f>'OPEX - Concept B3 - NCLH'!V92</f>
        <v>1218.9944199947574</v>
      </c>
      <c r="P130" s="515">
        <f>'OPEX - Concept B3 - NCLH'!W92</f>
        <v>1243.3743083946524</v>
      </c>
      <c r="Q130" s="515">
        <f>'OPEX - Concept B3 - NCLH'!X92</f>
        <v>1268.2417945625455</v>
      </c>
      <c r="R130" s="515">
        <f>'OPEX - Concept B3 - NCLH'!Y92</f>
        <v>1293.6066304537962</v>
      </c>
      <c r="S130" s="515">
        <f>'OPEX - Concept B3 - NCLH'!Z92</f>
        <v>1319.4787630628723</v>
      </c>
      <c r="T130" s="515">
        <f>'OPEX - Concept B3 - NCLH'!AA92</f>
        <v>1345.8683383241298</v>
      </c>
      <c r="U130" s="515">
        <f>'OPEX - Concept B3 - NCLH'!AB92</f>
        <v>1372.7857050906125</v>
      </c>
      <c r="V130" s="515">
        <f>'OPEX - Concept B3 - NCLH'!AC92</f>
        <v>1400.2414191924249</v>
      </c>
      <c r="W130" s="515">
        <f>'OPEX - Concept B3 - NCLH'!AD92</f>
        <v>1428.2462475762734</v>
      </c>
      <c r="X130" s="515">
        <f>'OPEX - Concept B3 - NCLH'!AE92</f>
        <v>1456.8111725277988</v>
      </c>
    </row>
    <row r="131" spans="1:24" s="96" customFormat="1">
      <c r="A131" s="69" t="s">
        <v>2</v>
      </c>
      <c r="B131" s="69"/>
      <c r="C131" s="69"/>
      <c r="D131" s="514">
        <v>0</v>
      </c>
      <c r="E131" s="515">
        <f>'OPEX - Concept B3 - NCLH'!L93</f>
        <v>1000</v>
      </c>
      <c r="F131" s="515">
        <f>'OPEX - Concept B3 - NCLH'!M93</f>
        <v>1020</v>
      </c>
      <c r="G131" s="515">
        <f>'OPEX - Concept B3 - NCLH'!N93</f>
        <v>1040.4000000000001</v>
      </c>
      <c r="H131" s="515">
        <f>'OPEX - Concept B3 - NCLH'!O93</f>
        <v>1061.2079999999999</v>
      </c>
      <c r="I131" s="515">
        <f>'OPEX - Concept B3 - NCLH'!P93</f>
        <v>1082.4321600000001</v>
      </c>
      <c r="J131" s="515">
        <f>'OPEX - Concept B3 - NCLH'!Q93</f>
        <v>1104.0808032</v>
      </c>
      <c r="K131" s="515">
        <f>'OPEX - Concept B3 - NCLH'!R93</f>
        <v>1126.1624192640002</v>
      </c>
      <c r="L131" s="515">
        <f>'OPEX - Concept B3 - NCLH'!S93</f>
        <v>1148.68566764928</v>
      </c>
      <c r="M131" s="515">
        <f>'OPEX - Concept B3 - NCLH'!T93</f>
        <v>1171.6593810022657</v>
      </c>
      <c r="N131" s="515">
        <f>'OPEX - Concept B3 - NCLH'!U93</f>
        <v>1195.0925686223111</v>
      </c>
      <c r="O131" s="515">
        <f>'OPEX - Concept B3 - NCLH'!V93</f>
        <v>1218.9944199947574</v>
      </c>
      <c r="P131" s="515">
        <f>'OPEX - Concept B3 - NCLH'!W93</f>
        <v>1243.3743083946524</v>
      </c>
      <c r="Q131" s="515">
        <f>'OPEX - Concept B3 - NCLH'!X93</f>
        <v>1268.2417945625455</v>
      </c>
      <c r="R131" s="515">
        <f>'OPEX - Concept B3 - NCLH'!Y93</f>
        <v>1293.6066304537962</v>
      </c>
      <c r="S131" s="515">
        <f>'OPEX - Concept B3 - NCLH'!Z93</f>
        <v>1319.4787630628723</v>
      </c>
      <c r="T131" s="515">
        <f>'OPEX - Concept B3 - NCLH'!AA93</f>
        <v>1345.8683383241298</v>
      </c>
      <c r="U131" s="515">
        <f>'OPEX - Concept B3 - NCLH'!AB93</f>
        <v>1372.7857050906125</v>
      </c>
      <c r="V131" s="515">
        <f>'OPEX - Concept B3 - NCLH'!AC93</f>
        <v>1400.2414191924249</v>
      </c>
      <c r="W131" s="515">
        <f>'OPEX - Concept B3 - NCLH'!AD93</f>
        <v>1428.2462475762734</v>
      </c>
      <c r="X131" s="515">
        <f>'OPEX - Concept B3 - NCLH'!AE93</f>
        <v>1456.8111725277988</v>
      </c>
    </row>
    <row r="132" spans="1:24" s="96" customFormat="1">
      <c r="A132" s="69"/>
      <c r="B132" s="69"/>
      <c r="C132" s="69"/>
      <c r="D132" s="514"/>
      <c r="E132" s="515"/>
      <c r="F132" s="515"/>
      <c r="G132" s="515"/>
      <c r="H132" s="515"/>
      <c r="I132" s="515"/>
      <c r="J132" s="515"/>
      <c r="K132" s="515"/>
      <c r="L132" s="515"/>
      <c r="M132" s="515"/>
      <c r="N132" s="515"/>
      <c r="O132" s="515"/>
      <c r="P132" s="515"/>
      <c r="Q132" s="515"/>
      <c r="R132" s="515"/>
      <c r="S132" s="515"/>
      <c r="T132" s="515"/>
      <c r="U132" s="515"/>
      <c r="V132" s="515"/>
      <c r="W132" s="515"/>
      <c r="X132" s="515"/>
    </row>
    <row r="133" spans="1:24" s="96" customFormat="1">
      <c r="A133" s="69" t="s">
        <v>25</v>
      </c>
      <c r="B133" s="69"/>
      <c r="C133" s="69"/>
      <c r="D133" s="514">
        <v>0</v>
      </c>
      <c r="E133" s="515">
        <f>'OPEX - Concept B3 - NCLH'!L109</f>
        <v>23741.666666666664</v>
      </c>
      <c r="F133" s="515">
        <f>'OPEX - Concept B3 - NCLH'!M109</f>
        <v>24216.5</v>
      </c>
      <c r="G133" s="515">
        <f>'OPEX - Concept B3 - NCLH'!N109</f>
        <v>24700.83</v>
      </c>
      <c r="H133" s="515">
        <f>'OPEX - Concept B3 - NCLH'!O109</f>
        <v>25194.846599999997</v>
      </c>
      <c r="I133" s="515">
        <f>'OPEX - Concept B3 - NCLH'!P109</f>
        <v>25698.743532</v>
      </c>
      <c r="J133" s="515">
        <f>'OPEX - Concept B3 - NCLH'!Q109</f>
        <v>26212.718402639999</v>
      </c>
      <c r="K133" s="515">
        <f>'OPEX - Concept B3 - NCLH'!R109</f>
        <v>26736.972770692802</v>
      </c>
      <c r="L133" s="515">
        <f>'OPEX - Concept B3 - NCLH'!S109</f>
        <v>27271.712226106654</v>
      </c>
      <c r="M133" s="515">
        <f>'OPEX - Concept B3 - NCLH'!T109</f>
        <v>27817.146470628788</v>
      </c>
      <c r="N133" s="515">
        <f>'OPEX - Concept B3 - NCLH'!U109</f>
        <v>28373.48940004137</v>
      </c>
      <c r="O133" s="515">
        <f>'OPEX - Concept B3 - NCLH'!V109</f>
        <v>28940.959188042198</v>
      </c>
      <c r="P133" s="515">
        <f>'OPEX - Concept B3 - NCLH'!W109</f>
        <v>29519.77837180304</v>
      </c>
      <c r="Q133" s="515">
        <f>'OPEX - Concept B3 - NCLH'!X109</f>
        <v>30110.173939239099</v>
      </c>
      <c r="R133" s="515">
        <f>'OPEX - Concept B3 - NCLH'!Y109</f>
        <v>30712.37741802388</v>
      </c>
      <c r="S133" s="515">
        <f>'OPEX - Concept B3 - NCLH'!Z109</f>
        <v>31326.624966384359</v>
      </c>
      <c r="T133" s="515">
        <f>'OPEX - Concept B3 - NCLH'!AA109</f>
        <v>31953.157465712051</v>
      </c>
      <c r="U133" s="515">
        <f>'OPEX - Concept B3 - NCLH'!AB109</f>
        <v>32592.220615026294</v>
      </c>
      <c r="V133" s="515">
        <f>'OPEX - Concept B3 - NCLH'!AC109</f>
        <v>33244.065027326818</v>
      </c>
      <c r="W133" s="515">
        <f>'OPEX - Concept B3 - NCLH'!AD109</f>
        <v>33908.946327873353</v>
      </c>
      <c r="X133" s="515">
        <f>'OPEX - Concept B3 - NCLH'!AE109</f>
        <v>34587.125254430823</v>
      </c>
    </row>
    <row r="134" spans="1:24" s="96" customFormat="1">
      <c r="A134" s="782" t="s">
        <v>426</v>
      </c>
      <c r="B134" s="69"/>
      <c r="C134" s="69"/>
      <c r="D134" s="514">
        <v>0</v>
      </c>
      <c r="E134" s="515">
        <f>'OPEX - Concept B3 - NCLH'!L97</f>
        <v>1000</v>
      </c>
      <c r="F134" s="515">
        <f>'OPEX - Concept B3 - NCLH'!M97</f>
        <v>1020</v>
      </c>
      <c r="G134" s="515">
        <f>'OPEX - Concept B3 - NCLH'!N97</f>
        <v>1040.4000000000001</v>
      </c>
      <c r="H134" s="515">
        <f>'OPEX - Concept B3 - NCLH'!O97</f>
        <v>1061.2079999999999</v>
      </c>
      <c r="I134" s="515">
        <f>'OPEX - Concept B3 - NCLH'!P97</f>
        <v>1082.4321600000001</v>
      </c>
      <c r="J134" s="515">
        <f>'OPEX - Concept B3 - NCLH'!Q97</f>
        <v>25000</v>
      </c>
      <c r="K134" s="515">
        <f>'OPEX - Concept B3 - NCLH'!R97</f>
        <v>25500</v>
      </c>
      <c r="L134" s="515">
        <f>'OPEX - Concept B3 - NCLH'!S97</f>
        <v>26010</v>
      </c>
      <c r="M134" s="515">
        <f>'OPEX - Concept B3 - NCLH'!T97</f>
        <v>26530.199999999997</v>
      </c>
      <c r="N134" s="515">
        <f>'OPEX - Concept B3 - NCLH'!U97</f>
        <v>27060.804</v>
      </c>
      <c r="O134" s="515">
        <f>'OPEX - Concept B3 - NCLH'!V97</f>
        <v>27602.020080000002</v>
      </c>
      <c r="P134" s="515">
        <f>'OPEX - Concept B3 - NCLH'!W97</f>
        <v>28154.060481600001</v>
      </c>
      <c r="Q134" s="515">
        <f>'OPEX - Concept B3 - NCLH'!X97</f>
        <v>28717.141691232002</v>
      </c>
      <c r="R134" s="515">
        <f>'OPEX - Concept B3 - NCLH'!Y97</f>
        <v>29291.484525056643</v>
      </c>
      <c r="S134" s="515">
        <f>'OPEX - Concept B3 - NCLH'!Z97</f>
        <v>29877.314215557777</v>
      </c>
      <c r="T134" s="515">
        <f>'OPEX - Concept B3 - NCLH'!AA97</f>
        <v>30474.860499868933</v>
      </c>
      <c r="U134" s="515">
        <f>'OPEX - Concept B3 - NCLH'!AB97</f>
        <v>31084.357709866312</v>
      </c>
      <c r="V134" s="515">
        <f>'OPEX - Concept B3 - NCLH'!AC97</f>
        <v>31706.044864063639</v>
      </c>
      <c r="W134" s="515">
        <f>'OPEX - Concept B3 - NCLH'!AD97</f>
        <v>32340.165761344906</v>
      </c>
      <c r="X134" s="515">
        <f>'OPEX - Concept B3 - NCLH'!AE97</f>
        <v>32986.969076571811</v>
      </c>
    </row>
    <row r="135" spans="1:24" s="96" customFormat="1">
      <c r="A135" s="644" t="s">
        <v>302</v>
      </c>
      <c r="B135" s="69"/>
      <c r="C135" s="69"/>
      <c r="D135" s="514">
        <v>0</v>
      </c>
      <c r="E135" s="515">
        <f>'Shuttle Projections'!C28/2</f>
        <v>233675</v>
      </c>
      <c r="F135" s="515">
        <f>'Shuttle Projections'!D28</f>
        <v>476697</v>
      </c>
      <c r="G135" s="515">
        <f>'Shuttle Projections'!E28</f>
        <v>486230.94000000006</v>
      </c>
      <c r="H135" s="515">
        <f>'Shuttle Projections'!F28</f>
        <v>495955.55879999994</v>
      </c>
      <c r="I135" s="515">
        <f>'Shuttle Projections'!G28</f>
        <v>505874.66997599998</v>
      </c>
      <c r="J135" s="515">
        <f>'Shuttle Projections'!H28</f>
        <v>515992.16337552003</v>
      </c>
      <c r="K135" s="515">
        <f>'Shuttle Projections'!I28</f>
        <v>526312.00664303044</v>
      </c>
      <c r="L135" s="515">
        <f>'Shuttle Projections'!J28</f>
        <v>536838.24677589093</v>
      </c>
      <c r="M135" s="515">
        <f>'Shuttle Projections'!K28</f>
        <v>547575.01171140897</v>
      </c>
      <c r="N135" s="515">
        <f>'Shuttle Projections'!L28</f>
        <v>558526.51194563706</v>
      </c>
      <c r="O135" s="515">
        <f>'Shuttle Projections'!M28</f>
        <v>569697.04218454985</v>
      </c>
      <c r="P135" s="515">
        <f>'Shuttle Projections'!N28</f>
        <v>581090.98302824085</v>
      </c>
      <c r="Q135" s="515">
        <f>'Shuttle Projections'!O28</f>
        <v>592712.80268880562</v>
      </c>
      <c r="R135" s="515">
        <f>'Shuttle Projections'!P28</f>
        <v>604567.05874258175</v>
      </c>
      <c r="S135" s="515">
        <f>'Shuttle Projections'!Q28</f>
        <v>616658.39991743339</v>
      </c>
      <c r="T135" s="515">
        <f>'Shuttle Projections'!R28</f>
        <v>628991.5679157821</v>
      </c>
      <c r="U135" s="515">
        <f>'Shuttle Projections'!S28</f>
        <v>641571.39927409776</v>
      </c>
      <c r="V135" s="515">
        <f>'Shuttle Projections'!T28</f>
        <v>654402.82725957979</v>
      </c>
      <c r="W135" s="515">
        <f>'Shuttle Projections'!U28</f>
        <v>667490.88380477135</v>
      </c>
      <c r="X135" s="515">
        <f>'Shuttle Projections'!V28</f>
        <v>680840.70148086676</v>
      </c>
    </row>
    <row r="136" spans="1:24" s="16" customFormat="1" ht="14.25">
      <c r="A136" s="282" t="s">
        <v>132</v>
      </c>
      <c r="B136" s="276"/>
      <c r="C136" s="276"/>
      <c r="D136" s="516">
        <f>SUM(D124:D135)</f>
        <v>0</v>
      </c>
      <c r="E136" s="517">
        <f t="shared" ref="E136:X136" si="17">SUM(E125:E135)</f>
        <v>357416.66666666663</v>
      </c>
      <c r="F136" s="517">
        <f t="shared" si="17"/>
        <v>754513.5</v>
      </c>
      <c r="G136" s="517">
        <f t="shared" si="17"/>
        <v>769613.97000000009</v>
      </c>
      <c r="H136" s="517">
        <f t="shared" si="17"/>
        <v>785006.24939999986</v>
      </c>
      <c r="I136" s="517">
        <f t="shared" si="17"/>
        <v>800706.374388</v>
      </c>
      <c r="J136" s="517">
        <f t="shared" si="17"/>
        <v>845064.38067096006</v>
      </c>
      <c r="K136" s="517">
        <f t="shared" si="17"/>
        <v>857428.74949401116</v>
      </c>
      <c r="L136" s="517">
        <f t="shared" si="17"/>
        <v>874577.32448389137</v>
      </c>
      <c r="M136" s="517">
        <f t="shared" si="17"/>
        <v>892068.87097356934</v>
      </c>
      <c r="N136" s="517">
        <f t="shared" si="17"/>
        <v>909910.24839304073</v>
      </c>
      <c r="O136" s="517">
        <f t="shared" si="17"/>
        <v>932498.9561509043</v>
      </c>
      <c r="P136" s="517">
        <f t="shared" si="17"/>
        <v>946670.62242811965</v>
      </c>
      <c r="Q136" s="517">
        <f t="shared" si="17"/>
        <v>965604.03487668198</v>
      </c>
      <c r="R136" s="517">
        <f t="shared" si="17"/>
        <v>984916.11557421566</v>
      </c>
      <c r="S136" s="517">
        <f t="shared" si="17"/>
        <v>1004614.4378856999</v>
      </c>
      <c r="T136" s="517">
        <f t="shared" si="17"/>
        <v>1029033.7924742519</v>
      </c>
      <c r="U136" s="517">
        <f t="shared" si="17"/>
        <v>1045200.8611762824</v>
      </c>
      <c r="V136" s="517">
        <f t="shared" si="17"/>
        <v>1066104.878399808</v>
      </c>
      <c r="W136" s="517">
        <f t="shared" si="17"/>
        <v>1087426.9759678042</v>
      </c>
      <c r="X136" s="517">
        <f t="shared" si="17"/>
        <v>1109175.5154871603</v>
      </c>
    </row>
    <row r="137" spans="1:24">
      <c r="A137" s="92"/>
      <c r="B137" s="69"/>
      <c r="C137" s="69"/>
      <c r="D137" s="514"/>
      <c r="E137" s="515"/>
      <c r="F137" s="515"/>
      <c r="G137" s="515"/>
      <c r="H137" s="515"/>
      <c r="I137" s="515"/>
      <c r="J137" s="515"/>
      <c r="K137" s="515"/>
      <c r="L137" s="515"/>
      <c r="M137" s="515"/>
      <c r="N137" s="515"/>
      <c r="O137" s="515"/>
      <c r="P137" s="515"/>
      <c r="Q137" s="515"/>
      <c r="R137" s="515"/>
      <c r="S137" s="515"/>
      <c r="T137" s="515"/>
      <c r="U137" s="515"/>
      <c r="V137" s="515"/>
      <c r="W137" s="515"/>
      <c r="X137" s="515"/>
    </row>
    <row r="138" spans="1:24">
      <c r="A138" s="269" t="s">
        <v>85</v>
      </c>
      <c r="B138" s="269"/>
      <c r="C138" s="270"/>
      <c r="D138" s="513"/>
      <c r="E138" s="513"/>
      <c r="F138" s="513"/>
      <c r="G138" s="513"/>
      <c r="H138" s="513"/>
      <c r="I138" s="513"/>
      <c r="J138" s="513"/>
      <c r="K138" s="513"/>
      <c r="L138" s="513"/>
      <c r="M138" s="513"/>
      <c r="N138" s="513"/>
      <c r="O138" s="513"/>
      <c r="P138" s="513"/>
      <c r="Q138" s="513"/>
      <c r="R138" s="513"/>
      <c r="S138" s="513"/>
      <c r="T138" s="513"/>
      <c r="U138" s="513"/>
      <c r="V138" s="513"/>
      <c r="W138" s="513"/>
      <c r="X138" s="513"/>
    </row>
    <row r="139" spans="1:24" s="368" customFormat="1">
      <c r="A139" s="263"/>
      <c r="B139" s="263"/>
      <c r="C139" s="367"/>
      <c r="D139" s="514"/>
      <c r="E139" s="515"/>
      <c r="F139" s="515"/>
      <c r="G139" s="515"/>
      <c r="H139" s="515"/>
      <c r="I139" s="515"/>
      <c r="J139" s="515"/>
      <c r="K139" s="515"/>
      <c r="L139" s="515"/>
      <c r="M139" s="515"/>
      <c r="N139" s="515"/>
      <c r="O139" s="515"/>
      <c r="P139" s="515"/>
      <c r="Q139" s="515"/>
      <c r="R139" s="515"/>
      <c r="S139" s="515"/>
      <c r="T139" s="515"/>
      <c r="U139" s="515"/>
      <c r="V139" s="515"/>
      <c r="W139" s="515"/>
      <c r="X139" s="515"/>
    </row>
    <row r="140" spans="1:24" s="58" customFormat="1">
      <c r="A140" s="69" t="s">
        <v>0</v>
      </c>
      <c r="B140" s="263"/>
      <c r="C140" s="783"/>
      <c r="D140" s="514">
        <v>0</v>
      </c>
      <c r="E140" s="515">
        <f>'OPEX - Concept B3 - NCLH'!L132</f>
        <v>0</v>
      </c>
      <c r="F140" s="515">
        <f>'OPEX - Concept B3 - NCLH'!M132</f>
        <v>54570</v>
      </c>
      <c r="G140" s="515">
        <f>'OPEX - Concept B3 - NCLH'!N132</f>
        <v>56774.628000000004</v>
      </c>
      <c r="H140" s="515">
        <f>'OPEX - Concept B3 - NCLH'!O132</f>
        <v>57910.120559999996</v>
      </c>
      <c r="I140" s="515">
        <f>'OPEX - Concept B3 - NCLH'!P132</f>
        <v>59068.322971199988</v>
      </c>
      <c r="J140" s="515">
        <f>'OPEX - Concept B3 - NCLH'!Q132</f>
        <v>60249.689430623999</v>
      </c>
      <c r="K140" s="515">
        <f>'OPEX - Concept B3 - NCLH'!R132</f>
        <v>61454.683219236475</v>
      </c>
      <c r="L140" s="515">
        <f>'OPEX - Concept B3 - NCLH'!S132</f>
        <v>62683.776883621205</v>
      </c>
      <c r="M140" s="515">
        <f>'OPEX - Concept B3 - NCLH'!T132</f>
        <v>63937.452421293638</v>
      </c>
      <c r="N140" s="515">
        <f>'OPEX - Concept B3 - NCLH'!U132</f>
        <v>65216.201469719512</v>
      </c>
      <c r="O140" s="515">
        <f>'OPEX - Concept B3 - NCLH'!V132</f>
        <v>66520.525499113894</v>
      </c>
      <c r="P140" s="515">
        <f>'OPEX - Concept B3 - NCLH'!W132</f>
        <v>67850.936009096185</v>
      </c>
      <c r="Q140" s="515">
        <f>'OPEX - Concept B3 - NCLH'!X132</f>
        <v>69207.954729278121</v>
      </c>
      <c r="R140" s="515">
        <f>'OPEX - Concept B3 - NCLH'!Y132</f>
        <v>70592.113823863678</v>
      </c>
      <c r="S140" s="515">
        <f>'OPEX - Concept B3 - NCLH'!Z132</f>
        <v>72003.956100340947</v>
      </c>
      <c r="T140" s="515">
        <f>'OPEX - Concept B3 - NCLH'!AA132</f>
        <v>73444.035222347768</v>
      </c>
      <c r="U140" s="515">
        <f>'OPEX - Concept B3 - NCLH'!AB132</f>
        <v>74912.915926794725</v>
      </c>
      <c r="V140" s="515">
        <f>'OPEX - Concept B3 - NCLH'!AC132</f>
        <v>76411.174245330621</v>
      </c>
      <c r="W140" s="515">
        <f>'OPEX - Concept B3 - NCLH'!AD132</f>
        <v>77939.397730237237</v>
      </c>
      <c r="X140" s="515">
        <f>'OPEX - Concept B3 - NCLH'!AE132</f>
        <v>79498.18568484197</v>
      </c>
    </row>
    <row r="141" spans="1:24" s="58" customFormat="1">
      <c r="A141" s="69" t="s">
        <v>4</v>
      </c>
      <c r="B141" s="263"/>
      <c r="C141" s="783"/>
      <c r="D141" s="514">
        <v>0</v>
      </c>
      <c r="E141" s="515">
        <f>'OPEX - Concept B3 - NCLH'!L155</f>
        <v>0</v>
      </c>
      <c r="F141" s="515">
        <f>'OPEX - Concept B3 - NCLH'!M155</f>
        <v>85335.846153846156</v>
      </c>
      <c r="G141" s="515">
        <f>'OPEX - Concept B3 - NCLH'!N155</f>
        <v>87042.563076923077</v>
      </c>
      <c r="H141" s="515">
        <f>'OPEX - Concept B3 - NCLH'!O155</f>
        <v>88783.41433846156</v>
      </c>
      <c r="I141" s="515">
        <f>'OPEX - Concept B3 - NCLH'!P155</f>
        <v>90559.082625230774</v>
      </c>
      <c r="J141" s="515">
        <f>'OPEX - Concept B3 - NCLH'!Q155</f>
        <v>92370.264277735376</v>
      </c>
      <c r="K141" s="515">
        <f>'OPEX - Concept B3 - NCLH'!R155</f>
        <v>94217.669563290081</v>
      </c>
      <c r="L141" s="515">
        <f>'OPEX - Concept B3 - NCLH'!S155</f>
        <v>96102.022954555898</v>
      </c>
      <c r="M141" s="515">
        <f>'OPEX - Concept B3 - NCLH'!T155</f>
        <v>98024.063413647003</v>
      </c>
      <c r="N141" s="515">
        <f>'OPEX - Concept B3 - NCLH'!U155</f>
        <v>99984.544681919942</v>
      </c>
      <c r="O141" s="515">
        <f>'OPEX - Concept B3 - NCLH'!V155</f>
        <v>101984.23557555837</v>
      </c>
      <c r="P141" s="515">
        <f>'OPEX - Concept B3 - NCLH'!W155</f>
        <v>104023.92028706953</v>
      </c>
      <c r="Q141" s="515">
        <f>'OPEX - Concept B3 - NCLH'!X155</f>
        <v>106104.39869281092</v>
      </c>
      <c r="R141" s="515">
        <f>'OPEX - Concept B3 - NCLH'!Y155</f>
        <v>108226.48666666714</v>
      </c>
      <c r="S141" s="515">
        <f>'OPEX - Concept B3 - NCLH'!Z155</f>
        <v>110391.01640000047</v>
      </c>
      <c r="T141" s="515">
        <f>'OPEX - Concept B3 - NCLH'!AA155</f>
        <v>112598.8367280005</v>
      </c>
      <c r="U141" s="515">
        <f>'OPEX - Concept B3 - NCLH'!AB155</f>
        <v>114850.8134625605</v>
      </c>
      <c r="V141" s="515">
        <f>'OPEX - Concept B3 - NCLH'!AC155</f>
        <v>117147.82973181173</v>
      </c>
      <c r="W141" s="515">
        <f>'OPEX - Concept B3 - NCLH'!AD155</f>
        <v>119490.78632644797</v>
      </c>
      <c r="X141" s="515">
        <f>'OPEX - Concept B3 - NCLH'!AE155</f>
        <v>121880.60205297693</v>
      </c>
    </row>
    <row r="142" spans="1:24" s="16" customFormat="1" ht="14.25">
      <c r="A142" s="282" t="s">
        <v>133</v>
      </c>
      <c r="B142" s="276"/>
      <c r="C142" s="276"/>
      <c r="D142" s="516">
        <f>SUM(D140:D141)</f>
        <v>0</v>
      </c>
      <c r="E142" s="517">
        <f>SUM(E140:E141)</f>
        <v>0</v>
      </c>
      <c r="F142" s="517">
        <f t="shared" ref="F142:X142" si="18">SUM(F140:F141)</f>
        <v>139905.84615384616</v>
      </c>
      <c r="G142" s="517">
        <f t="shared" si="18"/>
        <v>143817.19107692307</v>
      </c>
      <c r="H142" s="517">
        <f t="shared" si="18"/>
        <v>146693.53489846154</v>
      </c>
      <c r="I142" s="517">
        <f t="shared" si="18"/>
        <v>149627.40559643076</v>
      </c>
      <c r="J142" s="517">
        <f t="shared" si="18"/>
        <v>152619.95370835939</v>
      </c>
      <c r="K142" s="517">
        <f t="shared" si="18"/>
        <v>155672.35278252655</v>
      </c>
      <c r="L142" s="517">
        <f t="shared" si="18"/>
        <v>158785.7998381771</v>
      </c>
      <c r="M142" s="517">
        <f t="shared" si="18"/>
        <v>161961.51583494066</v>
      </c>
      <c r="N142" s="517">
        <f t="shared" si="18"/>
        <v>165200.74615163944</v>
      </c>
      <c r="O142" s="517">
        <f t="shared" si="18"/>
        <v>168504.76107467228</v>
      </c>
      <c r="P142" s="517">
        <f t="shared" si="18"/>
        <v>171874.85629616573</v>
      </c>
      <c r="Q142" s="517">
        <f t="shared" si="18"/>
        <v>175312.35342208904</v>
      </c>
      <c r="R142" s="517">
        <f t="shared" si="18"/>
        <v>178818.60049053084</v>
      </c>
      <c r="S142" s="517">
        <f t="shared" si="18"/>
        <v>182394.97250034142</v>
      </c>
      <c r="T142" s="517">
        <f t="shared" si="18"/>
        <v>186042.87195034826</v>
      </c>
      <c r="U142" s="517">
        <f t="shared" si="18"/>
        <v>189763.72938935523</v>
      </c>
      <c r="V142" s="517">
        <f t="shared" si="18"/>
        <v>193559.00397714233</v>
      </c>
      <c r="W142" s="517">
        <f t="shared" si="18"/>
        <v>197430.18405668519</v>
      </c>
      <c r="X142" s="517">
        <f t="shared" si="18"/>
        <v>201378.7877378189</v>
      </c>
    </row>
    <row r="143" spans="1:24">
      <c r="A143" s="92"/>
      <c r="B143" s="92"/>
      <c r="C143" s="69"/>
      <c r="D143" s="514"/>
      <c r="E143" s="515"/>
      <c r="F143" s="515"/>
      <c r="G143" s="515"/>
      <c r="H143" s="515"/>
      <c r="I143" s="515"/>
      <c r="J143" s="515"/>
      <c r="K143" s="515"/>
      <c r="L143" s="515"/>
      <c r="M143" s="515"/>
      <c r="N143" s="515"/>
      <c r="O143" s="515"/>
      <c r="P143" s="515"/>
      <c r="Q143" s="515"/>
      <c r="R143" s="515"/>
      <c r="S143" s="515"/>
      <c r="T143" s="515"/>
      <c r="U143" s="515"/>
      <c r="V143" s="515"/>
      <c r="W143" s="515"/>
      <c r="X143" s="515"/>
    </row>
    <row r="144" spans="1:24" s="16" customFormat="1" ht="14.25">
      <c r="A144" s="350" t="s">
        <v>118</v>
      </c>
      <c r="B144" s="350"/>
      <c r="C144" s="351"/>
      <c r="D144" s="519">
        <f t="shared" ref="D144:X144" si="19">SUM(D136,D142)</f>
        <v>0</v>
      </c>
      <c r="E144" s="519">
        <f t="shared" si="19"/>
        <v>357416.66666666663</v>
      </c>
      <c r="F144" s="519">
        <f t="shared" si="19"/>
        <v>894419.34615384613</v>
      </c>
      <c r="G144" s="519">
        <f t="shared" si="19"/>
        <v>913431.16107692313</v>
      </c>
      <c r="H144" s="519">
        <f t="shared" si="19"/>
        <v>931699.7842984614</v>
      </c>
      <c r="I144" s="519">
        <f t="shared" si="19"/>
        <v>950333.77998443076</v>
      </c>
      <c r="J144" s="519">
        <f t="shared" si="19"/>
        <v>997684.33437931945</v>
      </c>
      <c r="K144" s="519">
        <f t="shared" si="19"/>
        <v>1013101.1022765377</v>
      </c>
      <c r="L144" s="519">
        <f t="shared" si="19"/>
        <v>1033363.1243220684</v>
      </c>
      <c r="M144" s="519">
        <f t="shared" si="19"/>
        <v>1054030.3868085099</v>
      </c>
      <c r="N144" s="519">
        <f t="shared" si="19"/>
        <v>1075110.9945446802</v>
      </c>
      <c r="O144" s="519">
        <f t="shared" si="19"/>
        <v>1101003.7172255765</v>
      </c>
      <c r="P144" s="519">
        <f t="shared" si="19"/>
        <v>1118545.4787242855</v>
      </c>
      <c r="Q144" s="519">
        <f t="shared" si="19"/>
        <v>1140916.3882987711</v>
      </c>
      <c r="R144" s="519">
        <f t="shared" si="19"/>
        <v>1163734.7160647465</v>
      </c>
      <c r="S144" s="519">
        <f t="shared" si="19"/>
        <v>1187009.4103860413</v>
      </c>
      <c r="T144" s="519">
        <f t="shared" si="19"/>
        <v>1215076.6644246001</v>
      </c>
      <c r="U144" s="519">
        <f t="shared" si="19"/>
        <v>1234964.5905656377</v>
      </c>
      <c r="V144" s="519">
        <f t="shared" si="19"/>
        <v>1259663.8823769502</v>
      </c>
      <c r="W144" s="519">
        <f t="shared" si="19"/>
        <v>1284857.1600244893</v>
      </c>
      <c r="X144" s="519">
        <f t="shared" si="19"/>
        <v>1310554.3032249792</v>
      </c>
    </row>
    <row r="145" spans="1:24" s="222" customFormat="1" ht="14.25">
      <c r="A145" s="280"/>
      <c r="B145" s="280"/>
      <c r="C145" s="263"/>
      <c r="D145" s="518"/>
      <c r="E145" s="520"/>
      <c r="F145" s="520"/>
      <c r="G145" s="520"/>
      <c r="H145" s="520"/>
      <c r="I145" s="520"/>
      <c r="J145" s="520"/>
      <c r="K145" s="520"/>
      <c r="L145" s="520"/>
      <c r="M145" s="520"/>
      <c r="N145" s="520"/>
      <c r="O145" s="520"/>
      <c r="P145" s="520"/>
      <c r="Q145" s="520"/>
      <c r="R145" s="520"/>
      <c r="S145" s="520"/>
      <c r="T145" s="520"/>
      <c r="U145" s="520"/>
      <c r="V145" s="520"/>
      <c r="W145" s="520"/>
      <c r="X145" s="520"/>
    </row>
    <row r="146" spans="1:24" s="222" customFormat="1" ht="14.25">
      <c r="A146" s="271" t="s">
        <v>295</v>
      </c>
      <c r="B146" s="271"/>
      <c r="C146" s="269"/>
      <c r="D146" s="521"/>
      <c r="E146" s="521"/>
      <c r="F146" s="521"/>
      <c r="G146" s="521"/>
      <c r="H146" s="521"/>
      <c r="I146" s="521"/>
      <c r="J146" s="521"/>
      <c r="K146" s="521"/>
      <c r="L146" s="521"/>
      <c r="M146" s="521"/>
      <c r="N146" s="521"/>
      <c r="O146" s="521"/>
      <c r="P146" s="521"/>
      <c r="Q146" s="521"/>
      <c r="R146" s="521"/>
      <c r="S146" s="521"/>
      <c r="T146" s="521"/>
      <c r="U146" s="521"/>
      <c r="V146" s="521"/>
      <c r="W146" s="521"/>
      <c r="X146" s="521"/>
    </row>
    <row r="147" spans="1:24" s="222" customFormat="1" ht="14.25">
      <c r="A147" s="280"/>
      <c r="B147" s="280"/>
      <c r="C147" s="263"/>
      <c r="D147" s="518"/>
      <c r="E147" s="520"/>
      <c r="F147" s="520"/>
      <c r="G147" s="520"/>
      <c r="H147" s="520"/>
      <c r="I147" s="520"/>
      <c r="J147" s="520"/>
      <c r="K147" s="520"/>
      <c r="L147" s="520"/>
      <c r="M147" s="520"/>
      <c r="N147" s="520"/>
      <c r="O147" s="520"/>
      <c r="P147" s="520"/>
      <c r="Q147" s="520"/>
      <c r="R147" s="520"/>
      <c r="S147" s="520"/>
      <c r="T147" s="520"/>
      <c r="U147" s="520"/>
      <c r="V147" s="520"/>
      <c r="W147" s="520"/>
      <c r="X147" s="520"/>
    </row>
    <row r="148" spans="1:24" s="725" customFormat="1">
      <c r="A148" s="353" t="s">
        <v>228</v>
      </c>
      <c r="B148" s="691"/>
      <c r="C148" s="724"/>
      <c r="D148" s="699">
        <v>0</v>
      </c>
      <c r="E148" s="700"/>
      <c r="F148" s="700"/>
      <c r="G148" s="700"/>
      <c r="H148" s="700"/>
      <c r="I148" s="700"/>
      <c r="J148" s="700"/>
      <c r="K148" s="700"/>
      <c r="L148" s="700"/>
      <c r="M148" s="700"/>
      <c r="N148" s="700"/>
      <c r="O148" s="700"/>
      <c r="P148" s="700"/>
      <c r="Q148" s="700"/>
      <c r="R148" s="700"/>
      <c r="S148" s="700"/>
      <c r="T148" s="700"/>
      <c r="U148" s="700"/>
      <c r="V148" s="700"/>
      <c r="W148" s="700"/>
      <c r="X148" s="700"/>
    </row>
    <row r="149" spans="1:24" s="725" customFormat="1">
      <c r="A149" s="726" t="s">
        <v>228</v>
      </c>
      <c r="B149" s="727"/>
      <c r="C149" s="728"/>
      <c r="D149" s="729">
        <v>0</v>
      </c>
      <c r="E149" s="730"/>
      <c r="F149" s="730"/>
      <c r="G149" s="730"/>
      <c r="H149" s="730"/>
      <c r="I149" s="730"/>
      <c r="J149" s="730"/>
      <c r="K149" s="730"/>
      <c r="L149" s="730"/>
      <c r="M149" s="730"/>
      <c r="N149" s="730"/>
      <c r="O149" s="730"/>
      <c r="P149" s="730"/>
      <c r="Q149" s="730"/>
      <c r="R149" s="730"/>
      <c r="S149" s="730"/>
      <c r="T149" s="730"/>
      <c r="U149" s="730"/>
      <c r="V149" s="730"/>
      <c r="W149" s="730"/>
      <c r="X149" s="730"/>
    </row>
    <row r="150" spans="1:24" s="725" customFormat="1" ht="14.25">
      <c r="A150" s="691" t="s">
        <v>296</v>
      </c>
      <c r="B150" s="691"/>
      <c r="C150" s="724"/>
      <c r="D150" s="731">
        <f t="shared" ref="D150:X150" si="20">SUM(D148:D149)</f>
        <v>0</v>
      </c>
      <c r="E150" s="732">
        <f t="shared" si="20"/>
        <v>0</v>
      </c>
      <c r="F150" s="732">
        <f t="shared" si="20"/>
        <v>0</v>
      </c>
      <c r="G150" s="732">
        <f t="shared" si="20"/>
        <v>0</v>
      </c>
      <c r="H150" s="732">
        <f t="shared" si="20"/>
        <v>0</v>
      </c>
      <c r="I150" s="732">
        <f t="shared" si="20"/>
        <v>0</v>
      </c>
      <c r="J150" s="732">
        <f t="shared" si="20"/>
        <v>0</v>
      </c>
      <c r="K150" s="732">
        <f t="shared" si="20"/>
        <v>0</v>
      </c>
      <c r="L150" s="732">
        <f t="shared" si="20"/>
        <v>0</v>
      </c>
      <c r="M150" s="732">
        <f t="shared" si="20"/>
        <v>0</v>
      </c>
      <c r="N150" s="732">
        <f t="shared" si="20"/>
        <v>0</v>
      </c>
      <c r="O150" s="732">
        <f t="shared" si="20"/>
        <v>0</v>
      </c>
      <c r="P150" s="732">
        <f t="shared" si="20"/>
        <v>0</v>
      </c>
      <c r="Q150" s="732">
        <f t="shared" si="20"/>
        <v>0</v>
      </c>
      <c r="R150" s="732">
        <f t="shared" si="20"/>
        <v>0</v>
      </c>
      <c r="S150" s="732">
        <f t="shared" si="20"/>
        <v>0</v>
      </c>
      <c r="T150" s="732">
        <f t="shared" si="20"/>
        <v>0</v>
      </c>
      <c r="U150" s="732">
        <f t="shared" si="20"/>
        <v>0</v>
      </c>
      <c r="V150" s="732">
        <f t="shared" si="20"/>
        <v>0</v>
      </c>
      <c r="W150" s="732">
        <f t="shared" si="20"/>
        <v>0</v>
      </c>
      <c r="X150" s="732">
        <f t="shared" si="20"/>
        <v>0</v>
      </c>
    </row>
    <row r="151" spans="1:24" s="222" customFormat="1">
      <c r="A151" s="280"/>
      <c r="B151" s="280"/>
      <c r="C151" s="263"/>
      <c r="D151" s="514"/>
      <c r="E151" s="515"/>
      <c r="F151" s="520"/>
      <c r="G151" s="520"/>
      <c r="H151" s="520"/>
      <c r="I151" s="520"/>
      <c r="J151" s="520"/>
      <c r="K151" s="520"/>
      <c r="L151" s="520"/>
      <c r="M151" s="520"/>
      <c r="N151" s="520"/>
      <c r="O151" s="520"/>
      <c r="P151" s="520"/>
      <c r="Q151" s="520"/>
      <c r="R151" s="520"/>
      <c r="S151" s="520"/>
      <c r="T151" s="520"/>
      <c r="U151" s="520"/>
      <c r="V151" s="520"/>
      <c r="W151" s="520"/>
      <c r="X151" s="520"/>
    </row>
    <row r="152" spans="1:24" s="222" customFormat="1" ht="14.25">
      <c r="A152" s="296" t="s">
        <v>140</v>
      </c>
      <c r="B152" s="296"/>
      <c r="C152" s="297"/>
      <c r="D152" s="522">
        <f t="shared" ref="D152:X152" si="21">SUM(D144,D150)</f>
        <v>0</v>
      </c>
      <c r="E152" s="522">
        <f t="shared" si="21"/>
        <v>357416.66666666663</v>
      </c>
      <c r="F152" s="522">
        <f t="shared" si="21"/>
        <v>894419.34615384613</v>
      </c>
      <c r="G152" s="522">
        <f t="shared" si="21"/>
        <v>913431.16107692313</v>
      </c>
      <c r="H152" s="522">
        <f t="shared" si="21"/>
        <v>931699.7842984614</v>
      </c>
      <c r="I152" s="522">
        <f t="shared" si="21"/>
        <v>950333.77998443076</v>
      </c>
      <c r="J152" s="522">
        <f t="shared" si="21"/>
        <v>997684.33437931945</v>
      </c>
      <c r="K152" s="522">
        <f t="shared" si="21"/>
        <v>1013101.1022765377</v>
      </c>
      <c r="L152" s="522">
        <f t="shared" si="21"/>
        <v>1033363.1243220684</v>
      </c>
      <c r="M152" s="522">
        <f t="shared" si="21"/>
        <v>1054030.3868085099</v>
      </c>
      <c r="N152" s="522">
        <f t="shared" si="21"/>
        <v>1075110.9945446802</v>
      </c>
      <c r="O152" s="522">
        <f t="shared" si="21"/>
        <v>1101003.7172255765</v>
      </c>
      <c r="P152" s="522">
        <f t="shared" si="21"/>
        <v>1118545.4787242855</v>
      </c>
      <c r="Q152" s="522">
        <f t="shared" si="21"/>
        <v>1140916.3882987711</v>
      </c>
      <c r="R152" s="522">
        <f t="shared" si="21"/>
        <v>1163734.7160647465</v>
      </c>
      <c r="S152" s="522">
        <f t="shared" si="21"/>
        <v>1187009.4103860413</v>
      </c>
      <c r="T152" s="522">
        <f t="shared" si="21"/>
        <v>1215076.6644246001</v>
      </c>
      <c r="U152" s="522">
        <f t="shared" si="21"/>
        <v>1234964.5905656377</v>
      </c>
      <c r="V152" s="522">
        <f t="shared" si="21"/>
        <v>1259663.8823769502</v>
      </c>
      <c r="W152" s="522">
        <f t="shared" si="21"/>
        <v>1284857.1600244893</v>
      </c>
      <c r="X152" s="522">
        <f t="shared" si="21"/>
        <v>1310554.3032249792</v>
      </c>
    </row>
    <row r="153" spans="1:24">
      <c r="A153" s="92"/>
      <c r="B153" s="92"/>
      <c r="C153" s="69"/>
      <c r="D153" s="514"/>
      <c r="E153" s="515"/>
      <c r="F153" s="515"/>
      <c r="G153" s="515"/>
      <c r="H153" s="515"/>
      <c r="I153" s="515"/>
      <c r="J153" s="515"/>
      <c r="K153" s="515"/>
      <c r="L153" s="515"/>
      <c r="M153" s="515"/>
      <c r="N153" s="515"/>
      <c r="O153" s="515"/>
      <c r="P153" s="515"/>
      <c r="Q153" s="515"/>
      <c r="R153" s="515"/>
      <c r="S153" s="515"/>
      <c r="T153" s="515"/>
      <c r="U153" s="515"/>
      <c r="V153" s="515"/>
      <c r="W153" s="515"/>
      <c r="X153" s="515"/>
    </row>
    <row r="154" spans="1:24" s="33" customFormat="1">
      <c r="A154" s="47" t="s">
        <v>7</v>
      </c>
      <c r="B154" s="47" t="s">
        <v>7</v>
      </c>
      <c r="C154" s="78" t="s">
        <v>7</v>
      </c>
      <c r="D154" s="604" t="s">
        <v>7</v>
      </c>
      <c r="E154" s="78" t="s">
        <v>7</v>
      </c>
      <c r="F154" s="78" t="s">
        <v>7</v>
      </c>
      <c r="G154" s="78" t="s">
        <v>7</v>
      </c>
      <c r="H154" s="78" t="s">
        <v>7</v>
      </c>
      <c r="I154" s="78" t="s">
        <v>7</v>
      </c>
      <c r="J154" s="78" t="s">
        <v>7</v>
      </c>
      <c r="K154" s="78" t="s">
        <v>7</v>
      </c>
      <c r="L154" s="78" t="s">
        <v>7</v>
      </c>
      <c r="M154" s="78" t="s">
        <v>7</v>
      </c>
      <c r="N154" s="78" t="s">
        <v>7</v>
      </c>
      <c r="O154" s="78" t="s">
        <v>7</v>
      </c>
      <c r="P154" s="78" t="s">
        <v>7</v>
      </c>
      <c r="Q154" s="78" t="s">
        <v>7</v>
      </c>
      <c r="R154" s="78" t="s">
        <v>7</v>
      </c>
      <c r="S154" s="78" t="s">
        <v>7</v>
      </c>
      <c r="T154" s="78" t="s">
        <v>7</v>
      </c>
      <c r="U154" s="78" t="s">
        <v>7</v>
      </c>
      <c r="V154" s="78" t="s">
        <v>7</v>
      </c>
      <c r="W154" s="78" t="s">
        <v>7</v>
      </c>
      <c r="X154" s="78" t="s">
        <v>7</v>
      </c>
    </row>
    <row r="155" spans="1:24">
      <c r="A155" s="92"/>
      <c r="B155" s="92"/>
      <c r="C155" s="69"/>
      <c r="D155" s="518"/>
      <c r="E155" s="515"/>
      <c r="F155" s="515"/>
      <c r="G155" s="515"/>
      <c r="H155" s="515"/>
      <c r="I155" s="515"/>
      <c r="J155" s="515"/>
      <c r="K155" s="515"/>
      <c r="L155" s="515"/>
      <c r="M155" s="515"/>
      <c r="N155" s="515"/>
      <c r="O155" s="515"/>
      <c r="P155" s="515"/>
      <c r="Q155" s="515"/>
      <c r="R155" s="515"/>
      <c r="S155" s="515"/>
      <c r="T155" s="515"/>
      <c r="U155" s="515"/>
      <c r="V155" s="515"/>
      <c r="W155" s="515"/>
      <c r="X155" s="515"/>
    </row>
    <row r="156" spans="1:24" s="16" customFormat="1" ht="14.25">
      <c r="A156" s="278" t="s">
        <v>116</v>
      </c>
      <c r="B156" s="263"/>
      <c r="C156" s="263"/>
      <c r="D156" s="518">
        <f>D119-(D136+D142)</f>
        <v>0</v>
      </c>
      <c r="E156" s="520">
        <f>E119-E152</f>
        <v>-299391.66666666663</v>
      </c>
      <c r="F156" s="520">
        <f t="shared" ref="F156:X156" si="22">F119-F152</f>
        <v>292165.25143539428</v>
      </c>
      <c r="G156" s="520">
        <f t="shared" si="22"/>
        <v>413617.52846410219</v>
      </c>
      <c r="H156" s="520">
        <f t="shared" si="22"/>
        <v>419669.87903338438</v>
      </c>
      <c r="I156" s="520">
        <f t="shared" si="22"/>
        <v>425843.27661405189</v>
      </c>
      <c r="J156" s="520">
        <f t="shared" si="22"/>
        <v>647700.51335113274</v>
      </c>
      <c r="K156" s="520">
        <f t="shared" si="22"/>
        <v>658093.35740852368</v>
      </c>
      <c r="L156" s="520">
        <f t="shared" si="22"/>
        <v>664157.13955669408</v>
      </c>
      <c r="M156" s="520">
        <f t="shared" si="22"/>
        <v>670342.19734782819</v>
      </c>
      <c r="N156" s="520">
        <f t="shared" si="22"/>
        <v>676650.95629478456</v>
      </c>
      <c r="O156" s="520">
        <f t="shared" si="22"/>
        <v>740258.95013067755</v>
      </c>
      <c r="P156" s="520">
        <f t="shared" si="22"/>
        <v>751213.08572909376</v>
      </c>
      <c r="Q156" s="520">
        <f t="shared" si="22"/>
        <v>757907.99119367567</v>
      </c>
      <c r="R156" s="520">
        <f t="shared" si="22"/>
        <v>764736.79476754903</v>
      </c>
      <c r="S156" s="520">
        <f t="shared" si="22"/>
        <v>771702.17441290035</v>
      </c>
      <c r="T156" s="520">
        <f t="shared" si="22"/>
        <v>836143.35832032003</v>
      </c>
      <c r="U156" s="520">
        <f t="shared" si="22"/>
        <v>847717.20513418084</v>
      </c>
      <c r="V156" s="520">
        <f t="shared" si="22"/>
        <v>855108.9217368653</v>
      </c>
      <c r="W156" s="520">
        <f t="shared" si="22"/>
        <v>862648.47267160285</v>
      </c>
      <c r="X156" s="520">
        <f t="shared" si="22"/>
        <v>870338.81462503481</v>
      </c>
    </row>
    <row r="157" spans="1:24">
      <c r="A157" s="30"/>
      <c r="B157" s="92"/>
      <c r="C157" s="69"/>
      <c r="D157" s="514"/>
      <c r="E157" s="515"/>
      <c r="F157" s="515"/>
      <c r="G157" s="515"/>
      <c r="H157" s="515"/>
      <c r="I157" s="515"/>
      <c r="J157" s="515"/>
      <c r="K157" s="515"/>
      <c r="L157" s="515"/>
      <c r="M157" s="515"/>
      <c r="N157" s="515"/>
      <c r="O157" s="515"/>
      <c r="P157" s="515"/>
      <c r="Q157" s="515"/>
      <c r="R157" s="515"/>
      <c r="S157" s="515"/>
      <c r="T157" s="515"/>
      <c r="U157" s="515"/>
      <c r="V157" s="515"/>
      <c r="W157" s="515"/>
      <c r="X157" s="515"/>
    </row>
    <row r="158" spans="1:24" s="594" customFormat="1">
      <c r="A158" s="589" t="s">
        <v>125</v>
      </c>
      <c r="B158" s="590"/>
      <c r="C158" s="591"/>
      <c r="D158" s="592">
        <v>0</v>
      </c>
      <c r="E158" s="593">
        <v>0</v>
      </c>
      <c r="F158" s="593">
        <v>0</v>
      </c>
      <c r="G158" s="593">
        <v>0</v>
      </c>
      <c r="H158" s="593">
        <v>0</v>
      </c>
      <c r="I158" s="593">
        <v>0</v>
      </c>
      <c r="J158" s="593">
        <v>0</v>
      </c>
      <c r="K158" s="593">
        <v>0</v>
      </c>
      <c r="L158" s="593">
        <v>0</v>
      </c>
      <c r="M158" s="593">
        <v>0</v>
      </c>
      <c r="N158" s="593">
        <v>0</v>
      </c>
      <c r="O158" s="593">
        <v>0</v>
      </c>
      <c r="P158" s="593">
        <v>0</v>
      </c>
      <c r="Q158" s="593">
        <v>0</v>
      </c>
      <c r="R158" s="593">
        <v>0</v>
      </c>
      <c r="S158" s="593">
        <v>0</v>
      </c>
      <c r="T158" s="593">
        <v>0</v>
      </c>
      <c r="U158" s="593">
        <v>0</v>
      </c>
      <c r="V158" s="593">
        <v>0</v>
      </c>
      <c r="W158" s="593">
        <v>0</v>
      </c>
      <c r="X158" s="593">
        <v>0</v>
      </c>
    </row>
    <row r="159" spans="1:24">
      <c r="A159" s="92"/>
      <c r="B159" s="92"/>
      <c r="C159" s="69"/>
      <c r="D159" s="514"/>
      <c r="E159" s="515"/>
      <c r="F159" s="515"/>
      <c r="G159" s="515"/>
      <c r="H159" s="515"/>
      <c r="I159" s="515"/>
      <c r="J159" s="515"/>
      <c r="K159" s="515"/>
      <c r="L159" s="515"/>
      <c r="M159" s="515"/>
      <c r="N159" s="515"/>
      <c r="O159" s="515"/>
      <c r="P159" s="515"/>
      <c r="Q159" s="515"/>
      <c r="R159" s="515"/>
      <c r="S159" s="515"/>
      <c r="T159" s="515"/>
      <c r="U159" s="515"/>
      <c r="V159" s="515"/>
      <c r="W159" s="515"/>
      <c r="X159" s="515"/>
    </row>
    <row r="160" spans="1:24" s="16" customFormat="1" ht="14.25">
      <c r="A160" s="278" t="s">
        <v>117</v>
      </c>
      <c r="B160" s="278"/>
      <c r="C160" s="263"/>
      <c r="D160" s="518">
        <v>0</v>
      </c>
      <c r="E160" s="520">
        <f>E156-E158</f>
        <v>-299391.66666666663</v>
      </c>
      <c r="F160" s="520">
        <f t="shared" ref="F160:X160" si="23">F156-F158</f>
        <v>292165.25143539428</v>
      </c>
      <c r="G160" s="520">
        <f t="shared" si="23"/>
        <v>413617.52846410219</v>
      </c>
      <c r="H160" s="520">
        <f t="shared" si="23"/>
        <v>419669.87903338438</v>
      </c>
      <c r="I160" s="520">
        <f t="shared" si="23"/>
        <v>425843.27661405189</v>
      </c>
      <c r="J160" s="520">
        <f t="shared" si="23"/>
        <v>647700.51335113274</v>
      </c>
      <c r="K160" s="520">
        <f t="shared" si="23"/>
        <v>658093.35740852368</v>
      </c>
      <c r="L160" s="520">
        <f t="shared" si="23"/>
        <v>664157.13955669408</v>
      </c>
      <c r="M160" s="520">
        <f t="shared" si="23"/>
        <v>670342.19734782819</v>
      </c>
      <c r="N160" s="520">
        <f t="shared" si="23"/>
        <v>676650.95629478456</v>
      </c>
      <c r="O160" s="520">
        <f t="shared" si="23"/>
        <v>740258.95013067755</v>
      </c>
      <c r="P160" s="520">
        <f t="shared" si="23"/>
        <v>751213.08572909376</v>
      </c>
      <c r="Q160" s="520">
        <f t="shared" si="23"/>
        <v>757907.99119367567</v>
      </c>
      <c r="R160" s="520">
        <f t="shared" si="23"/>
        <v>764736.79476754903</v>
      </c>
      <c r="S160" s="520">
        <f t="shared" si="23"/>
        <v>771702.17441290035</v>
      </c>
      <c r="T160" s="520">
        <f t="shared" si="23"/>
        <v>836143.35832032003</v>
      </c>
      <c r="U160" s="520">
        <f t="shared" si="23"/>
        <v>847717.20513418084</v>
      </c>
      <c r="V160" s="520">
        <f t="shared" si="23"/>
        <v>855108.9217368653</v>
      </c>
      <c r="W160" s="520">
        <f t="shared" si="23"/>
        <v>862648.47267160285</v>
      </c>
      <c r="X160" s="520">
        <f t="shared" si="23"/>
        <v>870338.81462503481</v>
      </c>
    </row>
    <row r="161" spans="1:24">
      <c r="A161" s="92"/>
      <c r="B161" s="92"/>
      <c r="C161" s="69"/>
      <c r="D161" s="514"/>
      <c r="E161" s="515"/>
      <c r="F161" s="515"/>
      <c r="G161" s="515"/>
      <c r="H161" s="515"/>
      <c r="I161" s="515"/>
      <c r="J161" s="515"/>
      <c r="K161" s="515"/>
      <c r="L161" s="515"/>
      <c r="M161" s="515"/>
      <c r="N161" s="515"/>
      <c r="O161" s="515"/>
      <c r="P161" s="515"/>
      <c r="Q161" s="515"/>
      <c r="R161" s="515"/>
      <c r="S161" s="515"/>
      <c r="T161" s="515"/>
      <c r="U161" s="515"/>
      <c r="V161" s="515"/>
      <c r="W161" s="515"/>
      <c r="X161" s="515"/>
    </row>
    <row r="162" spans="1:24">
      <c r="A162" s="271" t="s">
        <v>126</v>
      </c>
      <c r="B162" s="272"/>
      <c r="C162" s="273"/>
      <c r="D162" s="523"/>
      <c r="E162" s="523"/>
      <c r="F162" s="523"/>
      <c r="G162" s="523"/>
      <c r="H162" s="523"/>
      <c r="I162" s="523"/>
      <c r="J162" s="523"/>
      <c r="K162" s="523"/>
      <c r="L162" s="523"/>
      <c r="M162" s="523"/>
      <c r="N162" s="523"/>
      <c r="O162" s="523"/>
      <c r="P162" s="523"/>
      <c r="Q162" s="523"/>
      <c r="R162" s="523"/>
      <c r="S162" s="523"/>
      <c r="T162" s="523"/>
      <c r="U162" s="523"/>
      <c r="V162" s="523"/>
      <c r="W162" s="523"/>
      <c r="X162" s="523"/>
    </row>
    <row r="163" spans="1:24" s="32" customFormat="1">
      <c r="A163" s="280"/>
      <c r="B163" s="91"/>
      <c r="C163" s="69"/>
      <c r="D163" s="514"/>
      <c r="E163" s="515"/>
      <c r="F163" s="515"/>
      <c r="G163" s="515"/>
      <c r="H163" s="515"/>
      <c r="I163" s="515"/>
      <c r="J163" s="515"/>
      <c r="K163" s="515"/>
      <c r="L163" s="515"/>
      <c r="M163" s="515"/>
      <c r="N163" s="515"/>
      <c r="O163" s="515"/>
      <c r="P163" s="515"/>
      <c r="Q163" s="515"/>
      <c r="R163" s="515"/>
      <c r="S163" s="515"/>
      <c r="T163" s="515"/>
      <c r="U163" s="515"/>
      <c r="V163" s="515"/>
      <c r="W163" s="515"/>
      <c r="X163" s="515"/>
    </row>
    <row r="164" spans="1:24" s="96" customFormat="1">
      <c r="A164" s="885" t="s">
        <v>136</v>
      </c>
      <c r="B164" s="719"/>
      <c r="C164" s="69"/>
      <c r="D164" s="514">
        <v>0</v>
      </c>
      <c r="E164" s="515">
        <f>'OPEX - Concept B3 - NCLH'!L170</f>
        <v>0</v>
      </c>
      <c r="F164" s="515">
        <f>'OPEX - Concept B3 - NCLH'!M170</f>
        <v>67225</v>
      </c>
      <c r="G164" s="515">
        <f>'OPEX - Concept B3 - NCLH'!N170</f>
        <v>68569.5</v>
      </c>
      <c r="H164" s="515">
        <f>'OPEX - Concept B3 - NCLH'!O170</f>
        <v>69940.89</v>
      </c>
      <c r="I164" s="515">
        <f>'OPEX - Concept B3 - NCLH'!P170</f>
        <v>71339.707799999989</v>
      </c>
      <c r="J164" s="515">
        <f>'OPEX - Concept B3 - NCLH'!Q170</f>
        <v>72766.501955999993</v>
      </c>
      <c r="K164" s="515">
        <f>'OPEX - Concept B3 - NCLH'!R170</f>
        <v>74221.831995119996</v>
      </c>
      <c r="L164" s="515">
        <f>'OPEX - Concept B3 - NCLH'!S170</f>
        <v>75706.26863502241</v>
      </c>
      <c r="M164" s="515">
        <f>'OPEX - Concept B3 - NCLH'!T170</f>
        <v>77220.394007722847</v>
      </c>
      <c r="N164" s="515">
        <f>'OPEX - Concept B3 - NCLH'!U170</f>
        <v>78764.801887877315</v>
      </c>
      <c r="O164" s="515">
        <f>'OPEX - Concept B3 - NCLH'!V170</f>
        <v>80340.097925634866</v>
      </c>
      <c r="P164" s="515">
        <f>'OPEX - Concept B3 - NCLH'!W170</f>
        <v>81946.899884147555</v>
      </c>
      <c r="Q164" s="515">
        <f>'OPEX - Concept B3 - NCLH'!X170</f>
        <v>83585.837881830506</v>
      </c>
      <c r="R164" s="515">
        <f>'OPEX - Concept B3 - NCLH'!Y170</f>
        <v>85257.554639467126</v>
      </c>
      <c r="S164" s="515">
        <f>'OPEX - Concept B3 - NCLH'!Z170</f>
        <v>86962.705732256451</v>
      </c>
      <c r="T164" s="515">
        <f>'OPEX - Concept B3 - NCLH'!AA170</f>
        <v>88701.959846901591</v>
      </c>
      <c r="U164" s="515">
        <f>'OPEX - Concept B3 - NCLH'!AB170</f>
        <v>90475.999043839634</v>
      </c>
      <c r="V164" s="515">
        <f>'OPEX - Concept B3 - NCLH'!AC170</f>
        <v>92285.519024716428</v>
      </c>
      <c r="W164" s="515">
        <f>'OPEX - Concept B3 - NCLH'!AD170</f>
        <v>94131.229405210761</v>
      </c>
      <c r="X164" s="515">
        <f>'OPEX - Concept B3 - NCLH'!AE170</f>
        <v>96013.853993314973</v>
      </c>
    </row>
    <row r="165" spans="1:24" s="96" customFormat="1">
      <c r="A165" s="885" t="s">
        <v>458</v>
      </c>
      <c r="B165" s="719"/>
      <c r="C165" s="69"/>
      <c r="D165" s="514">
        <v>0</v>
      </c>
      <c r="E165" s="515">
        <f>'OPEX - Concept B3 - NCLH'!L172</f>
        <v>706995.96</v>
      </c>
      <c r="F165" s="515">
        <f>'OPEX - Concept B3 - NCLH'!M172</f>
        <v>706995.96</v>
      </c>
      <c r="G165" s="515">
        <f>'OPEX - Concept B3 - NCLH'!N172</f>
        <v>706995.96</v>
      </c>
      <c r="H165" s="515">
        <f>'OPEX - Concept B3 - NCLH'!O172</f>
        <v>706995.96</v>
      </c>
      <c r="I165" s="515">
        <f>'OPEX - Concept B3 - NCLH'!P172</f>
        <v>706995.96</v>
      </c>
      <c r="J165" s="515">
        <f>'OPEX - Concept B3 - NCLH'!Q172</f>
        <v>706995.96</v>
      </c>
      <c r="K165" s="515">
        <f>'OPEX - Concept B3 - NCLH'!R172</f>
        <v>706995.96</v>
      </c>
      <c r="L165" s="515">
        <f>'OPEX - Concept B3 - NCLH'!S172</f>
        <v>706995.96</v>
      </c>
      <c r="M165" s="515">
        <f>'OPEX - Concept B3 - NCLH'!T172</f>
        <v>706995.96</v>
      </c>
      <c r="N165" s="515">
        <f>'OPEX - Concept B3 - NCLH'!U172</f>
        <v>706995.96</v>
      </c>
      <c r="O165" s="515">
        <f>'OPEX - Concept B3 - NCLH'!V172</f>
        <v>706995.96</v>
      </c>
      <c r="P165" s="515">
        <f>'OPEX - Concept B3 - NCLH'!W172</f>
        <v>706995.96</v>
      </c>
      <c r="Q165" s="515">
        <f>'OPEX - Concept B3 - NCLH'!X172</f>
        <v>706995.96</v>
      </c>
      <c r="R165" s="515">
        <f>'OPEX - Concept B3 - NCLH'!Y172</f>
        <v>706995.96</v>
      </c>
      <c r="S165" s="515">
        <f>'OPEX - Concept B3 - NCLH'!Z172</f>
        <v>706995.96</v>
      </c>
      <c r="T165" s="515">
        <f>'OPEX - Concept B3 - NCLH'!AA172</f>
        <v>706995.96</v>
      </c>
      <c r="U165" s="515">
        <f>'OPEX - Concept B3 - NCLH'!AB172</f>
        <v>706995.96</v>
      </c>
      <c r="V165" s="515">
        <f>'OPEX - Concept B3 - NCLH'!AC172</f>
        <v>706995.96</v>
      </c>
      <c r="W165" s="515">
        <f>'OPEX - Concept B3 - NCLH'!AD172</f>
        <v>706995.96</v>
      </c>
      <c r="X165" s="515">
        <f>'OPEX - Concept B3 - NCLH'!AE172</f>
        <v>706995.96</v>
      </c>
    </row>
    <row r="166" spans="1:24" s="341" customFormat="1">
      <c r="A166" s="696" t="s">
        <v>315</v>
      </c>
      <c r="B166" s="697"/>
      <c r="C166" s="698"/>
      <c r="D166" s="699">
        <v>0</v>
      </c>
      <c r="E166" s="700">
        <v>0</v>
      </c>
      <c r="F166" s="700">
        <v>0</v>
      </c>
      <c r="G166" s="700">
        <v>0</v>
      </c>
      <c r="H166" s="700">
        <v>0</v>
      </c>
      <c r="I166" s="700">
        <v>0</v>
      </c>
      <c r="J166" s="700">
        <v>0</v>
      </c>
      <c r="K166" s="700">
        <v>0</v>
      </c>
      <c r="L166" s="700">
        <v>0</v>
      </c>
      <c r="M166" s="700">
        <v>0</v>
      </c>
      <c r="N166" s="700">
        <v>0</v>
      </c>
      <c r="O166" s="700">
        <v>0</v>
      </c>
      <c r="P166" s="700">
        <v>0</v>
      </c>
      <c r="Q166" s="700">
        <v>0</v>
      </c>
      <c r="R166" s="700">
        <v>0</v>
      </c>
      <c r="S166" s="700">
        <v>0</v>
      </c>
      <c r="T166" s="700">
        <v>0</v>
      </c>
      <c r="U166" s="700">
        <v>0</v>
      </c>
      <c r="V166" s="700">
        <v>0</v>
      </c>
      <c r="W166" s="700">
        <v>0</v>
      </c>
      <c r="X166" s="700">
        <v>0</v>
      </c>
    </row>
    <row r="167" spans="1:24" s="32" customFormat="1">
      <c r="A167" s="93" t="s">
        <v>316</v>
      </c>
      <c r="B167" s="298"/>
      <c r="C167" s="298"/>
      <c r="D167" s="505">
        <v>0</v>
      </c>
      <c r="E167" s="506">
        <v>246000</v>
      </c>
      <c r="F167" s="506">
        <v>246000</v>
      </c>
      <c r="G167" s="506">
        <v>246000</v>
      </c>
      <c r="H167" s="506">
        <v>246000</v>
      </c>
      <c r="I167" s="506">
        <v>246000</v>
      </c>
      <c r="J167" s="506">
        <v>246000</v>
      </c>
      <c r="K167" s="506">
        <v>246000</v>
      </c>
      <c r="L167" s="506">
        <v>246000</v>
      </c>
      <c r="M167" s="506">
        <v>246000</v>
      </c>
      <c r="N167" s="506">
        <v>246000</v>
      </c>
      <c r="O167" s="506">
        <v>246000</v>
      </c>
      <c r="P167" s="506">
        <v>246000</v>
      </c>
      <c r="Q167" s="506">
        <v>246000</v>
      </c>
      <c r="R167" s="506">
        <v>246000</v>
      </c>
      <c r="S167" s="506">
        <v>246000</v>
      </c>
      <c r="T167" s="506">
        <v>246000</v>
      </c>
      <c r="U167" s="506">
        <v>246000</v>
      </c>
      <c r="V167" s="506">
        <v>246000</v>
      </c>
      <c r="W167" s="506">
        <v>246000</v>
      </c>
      <c r="X167" s="506">
        <v>246000</v>
      </c>
    </row>
    <row r="168" spans="1:24" s="222" customFormat="1" ht="14.25">
      <c r="A168" s="263" t="s">
        <v>134</v>
      </c>
      <c r="B168" s="264"/>
      <c r="C168" s="264"/>
      <c r="D168" s="524">
        <f>SUM(D164:D167)</f>
        <v>0</v>
      </c>
      <c r="E168" s="525">
        <f t="shared" ref="E168:X168" si="24">SUM(E164:E167)</f>
        <v>952995.96</v>
      </c>
      <c r="F168" s="525">
        <f t="shared" si="24"/>
        <v>1020220.96</v>
      </c>
      <c r="G168" s="525">
        <f t="shared" si="24"/>
        <v>1021565.46</v>
      </c>
      <c r="H168" s="525">
        <f t="shared" si="24"/>
        <v>1022936.85</v>
      </c>
      <c r="I168" s="525">
        <f t="shared" si="24"/>
        <v>1024335.6677999999</v>
      </c>
      <c r="J168" s="525">
        <f t="shared" si="24"/>
        <v>1025762.461956</v>
      </c>
      <c r="K168" s="525">
        <f t="shared" si="24"/>
        <v>1027217.79199512</v>
      </c>
      <c r="L168" s="525">
        <f t="shared" si="24"/>
        <v>1028702.2286350224</v>
      </c>
      <c r="M168" s="525">
        <f t="shared" si="24"/>
        <v>1030216.3540077228</v>
      </c>
      <c r="N168" s="525">
        <f t="shared" si="24"/>
        <v>1031760.7618878772</v>
      </c>
      <c r="O168" s="525">
        <f t="shared" si="24"/>
        <v>1033336.0579256348</v>
      </c>
      <c r="P168" s="525">
        <f t="shared" si="24"/>
        <v>1034942.8598841475</v>
      </c>
      <c r="Q168" s="525">
        <f t="shared" si="24"/>
        <v>1036581.7978818305</v>
      </c>
      <c r="R168" s="525">
        <f t="shared" si="24"/>
        <v>1038253.5146394671</v>
      </c>
      <c r="S168" s="525">
        <f t="shared" si="24"/>
        <v>1039958.6657322564</v>
      </c>
      <c r="T168" s="525">
        <f t="shared" si="24"/>
        <v>1041697.9198469016</v>
      </c>
      <c r="U168" s="525">
        <f t="shared" si="24"/>
        <v>1043471.9590438396</v>
      </c>
      <c r="V168" s="525">
        <f t="shared" si="24"/>
        <v>1045281.4790247164</v>
      </c>
      <c r="W168" s="525">
        <f t="shared" si="24"/>
        <v>1047127.1894052108</v>
      </c>
      <c r="X168" s="525">
        <f t="shared" si="24"/>
        <v>1049009.813993315</v>
      </c>
    </row>
    <row r="169" spans="1:24" s="32" customFormat="1">
      <c r="A169" s="69"/>
      <c r="B169" s="90"/>
      <c r="C169" s="90"/>
      <c r="D169" s="526"/>
      <c r="E169" s="527"/>
      <c r="F169" s="527"/>
      <c r="G169" s="527"/>
      <c r="H169" s="527"/>
      <c r="I169" s="527"/>
      <c r="J169" s="527"/>
      <c r="K169" s="527"/>
      <c r="L169" s="527"/>
      <c r="M169" s="527"/>
      <c r="N169" s="527"/>
      <c r="O169" s="527"/>
      <c r="P169" s="527"/>
      <c r="Q169" s="527"/>
      <c r="R169" s="527"/>
      <c r="S169" s="527"/>
      <c r="T169" s="527"/>
      <c r="U169" s="527"/>
      <c r="V169" s="527"/>
      <c r="W169" s="527"/>
      <c r="X169" s="527"/>
    </row>
    <row r="170" spans="1:24" s="32" customFormat="1">
      <c r="A170" s="94" t="s">
        <v>137</v>
      </c>
      <c r="C170" s="69"/>
      <c r="D170" s="514">
        <v>0</v>
      </c>
      <c r="E170" s="515">
        <f>E160-E164</f>
        <v>-299391.66666666663</v>
      </c>
      <c r="F170" s="515">
        <f t="shared" ref="F170:X170" si="25">F156-F164</f>
        <v>224940.25143539428</v>
      </c>
      <c r="G170" s="515">
        <f t="shared" si="25"/>
        <v>345048.02846410219</v>
      </c>
      <c r="H170" s="515">
        <f t="shared" si="25"/>
        <v>349728.98903338437</v>
      </c>
      <c r="I170" s="515">
        <f t="shared" si="25"/>
        <v>354503.56881405192</v>
      </c>
      <c r="J170" s="515">
        <f t="shared" si="25"/>
        <v>574934.01139513275</v>
      </c>
      <c r="K170" s="515">
        <f t="shared" si="25"/>
        <v>583871.52541340364</v>
      </c>
      <c r="L170" s="515">
        <f t="shared" si="25"/>
        <v>588450.87092167162</v>
      </c>
      <c r="M170" s="515">
        <f t="shared" si="25"/>
        <v>593121.80334010534</v>
      </c>
      <c r="N170" s="515">
        <f t="shared" si="25"/>
        <v>597886.15440690727</v>
      </c>
      <c r="O170" s="515">
        <f t="shared" si="25"/>
        <v>659918.85220504273</v>
      </c>
      <c r="P170" s="515">
        <f t="shared" si="25"/>
        <v>669266.18584494619</v>
      </c>
      <c r="Q170" s="515">
        <f t="shared" si="25"/>
        <v>674322.15331184515</v>
      </c>
      <c r="R170" s="515">
        <f t="shared" si="25"/>
        <v>679479.24012808187</v>
      </c>
      <c r="S170" s="515">
        <f t="shared" si="25"/>
        <v>684739.46868064394</v>
      </c>
      <c r="T170" s="515">
        <f t="shared" si="25"/>
        <v>747441.39847341843</v>
      </c>
      <c r="U170" s="515">
        <f t="shared" si="25"/>
        <v>757241.20609034121</v>
      </c>
      <c r="V170" s="515">
        <f t="shared" si="25"/>
        <v>762823.40271214885</v>
      </c>
      <c r="W170" s="515">
        <f t="shared" si="25"/>
        <v>768517.24326639203</v>
      </c>
      <c r="X170" s="515">
        <f t="shared" si="25"/>
        <v>774324.96063171979</v>
      </c>
    </row>
    <row r="171" spans="1:24" ht="16.5" customHeight="1">
      <c r="A171" s="88" t="s">
        <v>128</v>
      </c>
      <c r="B171" s="98"/>
      <c r="C171" s="98"/>
      <c r="D171" s="528">
        <v>0</v>
      </c>
      <c r="E171" s="529">
        <f>E160-E168</f>
        <v>-1252387.6266666665</v>
      </c>
      <c r="F171" s="529">
        <f t="shared" ref="F171:X171" si="26">F160-F168</f>
        <v>-728055.70856460568</v>
      </c>
      <c r="G171" s="529">
        <f t="shared" si="26"/>
        <v>-607947.93153589778</v>
      </c>
      <c r="H171" s="529">
        <f t="shared" si="26"/>
        <v>-603266.9709666156</v>
      </c>
      <c r="I171" s="529">
        <f t="shared" si="26"/>
        <v>-598492.39118594804</v>
      </c>
      <c r="J171" s="529">
        <f t="shared" si="26"/>
        <v>-378061.94860486721</v>
      </c>
      <c r="K171" s="529">
        <f t="shared" si="26"/>
        <v>-369124.43458659633</v>
      </c>
      <c r="L171" s="529">
        <f t="shared" si="26"/>
        <v>-364545.08907832834</v>
      </c>
      <c r="M171" s="529">
        <f t="shared" si="26"/>
        <v>-359874.15665989462</v>
      </c>
      <c r="N171" s="529">
        <f t="shared" si="26"/>
        <v>-355109.80559309269</v>
      </c>
      <c r="O171" s="529">
        <f t="shared" si="26"/>
        <v>-293077.10779495724</v>
      </c>
      <c r="P171" s="529">
        <f t="shared" si="26"/>
        <v>-283729.77415505378</v>
      </c>
      <c r="Q171" s="529">
        <f t="shared" si="26"/>
        <v>-278673.80668815481</v>
      </c>
      <c r="R171" s="529">
        <f t="shared" si="26"/>
        <v>-273516.71987191809</v>
      </c>
      <c r="S171" s="529">
        <f t="shared" si="26"/>
        <v>-268256.49131935602</v>
      </c>
      <c r="T171" s="529">
        <f t="shared" si="26"/>
        <v>-205554.56152658153</v>
      </c>
      <c r="U171" s="529">
        <f t="shared" si="26"/>
        <v>-195754.75390965876</v>
      </c>
      <c r="V171" s="529">
        <f t="shared" si="26"/>
        <v>-190172.55728785112</v>
      </c>
      <c r="W171" s="529">
        <f t="shared" si="26"/>
        <v>-184478.71673360793</v>
      </c>
      <c r="X171" s="529">
        <f t="shared" si="26"/>
        <v>-178670.99936828017</v>
      </c>
    </row>
    <row r="172" spans="1:24" ht="16.5" customHeight="1">
      <c r="A172" s="88"/>
      <c r="B172" s="88"/>
      <c r="C172" s="88"/>
      <c r="D172" s="526"/>
      <c r="E172" s="527"/>
      <c r="F172" s="527"/>
      <c r="G172" s="527"/>
      <c r="H172" s="527"/>
      <c r="I172" s="527"/>
      <c r="J172" s="527"/>
      <c r="K172" s="527"/>
      <c r="L172" s="527"/>
      <c r="M172" s="527"/>
      <c r="N172" s="527"/>
      <c r="O172" s="527"/>
      <c r="P172" s="527"/>
      <c r="Q172" s="527"/>
      <c r="R172" s="527"/>
      <c r="S172" s="527"/>
      <c r="T172" s="527"/>
      <c r="U172" s="527"/>
      <c r="V172" s="527"/>
      <c r="W172" s="527"/>
      <c r="X172" s="527"/>
    </row>
    <row r="173" spans="1:24" ht="16.5" customHeight="1">
      <c r="A173" s="88" t="s">
        <v>129</v>
      </c>
      <c r="B173" s="632">
        <f>NPV(Cost_of_Money__DPC,E160:X160)</f>
        <v>12626624.201561129</v>
      </c>
      <c r="C173" s="88"/>
      <c r="D173" s="526"/>
      <c r="E173" s="527"/>
      <c r="F173" s="527"/>
      <c r="G173" s="527"/>
      <c r="H173" s="527"/>
      <c r="I173" s="527"/>
      <c r="J173" s="527"/>
      <c r="K173" s="527"/>
      <c r="L173" s="527"/>
      <c r="M173" s="527"/>
      <c r="N173" s="527"/>
      <c r="O173" s="527"/>
      <c r="P173" s="527"/>
      <c r="Q173" s="527"/>
      <c r="R173" s="527"/>
      <c r="S173" s="527"/>
      <c r="T173" s="527"/>
      <c r="U173" s="527"/>
      <c r="V173" s="527"/>
      <c r="W173" s="527"/>
      <c r="X173" s="527"/>
    </row>
    <row r="174" spans="1:24" ht="16.5" customHeight="1">
      <c r="A174" s="300" t="s">
        <v>130</v>
      </c>
      <c r="B174" s="733">
        <f>SUM(E171:X171)</f>
        <v>-7968751.5520979334</v>
      </c>
      <c r="C174" s="301"/>
      <c r="D174" s="530">
        <v>0</v>
      </c>
      <c r="E174" s="530">
        <f>E160-E168</f>
        <v>-1252387.6266666665</v>
      </c>
      <c r="F174" s="530">
        <f t="shared" ref="F174:X174" si="27">F160-F168</f>
        <v>-728055.70856460568</v>
      </c>
      <c r="G174" s="530">
        <f t="shared" si="27"/>
        <v>-607947.93153589778</v>
      </c>
      <c r="H174" s="530">
        <f t="shared" si="27"/>
        <v>-603266.9709666156</v>
      </c>
      <c r="I174" s="530">
        <f t="shared" si="27"/>
        <v>-598492.39118594804</v>
      </c>
      <c r="J174" s="530">
        <f t="shared" si="27"/>
        <v>-378061.94860486721</v>
      </c>
      <c r="K174" s="530">
        <f t="shared" si="27"/>
        <v>-369124.43458659633</v>
      </c>
      <c r="L174" s="530">
        <f t="shared" si="27"/>
        <v>-364545.08907832834</v>
      </c>
      <c r="M174" s="530">
        <f t="shared" si="27"/>
        <v>-359874.15665989462</v>
      </c>
      <c r="N174" s="530">
        <f t="shared" si="27"/>
        <v>-355109.80559309269</v>
      </c>
      <c r="O174" s="530">
        <f t="shared" si="27"/>
        <v>-293077.10779495724</v>
      </c>
      <c r="P174" s="530">
        <f t="shared" si="27"/>
        <v>-283729.77415505378</v>
      </c>
      <c r="Q174" s="530">
        <f t="shared" si="27"/>
        <v>-278673.80668815481</v>
      </c>
      <c r="R174" s="530">
        <f t="shared" si="27"/>
        <v>-273516.71987191809</v>
      </c>
      <c r="S174" s="530">
        <f t="shared" si="27"/>
        <v>-268256.49131935602</v>
      </c>
      <c r="T174" s="530">
        <f t="shared" si="27"/>
        <v>-205554.56152658153</v>
      </c>
      <c r="U174" s="530">
        <f t="shared" si="27"/>
        <v>-195754.75390965876</v>
      </c>
      <c r="V174" s="530">
        <f t="shared" si="27"/>
        <v>-190172.55728785112</v>
      </c>
      <c r="W174" s="530">
        <f t="shared" si="27"/>
        <v>-184478.71673360793</v>
      </c>
      <c r="X174" s="530">
        <f t="shared" si="27"/>
        <v>-178670.99936828017</v>
      </c>
    </row>
    <row r="175" spans="1:24" s="58" customFormat="1" ht="16.5" customHeight="1">
      <c r="A175" s="90" t="s">
        <v>32</v>
      </c>
      <c r="B175" s="358" t="e">
        <f>IRR(E174:X174)</f>
        <v>#NUM!</v>
      </c>
      <c r="C175" s="356"/>
      <c r="D175" s="502"/>
      <c r="E175" s="504"/>
      <c r="F175" s="504"/>
      <c r="G175" s="504"/>
      <c r="H175" s="504"/>
      <c r="I175" s="504"/>
      <c r="J175" s="504"/>
      <c r="K175" s="504"/>
      <c r="L175" s="504"/>
      <c r="M175" s="504"/>
      <c r="N175" s="504"/>
      <c r="O175" s="504"/>
      <c r="P175" s="504"/>
      <c r="Q175" s="504"/>
      <c r="R175" s="504"/>
      <c r="S175" s="504"/>
      <c r="T175" s="504"/>
      <c r="U175" s="504"/>
      <c r="V175" s="504"/>
      <c r="W175" s="504"/>
      <c r="X175" s="504"/>
    </row>
    <row r="176" spans="1:24">
      <c r="A176" s="30"/>
      <c r="B176" s="30"/>
      <c r="C176" s="30"/>
      <c r="D176" s="502"/>
      <c r="E176" s="512"/>
      <c r="F176" s="512"/>
      <c r="G176" s="512"/>
      <c r="H176" s="512"/>
      <c r="I176" s="512"/>
      <c r="J176" s="512"/>
      <c r="K176" s="512"/>
      <c r="L176" s="512"/>
      <c r="M176" s="512"/>
      <c r="N176" s="512"/>
      <c r="O176" s="512"/>
      <c r="P176" s="512"/>
      <c r="Q176" s="512"/>
      <c r="R176" s="512"/>
      <c r="S176" s="512"/>
      <c r="T176" s="512"/>
      <c r="U176" s="512"/>
      <c r="V176" s="512"/>
      <c r="W176" s="512"/>
      <c r="X176" s="512"/>
    </row>
    <row r="177" spans="1:24">
      <c r="A177" s="274" t="s">
        <v>28</v>
      </c>
      <c r="B177" s="275"/>
      <c r="C177" s="275"/>
      <c r="D177" s="531"/>
      <c r="E177" s="531"/>
      <c r="F177" s="531"/>
      <c r="G177" s="531"/>
      <c r="H177" s="531"/>
      <c r="I177" s="531"/>
      <c r="J177" s="531"/>
      <c r="K177" s="531"/>
      <c r="L177" s="531"/>
      <c r="M177" s="531"/>
      <c r="N177" s="531"/>
      <c r="O177" s="531"/>
      <c r="P177" s="531"/>
      <c r="Q177" s="531"/>
      <c r="R177" s="531"/>
      <c r="S177" s="531"/>
      <c r="T177" s="531"/>
      <c r="U177" s="531"/>
      <c r="V177" s="531"/>
      <c r="W177" s="531"/>
      <c r="X177" s="531"/>
    </row>
    <row r="178" spans="1:24">
      <c r="A178" s="30"/>
      <c r="B178" s="30"/>
      <c r="C178" s="30"/>
      <c r="D178" s="502"/>
      <c r="E178" s="512"/>
      <c r="F178" s="512"/>
      <c r="G178" s="512"/>
      <c r="H178" s="512"/>
      <c r="I178" s="512"/>
      <c r="J178" s="512"/>
      <c r="K178" s="512"/>
      <c r="L178" s="512"/>
      <c r="M178" s="512"/>
      <c r="N178" s="512"/>
      <c r="O178" s="512"/>
      <c r="P178" s="512"/>
      <c r="Q178" s="512"/>
      <c r="R178" s="512"/>
      <c r="S178" s="512"/>
      <c r="T178" s="512"/>
      <c r="U178" s="512"/>
      <c r="V178" s="512"/>
      <c r="W178" s="512"/>
      <c r="X178" s="512"/>
    </row>
    <row r="179" spans="1:24">
      <c r="A179" s="30" t="s">
        <v>300</v>
      </c>
      <c r="B179" s="30"/>
      <c r="C179" s="87"/>
      <c r="D179" s="502">
        <v>0</v>
      </c>
      <c r="E179" s="512"/>
      <c r="F179" s="512"/>
      <c r="G179" s="512"/>
      <c r="H179" s="512"/>
      <c r="I179" s="512"/>
      <c r="J179" s="512"/>
      <c r="K179" s="512"/>
      <c r="L179" s="512"/>
      <c r="M179" s="512"/>
      <c r="N179" s="512"/>
      <c r="O179" s="512"/>
      <c r="P179" s="512"/>
      <c r="Q179" s="512"/>
      <c r="R179" s="512"/>
      <c r="S179" s="512"/>
      <c r="T179" s="512"/>
      <c r="U179" s="512"/>
      <c r="V179" s="512"/>
      <c r="W179" s="512"/>
      <c r="X179" s="512"/>
    </row>
    <row r="180" spans="1:24">
      <c r="A180" s="30" t="s">
        <v>301</v>
      </c>
      <c r="B180" s="30"/>
      <c r="C180" s="30"/>
      <c r="D180" s="502">
        <v>0</v>
      </c>
      <c r="E180" s="512"/>
      <c r="F180" s="512"/>
      <c r="G180" s="512"/>
      <c r="H180" s="512"/>
      <c r="I180" s="512"/>
      <c r="J180" s="512"/>
      <c r="K180" s="512"/>
      <c r="L180" s="512"/>
      <c r="M180" s="512"/>
      <c r="N180" s="512"/>
      <c r="O180" s="512"/>
      <c r="P180" s="512"/>
      <c r="Q180" s="512"/>
      <c r="R180" s="512"/>
      <c r="S180" s="512"/>
      <c r="T180" s="512"/>
      <c r="U180" s="512"/>
      <c r="V180" s="512"/>
      <c r="W180" s="512"/>
      <c r="X180" s="512"/>
    </row>
    <row r="181" spans="1:24">
      <c r="A181" s="30"/>
      <c r="B181" s="30"/>
      <c r="C181" s="30"/>
      <c r="D181" s="502"/>
      <c r="E181" s="512"/>
      <c r="F181" s="512"/>
      <c r="G181" s="512"/>
      <c r="H181" s="512"/>
      <c r="I181" s="512"/>
      <c r="J181" s="512"/>
      <c r="K181" s="512"/>
      <c r="L181" s="512"/>
      <c r="M181" s="512"/>
      <c r="N181" s="512"/>
      <c r="O181" s="512"/>
      <c r="P181" s="512"/>
      <c r="Q181" s="512"/>
      <c r="R181" s="512"/>
      <c r="S181" s="512"/>
      <c r="T181" s="512"/>
      <c r="U181" s="512"/>
      <c r="V181" s="512"/>
      <c r="W181" s="512"/>
      <c r="X181" s="512"/>
    </row>
    <row r="182" spans="1:24">
      <c r="A182" s="30" t="s">
        <v>298</v>
      </c>
      <c r="B182" s="30"/>
      <c r="C182" s="30"/>
      <c r="D182" s="502">
        <v>0</v>
      </c>
      <c r="E182" s="512"/>
      <c r="F182" s="512"/>
      <c r="G182" s="512"/>
      <c r="H182" s="512"/>
      <c r="I182" s="512"/>
      <c r="J182" s="512"/>
      <c r="K182" s="512"/>
      <c r="L182" s="512"/>
      <c r="M182" s="512"/>
      <c r="N182" s="512"/>
      <c r="O182" s="512"/>
      <c r="P182" s="512"/>
      <c r="Q182" s="512"/>
      <c r="R182" s="512"/>
      <c r="S182" s="512"/>
      <c r="T182" s="512"/>
      <c r="U182" s="512"/>
      <c r="V182" s="512"/>
      <c r="W182" s="512"/>
      <c r="X182" s="512"/>
    </row>
    <row r="183" spans="1:24">
      <c r="A183" s="30" t="s">
        <v>299</v>
      </c>
      <c r="B183" s="30"/>
      <c r="C183" s="30"/>
      <c r="D183" s="502">
        <v>0</v>
      </c>
      <c r="E183" s="512"/>
      <c r="F183" s="512"/>
      <c r="G183" s="512"/>
      <c r="H183" s="512"/>
      <c r="I183" s="512"/>
      <c r="J183" s="512"/>
      <c r="K183" s="512"/>
      <c r="L183" s="512"/>
      <c r="M183" s="512"/>
      <c r="N183" s="512"/>
      <c r="O183" s="512"/>
      <c r="P183" s="512"/>
      <c r="Q183" s="512"/>
      <c r="R183" s="512"/>
      <c r="S183" s="512"/>
      <c r="T183" s="512"/>
      <c r="U183" s="512"/>
      <c r="V183" s="512"/>
      <c r="W183" s="512"/>
      <c r="X183" s="512"/>
    </row>
    <row r="184" spans="1:24">
      <c r="D184" s="502"/>
      <c r="E184" s="532"/>
      <c r="F184" s="532"/>
      <c r="G184" s="532"/>
      <c r="H184" s="532"/>
      <c r="I184" s="532"/>
      <c r="J184" s="532"/>
      <c r="K184" s="532"/>
      <c r="L184" s="532"/>
      <c r="M184" s="532"/>
      <c r="N184" s="532"/>
      <c r="O184" s="532"/>
      <c r="P184" s="532"/>
      <c r="Q184" s="532"/>
      <c r="R184" s="532"/>
      <c r="S184" s="532"/>
      <c r="T184" s="532"/>
      <c r="U184" s="532"/>
      <c r="V184" s="532"/>
      <c r="W184" s="532"/>
      <c r="X184" s="532"/>
    </row>
    <row r="185" spans="1:24">
      <c r="A185" s="131"/>
      <c r="B185" s="131"/>
      <c r="C185" s="131"/>
      <c r="D185" s="493"/>
      <c r="E185" s="334"/>
      <c r="F185" s="334"/>
      <c r="G185" s="334"/>
      <c r="H185" s="334"/>
      <c r="I185" s="334"/>
      <c r="J185" s="334"/>
      <c r="K185" s="334"/>
      <c r="L185" s="334"/>
      <c r="M185" s="334"/>
      <c r="N185" s="334"/>
      <c r="O185" s="334"/>
      <c r="P185" s="334"/>
      <c r="Q185" s="334"/>
      <c r="R185" s="334"/>
      <c r="S185" s="334"/>
      <c r="T185" s="334"/>
      <c r="U185" s="334"/>
      <c r="V185" s="334"/>
      <c r="W185" s="334"/>
      <c r="X185" s="334"/>
    </row>
    <row r="186" spans="1:24">
      <c r="D186" s="494"/>
      <c r="E186" s="327"/>
      <c r="F186" s="327"/>
      <c r="G186" s="327"/>
      <c r="H186" s="327"/>
      <c r="I186" s="327"/>
      <c r="J186" s="327"/>
      <c r="K186" s="327"/>
      <c r="L186" s="327"/>
      <c r="M186" s="327"/>
      <c r="N186" s="327"/>
      <c r="O186" s="327"/>
      <c r="P186" s="327"/>
      <c r="Q186" s="327"/>
      <c r="R186" s="327"/>
      <c r="S186" s="327"/>
      <c r="T186" s="327"/>
      <c r="U186" s="327"/>
      <c r="V186" s="327"/>
      <c r="W186" s="327"/>
      <c r="X186" s="327"/>
    </row>
    <row r="187" spans="1:24">
      <c r="A187"/>
      <c r="D187" s="494"/>
      <c r="E187" s="327"/>
      <c r="F187" s="327"/>
      <c r="G187" s="327"/>
      <c r="H187" s="327"/>
      <c r="I187" s="327"/>
      <c r="J187" s="327"/>
      <c r="K187" s="327"/>
      <c r="L187" s="327"/>
      <c r="M187" s="327"/>
      <c r="N187" s="327"/>
      <c r="O187" s="327"/>
      <c r="P187" s="327"/>
      <c r="Q187" s="327"/>
      <c r="R187" s="327"/>
      <c r="S187" s="327"/>
      <c r="T187" s="327"/>
      <c r="U187" s="327"/>
      <c r="V187" s="327"/>
      <c r="W187" s="327"/>
      <c r="X187" s="327"/>
    </row>
    <row r="188" spans="1:24">
      <c r="A188"/>
      <c r="D188" s="494"/>
      <c r="E188" s="327"/>
      <c r="F188" s="327"/>
      <c r="G188" s="327"/>
      <c r="H188" s="327"/>
      <c r="I188" s="327"/>
      <c r="J188" s="327"/>
      <c r="K188" s="327"/>
      <c r="L188" s="327"/>
      <c r="M188" s="327"/>
      <c r="N188" s="327"/>
      <c r="O188" s="327"/>
      <c r="P188" s="327"/>
      <c r="Q188" s="327"/>
      <c r="R188" s="327"/>
      <c r="S188" s="327"/>
      <c r="T188" s="327"/>
      <c r="U188" s="327"/>
      <c r="V188" s="327"/>
      <c r="W188" s="327"/>
      <c r="X188" s="327"/>
    </row>
    <row r="189" spans="1:24">
      <c r="D189" s="494"/>
      <c r="E189" s="327"/>
      <c r="F189" s="327"/>
      <c r="G189" s="327"/>
      <c r="H189" s="362"/>
      <c r="I189" s="327"/>
      <c r="J189" s="327"/>
      <c r="K189" s="327"/>
      <c r="L189" s="327"/>
      <c r="M189" s="327"/>
      <c r="N189" s="327"/>
      <c r="O189" s="327"/>
      <c r="P189" s="327"/>
      <c r="Q189" s="327"/>
      <c r="R189" s="327"/>
      <c r="S189" s="327"/>
      <c r="T189" s="327"/>
      <c r="U189" s="327"/>
      <c r="V189" s="327"/>
      <c r="W189" s="327"/>
      <c r="X189" s="327"/>
    </row>
    <row r="190" spans="1:24">
      <c r="D190" s="326"/>
      <c r="E190" s="327"/>
      <c r="F190" s="327"/>
      <c r="G190" s="327"/>
      <c r="H190" s="359"/>
      <c r="I190" s="327"/>
      <c r="J190" s="327"/>
      <c r="K190" s="327"/>
      <c r="L190" s="327"/>
      <c r="M190" s="327"/>
      <c r="N190" s="327"/>
      <c r="O190" s="327"/>
      <c r="P190" s="327"/>
      <c r="Q190" s="327"/>
      <c r="R190" s="327"/>
      <c r="S190" s="327"/>
      <c r="T190" s="327"/>
      <c r="U190" s="327"/>
      <c r="V190" s="327"/>
      <c r="W190" s="327"/>
      <c r="X190" s="327"/>
    </row>
    <row r="191" spans="1:24">
      <c r="H191" s="305"/>
    </row>
    <row r="192" spans="1:24">
      <c r="H192" s="30"/>
    </row>
    <row r="193" spans="8:8">
      <c r="H193" s="87"/>
    </row>
    <row r="195" spans="8:8">
      <c r="H195" s="360"/>
    </row>
    <row r="196" spans="8:8">
      <c r="H196" s="361"/>
    </row>
  </sheetData>
  <pageMargins left="0.7" right="0.7" top="0.75" bottom="0.75" header="0.3" footer="0.3"/>
  <pageSetup paperSize="9" scale="2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XFD196"/>
  <sheetViews>
    <sheetView topLeftCell="A70" zoomScale="62" zoomScaleNormal="55" workbookViewId="0">
      <selection activeCell="A117" sqref="A117:XFD117"/>
    </sheetView>
  </sheetViews>
  <sheetFormatPr defaultColWidth="9" defaultRowHeight="16.5"/>
  <cols>
    <col min="1" max="1" width="71.875" style="18" customWidth="1"/>
    <col min="2" max="2" width="17.625" style="18" bestFit="1" customWidth="1"/>
    <col min="3" max="3" width="8" style="18" bestFit="1" customWidth="1"/>
    <col min="4" max="4" width="8" style="262" bestFit="1" customWidth="1"/>
    <col min="5" max="6" width="17.25" style="18" bestFit="1" customWidth="1"/>
    <col min="7" max="8" width="17.625" style="18" bestFit="1" customWidth="1"/>
    <col min="9" max="9" width="17.25" style="18" bestFit="1" customWidth="1"/>
    <col min="10" max="11" width="17.625" style="18" bestFit="1" customWidth="1"/>
    <col min="12" max="12" width="17.25" style="18" bestFit="1" customWidth="1"/>
    <col min="13" max="13" width="16.875" style="18" bestFit="1" customWidth="1"/>
    <col min="14" max="15" width="17.25" style="18" bestFit="1" customWidth="1"/>
    <col min="16" max="16" width="17.625" style="18" bestFit="1" customWidth="1"/>
    <col min="17" max="17" width="17.25" style="18" bestFit="1" customWidth="1"/>
    <col min="18" max="19" width="17.625" style="18" bestFit="1" customWidth="1"/>
    <col min="20" max="21" width="17.25" style="18" bestFit="1" customWidth="1"/>
    <col min="22" max="23" width="17.625" style="18" bestFit="1" customWidth="1"/>
    <col min="24" max="24" width="17.25" style="18" bestFit="1" customWidth="1"/>
    <col min="25" max="25" width="22.625" style="18" bestFit="1" customWidth="1"/>
    <col min="26" max="16384" width="9" style="18"/>
  </cols>
  <sheetData>
    <row r="1" spans="1:25" ht="18.75" thickBot="1">
      <c r="A1" s="11" t="str">
        <f>Intro!A1</f>
        <v>Town of Bar Harbor</v>
      </c>
      <c r="B1" s="27"/>
      <c r="C1" s="17"/>
      <c r="D1" s="260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</row>
    <row r="2" spans="1:25" ht="17.25" thickBot="1">
      <c r="A2" s="380" t="str">
        <f>Intro!A2</f>
        <v>Ferry Property Business Plan</v>
      </c>
      <c r="B2" s="13"/>
      <c r="C2" s="17"/>
      <c r="D2" s="260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</row>
    <row r="3" spans="1:25" s="381" customFormat="1" ht="14.25" thickBot="1">
      <c r="A3" s="384" t="str">
        <f>Intro!A3</f>
        <v>05.23.2018</v>
      </c>
      <c r="B3" s="304"/>
      <c r="C3" s="387"/>
      <c r="D3" s="388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7"/>
      <c r="X3" s="387"/>
    </row>
    <row r="4" spans="1:25" s="381" customFormat="1" ht="13.5">
      <c r="A4" s="384" t="str">
        <f ca="1">Intro!A4</f>
        <v>Town of Bar Harbor</v>
      </c>
      <c r="B4" s="382"/>
      <c r="C4" s="383">
        <f ca="1">NOW()</f>
        <v>43242.835659143515</v>
      </c>
      <c r="D4" s="388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  <c r="Q4" s="387"/>
      <c r="R4" s="387"/>
      <c r="S4" s="387"/>
      <c r="T4" s="387"/>
      <c r="U4" s="387"/>
      <c r="V4" s="387"/>
      <c r="W4" s="387"/>
      <c r="X4" s="387"/>
    </row>
    <row r="5" spans="1:25">
      <c r="A5" s="244" t="s">
        <v>343</v>
      </c>
      <c r="B5" s="244"/>
      <c r="C5" s="245"/>
      <c r="D5" s="261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</row>
    <row r="6" spans="1:25">
      <c r="D6" s="485"/>
    </row>
    <row r="7" spans="1:25">
      <c r="A7" s="22"/>
      <c r="B7" s="71"/>
      <c r="C7" s="71"/>
      <c r="D7" s="72">
        <f>'Cruise Projections'!T7</f>
        <v>2018</v>
      </c>
      <c r="E7" s="72">
        <f>'Cruise Projections'!U7</f>
        <v>2019</v>
      </c>
      <c r="F7" s="72">
        <f>'Cruise Projections'!V7</f>
        <v>2020</v>
      </c>
      <c r="G7" s="72">
        <f>'Cruise Projections'!W7</f>
        <v>2021</v>
      </c>
      <c r="H7" s="72">
        <f>'Cruise Projections'!X7</f>
        <v>2022</v>
      </c>
      <c r="I7" s="72">
        <f>'Cruise Projections'!Y7</f>
        <v>2023</v>
      </c>
      <c r="J7" s="72">
        <f>'Cruise Projections'!Z7</f>
        <v>2024</v>
      </c>
      <c r="K7" s="72">
        <f>'Cruise Projections'!AA7</f>
        <v>2025</v>
      </c>
      <c r="L7" s="72">
        <f>'Cruise Projections'!AB7</f>
        <v>2026</v>
      </c>
      <c r="M7" s="72">
        <f>'Cruise Projections'!AC7</f>
        <v>2027</v>
      </c>
      <c r="N7" s="72">
        <f>'Cruise Projections'!AD7</f>
        <v>2028</v>
      </c>
      <c r="O7" s="72">
        <f>'Cruise Projections'!AE7</f>
        <v>2029</v>
      </c>
      <c r="P7" s="72">
        <f>'Cruise Projections'!AF7</f>
        <v>2030</v>
      </c>
      <c r="Q7" s="72">
        <f>'Cruise Projections'!AG7</f>
        <v>2031</v>
      </c>
      <c r="R7" s="72">
        <f>'Cruise Projections'!AH7</f>
        <v>2032</v>
      </c>
      <c r="S7" s="72">
        <f>'Cruise Projections'!AI7</f>
        <v>2033</v>
      </c>
      <c r="T7" s="72">
        <f>'Cruise Projections'!AJ7</f>
        <v>2034</v>
      </c>
      <c r="U7" s="72">
        <f>'Cruise Projections'!AK7</f>
        <v>2035</v>
      </c>
      <c r="V7" s="72">
        <f>'Cruise Projections'!AL7</f>
        <v>2036</v>
      </c>
      <c r="W7" s="72">
        <f>'Cruise Projections'!AM7</f>
        <v>2037</v>
      </c>
      <c r="X7" s="72">
        <f>'Cruise Projections'!AN7</f>
        <v>2038</v>
      </c>
    </row>
    <row r="8" spans="1:25" ht="17.25" thickBot="1">
      <c r="D8" s="488"/>
    </row>
    <row r="9" spans="1:25" ht="17.25" thickBot="1">
      <c r="A9" s="117" t="s">
        <v>34</v>
      </c>
      <c r="B9" s="484" t="str">
        <f>'Cruise Projections'!A95</f>
        <v>Scenario 6 - All</v>
      </c>
      <c r="D9" s="489"/>
      <c r="E9" s="327"/>
      <c r="F9" s="327"/>
      <c r="G9" s="327"/>
      <c r="H9" s="327"/>
      <c r="I9" s="327"/>
      <c r="J9" s="327"/>
      <c r="K9" s="327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</row>
    <row r="10" spans="1:25">
      <c r="D10" s="489"/>
      <c r="E10" s="327"/>
      <c r="F10" s="327"/>
      <c r="G10" s="327"/>
      <c r="H10" s="327"/>
      <c r="I10" s="327"/>
      <c r="J10" s="327"/>
      <c r="K10" s="327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</row>
    <row r="11" spans="1:25" s="279" customFormat="1" ht="14.25">
      <c r="A11" s="279" t="s">
        <v>83</v>
      </c>
      <c r="D11" s="490"/>
      <c r="E11" s="328"/>
      <c r="F11" s="328"/>
      <c r="G11" s="328"/>
      <c r="H11" s="328"/>
      <c r="I11" s="328"/>
      <c r="J11" s="328"/>
      <c r="K11" s="328"/>
      <c r="L11" s="328"/>
      <c r="M11" s="328"/>
      <c r="N11" s="328"/>
      <c r="O11" s="328"/>
      <c r="P11" s="328"/>
      <c r="Q11" s="328"/>
      <c r="R11" s="328"/>
      <c r="S11" s="328"/>
      <c r="T11" s="328"/>
      <c r="U11" s="328"/>
      <c r="V11" s="328"/>
      <c r="W11" s="328"/>
      <c r="X11" s="328"/>
    </row>
    <row r="12" spans="1:25">
      <c r="A12" s="53" t="str">
        <f>'Cruise Projections'!A67</f>
        <v>Passengers</v>
      </c>
      <c r="B12" s="21"/>
      <c r="C12" s="21"/>
      <c r="D12" s="486">
        <f>'Cruise Projections'!T67</f>
        <v>0</v>
      </c>
      <c r="E12" s="313">
        <v>0</v>
      </c>
      <c r="F12" s="313">
        <f>'Cruise Projections'!V97</f>
        <v>261573</v>
      </c>
      <c r="G12" s="313">
        <f>'Cruise Projections'!W97</f>
        <v>261573</v>
      </c>
      <c r="H12" s="313">
        <f>'Cruise Projections'!X97</f>
        <v>261573</v>
      </c>
      <c r="I12" s="313">
        <f>'Cruise Projections'!Y97</f>
        <v>261573</v>
      </c>
      <c r="J12" s="313">
        <f>'Cruise Projections'!Z97</f>
        <v>261573</v>
      </c>
      <c r="K12" s="313">
        <f>'Cruise Projections'!AA97</f>
        <v>261573</v>
      </c>
      <c r="L12" s="313">
        <f>'Cruise Projections'!AB97</f>
        <v>261573</v>
      </c>
      <c r="M12" s="313">
        <f>'Cruise Projections'!AC97</f>
        <v>261573</v>
      </c>
      <c r="N12" s="313">
        <f>'Cruise Projections'!AD97</f>
        <v>261573</v>
      </c>
      <c r="O12" s="313">
        <f>'Cruise Projections'!AE97</f>
        <v>261573</v>
      </c>
      <c r="P12" s="313">
        <f>'Cruise Projections'!AF97</f>
        <v>261573</v>
      </c>
      <c r="Q12" s="313">
        <f>'Cruise Projections'!AG97</f>
        <v>261573</v>
      </c>
      <c r="R12" s="313">
        <f>'Cruise Projections'!AH97</f>
        <v>261573</v>
      </c>
      <c r="S12" s="313">
        <f>'Cruise Projections'!AI97</f>
        <v>261573</v>
      </c>
      <c r="T12" s="313">
        <f>'Cruise Projections'!AJ97</f>
        <v>261573</v>
      </c>
      <c r="U12" s="313">
        <f>'Cruise Projections'!AK97</f>
        <v>261573</v>
      </c>
      <c r="V12" s="313">
        <f>'Cruise Projections'!AL97</f>
        <v>261573</v>
      </c>
      <c r="W12" s="313">
        <f>'Cruise Projections'!AM97</f>
        <v>261573</v>
      </c>
      <c r="X12" s="313">
        <f>'Cruise Projections'!AN97</f>
        <v>261573</v>
      </c>
      <c r="Y12" s="312"/>
    </row>
    <row r="13" spans="1:25">
      <c r="A13" s="53" t="str">
        <f>'Cruise Projections'!A68</f>
        <v>Calls</v>
      </c>
      <c r="B13" s="21"/>
      <c r="C13" s="21"/>
      <c r="D13" s="486">
        <f>'Cruise Projections'!T68</f>
        <v>0</v>
      </c>
      <c r="E13" s="313">
        <v>0</v>
      </c>
      <c r="F13" s="313">
        <f>'Cruise Projections'!V98</f>
        <v>172</v>
      </c>
      <c r="G13" s="313">
        <f>'Cruise Projections'!W98</f>
        <v>172</v>
      </c>
      <c r="H13" s="313">
        <f>'Cruise Projections'!X98</f>
        <v>172</v>
      </c>
      <c r="I13" s="313">
        <f>'Cruise Projections'!Y98</f>
        <v>172</v>
      </c>
      <c r="J13" s="313">
        <f>'Cruise Projections'!Z98</f>
        <v>172</v>
      </c>
      <c r="K13" s="313">
        <f>'Cruise Projections'!AA98</f>
        <v>172</v>
      </c>
      <c r="L13" s="313">
        <f>'Cruise Projections'!AB98</f>
        <v>172</v>
      </c>
      <c r="M13" s="313">
        <f>'Cruise Projections'!AC98</f>
        <v>172</v>
      </c>
      <c r="N13" s="313">
        <f>'Cruise Projections'!AD98</f>
        <v>172</v>
      </c>
      <c r="O13" s="313">
        <f>'Cruise Projections'!AE98</f>
        <v>172</v>
      </c>
      <c r="P13" s="313">
        <f>'Cruise Projections'!AF98</f>
        <v>172</v>
      </c>
      <c r="Q13" s="313">
        <f>'Cruise Projections'!AG98</f>
        <v>172</v>
      </c>
      <c r="R13" s="313">
        <f>'Cruise Projections'!AH98</f>
        <v>172</v>
      </c>
      <c r="S13" s="313">
        <f>'Cruise Projections'!AI98</f>
        <v>172</v>
      </c>
      <c r="T13" s="313">
        <f>'Cruise Projections'!AJ98</f>
        <v>172</v>
      </c>
      <c r="U13" s="313">
        <f>'Cruise Projections'!AK98</f>
        <v>172</v>
      </c>
      <c r="V13" s="313">
        <f>'Cruise Projections'!AL98</f>
        <v>172</v>
      </c>
      <c r="W13" s="313">
        <f>'Cruise Projections'!AM98</f>
        <v>172</v>
      </c>
      <c r="X13" s="313">
        <f>'Cruise Projections'!AN98</f>
        <v>172</v>
      </c>
      <c r="Y13" s="312"/>
    </row>
    <row r="14" spans="1:25">
      <c r="A14" s="53" t="str">
        <f>'Cruise Projections'!A69</f>
        <v>Passengers per Call</v>
      </c>
      <c r="B14" s="21"/>
      <c r="C14" s="21"/>
      <c r="D14" s="486">
        <f>'Cruise Projections'!T69</f>
        <v>0</v>
      </c>
      <c r="E14" s="313">
        <v>0</v>
      </c>
      <c r="F14" s="313">
        <f>'Cruise Projections'!V100</f>
        <v>1520.7732558139535</v>
      </c>
      <c r="G14" s="313">
        <f>'Cruise Projections'!W100</f>
        <v>1520.7732558139535</v>
      </c>
      <c r="H14" s="313">
        <f>'Cruise Projections'!X100</f>
        <v>1520.7732558139535</v>
      </c>
      <c r="I14" s="313">
        <f>'Cruise Projections'!Y100</f>
        <v>1520.7732558139535</v>
      </c>
      <c r="J14" s="313">
        <f>'Cruise Projections'!Z100</f>
        <v>1520.7732558139535</v>
      </c>
      <c r="K14" s="313">
        <f>'Cruise Projections'!AA100</f>
        <v>1520.7732558139535</v>
      </c>
      <c r="L14" s="313">
        <f>'Cruise Projections'!AB100</f>
        <v>1520.7732558139535</v>
      </c>
      <c r="M14" s="313">
        <f>'Cruise Projections'!AC100</f>
        <v>1520.7732558139535</v>
      </c>
      <c r="N14" s="313">
        <f>'Cruise Projections'!AD100</f>
        <v>1520.7732558139535</v>
      </c>
      <c r="O14" s="313">
        <f>'Cruise Projections'!AE100</f>
        <v>1520.7732558139535</v>
      </c>
      <c r="P14" s="313">
        <f>'Cruise Projections'!AF100</f>
        <v>1520.7732558139535</v>
      </c>
      <c r="Q14" s="313">
        <f>'Cruise Projections'!AG100</f>
        <v>1520.7732558139535</v>
      </c>
      <c r="R14" s="313">
        <f>'Cruise Projections'!AH100</f>
        <v>1520.7732558139535</v>
      </c>
      <c r="S14" s="313">
        <f>'Cruise Projections'!AI100</f>
        <v>1520.7732558139535</v>
      </c>
      <c r="T14" s="313">
        <f>'Cruise Projections'!AJ100</f>
        <v>1520.7732558139535</v>
      </c>
      <c r="U14" s="313">
        <f>'Cruise Projections'!AK100</f>
        <v>1520.7732558139535</v>
      </c>
      <c r="V14" s="313">
        <f>'Cruise Projections'!AL100</f>
        <v>1520.7732558139535</v>
      </c>
      <c r="W14" s="313">
        <f>'Cruise Projections'!AM100</f>
        <v>1520.7732558139535</v>
      </c>
      <c r="X14" s="313">
        <f>'Cruise Projections'!AN100</f>
        <v>1520.7732558139535</v>
      </c>
      <c r="Y14" s="312"/>
    </row>
    <row r="15" spans="1:25" s="96" customFormat="1">
      <c r="A15" s="54" t="s">
        <v>313</v>
      </c>
      <c r="B15" s="487"/>
      <c r="C15" s="487"/>
      <c r="D15" s="486">
        <f>'Cruise Projections'!T70</f>
        <v>0</v>
      </c>
      <c r="E15" s="313">
        <v>0</v>
      </c>
      <c r="F15" s="313">
        <f>'Shuttle Projections'!D24</f>
        <v>4120</v>
      </c>
      <c r="G15" s="313">
        <f>'Shuttle Projections'!E24</f>
        <v>4120</v>
      </c>
      <c r="H15" s="313">
        <f>'Shuttle Projections'!F24</f>
        <v>4120</v>
      </c>
      <c r="I15" s="313">
        <f>'Shuttle Projections'!G24</f>
        <v>4120</v>
      </c>
      <c r="J15" s="313">
        <f>'Shuttle Projections'!H24</f>
        <v>4120</v>
      </c>
      <c r="K15" s="313">
        <f>'Shuttle Projections'!I24</f>
        <v>4120</v>
      </c>
      <c r="L15" s="313">
        <f>'Shuttle Projections'!J24</f>
        <v>4120</v>
      </c>
      <c r="M15" s="313">
        <f>'Shuttle Projections'!K24</f>
        <v>4120</v>
      </c>
      <c r="N15" s="313">
        <f>'Shuttle Projections'!L24</f>
        <v>4120</v>
      </c>
      <c r="O15" s="313">
        <f>'Shuttle Projections'!M24</f>
        <v>4120</v>
      </c>
      <c r="P15" s="313">
        <f>'Shuttle Projections'!N24</f>
        <v>4120</v>
      </c>
      <c r="Q15" s="313">
        <f>'Shuttle Projections'!O24</f>
        <v>4120</v>
      </c>
      <c r="R15" s="313">
        <f>'Shuttle Projections'!P24</f>
        <v>4120</v>
      </c>
      <c r="S15" s="313">
        <f>'Shuttle Projections'!Q24</f>
        <v>4120</v>
      </c>
      <c r="T15" s="313">
        <f>'Shuttle Projections'!R24</f>
        <v>4120</v>
      </c>
      <c r="U15" s="313">
        <f>'Shuttle Projections'!S24</f>
        <v>4120</v>
      </c>
      <c r="V15" s="313">
        <f>'Shuttle Projections'!T24</f>
        <v>4120</v>
      </c>
      <c r="W15" s="313">
        <f>'Shuttle Projections'!U24</f>
        <v>4120</v>
      </c>
      <c r="X15" s="313">
        <f>'Shuttle Projections'!V24</f>
        <v>4120</v>
      </c>
      <c r="Y15" s="313"/>
    </row>
    <row r="16" spans="1:25">
      <c r="A16" s="54"/>
      <c r="B16" s="21"/>
      <c r="C16" s="21"/>
      <c r="D16" s="486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</row>
    <row r="17" spans="1:25" s="547" customFormat="1" ht="14.25">
      <c r="A17" s="549" t="s">
        <v>163</v>
      </c>
      <c r="B17" s="550"/>
      <c r="C17" s="550"/>
      <c r="D17" s="610"/>
      <c r="E17" s="551"/>
      <c r="F17" s="551"/>
      <c r="G17" s="551"/>
      <c r="H17" s="551"/>
      <c r="I17" s="551"/>
      <c r="J17" s="551"/>
      <c r="K17" s="551"/>
      <c r="L17" s="551"/>
      <c r="M17" s="551"/>
      <c r="N17" s="551"/>
      <c r="O17" s="551"/>
      <c r="P17" s="551"/>
      <c r="Q17" s="551"/>
      <c r="R17" s="551"/>
      <c r="S17" s="551"/>
      <c r="T17" s="551"/>
      <c r="U17" s="551"/>
      <c r="V17" s="551"/>
      <c r="W17" s="551"/>
      <c r="X17" s="551"/>
    </row>
    <row r="18" spans="1:25" s="341" customFormat="1">
      <c r="A18" s="552" t="str">
        <f>'International Ferry Projections'!A11</f>
        <v>Passengers</v>
      </c>
      <c r="B18" s="553"/>
      <c r="C18" s="553"/>
      <c r="D18" s="554">
        <f>'International Ferry Projections'!B11</f>
        <v>0</v>
      </c>
      <c r="E18" s="555">
        <f>'International Ferry Projections'!C11</f>
        <v>60000</v>
      </c>
      <c r="F18" s="555">
        <f>'International Ferry Projections'!D11</f>
        <v>70000</v>
      </c>
      <c r="G18" s="555">
        <f>'International Ferry Projections'!E11</f>
        <v>80000</v>
      </c>
      <c r="H18" s="555">
        <f>'International Ferry Projections'!F11</f>
        <v>80000</v>
      </c>
      <c r="I18" s="555">
        <f>'International Ferry Projections'!G11</f>
        <v>80000</v>
      </c>
      <c r="J18" s="555">
        <f>'International Ferry Projections'!H11</f>
        <v>80000</v>
      </c>
      <c r="K18" s="555">
        <f>'International Ferry Projections'!I11</f>
        <v>80000</v>
      </c>
      <c r="L18" s="555">
        <f>'International Ferry Projections'!J11</f>
        <v>80000</v>
      </c>
      <c r="M18" s="555">
        <f>'International Ferry Projections'!K11</f>
        <v>80000</v>
      </c>
      <c r="N18" s="555">
        <f>'International Ferry Projections'!L11</f>
        <v>80000</v>
      </c>
      <c r="O18" s="555">
        <f>'International Ferry Projections'!M11</f>
        <v>80000</v>
      </c>
      <c r="P18" s="555">
        <f>'International Ferry Projections'!N11</f>
        <v>80000</v>
      </c>
      <c r="Q18" s="555">
        <f>'International Ferry Projections'!O11</f>
        <v>80000</v>
      </c>
      <c r="R18" s="555">
        <f>'International Ferry Projections'!P11</f>
        <v>80000</v>
      </c>
      <c r="S18" s="555">
        <f>'International Ferry Projections'!Q11</f>
        <v>80000</v>
      </c>
      <c r="T18" s="555">
        <f>'International Ferry Projections'!R11</f>
        <v>80000</v>
      </c>
      <c r="U18" s="555">
        <f>'International Ferry Projections'!S11</f>
        <v>80000</v>
      </c>
      <c r="V18" s="555">
        <f>'International Ferry Projections'!T11</f>
        <v>80000</v>
      </c>
      <c r="W18" s="555">
        <f>'International Ferry Projections'!U11</f>
        <v>80000</v>
      </c>
      <c r="X18" s="555">
        <f>'International Ferry Projections'!V11</f>
        <v>80000</v>
      </c>
    </row>
    <row r="19" spans="1:25" s="341" customFormat="1">
      <c r="A19" s="552" t="str">
        <f>'International Ferry Projections'!A12</f>
        <v>Cars</v>
      </c>
      <c r="B19" s="553"/>
      <c r="C19" s="553"/>
      <c r="D19" s="554">
        <f>'International Ferry Projections'!B12</f>
        <v>0</v>
      </c>
      <c r="E19" s="555">
        <f>'International Ferry Projections'!C12</f>
        <v>24000</v>
      </c>
      <c r="F19" s="555">
        <f>'International Ferry Projections'!D12</f>
        <v>28000</v>
      </c>
      <c r="G19" s="555">
        <f>'International Ferry Projections'!E12</f>
        <v>32000</v>
      </c>
      <c r="H19" s="555">
        <f>'International Ferry Projections'!F12</f>
        <v>32000</v>
      </c>
      <c r="I19" s="555">
        <f>'International Ferry Projections'!G12</f>
        <v>32000</v>
      </c>
      <c r="J19" s="555">
        <f>'International Ferry Projections'!H12</f>
        <v>32000</v>
      </c>
      <c r="K19" s="555">
        <f>'International Ferry Projections'!I12</f>
        <v>32000</v>
      </c>
      <c r="L19" s="555">
        <f>'International Ferry Projections'!J12</f>
        <v>32000</v>
      </c>
      <c r="M19" s="555">
        <f>'International Ferry Projections'!K12</f>
        <v>32000</v>
      </c>
      <c r="N19" s="555">
        <f>'International Ferry Projections'!L12</f>
        <v>32000</v>
      </c>
      <c r="O19" s="555">
        <f>'International Ferry Projections'!M12</f>
        <v>32000</v>
      </c>
      <c r="P19" s="555">
        <f>'International Ferry Projections'!N12</f>
        <v>32000</v>
      </c>
      <c r="Q19" s="555">
        <f>'International Ferry Projections'!O12</f>
        <v>32000</v>
      </c>
      <c r="R19" s="555">
        <f>'International Ferry Projections'!P12</f>
        <v>32000</v>
      </c>
      <c r="S19" s="555">
        <f>'International Ferry Projections'!Q12</f>
        <v>32000</v>
      </c>
      <c r="T19" s="555">
        <f>'International Ferry Projections'!R12</f>
        <v>32000</v>
      </c>
      <c r="U19" s="555">
        <f>'International Ferry Projections'!S12</f>
        <v>32000</v>
      </c>
      <c r="V19" s="555">
        <f>'International Ferry Projections'!T12</f>
        <v>32000</v>
      </c>
      <c r="W19" s="555">
        <f>'International Ferry Projections'!U12</f>
        <v>32000</v>
      </c>
      <c r="X19" s="555">
        <f>'International Ferry Projections'!V12</f>
        <v>32000</v>
      </c>
    </row>
    <row r="20" spans="1:25" s="341" customFormat="1">
      <c r="A20" s="552" t="str">
        <f>'International Ferry Projections'!A13</f>
        <v>Buses</v>
      </c>
      <c r="B20" s="553"/>
      <c r="C20" s="553"/>
      <c r="D20" s="554">
        <f>'International Ferry Projections'!B13</f>
        <v>0</v>
      </c>
      <c r="E20" s="555">
        <f>'International Ferry Projections'!C13</f>
        <v>40</v>
      </c>
      <c r="F20" s="555">
        <f>'International Ferry Projections'!D13</f>
        <v>50</v>
      </c>
      <c r="G20" s="555">
        <f>'International Ferry Projections'!E13</f>
        <v>60</v>
      </c>
      <c r="H20" s="555">
        <f>'International Ferry Projections'!F13</f>
        <v>60</v>
      </c>
      <c r="I20" s="555">
        <f>'International Ferry Projections'!G13</f>
        <v>60</v>
      </c>
      <c r="J20" s="555">
        <f>'International Ferry Projections'!H13</f>
        <v>60</v>
      </c>
      <c r="K20" s="555">
        <f>'International Ferry Projections'!I13</f>
        <v>60</v>
      </c>
      <c r="L20" s="555">
        <f>'International Ferry Projections'!J13</f>
        <v>60</v>
      </c>
      <c r="M20" s="555">
        <f>'International Ferry Projections'!K13</f>
        <v>60</v>
      </c>
      <c r="N20" s="555">
        <f>'International Ferry Projections'!L13</f>
        <v>60</v>
      </c>
      <c r="O20" s="555">
        <f>'International Ferry Projections'!M13</f>
        <v>60</v>
      </c>
      <c r="P20" s="555">
        <f>'International Ferry Projections'!N13</f>
        <v>60</v>
      </c>
      <c r="Q20" s="555">
        <f>'International Ferry Projections'!O13</f>
        <v>60</v>
      </c>
      <c r="R20" s="555">
        <f>'International Ferry Projections'!P13</f>
        <v>60</v>
      </c>
      <c r="S20" s="555">
        <f>'International Ferry Projections'!Q13</f>
        <v>60</v>
      </c>
      <c r="T20" s="555">
        <f>'International Ferry Projections'!R13</f>
        <v>60</v>
      </c>
      <c r="U20" s="555">
        <f>'International Ferry Projections'!S13</f>
        <v>60</v>
      </c>
      <c r="V20" s="555">
        <f>'International Ferry Projections'!T13</f>
        <v>60</v>
      </c>
      <c r="W20" s="555">
        <f>'International Ferry Projections'!U13</f>
        <v>60</v>
      </c>
      <c r="X20" s="555">
        <f>'International Ferry Projections'!V13</f>
        <v>60</v>
      </c>
    </row>
    <row r="21" spans="1:25">
      <c r="A21" s="54"/>
      <c r="B21" s="21"/>
      <c r="C21" s="21"/>
      <c r="D21" s="486"/>
      <c r="E21" s="313"/>
      <c r="F21" s="313"/>
      <c r="G21" s="313"/>
      <c r="H21" s="313"/>
      <c r="I21" s="313"/>
      <c r="J21" s="313"/>
      <c r="K21" s="313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</row>
    <row r="22" spans="1:25" s="582" customFormat="1">
      <c r="A22" s="293" t="str">
        <f>'BH Tariffs'!A30</f>
        <v>Local Ferry</v>
      </c>
      <c r="B22" s="581"/>
      <c r="C22" s="581"/>
      <c r="D22" s="486">
        <v>0</v>
      </c>
      <c r="E22" s="329"/>
      <c r="F22" s="329"/>
      <c r="G22" s="329"/>
      <c r="H22" s="329"/>
      <c r="I22" s="329"/>
      <c r="J22" s="329"/>
      <c r="K22" s="329"/>
      <c r="L22" s="329"/>
      <c r="M22" s="329"/>
      <c r="N22" s="329"/>
      <c r="O22" s="329"/>
      <c r="P22" s="329"/>
      <c r="Q22" s="329"/>
      <c r="R22" s="329"/>
      <c r="S22" s="329"/>
      <c r="T22" s="329"/>
      <c r="U22" s="329"/>
      <c r="V22" s="329"/>
      <c r="W22" s="329"/>
      <c r="X22" s="329"/>
    </row>
    <row r="23" spans="1:25" s="96" customFormat="1">
      <c r="A23" s="54" t="str">
        <f>'BH Tariffs'!A31</f>
        <v>Dock Rent (6 Months Only)</v>
      </c>
      <c r="B23" s="487"/>
      <c r="C23" s="487"/>
      <c r="D23" s="486">
        <v>0</v>
      </c>
      <c r="E23" s="623" t="s">
        <v>286</v>
      </c>
      <c r="F23" s="623" t="s">
        <v>286</v>
      </c>
      <c r="G23" s="623" t="s">
        <v>286</v>
      </c>
      <c r="H23" s="623" t="s">
        <v>286</v>
      </c>
      <c r="I23" s="623" t="s">
        <v>286</v>
      </c>
      <c r="J23" s="623" t="s">
        <v>286</v>
      </c>
      <c r="K23" s="623" t="s">
        <v>286</v>
      </c>
      <c r="L23" s="623" t="s">
        <v>286</v>
      </c>
      <c r="M23" s="623" t="s">
        <v>286</v>
      </c>
      <c r="N23" s="623" t="s">
        <v>286</v>
      </c>
      <c r="O23" s="623" t="s">
        <v>286</v>
      </c>
      <c r="P23" s="623" t="s">
        <v>286</v>
      </c>
      <c r="Q23" s="623" t="s">
        <v>286</v>
      </c>
      <c r="R23" s="623" t="s">
        <v>286</v>
      </c>
      <c r="S23" s="623" t="s">
        <v>286</v>
      </c>
      <c r="T23" s="623" t="s">
        <v>286</v>
      </c>
      <c r="U23" s="623" t="s">
        <v>286</v>
      </c>
      <c r="V23" s="623" t="s">
        <v>286</v>
      </c>
      <c r="W23" s="623" t="s">
        <v>286</v>
      </c>
      <c r="X23" s="623" t="s">
        <v>286</v>
      </c>
    </row>
    <row r="24" spans="1:25" s="341" customFormat="1">
      <c r="A24" s="552"/>
      <c r="B24" s="553"/>
      <c r="C24" s="553"/>
      <c r="D24" s="554"/>
      <c r="E24" s="555"/>
      <c r="F24" s="555"/>
      <c r="G24" s="555"/>
      <c r="H24" s="555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</row>
    <row r="25" spans="1:25" s="96" customFormat="1">
      <c r="A25" s="559" t="s">
        <v>227</v>
      </c>
      <c r="B25" s="487"/>
      <c r="C25" s="487"/>
      <c r="D25" s="486"/>
      <c r="E25" s="313"/>
      <c r="F25" s="313"/>
      <c r="G25" s="313"/>
      <c r="H25" s="313"/>
      <c r="I25" s="313"/>
      <c r="J25" s="313"/>
      <c r="K25" s="313"/>
      <c r="L25" s="313"/>
      <c r="M25" s="313"/>
      <c r="N25" s="313"/>
      <c r="O25" s="313"/>
      <c r="P25" s="313"/>
      <c r="Q25" s="313"/>
      <c r="R25" s="313"/>
      <c r="S25" s="313"/>
      <c r="T25" s="313"/>
      <c r="U25" s="313"/>
      <c r="V25" s="313"/>
      <c r="W25" s="313"/>
      <c r="X25" s="313"/>
    </row>
    <row r="26" spans="1:25">
      <c r="A26" s="54"/>
      <c r="B26" s="21"/>
      <c r="C26" s="21"/>
      <c r="D26" s="486"/>
      <c r="E26" s="313"/>
      <c r="F26" s="313"/>
      <c r="G26" s="313"/>
      <c r="H26" s="313"/>
      <c r="I26" s="313"/>
      <c r="J26" s="313"/>
      <c r="K26" s="313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</row>
    <row r="27" spans="1:25">
      <c r="A27" s="54" t="s">
        <v>420</v>
      </c>
      <c r="B27" s="21"/>
      <c r="C27" s="21"/>
      <c r="D27" s="486">
        <v>0</v>
      </c>
      <c r="E27" s="313">
        <f>'Marina Projections'!C9</f>
        <v>0</v>
      </c>
      <c r="F27" s="313">
        <f>'Marina Projections'!D9</f>
        <v>214</v>
      </c>
      <c r="G27" s="313">
        <f>'Marina Projections'!E9</f>
        <v>214</v>
      </c>
      <c r="H27" s="313">
        <f>'Marina Projections'!F9</f>
        <v>214</v>
      </c>
      <c r="I27" s="313">
        <f>'Marina Projections'!G9</f>
        <v>214</v>
      </c>
      <c r="J27" s="313">
        <f>'Marina Projections'!H9</f>
        <v>214</v>
      </c>
      <c r="K27" s="313">
        <f>'Marina Projections'!I9</f>
        <v>214</v>
      </c>
      <c r="L27" s="313">
        <f>'Marina Projections'!J9</f>
        <v>214</v>
      </c>
      <c r="M27" s="313">
        <f>'Marina Projections'!K9</f>
        <v>214</v>
      </c>
      <c r="N27" s="313">
        <f>'Marina Projections'!L9</f>
        <v>214</v>
      </c>
      <c r="O27" s="313">
        <f>'Marina Projections'!M9</f>
        <v>214</v>
      </c>
      <c r="P27" s="313">
        <f>'Marina Projections'!N9</f>
        <v>214</v>
      </c>
      <c r="Q27" s="313">
        <f>'Marina Projections'!O9</f>
        <v>214</v>
      </c>
      <c r="R27" s="313">
        <f>'Marina Projections'!P9</f>
        <v>214</v>
      </c>
      <c r="S27" s="313">
        <f>'Marina Projections'!Q9</f>
        <v>214</v>
      </c>
      <c r="T27" s="313">
        <f>'Marina Projections'!R9</f>
        <v>214</v>
      </c>
      <c r="U27" s="313">
        <f>'Marina Projections'!S9</f>
        <v>214</v>
      </c>
      <c r="V27" s="313">
        <f>'Marina Projections'!T9</f>
        <v>214</v>
      </c>
      <c r="W27" s="313">
        <f>'Marina Projections'!U9</f>
        <v>214</v>
      </c>
      <c r="X27" s="313">
        <f>'Marina Projections'!V9</f>
        <v>214</v>
      </c>
    </row>
    <row r="28" spans="1:25">
      <c r="A28" s="54" t="s">
        <v>205</v>
      </c>
      <c r="B28" s="21"/>
      <c r="C28" s="21"/>
      <c r="D28" s="486">
        <v>0</v>
      </c>
      <c r="E28" s="330">
        <v>0</v>
      </c>
      <c r="F28" s="330">
        <f>'Cruise Projections'!V99</f>
        <v>106</v>
      </c>
      <c r="G28" s="330">
        <f>'Cruise Projections'!W99</f>
        <v>106</v>
      </c>
      <c r="H28" s="330">
        <f>'Cruise Projections'!X99</f>
        <v>106</v>
      </c>
      <c r="I28" s="330">
        <f>'Cruise Projections'!Y99</f>
        <v>106</v>
      </c>
      <c r="J28" s="330">
        <f>'Cruise Projections'!Z99</f>
        <v>106</v>
      </c>
      <c r="K28" s="330">
        <f>'Cruise Projections'!AA99</f>
        <v>106</v>
      </c>
      <c r="L28" s="330">
        <f>'Cruise Projections'!AB99</f>
        <v>106</v>
      </c>
      <c r="M28" s="330">
        <f>'Cruise Projections'!AC99</f>
        <v>106</v>
      </c>
      <c r="N28" s="330">
        <f>'Cruise Projections'!AD99</f>
        <v>106</v>
      </c>
      <c r="O28" s="330">
        <f>'Cruise Projections'!AE99</f>
        <v>106</v>
      </c>
      <c r="P28" s="330">
        <f>'Cruise Projections'!AF99</f>
        <v>106</v>
      </c>
      <c r="Q28" s="330">
        <f>'Cruise Projections'!AG99</f>
        <v>106</v>
      </c>
      <c r="R28" s="330">
        <f>'Cruise Projections'!AH99</f>
        <v>106</v>
      </c>
      <c r="S28" s="330">
        <f>'Cruise Projections'!AI99</f>
        <v>106</v>
      </c>
      <c r="T28" s="330">
        <f>'Cruise Projections'!AJ99</f>
        <v>106</v>
      </c>
      <c r="U28" s="330">
        <f>'Cruise Projections'!AK99</f>
        <v>106</v>
      </c>
      <c r="V28" s="330">
        <f>'Cruise Projections'!AL99</f>
        <v>106</v>
      </c>
      <c r="W28" s="330">
        <f>'Cruise Projections'!AM99</f>
        <v>106</v>
      </c>
      <c r="X28" s="330">
        <f>'Cruise Projections'!AN99</f>
        <v>106</v>
      </c>
      <c r="Y28" s="32"/>
    </row>
    <row r="29" spans="1:25" s="341" customFormat="1">
      <c r="A29" s="552" t="s">
        <v>219</v>
      </c>
      <c r="B29" s="553"/>
      <c r="C29" s="553"/>
      <c r="D29" s="554">
        <v>0</v>
      </c>
      <c r="E29" s="560">
        <v>150</v>
      </c>
      <c r="F29" s="560">
        <f>E29</f>
        <v>150</v>
      </c>
      <c r="G29" s="560">
        <f t="shared" ref="G29:X29" si="0">F29</f>
        <v>150</v>
      </c>
      <c r="H29" s="560">
        <f t="shared" si="0"/>
        <v>150</v>
      </c>
      <c r="I29" s="560">
        <f t="shared" si="0"/>
        <v>150</v>
      </c>
      <c r="J29" s="560">
        <f t="shared" si="0"/>
        <v>150</v>
      </c>
      <c r="K29" s="560">
        <f t="shared" si="0"/>
        <v>150</v>
      </c>
      <c r="L29" s="560">
        <f t="shared" si="0"/>
        <v>150</v>
      </c>
      <c r="M29" s="560">
        <f t="shared" si="0"/>
        <v>150</v>
      </c>
      <c r="N29" s="560">
        <f t="shared" si="0"/>
        <v>150</v>
      </c>
      <c r="O29" s="560">
        <f t="shared" si="0"/>
        <v>150</v>
      </c>
      <c r="P29" s="560">
        <f t="shared" si="0"/>
        <v>150</v>
      </c>
      <c r="Q29" s="560">
        <f t="shared" si="0"/>
        <v>150</v>
      </c>
      <c r="R29" s="560">
        <f t="shared" si="0"/>
        <v>150</v>
      </c>
      <c r="S29" s="560">
        <f t="shared" si="0"/>
        <v>150</v>
      </c>
      <c r="T29" s="560">
        <f t="shared" si="0"/>
        <v>150</v>
      </c>
      <c r="U29" s="560">
        <f t="shared" si="0"/>
        <v>150</v>
      </c>
      <c r="V29" s="560">
        <f t="shared" si="0"/>
        <v>150</v>
      </c>
      <c r="W29" s="560">
        <f t="shared" si="0"/>
        <v>150</v>
      </c>
      <c r="X29" s="560">
        <f t="shared" si="0"/>
        <v>150</v>
      </c>
      <c r="Y29" s="561"/>
    </row>
    <row r="30" spans="1:25" s="341" customFormat="1">
      <c r="A30" s="552" t="s">
        <v>220</v>
      </c>
      <c r="B30" s="553"/>
      <c r="C30" s="553"/>
      <c r="D30" s="554">
        <v>0</v>
      </c>
      <c r="E30" s="611">
        <f>E28/E29</f>
        <v>0</v>
      </c>
      <c r="F30" s="611">
        <f t="shared" ref="F30:X30" si="1">F28/F29</f>
        <v>0.70666666666666667</v>
      </c>
      <c r="G30" s="611">
        <f t="shared" si="1"/>
        <v>0.70666666666666667</v>
      </c>
      <c r="H30" s="611">
        <f t="shared" si="1"/>
        <v>0.70666666666666667</v>
      </c>
      <c r="I30" s="611">
        <f t="shared" si="1"/>
        <v>0.70666666666666667</v>
      </c>
      <c r="J30" s="611">
        <f t="shared" si="1"/>
        <v>0.70666666666666667</v>
      </c>
      <c r="K30" s="611">
        <f t="shared" si="1"/>
        <v>0.70666666666666667</v>
      </c>
      <c r="L30" s="611">
        <f t="shared" si="1"/>
        <v>0.70666666666666667</v>
      </c>
      <c r="M30" s="611">
        <f t="shared" si="1"/>
        <v>0.70666666666666667</v>
      </c>
      <c r="N30" s="611">
        <f t="shared" si="1"/>
        <v>0.70666666666666667</v>
      </c>
      <c r="O30" s="611">
        <f t="shared" si="1"/>
        <v>0.70666666666666667</v>
      </c>
      <c r="P30" s="611">
        <f t="shared" si="1"/>
        <v>0.70666666666666667</v>
      </c>
      <c r="Q30" s="611">
        <f t="shared" si="1"/>
        <v>0.70666666666666667</v>
      </c>
      <c r="R30" s="611">
        <f t="shared" si="1"/>
        <v>0.70666666666666667</v>
      </c>
      <c r="S30" s="611">
        <f t="shared" si="1"/>
        <v>0.70666666666666667</v>
      </c>
      <c r="T30" s="611">
        <f t="shared" si="1"/>
        <v>0.70666666666666667</v>
      </c>
      <c r="U30" s="611">
        <f t="shared" si="1"/>
        <v>0.70666666666666667</v>
      </c>
      <c r="V30" s="611">
        <f t="shared" si="1"/>
        <v>0.70666666666666667</v>
      </c>
      <c r="W30" s="611">
        <f t="shared" si="1"/>
        <v>0.70666666666666667</v>
      </c>
      <c r="X30" s="611">
        <f t="shared" si="1"/>
        <v>0.70666666666666667</v>
      </c>
      <c r="Y30" s="561"/>
    </row>
    <row r="31" spans="1:25" s="96" customFormat="1">
      <c r="A31" s="54" t="s">
        <v>226</v>
      </c>
      <c r="B31" s="487"/>
      <c r="C31" s="487"/>
      <c r="D31" s="486">
        <v>0</v>
      </c>
      <c r="E31" s="330">
        <v>0</v>
      </c>
      <c r="F31" s="330">
        <v>125</v>
      </c>
      <c r="G31" s="330">
        <v>125</v>
      </c>
      <c r="H31" s="330">
        <v>125</v>
      </c>
      <c r="I31" s="330">
        <v>125</v>
      </c>
      <c r="J31" s="330">
        <v>125</v>
      </c>
      <c r="K31" s="330">
        <v>125</v>
      </c>
      <c r="L31" s="330">
        <v>125</v>
      </c>
      <c r="M31" s="330">
        <v>125</v>
      </c>
      <c r="N31" s="330">
        <v>125</v>
      </c>
      <c r="O31" s="330">
        <v>125</v>
      </c>
      <c r="P31" s="330">
        <v>125</v>
      </c>
      <c r="Q31" s="330">
        <v>125</v>
      </c>
      <c r="R31" s="330">
        <v>125</v>
      </c>
      <c r="S31" s="330">
        <v>125</v>
      </c>
      <c r="T31" s="330">
        <v>125</v>
      </c>
      <c r="U31" s="330">
        <v>125</v>
      </c>
      <c r="V31" s="330">
        <v>125</v>
      </c>
      <c r="W31" s="330">
        <v>125</v>
      </c>
      <c r="X31" s="330">
        <v>125</v>
      </c>
      <c r="Y31" s="58"/>
    </row>
    <row r="32" spans="1:25">
      <c r="A32" s="54"/>
      <c r="B32" s="21"/>
      <c r="C32" s="21"/>
      <c r="D32" s="486"/>
      <c r="E32" s="495"/>
      <c r="F32" s="495"/>
      <c r="G32" s="495"/>
      <c r="H32" s="495"/>
      <c r="I32" s="495"/>
      <c r="J32" s="495"/>
      <c r="K32" s="495"/>
      <c r="L32" s="495"/>
      <c r="M32" s="495"/>
      <c r="N32" s="495"/>
      <c r="O32" s="495"/>
      <c r="P32" s="495"/>
      <c r="Q32" s="495"/>
      <c r="R32" s="495"/>
      <c r="S32" s="495"/>
      <c r="T32" s="495"/>
      <c r="U32" s="495"/>
      <c r="V32" s="495"/>
      <c r="W32" s="495"/>
      <c r="X32" s="495"/>
      <c r="Y32" s="32"/>
    </row>
    <row r="33" spans="1:25">
      <c r="A33" s="54" t="s">
        <v>206</v>
      </c>
      <c r="B33" s="21"/>
      <c r="C33" s="21"/>
      <c r="D33" s="486">
        <v>0</v>
      </c>
      <c r="E33" s="313">
        <v>0</v>
      </c>
      <c r="F33" s="313">
        <f t="shared" ref="F33:X33" si="2">F12/F28</f>
        <v>2467.6698113207549</v>
      </c>
      <c r="G33" s="313">
        <f t="shared" si="2"/>
        <v>2467.6698113207549</v>
      </c>
      <c r="H33" s="313">
        <f t="shared" si="2"/>
        <v>2467.6698113207549</v>
      </c>
      <c r="I33" s="313">
        <f t="shared" si="2"/>
        <v>2467.6698113207549</v>
      </c>
      <c r="J33" s="313">
        <f t="shared" si="2"/>
        <v>2467.6698113207549</v>
      </c>
      <c r="K33" s="313">
        <f t="shared" si="2"/>
        <v>2467.6698113207549</v>
      </c>
      <c r="L33" s="313">
        <f t="shared" si="2"/>
        <v>2467.6698113207549</v>
      </c>
      <c r="M33" s="313">
        <f t="shared" si="2"/>
        <v>2467.6698113207549</v>
      </c>
      <c r="N33" s="313">
        <f t="shared" si="2"/>
        <v>2467.6698113207549</v>
      </c>
      <c r="O33" s="313">
        <f t="shared" si="2"/>
        <v>2467.6698113207549</v>
      </c>
      <c r="P33" s="313">
        <f t="shared" si="2"/>
        <v>2467.6698113207549</v>
      </c>
      <c r="Q33" s="313">
        <f t="shared" si="2"/>
        <v>2467.6698113207549</v>
      </c>
      <c r="R33" s="313">
        <f t="shared" si="2"/>
        <v>2467.6698113207549</v>
      </c>
      <c r="S33" s="313">
        <f t="shared" si="2"/>
        <v>2467.6698113207549</v>
      </c>
      <c r="T33" s="313">
        <f t="shared" si="2"/>
        <v>2467.6698113207549</v>
      </c>
      <c r="U33" s="313">
        <f t="shared" si="2"/>
        <v>2467.6698113207549</v>
      </c>
      <c r="V33" s="313">
        <f t="shared" si="2"/>
        <v>2467.6698113207549</v>
      </c>
      <c r="W33" s="313">
        <f t="shared" si="2"/>
        <v>2467.6698113207549</v>
      </c>
      <c r="X33" s="313">
        <f t="shared" si="2"/>
        <v>2467.6698113207549</v>
      </c>
    </row>
    <row r="34" spans="1:25">
      <c r="A34" s="54" t="s">
        <v>207</v>
      </c>
      <c r="B34" s="21"/>
      <c r="C34" s="21"/>
      <c r="D34" s="486">
        <v>0</v>
      </c>
      <c r="E34" s="313">
        <v>0</v>
      </c>
      <c r="F34" s="313">
        <v>5500</v>
      </c>
      <c r="G34" s="313">
        <v>5500</v>
      </c>
      <c r="H34" s="313">
        <v>5500</v>
      </c>
      <c r="I34" s="313">
        <v>5500</v>
      </c>
      <c r="J34" s="313">
        <v>5500</v>
      </c>
      <c r="K34" s="313">
        <v>5500</v>
      </c>
      <c r="L34" s="313">
        <v>5500</v>
      </c>
      <c r="M34" s="313">
        <v>5500</v>
      </c>
      <c r="N34" s="313">
        <v>5500</v>
      </c>
      <c r="O34" s="313">
        <v>5500</v>
      </c>
      <c r="P34" s="313">
        <v>5500</v>
      </c>
      <c r="Q34" s="313">
        <v>5500</v>
      </c>
      <c r="R34" s="313">
        <v>5500</v>
      </c>
      <c r="S34" s="313">
        <v>5500</v>
      </c>
      <c r="T34" s="313">
        <v>5500</v>
      </c>
      <c r="U34" s="313">
        <v>5500</v>
      </c>
      <c r="V34" s="313">
        <v>5500</v>
      </c>
      <c r="W34" s="313">
        <v>5500</v>
      </c>
      <c r="X34" s="313">
        <v>5500</v>
      </c>
    </row>
    <row r="35" spans="1:25" s="341" customFormat="1">
      <c r="A35" s="552" t="s">
        <v>221</v>
      </c>
      <c r="B35" s="553"/>
      <c r="C35" s="553"/>
      <c r="D35" s="554">
        <v>0</v>
      </c>
      <c r="E35" s="560">
        <f>E18/E29</f>
        <v>400</v>
      </c>
      <c r="F35" s="560">
        <f t="shared" ref="F35:X35" si="3">F18/F29</f>
        <v>466.66666666666669</v>
      </c>
      <c r="G35" s="560">
        <f t="shared" si="3"/>
        <v>533.33333333333337</v>
      </c>
      <c r="H35" s="560">
        <f t="shared" si="3"/>
        <v>533.33333333333337</v>
      </c>
      <c r="I35" s="560">
        <f t="shared" si="3"/>
        <v>533.33333333333337</v>
      </c>
      <c r="J35" s="560">
        <f t="shared" si="3"/>
        <v>533.33333333333337</v>
      </c>
      <c r="K35" s="560">
        <f t="shared" si="3"/>
        <v>533.33333333333337</v>
      </c>
      <c r="L35" s="560">
        <f t="shared" si="3"/>
        <v>533.33333333333337</v>
      </c>
      <c r="M35" s="560">
        <f t="shared" si="3"/>
        <v>533.33333333333337</v>
      </c>
      <c r="N35" s="560">
        <f t="shared" si="3"/>
        <v>533.33333333333337</v>
      </c>
      <c r="O35" s="560">
        <f t="shared" si="3"/>
        <v>533.33333333333337</v>
      </c>
      <c r="P35" s="560">
        <f t="shared" si="3"/>
        <v>533.33333333333337</v>
      </c>
      <c r="Q35" s="560">
        <f t="shared" si="3"/>
        <v>533.33333333333337</v>
      </c>
      <c r="R35" s="560">
        <f t="shared" si="3"/>
        <v>533.33333333333337</v>
      </c>
      <c r="S35" s="560">
        <f t="shared" si="3"/>
        <v>533.33333333333337</v>
      </c>
      <c r="T35" s="560">
        <f t="shared" si="3"/>
        <v>533.33333333333337</v>
      </c>
      <c r="U35" s="560">
        <f t="shared" si="3"/>
        <v>533.33333333333337</v>
      </c>
      <c r="V35" s="560">
        <f t="shared" si="3"/>
        <v>533.33333333333337</v>
      </c>
      <c r="W35" s="560">
        <f t="shared" si="3"/>
        <v>533.33333333333337</v>
      </c>
      <c r="X35" s="560">
        <f t="shared" si="3"/>
        <v>533.33333333333337</v>
      </c>
    </row>
    <row r="36" spans="1:25" s="341" customFormat="1">
      <c r="A36" s="552" t="s">
        <v>222</v>
      </c>
      <c r="B36" s="553"/>
      <c r="C36" s="553"/>
      <c r="D36" s="554">
        <v>0</v>
      </c>
      <c r="E36" s="560">
        <v>800</v>
      </c>
      <c r="F36" s="560">
        <v>800</v>
      </c>
      <c r="G36" s="560">
        <v>800</v>
      </c>
      <c r="H36" s="560">
        <v>800</v>
      </c>
      <c r="I36" s="560">
        <v>800</v>
      </c>
      <c r="J36" s="560">
        <v>800</v>
      </c>
      <c r="K36" s="560">
        <v>800</v>
      </c>
      <c r="L36" s="560">
        <v>800</v>
      </c>
      <c r="M36" s="560">
        <v>800</v>
      </c>
      <c r="N36" s="560">
        <v>800</v>
      </c>
      <c r="O36" s="560">
        <v>800</v>
      </c>
      <c r="P36" s="560">
        <v>800</v>
      </c>
      <c r="Q36" s="560">
        <v>800</v>
      </c>
      <c r="R36" s="560">
        <v>800</v>
      </c>
      <c r="S36" s="560">
        <v>800</v>
      </c>
      <c r="T36" s="560">
        <v>800</v>
      </c>
      <c r="U36" s="560">
        <v>800</v>
      </c>
      <c r="V36" s="560">
        <v>800</v>
      </c>
      <c r="W36" s="560">
        <v>800</v>
      </c>
      <c r="X36" s="560">
        <v>800</v>
      </c>
    </row>
    <row r="37" spans="1:25" s="341" customFormat="1">
      <c r="A37" s="552" t="s">
        <v>208</v>
      </c>
      <c r="B37" s="553"/>
      <c r="C37" s="553"/>
      <c r="D37" s="554">
        <v>0</v>
      </c>
      <c r="E37" s="560">
        <f>SUM(E34,E36)</f>
        <v>800</v>
      </c>
      <c r="F37" s="560">
        <f t="shared" ref="F37:X37" si="4">SUM(F34,F36)</f>
        <v>6300</v>
      </c>
      <c r="G37" s="560">
        <f t="shared" si="4"/>
        <v>6300</v>
      </c>
      <c r="H37" s="560">
        <f t="shared" si="4"/>
        <v>6300</v>
      </c>
      <c r="I37" s="560">
        <f t="shared" si="4"/>
        <v>6300</v>
      </c>
      <c r="J37" s="560">
        <f t="shared" si="4"/>
        <v>6300</v>
      </c>
      <c r="K37" s="560">
        <f t="shared" si="4"/>
        <v>6300</v>
      </c>
      <c r="L37" s="560">
        <f t="shared" si="4"/>
        <v>6300</v>
      </c>
      <c r="M37" s="560">
        <f t="shared" si="4"/>
        <v>6300</v>
      </c>
      <c r="N37" s="560">
        <f t="shared" si="4"/>
        <v>6300</v>
      </c>
      <c r="O37" s="560">
        <f t="shared" si="4"/>
        <v>6300</v>
      </c>
      <c r="P37" s="560">
        <f t="shared" si="4"/>
        <v>6300</v>
      </c>
      <c r="Q37" s="560">
        <f t="shared" si="4"/>
        <v>6300</v>
      </c>
      <c r="R37" s="560">
        <f t="shared" si="4"/>
        <v>6300</v>
      </c>
      <c r="S37" s="560">
        <f t="shared" si="4"/>
        <v>6300</v>
      </c>
      <c r="T37" s="560">
        <f t="shared" si="4"/>
        <v>6300</v>
      </c>
      <c r="U37" s="560">
        <f t="shared" si="4"/>
        <v>6300</v>
      </c>
      <c r="V37" s="560">
        <f t="shared" si="4"/>
        <v>6300</v>
      </c>
      <c r="W37" s="560">
        <f t="shared" si="4"/>
        <v>6300</v>
      </c>
      <c r="X37" s="560">
        <f t="shared" si="4"/>
        <v>6300</v>
      </c>
    </row>
    <row r="38" spans="1:25">
      <c r="A38" s="54"/>
      <c r="B38" s="21"/>
      <c r="C38" s="21"/>
      <c r="D38" s="486"/>
      <c r="E38" s="330"/>
      <c r="F38" s="330"/>
      <c r="G38" s="330"/>
      <c r="H38" s="330"/>
      <c r="I38" s="330"/>
      <c r="J38" s="330"/>
      <c r="K38" s="330"/>
      <c r="L38" s="330"/>
      <c r="M38" s="330"/>
      <c r="N38" s="330"/>
      <c r="O38" s="330"/>
      <c r="P38" s="330"/>
      <c r="Q38" s="330"/>
      <c r="R38" s="330"/>
      <c r="S38" s="330"/>
      <c r="T38" s="330"/>
      <c r="U38" s="330"/>
      <c r="V38" s="330"/>
      <c r="W38" s="330"/>
      <c r="X38" s="330"/>
    </row>
    <row r="39" spans="1:25" s="341" customFormat="1">
      <c r="A39" s="552" t="s">
        <v>223</v>
      </c>
      <c r="B39" s="557"/>
      <c r="C39" s="557"/>
      <c r="D39" s="554">
        <v>0</v>
      </c>
      <c r="E39" s="555">
        <f>(E19+E20)/E29</f>
        <v>160.26666666666668</v>
      </c>
      <c r="F39" s="555">
        <f t="shared" ref="F39:X39" si="5">(F19+F20)/F29</f>
        <v>187</v>
      </c>
      <c r="G39" s="555">
        <f t="shared" si="5"/>
        <v>213.73333333333332</v>
      </c>
      <c r="H39" s="555">
        <f t="shared" si="5"/>
        <v>213.73333333333332</v>
      </c>
      <c r="I39" s="555">
        <f t="shared" si="5"/>
        <v>213.73333333333332</v>
      </c>
      <c r="J39" s="555">
        <f t="shared" si="5"/>
        <v>213.73333333333332</v>
      </c>
      <c r="K39" s="555">
        <f t="shared" si="5"/>
        <v>213.73333333333332</v>
      </c>
      <c r="L39" s="555">
        <f t="shared" si="5"/>
        <v>213.73333333333332</v>
      </c>
      <c r="M39" s="555">
        <f t="shared" si="5"/>
        <v>213.73333333333332</v>
      </c>
      <c r="N39" s="555">
        <f t="shared" si="5"/>
        <v>213.73333333333332</v>
      </c>
      <c r="O39" s="555">
        <f t="shared" si="5"/>
        <v>213.73333333333332</v>
      </c>
      <c r="P39" s="555">
        <f t="shared" si="5"/>
        <v>213.73333333333332</v>
      </c>
      <c r="Q39" s="555">
        <f t="shared" si="5"/>
        <v>213.73333333333332</v>
      </c>
      <c r="R39" s="555">
        <f t="shared" si="5"/>
        <v>213.73333333333332</v>
      </c>
      <c r="S39" s="555">
        <f t="shared" si="5"/>
        <v>213.73333333333332</v>
      </c>
      <c r="T39" s="555">
        <f t="shared" si="5"/>
        <v>213.73333333333332</v>
      </c>
      <c r="U39" s="555">
        <f t="shared" si="5"/>
        <v>213.73333333333332</v>
      </c>
      <c r="V39" s="555">
        <f t="shared" si="5"/>
        <v>213.73333333333332</v>
      </c>
      <c r="W39" s="555">
        <f t="shared" si="5"/>
        <v>213.73333333333332</v>
      </c>
      <c r="X39" s="555">
        <f t="shared" si="5"/>
        <v>213.73333333333332</v>
      </c>
    </row>
    <row r="40" spans="1:25">
      <c r="A40" s="54"/>
      <c r="B40" s="74"/>
      <c r="C40" s="74"/>
      <c r="D40" s="492"/>
      <c r="E40" s="308"/>
      <c r="F40" s="308"/>
      <c r="G40" s="308"/>
      <c r="H40" s="308"/>
      <c r="I40" s="308"/>
      <c r="J40" s="308"/>
      <c r="K40" s="308"/>
      <c r="L40" s="308"/>
      <c r="M40" s="308"/>
      <c r="N40" s="308"/>
      <c r="O40" s="308"/>
      <c r="P40" s="308"/>
      <c r="Q40" s="308"/>
      <c r="R40" s="308"/>
      <c r="S40" s="308"/>
      <c r="T40" s="308"/>
      <c r="U40" s="308"/>
      <c r="V40" s="308"/>
      <c r="W40" s="308"/>
      <c r="X40" s="308"/>
    </row>
    <row r="41" spans="1:25">
      <c r="A41" s="293" t="s">
        <v>26</v>
      </c>
      <c r="B41" s="74"/>
      <c r="C41" s="74"/>
      <c r="D41" s="492"/>
      <c r="E41" s="308"/>
      <c r="F41" s="308"/>
      <c r="G41" s="308"/>
      <c r="H41" s="308"/>
      <c r="I41" s="308"/>
      <c r="J41" s="308"/>
      <c r="K41" s="308"/>
      <c r="L41" s="308"/>
      <c r="M41" s="308"/>
      <c r="N41" s="308"/>
      <c r="O41" s="308"/>
      <c r="P41" s="308"/>
      <c r="Q41" s="308"/>
      <c r="R41" s="308"/>
      <c r="S41" s="308"/>
      <c r="T41" s="308"/>
      <c r="U41" s="308"/>
      <c r="V41" s="308"/>
      <c r="W41" s="308"/>
      <c r="X41" s="308"/>
    </row>
    <row r="42" spans="1:25">
      <c r="A42" s="54" t="s">
        <v>264</v>
      </c>
      <c r="B42" s="277"/>
      <c r="C42" s="74"/>
      <c r="D42" s="486">
        <v>0</v>
      </c>
      <c r="E42" s="313">
        <f>'Parking Projections'!C68/2</f>
        <v>1832.2239583333337</v>
      </c>
      <c r="F42" s="313">
        <f>'Parking Projections'!D68</f>
        <v>3664.4479166666674</v>
      </c>
      <c r="G42" s="313">
        <f>'Parking Projections'!E68</f>
        <v>3664.4479166666674</v>
      </c>
      <c r="H42" s="313">
        <f>'Parking Projections'!F68</f>
        <v>3664.4479166666674</v>
      </c>
      <c r="I42" s="313">
        <f>'Parking Projections'!G68</f>
        <v>3664.4479166666674</v>
      </c>
      <c r="J42" s="313">
        <f>'Parking Projections'!H68</f>
        <v>3664.4479166666674</v>
      </c>
      <c r="K42" s="313">
        <f>'Parking Projections'!I68</f>
        <v>3664.4479166666674</v>
      </c>
      <c r="L42" s="313">
        <f>'Parking Projections'!J68</f>
        <v>3664.4479166666674</v>
      </c>
      <c r="M42" s="313">
        <f>'Parking Projections'!K68</f>
        <v>3664.4479166666674</v>
      </c>
      <c r="N42" s="313">
        <f>'Parking Projections'!L68</f>
        <v>3664.4479166666674</v>
      </c>
      <c r="O42" s="313">
        <f>'Parking Projections'!M68</f>
        <v>3664.4479166666674</v>
      </c>
      <c r="P42" s="313">
        <f>'Parking Projections'!N68</f>
        <v>3664.4479166666674</v>
      </c>
      <c r="Q42" s="313">
        <f>'Parking Projections'!O68</f>
        <v>3664.4479166666674</v>
      </c>
      <c r="R42" s="313">
        <f>'Parking Projections'!P68</f>
        <v>3664.4479166666674</v>
      </c>
      <c r="S42" s="313">
        <f>'Parking Projections'!Q68</f>
        <v>3664.4479166666674</v>
      </c>
      <c r="T42" s="313">
        <f>'Parking Projections'!R68</f>
        <v>3664.4479166666674</v>
      </c>
      <c r="U42" s="313">
        <f>'Parking Projections'!S68</f>
        <v>3664.4479166666674</v>
      </c>
      <c r="V42" s="313">
        <f>'Parking Projections'!T68</f>
        <v>3664.4479166666674</v>
      </c>
      <c r="W42" s="313">
        <f>'Parking Projections'!U68</f>
        <v>3664.4479166666674</v>
      </c>
      <c r="X42" s="313">
        <f>'Parking Projections'!V68</f>
        <v>3664.4479166666674</v>
      </c>
    </row>
    <row r="43" spans="1:25">
      <c r="A43" s="54" t="s">
        <v>267</v>
      </c>
      <c r="B43" s="277"/>
      <c r="C43" s="74"/>
      <c r="D43" s="486">
        <v>0</v>
      </c>
      <c r="E43" s="313">
        <f>'Parking Projections'!C72/2</f>
        <v>13371.166666666662</v>
      </c>
      <c r="F43" s="313">
        <f>'Parking Projections'!D72</f>
        <v>26742.333333333325</v>
      </c>
      <c r="G43" s="313">
        <f>'Parking Projections'!E72</f>
        <v>26742.333333333325</v>
      </c>
      <c r="H43" s="313">
        <f>'Parking Projections'!F72</f>
        <v>26742.333333333325</v>
      </c>
      <c r="I43" s="313">
        <f>'Parking Projections'!G72</f>
        <v>26742.333333333325</v>
      </c>
      <c r="J43" s="313">
        <f>'Parking Projections'!H72</f>
        <v>26742.333333333325</v>
      </c>
      <c r="K43" s="313">
        <f>'Parking Projections'!I72</f>
        <v>26742.333333333325</v>
      </c>
      <c r="L43" s="313">
        <f>'Parking Projections'!J72</f>
        <v>26742.333333333325</v>
      </c>
      <c r="M43" s="313">
        <f>'Parking Projections'!K72</f>
        <v>26742.333333333325</v>
      </c>
      <c r="N43" s="313">
        <f>'Parking Projections'!L72</f>
        <v>26742.333333333325</v>
      </c>
      <c r="O43" s="313">
        <f>'Parking Projections'!M72</f>
        <v>26742.333333333325</v>
      </c>
      <c r="P43" s="313">
        <f>'Parking Projections'!N72</f>
        <v>26742.333333333325</v>
      </c>
      <c r="Q43" s="313">
        <f>'Parking Projections'!O72</f>
        <v>26742.333333333325</v>
      </c>
      <c r="R43" s="313">
        <f>'Parking Projections'!P72</f>
        <v>26742.333333333325</v>
      </c>
      <c r="S43" s="313">
        <f>'Parking Projections'!Q72</f>
        <v>26742.333333333325</v>
      </c>
      <c r="T43" s="313">
        <f>'Parking Projections'!R72</f>
        <v>26742.333333333325</v>
      </c>
      <c r="U43" s="313">
        <f>'Parking Projections'!S72</f>
        <v>26742.333333333325</v>
      </c>
      <c r="V43" s="313">
        <f>'Parking Projections'!T72</f>
        <v>26742.333333333325</v>
      </c>
      <c r="W43" s="313">
        <f>'Parking Projections'!U72</f>
        <v>26742.333333333325</v>
      </c>
      <c r="X43" s="313">
        <f>'Parking Projections'!V72</f>
        <v>26742.333333333325</v>
      </c>
    </row>
    <row r="44" spans="1:25" s="96" customFormat="1">
      <c r="A44" s="54" t="s">
        <v>274</v>
      </c>
      <c r="B44" s="435"/>
      <c r="C44" s="583"/>
      <c r="D44" s="486">
        <v>0</v>
      </c>
      <c r="E44" s="313">
        <f>SUM(E42:E43)</f>
        <v>15203.390624999996</v>
      </c>
      <c r="F44" s="313">
        <f t="shared" ref="F44:X44" si="6">SUM(F42:F43)</f>
        <v>30406.781249999993</v>
      </c>
      <c r="G44" s="313">
        <f t="shared" si="6"/>
        <v>30406.781249999993</v>
      </c>
      <c r="H44" s="313">
        <f t="shared" si="6"/>
        <v>30406.781249999993</v>
      </c>
      <c r="I44" s="313">
        <f t="shared" si="6"/>
        <v>30406.781249999993</v>
      </c>
      <c r="J44" s="313">
        <f t="shared" si="6"/>
        <v>30406.781249999993</v>
      </c>
      <c r="K44" s="313">
        <f t="shared" si="6"/>
        <v>30406.781249999993</v>
      </c>
      <c r="L44" s="313">
        <f t="shared" si="6"/>
        <v>30406.781249999993</v>
      </c>
      <c r="M44" s="313">
        <f t="shared" si="6"/>
        <v>30406.781249999993</v>
      </c>
      <c r="N44" s="313">
        <f t="shared" si="6"/>
        <v>30406.781249999993</v>
      </c>
      <c r="O44" s="313">
        <f t="shared" si="6"/>
        <v>30406.781249999993</v>
      </c>
      <c r="P44" s="313">
        <f t="shared" si="6"/>
        <v>30406.781249999993</v>
      </c>
      <c r="Q44" s="313">
        <f t="shared" si="6"/>
        <v>30406.781249999993</v>
      </c>
      <c r="R44" s="313">
        <f t="shared" si="6"/>
        <v>30406.781249999993</v>
      </c>
      <c r="S44" s="313">
        <f t="shared" si="6"/>
        <v>30406.781249999993</v>
      </c>
      <c r="T44" s="313">
        <f t="shared" si="6"/>
        <v>30406.781249999993</v>
      </c>
      <c r="U44" s="313">
        <f t="shared" si="6"/>
        <v>30406.781249999993</v>
      </c>
      <c r="V44" s="313">
        <f t="shared" si="6"/>
        <v>30406.781249999993</v>
      </c>
      <c r="W44" s="313">
        <f t="shared" si="6"/>
        <v>30406.781249999993</v>
      </c>
      <c r="X44" s="313">
        <f t="shared" si="6"/>
        <v>30406.781249999993</v>
      </c>
      <c r="Y44" s="313"/>
    </row>
    <row r="45" spans="1:25">
      <c r="A45" s="54"/>
      <c r="B45" s="277"/>
      <c r="C45" s="74"/>
      <c r="D45" s="499"/>
      <c r="E45" s="308"/>
      <c r="F45" s="308"/>
      <c r="G45" s="308"/>
      <c r="H45" s="308"/>
      <c r="I45" s="308"/>
      <c r="J45" s="308"/>
      <c r="K45" s="308"/>
      <c r="L45" s="308"/>
      <c r="M45" s="308"/>
      <c r="N45" s="308"/>
      <c r="O45" s="308"/>
      <c r="P45" s="308"/>
      <c r="Q45" s="308"/>
      <c r="R45" s="308"/>
      <c r="S45" s="308"/>
      <c r="T45" s="308"/>
      <c r="U45" s="308"/>
      <c r="V45" s="308"/>
      <c r="W45" s="308"/>
      <c r="X45" s="308"/>
    </row>
    <row r="46" spans="1:25" s="341" customFormat="1">
      <c r="A46" s="552" t="s">
        <v>224</v>
      </c>
      <c r="B46" s="556"/>
      <c r="C46" s="557"/>
      <c r="D46" s="554">
        <v>0</v>
      </c>
      <c r="E46" s="558">
        <v>3</v>
      </c>
      <c r="F46" s="558">
        <v>3</v>
      </c>
      <c r="G46" s="558">
        <v>3</v>
      </c>
      <c r="H46" s="558">
        <v>3</v>
      </c>
      <c r="I46" s="558">
        <v>3</v>
      </c>
      <c r="J46" s="558">
        <v>3</v>
      </c>
      <c r="K46" s="558">
        <v>3</v>
      </c>
      <c r="L46" s="558">
        <v>3</v>
      </c>
      <c r="M46" s="558">
        <v>3</v>
      </c>
      <c r="N46" s="558">
        <v>3</v>
      </c>
      <c r="O46" s="558">
        <v>3</v>
      </c>
      <c r="P46" s="558">
        <v>3</v>
      </c>
      <c r="Q46" s="558">
        <v>3</v>
      </c>
      <c r="R46" s="558">
        <v>3</v>
      </c>
      <c r="S46" s="558">
        <v>3</v>
      </c>
      <c r="T46" s="558">
        <v>3</v>
      </c>
      <c r="U46" s="558">
        <v>3</v>
      </c>
      <c r="V46" s="558">
        <v>3</v>
      </c>
      <c r="W46" s="558">
        <v>3</v>
      </c>
      <c r="X46" s="558">
        <v>3</v>
      </c>
    </row>
    <row r="47" spans="1:25" s="96" customFormat="1">
      <c r="A47" s="54" t="s">
        <v>225</v>
      </c>
      <c r="B47" s="435"/>
      <c r="C47" s="583"/>
      <c r="D47" s="486">
        <v>0</v>
      </c>
      <c r="E47" s="496">
        <v>1</v>
      </c>
      <c r="F47" s="496">
        <v>1</v>
      </c>
      <c r="G47" s="496">
        <v>1</v>
      </c>
      <c r="H47" s="496">
        <v>1</v>
      </c>
      <c r="I47" s="496">
        <v>1</v>
      </c>
      <c r="J47" s="496">
        <v>1</v>
      </c>
      <c r="K47" s="496">
        <v>1</v>
      </c>
      <c r="L47" s="496">
        <v>1</v>
      </c>
      <c r="M47" s="496">
        <v>1</v>
      </c>
      <c r="N47" s="496">
        <v>1</v>
      </c>
      <c r="O47" s="496">
        <v>1</v>
      </c>
      <c r="P47" s="496">
        <v>1</v>
      </c>
      <c r="Q47" s="496">
        <v>1</v>
      </c>
      <c r="R47" s="496">
        <v>1</v>
      </c>
      <c r="S47" s="496">
        <v>1</v>
      </c>
      <c r="T47" s="496">
        <v>1</v>
      </c>
      <c r="U47" s="496">
        <v>1</v>
      </c>
      <c r="V47" s="496">
        <v>1</v>
      </c>
      <c r="W47" s="496">
        <v>1</v>
      </c>
      <c r="X47" s="496">
        <v>1</v>
      </c>
    </row>
    <row r="48" spans="1:25">
      <c r="A48" s="54" t="s">
        <v>209</v>
      </c>
      <c r="B48" s="277"/>
      <c r="C48" s="74"/>
      <c r="D48" s="486">
        <v>0</v>
      </c>
      <c r="E48" s="496">
        <v>0.5</v>
      </c>
      <c r="F48" s="496">
        <v>0.5</v>
      </c>
      <c r="G48" s="496">
        <v>0.5</v>
      </c>
      <c r="H48" s="496">
        <v>0.5</v>
      </c>
      <c r="I48" s="496">
        <v>0.5</v>
      </c>
      <c r="J48" s="496">
        <v>0.5</v>
      </c>
      <c r="K48" s="496">
        <v>0.5</v>
      </c>
      <c r="L48" s="496">
        <v>0.5</v>
      </c>
      <c r="M48" s="496">
        <v>0.5</v>
      </c>
      <c r="N48" s="496">
        <v>0.5</v>
      </c>
      <c r="O48" s="496">
        <v>0.5</v>
      </c>
      <c r="P48" s="496">
        <v>0.5</v>
      </c>
      <c r="Q48" s="496">
        <v>0.5</v>
      </c>
      <c r="R48" s="496">
        <v>0.5</v>
      </c>
      <c r="S48" s="496">
        <v>0.5</v>
      </c>
      <c r="T48" s="496">
        <v>0.5</v>
      </c>
      <c r="U48" s="496">
        <v>0.5</v>
      </c>
      <c r="V48" s="496">
        <v>0.5</v>
      </c>
      <c r="W48" s="496">
        <v>0.5</v>
      </c>
      <c r="X48" s="496">
        <v>0.5</v>
      </c>
    </row>
    <row r="49" spans="1:25 16384:16384">
      <c r="A49" s="54" t="s">
        <v>289</v>
      </c>
      <c r="B49" s="277"/>
      <c r="C49" s="74"/>
      <c r="D49" s="486">
        <v>0</v>
      </c>
      <c r="E49" s="496">
        <f>SUM(E47:E48)/2</f>
        <v>0.75</v>
      </c>
      <c r="F49" s="496">
        <f t="shared" ref="F49:X49" si="7">SUM(F47:F48)/2</f>
        <v>0.75</v>
      </c>
      <c r="G49" s="496">
        <f t="shared" si="7"/>
        <v>0.75</v>
      </c>
      <c r="H49" s="496">
        <f t="shared" si="7"/>
        <v>0.75</v>
      </c>
      <c r="I49" s="496">
        <f t="shared" si="7"/>
        <v>0.75</v>
      </c>
      <c r="J49" s="496">
        <f t="shared" si="7"/>
        <v>0.75</v>
      </c>
      <c r="K49" s="496">
        <f t="shared" si="7"/>
        <v>0.75</v>
      </c>
      <c r="L49" s="496">
        <f t="shared" si="7"/>
        <v>0.75</v>
      </c>
      <c r="M49" s="496">
        <f t="shared" si="7"/>
        <v>0.75</v>
      </c>
      <c r="N49" s="496">
        <f t="shared" si="7"/>
        <v>0.75</v>
      </c>
      <c r="O49" s="496">
        <f t="shared" si="7"/>
        <v>0.75</v>
      </c>
      <c r="P49" s="496">
        <f t="shared" si="7"/>
        <v>0.75</v>
      </c>
      <c r="Q49" s="496">
        <f t="shared" si="7"/>
        <v>0.75</v>
      </c>
      <c r="R49" s="496">
        <f t="shared" si="7"/>
        <v>0.75</v>
      </c>
      <c r="S49" s="496">
        <f t="shared" si="7"/>
        <v>0.75</v>
      </c>
      <c r="T49" s="496">
        <f t="shared" si="7"/>
        <v>0.75</v>
      </c>
      <c r="U49" s="496">
        <f t="shared" si="7"/>
        <v>0.75</v>
      </c>
      <c r="V49" s="496">
        <f t="shared" si="7"/>
        <v>0.75</v>
      </c>
      <c r="W49" s="496">
        <f t="shared" si="7"/>
        <v>0.75</v>
      </c>
      <c r="X49" s="496">
        <f t="shared" si="7"/>
        <v>0.75</v>
      </c>
      <c r="XFD49" s="570">
        <f>SUM(D49:XFC49)</f>
        <v>15</v>
      </c>
    </row>
    <row r="50" spans="1:25 16384:16384">
      <c r="A50" s="54"/>
      <c r="B50" s="277"/>
      <c r="C50" s="74"/>
      <c r="D50" s="486"/>
      <c r="E50" s="496"/>
      <c r="F50" s="496"/>
      <c r="G50" s="496"/>
      <c r="H50" s="496"/>
      <c r="I50" s="496"/>
      <c r="J50" s="496"/>
      <c r="K50" s="496"/>
      <c r="L50" s="496"/>
      <c r="M50" s="496"/>
      <c r="N50" s="496"/>
      <c r="O50" s="496"/>
      <c r="P50" s="496"/>
      <c r="Q50" s="496"/>
      <c r="R50" s="496"/>
      <c r="S50" s="496"/>
      <c r="T50" s="496"/>
      <c r="U50" s="496"/>
      <c r="V50" s="496"/>
      <c r="W50" s="496"/>
      <c r="X50" s="496"/>
      <c r="XFD50" s="570"/>
    </row>
    <row r="51" spans="1:25 16384:16384">
      <c r="A51" s="54" t="s">
        <v>312</v>
      </c>
      <c r="B51" s="277"/>
      <c r="C51" s="74"/>
      <c r="D51" s="486">
        <v>0</v>
      </c>
      <c r="E51" s="313">
        <f>'Shuttle Projections'!C22*0.5</f>
        <v>3595</v>
      </c>
      <c r="F51" s="313">
        <f>'Shuttle Projections'!D22</f>
        <v>7190</v>
      </c>
      <c r="G51" s="313">
        <f>'Shuttle Projections'!E22</f>
        <v>7190</v>
      </c>
      <c r="H51" s="313">
        <f>'Shuttle Projections'!F22</f>
        <v>7190</v>
      </c>
      <c r="I51" s="313">
        <f>'Shuttle Projections'!G22</f>
        <v>7190</v>
      </c>
      <c r="J51" s="313">
        <f>'Shuttle Projections'!H22</f>
        <v>7190</v>
      </c>
      <c r="K51" s="313">
        <f>'Shuttle Projections'!I22</f>
        <v>7190</v>
      </c>
      <c r="L51" s="313">
        <f>'Shuttle Projections'!J22</f>
        <v>7190</v>
      </c>
      <c r="M51" s="313">
        <f>'Shuttle Projections'!K22</f>
        <v>7190</v>
      </c>
      <c r="N51" s="313">
        <f>'Shuttle Projections'!L22</f>
        <v>7190</v>
      </c>
      <c r="O51" s="313">
        <f>'Shuttle Projections'!M22</f>
        <v>7190</v>
      </c>
      <c r="P51" s="313">
        <f>'Shuttle Projections'!N22</f>
        <v>7190</v>
      </c>
      <c r="Q51" s="313">
        <f>'Shuttle Projections'!O22</f>
        <v>7190</v>
      </c>
      <c r="R51" s="313">
        <f>'Shuttle Projections'!P22</f>
        <v>7190</v>
      </c>
      <c r="S51" s="313">
        <f>'Shuttle Projections'!Q22</f>
        <v>7190</v>
      </c>
      <c r="T51" s="313">
        <f>'Shuttle Projections'!R22</f>
        <v>7190</v>
      </c>
      <c r="U51" s="313">
        <f>'Shuttle Projections'!S22</f>
        <v>7190</v>
      </c>
      <c r="V51" s="313">
        <f>'Shuttle Projections'!T22</f>
        <v>7190</v>
      </c>
      <c r="W51" s="313">
        <f>'Shuttle Projections'!U22</f>
        <v>7190</v>
      </c>
      <c r="X51" s="313">
        <f>'Shuttle Projections'!V22</f>
        <v>7190</v>
      </c>
      <c r="XFD51" s="570"/>
    </row>
    <row r="52" spans="1:25 16384:16384">
      <c r="A52" s="54"/>
      <c r="B52" s="277"/>
      <c r="C52" s="74"/>
      <c r="D52" s="486"/>
      <c r="E52" s="308"/>
      <c r="F52" s="308"/>
      <c r="G52" s="308"/>
      <c r="H52" s="308"/>
      <c r="I52" s="308"/>
      <c r="J52" s="308"/>
      <c r="K52" s="308"/>
      <c r="L52" s="308"/>
      <c r="M52" s="308"/>
      <c r="N52" s="308"/>
      <c r="O52" s="308"/>
      <c r="P52" s="308"/>
      <c r="Q52" s="308"/>
      <c r="R52" s="308"/>
      <c r="S52" s="308"/>
      <c r="T52" s="308"/>
      <c r="U52" s="308"/>
      <c r="V52" s="308"/>
      <c r="W52" s="308"/>
      <c r="X52" s="308"/>
    </row>
    <row r="53" spans="1:25 16384:16384" s="612" customFormat="1">
      <c r="A53" s="613" t="s">
        <v>292</v>
      </c>
      <c r="B53" s="614"/>
      <c r="C53" s="615"/>
      <c r="D53" s="616">
        <v>0</v>
      </c>
      <c r="E53" s="617">
        <v>0</v>
      </c>
      <c r="F53" s="617">
        <v>0</v>
      </c>
      <c r="G53" s="617">
        <v>100000</v>
      </c>
      <c r="H53" s="617">
        <v>100000</v>
      </c>
      <c r="I53" s="617">
        <v>100000</v>
      </c>
      <c r="J53" s="617">
        <v>100000</v>
      </c>
      <c r="K53" s="617">
        <v>100000</v>
      </c>
      <c r="L53" s="617">
        <v>100000</v>
      </c>
      <c r="M53" s="617">
        <v>100000</v>
      </c>
      <c r="N53" s="617">
        <v>100000</v>
      </c>
      <c r="O53" s="617">
        <v>100000</v>
      </c>
      <c r="P53" s="617">
        <v>100000</v>
      </c>
      <c r="Q53" s="617">
        <v>100000</v>
      </c>
      <c r="R53" s="617">
        <v>100000</v>
      </c>
      <c r="S53" s="617">
        <v>100000</v>
      </c>
      <c r="T53" s="617">
        <v>100000</v>
      </c>
      <c r="U53" s="617">
        <v>100000</v>
      </c>
      <c r="V53" s="617">
        <v>100000</v>
      </c>
      <c r="W53" s="617">
        <v>100000</v>
      </c>
      <c r="X53" s="618">
        <v>100000</v>
      </c>
    </row>
    <row r="54" spans="1:25 16384:16384">
      <c r="A54" s="54"/>
      <c r="B54" s="277"/>
      <c r="C54" s="74"/>
      <c r="D54" s="486"/>
      <c r="E54" s="308"/>
      <c r="F54" s="308"/>
      <c r="G54" s="308"/>
      <c r="H54" s="308"/>
      <c r="I54" s="308"/>
      <c r="J54" s="308"/>
      <c r="K54" s="308"/>
      <c r="L54" s="308"/>
      <c r="M54" s="308"/>
      <c r="N54" s="308"/>
      <c r="O54" s="308"/>
      <c r="P54" s="308"/>
      <c r="Q54" s="308"/>
      <c r="R54" s="308"/>
      <c r="S54" s="308"/>
      <c r="T54" s="308"/>
      <c r="U54" s="308"/>
      <c r="V54" s="308"/>
      <c r="W54" s="308"/>
      <c r="X54" s="308"/>
    </row>
    <row r="55" spans="1:25 16384:16384" s="582" customFormat="1">
      <c r="A55" s="293" t="str">
        <f>'BH Tariffs'!A33</f>
        <v>Recreational/Commercial Marina</v>
      </c>
      <c r="B55" s="584"/>
      <c r="C55" s="585"/>
      <c r="D55" s="486"/>
      <c r="E55" s="586"/>
      <c r="F55" s="586"/>
      <c r="G55" s="586"/>
      <c r="H55" s="586"/>
      <c r="I55" s="586"/>
      <c r="J55" s="586"/>
      <c r="K55" s="586"/>
      <c r="L55" s="586"/>
      <c r="M55" s="586"/>
      <c r="N55" s="586"/>
      <c r="O55" s="586"/>
      <c r="P55" s="586"/>
      <c r="Q55" s="586"/>
      <c r="R55" s="586"/>
      <c r="S55" s="586"/>
      <c r="T55" s="586"/>
      <c r="U55" s="586"/>
      <c r="V55" s="586"/>
      <c r="W55" s="586"/>
      <c r="X55" s="586"/>
    </row>
    <row r="56" spans="1:25 16384:16384" s="96" customFormat="1">
      <c r="A56" s="54" t="s">
        <v>291</v>
      </c>
      <c r="B56" s="435"/>
      <c r="C56" s="583"/>
      <c r="D56" s="486">
        <v>0</v>
      </c>
      <c r="E56" s="313">
        <v>0</v>
      </c>
      <c r="F56" s="313">
        <f>'Marina Projections'!D85</f>
        <v>42</v>
      </c>
      <c r="G56" s="313">
        <f>'Marina Projections'!E85</f>
        <v>42</v>
      </c>
      <c r="H56" s="313">
        <f>'Marina Projections'!F85</f>
        <v>42</v>
      </c>
      <c r="I56" s="313">
        <f>'Marina Projections'!G85</f>
        <v>42</v>
      </c>
      <c r="J56" s="313">
        <f>'Marina Projections'!H85</f>
        <v>42</v>
      </c>
      <c r="K56" s="313">
        <f>'Marina Projections'!I85</f>
        <v>42</v>
      </c>
      <c r="L56" s="313">
        <f>'Marina Projections'!J85</f>
        <v>42</v>
      </c>
      <c r="M56" s="313">
        <f>'Marina Projections'!K85</f>
        <v>42</v>
      </c>
      <c r="N56" s="313">
        <f>'Marina Projections'!L85</f>
        <v>42</v>
      </c>
      <c r="O56" s="313">
        <f>'Marina Projections'!M85</f>
        <v>42</v>
      </c>
      <c r="P56" s="313">
        <f>'Marina Projections'!N85</f>
        <v>42</v>
      </c>
      <c r="Q56" s="313">
        <f>'Marina Projections'!O85</f>
        <v>42</v>
      </c>
      <c r="R56" s="313">
        <f>'Marina Projections'!P85</f>
        <v>42</v>
      </c>
      <c r="S56" s="313">
        <f>'Marina Projections'!Q85</f>
        <v>42</v>
      </c>
      <c r="T56" s="313">
        <f>'Marina Projections'!R85</f>
        <v>42</v>
      </c>
      <c r="U56" s="313">
        <f>'Marina Projections'!S85</f>
        <v>42</v>
      </c>
      <c r="V56" s="313">
        <f>'Marina Projections'!T85</f>
        <v>42</v>
      </c>
      <c r="W56" s="313">
        <f>'Marina Projections'!U85</f>
        <v>42</v>
      </c>
      <c r="X56" s="313">
        <f>'Marina Projections'!V85</f>
        <v>42</v>
      </c>
    </row>
    <row r="57" spans="1:25 16384:16384" s="96" customFormat="1">
      <c r="A57" s="54" t="s">
        <v>293</v>
      </c>
      <c r="B57" s="435"/>
      <c r="C57" s="583"/>
      <c r="D57" s="486">
        <v>0</v>
      </c>
      <c r="E57" s="313">
        <v>0</v>
      </c>
      <c r="F57" s="313">
        <f>'Marina Projections'!D92</f>
        <v>39290.600625000006</v>
      </c>
      <c r="G57" s="313">
        <f>'Marina Projections'!E92</f>
        <v>39290.600625000006</v>
      </c>
      <c r="H57" s="313">
        <f>'Marina Projections'!F92</f>
        <v>39290.600625000006</v>
      </c>
      <c r="I57" s="313">
        <f>'Marina Projections'!G92</f>
        <v>39290.600625000006</v>
      </c>
      <c r="J57" s="313">
        <f>'Marina Projections'!H92</f>
        <v>39290.600625000006</v>
      </c>
      <c r="K57" s="313">
        <f>'Marina Projections'!I92</f>
        <v>39290.600625000006</v>
      </c>
      <c r="L57" s="313">
        <f>'Marina Projections'!J92</f>
        <v>39290.600625000006</v>
      </c>
      <c r="M57" s="313">
        <f>'Marina Projections'!K92</f>
        <v>39290.600625000006</v>
      </c>
      <c r="N57" s="313">
        <f>'Marina Projections'!L92</f>
        <v>39290.600625000006</v>
      </c>
      <c r="O57" s="313">
        <f>'Marina Projections'!M92</f>
        <v>39290.600625000006</v>
      </c>
      <c r="P57" s="313">
        <f>'Marina Projections'!N92</f>
        <v>39290.600625000006</v>
      </c>
      <c r="Q57" s="313">
        <f>'Marina Projections'!O92</f>
        <v>39290.600625000006</v>
      </c>
      <c r="R57" s="313">
        <f>'Marina Projections'!P92</f>
        <v>39290.600625000006</v>
      </c>
      <c r="S57" s="313">
        <f>'Marina Projections'!Q92</f>
        <v>39290.600625000006</v>
      </c>
      <c r="T57" s="313">
        <f>'Marina Projections'!R92</f>
        <v>39290.600625000006</v>
      </c>
      <c r="U57" s="313">
        <f>'Marina Projections'!S92</f>
        <v>39290.600625000006</v>
      </c>
      <c r="V57" s="313">
        <f>'Marina Projections'!T92</f>
        <v>39290.600625000006</v>
      </c>
      <c r="W57" s="313">
        <f>'Marina Projections'!U92</f>
        <v>39290.600625000006</v>
      </c>
      <c r="X57" s="313">
        <f>'Marina Projections'!V92</f>
        <v>39290.600625000006</v>
      </c>
    </row>
    <row r="58" spans="1:25 16384:16384" s="96" customFormat="1">
      <c r="A58" s="54" t="s">
        <v>294</v>
      </c>
      <c r="B58" s="435"/>
      <c r="C58" s="583"/>
      <c r="D58" s="486">
        <v>0</v>
      </c>
      <c r="E58" s="313">
        <v>0</v>
      </c>
      <c r="F58" s="313">
        <f>'Marina Projections'!D88</f>
        <v>1476.3000000000002</v>
      </c>
      <c r="G58" s="313">
        <f>'Marina Projections'!E88</f>
        <v>1476.3000000000002</v>
      </c>
      <c r="H58" s="313">
        <f>'Marina Projections'!F88</f>
        <v>1476.3000000000002</v>
      </c>
      <c r="I58" s="313">
        <f>'Marina Projections'!G88</f>
        <v>1476.3000000000002</v>
      </c>
      <c r="J58" s="313">
        <f>'Marina Projections'!H88</f>
        <v>1476.3000000000002</v>
      </c>
      <c r="K58" s="313">
        <f>'Marina Projections'!I88</f>
        <v>1476.3000000000002</v>
      </c>
      <c r="L58" s="313">
        <f>'Marina Projections'!J88</f>
        <v>1476.3000000000002</v>
      </c>
      <c r="M58" s="313">
        <f>'Marina Projections'!K88</f>
        <v>1476.3000000000002</v>
      </c>
      <c r="N58" s="313">
        <f>'Marina Projections'!L88</f>
        <v>1476.3000000000002</v>
      </c>
      <c r="O58" s="313">
        <f>'Marina Projections'!M88</f>
        <v>1476.3000000000002</v>
      </c>
      <c r="P58" s="313">
        <f>'Marina Projections'!N88</f>
        <v>1476.3000000000002</v>
      </c>
      <c r="Q58" s="313">
        <f>'Marina Projections'!O88</f>
        <v>1476.3000000000002</v>
      </c>
      <c r="R58" s="313">
        <f>'Marina Projections'!P88</f>
        <v>1476.3000000000002</v>
      </c>
      <c r="S58" s="313">
        <f>'Marina Projections'!Q88</f>
        <v>1476.3000000000002</v>
      </c>
      <c r="T58" s="313">
        <f>'Marina Projections'!R88</f>
        <v>1476.3000000000002</v>
      </c>
      <c r="U58" s="313">
        <f>'Marina Projections'!S88</f>
        <v>1476.3000000000002</v>
      </c>
      <c r="V58" s="313">
        <f>'Marina Projections'!T88</f>
        <v>1476.3000000000002</v>
      </c>
      <c r="W58" s="313">
        <f>'Marina Projections'!U88</f>
        <v>1476.3000000000002</v>
      </c>
      <c r="X58" s="313">
        <f>'Marina Projections'!V88</f>
        <v>1476.3000000000002</v>
      </c>
    </row>
    <row r="59" spans="1:25 16384:16384" s="167" customFormat="1">
      <c r="A59" s="497" t="s">
        <v>170</v>
      </c>
      <c r="B59" s="450"/>
      <c r="C59" s="498"/>
      <c r="D59" s="486">
        <v>0</v>
      </c>
      <c r="E59" s="587">
        <v>0</v>
      </c>
      <c r="F59" s="587">
        <v>0</v>
      </c>
      <c r="G59" s="587">
        <v>0</v>
      </c>
      <c r="H59" s="587">
        <v>0</v>
      </c>
      <c r="I59" s="587">
        <v>0</v>
      </c>
      <c r="J59" s="587">
        <v>0</v>
      </c>
      <c r="K59" s="587">
        <v>0</v>
      </c>
      <c r="L59" s="587">
        <v>0</v>
      </c>
      <c r="M59" s="587">
        <v>0</v>
      </c>
      <c r="N59" s="587">
        <v>0</v>
      </c>
      <c r="O59" s="587">
        <v>0</v>
      </c>
      <c r="P59" s="587">
        <v>0</v>
      </c>
      <c r="Q59" s="587">
        <v>0</v>
      </c>
      <c r="R59" s="587">
        <v>0</v>
      </c>
      <c r="S59" s="587">
        <v>0</v>
      </c>
      <c r="T59" s="587">
        <v>0</v>
      </c>
      <c r="U59" s="587">
        <v>0</v>
      </c>
      <c r="V59" s="587">
        <v>0</v>
      </c>
      <c r="W59" s="587">
        <v>0</v>
      </c>
      <c r="X59" s="587">
        <v>0</v>
      </c>
      <c r="Y59" s="167" t="s">
        <v>282</v>
      </c>
    </row>
    <row r="60" spans="1:25 16384:16384" s="167" customFormat="1">
      <c r="A60" s="497" t="s">
        <v>16</v>
      </c>
      <c r="B60" s="450"/>
      <c r="C60" s="498"/>
      <c r="D60" s="499">
        <v>0</v>
      </c>
      <c r="E60" s="587">
        <v>0</v>
      </c>
      <c r="F60" s="587">
        <v>0</v>
      </c>
      <c r="G60" s="587">
        <v>0</v>
      </c>
      <c r="H60" s="587">
        <v>0</v>
      </c>
      <c r="I60" s="587">
        <v>0</v>
      </c>
      <c r="J60" s="587">
        <v>0</v>
      </c>
      <c r="K60" s="587">
        <v>0</v>
      </c>
      <c r="L60" s="587">
        <v>0</v>
      </c>
      <c r="M60" s="587">
        <v>0</v>
      </c>
      <c r="N60" s="587">
        <v>0</v>
      </c>
      <c r="O60" s="587">
        <v>0</v>
      </c>
      <c r="P60" s="587">
        <v>0</v>
      </c>
      <c r="Q60" s="587">
        <v>0</v>
      </c>
      <c r="R60" s="587">
        <v>0</v>
      </c>
      <c r="S60" s="587">
        <v>0</v>
      </c>
      <c r="T60" s="587">
        <v>0</v>
      </c>
      <c r="U60" s="587">
        <v>0</v>
      </c>
      <c r="V60" s="587">
        <v>0</v>
      </c>
      <c r="W60" s="587">
        <v>0</v>
      </c>
      <c r="X60" s="587">
        <v>0</v>
      </c>
      <c r="Y60" s="167" t="s">
        <v>282</v>
      </c>
    </row>
    <row r="61" spans="1:25 16384:16384">
      <c r="A61" s="54"/>
      <c r="B61" s="277"/>
      <c r="C61" s="74"/>
      <c r="D61" s="492"/>
      <c r="E61" s="308"/>
      <c r="F61" s="308"/>
      <c r="G61" s="308"/>
      <c r="H61" s="308"/>
      <c r="I61" s="308"/>
      <c r="J61" s="308"/>
      <c r="K61" s="308"/>
      <c r="L61" s="308"/>
      <c r="M61" s="308"/>
      <c r="N61" s="308"/>
      <c r="O61" s="308"/>
      <c r="P61" s="308"/>
      <c r="Q61" s="308"/>
      <c r="R61" s="308"/>
      <c r="S61" s="308"/>
      <c r="T61" s="308"/>
      <c r="U61" s="308"/>
      <c r="V61" s="308"/>
      <c r="W61" s="308"/>
      <c r="X61" s="308"/>
    </row>
    <row r="62" spans="1:25 16384:16384">
      <c r="A62" s="293" t="s">
        <v>2</v>
      </c>
      <c r="B62" s="277"/>
      <c r="C62" s="74"/>
      <c r="D62" s="492"/>
      <c r="E62" s="308"/>
      <c r="F62" s="308"/>
      <c r="G62" s="308"/>
      <c r="H62" s="308"/>
      <c r="I62" s="308"/>
      <c r="J62" s="308"/>
      <c r="K62" s="308"/>
      <c r="L62" s="308"/>
      <c r="M62" s="308"/>
      <c r="N62" s="308"/>
      <c r="O62" s="308"/>
      <c r="P62" s="308"/>
      <c r="Q62" s="308"/>
      <c r="R62" s="308"/>
      <c r="S62" s="308"/>
      <c r="T62" s="308"/>
      <c r="U62" s="308"/>
      <c r="V62" s="308"/>
      <c r="W62" s="308"/>
      <c r="X62" s="308"/>
    </row>
    <row r="63" spans="1:25 16384:16384" s="96" customFormat="1">
      <c r="A63" s="54" t="s">
        <v>290</v>
      </c>
      <c r="B63" s="435">
        <v>500</v>
      </c>
      <c r="C63" s="487"/>
      <c r="D63" s="486">
        <v>0</v>
      </c>
      <c r="E63" s="313">
        <v>0</v>
      </c>
      <c r="F63" s="313">
        <v>0</v>
      </c>
      <c r="G63" s="313">
        <f t="shared" ref="G63:X63" si="8">$B$63</f>
        <v>500</v>
      </c>
      <c r="H63" s="313">
        <f t="shared" si="8"/>
        <v>500</v>
      </c>
      <c r="I63" s="313">
        <f t="shared" si="8"/>
        <v>500</v>
      </c>
      <c r="J63" s="313">
        <f t="shared" si="8"/>
        <v>500</v>
      </c>
      <c r="K63" s="313">
        <f t="shared" si="8"/>
        <v>500</v>
      </c>
      <c r="L63" s="313">
        <f t="shared" si="8"/>
        <v>500</v>
      </c>
      <c r="M63" s="313">
        <f t="shared" si="8"/>
        <v>500</v>
      </c>
      <c r="N63" s="313">
        <f t="shared" si="8"/>
        <v>500</v>
      </c>
      <c r="O63" s="313">
        <f t="shared" si="8"/>
        <v>500</v>
      </c>
      <c r="P63" s="313">
        <f t="shared" si="8"/>
        <v>500</v>
      </c>
      <c r="Q63" s="313">
        <f t="shared" si="8"/>
        <v>500</v>
      </c>
      <c r="R63" s="313">
        <f t="shared" si="8"/>
        <v>500</v>
      </c>
      <c r="S63" s="313">
        <f t="shared" si="8"/>
        <v>500</v>
      </c>
      <c r="T63" s="313">
        <f t="shared" si="8"/>
        <v>500</v>
      </c>
      <c r="U63" s="313">
        <f t="shared" si="8"/>
        <v>500</v>
      </c>
      <c r="V63" s="313">
        <f t="shared" si="8"/>
        <v>500</v>
      </c>
      <c r="W63" s="313">
        <f t="shared" si="8"/>
        <v>500</v>
      </c>
      <c r="X63" s="313">
        <f t="shared" si="8"/>
        <v>500</v>
      </c>
    </row>
    <row r="64" spans="1:25 16384:16384" s="96" customFormat="1">
      <c r="A64" s="54" t="s">
        <v>540</v>
      </c>
      <c r="B64" s="435"/>
      <c r="C64" s="487"/>
      <c r="D64" s="1055">
        <v>0</v>
      </c>
      <c r="E64" s="1056">
        <v>0</v>
      </c>
      <c r="F64" s="1056">
        <v>0</v>
      </c>
      <c r="G64" s="1056">
        <v>200000</v>
      </c>
      <c r="H64" s="1056">
        <f>G64</f>
        <v>200000</v>
      </c>
      <c r="I64" s="1056">
        <f t="shared" ref="I64:X64" si="9">H64</f>
        <v>200000</v>
      </c>
      <c r="J64" s="1056">
        <f t="shared" si="9"/>
        <v>200000</v>
      </c>
      <c r="K64" s="1056">
        <f t="shared" si="9"/>
        <v>200000</v>
      </c>
      <c r="L64" s="1056">
        <f t="shared" si="9"/>
        <v>200000</v>
      </c>
      <c r="M64" s="1056">
        <f t="shared" si="9"/>
        <v>200000</v>
      </c>
      <c r="N64" s="1056">
        <f t="shared" si="9"/>
        <v>200000</v>
      </c>
      <c r="O64" s="1056">
        <f t="shared" si="9"/>
        <v>200000</v>
      </c>
      <c r="P64" s="1056">
        <f t="shared" si="9"/>
        <v>200000</v>
      </c>
      <c r="Q64" s="1056">
        <f t="shared" si="9"/>
        <v>200000</v>
      </c>
      <c r="R64" s="1056">
        <f t="shared" si="9"/>
        <v>200000</v>
      </c>
      <c r="S64" s="1056">
        <f t="shared" si="9"/>
        <v>200000</v>
      </c>
      <c r="T64" s="1056">
        <f t="shared" si="9"/>
        <v>200000</v>
      </c>
      <c r="U64" s="1056">
        <f t="shared" si="9"/>
        <v>200000</v>
      </c>
      <c r="V64" s="1056">
        <f t="shared" si="9"/>
        <v>200000</v>
      </c>
      <c r="W64" s="1056">
        <f t="shared" si="9"/>
        <v>200000</v>
      </c>
      <c r="X64" s="1056">
        <f t="shared" si="9"/>
        <v>200000</v>
      </c>
    </row>
    <row r="65" spans="1:25" s="96" customFormat="1">
      <c r="A65" s="54" t="s">
        <v>210</v>
      </c>
      <c r="B65" s="487"/>
      <c r="C65" s="487"/>
      <c r="D65" s="486">
        <v>0</v>
      </c>
      <c r="E65" s="313">
        <v>0</v>
      </c>
      <c r="F65" s="313">
        <v>1</v>
      </c>
      <c r="G65" s="313">
        <v>2</v>
      </c>
      <c r="H65" s="313">
        <v>2</v>
      </c>
      <c r="I65" s="313">
        <v>2</v>
      </c>
      <c r="J65" s="313">
        <v>3</v>
      </c>
      <c r="K65" s="313">
        <v>3</v>
      </c>
      <c r="L65" s="313">
        <v>3</v>
      </c>
      <c r="M65" s="313">
        <v>3</v>
      </c>
      <c r="N65" s="313">
        <v>3</v>
      </c>
      <c r="O65" s="313">
        <v>4</v>
      </c>
      <c r="P65" s="313">
        <v>4</v>
      </c>
      <c r="Q65" s="313">
        <v>4</v>
      </c>
      <c r="R65" s="313">
        <v>4</v>
      </c>
      <c r="S65" s="313">
        <v>4</v>
      </c>
      <c r="T65" s="313">
        <v>5</v>
      </c>
      <c r="U65" s="313">
        <v>5</v>
      </c>
      <c r="V65" s="313">
        <v>5</v>
      </c>
      <c r="W65" s="313">
        <v>5</v>
      </c>
      <c r="X65" s="313">
        <v>5</v>
      </c>
      <c r="Y65" s="313"/>
    </row>
    <row r="66" spans="1:25" s="96" customFormat="1">
      <c r="A66" s="96" t="s">
        <v>211</v>
      </c>
      <c r="D66" s="486">
        <v>0</v>
      </c>
      <c r="E66" s="435">
        <v>0</v>
      </c>
      <c r="F66" s="435">
        <v>3</v>
      </c>
      <c r="G66" s="435">
        <v>3</v>
      </c>
      <c r="H66" s="435">
        <v>3</v>
      </c>
      <c r="I66" s="435">
        <v>3</v>
      </c>
      <c r="J66" s="435">
        <v>3</v>
      </c>
      <c r="K66" s="435">
        <v>3</v>
      </c>
      <c r="L66" s="435">
        <v>3</v>
      </c>
      <c r="M66" s="435">
        <v>3</v>
      </c>
      <c r="N66" s="435">
        <v>3</v>
      </c>
      <c r="O66" s="435">
        <v>3</v>
      </c>
      <c r="P66" s="435">
        <v>3</v>
      </c>
      <c r="Q66" s="435">
        <v>3</v>
      </c>
      <c r="R66" s="435">
        <v>3</v>
      </c>
      <c r="S66" s="435">
        <v>3</v>
      </c>
      <c r="T66" s="435">
        <v>3</v>
      </c>
      <c r="U66" s="435">
        <v>3</v>
      </c>
      <c r="V66" s="435">
        <v>3</v>
      </c>
      <c r="W66" s="435">
        <v>3</v>
      </c>
      <c r="X66" s="435">
        <v>3</v>
      </c>
    </row>
    <row r="67" spans="1:25" s="167" customFormat="1">
      <c r="A67" s="497"/>
      <c r="B67" s="501"/>
      <c r="C67" s="501"/>
      <c r="D67" s="499"/>
      <c r="E67" s="500"/>
      <c r="F67" s="500"/>
      <c r="G67" s="500"/>
      <c r="H67" s="500"/>
      <c r="I67" s="500"/>
      <c r="J67" s="500"/>
      <c r="K67" s="500"/>
      <c r="L67" s="500"/>
      <c r="M67" s="500"/>
      <c r="N67" s="500"/>
      <c r="O67" s="500"/>
      <c r="P67" s="500"/>
      <c r="Q67" s="500"/>
      <c r="R67" s="500"/>
      <c r="S67" s="500"/>
      <c r="T67" s="500"/>
      <c r="U67" s="500"/>
      <c r="V67" s="500"/>
      <c r="W67" s="500"/>
      <c r="X67" s="500"/>
      <c r="Y67" s="500"/>
    </row>
    <row r="68" spans="1:25">
      <c r="A68" s="28"/>
      <c r="D68" s="486"/>
      <c r="E68" s="331"/>
      <c r="F68" s="333"/>
      <c r="G68" s="331"/>
      <c r="H68" s="331"/>
      <c r="I68" s="331"/>
      <c r="J68" s="331"/>
      <c r="K68" s="331"/>
      <c r="L68" s="331"/>
      <c r="M68" s="331"/>
      <c r="N68" s="331"/>
      <c r="O68" s="331"/>
      <c r="P68" s="331"/>
      <c r="Q68" s="331"/>
      <c r="R68" s="331"/>
      <c r="S68" s="331"/>
      <c r="T68" s="331"/>
      <c r="U68" s="331"/>
      <c r="V68" s="331"/>
      <c r="W68" s="331"/>
      <c r="X68" s="331"/>
    </row>
    <row r="69" spans="1:25">
      <c r="A69" s="266" t="s">
        <v>135</v>
      </c>
      <c r="B69" s="223"/>
      <c r="C69" s="267"/>
      <c r="D69" s="332"/>
      <c r="E69" s="332"/>
      <c r="F69" s="349"/>
      <c r="G69" s="332"/>
      <c r="H69" s="332"/>
      <c r="I69" s="332"/>
      <c r="J69" s="332"/>
      <c r="K69" s="332"/>
      <c r="L69" s="332"/>
      <c r="M69" s="332"/>
      <c r="N69" s="332"/>
      <c r="O69" s="332"/>
      <c r="P69" s="332"/>
      <c r="Q69" s="332"/>
      <c r="R69" s="332"/>
      <c r="S69" s="332"/>
      <c r="T69" s="332"/>
      <c r="U69" s="332"/>
      <c r="V69" s="332"/>
      <c r="W69" s="332"/>
      <c r="X69" s="332"/>
    </row>
    <row r="70" spans="1:25" s="341" customFormat="1">
      <c r="A70" s="353"/>
      <c r="B70" s="355"/>
      <c r="C70" s="355"/>
      <c r="D70" s="502"/>
      <c r="E70" s="503"/>
      <c r="F70" s="503"/>
      <c r="G70" s="503"/>
      <c r="H70" s="503"/>
      <c r="I70" s="503"/>
      <c r="J70" s="503"/>
      <c r="K70" s="503"/>
      <c r="L70" s="503"/>
      <c r="M70" s="503"/>
      <c r="N70" s="503"/>
      <c r="O70" s="503"/>
      <c r="P70" s="503"/>
      <c r="Q70" s="503"/>
      <c r="R70" s="503"/>
      <c r="S70" s="503"/>
      <c r="T70" s="503"/>
      <c r="U70" s="503"/>
      <c r="V70" s="503"/>
      <c r="W70" s="503"/>
      <c r="X70" s="503"/>
    </row>
    <row r="71" spans="1:25" s="341" customFormat="1">
      <c r="A71" s="691" t="s">
        <v>144</v>
      </c>
      <c r="B71" s="355"/>
      <c r="C71" s="355"/>
      <c r="D71" s="548"/>
      <c r="E71" s="503"/>
      <c r="F71" s="503"/>
      <c r="G71" s="503"/>
      <c r="H71" s="503"/>
      <c r="I71" s="503"/>
      <c r="J71" s="503"/>
      <c r="K71" s="503"/>
      <c r="L71" s="503"/>
      <c r="M71" s="503"/>
      <c r="N71" s="503"/>
      <c r="O71" s="503"/>
      <c r="P71" s="503"/>
      <c r="Q71" s="503"/>
      <c r="R71" s="503"/>
      <c r="S71" s="503"/>
      <c r="T71" s="503"/>
      <c r="U71" s="503"/>
      <c r="V71" s="503"/>
      <c r="W71" s="503"/>
      <c r="X71" s="503"/>
    </row>
    <row r="72" spans="1:25" s="561" customFormat="1">
      <c r="A72" s="353" t="str">
        <f>'BH Tariffs'!A11</f>
        <v>Port Fee</v>
      </c>
      <c r="B72" s="355"/>
      <c r="C72" s="355"/>
      <c r="D72" s="548">
        <v>0</v>
      </c>
      <c r="E72" s="503">
        <f>'BH Tariffs'!D11*'P&amp;L - Concept B3 - ALL'!E12</f>
        <v>0</v>
      </c>
      <c r="F72" s="503">
        <v>0</v>
      </c>
      <c r="G72" s="503">
        <v>0</v>
      </c>
      <c r="H72" s="503">
        <v>0</v>
      </c>
      <c r="I72" s="503">
        <v>0</v>
      </c>
      <c r="J72" s="503">
        <v>0</v>
      </c>
      <c r="K72" s="503">
        <v>0</v>
      </c>
      <c r="L72" s="503">
        <v>0</v>
      </c>
      <c r="M72" s="503">
        <v>0</v>
      </c>
      <c r="N72" s="503">
        <v>0</v>
      </c>
      <c r="O72" s="503">
        <v>0</v>
      </c>
      <c r="P72" s="503">
        <v>0</v>
      </c>
      <c r="Q72" s="503">
        <v>0</v>
      </c>
      <c r="R72" s="503">
        <v>0</v>
      </c>
      <c r="S72" s="503">
        <v>0</v>
      </c>
      <c r="T72" s="503">
        <v>0</v>
      </c>
      <c r="U72" s="503">
        <v>0</v>
      </c>
      <c r="V72" s="503">
        <v>0</v>
      </c>
      <c r="W72" s="503">
        <v>0</v>
      </c>
      <c r="X72" s="503">
        <v>0</v>
      </c>
    </row>
    <row r="73" spans="1:25">
      <c r="A73" s="88"/>
      <c r="B73" s="89"/>
      <c r="C73" s="89"/>
      <c r="D73" s="502"/>
      <c r="E73" s="504"/>
      <c r="F73" s="504"/>
      <c r="G73" s="504"/>
      <c r="H73" s="504"/>
      <c r="I73" s="504"/>
      <c r="J73" s="504"/>
      <c r="K73" s="504"/>
      <c r="L73" s="504"/>
      <c r="M73" s="504"/>
      <c r="N73" s="504"/>
      <c r="O73" s="504"/>
      <c r="P73" s="504"/>
      <c r="Q73" s="504"/>
      <c r="R73" s="504"/>
      <c r="S73" s="504"/>
      <c r="T73" s="504"/>
      <c r="U73" s="504"/>
      <c r="V73" s="504"/>
      <c r="W73" s="504"/>
      <c r="X73" s="504"/>
    </row>
    <row r="74" spans="1:25" s="16" customFormat="1" ht="14.25">
      <c r="A74" s="280" t="s">
        <v>124</v>
      </c>
      <c r="B74" s="533"/>
      <c r="C74" s="533"/>
      <c r="D74" s="534"/>
      <c r="E74" s="535"/>
      <c r="F74" s="535"/>
      <c r="G74" s="535"/>
      <c r="H74" s="535"/>
      <c r="I74" s="535"/>
      <c r="J74" s="535"/>
      <c r="K74" s="535"/>
      <c r="L74" s="535"/>
      <c r="M74" s="535"/>
      <c r="N74" s="535"/>
      <c r="O74" s="535"/>
      <c r="P74" s="535"/>
      <c r="Q74" s="535"/>
      <c r="R74" s="535"/>
      <c r="S74" s="535"/>
      <c r="T74" s="535"/>
      <c r="U74" s="535"/>
      <c r="V74" s="535"/>
      <c r="W74" s="535"/>
      <c r="X74" s="535"/>
    </row>
    <row r="75" spans="1:25" s="279" customFormat="1" ht="14.25">
      <c r="A75" s="91" t="s">
        <v>83</v>
      </c>
      <c r="B75" s="536"/>
      <c r="C75" s="536"/>
      <c r="D75" s="537"/>
      <c r="E75" s="538"/>
      <c r="F75" s="538"/>
      <c r="G75" s="538"/>
      <c r="H75" s="538"/>
      <c r="I75" s="538"/>
      <c r="J75" s="538"/>
      <c r="K75" s="538"/>
      <c r="L75" s="538"/>
      <c r="M75" s="538"/>
      <c r="N75" s="538"/>
      <c r="O75" s="538"/>
      <c r="P75" s="538"/>
      <c r="Q75" s="538"/>
      <c r="R75" s="538"/>
      <c r="S75" s="538"/>
      <c r="T75" s="538"/>
      <c r="U75" s="538"/>
      <c r="V75" s="538"/>
      <c r="W75" s="538"/>
      <c r="X75" s="538"/>
    </row>
    <row r="76" spans="1:25">
      <c r="A76" s="90" t="str">
        <f>'BH Tariffs'!A20</f>
        <v>Town Wharfage (Non-Exclusive Use, Ferry Property Only)</v>
      </c>
      <c r="B76" s="89"/>
      <c r="C76" s="89"/>
      <c r="D76" s="502">
        <v>0</v>
      </c>
      <c r="E76" s="504">
        <f>'BH Tariffs'!D20*'P&amp;L - Concept B3 - ALL'!E12</f>
        <v>0</v>
      </c>
      <c r="F76" s="504">
        <f>'BH Tariffs'!E20*'P&amp;L - Concept B3 - ALL'!F12</f>
        <v>1176607.6686000002</v>
      </c>
      <c r="G76" s="504">
        <f>'BH Tariffs'!F20*'P&amp;L - Concept B3 - ALL'!G12</f>
        <v>1200139.8219719999</v>
      </c>
      <c r="H76" s="504">
        <f>'BH Tariffs'!G20*'P&amp;L - Concept B3 - ALL'!H12</f>
        <v>1224142.6184114402</v>
      </c>
      <c r="I76" s="504">
        <f>'BH Tariffs'!H20*'P&amp;L - Concept B3 - ALL'!I12</f>
        <v>1248625.4707796688</v>
      </c>
      <c r="J76" s="504">
        <f>'BH Tariffs'!I20*'P&amp;L - Concept B3 - ALL'!J12</f>
        <v>1273597.9801952622</v>
      </c>
      <c r="K76" s="504">
        <f>'BH Tariffs'!J20*'P&amp;L - Concept B3 - ALL'!K12</f>
        <v>1299069.9397991677</v>
      </c>
      <c r="L76" s="504">
        <f>'BH Tariffs'!K20*'P&amp;L - Concept B3 - ALL'!L12</f>
        <v>1325051.338595151</v>
      </c>
      <c r="M76" s="504">
        <f>'BH Tariffs'!L20*'P&amp;L - Concept B3 - ALL'!M12</f>
        <v>1351552.365367054</v>
      </c>
      <c r="N76" s="504">
        <f>'BH Tariffs'!M20*'P&amp;L - Concept B3 - ALL'!N12</f>
        <v>1378583.4126743951</v>
      </c>
      <c r="O76" s="504">
        <f>'BH Tariffs'!N20*'P&amp;L - Concept B3 - ALL'!O12</f>
        <v>1406155.080927883</v>
      </c>
      <c r="P76" s="504">
        <f>'BH Tariffs'!O20*'P&amp;L - Concept B3 - ALL'!P12</f>
        <v>1434278.1825464405</v>
      </c>
      <c r="Q76" s="504">
        <f>'BH Tariffs'!P20*'P&amp;L - Concept B3 - ALL'!Q12</f>
        <v>1462963.7461973694</v>
      </c>
      <c r="R76" s="504">
        <f>'BH Tariffs'!Q20*'P&amp;L - Concept B3 - ALL'!R12</f>
        <v>1492223.0211213168</v>
      </c>
      <c r="S76" s="504">
        <f>'BH Tariffs'!R20*'P&amp;L - Concept B3 - ALL'!S12</f>
        <v>1522067.4815437433</v>
      </c>
      <c r="T76" s="504">
        <f>'BH Tariffs'!S20*'P&amp;L - Concept B3 - ALL'!T12</f>
        <v>1552508.8311746181</v>
      </c>
      <c r="U76" s="504">
        <f>'BH Tariffs'!T20*'P&amp;L - Concept B3 - ALL'!U12</f>
        <v>1583559.0077981106</v>
      </c>
      <c r="V76" s="504">
        <f>'BH Tariffs'!U20*'P&amp;L - Concept B3 - ALL'!V12</f>
        <v>1615230.1879540728</v>
      </c>
      <c r="W76" s="504">
        <f>'BH Tariffs'!V20*'P&amp;L - Concept B3 - ALL'!W12</f>
        <v>1647534.7917131544</v>
      </c>
      <c r="X76" s="504">
        <f>'BH Tariffs'!W20*'P&amp;L - Concept B3 - ALL'!X12</f>
        <v>1680485.4875474174</v>
      </c>
    </row>
    <row r="77" spans="1:25" s="341" customFormat="1">
      <c r="A77" s="353" t="str">
        <f>'BH Tariffs'!A21</f>
        <v>CBP Infastructure Fee (Ferry Property Only)</v>
      </c>
      <c r="B77" s="355"/>
      <c r="C77" s="355"/>
      <c r="D77" s="548">
        <v>0</v>
      </c>
      <c r="E77" s="503">
        <v>0</v>
      </c>
      <c r="F77" s="503">
        <v>0</v>
      </c>
      <c r="G77" s="503">
        <v>0</v>
      </c>
      <c r="H77" s="503">
        <v>0</v>
      </c>
      <c r="I77" s="503">
        <v>0</v>
      </c>
      <c r="J77" s="503">
        <v>0</v>
      </c>
      <c r="K77" s="503">
        <v>0</v>
      </c>
      <c r="L77" s="503">
        <v>0</v>
      </c>
      <c r="M77" s="503">
        <v>0</v>
      </c>
      <c r="N77" s="503">
        <v>0</v>
      </c>
      <c r="O77" s="503">
        <v>0</v>
      </c>
      <c r="P77" s="503">
        <v>0</v>
      </c>
      <c r="Q77" s="503">
        <v>0</v>
      </c>
      <c r="R77" s="503">
        <v>0</v>
      </c>
      <c r="S77" s="503">
        <v>0</v>
      </c>
      <c r="T77" s="503">
        <v>0</v>
      </c>
      <c r="U77" s="503">
        <v>0</v>
      </c>
      <c r="V77" s="503">
        <v>0</v>
      </c>
      <c r="W77" s="503">
        <v>0</v>
      </c>
      <c r="X77" s="503">
        <v>0</v>
      </c>
    </row>
    <row r="78" spans="1:25" s="96" customFormat="1">
      <c r="A78" s="90" t="str">
        <f>'BH Tariffs'!A22</f>
        <v>Infrastructure Fee</v>
      </c>
      <c r="B78" s="356"/>
      <c r="C78" s="356"/>
      <c r="D78" s="502">
        <v>0</v>
      </c>
      <c r="E78" s="504">
        <v>0</v>
      </c>
      <c r="F78" s="504">
        <f>'BH Tariffs'!E22*'Cruise Projections'!V97</f>
        <v>522936.74160000001</v>
      </c>
      <c r="G78" s="504">
        <f>'BH Tariffs'!F22*'Cruise Projections'!W97</f>
        <v>533395.47643200005</v>
      </c>
      <c r="H78" s="504">
        <f>'BH Tariffs'!G22*'Cruise Projections'!X97</f>
        <v>544063.38596063992</v>
      </c>
      <c r="I78" s="504">
        <f>'BH Tariffs'!H22*'Cruise Projections'!Y97</f>
        <v>554944.65367985272</v>
      </c>
      <c r="J78" s="504">
        <f>'BH Tariffs'!I22*'Cruise Projections'!Z97</f>
        <v>566043.54675344983</v>
      </c>
      <c r="K78" s="504">
        <f>'BH Tariffs'!J22*'Cruise Projections'!AA97</f>
        <v>577364.41768851888</v>
      </c>
      <c r="L78" s="504">
        <f>'BH Tariffs'!K22*'Cruise Projections'!AB97</f>
        <v>588911.70604228915</v>
      </c>
      <c r="M78" s="504">
        <f>'BH Tariffs'!L22*'Cruise Projections'!AC97</f>
        <v>600689.94016313506</v>
      </c>
      <c r="N78" s="504">
        <f>'BH Tariffs'!M22*'Cruise Projections'!AD97</f>
        <v>612703.73896639771</v>
      </c>
      <c r="O78" s="504">
        <f>'BH Tariffs'!N22*'Cruise Projections'!AE97</f>
        <v>624957.81374572578</v>
      </c>
      <c r="P78" s="504">
        <f>'BH Tariffs'!O22*'Cruise Projections'!AF97</f>
        <v>637456.97002064029</v>
      </c>
      <c r="Q78" s="504">
        <f>'BH Tariffs'!P22*'Cruise Projections'!AG97</f>
        <v>650206.10942105309</v>
      </c>
      <c r="R78" s="504">
        <f>'BH Tariffs'!Q22*'Cruise Projections'!AH97</f>
        <v>663210.23160947405</v>
      </c>
      <c r="S78" s="504">
        <f>'BH Tariffs'!R22*'Cruise Projections'!AI97</f>
        <v>676474.43624166364</v>
      </c>
      <c r="T78" s="504">
        <f>'BH Tariffs'!S22*'Cruise Projections'!AJ97</f>
        <v>690003.924966497</v>
      </c>
      <c r="U78" s="504">
        <f>'BH Tariffs'!T22*'Cruise Projections'!AK97</f>
        <v>703804.00346582686</v>
      </c>
      <c r="V78" s="504">
        <f>'BH Tariffs'!U22*'Cruise Projections'!AL97</f>
        <v>717880.08353514341</v>
      </c>
      <c r="W78" s="504">
        <f>'BH Tariffs'!V22*'Cruise Projections'!AM97</f>
        <v>732237.68520584644</v>
      </c>
      <c r="X78" s="504">
        <f>'BH Tariffs'!W22*'Cruise Projections'!AN97</f>
        <v>746882.43890996324</v>
      </c>
    </row>
    <row r="79" spans="1:25">
      <c r="A79" s="90"/>
      <c r="B79" s="89"/>
      <c r="C79" s="89"/>
      <c r="D79" s="502"/>
      <c r="E79" s="504"/>
      <c r="F79" s="504"/>
      <c r="G79" s="504"/>
      <c r="H79" s="504"/>
      <c r="I79" s="504"/>
      <c r="J79" s="504"/>
      <c r="K79" s="504"/>
      <c r="L79" s="504"/>
      <c r="M79" s="504"/>
      <c r="N79" s="504"/>
      <c r="O79" s="504"/>
      <c r="P79" s="504"/>
      <c r="Q79" s="504"/>
      <c r="R79" s="504"/>
      <c r="S79" s="504"/>
      <c r="T79" s="504"/>
      <c r="U79" s="504"/>
      <c r="V79" s="504"/>
      <c r="W79" s="504"/>
      <c r="X79" s="504"/>
    </row>
    <row r="80" spans="1:25" s="341" customFormat="1">
      <c r="A80" s="543" t="s">
        <v>163</v>
      </c>
      <c r="B80" s="354"/>
      <c r="C80" s="355"/>
      <c r="D80" s="548"/>
      <c r="E80" s="503"/>
      <c r="F80" s="503"/>
      <c r="G80" s="503"/>
      <c r="H80" s="503"/>
      <c r="I80" s="503"/>
      <c r="J80" s="503"/>
      <c r="K80" s="503"/>
      <c r="L80" s="503"/>
      <c r="M80" s="503"/>
      <c r="N80" s="503"/>
      <c r="O80" s="503"/>
      <c r="P80" s="503"/>
      <c r="Q80" s="503"/>
      <c r="R80" s="503"/>
      <c r="S80" s="503"/>
      <c r="T80" s="503"/>
      <c r="U80" s="503"/>
      <c r="V80" s="503"/>
      <c r="W80" s="503"/>
      <c r="X80" s="503"/>
    </row>
    <row r="81" spans="1:25" s="341" customFormat="1">
      <c r="A81" s="353" t="str">
        <f>'BH Tariffs'!A25</f>
        <v>Dock Rent (12 months)</v>
      </c>
      <c r="B81" s="354"/>
      <c r="C81" s="355"/>
      <c r="D81" s="548">
        <v>0</v>
      </c>
      <c r="E81" s="503">
        <v>0</v>
      </c>
      <c r="F81" s="503">
        <v>0</v>
      </c>
      <c r="G81" s="503">
        <v>0</v>
      </c>
      <c r="H81" s="503">
        <v>0</v>
      </c>
      <c r="I81" s="503">
        <v>0</v>
      </c>
      <c r="J81" s="503">
        <v>0</v>
      </c>
      <c r="K81" s="503">
        <v>0</v>
      </c>
      <c r="L81" s="503">
        <v>0</v>
      </c>
      <c r="M81" s="503">
        <v>0</v>
      </c>
      <c r="N81" s="503">
        <v>0</v>
      </c>
      <c r="O81" s="503">
        <v>0</v>
      </c>
      <c r="P81" s="503">
        <v>0</v>
      </c>
      <c r="Q81" s="503">
        <v>0</v>
      </c>
      <c r="R81" s="503">
        <v>0</v>
      </c>
      <c r="S81" s="503">
        <v>0</v>
      </c>
      <c r="T81" s="503">
        <v>0</v>
      </c>
      <c r="U81" s="503">
        <v>0</v>
      </c>
      <c r="V81" s="503">
        <v>0</v>
      </c>
      <c r="W81" s="503">
        <v>0</v>
      </c>
      <c r="X81" s="503">
        <v>0</v>
      </c>
    </row>
    <row r="82" spans="1:25" s="341" customFormat="1">
      <c r="A82" s="353" t="str">
        <f>'BH Tariffs'!A26</f>
        <v>Ferry Passenger Wharfage</v>
      </c>
      <c r="B82" s="354"/>
      <c r="C82" s="355"/>
      <c r="D82" s="548">
        <v>0</v>
      </c>
      <c r="E82" s="503">
        <v>0</v>
      </c>
      <c r="F82" s="503">
        <v>0</v>
      </c>
      <c r="G82" s="503">
        <v>0</v>
      </c>
      <c r="H82" s="503">
        <v>0</v>
      </c>
      <c r="I82" s="503">
        <v>0</v>
      </c>
      <c r="J82" s="503">
        <v>0</v>
      </c>
      <c r="K82" s="503">
        <v>0</v>
      </c>
      <c r="L82" s="503">
        <v>0</v>
      </c>
      <c r="M82" s="503">
        <v>0</v>
      </c>
      <c r="N82" s="503">
        <v>0</v>
      </c>
      <c r="O82" s="503">
        <v>0</v>
      </c>
      <c r="P82" s="503">
        <v>0</v>
      </c>
      <c r="Q82" s="503">
        <v>0</v>
      </c>
      <c r="R82" s="503">
        <v>0</v>
      </c>
      <c r="S82" s="503">
        <v>0</v>
      </c>
      <c r="T82" s="503">
        <v>0</v>
      </c>
      <c r="U82" s="503">
        <v>0</v>
      </c>
      <c r="V82" s="503">
        <v>0</v>
      </c>
      <c r="W82" s="503">
        <v>0</v>
      </c>
      <c r="X82" s="503">
        <v>0</v>
      </c>
    </row>
    <row r="83" spans="1:25" s="341" customFormat="1">
      <c r="A83" s="353" t="str">
        <f>'BH Tariffs'!A27</f>
        <v>Ferry Passenger Vehicle Wharfage</v>
      </c>
      <c r="B83" s="354"/>
      <c r="C83" s="355"/>
      <c r="D83" s="548">
        <v>0</v>
      </c>
      <c r="E83" s="503">
        <v>0</v>
      </c>
      <c r="F83" s="503">
        <v>0</v>
      </c>
      <c r="G83" s="503">
        <v>0</v>
      </c>
      <c r="H83" s="503">
        <v>0</v>
      </c>
      <c r="I83" s="503">
        <v>0</v>
      </c>
      <c r="J83" s="503">
        <v>0</v>
      </c>
      <c r="K83" s="503">
        <v>0</v>
      </c>
      <c r="L83" s="503">
        <v>0</v>
      </c>
      <c r="M83" s="503">
        <v>0</v>
      </c>
      <c r="N83" s="503">
        <v>0</v>
      </c>
      <c r="O83" s="503">
        <v>0</v>
      </c>
      <c r="P83" s="503">
        <v>0</v>
      </c>
      <c r="Q83" s="503">
        <v>0</v>
      </c>
      <c r="R83" s="503">
        <v>0</v>
      </c>
      <c r="S83" s="503">
        <v>0</v>
      </c>
      <c r="T83" s="503">
        <v>0</v>
      </c>
      <c r="U83" s="503">
        <v>0</v>
      </c>
      <c r="V83" s="503">
        <v>0</v>
      </c>
      <c r="W83" s="503">
        <v>0</v>
      </c>
      <c r="X83" s="503">
        <v>0</v>
      </c>
    </row>
    <row r="84" spans="1:25" s="341" customFormat="1">
      <c r="A84" s="353" t="str">
        <f>'BH Tariffs'!A28</f>
        <v>Ferry Bus Wharfage</v>
      </c>
      <c r="B84" s="354"/>
      <c r="C84" s="355"/>
      <c r="D84" s="548">
        <v>0</v>
      </c>
      <c r="E84" s="503">
        <v>0</v>
      </c>
      <c r="F84" s="503">
        <v>0</v>
      </c>
      <c r="G84" s="503">
        <v>0</v>
      </c>
      <c r="H84" s="503">
        <v>0</v>
      </c>
      <c r="I84" s="503">
        <v>0</v>
      </c>
      <c r="J84" s="503">
        <v>0</v>
      </c>
      <c r="K84" s="503">
        <v>0</v>
      </c>
      <c r="L84" s="503">
        <v>0</v>
      </c>
      <c r="M84" s="503">
        <v>0</v>
      </c>
      <c r="N84" s="503">
        <v>0</v>
      </c>
      <c r="O84" s="503">
        <v>0</v>
      </c>
      <c r="P84" s="503">
        <v>0</v>
      </c>
      <c r="Q84" s="503">
        <v>0</v>
      </c>
      <c r="R84" s="503">
        <v>0</v>
      </c>
      <c r="S84" s="503">
        <v>0</v>
      </c>
      <c r="T84" s="503">
        <v>0</v>
      </c>
      <c r="U84" s="503">
        <v>0</v>
      </c>
      <c r="V84" s="503">
        <v>0</v>
      </c>
      <c r="W84" s="503">
        <v>0</v>
      </c>
      <c r="X84" s="503">
        <v>0</v>
      </c>
    </row>
    <row r="85" spans="1:25">
      <c r="A85" s="88"/>
      <c r="B85" s="30"/>
      <c r="C85" s="89"/>
      <c r="D85" s="502"/>
      <c r="E85" s="504"/>
      <c r="F85" s="504"/>
      <c r="G85" s="504"/>
      <c r="H85" s="504"/>
      <c r="I85" s="504"/>
      <c r="J85" s="504"/>
      <c r="K85" s="504"/>
      <c r="L85" s="504"/>
      <c r="M85" s="504"/>
      <c r="N85" s="504"/>
      <c r="O85" s="504"/>
      <c r="P85" s="504"/>
      <c r="Q85" s="504"/>
      <c r="R85" s="504"/>
      <c r="S85" s="504"/>
      <c r="T85" s="504"/>
      <c r="U85" s="504"/>
      <c r="V85" s="504"/>
      <c r="W85" s="504"/>
      <c r="X85" s="504"/>
    </row>
    <row r="86" spans="1:25" s="96" customFormat="1">
      <c r="A86" s="605" t="s">
        <v>164</v>
      </c>
      <c r="B86" s="606"/>
      <c r="C86" s="356"/>
      <c r="D86" s="502"/>
      <c r="E86" s="504"/>
      <c r="F86" s="504"/>
      <c r="G86" s="504"/>
      <c r="H86" s="504"/>
      <c r="I86" s="504"/>
      <c r="J86" s="504"/>
      <c r="K86" s="504"/>
      <c r="L86" s="504"/>
      <c r="M86" s="504"/>
      <c r="N86" s="504"/>
      <c r="O86" s="504"/>
      <c r="P86" s="504"/>
      <c r="Q86" s="504"/>
      <c r="R86" s="504"/>
      <c r="S86" s="504"/>
      <c r="T86" s="504"/>
      <c r="U86" s="504"/>
      <c r="V86" s="504"/>
      <c r="W86" s="504"/>
      <c r="X86" s="504"/>
    </row>
    <row r="87" spans="1:25" s="96" customFormat="1">
      <c r="A87" s="90" t="str">
        <f>'BH Tariffs'!A31</f>
        <v>Dock Rent (6 Months Only)</v>
      </c>
      <c r="B87" s="606"/>
      <c r="C87" s="356"/>
      <c r="D87" s="502">
        <v>0</v>
      </c>
      <c r="E87" s="504">
        <v>0</v>
      </c>
      <c r="F87" s="504">
        <f>'BH Tariffs'!E31*6</f>
        <v>12240</v>
      </c>
      <c r="G87" s="504">
        <f>'BH Tariffs'!F31*6</f>
        <v>12484.800000000001</v>
      </c>
      <c r="H87" s="504">
        <f>'BH Tariffs'!G31*6</f>
        <v>12734.495999999999</v>
      </c>
      <c r="I87" s="504">
        <f>'BH Tariffs'!H31*6</f>
        <v>12989.18592</v>
      </c>
      <c r="J87" s="504">
        <f>'BH Tariffs'!I31*6</f>
        <v>13248.9696384</v>
      </c>
      <c r="K87" s="504">
        <f>'BH Tariffs'!J31*6</f>
        <v>13513.949031168002</v>
      </c>
      <c r="L87" s="504">
        <f>'BH Tariffs'!K31*6</f>
        <v>13784.228011791361</v>
      </c>
      <c r="M87" s="504">
        <f>'BH Tariffs'!L31*6</f>
        <v>14059.912572027188</v>
      </c>
      <c r="N87" s="504">
        <f>'BH Tariffs'!M31*6</f>
        <v>14341.110823467734</v>
      </c>
      <c r="O87" s="504">
        <f>'BH Tariffs'!N31*6</f>
        <v>14627.933039937088</v>
      </c>
      <c r="P87" s="504">
        <f>'BH Tariffs'!O31*6</f>
        <v>14920.491700735829</v>
      </c>
      <c r="Q87" s="504">
        <f>'BH Tariffs'!P31*6</f>
        <v>15218.901534750545</v>
      </c>
      <c r="R87" s="504">
        <f>'BH Tariffs'!Q31*6</f>
        <v>15523.279565445555</v>
      </c>
      <c r="S87" s="504">
        <f>'BH Tariffs'!R31*6</f>
        <v>15833.745156754467</v>
      </c>
      <c r="T87" s="504">
        <f>'BH Tariffs'!S31*6</f>
        <v>16150.420059889559</v>
      </c>
      <c r="U87" s="504">
        <f>'BH Tariffs'!T31*6</f>
        <v>16473.428461087351</v>
      </c>
      <c r="V87" s="504">
        <f>'BH Tariffs'!U31*6</f>
        <v>16802.897030309097</v>
      </c>
      <c r="W87" s="504">
        <f>'BH Tariffs'!V31*6</f>
        <v>17138.954970915282</v>
      </c>
      <c r="X87" s="504">
        <f>'BH Tariffs'!W31*6</f>
        <v>17481.734070333587</v>
      </c>
    </row>
    <row r="88" spans="1:25" s="96" customFormat="1">
      <c r="A88" s="90"/>
      <c r="B88" s="606"/>
      <c r="C88" s="356"/>
      <c r="D88" s="502"/>
      <c r="E88" s="504"/>
      <c r="F88" s="504"/>
      <c r="G88" s="504"/>
      <c r="H88" s="504"/>
      <c r="I88" s="504"/>
      <c r="J88" s="504"/>
      <c r="K88" s="504"/>
      <c r="L88" s="504"/>
      <c r="M88" s="504"/>
      <c r="N88" s="504"/>
      <c r="O88" s="504"/>
      <c r="P88" s="504"/>
      <c r="Q88" s="504"/>
      <c r="R88" s="504"/>
      <c r="S88" s="504"/>
      <c r="T88" s="504"/>
      <c r="U88" s="504"/>
      <c r="V88" s="504"/>
      <c r="W88" s="504"/>
      <c r="X88" s="504"/>
    </row>
    <row r="89" spans="1:25" s="582" customFormat="1" ht="14.25">
      <c r="A89" s="605" t="str">
        <f>'BH Tariffs'!A33</f>
        <v>Recreational/Commercial Marina</v>
      </c>
      <c r="B89" s="607"/>
      <c r="C89" s="608"/>
      <c r="D89" s="537"/>
      <c r="E89" s="538"/>
      <c r="F89" s="538"/>
      <c r="G89" s="538"/>
      <c r="H89" s="538"/>
      <c r="I89" s="538"/>
      <c r="J89" s="538"/>
      <c r="K89" s="538"/>
      <c r="L89" s="538"/>
      <c r="M89" s="538"/>
      <c r="N89" s="538"/>
      <c r="O89" s="538"/>
      <c r="P89" s="538"/>
      <c r="Q89" s="538"/>
      <c r="R89" s="538"/>
      <c r="S89" s="538"/>
      <c r="T89" s="538"/>
      <c r="U89" s="538"/>
      <c r="V89" s="538"/>
      <c r="W89" s="538"/>
      <c r="X89" s="538"/>
    </row>
    <row r="90" spans="1:25" s="96" customFormat="1">
      <c r="A90" s="90" t="str">
        <f>'BH Tariffs'!A34</f>
        <v>Transient Slip Rent</v>
      </c>
      <c r="B90" s="606"/>
      <c r="C90" s="356"/>
      <c r="D90" s="502">
        <v>0</v>
      </c>
      <c r="E90" s="504">
        <v>0</v>
      </c>
      <c r="F90" s="504">
        <f>'BH Tariffs'!E34*'P&amp;L - Concept B3 - ALL'!F57</f>
        <v>100191.03159375001</v>
      </c>
      <c r="G90" s="504">
        <f>'BH Tariffs'!F34*'P&amp;L - Concept B3 - ALL'!G57</f>
        <v>102194.85222562501</v>
      </c>
      <c r="H90" s="504">
        <f>'BH Tariffs'!G34*'P&amp;L - Concept B3 - ALL'!H57</f>
        <v>104238.7492701375</v>
      </c>
      <c r="I90" s="504">
        <f>'BH Tariffs'!H34*'P&amp;L - Concept B3 - ALL'!I57</f>
        <v>106323.52425554027</v>
      </c>
      <c r="J90" s="504">
        <f>'BH Tariffs'!I34*'P&amp;L - Concept B3 - ALL'!J57</f>
        <v>108449.99474065108</v>
      </c>
      <c r="K90" s="504">
        <f>'BH Tariffs'!J34*'P&amp;L - Concept B3 - ALL'!K57</f>
        <v>110618.9946354641</v>
      </c>
      <c r="L90" s="504">
        <f>'BH Tariffs'!K34*'P&amp;L - Concept B3 - ALL'!L57</f>
        <v>112831.37452817339</v>
      </c>
      <c r="M90" s="504">
        <f>'BH Tariffs'!L34*'P&amp;L - Concept B3 - ALL'!M57</f>
        <v>115088.00201873686</v>
      </c>
      <c r="N90" s="504">
        <f>'BH Tariffs'!M34*'P&amp;L - Concept B3 - ALL'!N57</f>
        <v>117389.76205911158</v>
      </c>
      <c r="O90" s="504">
        <f>'BH Tariffs'!N34*'P&amp;L - Concept B3 - ALL'!O57</f>
        <v>119737.55730029383</v>
      </c>
      <c r="P90" s="504">
        <f>'BH Tariffs'!O34*'P&amp;L - Concept B3 - ALL'!P57</f>
        <v>122132.30844629971</v>
      </c>
      <c r="Q90" s="504">
        <f>'BH Tariffs'!P34*'P&amp;L - Concept B3 - ALL'!Q57</f>
        <v>124574.9546152257</v>
      </c>
      <c r="R90" s="504">
        <f>'BH Tariffs'!Q34*'P&amp;L - Concept B3 - ALL'!R57</f>
        <v>127066.45370753021</v>
      </c>
      <c r="S90" s="504">
        <f>'BH Tariffs'!R34*'P&amp;L - Concept B3 - ALL'!S57</f>
        <v>129607.78278168083</v>
      </c>
      <c r="T90" s="504">
        <f>'BH Tariffs'!S34*'P&amp;L - Concept B3 - ALL'!T57</f>
        <v>132199.93843731444</v>
      </c>
      <c r="U90" s="504">
        <f>'BH Tariffs'!T34*'P&amp;L - Concept B3 - ALL'!U57</f>
        <v>134843.93720606071</v>
      </c>
      <c r="V90" s="504">
        <f>'BH Tariffs'!U34*'P&amp;L - Concept B3 - ALL'!V57</f>
        <v>137540.81595018198</v>
      </c>
      <c r="W90" s="504">
        <f>'BH Tariffs'!V34*'P&amp;L - Concept B3 - ALL'!W57</f>
        <v>140291.63226918562</v>
      </c>
      <c r="X90" s="504">
        <f>'BH Tariffs'!W34*'P&amp;L - Concept B3 - ALL'!X57</f>
        <v>143097.46491456931</v>
      </c>
    </row>
    <row r="91" spans="1:25" s="96" customFormat="1">
      <c r="A91" s="90" t="s">
        <v>280</v>
      </c>
      <c r="B91" s="606"/>
      <c r="C91" s="356"/>
      <c r="D91" s="502">
        <v>0</v>
      </c>
      <c r="E91" s="504">
        <v>0</v>
      </c>
      <c r="F91" s="504">
        <f>'BH Tariffs'!E35*'P&amp;L - Concept B3 - ALL'!F58</f>
        <v>158111.73000000004</v>
      </c>
      <c r="G91" s="504">
        <f>'BH Tariffs'!F35*'P&amp;L - Concept B3 - ALL'!G58</f>
        <v>161273.96460000004</v>
      </c>
      <c r="H91" s="504">
        <f>'BH Tariffs'!G35*'P&amp;L - Concept B3 - ALL'!H58</f>
        <v>164499.44389200001</v>
      </c>
      <c r="I91" s="504">
        <f>'BH Tariffs'!H35*'P&amp;L - Concept B3 - ALL'!I58</f>
        <v>167789.43276984003</v>
      </c>
      <c r="J91" s="504">
        <f>'BH Tariffs'!I35*'P&amp;L - Concept B3 - ALL'!J58</f>
        <v>171145.22142523681</v>
      </c>
      <c r="K91" s="504">
        <f>'BH Tariffs'!J35*'P&amp;L - Concept B3 - ALL'!K58</f>
        <v>174568.12585374157</v>
      </c>
      <c r="L91" s="504">
        <f>'BH Tariffs'!K35*'P&amp;L - Concept B3 - ALL'!L58</f>
        <v>178059.4883708164</v>
      </c>
      <c r="M91" s="504">
        <f>'BH Tariffs'!L35*'P&amp;L - Concept B3 - ALL'!M58</f>
        <v>181620.67813823273</v>
      </c>
      <c r="N91" s="504">
        <f>'BH Tariffs'!M35*'P&amp;L - Concept B3 - ALL'!N58</f>
        <v>185253.09170099738</v>
      </c>
      <c r="O91" s="504">
        <f>'BH Tariffs'!N35*'P&amp;L - Concept B3 - ALL'!O58</f>
        <v>188958.15353501734</v>
      </c>
      <c r="P91" s="504">
        <f>'BH Tariffs'!O35*'P&amp;L - Concept B3 - ALL'!P58</f>
        <v>192737.3166057177</v>
      </c>
      <c r="Q91" s="504">
        <f>'BH Tariffs'!P35*'P&amp;L - Concept B3 - ALL'!Q58</f>
        <v>196592.06293783203</v>
      </c>
      <c r="R91" s="504">
        <f>'BH Tariffs'!Q35*'P&amp;L - Concept B3 - ALL'!R58</f>
        <v>200523.90419658867</v>
      </c>
      <c r="S91" s="504">
        <f>'BH Tariffs'!R35*'P&amp;L - Concept B3 - ALL'!S58</f>
        <v>204534.38228052045</v>
      </c>
      <c r="T91" s="504">
        <f>'BH Tariffs'!S35*'P&amp;L - Concept B3 - ALL'!T58</f>
        <v>208625.06992613088</v>
      </c>
      <c r="U91" s="504">
        <f>'BH Tariffs'!T35*'P&amp;L - Concept B3 - ALL'!U58</f>
        <v>212797.57132465352</v>
      </c>
      <c r="V91" s="504">
        <f>'BH Tariffs'!U35*'P&amp;L - Concept B3 - ALL'!V58</f>
        <v>217053.52275114658</v>
      </c>
      <c r="W91" s="504">
        <f>'BH Tariffs'!V35*'P&amp;L - Concept B3 - ALL'!W58</f>
        <v>221394.59320616955</v>
      </c>
      <c r="X91" s="504">
        <f>'BH Tariffs'!W35*'P&amp;L - Concept B3 - ALL'!X58</f>
        <v>225822.48507029293</v>
      </c>
    </row>
    <row r="92" spans="1:25" s="167" customFormat="1">
      <c r="A92" s="539" t="str">
        <f>'BH Tariffs'!A36</f>
        <v>Water/Sewer</v>
      </c>
      <c r="B92" s="609"/>
      <c r="C92" s="540"/>
      <c r="D92" s="541">
        <v>0</v>
      </c>
      <c r="E92" s="542">
        <v>0</v>
      </c>
      <c r="F92" s="542">
        <v>0</v>
      </c>
      <c r="G92" s="542">
        <v>0</v>
      </c>
      <c r="H92" s="542">
        <v>0</v>
      </c>
      <c r="I92" s="542">
        <v>0</v>
      </c>
      <c r="J92" s="542">
        <v>0</v>
      </c>
      <c r="K92" s="542">
        <v>0</v>
      </c>
      <c r="L92" s="542">
        <v>0</v>
      </c>
      <c r="M92" s="542">
        <v>0</v>
      </c>
      <c r="N92" s="542">
        <v>0</v>
      </c>
      <c r="O92" s="542">
        <v>0</v>
      </c>
      <c r="P92" s="542">
        <v>0</v>
      </c>
      <c r="Q92" s="542">
        <v>0</v>
      </c>
      <c r="R92" s="542">
        <v>0</v>
      </c>
      <c r="S92" s="542">
        <v>0</v>
      </c>
      <c r="T92" s="542">
        <v>0</v>
      </c>
      <c r="U92" s="542">
        <v>0</v>
      </c>
      <c r="V92" s="542">
        <v>0</v>
      </c>
      <c r="W92" s="542">
        <v>0</v>
      </c>
      <c r="X92" s="542">
        <v>0</v>
      </c>
      <c r="Y92" s="167" t="s">
        <v>282</v>
      </c>
    </row>
    <row r="93" spans="1:25" s="167" customFormat="1">
      <c r="A93" s="539" t="str">
        <f>'BH Tariffs'!A37</f>
        <v xml:space="preserve">Power (Electricity) </v>
      </c>
      <c r="B93" s="609"/>
      <c r="C93" s="540"/>
      <c r="D93" s="541">
        <v>0</v>
      </c>
      <c r="E93" s="542">
        <v>0</v>
      </c>
      <c r="F93" s="542">
        <v>0</v>
      </c>
      <c r="G93" s="542">
        <v>0</v>
      </c>
      <c r="H93" s="542">
        <v>0</v>
      </c>
      <c r="I93" s="542">
        <v>0</v>
      </c>
      <c r="J93" s="542">
        <v>0</v>
      </c>
      <c r="K93" s="542">
        <v>0</v>
      </c>
      <c r="L93" s="542">
        <v>0</v>
      </c>
      <c r="M93" s="542">
        <v>0</v>
      </c>
      <c r="N93" s="542">
        <v>0</v>
      </c>
      <c r="O93" s="542">
        <v>0</v>
      </c>
      <c r="P93" s="542">
        <v>0</v>
      </c>
      <c r="Q93" s="542">
        <v>0</v>
      </c>
      <c r="R93" s="542">
        <v>0</v>
      </c>
      <c r="S93" s="542">
        <v>0</v>
      </c>
      <c r="T93" s="542">
        <v>0</v>
      </c>
      <c r="U93" s="542">
        <v>0</v>
      </c>
      <c r="V93" s="542">
        <v>0</v>
      </c>
      <c r="W93" s="542">
        <v>0</v>
      </c>
      <c r="X93" s="542">
        <v>0</v>
      </c>
      <c r="Y93" s="167" t="s">
        <v>282</v>
      </c>
    </row>
    <row r="94" spans="1:25" s="96" customFormat="1">
      <c r="A94" s="90" t="s">
        <v>526</v>
      </c>
      <c r="B94" s="606"/>
      <c r="C94" s="356"/>
      <c r="D94" s="502">
        <v>0</v>
      </c>
      <c r="E94" s="504">
        <v>0</v>
      </c>
      <c r="F94" s="504">
        <f>'BH Tariffs'!E38*'P&amp;L - Concept B3 - ALL'!F56</f>
        <v>26250</v>
      </c>
      <c r="G94" s="504">
        <f>'BH Tariffs'!F38*'P&amp;L - Concept B3 - ALL'!G56</f>
        <v>26775</v>
      </c>
      <c r="H94" s="504">
        <f>'BH Tariffs'!G38*'P&amp;L - Concept B3 - ALL'!H56</f>
        <v>27310.5</v>
      </c>
      <c r="I94" s="504">
        <f>'BH Tariffs'!H38*'P&amp;L - Concept B3 - ALL'!I56</f>
        <v>27856.71</v>
      </c>
      <c r="J94" s="504">
        <f>'BH Tariffs'!I38*'P&amp;L - Concept B3 - ALL'!J56</f>
        <v>28413.8442</v>
      </c>
      <c r="K94" s="504">
        <f>'BH Tariffs'!J38*'P&amp;L - Concept B3 - ALL'!K56</f>
        <v>28982.121084000002</v>
      </c>
      <c r="L94" s="504">
        <f>'BH Tariffs'!K38*'P&amp;L - Concept B3 - ALL'!L56</f>
        <v>29561.763505679999</v>
      </c>
      <c r="M94" s="504">
        <f>'BH Tariffs'!L38*'P&amp;L - Concept B3 - ALL'!M56</f>
        <v>30152.9987757936</v>
      </c>
      <c r="N94" s="504">
        <f>'BH Tariffs'!M38*'P&amp;L - Concept B3 - ALL'!N56</f>
        <v>30756.058751309476</v>
      </c>
      <c r="O94" s="504">
        <f>'BH Tariffs'!N38*'P&amp;L - Concept B3 - ALL'!O56</f>
        <v>31371.179926335666</v>
      </c>
      <c r="P94" s="504">
        <f>'BH Tariffs'!O38*'P&amp;L - Concept B3 - ALL'!P56</f>
        <v>31998.603524862378</v>
      </c>
      <c r="Q94" s="504">
        <f>'BH Tariffs'!P38*'P&amp;L - Concept B3 - ALL'!Q56</f>
        <v>32638.575595359627</v>
      </c>
      <c r="R94" s="504">
        <f>'BH Tariffs'!Q38*'P&amp;L - Concept B3 - ALL'!R56</f>
        <v>33291.347107266818</v>
      </c>
      <c r="S94" s="504">
        <f>'BH Tariffs'!R38*'P&amp;L - Concept B3 - ALL'!S56</f>
        <v>33957.174049412148</v>
      </c>
      <c r="T94" s="504">
        <f>'BH Tariffs'!S38*'P&amp;L - Concept B3 - ALL'!T56</f>
        <v>34636.317530400396</v>
      </c>
      <c r="U94" s="504">
        <f>'BH Tariffs'!T38*'P&amp;L - Concept B3 - ALL'!U56</f>
        <v>35329.043881008409</v>
      </c>
      <c r="V94" s="504">
        <f>'BH Tariffs'!U38*'P&amp;L - Concept B3 - ALL'!V56</f>
        <v>36035.624758628575</v>
      </c>
      <c r="W94" s="504">
        <f>'BH Tariffs'!V38*'P&amp;L - Concept B3 - ALL'!W56</f>
        <v>36756.337253801154</v>
      </c>
      <c r="X94" s="504">
        <f>'BH Tariffs'!W38*'P&amp;L - Concept B3 - ALL'!X56</f>
        <v>37491.463998877174</v>
      </c>
    </row>
    <row r="95" spans="1:25">
      <c r="A95" s="88"/>
      <c r="B95" s="30"/>
      <c r="C95" s="89"/>
      <c r="D95" s="502"/>
      <c r="E95" s="504"/>
      <c r="F95" s="504"/>
      <c r="G95" s="504"/>
      <c r="H95" s="504"/>
      <c r="I95" s="504"/>
      <c r="J95" s="504"/>
      <c r="K95" s="504"/>
      <c r="L95" s="504"/>
      <c r="M95" s="504"/>
      <c r="N95" s="504"/>
      <c r="O95" s="504"/>
      <c r="P95" s="504"/>
      <c r="Q95" s="504"/>
      <c r="R95" s="504"/>
      <c r="S95" s="504"/>
      <c r="T95" s="504"/>
      <c r="U95" s="504"/>
      <c r="V95" s="504"/>
      <c r="W95" s="504"/>
      <c r="X95" s="504"/>
    </row>
    <row r="96" spans="1:25">
      <c r="A96" s="91" t="s">
        <v>26</v>
      </c>
      <c r="B96" s="30"/>
      <c r="C96" s="89"/>
      <c r="D96" s="502"/>
      <c r="E96" s="504"/>
      <c r="F96" s="504"/>
      <c r="G96" s="504"/>
      <c r="H96" s="504"/>
      <c r="I96" s="504"/>
      <c r="J96" s="504"/>
      <c r="K96" s="504"/>
      <c r="L96" s="504"/>
      <c r="M96" s="504"/>
      <c r="N96" s="504"/>
      <c r="O96" s="504"/>
      <c r="P96" s="504"/>
      <c r="Q96" s="504"/>
      <c r="R96" s="504"/>
      <c r="S96" s="504"/>
      <c r="T96" s="504"/>
      <c r="U96" s="504"/>
      <c r="V96" s="504"/>
      <c r="W96" s="504"/>
      <c r="X96" s="504"/>
    </row>
    <row r="97" spans="1:24" s="341" customFormat="1">
      <c r="A97" s="353" t="s">
        <v>214</v>
      </c>
      <c r="B97" s="354"/>
      <c r="C97" s="355"/>
      <c r="D97" s="548">
        <v>0</v>
      </c>
      <c r="E97" s="503">
        <v>0</v>
      </c>
      <c r="F97" s="503">
        <v>0</v>
      </c>
      <c r="G97" s="503">
        <v>0</v>
      </c>
      <c r="H97" s="503">
        <v>0</v>
      </c>
      <c r="I97" s="503">
        <v>0</v>
      </c>
      <c r="J97" s="503">
        <v>0</v>
      </c>
      <c r="K97" s="503">
        <v>0</v>
      </c>
      <c r="L97" s="503">
        <v>0</v>
      </c>
      <c r="M97" s="503">
        <v>0</v>
      </c>
      <c r="N97" s="503">
        <v>0</v>
      </c>
      <c r="O97" s="503">
        <v>0</v>
      </c>
      <c r="P97" s="503">
        <v>0</v>
      </c>
      <c r="Q97" s="503">
        <v>0</v>
      </c>
      <c r="R97" s="503">
        <v>0</v>
      </c>
      <c r="S97" s="503">
        <v>0</v>
      </c>
      <c r="T97" s="503">
        <v>0</v>
      </c>
      <c r="U97" s="503">
        <v>0</v>
      </c>
      <c r="V97" s="503">
        <v>0</v>
      </c>
      <c r="W97" s="503">
        <v>0</v>
      </c>
      <c r="X97" s="503">
        <v>0</v>
      </c>
    </row>
    <row r="98" spans="1:24">
      <c r="A98" s="88" t="s">
        <v>215</v>
      </c>
      <c r="B98" s="30"/>
      <c r="C98" s="89"/>
      <c r="D98" s="502">
        <v>0</v>
      </c>
      <c r="E98" s="504">
        <f>'BH Tariffs'!D43*'P&amp;L - Concept B3 - ALL'!E44</f>
        <v>0</v>
      </c>
      <c r="F98" s="504">
        <f>'BH Tariffs'!E43*'P&amp;L - Concept B3 - ALL'!F44</f>
        <v>0</v>
      </c>
      <c r="G98" s="504">
        <f>'BH Tariffs'!F43*'P&amp;L - Concept B3 - ALL'!G44</f>
        <v>0</v>
      </c>
      <c r="H98" s="504">
        <f>'BH Tariffs'!G43*'P&amp;L - Concept B3 - ALL'!H44</f>
        <v>0</v>
      </c>
      <c r="I98" s="504">
        <f>'BH Tariffs'!H43*'P&amp;L - Concept B3 - ALL'!I44</f>
        <v>0</v>
      </c>
      <c r="J98" s="504">
        <f>'BH Tariffs'!I43*'P&amp;L - Concept B3 - ALL'!J44</f>
        <v>243254.24999999994</v>
      </c>
      <c r="K98" s="504">
        <f>'BH Tariffs'!J43*'P&amp;L - Concept B3 - ALL'!K44</f>
        <v>243254.24999999994</v>
      </c>
      <c r="L98" s="504">
        <f>'BH Tariffs'!K43*'P&amp;L - Concept B3 - ALL'!L44</f>
        <v>243254.24999999994</v>
      </c>
      <c r="M98" s="504">
        <f>'BH Tariffs'!L43*'P&amp;L - Concept B3 - ALL'!M44</f>
        <v>243254.24999999994</v>
      </c>
      <c r="N98" s="504">
        <f>'BH Tariffs'!M43*'P&amp;L - Concept B3 - ALL'!N44</f>
        <v>243254.24999999994</v>
      </c>
      <c r="O98" s="504">
        <f>'BH Tariffs'!N43*'P&amp;L - Concept B3 - ALL'!O44</f>
        <v>304067.81249999994</v>
      </c>
      <c r="P98" s="504">
        <f>'BH Tariffs'!O43*'P&amp;L - Concept B3 - ALL'!P44</f>
        <v>304067.81249999994</v>
      </c>
      <c r="Q98" s="504">
        <f>'BH Tariffs'!P43*'P&amp;L - Concept B3 - ALL'!Q44</f>
        <v>304067.81249999994</v>
      </c>
      <c r="R98" s="504">
        <f>'BH Tariffs'!Q43*'P&amp;L - Concept B3 - ALL'!R44</f>
        <v>304067.81249999994</v>
      </c>
      <c r="S98" s="504">
        <f>'BH Tariffs'!R43*'P&amp;L - Concept B3 - ALL'!S44</f>
        <v>304067.81249999994</v>
      </c>
      <c r="T98" s="504">
        <f>'BH Tariffs'!S43*'P&amp;L - Concept B3 - ALL'!T44</f>
        <v>364881.37499999988</v>
      </c>
      <c r="U98" s="504">
        <f>'BH Tariffs'!T43*'P&amp;L - Concept B3 - ALL'!U44</f>
        <v>364881.37499999988</v>
      </c>
      <c r="V98" s="504">
        <f>'BH Tariffs'!U43*'P&amp;L - Concept B3 - ALL'!V44</f>
        <v>364881.37499999988</v>
      </c>
      <c r="W98" s="504">
        <f>'BH Tariffs'!V43*'P&amp;L - Concept B3 - ALL'!W44</f>
        <v>364881.37499999988</v>
      </c>
      <c r="X98" s="504">
        <f>'BH Tariffs'!W43*'P&amp;L - Concept B3 - ALL'!X44</f>
        <v>364881.37499999988</v>
      </c>
    </row>
    <row r="99" spans="1:24">
      <c r="A99" s="91"/>
      <c r="B99" s="30"/>
      <c r="C99" s="89"/>
      <c r="D99" s="502"/>
      <c r="E99" s="504"/>
      <c r="F99" s="504"/>
      <c r="G99" s="504"/>
      <c r="H99" s="504"/>
      <c r="I99" s="504"/>
      <c r="J99" s="504"/>
      <c r="K99" s="504"/>
      <c r="L99" s="504"/>
      <c r="M99" s="504"/>
      <c r="N99" s="504"/>
      <c r="O99" s="504"/>
      <c r="P99" s="504"/>
      <c r="Q99" s="504"/>
      <c r="R99" s="504"/>
      <c r="S99" s="504"/>
      <c r="T99" s="504"/>
      <c r="U99" s="504"/>
      <c r="V99" s="504"/>
      <c r="W99" s="504"/>
      <c r="X99" s="504"/>
    </row>
    <row r="100" spans="1:24">
      <c r="A100" s="91" t="s">
        <v>2</v>
      </c>
      <c r="B100" s="30"/>
      <c r="C100" s="89"/>
      <c r="D100" s="502"/>
      <c r="E100" s="504"/>
      <c r="F100" s="504"/>
      <c r="G100" s="504"/>
      <c r="H100" s="504"/>
      <c r="I100" s="504"/>
      <c r="J100" s="504"/>
      <c r="K100" s="504"/>
      <c r="L100" s="504"/>
      <c r="M100" s="504"/>
      <c r="N100" s="504"/>
      <c r="O100" s="504"/>
      <c r="P100" s="504"/>
      <c r="Q100" s="504"/>
      <c r="R100" s="504"/>
      <c r="S100" s="504"/>
      <c r="T100" s="504"/>
      <c r="U100" s="504"/>
      <c r="V100" s="504"/>
      <c r="W100" s="504"/>
      <c r="X100" s="504"/>
    </row>
    <row r="101" spans="1:24">
      <c r="A101" s="88" t="str">
        <f>'BH Tariffs'!A44</f>
        <v>Commerical Rent (Seasonal Kiosk(s)/Vendor(s))</v>
      </c>
      <c r="B101" s="30"/>
      <c r="C101" s="89"/>
      <c r="D101" s="502">
        <v>0</v>
      </c>
      <c r="E101" s="504">
        <f>'BH Tariffs'!D44*'P&amp;L - Concept B3 - ALL'!E63</f>
        <v>0</v>
      </c>
      <c r="F101" s="504">
        <f>'BH Tariffs'!E44*'P&amp;L - Concept B3 - ALL'!F63</f>
        <v>0</v>
      </c>
      <c r="G101" s="504">
        <f>'BH Tariffs'!F44*'P&amp;L - Concept B3 - ALL'!G63*6</f>
        <v>6242.4000000000005</v>
      </c>
      <c r="H101" s="504">
        <f>'BH Tariffs'!G44*'P&amp;L - Concept B3 - ALL'!H63*6</f>
        <v>6367.2479999999996</v>
      </c>
      <c r="I101" s="504">
        <f>'BH Tariffs'!H44*'P&amp;L - Concept B3 - ALL'!I63*6</f>
        <v>6494.5929599999999</v>
      </c>
      <c r="J101" s="504">
        <f>'BH Tariffs'!I44*'P&amp;L - Concept B3 - ALL'!J63*6</f>
        <v>6624.4848191999999</v>
      </c>
      <c r="K101" s="504">
        <f>'BH Tariffs'!J44*'P&amp;L - Concept B3 - ALL'!K63*6</f>
        <v>6756.974515584001</v>
      </c>
      <c r="L101" s="504">
        <f>'BH Tariffs'!K44*'P&amp;L - Concept B3 - ALL'!L63*6</f>
        <v>6892.1140058956807</v>
      </c>
      <c r="M101" s="504">
        <f>'BH Tariffs'!L44*'P&amp;L - Concept B3 - ALL'!M63*6</f>
        <v>7029.9562860135939</v>
      </c>
      <c r="N101" s="504">
        <f>'BH Tariffs'!M44*'P&amp;L - Concept B3 - ALL'!N63*6</f>
        <v>7170.555411733867</v>
      </c>
      <c r="O101" s="504">
        <f>'BH Tariffs'!N44*'P&amp;L - Concept B3 - ALL'!O63*6</f>
        <v>7313.9665199685442</v>
      </c>
      <c r="P101" s="504">
        <f>'BH Tariffs'!O44*'P&amp;L - Concept B3 - ALL'!P63*6</f>
        <v>7460.2458503679145</v>
      </c>
      <c r="Q101" s="504">
        <f>'BH Tariffs'!P44*'P&amp;L - Concept B3 - ALL'!Q63*6</f>
        <v>7609.4507673752723</v>
      </c>
      <c r="R101" s="504">
        <f>'BH Tariffs'!Q44*'P&amp;L - Concept B3 - ALL'!R63*6</f>
        <v>7761.6397827227775</v>
      </c>
      <c r="S101" s="504">
        <f>'BH Tariffs'!R44*'P&amp;L - Concept B3 - ALL'!S63*6</f>
        <v>7916.8725783772334</v>
      </c>
      <c r="T101" s="504">
        <f>'BH Tariffs'!S44*'P&amp;L - Concept B3 - ALL'!T63*6</f>
        <v>8075.2100299447793</v>
      </c>
      <c r="U101" s="504">
        <f>'BH Tariffs'!T44*'P&amp;L - Concept B3 - ALL'!U63*6</f>
        <v>8236.7142305436755</v>
      </c>
      <c r="V101" s="504">
        <f>'BH Tariffs'!U44*'P&amp;L - Concept B3 - ALL'!V63*6</f>
        <v>8401.4485151545487</v>
      </c>
      <c r="W101" s="504">
        <f>'BH Tariffs'!V44*'P&amp;L - Concept B3 - ALL'!W63*6</f>
        <v>8569.4774854576408</v>
      </c>
      <c r="X101" s="504">
        <f>'BH Tariffs'!W44*'P&amp;L - Concept B3 - ALL'!X63*6</f>
        <v>8740.8670351667934</v>
      </c>
    </row>
    <row r="102" spans="1:24" s="96" customFormat="1">
      <c r="A102" s="90" t="s">
        <v>541</v>
      </c>
      <c r="B102" s="606"/>
      <c r="C102" s="356"/>
      <c r="D102" s="502">
        <v>0</v>
      </c>
      <c r="E102" s="504">
        <v>0</v>
      </c>
      <c r="F102" s="504">
        <v>0</v>
      </c>
      <c r="G102" s="504">
        <f>G64*0.05</f>
        <v>10000</v>
      </c>
      <c r="H102" s="504">
        <f t="shared" ref="H102:X102" si="10">H64*0.05</f>
        <v>10000</v>
      </c>
      <c r="I102" s="504">
        <f t="shared" si="10"/>
        <v>10000</v>
      </c>
      <c r="J102" s="504">
        <f t="shared" si="10"/>
        <v>10000</v>
      </c>
      <c r="K102" s="504">
        <f t="shared" si="10"/>
        <v>10000</v>
      </c>
      <c r="L102" s="504">
        <f t="shared" si="10"/>
        <v>10000</v>
      </c>
      <c r="M102" s="504">
        <f t="shared" si="10"/>
        <v>10000</v>
      </c>
      <c r="N102" s="504">
        <f t="shared" si="10"/>
        <v>10000</v>
      </c>
      <c r="O102" s="504">
        <f t="shared" si="10"/>
        <v>10000</v>
      </c>
      <c r="P102" s="504">
        <f t="shared" si="10"/>
        <v>10000</v>
      </c>
      <c r="Q102" s="504">
        <f t="shared" si="10"/>
        <v>10000</v>
      </c>
      <c r="R102" s="504">
        <f t="shared" si="10"/>
        <v>10000</v>
      </c>
      <c r="S102" s="504">
        <f t="shared" si="10"/>
        <v>10000</v>
      </c>
      <c r="T102" s="504">
        <f t="shared" si="10"/>
        <v>10000</v>
      </c>
      <c r="U102" s="504">
        <f t="shared" si="10"/>
        <v>10000</v>
      </c>
      <c r="V102" s="504">
        <f t="shared" si="10"/>
        <v>10000</v>
      </c>
      <c r="W102" s="504">
        <f t="shared" si="10"/>
        <v>10000</v>
      </c>
      <c r="X102" s="504">
        <f t="shared" si="10"/>
        <v>10000</v>
      </c>
    </row>
    <row r="103" spans="1:24">
      <c r="A103" s="88" t="str">
        <f>'BH Tariffs'!A45</f>
        <v>Motorcoach Access/Tour Operator Licenses</v>
      </c>
      <c r="B103" s="30"/>
      <c r="C103" s="89"/>
      <c r="D103" s="502">
        <v>0</v>
      </c>
      <c r="E103" s="504">
        <v>0</v>
      </c>
      <c r="F103" s="504">
        <f>'BH Tariffs'!E45*'P&amp;L - Concept B3 - ALL'!F66</f>
        <v>3060</v>
      </c>
      <c r="G103" s="504">
        <f>'BH Tariffs'!F45*'P&amp;L - Concept B3 - ALL'!G66</f>
        <v>3121.2000000000003</v>
      </c>
      <c r="H103" s="504">
        <f>'BH Tariffs'!G45*'P&amp;L - Concept B3 - ALL'!H66</f>
        <v>3183.6239999999998</v>
      </c>
      <c r="I103" s="504">
        <f>'BH Tariffs'!H45*'P&amp;L - Concept B3 - ALL'!I66</f>
        <v>3247.29648</v>
      </c>
      <c r="J103" s="504">
        <f>'BH Tariffs'!I45*'P&amp;L - Concept B3 - ALL'!J66</f>
        <v>3312.2424096</v>
      </c>
      <c r="K103" s="504">
        <f>'BH Tariffs'!J45*'P&amp;L - Concept B3 - ALL'!K66</f>
        <v>3378.4872577920005</v>
      </c>
      <c r="L103" s="504">
        <f>'BH Tariffs'!K45*'P&amp;L - Concept B3 - ALL'!L66</f>
        <v>3446.0570029478404</v>
      </c>
      <c r="M103" s="504">
        <f>'BH Tariffs'!L45*'P&amp;L - Concept B3 - ALL'!M66</f>
        <v>3514.9781430067969</v>
      </c>
      <c r="N103" s="504">
        <f>'BH Tariffs'!M45*'P&amp;L - Concept B3 - ALL'!N66</f>
        <v>3585.2777058669335</v>
      </c>
      <c r="O103" s="504">
        <f>'BH Tariffs'!N45*'P&amp;L - Concept B3 - ALL'!O66</f>
        <v>3656.9832599842721</v>
      </c>
      <c r="P103" s="504">
        <f>'BH Tariffs'!O45*'P&amp;L - Concept B3 - ALL'!P66</f>
        <v>3730.1229251839572</v>
      </c>
      <c r="Q103" s="504">
        <f>'BH Tariffs'!P45*'P&amp;L - Concept B3 - ALL'!Q66</f>
        <v>3804.7253836876362</v>
      </c>
      <c r="R103" s="504">
        <f>'BH Tariffs'!Q45*'P&amp;L - Concept B3 - ALL'!R66</f>
        <v>3880.8198913613887</v>
      </c>
      <c r="S103" s="504">
        <f>'BH Tariffs'!R45*'P&amp;L - Concept B3 - ALL'!S66</f>
        <v>3958.4362891886167</v>
      </c>
      <c r="T103" s="504">
        <f>'BH Tariffs'!S45*'P&amp;L - Concept B3 - ALL'!T66</f>
        <v>4037.6050149723897</v>
      </c>
      <c r="U103" s="504">
        <f>'BH Tariffs'!T45*'P&amp;L - Concept B3 - ALL'!U66</f>
        <v>4118.3571152718378</v>
      </c>
      <c r="V103" s="504">
        <f>'BH Tariffs'!U45*'P&amp;L - Concept B3 - ALL'!V66</f>
        <v>4200.7242575772743</v>
      </c>
      <c r="W103" s="504">
        <f>'BH Tariffs'!V45*'P&amp;L - Concept B3 - ALL'!W66</f>
        <v>4284.7387427288204</v>
      </c>
      <c r="X103" s="504">
        <f>'BH Tariffs'!W45*'P&amp;L - Concept B3 - ALL'!X66</f>
        <v>4370.4335175833967</v>
      </c>
    </row>
    <row r="104" spans="1:24">
      <c r="A104" s="299" t="s">
        <v>217</v>
      </c>
      <c r="B104" s="299"/>
      <c r="C104" s="299"/>
      <c r="D104" s="505">
        <v>0</v>
      </c>
      <c r="E104" s="506">
        <v>0</v>
      </c>
      <c r="F104" s="506">
        <f>'BH Tariffs'!E46*'P&amp;L - Concept B3 - ALL'!F65</f>
        <v>500</v>
      </c>
      <c r="G104" s="506">
        <f>'BH Tariffs'!F46*'P&amp;L - Concept B3 - ALL'!G65</f>
        <v>1000</v>
      </c>
      <c r="H104" s="506">
        <f>'BH Tariffs'!G46*'P&amp;L - Concept B3 - ALL'!H65</f>
        <v>1000</v>
      </c>
      <c r="I104" s="506">
        <f>'BH Tariffs'!H46*'P&amp;L - Concept B3 - ALL'!I65</f>
        <v>1000</v>
      </c>
      <c r="J104" s="506">
        <f>'BH Tariffs'!I46*'P&amp;L - Concept B3 - ALL'!J65</f>
        <v>1650</v>
      </c>
      <c r="K104" s="506">
        <f>'BH Tariffs'!J46*'P&amp;L - Concept B3 - ALL'!K65</f>
        <v>1650</v>
      </c>
      <c r="L104" s="506">
        <f>'BH Tariffs'!K46*'P&amp;L - Concept B3 - ALL'!L65</f>
        <v>1650</v>
      </c>
      <c r="M104" s="506">
        <f>'BH Tariffs'!L46*'P&amp;L - Concept B3 - ALL'!M65</f>
        <v>1650</v>
      </c>
      <c r="N104" s="506">
        <f>'BH Tariffs'!M46*'P&amp;L - Concept B3 - ALL'!N65</f>
        <v>1650</v>
      </c>
      <c r="O104" s="506">
        <f>'BH Tariffs'!N46*'P&amp;L - Concept B3 - ALL'!O65</f>
        <v>2400</v>
      </c>
      <c r="P104" s="506">
        <f>'BH Tariffs'!O46*'P&amp;L - Concept B3 - ALL'!P65</f>
        <v>2400</v>
      </c>
      <c r="Q104" s="506">
        <f>'BH Tariffs'!P46*'P&amp;L - Concept B3 - ALL'!Q65</f>
        <v>2400</v>
      </c>
      <c r="R104" s="506">
        <f>'BH Tariffs'!Q46*'P&amp;L - Concept B3 - ALL'!R65</f>
        <v>2400</v>
      </c>
      <c r="S104" s="506">
        <f>'BH Tariffs'!R46*'P&amp;L - Concept B3 - ALL'!S65</f>
        <v>2400</v>
      </c>
      <c r="T104" s="506">
        <f>'BH Tariffs'!S46*'P&amp;L - Concept B3 - ALL'!T65</f>
        <v>3250</v>
      </c>
      <c r="U104" s="506">
        <f>'BH Tariffs'!T46*'P&amp;L - Concept B3 - ALL'!U65</f>
        <v>3250</v>
      </c>
      <c r="V104" s="506">
        <f>'BH Tariffs'!U46*'P&amp;L - Concept B3 - ALL'!V65</f>
        <v>3250</v>
      </c>
      <c r="W104" s="506">
        <f>'BH Tariffs'!V46*'P&amp;L - Concept B3 - ALL'!W65</f>
        <v>3250</v>
      </c>
      <c r="X104" s="506">
        <f>'BH Tariffs'!W46*'P&amp;L - Concept B3 - ALL'!X65</f>
        <v>3250</v>
      </c>
    </row>
    <row r="105" spans="1:24">
      <c r="A105" s="278" t="s">
        <v>145</v>
      </c>
      <c r="D105" s="507">
        <f>SUM(D71:D104)</f>
        <v>0</v>
      </c>
      <c r="E105" s="508">
        <f>SUM(E70:E104)</f>
        <v>0</v>
      </c>
      <c r="F105" s="508">
        <f t="shared" ref="F105:X105" si="11">SUM(F70:F104)</f>
        <v>1999897.1717937503</v>
      </c>
      <c r="G105" s="508">
        <f t="shared" si="11"/>
        <v>2056627.5152296249</v>
      </c>
      <c r="H105" s="508">
        <f t="shared" si="11"/>
        <v>2097540.0655342173</v>
      </c>
      <c r="I105" s="508">
        <f t="shared" si="11"/>
        <v>2139270.8668449018</v>
      </c>
      <c r="J105" s="508">
        <f t="shared" si="11"/>
        <v>2425740.5341817997</v>
      </c>
      <c r="K105" s="508">
        <f t="shared" si="11"/>
        <v>2469157.2598654362</v>
      </c>
      <c r="L105" s="508">
        <f t="shared" si="11"/>
        <v>2513442.3200627449</v>
      </c>
      <c r="M105" s="508">
        <f t="shared" si="11"/>
        <v>2558613.081464</v>
      </c>
      <c r="N105" s="508">
        <f t="shared" si="11"/>
        <v>2604687.2580932793</v>
      </c>
      <c r="O105" s="508">
        <f t="shared" si="11"/>
        <v>2713246.4807551457</v>
      </c>
      <c r="P105" s="508">
        <f t="shared" si="11"/>
        <v>2761182.0541202482</v>
      </c>
      <c r="Q105" s="508">
        <f t="shared" si="11"/>
        <v>2810076.3389526531</v>
      </c>
      <c r="R105" s="508">
        <f t="shared" si="11"/>
        <v>2859948.5094817067</v>
      </c>
      <c r="S105" s="508">
        <f t="shared" si="11"/>
        <v>2910818.1234213412</v>
      </c>
      <c r="T105" s="508">
        <f t="shared" si="11"/>
        <v>3024368.6921397676</v>
      </c>
      <c r="U105" s="508">
        <f t="shared" si="11"/>
        <v>3077293.438482563</v>
      </c>
      <c r="V105" s="508">
        <f t="shared" si="11"/>
        <v>3131276.6797522139</v>
      </c>
      <c r="W105" s="508">
        <f t="shared" si="11"/>
        <v>3186339.5858472586</v>
      </c>
      <c r="X105" s="508">
        <f t="shared" si="11"/>
        <v>3242503.7500642035</v>
      </c>
    </row>
    <row r="106" spans="1:24">
      <c r="D106" s="507"/>
      <c r="E106" s="413"/>
      <c r="F106" s="413"/>
      <c r="G106" s="413"/>
      <c r="H106" s="413"/>
      <c r="I106" s="413"/>
      <c r="J106" s="413"/>
      <c r="K106" s="413"/>
      <c r="L106" s="413"/>
      <c r="M106" s="413"/>
      <c r="N106" s="413"/>
      <c r="O106" s="413"/>
      <c r="P106" s="413"/>
      <c r="Q106" s="413"/>
      <c r="R106" s="413"/>
      <c r="S106" s="413"/>
      <c r="T106" s="413"/>
      <c r="U106" s="413"/>
      <c r="V106" s="413"/>
      <c r="W106" s="413"/>
      <c r="X106" s="413"/>
    </row>
    <row r="107" spans="1:24">
      <c r="A107" s="271" t="s">
        <v>146</v>
      </c>
      <c r="B107" s="149"/>
      <c r="C107" s="149"/>
      <c r="D107" s="509"/>
      <c r="E107" s="510"/>
      <c r="F107" s="510"/>
      <c r="G107" s="510"/>
      <c r="H107" s="510"/>
      <c r="I107" s="510"/>
      <c r="J107" s="510"/>
      <c r="K107" s="510"/>
      <c r="L107" s="510"/>
      <c r="M107" s="510"/>
      <c r="N107" s="510"/>
      <c r="O107" s="510"/>
      <c r="P107" s="510"/>
      <c r="Q107" s="510"/>
      <c r="R107" s="510"/>
      <c r="S107" s="510"/>
      <c r="T107" s="510"/>
      <c r="U107" s="510"/>
      <c r="V107" s="510"/>
      <c r="W107" s="510"/>
      <c r="X107" s="510"/>
    </row>
    <row r="108" spans="1:24">
      <c r="D108" s="507"/>
      <c r="E108" s="413"/>
      <c r="F108" s="413"/>
      <c r="G108" s="413"/>
      <c r="H108" s="413"/>
      <c r="I108" s="413"/>
      <c r="J108" s="413"/>
      <c r="K108" s="413"/>
      <c r="L108" s="413"/>
      <c r="M108" s="413"/>
      <c r="N108" s="413"/>
      <c r="O108" s="413"/>
      <c r="P108" s="413"/>
      <c r="Q108" s="413"/>
      <c r="R108" s="413"/>
      <c r="S108" s="413"/>
      <c r="T108" s="413"/>
      <c r="U108" s="413"/>
      <c r="V108" s="413"/>
      <c r="W108" s="413"/>
      <c r="X108" s="413"/>
    </row>
    <row r="109" spans="1:24">
      <c r="A109" s="91" t="s">
        <v>380</v>
      </c>
      <c r="B109" s="89"/>
      <c r="C109" s="89"/>
      <c r="D109" s="502"/>
      <c r="E109" s="504"/>
      <c r="F109" s="504"/>
      <c r="G109" s="504"/>
      <c r="H109" s="504"/>
      <c r="I109" s="504"/>
      <c r="J109" s="504"/>
      <c r="K109" s="504"/>
      <c r="L109" s="504"/>
      <c r="M109" s="504"/>
      <c r="N109" s="504"/>
      <c r="O109" s="504"/>
      <c r="P109" s="504"/>
      <c r="Q109" s="504"/>
      <c r="R109" s="504"/>
      <c r="S109" s="504"/>
      <c r="T109" s="504"/>
      <c r="U109" s="504"/>
      <c r="V109" s="504"/>
      <c r="W109" s="504"/>
      <c r="X109" s="504"/>
    </row>
    <row r="110" spans="1:24">
      <c r="A110" s="88" t="s">
        <v>432</v>
      </c>
      <c r="B110" s="89"/>
      <c r="C110" s="89"/>
      <c r="D110" s="502">
        <v>0</v>
      </c>
      <c r="E110" s="504">
        <v>0</v>
      </c>
      <c r="F110" s="504">
        <v>0</v>
      </c>
      <c r="G110" s="504">
        <v>0</v>
      </c>
      <c r="H110" s="504">
        <v>0</v>
      </c>
      <c r="I110" s="504">
        <v>0</v>
      </c>
      <c r="J110" s="504">
        <v>0</v>
      </c>
      <c r="K110" s="504">
        <v>0</v>
      </c>
      <c r="L110" s="504">
        <v>0</v>
      </c>
      <c r="M110" s="504">
        <v>0</v>
      </c>
      <c r="N110" s="504">
        <v>0</v>
      </c>
      <c r="O110" s="504">
        <v>0</v>
      </c>
      <c r="P110" s="504">
        <v>0</v>
      </c>
      <c r="Q110" s="504">
        <v>0</v>
      </c>
      <c r="R110" s="504">
        <v>0</v>
      </c>
      <c r="S110" s="504">
        <v>0</v>
      </c>
      <c r="T110" s="504">
        <v>0</v>
      </c>
      <c r="U110" s="504">
        <v>0</v>
      </c>
      <c r="V110" s="504">
        <v>0</v>
      </c>
      <c r="W110" s="504">
        <v>0</v>
      </c>
      <c r="X110" s="504">
        <v>0</v>
      </c>
    </row>
    <row r="111" spans="1:24">
      <c r="A111" s="88" t="s">
        <v>433</v>
      </c>
      <c r="B111" s="89"/>
      <c r="C111" s="89"/>
      <c r="D111" s="502">
        <v>0</v>
      </c>
      <c r="E111" s="504">
        <v>0</v>
      </c>
      <c r="F111" s="504">
        <v>0</v>
      </c>
      <c r="G111" s="504">
        <v>0</v>
      </c>
      <c r="H111" s="504">
        <v>0</v>
      </c>
      <c r="I111" s="504">
        <v>0</v>
      </c>
      <c r="J111" s="504">
        <v>0</v>
      </c>
      <c r="K111" s="504">
        <v>0</v>
      </c>
      <c r="L111" s="504">
        <v>0</v>
      </c>
      <c r="M111" s="504">
        <v>0</v>
      </c>
      <c r="N111" s="504">
        <v>0</v>
      </c>
      <c r="O111" s="504">
        <v>0</v>
      </c>
      <c r="P111" s="504">
        <v>0</v>
      </c>
      <c r="Q111" s="504">
        <v>0</v>
      </c>
      <c r="R111" s="504">
        <v>0</v>
      </c>
      <c r="S111" s="504">
        <v>0</v>
      </c>
      <c r="T111" s="504">
        <v>0</v>
      </c>
      <c r="U111" s="504">
        <v>0</v>
      </c>
      <c r="V111" s="504">
        <v>0</v>
      </c>
      <c r="W111" s="504">
        <v>0</v>
      </c>
      <c r="X111" s="504">
        <v>0</v>
      </c>
    </row>
    <row r="112" spans="1:24">
      <c r="A112" s="88" t="s">
        <v>434</v>
      </c>
      <c r="B112" s="89"/>
      <c r="C112" s="89"/>
      <c r="D112" s="502">
        <v>0</v>
      </c>
      <c r="E112" s="504">
        <v>0</v>
      </c>
      <c r="F112" s="504">
        <v>0</v>
      </c>
      <c r="G112" s="504">
        <v>0</v>
      </c>
      <c r="H112" s="504">
        <v>0</v>
      </c>
      <c r="I112" s="504">
        <v>0</v>
      </c>
      <c r="J112" s="504">
        <v>0</v>
      </c>
      <c r="K112" s="504">
        <v>0</v>
      </c>
      <c r="L112" s="504">
        <v>0</v>
      </c>
      <c r="M112" s="504">
        <v>0</v>
      </c>
      <c r="N112" s="504">
        <v>0</v>
      </c>
      <c r="O112" s="504">
        <v>0</v>
      </c>
      <c r="P112" s="504">
        <v>0</v>
      </c>
      <c r="Q112" s="504">
        <v>0</v>
      </c>
      <c r="R112" s="504">
        <v>0</v>
      </c>
      <c r="S112" s="504">
        <v>0</v>
      </c>
      <c r="T112" s="504">
        <v>0</v>
      </c>
      <c r="U112" s="504">
        <v>0</v>
      </c>
      <c r="V112" s="504">
        <v>0</v>
      </c>
      <c r="W112" s="504">
        <v>0</v>
      </c>
      <c r="X112" s="504">
        <v>0</v>
      </c>
    </row>
    <row r="113" spans="1:25">
      <c r="A113" s="88" t="s">
        <v>229</v>
      </c>
      <c r="B113" s="30"/>
      <c r="C113" s="89"/>
      <c r="D113" s="502">
        <v>0</v>
      </c>
      <c r="E113" s="504">
        <v>0</v>
      </c>
      <c r="F113" s="504">
        <v>0</v>
      </c>
      <c r="G113" s="504">
        <v>0</v>
      </c>
      <c r="H113" s="504">
        <v>0</v>
      </c>
      <c r="I113" s="504">
        <v>0</v>
      </c>
      <c r="J113" s="504">
        <v>0</v>
      </c>
      <c r="K113" s="504">
        <v>0</v>
      </c>
      <c r="L113" s="504">
        <v>0</v>
      </c>
      <c r="M113" s="504">
        <v>0</v>
      </c>
      <c r="N113" s="504">
        <v>0</v>
      </c>
      <c r="O113" s="504">
        <v>0</v>
      </c>
      <c r="P113" s="504">
        <v>0</v>
      </c>
      <c r="Q113" s="504">
        <v>0</v>
      </c>
      <c r="R113" s="504">
        <v>0</v>
      </c>
      <c r="S113" s="504">
        <v>0</v>
      </c>
      <c r="T113" s="504">
        <v>0</v>
      </c>
      <c r="U113" s="504">
        <v>0</v>
      </c>
      <c r="V113" s="504">
        <v>0</v>
      </c>
      <c r="W113" s="504">
        <v>0</v>
      </c>
      <c r="X113" s="504">
        <v>0</v>
      </c>
    </row>
    <row r="114" spans="1:25" s="32" customFormat="1">
      <c r="A114" s="299" t="s">
        <v>297</v>
      </c>
      <c r="B114" s="299"/>
      <c r="C114" s="299"/>
      <c r="D114" s="505">
        <v>0</v>
      </c>
      <c r="E114" s="506">
        <v>0</v>
      </c>
      <c r="F114" s="506">
        <v>0</v>
      </c>
      <c r="G114" s="506">
        <f t="shared" ref="G114:X114" si="12">G53</f>
        <v>100000</v>
      </c>
      <c r="H114" s="506">
        <f t="shared" si="12"/>
        <v>100000</v>
      </c>
      <c r="I114" s="506">
        <f t="shared" si="12"/>
        <v>100000</v>
      </c>
      <c r="J114" s="506">
        <f t="shared" si="12"/>
        <v>100000</v>
      </c>
      <c r="K114" s="506">
        <f t="shared" si="12"/>
        <v>100000</v>
      </c>
      <c r="L114" s="506">
        <f t="shared" si="12"/>
        <v>100000</v>
      </c>
      <c r="M114" s="506">
        <f t="shared" si="12"/>
        <v>100000</v>
      </c>
      <c r="N114" s="506">
        <f t="shared" si="12"/>
        <v>100000</v>
      </c>
      <c r="O114" s="506">
        <f t="shared" si="12"/>
        <v>100000</v>
      </c>
      <c r="P114" s="506">
        <f t="shared" si="12"/>
        <v>100000</v>
      </c>
      <c r="Q114" s="506">
        <f t="shared" si="12"/>
        <v>100000</v>
      </c>
      <c r="R114" s="506">
        <f t="shared" si="12"/>
        <v>100000</v>
      </c>
      <c r="S114" s="506">
        <f t="shared" si="12"/>
        <v>100000</v>
      </c>
      <c r="T114" s="506">
        <f t="shared" si="12"/>
        <v>100000</v>
      </c>
      <c r="U114" s="506">
        <f t="shared" si="12"/>
        <v>100000</v>
      </c>
      <c r="V114" s="506">
        <f t="shared" si="12"/>
        <v>100000</v>
      </c>
      <c r="W114" s="506">
        <f t="shared" si="12"/>
        <v>100000</v>
      </c>
      <c r="X114" s="506">
        <f t="shared" si="12"/>
        <v>100000</v>
      </c>
    </row>
    <row r="115" spans="1:25">
      <c r="A115" s="278" t="s">
        <v>147</v>
      </c>
      <c r="D115" s="507">
        <f>SUM(D113:D114)</f>
        <v>0</v>
      </c>
      <c r="E115" s="508">
        <f>SUM(E110:E114)</f>
        <v>0</v>
      </c>
      <c r="F115" s="508">
        <f t="shared" ref="F115:X115" si="13">SUM(F110:F114)</f>
        <v>0</v>
      </c>
      <c r="G115" s="508">
        <f t="shared" si="13"/>
        <v>100000</v>
      </c>
      <c r="H115" s="508">
        <f t="shared" si="13"/>
        <v>100000</v>
      </c>
      <c r="I115" s="508">
        <f t="shared" si="13"/>
        <v>100000</v>
      </c>
      <c r="J115" s="508">
        <f t="shared" si="13"/>
        <v>100000</v>
      </c>
      <c r="K115" s="508">
        <f t="shared" si="13"/>
        <v>100000</v>
      </c>
      <c r="L115" s="508">
        <f t="shared" si="13"/>
        <v>100000</v>
      </c>
      <c r="M115" s="508">
        <f t="shared" si="13"/>
        <v>100000</v>
      </c>
      <c r="N115" s="508">
        <f t="shared" si="13"/>
        <v>100000</v>
      </c>
      <c r="O115" s="508">
        <f t="shared" si="13"/>
        <v>100000</v>
      </c>
      <c r="P115" s="508">
        <f t="shared" si="13"/>
        <v>100000</v>
      </c>
      <c r="Q115" s="508">
        <f t="shared" si="13"/>
        <v>100000</v>
      </c>
      <c r="R115" s="508">
        <f t="shared" si="13"/>
        <v>100000</v>
      </c>
      <c r="S115" s="508">
        <f t="shared" si="13"/>
        <v>100000</v>
      </c>
      <c r="T115" s="508">
        <f t="shared" si="13"/>
        <v>100000</v>
      </c>
      <c r="U115" s="508">
        <f t="shared" si="13"/>
        <v>100000</v>
      </c>
      <c r="V115" s="508">
        <f t="shared" si="13"/>
        <v>100000</v>
      </c>
      <c r="W115" s="508">
        <f t="shared" si="13"/>
        <v>100000</v>
      </c>
      <c r="X115" s="508">
        <f t="shared" si="13"/>
        <v>100000</v>
      </c>
    </row>
    <row r="116" spans="1:25">
      <c r="D116" s="507"/>
      <c r="E116" s="413"/>
      <c r="F116" s="413"/>
      <c r="G116" s="413"/>
      <c r="H116" s="413"/>
      <c r="I116" s="413"/>
      <c r="J116" s="413"/>
      <c r="K116" s="413"/>
      <c r="L116" s="413"/>
      <c r="M116" s="413"/>
      <c r="N116" s="413"/>
      <c r="O116" s="413"/>
      <c r="P116" s="413"/>
      <c r="Q116" s="413"/>
      <c r="R116" s="413"/>
      <c r="S116" s="413"/>
      <c r="T116" s="413"/>
      <c r="U116" s="413"/>
      <c r="V116" s="413"/>
      <c r="W116" s="413"/>
      <c r="X116" s="413"/>
    </row>
    <row r="117" spans="1:25">
      <c r="A117" s="88" t="s">
        <v>608</v>
      </c>
      <c r="D117" s="507">
        <f t="shared" ref="D117" si="14">SUM(D115:D116)</f>
        <v>0</v>
      </c>
      <c r="E117" s="413">
        <v>58025</v>
      </c>
      <c r="F117" s="413">
        <v>0</v>
      </c>
      <c r="G117" s="413">
        <v>0</v>
      </c>
      <c r="H117" s="413">
        <v>0</v>
      </c>
      <c r="I117" s="413">
        <v>0</v>
      </c>
      <c r="J117" s="413">
        <v>0</v>
      </c>
      <c r="K117" s="413">
        <v>0</v>
      </c>
      <c r="L117" s="413">
        <v>0</v>
      </c>
      <c r="M117" s="413">
        <v>0</v>
      </c>
      <c r="N117" s="413">
        <v>0</v>
      </c>
      <c r="O117" s="413">
        <v>0</v>
      </c>
      <c r="P117" s="413">
        <v>0</v>
      </c>
      <c r="Q117" s="413">
        <v>0</v>
      </c>
      <c r="R117" s="413">
        <v>0</v>
      </c>
      <c r="S117" s="413">
        <v>0</v>
      </c>
      <c r="T117" s="413">
        <v>0</v>
      </c>
      <c r="U117" s="413">
        <v>0</v>
      </c>
      <c r="V117" s="413">
        <v>0</v>
      </c>
      <c r="W117" s="413">
        <v>0</v>
      </c>
      <c r="X117" s="413">
        <v>0</v>
      </c>
    </row>
    <row r="118" spans="1:25">
      <c r="D118" s="507"/>
      <c r="E118" s="413"/>
      <c r="F118" s="413"/>
      <c r="G118" s="413"/>
      <c r="H118" s="413"/>
      <c r="I118" s="413"/>
      <c r="J118" s="413"/>
      <c r="K118" s="413"/>
      <c r="L118" s="413"/>
      <c r="M118" s="413"/>
      <c r="N118" s="413"/>
      <c r="O118" s="413"/>
      <c r="P118" s="413"/>
      <c r="Q118" s="413"/>
      <c r="R118" s="413"/>
      <c r="S118" s="413"/>
      <c r="T118" s="413"/>
      <c r="U118" s="413"/>
      <c r="V118" s="413"/>
      <c r="W118" s="413"/>
      <c r="X118" s="413"/>
    </row>
    <row r="119" spans="1:25" s="16" customFormat="1" ht="14.25">
      <c r="A119" s="295" t="s">
        <v>148</v>
      </c>
      <c r="B119" s="295"/>
      <c r="C119" s="295"/>
      <c r="D119" s="511">
        <f>SUM(D105,D115)</f>
        <v>0</v>
      </c>
      <c r="E119" s="511">
        <f>SUM(E105,E115,E117)</f>
        <v>58025</v>
      </c>
      <c r="F119" s="511">
        <f t="shared" ref="F119:X119" si="15">SUM(F105,F115,F117)</f>
        <v>1999897.1717937503</v>
      </c>
      <c r="G119" s="511">
        <f t="shared" si="15"/>
        <v>2156627.5152296247</v>
      </c>
      <c r="H119" s="511">
        <f t="shared" si="15"/>
        <v>2197540.0655342173</v>
      </c>
      <c r="I119" s="511">
        <f t="shared" si="15"/>
        <v>2239270.8668449018</v>
      </c>
      <c r="J119" s="511">
        <f t="shared" si="15"/>
        <v>2525740.5341817997</v>
      </c>
      <c r="K119" s="511">
        <f t="shared" si="15"/>
        <v>2569157.2598654362</v>
      </c>
      <c r="L119" s="511">
        <f t="shared" si="15"/>
        <v>2613442.3200627449</v>
      </c>
      <c r="M119" s="511">
        <f t="shared" si="15"/>
        <v>2658613.081464</v>
      </c>
      <c r="N119" s="511">
        <f t="shared" si="15"/>
        <v>2704687.2580932793</v>
      </c>
      <c r="O119" s="511">
        <f t="shared" si="15"/>
        <v>2813246.4807551457</v>
      </c>
      <c r="P119" s="511">
        <f t="shared" si="15"/>
        <v>2861182.0541202482</v>
      </c>
      <c r="Q119" s="511">
        <f t="shared" si="15"/>
        <v>2910076.3389526531</v>
      </c>
      <c r="R119" s="511">
        <f t="shared" si="15"/>
        <v>2959948.5094817067</v>
      </c>
      <c r="S119" s="511">
        <f t="shared" si="15"/>
        <v>3010818.1234213412</v>
      </c>
      <c r="T119" s="511">
        <f t="shared" si="15"/>
        <v>3124368.6921397676</v>
      </c>
      <c r="U119" s="511">
        <f t="shared" si="15"/>
        <v>3177293.438482563</v>
      </c>
      <c r="V119" s="511">
        <f t="shared" si="15"/>
        <v>3231276.6797522139</v>
      </c>
      <c r="W119" s="511">
        <f t="shared" si="15"/>
        <v>3286339.5858472586</v>
      </c>
      <c r="X119" s="511">
        <f t="shared" si="15"/>
        <v>3342503.7500642035</v>
      </c>
      <c r="Y119" s="622">
        <f>SUM(D119:X119)</f>
        <v>52440054.726086855</v>
      </c>
    </row>
    <row r="120" spans="1:25">
      <c r="A120" s="30"/>
      <c r="B120" s="30"/>
      <c r="C120" s="30"/>
      <c r="D120" s="502"/>
      <c r="E120" s="512"/>
      <c r="F120" s="512"/>
      <c r="G120" s="512"/>
      <c r="H120" s="512"/>
      <c r="I120" s="512"/>
      <c r="J120" s="512"/>
      <c r="K120" s="512"/>
      <c r="L120" s="512"/>
      <c r="M120" s="512"/>
      <c r="N120" s="512"/>
      <c r="O120" s="512"/>
      <c r="P120" s="512"/>
      <c r="Q120" s="512"/>
      <c r="R120" s="512"/>
      <c r="S120" s="512"/>
      <c r="T120" s="512"/>
      <c r="U120" s="512"/>
      <c r="V120" s="512"/>
      <c r="W120" s="512"/>
      <c r="X120" s="512"/>
    </row>
    <row r="121" spans="1:25" s="33" customFormat="1">
      <c r="A121" s="47" t="s">
        <v>7</v>
      </c>
      <c r="B121" s="47" t="s">
        <v>7</v>
      </c>
      <c r="C121" s="78" t="s">
        <v>7</v>
      </c>
      <c r="D121" s="604" t="s">
        <v>7</v>
      </c>
      <c r="E121" s="78" t="s">
        <v>7</v>
      </c>
      <c r="F121" s="78" t="s">
        <v>7</v>
      </c>
      <c r="G121" s="78" t="s">
        <v>7</v>
      </c>
      <c r="H121" s="78" t="s">
        <v>7</v>
      </c>
      <c r="I121" s="78" t="s">
        <v>7</v>
      </c>
      <c r="J121" s="78" t="s">
        <v>7</v>
      </c>
      <c r="K121" s="78" t="s">
        <v>7</v>
      </c>
      <c r="L121" s="78" t="s">
        <v>7</v>
      </c>
      <c r="M121" s="78" t="s">
        <v>7</v>
      </c>
      <c r="N121" s="78" t="s">
        <v>7</v>
      </c>
      <c r="O121" s="78" t="s">
        <v>7</v>
      </c>
      <c r="P121" s="78" t="s">
        <v>7</v>
      </c>
      <c r="Q121" s="78" t="s">
        <v>7</v>
      </c>
      <c r="R121" s="78" t="s">
        <v>7</v>
      </c>
      <c r="S121" s="78" t="s">
        <v>7</v>
      </c>
      <c r="T121" s="78" t="s">
        <v>7</v>
      </c>
      <c r="U121" s="78" t="s">
        <v>7</v>
      </c>
      <c r="V121" s="78" t="s">
        <v>7</v>
      </c>
      <c r="W121" s="78" t="s">
        <v>7</v>
      </c>
      <c r="X121" s="78" t="s">
        <v>7</v>
      </c>
    </row>
    <row r="122" spans="1:25">
      <c r="A122" s="30"/>
      <c r="B122" s="30"/>
      <c r="C122" s="30"/>
      <c r="D122" s="502"/>
      <c r="E122" s="512"/>
      <c r="F122" s="512"/>
      <c r="G122" s="512"/>
      <c r="H122" s="512"/>
      <c r="I122" s="512"/>
      <c r="J122" s="512"/>
      <c r="K122" s="512"/>
      <c r="L122" s="512"/>
      <c r="M122" s="512"/>
      <c r="N122" s="512"/>
      <c r="O122" s="512"/>
      <c r="P122" s="512"/>
      <c r="Q122" s="512"/>
      <c r="R122" s="512"/>
      <c r="S122" s="512"/>
      <c r="T122" s="512"/>
      <c r="U122" s="512"/>
      <c r="V122" s="512"/>
      <c r="W122" s="512"/>
      <c r="X122" s="512"/>
    </row>
    <row r="123" spans="1:25">
      <c r="A123" s="269" t="s">
        <v>131</v>
      </c>
      <c r="B123" s="269"/>
      <c r="C123" s="270"/>
      <c r="D123" s="513"/>
      <c r="E123" s="513"/>
      <c r="F123" s="513"/>
      <c r="G123" s="513"/>
      <c r="H123" s="513"/>
      <c r="I123" s="513"/>
      <c r="J123" s="513"/>
      <c r="K123" s="513"/>
      <c r="L123" s="513"/>
      <c r="M123" s="513"/>
      <c r="N123" s="513"/>
      <c r="O123" s="513"/>
      <c r="P123" s="513"/>
      <c r="Q123" s="513"/>
      <c r="R123" s="513"/>
      <c r="S123" s="513"/>
      <c r="T123" s="513"/>
      <c r="U123" s="513"/>
      <c r="V123" s="513"/>
      <c r="W123" s="513"/>
      <c r="X123" s="513"/>
    </row>
    <row r="124" spans="1:25">
      <c r="A124" s="69"/>
      <c r="B124" s="69"/>
      <c r="C124" s="69"/>
      <c r="D124" s="502"/>
      <c r="E124" s="504"/>
      <c r="F124" s="504"/>
      <c r="G124" s="504"/>
      <c r="H124" s="504"/>
      <c r="I124" s="504"/>
      <c r="J124" s="504"/>
      <c r="K124" s="504"/>
      <c r="L124" s="504"/>
      <c r="M124" s="504"/>
      <c r="N124" s="504"/>
      <c r="O124" s="504"/>
      <c r="P124" s="504"/>
      <c r="Q124" s="504"/>
      <c r="R124" s="504"/>
      <c r="S124" s="504"/>
      <c r="T124" s="504"/>
      <c r="U124" s="504"/>
      <c r="V124" s="504"/>
      <c r="W124" s="504"/>
      <c r="X124" s="504"/>
    </row>
    <row r="125" spans="1:25" s="96" customFormat="1">
      <c r="A125" s="69" t="s">
        <v>13</v>
      </c>
      <c r="B125" s="69"/>
      <c r="C125" s="69"/>
      <c r="D125" s="514">
        <v>0</v>
      </c>
      <c r="E125" s="515">
        <f>'OPEX - Concept B3 - ALL'!L80</f>
        <v>12250</v>
      </c>
      <c r="F125" s="515">
        <f>'OPEX - Concept B3 - ALL'!M80</f>
        <v>171500</v>
      </c>
      <c r="G125" s="515">
        <f>'OPEX - Concept B3 - ALL'!N80</f>
        <v>174930</v>
      </c>
      <c r="H125" s="515">
        <f>'OPEX - Concept B3 - ALL'!O80</f>
        <v>178428.59999999998</v>
      </c>
      <c r="I125" s="515">
        <f>'OPEX - Concept B3 - ALL'!P80</f>
        <v>181997.17199999996</v>
      </c>
      <c r="J125" s="515">
        <f>'OPEX - Concept B3 - ALL'!Q80</f>
        <v>185637.11543999997</v>
      </c>
      <c r="K125" s="515">
        <f>'OPEX - Concept B3 - ALL'!R80</f>
        <v>189349.85774879999</v>
      </c>
      <c r="L125" s="515">
        <f>'OPEX - Concept B3 - ALL'!S80</f>
        <v>193136.85490377599</v>
      </c>
      <c r="M125" s="515">
        <f>'OPEX - Concept B3 - ALL'!T80</f>
        <v>196999.59200185153</v>
      </c>
      <c r="N125" s="515">
        <f>'OPEX - Concept B3 - ALL'!U80</f>
        <v>200939.58384188855</v>
      </c>
      <c r="O125" s="515">
        <f>'OPEX - Concept B3 - ALL'!V80</f>
        <v>204958.37551872636</v>
      </c>
      <c r="P125" s="515">
        <f>'OPEX - Concept B3 - ALL'!W80</f>
        <v>209057.54302910087</v>
      </c>
      <c r="Q125" s="515">
        <f>'OPEX - Concept B3 - ALL'!X80</f>
        <v>213238.69388968288</v>
      </c>
      <c r="R125" s="515">
        <f>'OPEX - Concept B3 - ALL'!Y80</f>
        <v>217503.46776747654</v>
      </c>
      <c r="S125" s="515">
        <f>'OPEX - Concept B3 - ALL'!Z80</f>
        <v>221853.53712282603</v>
      </c>
      <c r="T125" s="515">
        <f>'OPEX - Concept B3 - ALL'!AA80</f>
        <v>226290.60786528263</v>
      </c>
      <c r="U125" s="515">
        <f>'OPEX - Concept B3 - ALL'!AB80</f>
        <v>230816.42002258825</v>
      </c>
      <c r="V125" s="515">
        <f>'OPEX - Concept B3 - ALL'!AC80</f>
        <v>235432.74842304003</v>
      </c>
      <c r="W125" s="515">
        <f>'OPEX - Concept B3 - ALL'!AD80</f>
        <v>240141.40339150085</v>
      </c>
      <c r="X125" s="515">
        <f>'OPEX - Concept B3 - ALL'!AE80</f>
        <v>244944.23145933088</v>
      </c>
    </row>
    <row r="126" spans="1:25" s="96" customFormat="1">
      <c r="A126" s="69" t="s">
        <v>41</v>
      </c>
      <c r="B126" s="69"/>
      <c r="C126" s="69"/>
      <c r="D126" s="514">
        <v>0</v>
      </c>
      <c r="E126" s="515">
        <f>'OPEX - Concept B3 - ALL'!L88</f>
        <v>25000</v>
      </c>
      <c r="F126" s="515">
        <f>'OPEX - Concept B3 - ALL'!M88</f>
        <v>25500</v>
      </c>
      <c r="G126" s="515">
        <f>'OPEX - Concept B3 - ALL'!N88</f>
        <v>26010</v>
      </c>
      <c r="H126" s="515">
        <f>'OPEX - Concept B3 - ALL'!O88</f>
        <v>26530.199999999997</v>
      </c>
      <c r="I126" s="515">
        <f>'OPEX - Concept B3 - ALL'!P88</f>
        <v>27060.804</v>
      </c>
      <c r="J126" s="515">
        <f>'OPEX - Concept B3 - ALL'!Q88</f>
        <v>27602.020080000002</v>
      </c>
      <c r="K126" s="515">
        <f>'OPEX - Concept B3 - ALL'!R88</f>
        <v>28154.060481600001</v>
      </c>
      <c r="L126" s="515">
        <f>'OPEX - Concept B3 - ALL'!S88</f>
        <v>28717.141691232002</v>
      </c>
      <c r="M126" s="515">
        <f>'OPEX - Concept B3 - ALL'!T88</f>
        <v>29291.484525056643</v>
      </c>
      <c r="N126" s="515">
        <f>'OPEX - Concept B3 - ALL'!U88</f>
        <v>29877.314215557777</v>
      </c>
      <c r="O126" s="515">
        <f>'OPEX - Concept B3 - ALL'!V88</f>
        <v>30474.860499868933</v>
      </c>
      <c r="P126" s="515">
        <f>'OPEX - Concept B3 - ALL'!W88</f>
        <v>31084.357709866312</v>
      </c>
      <c r="Q126" s="515">
        <f>'OPEX - Concept B3 - ALL'!X88</f>
        <v>31706.044864063639</v>
      </c>
      <c r="R126" s="515">
        <f>'OPEX - Concept B3 - ALL'!Y88</f>
        <v>32340.165761344906</v>
      </c>
      <c r="S126" s="515">
        <f>'OPEX - Concept B3 - ALL'!Z88</f>
        <v>32986.969076571811</v>
      </c>
      <c r="T126" s="515">
        <f>'OPEX - Concept B3 - ALL'!AA88</f>
        <v>33646.708458103247</v>
      </c>
      <c r="U126" s="515">
        <f>'OPEX - Concept B3 - ALL'!AB88</f>
        <v>34319.642627265312</v>
      </c>
      <c r="V126" s="515">
        <f>'OPEX - Concept B3 - ALL'!AC88</f>
        <v>35006.03547981062</v>
      </c>
      <c r="W126" s="515">
        <f>'OPEX - Concept B3 - ALL'!AD88</f>
        <v>35706.156189406836</v>
      </c>
      <c r="X126" s="515">
        <f>'OPEX - Concept B3 - ALL'!AE88</f>
        <v>36420.279313194973</v>
      </c>
    </row>
    <row r="127" spans="1:25" s="96" customFormat="1">
      <c r="A127" s="69" t="s">
        <v>424</v>
      </c>
      <c r="B127" s="69"/>
      <c r="C127" s="69"/>
      <c r="D127" s="514">
        <v>0</v>
      </c>
      <c r="E127" s="515">
        <f>'OPEX - Concept B3 - ALL'!L89</f>
        <v>10000</v>
      </c>
      <c r="F127" s="515">
        <f>'OPEX - Concept B3 - ALL'!M89</f>
        <v>500</v>
      </c>
      <c r="G127" s="515">
        <f>'OPEX - Concept B3 - ALL'!N89</f>
        <v>520.20000000000005</v>
      </c>
      <c r="H127" s="515">
        <f>'OPEX - Concept B3 - ALL'!O89</f>
        <v>530.60399999999993</v>
      </c>
      <c r="I127" s="515">
        <f>'OPEX - Concept B3 - ALL'!P89</f>
        <v>541.21608000000003</v>
      </c>
      <c r="J127" s="515">
        <f>'OPEX - Concept B3 - ALL'!Q89</f>
        <v>5000</v>
      </c>
      <c r="K127" s="515">
        <f>'OPEX - Concept B3 - ALL'!R89</f>
        <v>563.08120963200008</v>
      </c>
      <c r="L127" s="515">
        <f>'OPEX - Concept B3 - ALL'!S89</f>
        <v>574.34283382464002</v>
      </c>
      <c r="M127" s="515">
        <f>'OPEX - Concept B3 - ALL'!T89</f>
        <v>585.82969050113286</v>
      </c>
      <c r="N127" s="515">
        <f>'OPEX - Concept B3 - ALL'!U89</f>
        <v>597.54628431115555</v>
      </c>
      <c r="O127" s="515">
        <f>'OPEX - Concept B3 - ALL'!V89</f>
        <v>5000</v>
      </c>
      <c r="P127" s="515">
        <f>'OPEX - Concept B3 - ALL'!W89</f>
        <v>621.68715419732621</v>
      </c>
      <c r="Q127" s="515">
        <f>'OPEX - Concept B3 - ALL'!X89</f>
        <v>634.12089728127273</v>
      </c>
      <c r="R127" s="515">
        <f>'OPEX - Concept B3 - ALL'!Y89</f>
        <v>646.80331522689812</v>
      </c>
      <c r="S127" s="515">
        <f>'OPEX - Concept B3 - ALL'!Z89</f>
        <v>659.73938153143615</v>
      </c>
      <c r="T127" s="515">
        <f>'OPEX - Concept B3 - ALL'!AA89</f>
        <v>5000</v>
      </c>
      <c r="U127" s="515">
        <f>'OPEX - Concept B3 - ALL'!AB89</f>
        <v>686.39285254530625</v>
      </c>
      <c r="V127" s="515">
        <f>'OPEX - Concept B3 - ALL'!AC89</f>
        <v>700.12070959621246</v>
      </c>
      <c r="W127" s="515">
        <f>'OPEX - Concept B3 - ALL'!AD89</f>
        <v>714.1231237881367</v>
      </c>
      <c r="X127" s="515">
        <f>'OPEX - Concept B3 - ALL'!AE89</f>
        <v>728.40558626389941</v>
      </c>
    </row>
    <row r="128" spans="1:25" s="96" customFormat="1">
      <c r="A128" s="69" t="s">
        <v>42</v>
      </c>
      <c r="B128" s="69"/>
      <c r="C128" s="69"/>
      <c r="D128" s="514">
        <v>0</v>
      </c>
      <c r="E128" s="515">
        <f>'OPEX - Concept B3 - ALL'!L90</f>
        <v>50000</v>
      </c>
      <c r="F128" s="515">
        <f>'OPEX - Concept B3 - ALL'!M90</f>
        <v>51000</v>
      </c>
      <c r="G128" s="515">
        <f>'OPEX - Concept B3 - ALL'!N90</f>
        <v>52020</v>
      </c>
      <c r="H128" s="515">
        <f>'OPEX - Concept B3 - ALL'!O90</f>
        <v>53060.399999999994</v>
      </c>
      <c r="I128" s="515">
        <f>'OPEX - Concept B3 - ALL'!P90</f>
        <v>54121.608</v>
      </c>
      <c r="J128" s="515">
        <f>'OPEX - Concept B3 - ALL'!Q90</f>
        <v>55204.040160000004</v>
      </c>
      <c r="K128" s="515">
        <f>'OPEX - Concept B3 - ALL'!R90</f>
        <v>56308.120963200003</v>
      </c>
      <c r="L128" s="515">
        <f>'OPEX - Concept B3 - ALL'!S90</f>
        <v>57434.283382464004</v>
      </c>
      <c r="M128" s="515">
        <f>'OPEX - Concept B3 - ALL'!T90</f>
        <v>58582.969050113286</v>
      </c>
      <c r="N128" s="515">
        <f>'OPEX - Concept B3 - ALL'!U90</f>
        <v>59754.628431115554</v>
      </c>
      <c r="O128" s="515">
        <f>'OPEX - Concept B3 - ALL'!V90</f>
        <v>60949.720999737867</v>
      </c>
      <c r="P128" s="515">
        <f>'OPEX - Concept B3 - ALL'!W90</f>
        <v>62168.715419732624</v>
      </c>
      <c r="Q128" s="515">
        <f>'OPEX - Concept B3 - ALL'!X90</f>
        <v>63412.089728127277</v>
      </c>
      <c r="R128" s="515">
        <f>'OPEX - Concept B3 - ALL'!Y90</f>
        <v>64680.331522689812</v>
      </c>
      <c r="S128" s="515">
        <f>'OPEX - Concept B3 - ALL'!Z90</f>
        <v>65973.938153143623</v>
      </c>
      <c r="T128" s="515">
        <f>'OPEX - Concept B3 - ALL'!AA90</f>
        <v>67293.416916206494</v>
      </c>
      <c r="U128" s="515">
        <f>'OPEX - Concept B3 - ALL'!AB90</f>
        <v>68639.285254530623</v>
      </c>
      <c r="V128" s="515">
        <f>'OPEX - Concept B3 - ALL'!AC90</f>
        <v>70012.07095962124</v>
      </c>
      <c r="W128" s="515">
        <f>'OPEX - Concept B3 - ALL'!AD90</f>
        <v>71412.312378813673</v>
      </c>
      <c r="X128" s="515">
        <f>'OPEX - Concept B3 - ALL'!AE90</f>
        <v>72840.558626389946</v>
      </c>
    </row>
    <row r="129" spans="1:24" s="96" customFormat="1">
      <c r="A129" s="69" t="s">
        <v>43</v>
      </c>
      <c r="B129" s="69"/>
      <c r="C129" s="69"/>
      <c r="D129" s="514">
        <v>0</v>
      </c>
      <c r="E129" s="515">
        <f>'OPEX - Concept B3 - ALL'!L91</f>
        <v>500</v>
      </c>
      <c r="F129" s="515">
        <f>'OPEX - Concept B3 - ALL'!M91</f>
        <v>2040</v>
      </c>
      <c r="G129" s="515">
        <f>'OPEX - Concept B3 - ALL'!N91</f>
        <v>2080.8000000000002</v>
      </c>
      <c r="H129" s="515">
        <f>'OPEX - Concept B3 - ALL'!O91</f>
        <v>2122.4159999999997</v>
      </c>
      <c r="I129" s="515">
        <f>'OPEX - Concept B3 - ALL'!P91</f>
        <v>2164.8643200000001</v>
      </c>
      <c r="J129" s="515">
        <f>'OPEX - Concept B3 - ALL'!Q91</f>
        <v>2208.1616064</v>
      </c>
      <c r="K129" s="515">
        <f>'OPEX - Concept B3 - ALL'!R91</f>
        <v>2252.3248385280003</v>
      </c>
      <c r="L129" s="515">
        <f>'OPEX - Concept B3 - ALL'!S91</f>
        <v>2297.3713352985601</v>
      </c>
      <c r="M129" s="515">
        <f>'OPEX - Concept B3 - ALL'!T91</f>
        <v>2343.3187620045314</v>
      </c>
      <c r="N129" s="515">
        <f>'OPEX - Concept B3 - ALL'!U91</f>
        <v>2390.1851372446222</v>
      </c>
      <c r="O129" s="515">
        <f>'OPEX - Concept B3 - ALL'!V91</f>
        <v>2437.9888399895149</v>
      </c>
      <c r="P129" s="515">
        <f>'OPEX - Concept B3 - ALL'!W91</f>
        <v>2486.7486167893048</v>
      </c>
      <c r="Q129" s="515">
        <f>'OPEX - Concept B3 - ALL'!X91</f>
        <v>2536.4835891250909</v>
      </c>
      <c r="R129" s="515">
        <f>'OPEX - Concept B3 - ALL'!Y91</f>
        <v>2587.2132609075925</v>
      </c>
      <c r="S129" s="515">
        <f>'OPEX - Concept B3 - ALL'!Z91</f>
        <v>2638.9575261257446</v>
      </c>
      <c r="T129" s="515">
        <f>'OPEX - Concept B3 - ALL'!AA91</f>
        <v>2691.7366766482596</v>
      </c>
      <c r="U129" s="515">
        <f>'OPEX - Concept B3 - ALL'!AB91</f>
        <v>2745.571410181225</v>
      </c>
      <c r="V129" s="515">
        <f>'OPEX - Concept B3 - ALL'!AC91</f>
        <v>2800.4828383848499</v>
      </c>
      <c r="W129" s="515">
        <f>'OPEX - Concept B3 - ALL'!AD91</f>
        <v>2856.4924951525468</v>
      </c>
      <c r="X129" s="515">
        <f>'OPEX - Concept B3 - ALL'!AE91</f>
        <v>2913.6223450555976</v>
      </c>
    </row>
    <row r="130" spans="1:24" s="96" customFormat="1">
      <c r="A130" s="69" t="s">
        <v>44</v>
      </c>
      <c r="B130" s="69"/>
      <c r="C130" s="69"/>
      <c r="D130" s="514">
        <v>0</v>
      </c>
      <c r="E130" s="515">
        <f>'OPEX - Concept B3 - ALL'!L92</f>
        <v>250</v>
      </c>
      <c r="F130" s="515">
        <f>'OPEX - Concept B3 - ALL'!M92</f>
        <v>1020</v>
      </c>
      <c r="G130" s="515">
        <f>'OPEX - Concept B3 - ALL'!N92</f>
        <v>1040.4000000000001</v>
      </c>
      <c r="H130" s="515">
        <f>'OPEX - Concept B3 - ALL'!O92</f>
        <v>1061.2079999999999</v>
      </c>
      <c r="I130" s="515">
        <f>'OPEX - Concept B3 - ALL'!P92</f>
        <v>1082.4321600000001</v>
      </c>
      <c r="J130" s="515">
        <f>'OPEX - Concept B3 - ALL'!Q92</f>
        <v>1104.0808032</v>
      </c>
      <c r="K130" s="515">
        <f>'OPEX - Concept B3 - ALL'!R92</f>
        <v>1126.1624192640002</v>
      </c>
      <c r="L130" s="515">
        <f>'OPEX - Concept B3 - ALL'!S92</f>
        <v>1148.68566764928</v>
      </c>
      <c r="M130" s="515">
        <f>'OPEX - Concept B3 - ALL'!T92</f>
        <v>1171.6593810022657</v>
      </c>
      <c r="N130" s="515">
        <f>'OPEX - Concept B3 - ALL'!U92</f>
        <v>1195.0925686223111</v>
      </c>
      <c r="O130" s="515">
        <f>'OPEX - Concept B3 - ALL'!V92</f>
        <v>1218.9944199947574</v>
      </c>
      <c r="P130" s="515">
        <f>'OPEX - Concept B3 - ALL'!W92</f>
        <v>1243.3743083946524</v>
      </c>
      <c r="Q130" s="515">
        <f>'OPEX - Concept B3 - ALL'!X92</f>
        <v>1268.2417945625455</v>
      </c>
      <c r="R130" s="515">
        <f>'OPEX - Concept B3 - ALL'!Y92</f>
        <v>1293.6066304537962</v>
      </c>
      <c r="S130" s="515">
        <f>'OPEX - Concept B3 - ALL'!Z92</f>
        <v>1319.4787630628723</v>
      </c>
      <c r="T130" s="515">
        <f>'OPEX - Concept B3 - ALL'!AA92</f>
        <v>1345.8683383241298</v>
      </c>
      <c r="U130" s="515">
        <f>'OPEX - Concept B3 - ALL'!AB92</f>
        <v>1372.7857050906125</v>
      </c>
      <c r="V130" s="515">
        <f>'OPEX - Concept B3 - ALL'!AC92</f>
        <v>1400.2414191924249</v>
      </c>
      <c r="W130" s="515">
        <f>'OPEX - Concept B3 - ALL'!AD92</f>
        <v>1428.2462475762734</v>
      </c>
      <c r="X130" s="515">
        <f>'OPEX - Concept B3 - ALL'!AE92</f>
        <v>1456.8111725277988</v>
      </c>
    </row>
    <row r="131" spans="1:24" s="96" customFormat="1">
      <c r="A131" s="69" t="s">
        <v>2</v>
      </c>
      <c r="B131" s="69"/>
      <c r="C131" s="69"/>
      <c r="D131" s="514">
        <v>0</v>
      </c>
      <c r="E131" s="515">
        <f>'OPEX - Concept B3 - ALL'!L93</f>
        <v>1000</v>
      </c>
      <c r="F131" s="515">
        <f>'OPEX - Concept B3 - ALL'!M93</f>
        <v>1020</v>
      </c>
      <c r="G131" s="515">
        <f>'OPEX - Concept B3 - ALL'!N93</f>
        <v>1040.4000000000001</v>
      </c>
      <c r="H131" s="515">
        <f>'OPEX - Concept B3 - ALL'!O93</f>
        <v>1061.2079999999999</v>
      </c>
      <c r="I131" s="515">
        <f>'OPEX - Concept B3 - ALL'!P93</f>
        <v>1082.4321600000001</v>
      </c>
      <c r="J131" s="515">
        <f>'OPEX - Concept B3 - ALL'!Q93</f>
        <v>1104.0808032</v>
      </c>
      <c r="K131" s="515">
        <f>'OPEX - Concept B3 - ALL'!R93</f>
        <v>1126.1624192640002</v>
      </c>
      <c r="L131" s="515">
        <f>'OPEX - Concept B3 - ALL'!S93</f>
        <v>1148.68566764928</v>
      </c>
      <c r="M131" s="515">
        <f>'OPEX - Concept B3 - ALL'!T93</f>
        <v>1171.6593810022657</v>
      </c>
      <c r="N131" s="515">
        <f>'OPEX - Concept B3 - ALL'!U93</f>
        <v>1195.0925686223111</v>
      </c>
      <c r="O131" s="515">
        <f>'OPEX - Concept B3 - ALL'!V93</f>
        <v>1218.9944199947574</v>
      </c>
      <c r="P131" s="515">
        <f>'OPEX - Concept B3 - ALL'!W93</f>
        <v>1243.3743083946524</v>
      </c>
      <c r="Q131" s="515">
        <f>'OPEX - Concept B3 - ALL'!X93</f>
        <v>1268.2417945625455</v>
      </c>
      <c r="R131" s="515">
        <f>'OPEX - Concept B3 - ALL'!Y93</f>
        <v>1293.6066304537962</v>
      </c>
      <c r="S131" s="515">
        <f>'OPEX - Concept B3 - ALL'!Z93</f>
        <v>1319.4787630628723</v>
      </c>
      <c r="T131" s="515">
        <f>'OPEX - Concept B3 - ALL'!AA93</f>
        <v>1345.8683383241298</v>
      </c>
      <c r="U131" s="515">
        <f>'OPEX - Concept B3 - ALL'!AB93</f>
        <v>1372.7857050906125</v>
      </c>
      <c r="V131" s="515">
        <f>'OPEX - Concept B3 - ALL'!AC93</f>
        <v>1400.2414191924249</v>
      </c>
      <c r="W131" s="515">
        <f>'OPEX - Concept B3 - ALL'!AD93</f>
        <v>1428.2462475762734</v>
      </c>
      <c r="X131" s="515">
        <f>'OPEX - Concept B3 - ALL'!AE93</f>
        <v>1456.8111725277988</v>
      </c>
    </row>
    <row r="132" spans="1:24" s="167" customFormat="1">
      <c r="A132" s="591"/>
      <c r="B132" s="591"/>
      <c r="C132" s="591"/>
      <c r="D132" s="592"/>
      <c r="E132" s="593"/>
      <c r="F132" s="593"/>
      <c r="G132" s="593"/>
      <c r="H132" s="593"/>
      <c r="I132" s="593"/>
      <c r="J132" s="593"/>
      <c r="K132" s="593"/>
      <c r="L132" s="593"/>
      <c r="M132" s="593"/>
      <c r="N132" s="593"/>
      <c r="O132" s="593"/>
      <c r="P132" s="593"/>
      <c r="Q132" s="593"/>
      <c r="R132" s="593"/>
      <c r="S132" s="593"/>
      <c r="T132" s="593"/>
      <c r="U132" s="593"/>
      <c r="V132" s="593"/>
      <c r="W132" s="593"/>
      <c r="X132" s="593"/>
    </row>
    <row r="133" spans="1:24" s="96" customFormat="1">
      <c r="A133" s="69" t="s">
        <v>25</v>
      </c>
      <c r="B133" s="69"/>
      <c r="C133" s="69"/>
      <c r="D133" s="514">
        <v>0</v>
      </c>
      <c r="E133" s="515">
        <f>'OPEX - Concept B3 - ALL'!L109</f>
        <v>23741.666666666664</v>
      </c>
      <c r="F133" s="515">
        <f>'OPEX - Concept B3 - ALL'!M109</f>
        <v>24216.5</v>
      </c>
      <c r="G133" s="515">
        <f>'OPEX - Concept B3 - ALL'!N109</f>
        <v>24700.83</v>
      </c>
      <c r="H133" s="515">
        <f>'OPEX - Concept B3 - ALL'!O109</f>
        <v>25194.846599999997</v>
      </c>
      <c r="I133" s="515">
        <f>'OPEX - Concept B3 - ALL'!P109</f>
        <v>25698.743532</v>
      </c>
      <c r="J133" s="515">
        <f>'OPEX - Concept B3 - ALL'!Q109</f>
        <v>26212.718402639999</v>
      </c>
      <c r="K133" s="515">
        <f>'OPEX - Concept B3 - ALL'!R109</f>
        <v>26736.972770692802</v>
      </c>
      <c r="L133" s="515">
        <f>'OPEX - Concept B3 - ALL'!S109</f>
        <v>27271.712226106654</v>
      </c>
      <c r="M133" s="515">
        <f>'OPEX - Concept B3 - ALL'!T109</f>
        <v>27817.146470628788</v>
      </c>
      <c r="N133" s="515">
        <f>'OPEX - Concept B3 - ALL'!U109</f>
        <v>28373.48940004137</v>
      </c>
      <c r="O133" s="515">
        <f>'OPEX - Concept B3 - ALL'!V109</f>
        <v>28940.959188042198</v>
      </c>
      <c r="P133" s="515">
        <f>'OPEX - Concept B3 - ALL'!W109</f>
        <v>29519.77837180304</v>
      </c>
      <c r="Q133" s="515">
        <f>'OPEX - Concept B3 - ALL'!X109</f>
        <v>30110.173939239099</v>
      </c>
      <c r="R133" s="515">
        <f>'OPEX - Concept B3 - ALL'!Y109</f>
        <v>30712.37741802388</v>
      </c>
      <c r="S133" s="515">
        <f>'OPEX - Concept B3 - ALL'!Z109</f>
        <v>31326.624966384359</v>
      </c>
      <c r="T133" s="515">
        <f>'OPEX - Concept B3 - ALL'!AA109</f>
        <v>31953.157465712051</v>
      </c>
      <c r="U133" s="515">
        <f>'OPEX - Concept B3 - ALL'!AB109</f>
        <v>32592.220615026294</v>
      </c>
      <c r="V133" s="515">
        <f>'OPEX - Concept B3 - ALL'!AC109</f>
        <v>33244.065027326818</v>
      </c>
      <c r="W133" s="515">
        <f>'OPEX - Concept B3 - ALL'!AD109</f>
        <v>33908.946327873353</v>
      </c>
      <c r="X133" s="515">
        <f>'OPEX - Concept B3 - ALL'!AE109</f>
        <v>34587.125254430823</v>
      </c>
    </row>
    <row r="134" spans="1:24" s="96" customFormat="1">
      <c r="A134" s="782" t="s">
        <v>426</v>
      </c>
      <c r="B134" s="69"/>
      <c r="C134" s="69"/>
      <c r="D134" s="514">
        <v>0</v>
      </c>
      <c r="E134" s="515">
        <f>'OPEX - Concept B3 - ALL'!L97</f>
        <v>1000</v>
      </c>
      <c r="F134" s="515">
        <f>'OPEX - Concept B3 - ALL'!M97</f>
        <v>1020</v>
      </c>
      <c r="G134" s="515">
        <f>'OPEX - Concept B3 - ALL'!N97</f>
        <v>1040.4000000000001</v>
      </c>
      <c r="H134" s="515">
        <f>'OPEX - Concept B3 - ALL'!O97</f>
        <v>1061.2079999999999</v>
      </c>
      <c r="I134" s="515">
        <f>'OPEX - Concept B3 - ALL'!P97</f>
        <v>1082.4321600000001</v>
      </c>
      <c r="J134" s="515">
        <f>'OPEX - Concept B3 - ALL'!Q97</f>
        <v>25000</v>
      </c>
      <c r="K134" s="515">
        <f>'OPEX - Concept B3 - ALL'!R97</f>
        <v>25500</v>
      </c>
      <c r="L134" s="515">
        <f>'OPEX - Concept B3 - ALL'!S97</f>
        <v>26010</v>
      </c>
      <c r="M134" s="515">
        <f>'OPEX - Concept B3 - ALL'!T97</f>
        <v>26530.199999999997</v>
      </c>
      <c r="N134" s="515">
        <f>'OPEX - Concept B3 - ALL'!U97</f>
        <v>27060.804</v>
      </c>
      <c r="O134" s="515">
        <f>'OPEX - Concept B3 - ALL'!V97</f>
        <v>27602.020080000002</v>
      </c>
      <c r="P134" s="515">
        <f>'OPEX - Concept B3 - ALL'!W97</f>
        <v>28154.060481600001</v>
      </c>
      <c r="Q134" s="515">
        <f>'OPEX - Concept B3 - ALL'!X97</f>
        <v>28717.141691232002</v>
      </c>
      <c r="R134" s="515">
        <f>'OPEX - Concept B3 - ALL'!Y97</f>
        <v>29291.484525056643</v>
      </c>
      <c r="S134" s="515">
        <f>'OPEX - Concept B3 - ALL'!Z97</f>
        <v>29877.314215557777</v>
      </c>
      <c r="T134" s="515">
        <f>'OPEX - Concept B3 - ALL'!AA97</f>
        <v>30474.860499868933</v>
      </c>
      <c r="U134" s="515">
        <f>'OPEX - Concept B3 - ALL'!AB97</f>
        <v>31084.357709866312</v>
      </c>
      <c r="V134" s="515">
        <f>'OPEX - Concept B3 - ALL'!AC97</f>
        <v>31706.044864063639</v>
      </c>
      <c r="W134" s="515">
        <f>'OPEX - Concept B3 - ALL'!AD97</f>
        <v>32340.165761344906</v>
      </c>
      <c r="X134" s="515">
        <f>'OPEX - Concept B3 - ALL'!AE97</f>
        <v>32986.969076571811</v>
      </c>
    </row>
    <row r="135" spans="1:24" s="96" customFormat="1">
      <c r="A135" s="644" t="s">
        <v>302</v>
      </c>
      <c r="B135" s="69"/>
      <c r="C135" s="69"/>
      <c r="D135" s="514">
        <v>0</v>
      </c>
      <c r="E135" s="515">
        <f>'Shuttle Projections'!C28/2</f>
        <v>233675</v>
      </c>
      <c r="F135" s="515">
        <f>'Shuttle Projections'!D28</f>
        <v>476697</v>
      </c>
      <c r="G135" s="515">
        <f>'Shuttle Projections'!E28</f>
        <v>486230.94000000006</v>
      </c>
      <c r="H135" s="515">
        <f>'Shuttle Projections'!F28</f>
        <v>495955.55879999994</v>
      </c>
      <c r="I135" s="515">
        <f>'Shuttle Projections'!G28</f>
        <v>505874.66997599998</v>
      </c>
      <c r="J135" s="515">
        <f>'Shuttle Projections'!H28</f>
        <v>515992.16337552003</v>
      </c>
      <c r="K135" s="515">
        <f>'Shuttle Projections'!I28</f>
        <v>526312.00664303044</v>
      </c>
      <c r="L135" s="515">
        <f>'Shuttle Projections'!J28</f>
        <v>536838.24677589093</v>
      </c>
      <c r="M135" s="515">
        <f>'Shuttle Projections'!K28</f>
        <v>547575.01171140897</v>
      </c>
      <c r="N135" s="515">
        <f>'Shuttle Projections'!L28</f>
        <v>558526.51194563706</v>
      </c>
      <c r="O135" s="515">
        <f>'Shuttle Projections'!M28</f>
        <v>569697.04218454985</v>
      </c>
      <c r="P135" s="515">
        <f>'Shuttle Projections'!N28</f>
        <v>581090.98302824085</v>
      </c>
      <c r="Q135" s="515">
        <f>'Shuttle Projections'!O28</f>
        <v>592712.80268880562</v>
      </c>
      <c r="R135" s="515">
        <f>'Shuttle Projections'!P28</f>
        <v>604567.05874258175</v>
      </c>
      <c r="S135" s="515">
        <f>'Shuttle Projections'!Q28</f>
        <v>616658.39991743339</v>
      </c>
      <c r="T135" s="515">
        <f>'Shuttle Projections'!R28</f>
        <v>628991.5679157821</v>
      </c>
      <c r="U135" s="515">
        <f>'Shuttle Projections'!S28</f>
        <v>641571.39927409776</v>
      </c>
      <c r="V135" s="515">
        <f>'Shuttle Projections'!T28</f>
        <v>654402.82725957979</v>
      </c>
      <c r="W135" s="515">
        <f>'Shuttle Projections'!U28</f>
        <v>667490.88380477135</v>
      </c>
      <c r="X135" s="515">
        <f>'Shuttle Projections'!V28</f>
        <v>680840.70148086676</v>
      </c>
    </row>
    <row r="136" spans="1:24" s="16" customFormat="1" ht="14.25">
      <c r="A136" s="282" t="s">
        <v>132</v>
      </c>
      <c r="B136" s="276"/>
      <c r="C136" s="276"/>
      <c r="D136" s="516">
        <f>SUM(D124:D135)</f>
        <v>0</v>
      </c>
      <c r="E136" s="517">
        <f t="shared" ref="E136:X136" si="16">SUM(E125:E135)</f>
        <v>357416.66666666663</v>
      </c>
      <c r="F136" s="517">
        <f t="shared" si="16"/>
        <v>754513.5</v>
      </c>
      <c r="G136" s="517">
        <f t="shared" si="16"/>
        <v>769613.97000000009</v>
      </c>
      <c r="H136" s="517">
        <f t="shared" si="16"/>
        <v>785006.24939999986</v>
      </c>
      <c r="I136" s="517">
        <f t="shared" si="16"/>
        <v>800706.374388</v>
      </c>
      <c r="J136" s="517">
        <f t="shared" si="16"/>
        <v>845064.38067096006</v>
      </c>
      <c r="K136" s="517">
        <f t="shared" si="16"/>
        <v>857428.74949401116</v>
      </c>
      <c r="L136" s="517">
        <f t="shared" si="16"/>
        <v>874577.32448389137</v>
      </c>
      <c r="M136" s="517">
        <f t="shared" si="16"/>
        <v>892068.87097356934</v>
      </c>
      <c r="N136" s="517">
        <f t="shared" si="16"/>
        <v>909910.24839304073</v>
      </c>
      <c r="O136" s="517">
        <f t="shared" si="16"/>
        <v>932498.9561509043</v>
      </c>
      <c r="P136" s="517">
        <f t="shared" si="16"/>
        <v>946670.62242811965</v>
      </c>
      <c r="Q136" s="517">
        <f t="shared" si="16"/>
        <v>965604.03487668198</v>
      </c>
      <c r="R136" s="517">
        <f t="shared" si="16"/>
        <v>984916.11557421566</v>
      </c>
      <c r="S136" s="517">
        <f t="shared" si="16"/>
        <v>1004614.4378856999</v>
      </c>
      <c r="T136" s="517">
        <f t="shared" si="16"/>
        <v>1029033.7924742519</v>
      </c>
      <c r="U136" s="517">
        <f t="shared" si="16"/>
        <v>1045200.8611762824</v>
      </c>
      <c r="V136" s="517">
        <f t="shared" si="16"/>
        <v>1066104.878399808</v>
      </c>
      <c r="W136" s="517">
        <f t="shared" si="16"/>
        <v>1087426.9759678042</v>
      </c>
      <c r="X136" s="517">
        <f t="shared" si="16"/>
        <v>1109175.5154871603</v>
      </c>
    </row>
    <row r="137" spans="1:24">
      <c r="A137" s="92"/>
      <c r="B137" s="69"/>
      <c r="C137" s="69"/>
      <c r="D137" s="514"/>
      <c r="E137" s="515"/>
      <c r="F137" s="515"/>
      <c r="G137" s="515"/>
      <c r="H137" s="515"/>
      <c r="I137" s="515"/>
      <c r="J137" s="515"/>
      <c r="K137" s="515"/>
      <c r="L137" s="515"/>
      <c r="M137" s="515"/>
      <c r="N137" s="515"/>
      <c r="O137" s="515"/>
      <c r="P137" s="515"/>
      <c r="Q137" s="515"/>
      <c r="R137" s="515"/>
      <c r="S137" s="515"/>
      <c r="T137" s="515"/>
      <c r="U137" s="515"/>
      <c r="V137" s="515"/>
      <c r="W137" s="515"/>
      <c r="X137" s="515"/>
    </row>
    <row r="138" spans="1:24">
      <c r="A138" s="269" t="s">
        <v>85</v>
      </c>
      <c r="B138" s="269"/>
      <c r="C138" s="270"/>
      <c r="D138" s="513"/>
      <c r="E138" s="513"/>
      <c r="F138" s="513"/>
      <c r="G138" s="513"/>
      <c r="H138" s="513"/>
      <c r="I138" s="513"/>
      <c r="J138" s="513"/>
      <c r="K138" s="513"/>
      <c r="L138" s="513"/>
      <c r="M138" s="513"/>
      <c r="N138" s="513"/>
      <c r="O138" s="513"/>
      <c r="P138" s="513"/>
      <c r="Q138" s="513"/>
      <c r="R138" s="513"/>
      <c r="S138" s="513"/>
      <c r="T138" s="513"/>
      <c r="U138" s="513"/>
      <c r="V138" s="513"/>
      <c r="W138" s="513"/>
      <c r="X138" s="513"/>
    </row>
    <row r="139" spans="1:24" s="368" customFormat="1">
      <c r="A139" s="263"/>
      <c r="B139" s="263"/>
      <c r="C139" s="367"/>
      <c r="D139" s="514"/>
      <c r="E139" s="515"/>
      <c r="F139" s="515"/>
      <c r="G139" s="515"/>
      <c r="H139" s="515"/>
      <c r="I139" s="515"/>
      <c r="J139" s="515"/>
      <c r="K139" s="515"/>
      <c r="L139" s="515"/>
      <c r="M139" s="515"/>
      <c r="N139" s="515"/>
      <c r="O139" s="515"/>
      <c r="P139" s="515"/>
      <c r="Q139" s="515"/>
      <c r="R139" s="515"/>
      <c r="S139" s="515"/>
      <c r="T139" s="515"/>
      <c r="U139" s="515"/>
      <c r="V139" s="515"/>
      <c r="W139" s="515"/>
      <c r="X139" s="515"/>
    </row>
    <row r="140" spans="1:24" s="58" customFormat="1">
      <c r="A140" s="69" t="s">
        <v>0</v>
      </c>
      <c r="B140" s="263"/>
      <c r="C140" s="783"/>
      <c r="D140" s="514">
        <v>0</v>
      </c>
      <c r="E140" s="515">
        <f>'OPEX - Concept B3 - ALL'!L132</f>
        <v>0</v>
      </c>
      <c r="F140" s="515">
        <f>'OPEX - Concept B3 - ALL'!M132</f>
        <v>54570</v>
      </c>
      <c r="G140" s="515">
        <f>'OPEX - Concept B3 - ALL'!N132</f>
        <v>56774.628000000004</v>
      </c>
      <c r="H140" s="515">
        <f>'OPEX - Concept B3 - ALL'!O132</f>
        <v>57910.120559999996</v>
      </c>
      <c r="I140" s="515">
        <f>'OPEX - Concept B3 - ALL'!P132</f>
        <v>59068.322971199988</v>
      </c>
      <c r="J140" s="515">
        <f>'OPEX - Concept B3 - ALL'!Q132</f>
        <v>60249.689430623999</v>
      </c>
      <c r="K140" s="515">
        <f>'OPEX - Concept B3 - ALL'!R132</f>
        <v>61454.683219236475</v>
      </c>
      <c r="L140" s="515">
        <f>'OPEX - Concept B3 - ALL'!S132</f>
        <v>62683.776883621205</v>
      </c>
      <c r="M140" s="515">
        <f>'OPEX - Concept B3 - ALL'!T132</f>
        <v>63937.452421293638</v>
      </c>
      <c r="N140" s="515">
        <f>'OPEX - Concept B3 - ALL'!U132</f>
        <v>65216.201469719512</v>
      </c>
      <c r="O140" s="515">
        <f>'OPEX - Concept B3 - ALL'!V132</f>
        <v>66520.525499113894</v>
      </c>
      <c r="P140" s="515">
        <f>'OPEX - Concept B3 - ALL'!W132</f>
        <v>67850.936009096185</v>
      </c>
      <c r="Q140" s="515">
        <f>'OPEX - Concept B3 - ALL'!X132</f>
        <v>69207.954729278121</v>
      </c>
      <c r="R140" s="515">
        <f>'OPEX - Concept B3 - ALL'!Y132</f>
        <v>70592.113823863678</v>
      </c>
      <c r="S140" s="515">
        <f>'OPEX - Concept B3 - ALL'!Z132</f>
        <v>72003.956100340947</v>
      </c>
      <c r="T140" s="515">
        <f>'OPEX - Concept B3 - ALL'!AA132</f>
        <v>73444.035222347768</v>
      </c>
      <c r="U140" s="515">
        <f>'OPEX - Concept B3 - ALL'!AB132</f>
        <v>74912.915926794725</v>
      </c>
      <c r="V140" s="515">
        <f>'OPEX - Concept B3 - ALL'!AC132</f>
        <v>76411.174245330621</v>
      </c>
      <c r="W140" s="515">
        <f>'OPEX - Concept B3 - ALL'!AD132</f>
        <v>77939.397730237237</v>
      </c>
      <c r="X140" s="515">
        <f>'OPEX - Concept B3 - ALL'!AE132</f>
        <v>79498.18568484197</v>
      </c>
    </row>
    <row r="141" spans="1:24" s="58" customFormat="1">
      <c r="A141" s="69" t="s">
        <v>4</v>
      </c>
      <c r="B141" s="263"/>
      <c r="C141" s="783"/>
      <c r="D141" s="514">
        <v>0</v>
      </c>
      <c r="E141" s="515">
        <f>'OPEX - Concept B3 - ALL'!L155</f>
        <v>0</v>
      </c>
      <c r="F141" s="515">
        <f>'OPEX - Concept B3 - ALL'!M155</f>
        <v>85335.846153846156</v>
      </c>
      <c r="G141" s="515">
        <f>'OPEX - Concept B3 - ALL'!N155</f>
        <v>87042.563076923077</v>
      </c>
      <c r="H141" s="515">
        <f>'OPEX - Concept B3 - ALL'!O155</f>
        <v>88783.41433846156</v>
      </c>
      <c r="I141" s="515">
        <f>'OPEX - Concept B3 - ALL'!P155</f>
        <v>90559.082625230774</v>
      </c>
      <c r="J141" s="515">
        <f>'OPEX - Concept B3 - ALL'!Q155</f>
        <v>92370.264277735376</v>
      </c>
      <c r="K141" s="515">
        <f>'OPEX - Concept B3 - ALL'!R155</f>
        <v>94217.669563290081</v>
      </c>
      <c r="L141" s="515">
        <f>'OPEX - Concept B3 - ALL'!S155</f>
        <v>96102.022954555898</v>
      </c>
      <c r="M141" s="515">
        <f>'OPEX - Concept B3 - ALL'!T155</f>
        <v>98024.063413647003</v>
      </c>
      <c r="N141" s="515">
        <f>'OPEX - Concept B3 - ALL'!U155</f>
        <v>99984.544681919942</v>
      </c>
      <c r="O141" s="515">
        <f>'OPEX - Concept B3 - ALL'!V155</f>
        <v>101984.23557555837</v>
      </c>
      <c r="P141" s="515">
        <f>'OPEX - Concept B3 - ALL'!W155</f>
        <v>104023.92028706953</v>
      </c>
      <c r="Q141" s="515">
        <f>'OPEX - Concept B3 - ALL'!X155</f>
        <v>106104.39869281092</v>
      </c>
      <c r="R141" s="515">
        <f>'OPEX - Concept B3 - ALL'!Y155</f>
        <v>108226.48666666714</v>
      </c>
      <c r="S141" s="515">
        <f>'OPEX - Concept B3 - ALL'!Z155</f>
        <v>110391.01640000047</v>
      </c>
      <c r="T141" s="515">
        <f>'OPEX - Concept B3 - ALL'!AA155</f>
        <v>112598.8367280005</v>
      </c>
      <c r="U141" s="515">
        <f>'OPEX - Concept B3 - ALL'!AB155</f>
        <v>114850.8134625605</v>
      </c>
      <c r="V141" s="515">
        <f>'OPEX - Concept B3 - ALL'!AC155</f>
        <v>117147.82973181173</v>
      </c>
      <c r="W141" s="515">
        <f>'OPEX - Concept B3 - ALL'!AD155</f>
        <v>119490.78632644797</v>
      </c>
      <c r="X141" s="515">
        <f>'OPEX - Concept B3 - ALL'!AE155</f>
        <v>121880.60205297693</v>
      </c>
    </row>
    <row r="142" spans="1:24" s="16" customFormat="1" ht="14.25">
      <c r="A142" s="282" t="s">
        <v>133</v>
      </c>
      <c r="B142" s="276"/>
      <c r="C142" s="276"/>
      <c r="D142" s="516">
        <f>SUM(D140:D141)</f>
        <v>0</v>
      </c>
      <c r="E142" s="517">
        <f>SUM(E140:E141)</f>
        <v>0</v>
      </c>
      <c r="F142" s="517">
        <f t="shared" ref="F142:X142" si="17">SUM(F140:F141)</f>
        <v>139905.84615384616</v>
      </c>
      <c r="G142" s="517">
        <f t="shared" si="17"/>
        <v>143817.19107692307</v>
      </c>
      <c r="H142" s="517">
        <f t="shared" si="17"/>
        <v>146693.53489846154</v>
      </c>
      <c r="I142" s="517">
        <f t="shared" si="17"/>
        <v>149627.40559643076</v>
      </c>
      <c r="J142" s="517">
        <f t="shared" si="17"/>
        <v>152619.95370835939</v>
      </c>
      <c r="K142" s="517">
        <f t="shared" si="17"/>
        <v>155672.35278252655</v>
      </c>
      <c r="L142" s="517">
        <f t="shared" si="17"/>
        <v>158785.7998381771</v>
      </c>
      <c r="M142" s="517">
        <f t="shared" si="17"/>
        <v>161961.51583494066</v>
      </c>
      <c r="N142" s="517">
        <f t="shared" si="17"/>
        <v>165200.74615163944</v>
      </c>
      <c r="O142" s="517">
        <f t="shared" si="17"/>
        <v>168504.76107467228</v>
      </c>
      <c r="P142" s="517">
        <f t="shared" si="17"/>
        <v>171874.85629616573</v>
      </c>
      <c r="Q142" s="517">
        <f t="shared" si="17"/>
        <v>175312.35342208904</v>
      </c>
      <c r="R142" s="517">
        <f t="shared" si="17"/>
        <v>178818.60049053084</v>
      </c>
      <c r="S142" s="517">
        <f t="shared" si="17"/>
        <v>182394.97250034142</v>
      </c>
      <c r="T142" s="517">
        <f t="shared" si="17"/>
        <v>186042.87195034826</v>
      </c>
      <c r="U142" s="517">
        <f t="shared" si="17"/>
        <v>189763.72938935523</v>
      </c>
      <c r="V142" s="517">
        <f t="shared" si="17"/>
        <v>193559.00397714233</v>
      </c>
      <c r="W142" s="517">
        <f t="shared" si="17"/>
        <v>197430.18405668519</v>
      </c>
      <c r="X142" s="517">
        <f t="shared" si="17"/>
        <v>201378.7877378189</v>
      </c>
    </row>
    <row r="143" spans="1:24">
      <c r="A143" s="92"/>
      <c r="B143" s="92"/>
      <c r="C143" s="69"/>
      <c r="D143" s="514"/>
      <c r="E143" s="515"/>
      <c r="F143" s="515"/>
      <c r="G143" s="515"/>
      <c r="H143" s="515"/>
      <c r="I143" s="515"/>
      <c r="J143" s="515"/>
      <c r="K143" s="515"/>
      <c r="L143" s="515"/>
      <c r="M143" s="515"/>
      <c r="N143" s="515"/>
      <c r="O143" s="515"/>
      <c r="P143" s="515"/>
      <c r="Q143" s="515"/>
      <c r="R143" s="515"/>
      <c r="S143" s="515"/>
      <c r="T143" s="515"/>
      <c r="U143" s="515"/>
      <c r="V143" s="515"/>
      <c r="W143" s="515"/>
      <c r="X143" s="515"/>
    </row>
    <row r="144" spans="1:24" s="16" customFormat="1" ht="14.25">
      <c r="A144" s="350" t="s">
        <v>118</v>
      </c>
      <c r="B144" s="350"/>
      <c r="C144" s="351"/>
      <c r="D144" s="519">
        <f t="shared" ref="D144:X144" si="18">SUM(D136,D142)</f>
        <v>0</v>
      </c>
      <c r="E144" s="519">
        <f t="shared" si="18"/>
        <v>357416.66666666663</v>
      </c>
      <c r="F144" s="519">
        <f t="shared" si="18"/>
        <v>894419.34615384613</v>
      </c>
      <c r="G144" s="519">
        <f t="shared" si="18"/>
        <v>913431.16107692313</v>
      </c>
      <c r="H144" s="519">
        <f t="shared" si="18"/>
        <v>931699.7842984614</v>
      </c>
      <c r="I144" s="519">
        <f t="shared" si="18"/>
        <v>950333.77998443076</v>
      </c>
      <c r="J144" s="519">
        <f t="shared" si="18"/>
        <v>997684.33437931945</v>
      </c>
      <c r="K144" s="519">
        <f t="shared" si="18"/>
        <v>1013101.1022765377</v>
      </c>
      <c r="L144" s="519">
        <f t="shared" si="18"/>
        <v>1033363.1243220684</v>
      </c>
      <c r="M144" s="519">
        <f t="shared" si="18"/>
        <v>1054030.3868085099</v>
      </c>
      <c r="N144" s="519">
        <f t="shared" si="18"/>
        <v>1075110.9945446802</v>
      </c>
      <c r="O144" s="519">
        <f t="shared" si="18"/>
        <v>1101003.7172255765</v>
      </c>
      <c r="P144" s="519">
        <f t="shared" si="18"/>
        <v>1118545.4787242855</v>
      </c>
      <c r="Q144" s="519">
        <f t="shared" si="18"/>
        <v>1140916.3882987711</v>
      </c>
      <c r="R144" s="519">
        <f t="shared" si="18"/>
        <v>1163734.7160647465</v>
      </c>
      <c r="S144" s="519">
        <f t="shared" si="18"/>
        <v>1187009.4103860413</v>
      </c>
      <c r="T144" s="519">
        <f t="shared" si="18"/>
        <v>1215076.6644246001</v>
      </c>
      <c r="U144" s="519">
        <f t="shared" si="18"/>
        <v>1234964.5905656377</v>
      </c>
      <c r="V144" s="519">
        <f t="shared" si="18"/>
        <v>1259663.8823769502</v>
      </c>
      <c r="W144" s="519">
        <f t="shared" si="18"/>
        <v>1284857.1600244893</v>
      </c>
      <c r="X144" s="519">
        <f t="shared" si="18"/>
        <v>1310554.3032249792</v>
      </c>
    </row>
    <row r="145" spans="1:24" s="222" customFormat="1" ht="14.25">
      <c r="A145" s="280"/>
      <c r="B145" s="280"/>
      <c r="C145" s="263"/>
      <c r="D145" s="518"/>
      <c r="E145" s="520"/>
      <c r="F145" s="520"/>
      <c r="G145" s="520"/>
      <c r="H145" s="520"/>
      <c r="I145" s="520"/>
      <c r="J145" s="520"/>
      <c r="K145" s="520"/>
      <c r="L145" s="520"/>
      <c r="M145" s="520"/>
      <c r="N145" s="520"/>
      <c r="O145" s="520"/>
      <c r="P145" s="520"/>
      <c r="Q145" s="520"/>
      <c r="R145" s="520"/>
      <c r="S145" s="520"/>
      <c r="T145" s="520"/>
      <c r="U145" s="520"/>
      <c r="V145" s="520"/>
      <c r="W145" s="520"/>
      <c r="X145" s="520"/>
    </row>
    <row r="146" spans="1:24" s="222" customFormat="1" ht="14.25">
      <c r="A146" s="271" t="s">
        <v>295</v>
      </c>
      <c r="B146" s="271"/>
      <c r="C146" s="269"/>
      <c r="D146" s="521"/>
      <c r="E146" s="521"/>
      <c r="F146" s="521"/>
      <c r="G146" s="521"/>
      <c r="H146" s="521"/>
      <c r="I146" s="521"/>
      <c r="J146" s="521"/>
      <c r="K146" s="521"/>
      <c r="L146" s="521"/>
      <c r="M146" s="521"/>
      <c r="N146" s="521"/>
      <c r="O146" s="521"/>
      <c r="P146" s="521"/>
      <c r="Q146" s="521"/>
      <c r="R146" s="521"/>
      <c r="S146" s="521"/>
      <c r="T146" s="521"/>
      <c r="U146" s="521"/>
      <c r="V146" s="521"/>
      <c r="W146" s="521"/>
      <c r="X146" s="521"/>
    </row>
    <row r="147" spans="1:24" s="222" customFormat="1" ht="14.25">
      <c r="A147" s="280"/>
      <c r="B147" s="280"/>
      <c r="C147" s="263"/>
      <c r="D147" s="518"/>
      <c r="E147" s="520"/>
      <c r="F147" s="520"/>
      <c r="G147" s="520"/>
      <c r="H147" s="520"/>
      <c r="I147" s="520"/>
      <c r="J147" s="520"/>
      <c r="K147" s="520"/>
      <c r="L147" s="520"/>
      <c r="M147" s="520"/>
      <c r="N147" s="520"/>
      <c r="O147" s="520"/>
      <c r="P147" s="520"/>
      <c r="Q147" s="520"/>
      <c r="R147" s="520"/>
      <c r="S147" s="520"/>
      <c r="T147" s="520"/>
      <c r="U147" s="520"/>
      <c r="V147" s="520"/>
      <c r="W147" s="520"/>
      <c r="X147" s="520"/>
    </row>
    <row r="148" spans="1:24" s="725" customFormat="1">
      <c r="A148" s="353" t="s">
        <v>228</v>
      </c>
      <c r="B148" s="691"/>
      <c r="C148" s="724"/>
      <c r="D148" s="699">
        <v>0</v>
      </c>
      <c r="E148" s="700"/>
      <c r="F148" s="700"/>
      <c r="G148" s="700"/>
      <c r="H148" s="700"/>
      <c r="I148" s="700"/>
      <c r="J148" s="700"/>
      <c r="K148" s="700"/>
      <c r="L148" s="700"/>
      <c r="M148" s="700"/>
      <c r="N148" s="700"/>
      <c r="O148" s="700"/>
      <c r="P148" s="700"/>
      <c r="Q148" s="700"/>
      <c r="R148" s="700"/>
      <c r="S148" s="700"/>
      <c r="T148" s="700"/>
      <c r="U148" s="700"/>
      <c r="V148" s="700"/>
      <c r="W148" s="700"/>
      <c r="X148" s="700"/>
    </row>
    <row r="149" spans="1:24" s="725" customFormat="1">
      <c r="A149" s="726" t="s">
        <v>228</v>
      </c>
      <c r="B149" s="727"/>
      <c r="C149" s="728"/>
      <c r="D149" s="729">
        <v>0</v>
      </c>
      <c r="E149" s="730"/>
      <c r="F149" s="730"/>
      <c r="G149" s="730"/>
      <c r="H149" s="730"/>
      <c r="I149" s="730"/>
      <c r="J149" s="730"/>
      <c r="K149" s="730"/>
      <c r="L149" s="730"/>
      <c r="M149" s="730"/>
      <c r="N149" s="730"/>
      <c r="O149" s="730"/>
      <c r="P149" s="730"/>
      <c r="Q149" s="730"/>
      <c r="R149" s="730"/>
      <c r="S149" s="730"/>
      <c r="T149" s="730"/>
      <c r="U149" s="730"/>
      <c r="V149" s="730"/>
      <c r="W149" s="730"/>
      <c r="X149" s="730"/>
    </row>
    <row r="150" spans="1:24" s="725" customFormat="1" ht="14.25">
      <c r="A150" s="691" t="s">
        <v>296</v>
      </c>
      <c r="B150" s="691"/>
      <c r="C150" s="724"/>
      <c r="D150" s="731">
        <f t="shared" ref="D150:X150" si="19">SUM(D148:D149)</f>
        <v>0</v>
      </c>
      <c r="E150" s="732">
        <f t="shared" si="19"/>
        <v>0</v>
      </c>
      <c r="F150" s="732">
        <f t="shared" si="19"/>
        <v>0</v>
      </c>
      <c r="G150" s="732">
        <f t="shared" si="19"/>
        <v>0</v>
      </c>
      <c r="H150" s="732">
        <f t="shared" si="19"/>
        <v>0</v>
      </c>
      <c r="I150" s="732">
        <f t="shared" si="19"/>
        <v>0</v>
      </c>
      <c r="J150" s="732">
        <f t="shared" si="19"/>
        <v>0</v>
      </c>
      <c r="K150" s="732">
        <f t="shared" si="19"/>
        <v>0</v>
      </c>
      <c r="L150" s="732">
        <f t="shared" si="19"/>
        <v>0</v>
      </c>
      <c r="M150" s="732">
        <f t="shared" si="19"/>
        <v>0</v>
      </c>
      <c r="N150" s="732">
        <f t="shared" si="19"/>
        <v>0</v>
      </c>
      <c r="O150" s="732">
        <f t="shared" si="19"/>
        <v>0</v>
      </c>
      <c r="P150" s="732">
        <f t="shared" si="19"/>
        <v>0</v>
      </c>
      <c r="Q150" s="732">
        <f t="shared" si="19"/>
        <v>0</v>
      </c>
      <c r="R150" s="732">
        <f t="shared" si="19"/>
        <v>0</v>
      </c>
      <c r="S150" s="732">
        <f t="shared" si="19"/>
        <v>0</v>
      </c>
      <c r="T150" s="732">
        <f t="shared" si="19"/>
        <v>0</v>
      </c>
      <c r="U150" s="732">
        <f t="shared" si="19"/>
        <v>0</v>
      </c>
      <c r="V150" s="732">
        <f t="shared" si="19"/>
        <v>0</v>
      </c>
      <c r="W150" s="732">
        <f t="shared" si="19"/>
        <v>0</v>
      </c>
      <c r="X150" s="732">
        <f t="shared" si="19"/>
        <v>0</v>
      </c>
    </row>
    <row r="151" spans="1:24" s="222" customFormat="1">
      <c r="A151" s="280"/>
      <c r="B151" s="280"/>
      <c r="C151" s="263"/>
      <c r="D151" s="514"/>
      <c r="E151" s="515"/>
      <c r="F151" s="520"/>
      <c r="G151" s="520"/>
      <c r="H151" s="520"/>
      <c r="I151" s="520"/>
      <c r="J151" s="520"/>
      <c r="K151" s="520"/>
      <c r="L151" s="520"/>
      <c r="M151" s="520"/>
      <c r="N151" s="520"/>
      <c r="O151" s="520"/>
      <c r="P151" s="520"/>
      <c r="Q151" s="520"/>
      <c r="R151" s="520"/>
      <c r="S151" s="520"/>
      <c r="T151" s="520"/>
      <c r="U151" s="520"/>
      <c r="V151" s="520"/>
      <c r="W151" s="520"/>
      <c r="X151" s="520"/>
    </row>
    <row r="152" spans="1:24" s="222" customFormat="1" ht="14.25">
      <c r="A152" s="296" t="s">
        <v>140</v>
      </c>
      <c r="B152" s="296"/>
      <c r="C152" s="297"/>
      <c r="D152" s="522">
        <f t="shared" ref="D152:X152" si="20">SUM(D144,D150)</f>
        <v>0</v>
      </c>
      <c r="E152" s="522">
        <f t="shared" si="20"/>
        <v>357416.66666666663</v>
      </c>
      <c r="F152" s="522">
        <f t="shared" si="20"/>
        <v>894419.34615384613</v>
      </c>
      <c r="G152" s="522">
        <f t="shared" si="20"/>
        <v>913431.16107692313</v>
      </c>
      <c r="H152" s="522">
        <f t="shared" si="20"/>
        <v>931699.7842984614</v>
      </c>
      <c r="I152" s="522">
        <f t="shared" si="20"/>
        <v>950333.77998443076</v>
      </c>
      <c r="J152" s="522">
        <f t="shared" si="20"/>
        <v>997684.33437931945</v>
      </c>
      <c r="K152" s="522">
        <f t="shared" si="20"/>
        <v>1013101.1022765377</v>
      </c>
      <c r="L152" s="522">
        <f t="shared" si="20"/>
        <v>1033363.1243220684</v>
      </c>
      <c r="M152" s="522">
        <f t="shared" si="20"/>
        <v>1054030.3868085099</v>
      </c>
      <c r="N152" s="522">
        <f t="shared" si="20"/>
        <v>1075110.9945446802</v>
      </c>
      <c r="O152" s="522">
        <f t="shared" si="20"/>
        <v>1101003.7172255765</v>
      </c>
      <c r="P152" s="522">
        <f t="shared" si="20"/>
        <v>1118545.4787242855</v>
      </c>
      <c r="Q152" s="522">
        <f t="shared" si="20"/>
        <v>1140916.3882987711</v>
      </c>
      <c r="R152" s="522">
        <f t="shared" si="20"/>
        <v>1163734.7160647465</v>
      </c>
      <c r="S152" s="522">
        <f t="shared" si="20"/>
        <v>1187009.4103860413</v>
      </c>
      <c r="T152" s="522">
        <f t="shared" si="20"/>
        <v>1215076.6644246001</v>
      </c>
      <c r="U152" s="522">
        <f t="shared" si="20"/>
        <v>1234964.5905656377</v>
      </c>
      <c r="V152" s="522">
        <f t="shared" si="20"/>
        <v>1259663.8823769502</v>
      </c>
      <c r="W152" s="522">
        <f t="shared" si="20"/>
        <v>1284857.1600244893</v>
      </c>
      <c r="X152" s="522">
        <f t="shared" si="20"/>
        <v>1310554.3032249792</v>
      </c>
    </row>
    <row r="153" spans="1:24">
      <c r="A153" s="92"/>
      <c r="B153" s="92"/>
      <c r="C153" s="69"/>
      <c r="D153" s="514"/>
      <c r="E153" s="515"/>
      <c r="F153" s="515"/>
      <c r="G153" s="515"/>
      <c r="H153" s="515"/>
      <c r="I153" s="515"/>
      <c r="J153" s="515"/>
      <c r="K153" s="515"/>
      <c r="L153" s="515"/>
      <c r="M153" s="515"/>
      <c r="N153" s="515"/>
      <c r="O153" s="515"/>
      <c r="P153" s="515"/>
      <c r="Q153" s="515"/>
      <c r="R153" s="515"/>
      <c r="S153" s="515"/>
      <c r="T153" s="515"/>
      <c r="U153" s="515"/>
      <c r="V153" s="515"/>
      <c r="W153" s="515"/>
      <c r="X153" s="515"/>
    </row>
    <row r="154" spans="1:24" s="33" customFormat="1">
      <c r="A154" s="47" t="s">
        <v>7</v>
      </c>
      <c r="B154" s="47" t="s">
        <v>7</v>
      </c>
      <c r="C154" s="78" t="s">
        <v>7</v>
      </c>
      <c r="D154" s="604" t="s">
        <v>7</v>
      </c>
      <c r="E154" s="78" t="s">
        <v>7</v>
      </c>
      <c r="F154" s="78" t="s">
        <v>7</v>
      </c>
      <c r="G154" s="78" t="s">
        <v>7</v>
      </c>
      <c r="H154" s="78" t="s">
        <v>7</v>
      </c>
      <c r="I154" s="78" t="s">
        <v>7</v>
      </c>
      <c r="J154" s="78" t="s">
        <v>7</v>
      </c>
      <c r="K154" s="78" t="s">
        <v>7</v>
      </c>
      <c r="L154" s="78" t="s">
        <v>7</v>
      </c>
      <c r="M154" s="78" t="s">
        <v>7</v>
      </c>
      <c r="N154" s="78" t="s">
        <v>7</v>
      </c>
      <c r="O154" s="78" t="s">
        <v>7</v>
      </c>
      <c r="P154" s="78" t="s">
        <v>7</v>
      </c>
      <c r="Q154" s="78" t="s">
        <v>7</v>
      </c>
      <c r="R154" s="78" t="s">
        <v>7</v>
      </c>
      <c r="S154" s="78" t="s">
        <v>7</v>
      </c>
      <c r="T154" s="78" t="s">
        <v>7</v>
      </c>
      <c r="U154" s="78" t="s">
        <v>7</v>
      </c>
      <c r="V154" s="78" t="s">
        <v>7</v>
      </c>
      <c r="W154" s="78" t="s">
        <v>7</v>
      </c>
      <c r="X154" s="78" t="s">
        <v>7</v>
      </c>
    </row>
    <row r="155" spans="1:24">
      <c r="A155" s="92"/>
      <c r="B155" s="92"/>
      <c r="C155" s="69"/>
      <c r="D155" s="518"/>
      <c r="E155" s="515"/>
      <c r="F155" s="515"/>
      <c r="G155" s="515"/>
      <c r="H155" s="515"/>
      <c r="I155" s="515"/>
      <c r="J155" s="515"/>
      <c r="K155" s="515"/>
      <c r="L155" s="515"/>
      <c r="M155" s="515"/>
      <c r="N155" s="515"/>
      <c r="O155" s="515"/>
      <c r="P155" s="515"/>
      <c r="Q155" s="515"/>
      <c r="R155" s="515"/>
      <c r="S155" s="515"/>
      <c r="T155" s="515"/>
      <c r="U155" s="515"/>
      <c r="V155" s="515"/>
      <c r="W155" s="515"/>
      <c r="X155" s="515"/>
    </row>
    <row r="156" spans="1:24" s="16" customFormat="1" ht="14.25">
      <c r="A156" s="278" t="s">
        <v>116</v>
      </c>
      <c r="B156" s="263"/>
      <c r="C156" s="263"/>
      <c r="D156" s="518">
        <f>D119-(D136+D142)</f>
        <v>0</v>
      </c>
      <c r="E156" s="520">
        <f>E119-E152</f>
        <v>-299391.66666666663</v>
      </c>
      <c r="F156" s="520">
        <f t="shared" ref="F156:X156" si="21">F119-F152</f>
        <v>1105477.825639904</v>
      </c>
      <c r="G156" s="520">
        <f t="shared" si="21"/>
        <v>1243196.3541527016</v>
      </c>
      <c r="H156" s="520">
        <f t="shared" si="21"/>
        <v>1265840.2812357559</v>
      </c>
      <c r="I156" s="520">
        <f t="shared" si="21"/>
        <v>1288937.0868604709</v>
      </c>
      <c r="J156" s="520">
        <f t="shared" si="21"/>
        <v>1528056.1998024802</v>
      </c>
      <c r="K156" s="520">
        <f t="shared" si="21"/>
        <v>1556056.1575888987</v>
      </c>
      <c r="L156" s="520">
        <f t="shared" si="21"/>
        <v>1580079.1957406765</v>
      </c>
      <c r="M156" s="520">
        <f t="shared" si="21"/>
        <v>1604582.6946554901</v>
      </c>
      <c r="N156" s="520">
        <f t="shared" si="21"/>
        <v>1629576.2635485991</v>
      </c>
      <c r="O156" s="520">
        <f t="shared" si="21"/>
        <v>1712242.7635295691</v>
      </c>
      <c r="P156" s="520">
        <f t="shared" si="21"/>
        <v>1742636.5753959627</v>
      </c>
      <c r="Q156" s="520">
        <f t="shared" si="21"/>
        <v>1769159.950653882</v>
      </c>
      <c r="R156" s="520">
        <f t="shared" si="21"/>
        <v>1796213.7934169602</v>
      </c>
      <c r="S156" s="520">
        <f t="shared" si="21"/>
        <v>1823808.7130352999</v>
      </c>
      <c r="T156" s="520">
        <f t="shared" si="21"/>
        <v>1909292.0277151675</v>
      </c>
      <c r="U156" s="520">
        <f t="shared" si="21"/>
        <v>1942328.8479169253</v>
      </c>
      <c r="V156" s="520">
        <f t="shared" si="21"/>
        <v>1971612.7973752636</v>
      </c>
      <c r="W156" s="520">
        <f t="shared" si="21"/>
        <v>2001482.4258227693</v>
      </c>
      <c r="X156" s="520">
        <f t="shared" si="21"/>
        <v>2031949.4468392243</v>
      </c>
    </row>
    <row r="157" spans="1:24">
      <c r="A157" s="30"/>
      <c r="B157" s="92"/>
      <c r="C157" s="69"/>
      <c r="D157" s="514"/>
      <c r="E157" s="515"/>
      <c r="F157" s="515"/>
      <c r="G157" s="515"/>
      <c r="H157" s="515"/>
      <c r="I157" s="515"/>
      <c r="J157" s="515"/>
      <c r="K157" s="515"/>
      <c r="L157" s="515"/>
      <c r="M157" s="515"/>
      <c r="N157" s="515"/>
      <c r="O157" s="515"/>
      <c r="P157" s="515"/>
      <c r="Q157" s="515"/>
      <c r="R157" s="515"/>
      <c r="S157" s="515"/>
      <c r="T157" s="515"/>
      <c r="U157" s="515"/>
      <c r="V157" s="515"/>
      <c r="W157" s="515"/>
      <c r="X157" s="515"/>
    </row>
    <row r="158" spans="1:24" s="594" customFormat="1">
      <c r="A158" s="589" t="s">
        <v>125</v>
      </c>
      <c r="B158" s="590"/>
      <c r="C158" s="591"/>
      <c r="D158" s="592">
        <v>0</v>
      </c>
      <c r="E158" s="593">
        <v>0</v>
      </c>
      <c r="F158" s="593">
        <v>0</v>
      </c>
      <c r="G158" s="593">
        <v>0</v>
      </c>
      <c r="H158" s="593">
        <v>0</v>
      </c>
      <c r="I158" s="593">
        <v>0</v>
      </c>
      <c r="J158" s="593">
        <v>0</v>
      </c>
      <c r="K158" s="593">
        <v>0</v>
      </c>
      <c r="L158" s="593">
        <v>0</v>
      </c>
      <c r="M158" s="593">
        <v>0</v>
      </c>
      <c r="N158" s="593">
        <v>0</v>
      </c>
      <c r="O158" s="593">
        <v>0</v>
      </c>
      <c r="P158" s="593">
        <v>0</v>
      </c>
      <c r="Q158" s="593">
        <v>0</v>
      </c>
      <c r="R158" s="593">
        <v>0</v>
      </c>
      <c r="S158" s="593">
        <v>0</v>
      </c>
      <c r="T158" s="593">
        <v>0</v>
      </c>
      <c r="U158" s="593">
        <v>0</v>
      </c>
      <c r="V158" s="593">
        <v>0</v>
      </c>
      <c r="W158" s="593">
        <v>0</v>
      </c>
      <c r="X158" s="593">
        <v>0</v>
      </c>
    </row>
    <row r="159" spans="1:24">
      <c r="A159" s="92"/>
      <c r="B159" s="92"/>
      <c r="C159" s="69"/>
      <c r="D159" s="514"/>
      <c r="E159" s="515"/>
      <c r="F159" s="515"/>
      <c r="G159" s="515"/>
      <c r="H159" s="515"/>
      <c r="I159" s="515"/>
      <c r="J159" s="515"/>
      <c r="K159" s="515"/>
      <c r="L159" s="515"/>
      <c r="M159" s="515"/>
      <c r="N159" s="515"/>
      <c r="O159" s="515"/>
      <c r="P159" s="515"/>
      <c r="Q159" s="515"/>
      <c r="R159" s="515"/>
      <c r="S159" s="515"/>
      <c r="T159" s="515"/>
      <c r="U159" s="515"/>
      <c r="V159" s="515"/>
      <c r="W159" s="515"/>
      <c r="X159" s="515"/>
    </row>
    <row r="160" spans="1:24" s="16" customFormat="1" ht="14.25">
      <c r="A160" s="278" t="s">
        <v>117</v>
      </c>
      <c r="B160" s="278"/>
      <c r="C160" s="263"/>
      <c r="D160" s="518">
        <v>0</v>
      </c>
      <c r="E160" s="520">
        <f>E156-E158</f>
        <v>-299391.66666666663</v>
      </c>
      <c r="F160" s="520">
        <f t="shared" ref="F160:X160" si="22">F156-F158</f>
        <v>1105477.825639904</v>
      </c>
      <c r="G160" s="520">
        <f t="shared" si="22"/>
        <v>1243196.3541527016</v>
      </c>
      <c r="H160" s="520">
        <f t="shared" si="22"/>
        <v>1265840.2812357559</v>
      </c>
      <c r="I160" s="520">
        <f t="shared" si="22"/>
        <v>1288937.0868604709</v>
      </c>
      <c r="J160" s="520">
        <f t="shared" si="22"/>
        <v>1528056.1998024802</v>
      </c>
      <c r="K160" s="520">
        <f t="shared" si="22"/>
        <v>1556056.1575888987</v>
      </c>
      <c r="L160" s="520">
        <f t="shared" si="22"/>
        <v>1580079.1957406765</v>
      </c>
      <c r="M160" s="520">
        <f t="shared" si="22"/>
        <v>1604582.6946554901</v>
      </c>
      <c r="N160" s="520">
        <f t="shared" si="22"/>
        <v>1629576.2635485991</v>
      </c>
      <c r="O160" s="520">
        <f t="shared" si="22"/>
        <v>1712242.7635295691</v>
      </c>
      <c r="P160" s="520">
        <f t="shared" si="22"/>
        <v>1742636.5753959627</v>
      </c>
      <c r="Q160" s="520">
        <f t="shared" si="22"/>
        <v>1769159.950653882</v>
      </c>
      <c r="R160" s="520">
        <f t="shared" si="22"/>
        <v>1796213.7934169602</v>
      </c>
      <c r="S160" s="520">
        <f t="shared" si="22"/>
        <v>1823808.7130352999</v>
      </c>
      <c r="T160" s="520">
        <f t="shared" si="22"/>
        <v>1909292.0277151675</v>
      </c>
      <c r="U160" s="520">
        <f t="shared" si="22"/>
        <v>1942328.8479169253</v>
      </c>
      <c r="V160" s="520">
        <f t="shared" si="22"/>
        <v>1971612.7973752636</v>
      </c>
      <c r="W160" s="520">
        <f t="shared" si="22"/>
        <v>2001482.4258227693</v>
      </c>
      <c r="X160" s="520">
        <f t="shared" si="22"/>
        <v>2031949.4468392243</v>
      </c>
    </row>
    <row r="161" spans="1:24">
      <c r="A161" s="92"/>
      <c r="B161" s="92"/>
      <c r="C161" s="69"/>
      <c r="D161" s="514"/>
      <c r="E161" s="515"/>
      <c r="F161" s="515"/>
      <c r="G161" s="515"/>
      <c r="H161" s="515"/>
      <c r="I161" s="515"/>
      <c r="J161" s="515"/>
      <c r="K161" s="515"/>
      <c r="L161" s="515"/>
      <c r="M161" s="515"/>
      <c r="N161" s="515"/>
      <c r="O161" s="515"/>
      <c r="P161" s="515"/>
      <c r="Q161" s="515"/>
      <c r="R161" s="515"/>
      <c r="S161" s="515"/>
      <c r="T161" s="515"/>
      <c r="U161" s="515"/>
      <c r="V161" s="515"/>
      <c r="W161" s="515"/>
      <c r="X161" s="515"/>
    </row>
    <row r="162" spans="1:24">
      <c r="A162" s="271" t="s">
        <v>126</v>
      </c>
      <c r="B162" s="272"/>
      <c r="C162" s="273"/>
      <c r="D162" s="523"/>
      <c r="E162" s="523"/>
      <c r="F162" s="523"/>
      <c r="G162" s="523"/>
      <c r="H162" s="523"/>
      <c r="I162" s="523"/>
      <c r="J162" s="523"/>
      <c r="K162" s="523"/>
      <c r="L162" s="523"/>
      <c r="M162" s="523"/>
      <c r="N162" s="523"/>
      <c r="O162" s="523"/>
      <c r="P162" s="523"/>
      <c r="Q162" s="523"/>
      <c r="R162" s="523"/>
      <c r="S162" s="523"/>
      <c r="T162" s="523"/>
      <c r="U162" s="523"/>
      <c r="V162" s="523"/>
      <c r="W162" s="523"/>
      <c r="X162" s="523"/>
    </row>
    <row r="163" spans="1:24" s="32" customFormat="1">
      <c r="A163" s="280"/>
      <c r="B163" s="91"/>
      <c r="C163" s="69"/>
      <c r="D163" s="514"/>
      <c r="E163" s="515"/>
      <c r="F163" s="515"/>
      <c r="G163" s="515"/>
      <c r="H163" s="515"/>
      <c r="I163" s="515"/>
      <c r="J163" s="515"/>
      <c r="K163" s="515"/>
      <c r="L163" s="515"/>
      <c r="M163" s="515"/>
      <c r="N163" s="515"/>
      <c r="O163" s="515"/>
      <c r="P163" s="515"/>
      <c r="Q163" s="515"/>
      <c r="R163" s="515"/>
      <c r="S163" s="515"/>
      <c r="T163" s="515"/>
      <c r="U163" s="515"/>
      <c r="V163" s="515"/>
      <c r="W163" s="515"/>
      <c r="X163" s="515"/>
    </row>
    <row r="164" spans="1:24" s="96" customFormat="1">
      <c r="A164" s="885" t="s">
        <v>136</v>
      </c>
      <c r="B164" s="719"/>
      <c r="C164" s="69"/>
      <c r="D164" s="514">
        <v>0</v>
      </c>
      <c r="E164" s="515">
        <f>'OPEX - Concept B3 - ALL'!L170</f>
        <v>0</v>
      </c>
      <c r="F164" s="515">
        <f>'OPEX - Concept B3 - ALL'!M170</f>
        <v>67225</v>
      </c>
      <c r="G164" s="515">
        <f>'OPEX - Concept B3 - ALL'!N170</f>
        <v>68569.5</v>
      </c>
      <c r="H164" s="515">
        <f>'OPEX - Concept B3 - ALL'!O170</f>
        <v>69940.89</v>
      </c>
      <c r="I164" s="515">
        <f>'OPEX - Concept B3 - ALL'!P170</f>
        <v>71339.707799999989</v>
      </c>
      <c r="J164" s="515">
        <f>'OPEX - Concept B3 - ALL'!Q170</f>
        <v>72766.501955999993</v>
      </c>
      <c r="K164" s="515">
        <f>'OPEX - Concept B3 - ALL'!R170</f>
        <v>74221.831995119996</v>
      </c>
      <c r="L164" s="515">
        <f>'OPEX - Concept B3 - ALL'!S170</f>
        <v>75706.26863502241</v>
      </c>
      <c r="M164" s="515">
        <f>'OPEX - Concept B3 - ALL'!T170</f>
        <v>77220.394007722847</v>
      </c>
      <c r="N164" s="515">
        <f>'OPEX - Concept B3 - ALL'!U170</f>
        <v>78764.801887877315</v>
      </c>
      <c r="O164" s="515">
        <f>'OPEX - Concept B3 - ALL'!V170</f>
        <v>80340.097925634866</v>
      </c>
      <c r="P164" s="515">
        <f>'OPEX - Concept B3 - ALL'!W170</f>
        <v>81946.899884147555</v>
      </c>
      <c r="Q164" s="515">
        <f>'OPEX - Concept B3 - ALL'!X170</f>
        <v>83585.837881830506</v>
      </c>
      <c r="R164" s="515">
        <f>'OPEX - Concept B3 - ALL'!Y170</f>
        <v>85257.554639467126</v>
      </c>
      <c r="S164" s="515">
        <f>'OPEX - Concept B3 - ALL'!Z170</f>
        <v>86962.705732256451</v>
      </c>
      <c r="T164" s="515">
        <f>'OPEX - Concept B3 - ALL'!AA170</f>
        <v>88701.959846901591</v>
      </c>
      <c r="U164" s="515">
        <f>'OPEX - Concept B3 - ALL'!AB170</f>
        <v>90475.999043839634</v>
      </c>
      <c r="V164" s="515">
        <f>'OPEX - Concept B3 - ALL'!AC170</f>
        <v>92285.519024716428</v>
      </c>
      <c r="W164" s="515">
        <f>'OPEX - Concept B3 - ALL'!AD170</f>
        <v>94131.229405210761</v>
      </c>
      <c r="X164" s="515">
        <f>'OPEX - Concept B3 - ALL'!AE170</f>
        <v>96013.853993314973</v>
      </c>
    </row>
    <row r="165" spans="1:24" s="96" customFormat="1">
      <c r="A165" s="885" t="s">
        <v>458</v>
      </c>
      <c r="B165" s="719"/>
      <c r="C165" s="69"/>
      <c r="D165" s="514">
        <v>0</v>
      </c>
      <c r="E165" s="515">
        <f>'OPEX - Concept B3 - ALL'!L172</f>
        <v>706995.96</v>
      </c>
      <c r="F165" s="515">
        <f>'OPEX - Concept B3 - ALL'!M172</f>
        <v>706995.96</v>
      </c>
      <c r="G165" s="515">
        <f>'OPEX - Concept B3 - ALL'!N172</f>
        <v>706995.96</v>
      </c>
      <c r="H165" s="515">
        <f>'OPEX - Concept B3 - ALL'!O172</f>
        <v>706995.96</v>
      </c>
      <c r="I165" s="515">
        <f>'OPEX - Concept B3 - ALL'!P172</f>
        <v>706995.96</v>
      </c>
      <c r="J165" s="515">
        <f>'OPEX - Concept B3 - ALL'!Q172</f>
        <v>706995.96</v>
      </c>
      <c r="K165" s="515">
        <f>'OPEX - Concept B3 - ALL'!R172</f>
        <v>706995.96</v>
      </c>
      <c r="L165" s="515">
        <f>'OPEX - Concept B3 - ALL'!S172</f>
        <v>706995.96</v>
      </c>
      <c r="M165" s="515">
        <f>'OPEX - Concept B3 - ALL'!T172</f>
        <v>706995.96</v>
      </c>
      <c r="N165" s="515">
        <f>'OPEX - Concept B3 - ALL'!U172</f>
        <v>706995.96</v>
      </c>
      <c r="O165" s="515">
        <f>'OPEX - Concept B3 - ALL'!V172</f>
        <v>706995.96</v>
      </c>
      <c r="P165" s="515">
        <f>'OPEX - Concept B3 - ALL'!W172</f>
        <v>706995.96</v>
      </c>
      <c r="Q165" s="515">
        <f>'OPEX - Concept B3 - ALL'!X172</f>
        <v>706995.96</v>
      </c>
      <c r="R165" s="515">
        <f>'OPEX - Concept B3 - ALL'!Y172</f>
        <v>706995.96</v>
      </c>
      <c r="S165" s="515">
        <f>'OPEX - Concept B3 - ALL'!Z172</f>
        <v>706995.96</v>
      </c>
      <c r="T165" s="515">
        <f>'OPEX - Concept B3 - ALL'!AA172</f>
        <v>706995.96</v>
      </c>
      <c r="U165" s="515">
        <f>'OPEX - Concept B3 - ALL'!AB172</f>
        <v>706995.96</v>
      </c>
      <c r="V165" s="515">
        <f>'OPEX - Concept B3 - ALL'!AC172</f>
        <v>706995.96</v>
      </c>
      <c r="W165" s="515">
        <f>'OPEX - Concept B3 - ALL'!AD172</f>
        <v>706995.96</v>
      </c>
      <c r="X165" s="515">
        <f>'OPEX - Concept B3 - ALL'!AE172</f>
        <v>706995.96</v>
      </c>
    </row>
    <row r="166" spans="1:24" s="341" customFormat="1">
      <c r="A166" s="696" t="s">
        <v>315</v>
      </c>
      <c r="B166" s="697"/>
      <c r="C166" s="698"/>
      <c r="D166" s="699">
        <v>0</v>
      </c>
      <c r="E166" s="700">
        <v>0</v>
      </c>
      <c r="F166" s="700">
        <v>0</v>
      </c>
      <c r="G166" s="700">
        <v>0</v>
      </c>
      <c r="H166" s="700">
        <v>0</v>
      </c>
      <c r="I166" s="700">
        <v>0</v>
      </c>
      <c r="J166" s="700">
        <v>0</v>
      </c>
      <c r="K166" s="700">
        <v>0</v>
      </c>
      <c r="L166" s="700">
        <v>0</v>
      </c>
      <c r="M166" s="700">
        <v>0</v>
      </c>
      <c r="N166" s="700">
        <v>0</v>
      </c>
      <c r="O166" s="700">
        <v>0</v>
      </c>
      <c r="P166" s="700">
        <v>0</v>
      </c>
      <c r="Q166" s="700">
        <v>0</v>
      </c>
      <c r="R166" s="700">
        <v>0</v>
      </c>
      <c r="S166" s="700">
        <v>0</v>
      </c>
      <c r="T166" s="700">
        <v>0</v>
      </c>
      <c r="U166" s="700">
        <v>0</v>
      </c>
      <c r="V166" s="700">
        <v>0</v>
      </c>
      <c r="W166" s="700">
        <v>0</v>
      </c>
      <c r="X166" s="700">
        <v>0</v>
      </c>
    </row>
    <row r="167" spans="1:24" s="32" customFormat="1">
      <c r="A167" s="93" t="s">
        <v>316</v>
      </c>
      <c r="B167" s="298"/>
      <c r="C167" s="298"/>
      <c r="D167" s="505">
        <v>0</v>
      </c>
      <c r="E167" s="506">
        <v>246000</v>
      </c>
      <c r="F167" s="506">
        <v>246000</v>
      </c>
      <c r="G167" s="506">
        <v>246000</v>
      </c>
      <c r="H167" s="506">
        <v>246000</v>
      </c>
      <c r="I167" s="506">
        <v>246000</v>
      </c>
      <c r="J167" s="506">
        <v>246000</v>
      </c>
      <c r="K167" s="506">
        <v>246000</v>
      </c>
      <c r="L167" s="506">
        <v>246000</v>
      </c>
      <c r="M167" s="506">
        <v>246000</v>
      </c>
      <c r="N167" s="506">
        <v>246000</v>
      </c>
      <c r="O167" s="506">
        <v>246000</v>
      </c>
      <c r="P167" s="506">
        <v>246000</v>
      </c>
      <c r="Q167" s="506">
        <v>246000</v>
      </c>
      <c r="R167" s="506">
        <v>246000</v>
      </c>
      <c r="S167" s="506">
        <v>246000</v>
      </c>
      <c r="T167" s="506">
        <v>246000</v>
      </c>
      <c r="U167" s="506">
        <v>246000</v>
      </c>
      <c r="V167" s="506">
        <v>246000</v>
      </c>
      <c r="W167" s="506">
        <v>246000</v>
      </c>
      <c r="X167" s="506">
        <v>246000</v>
      </c>
    </row>
    <row r="168" spans="1:24" s="222" customFormat="1" ht="14.25">
      <c r="A168" s="263" t="s">
        <v>134</v>
      </c>
      <c r="B168" s="264"/>
      <c r="C168" s="264"/>
      <c r="D168" s="524">
        <f>SUM(D164:D167)</f>
        <v>0</v>
      </c>
      <c r="E168" s="525">
        <f t="shared" ref="E168:X168" si="23">SUM(E164:E167)</f>
        <v>952995.96</v>
      </c>
      <c r="F168" s="525">
        <f t="shared" si="23"/>
        <v>1020220.96</v>
      </c>
      <c r="G168" s="525">
        <f t="shared" si="23"/>
        <v>1021565.46</v>
      </c>
      <c r="H168" s="525">
        <f t="shared" si="23"/>
        <v>1022936.85</v>
      </c>
      <c r="I168" s="525">
        <f t="shared" si="23"/>
        <v>1024335.6677999999</v>
      </c>
      <c r="J168" s="525">
        <f t="shared" si="23"/>
        <v>1025762.461956</v>
      </c>
      <c r="K168" s="525">
        <f t="shared" si="23"/>
        <v>1027217.79199512</v>
      </c>
      <c r="L168" s="525">
        <f t="shared" si="23"/>
        <v>1028702.2286350224</v>
      </c>
      <c r="M168" s="525">
        <f t="shared" si="23"/>
        <v>1030216.3540077228</v>
      </c>
      <c r="N168" s="525">
        <f t="shared" si="23"/>
        <v>1031760.7618878772</v>
      </c>
      <c r="O168" s="525">
        <f t="shared" si="23"/>
        <v>1033336.0579256348</v>
      </c>
      <c r="P168" s="525">
        <f t="shared" si="23"/>
        <v>1034942.8598841475</v>
      </c>
      <c r="Q168" s="525">
        <f t="shared" si="23"/>
        <v>1036581.7978818305</v>
      </c>
      <c r="R168" s="525">
        <f t="shared" si="23"/>
        <v>1038253.5146394671</v>
      </c>
      <c r="S168" s="525">
        <f t="shared" si="23"/>
        <v>1039958.6657322564</v>
      </c>
      <c r="T168" s="525">
        <f t="shared" si="23"/>
        <v>1041697.9198469016</v>
      </c>
      <c r="U168" s="525">
        <f t="shared" si="23"/>
        <v>1043471.9590438396</v>
      </c>
      <c r="V168" s="525">
        <f t="shared" si="23"/>
        <v>1045281.4790247164</v>
      </c>
      <c r="W168" s="525">
        <f t="shared" si="23"/>
        <v>1047127.1894052108</v>
      </c>
      <c r="X168" s="525">
        <f t="shared" si="23"/>
        <v>1049009.813993315</v>
      </c>
    </row>
    <row r="169" spans="1:24" s="32" customFormat="1">
      <c r="A169" s="69"/>
      <c r="B169" s="90"/>
      <c r="C169" s="90"/>
      <c r="D169" s="526"/>
      <c r="E169" s="527"/>
      <c r="F169" s="527"/>
      <c r="G169" s="527"/>
      <c r="H169" s="527"/>
      <c r="I169" s="527"/>
      <c r="J169" s="527"/>
      <c r="K169" s="527"/>
      <c r="L169" s="527"/>
      <c r="M169" s="527"/>
      <c r="N169" s="527"/>
      <c r="O169" s="527"/>
      <c r="P169" s="527"/>
      <c r="Q169" s="527"/>
      <c r="R169" s="527"/>
      <c r="S169" s="527"/>
      <c r="T169" s="527"/>
      <c r="U169" s="527"/>
      <c r="V169" s="527"/>
      <c r="W169" s="527"/>
      <c r="X169" s="527"/>
    </row>
    <row r="170" spans="1:24" s="32" customFormat="1">
      <c r="A170" s="94" t="s">
        <v>137</v>
      </c>
      <c r="C170" s="69"/>
      <c r="D170" s="514">
        <v>0</v>
      </c>
      <c r="E170" s="515">
        <f>E160-E164</f>
        <v>-299391.66666666663</v>
      </c>
      <c r="F170" s="515">
        <f t="shared" ref="F170:X170" si="24">F156-F164</f>
        <v>1038252.825639904</v>
      </c>
      <c r="G170" s="515">
        <f t="shared" si="24"/>
        <v>1174626.8541527016</v>
      </c>
      <c r="H170" s="515">
        <f t="shared" si="24"/>
        <v>1195899.391235756</v>
      </c>
      <c r="I170" s="515">
        <f t="shared" si="24"/>
        <v>1217597.379060471</v>
      </c>
      <c r="J170" s="515">
        <f t="shared" si="24"/>
        <v>1455289.6978464802</v>
      </c>
      <c r="K170" s="515">
        <f t="shared" si="24"/>
        <v>1481834.3255937786</v>
      </c>
      <c r="L170" s="515">
        <f t="shared" si="24"/>
        <v>1504372.927105654</v>
      </c>
      <c r="M170" s="515">
        <f t="shared" si="24"/>
        <v>1527362.3006477673</v>
      </c>
      <c r="N170" s="515">
        <f t="shared" si="24"/>
        <v>1550811.4616607218</v>
      </c>
      <c r="O170" s="515">
        <f t="shared" si="24"/>
        <v>1631902.6656039343</v>
      </c>
      <c r="P170" s="515">
        <f t="shared" si="24"/>
        <v>1660689.6755118151</v>
      </c>
      <c r="Q170" s="515">
        <f t="shared" si="24"/>
        <v>1685574.1127720515</v>
      </c>
      <c r="R170" s="515">
        <f t="shared" si="24"/>
        <v>1710956.2387774931</v>
      </c>
      <c r="S170" s="515">
        <f t="shared" si="24"/>
        <v>1736846.0073030435</v>
      </c>
      <c r="T170" s="515">
        <f t="shared" si="24"/>
        <v>1820590.0678682658</v>
      </c>
      <c r="U170" s="515">
        <f t="shared" si="24"/>
        <v>1851852.8488730858</v>
      </c>
      <c r="V170" s="515">
        <f t="shared" si="24"/>
        <v>1879327.2783505472</v>
      </c>
      <c r="W170" s="515">
        <f t="shared" si="24"/>
        <v>1907351.1964175585</v>
      </c>
      <c r="X170" s="515">
        <f t="shared" si="24"/>
        <v>1935935.5928459093</v>
      </c>
    </row>
    <row r="171" spans="1:24" ht="16.5" customHeight="1">
      <c r="A171" s="88" t="s">
        <v>128</v>
      </c>
      <c r="B171" s="98"/>
      <c r="C171" s="98"/>
      <c r="D171" s="528">
        <v>0</v>
      </c>
      <c r="E171" s="529">
        <f>E160-E168</f>
        <v>-1252387.6266666665</v>
      </c>
      <c r="F171" s="529">
        <f t="shared" ref="F171:X171" si="25">F160-F168</f>
        <v>85256.865639904048</v>
      </c>
      <c r="G171" s="529">
        <f t="shared" si="25"/>
        <v>221630.8941527016</v>
      </c>
      <c r="H171" s="529">
        <f t="shared" si="25"/>
        <v>242903.43123575591</v>
      </c>
      <c r="I171" s="529">
        <f t="shared" si="25"/>
        <v>264601.419060471</v>
      </c>
      <c r="J171" s="529">
        <f t="shared" si="25"/>
        <v>502293.73784648022</v>
      </c>
      <c r="K171" s="529">
        <f t="shared" si="25"/>
        <v>528838.36559377867</v>
      </c>
      <c r="L171" s="529">
        <f t="shared" si="25"/>
        <v>551376.96710565407</v>
      </c>
      <c r="M171" s="529">
        <f t="shared" si="25"/>
        <v>574366.3406477673</v>
      </c>
      <c r="N171" s="529">
        <f t="shared" si="25"/>
        <v>597815.50166072184</v>
      </c>
      <c r="O171" s="529">
        <f t="shared" si="25"/>
        <v>678906.70560393436</v>
      </c>
      <c r="P171" s="529">
        <f t="shared" si="25"/>
        <v>707693.71551181516</v>
      </c>
      <c r="Q171" s="529">
        <f t="shared" si="25"/>
        <v>732578.15277205152</v>
      </c>
      <c r="R171" s="529">
        <f t="shared" si="25"/>
        <v>757960.27877749305</v>
      </c>
      <c r="S171" s="529">
        <f t="shared" si="25"/>
        <v>783850.04730304354</v>
      </c>
      <c r="T171" s="529">
        <f t="shared" si="25"/>
        <v>867594.10786826594</v>
      </c>
      <c r="U171" s="529">
        <f t="shared" si="25"/>
        <v>898856.88887308573</v>
      </c>
      <c r="V171" s="529">
        <f t="shared" si="25"/>
        <v>926331.31835054723</v>
      </c>
      <c r="W171" s="529">
        <f t="shared" si="25"/>
        <v>954355.23641755851</v>
      </c>
      <c r="X171" s="529">
        <f t="shared" si="25"/>
        <v>982939.63284590933</v>
      </c>
    </row>
    <row r="172" spans="1:24" ht="16.5" customHeight="1">
      <c r="A172" s="88"/>
      <c r="B172" s="88"/>
      <c r="C172" s="88"/>
      <c r="D172" s="526"/>
      <c r="E172" s="527"/>
      <c r="F172" s="527"/>
      <c r="G172" s="527"/>
      <c r="H172" s="527"/>
      <c r="I172" s="527"/>
      <c r="J172" s="527"/>
      <c r="K172" s="527"/>
      <c r="L172" s="527"/>
      <c r="M172" s="527"/>
      <c r="N172" s="527"/>
      <c r="O172" s="527"/>
      <c r="P172" s="527"/>
      <c r="Q172" s="527"/>
      <c r="R172" s="527"/>
      <c r="S172" s="527"/>
      <c r="T172" s="527"/>
      <c r="U172" s="527"/>
      <c r="V172" s="527"/>
      <c r="W172" s="527"/>
      <c r="X172" s="527"/>
    </row>
    <row r="173" spans="1:24" ht="16.5" customHeight="1">
      <c r="A173" s="88" t="s">
        <v>129</v>
      </c>
      <c r="B173" s="632">
        <f>NPV(Cost_of_Money__DPC,E160:X160)</f>
        <v>31203137.73425933</v>
      </c>
      <c r="C173" s="88"/>
      <c r="D173" s="526"/>
      <c r="E173" s="527"/>
      <c r="F173" s="527"/>
      <c r="G173" s="527"/>
      <c r="H173" s="527"/>
      <c r="I173" s="527"/>
      <c r="J173" s="527"/>
      <c r="K173" s="527"/>
      <c r="L173" s="527"/>
      <c r="M173" s="527"/>
      <c r="N173" s="527"/>
      <c r="O173" s="527"/>
      <c r="P173" s="527"/>
      <c r="Q173" s="527"/>
      <c r="R173" s="527"/>
      <c r="S173" s="527"/>
      <c r="T173" s="527"/>
      <c r="U173" s="527"/>
      <c r="V173" s="527"/>
      <c r="W173" s="527"/>
      <c r="X173" s="527"/>
    </row>
    <row r="174" spans="1:24" ht="16.5" customHeight="1">
      <c r="A174" s="300" t="s">
        <v>130</v>
      </c>
      <c r="B174" s="733">
        <f>SUM(E171:X171)</f>
        <v>10607761.980600271</v>
      </c>
      <c r="C174" s="301"/>
      <c r="D174" s="530">
        <v>0</v>
      </c>
      <c r="E174" s="530">
        <f>E160-E168</f>
        <v>-1252387.6266666665</v>
      </c>
      <c r="F174" s="530">
        <f t="shared" ref="F174:X174" si="26">F160-F168</f>
        <v>85256.865639904048</v>
      </c>
      <c r="G174" s="530">
        <f t="shared" si="26"/>
        <v>221630.8941527016</v>
      </c>
      <c r="H174" s="530">
        <f t="shared" si="26"/>
        <v>242903.43123575591</v>
      </c>
      <c r="I174" s="530">
        <f t="shared" si="26"/>
        <v>264601.419060471</v>
      </c>
      <c r="J174" s="530">
        <f t="shared" si="26"/>
        <v>502293.73784648022</v>
      </c>
      <c r="K174" s="530">
        <f t="shared" si="26"/>
        <v>528838.36559377867</v>
      </c>
      <c r="L174" s="530">
        <f t="shared" si="26"/>
        <v>551376.96710565407</v>
      </c>
      <c r="M174" s="530">
        <f t="shared" si="26"/>
        <v>574366.3406477673</v>
      </c>
      <c r="N174" s="530">
        <f t="shared" si="26"/>
        <v>597815.50166072184</v>
      </c>
      <c r="O174" s="530">
        <f t="shared" si="26"/>
        <v>678906.70560393436</v>
      </c>
      <c r="P174" s="530">
        <f t="shared" si="26"/>
        <v>707693.71551181516</v>
      </c>
      <c r="Q174" s="530">
        <f t="shared" si="26"/>
        <v>732578.15277205152</v>
      </c>
      <c r="R174" s="530">
        <f t="shared" si="26"/>
        <v>757960.27877749305</v>
      </c>
      <c r="S174" s="530">
        <f t="shared" si="26"/>
        <v>783850.04730304354</v>
      </c>
      <c r="T174" s="530">
        <f t="shared" si="26"/>
        <v>867594.10786826594</v>
      </c>
      <c r="U174" s="530">
        <f t="shared" si="26"/>
        <v>898856.88887308573</v>
      </c>
      <c r="V174" s="530">
        <f t="shared" si="26"/>
        <v>926331.31835054723</v>
      </c>
      <c r="W174" s="530">
        <f t="shared" si="26"/>
        <v>954355.23641755851</v>
      </c>
      <c r="X174" s="530">
        <f t="shared" si="26"/>
        <v>982939.63284590933</v>
      </c>
    </row>
    <row r="175" spans="1:24" s="58" customFormat="1" ht="16.5" customHeight="1">
      <c r="A175" s="90" t="s">
        <v>32</v>
      </c>
      <c r="B175" s="358">
        <f>IRR(E174:X174)</f>
        <v>0.27116467016051082</v>
      </c>
      <c r="C175" s="356"/>
      <c r="D175" s="502"/>
      <c r="E175" s="504"/>
      <c r="F175" s="504"/>
      <c r="G175" s="504"/>
      <c r="H175" s="504"/>
      <c r="I175" s="504"/>
      <c r="J175" s="504"/>
      <c r="K175" s="504"/>
      <c r="L175" s="504"/>
      <c r="M175" s="504"/>
      <c r="N175" s="504"/>
      <c r="O175" s="504"/>
      <c r="P175" s="504"/>
      <c r="Q175" s="504"/>
      <c r="R175" s="504"/>
      <c r="S175" s="504"/>
      <c r="T175" s="504"/>
      <c r="U175" s="504"/>
      <c r="V175" s="504"/>
      <c r="W175" s="504"/>
      <c r="X175" s="504"/>
    </row>
    <row r="176" spans="1:24">
      <c r="A176" s="30"/>
      <c r="B176" s="30"/>
      <c r="C176" s="30"/>
      <c r="D176" s="502"/>
      <c r="E176" s="512"/>
      <c r="F176" s="512"/>
      <c r="G176" s="512"/>
      <c r="H176" s="512"/>
      <c r="I176" s="512"/>
      <c r="J176" s="512"/>
      <c r="K176" s="512"/>
      <c r="L176" s="512"/>
      <c r="M176" s="512"/>
      <c r="N176" s="512"/>
      <c r="O176" s="512"/>
      <c r="P176" s="512"/>
      <c r="Q176" s="512"/>
      <c r="R176" s="512"/>
      <c r="S176" s="512"/>
      <c r="T176" s="512"/>
      <c r="U176" s="512"/>
      <c r="V176" s="512"/>
      <c r="W176" s="512"/>
      <c r="X176" s="512"/>
    </row>
    <row r="177" spans="1:24">
      <c r="A177" s="274" t="s">
        <v>28</v>
      </c>
      <c r="B177" s="275"/>
      <c r="C177" s="275"/>
      <c r="D177" s="531"/>
      <c r="E177" s="531"/>
      <c r="F177" s="531"/>
      <c r="G177" s="531"/>
      <c r="H177" s="531"/>
      <c r="I177" s="531"/>
      <c r="J177" s="531"/>
      <c r="K177" s="531"/>
      <c r="L177" s="531"/>
      <c r="M177" s="531"/>
      <c r="N177" s="531"/>
      <c r="O177" s="531"/>
      <c r="P177" s="531"/>
      <c r="Q177" s="531"/>
      <c r="R177" s="531"/>
      <c r="S177" s="531"/>
      <c r="T177" s="531"/>
      <c r="U177" s="531"/>
      <c r="V177" s="531"/>
      <c r="W177" s="531"/>
      <c r="X177" s="531"/>
    </row>
    <row r="178" spans="1:24">
      <c r="A178" s="30"/>
      <c r="B178" s="30"/>
      <c r="C178" s="30"/>
      <c r="D178" s="502"/>
      <c r="E178" s="512"/>
      <c r="F178" s="512"/>
      <c r="G178" s="512"/>
      <c r="H178" s="512"/>
      <c r="I178" s="512"/>
      <c r="J178" s="512"/>
      <c r="K178" s="512"/>
      <c r="L178" s="512"/>
      <c r="M178" s="512"/>
      <c r="N178" s="512"/>
      <c r="O178" s="512"/>
      <c r="P178" s="512"/>
      <c r="Q178" s="512"/>
      <c r="R178" s="512"/>
      <c r="S178" s="512"/>
      <c r="T178" s="512"/>
      <c r="U178" s="512"/>
      <c r="V178" s="512"/>
      <c r="W178" s="512"/>
      <c r="X178" s="512"/>
    </row>
    <row r="179" spans="1:24">
      <c r="A179" s="30" t="s">
        <v>300</v>
      </c>
      <c r="B179" s="30"/>
      <c r="C179" s="87"/>
      <c r="D179" s="502">
        <v>0</v>
      </c>
      <c r="E179" s="512"/>
      <c r="F179" s="512"/>
      <c r="G179" s="512"/>
      <c r="H179" s="512"/>
      <c r="I179" s="512"/>
      <c r="J179" s="512"/>
      <c r="K179" s="512"/>
      <c r="L179" s="512"/>
      <c r="M179" s="512"/>
      <c r="N179" s="512"/>
      <c r="O179" s="512"/>
      <c r="P179" s="512"/>
      <c r="Q179" s="512"/>
      <c r="R179" s="512"/>
      <c r="S179" s="512"/>
      <c r="T179" s="512"/>
      <c r="U179" s="512"/>
      <c r="V179" s="512"/>
      <c r="W179" s="512"/>
      <c r="X179" s="512"/>
    </row>
    <row r="180" spans="1:24">
      <c r="A180" s="30" t="s">
        <v>301</v>
      </c>
      <c r="B180" s="30"/>
      <c r="C180" s="30"/>
      <c r="D180" s="502">
        <v>0</v>
      </c>
      <c r="E180" s="512"/>
      <c r="F180" s="512"/>
      <c r="G180" s="512"/>
      <c r="H180" s="512"/>
      <c r="I180" s="512"/>
      <c r="J180" s="512"/>
      <c r="K180" s="512"/>
      <c r="L180" s="512"/>
      <c r="M180" s="512"/>
      <c r="N180" s="512"/>
      <c r="O180" s="512"/>
      <c r="P180" s="512"/>
      <c r="Q180" s="512"/>
      <c r="R180" s="512"/>
      <c r="S180" s="512"/>
      <c r="T180" s="512"/>
      <c r="U180" s="512"/>
      <c r="V180" s="512"/>
      <c r="W180" s="512"/>
      <c r="X180" s="512"/>
    </row>
    <row r="181" spans="1:24">
      <c r="A181" s="30"/>
      <c r="B181" s="30"/>
      <c r="C181" s="30"/>
      <c r="D181" s="502"/>
      <c r="E181" s="512"/>
      <c r="F181" s="512"/>
      <c r="G181" s="512"/>
      <c r="H181" s="512"/>
      <c r="I181" s="512"/>
      <c r="J181" s="512"/>
      <c r="K181" s="512"/>
      <c r="L181" s="512"/>
      <c r="M181" s="512"/>
      <c r="N181" s="512"/>
      <c r="O181" s="512"/>
      <c r="P181" s="512"/>
      <c r="Q181" s="512"/>
      <c r="R181" s="512"/>
      <c r="S181" s="512"/>
      <c r="T181" s="512"/>
      <c r="U181" s="512"/>
      <c r="V181" s="512"/>
      <c r="W181" s="512"/>
      <c r="X181" s="512"/>
    </row>
    <row r="182" spans="1:24">
      <c r="A182" s="30" t="s">
        <v>298</v>
      </c>
      <c r="B182" s="30"/>
      <c r="C182" s="30"/>
      <c r="D182" s="502">
        <v>0</v>
      </c>
      <c r="E182" s="512"/>
      <c r="F182" s="512"/>
      <c r="G182" s="512"/>
      <c r="H182" s="512"/>
      <c r="I182" s="512"/>
      <c r="J182" s="512"/>
      <c r="K182" s="512"/>
      <c r="L182" s="512"/>
      <c r="M182" s="512"/>
      <c r="N182" s="512"/>
      <c r="O182" s="512"/>
      <c r="P182" s="512"/>
      <c r="Q182" s="512"/>
      <c r="R182" s="512"/>
      <c r="S182" s="512"/>
      <c r="T182" s="512"/>
      <c r="U182" s="512"/>
      <c r="V182" s="512"/>
      <c r="W182" s="512"/>
      <c r="X182" s="512"/>
    </row>
    <row r="183" spans="1:24">
      <c r="A183" s="30" t="s">
        <v>299</v>
      </c>
      <c r="B183" s="30"/>
      <c r="C183" s="30"/>
      <c r="D183" s="502">
        <v>0</v>
      </c>
      <c r="E183" s="512"/>
      <c r="F183" s="512"/>
      <c r="G183" s="512"/>
      <c r="H183" s="512"/>
      <c r="I183" s="512"/>
      <c r="J183" s="512"/>
      <c r="K183" s="512"/>
      <c r="L183" s="512"/>
      <c r="M183" s="512"/>
      <c r="N183" s="512"/>
      <c r="O183" s="512"/>
      <c r="P183" s="512"/>
      <c r="Q183" s="512"/>
      <c r="R183" s="512"/>
      <c r="S183" s="512"/>
      <c r="T183" s="512"/>
      <c r="U183" s="512"/>
      <c r="V183" s="512"/>
      <c r="W183" s="512"/>
      <c r="X183" s="512"/>
    </row>
    <row r="184" spans="1:24">
      <c r="D184" s="502"/>
      <c r="E184" s="532"/>
      <c r="F184" s="532"/>
      <c r="G184" s="532"/>
      <c r="H184" s="532"/>
      <c r="I184" s="532"/>
      <c r="J184" s="532"/>
      <c r="K184" s="532"/>
      <c r="L184" s="532"/>
      <c r="M184" s="532"/>
      <c r="N184" s="532"/>
      <c r="O184" s="532"/>
      <c r="P184" s="532"/>
      <c r="Q184" s="532"/>
      <c r="R184" s="532"/>
      <c r="S184" s="532"/>
      <c r="T184" s="532"/>
      <c r="U184" s="532"/>
      <c r="V184" s="532"/>
      <c r="W184" s="532"/>
      <c r="X184" s="532"/>
    </row>
    <row r="185" spans="1:24">
      <c r="A185" s="131"/>
      <c r="B185" s="131"/>
      <c r="C185" s="131"/>
      <c r="D185" s="493"/>
      <c r="E185" s="334"/>
      <c r="F185" s="334"/>
      <c r="G185" s="334"/>
      <c r="H185" s="334"/>
      <c r="I185" s="334"/>
      <c r="J185" s="334"/>
      <c r="K185" s="334"/>
      <c r="L185" s="334"/>
      <c r="M185" s="334"/>
      <c r="N185" s="334"/>
      <c r="O185" s="334"/>
      <c r="P185" s="334"/>
      <c r="Q185" s="334"/>
      <c r="R185" s="334"/>
      <c r="S185" s="334"/>
      <c r="T185" s="334"/>
      <c r="U185" s="334"/>
      <c r="V185" s="334"/>
      <c r="W185" s="334"/>
      <c r="X185" s="334"/>
    </row>
    <row r="186" spans="1:24">
      <c r="D186" s="494"/>
      <c r="E186" s="327"/>
      <c r="F186" s="327"/>
      <c r="G186" s="327"/>
      <c r="H186" s="327"/>
      <c r="I186" s="327"/>
      <c r="J186" s="327"/>
      <c r="K186" s="327"/>
      <c r="L186" s="327"/>
      <c r="M186" s="327"/>
      <c r="N186" s="327"/>
      <c r="O186" s="327"/>
      <c r="P186" s="327"/>
      <c r="Q186" s="327"/>
      <c r="R186" s="327"/>
      <c r="S186" s="327"/>
      <c r="T186" s="327"/>
      <c r="U186" s="327"/>
      <c r="V186" s="327"/>
      <c r="W186" s="327"/>
      <c r="X186" s="327"/>
    </row>
    <row r="187" spans="1:24">
      <c r="A187"/>
      <c r="D187" s="494"/>
      <c r="E187" s="327"/>
      <c r="F187" s="327"/>
      <c r="G187" s="327"/>
      <c r="H187" s="327"/>
      <c r="I187" s="327"/>
      <c r="J187" s="327"/>
      <c r="K187" s="327"/>
      <c r="L187" s="327"/>
      <c r="M187" s="327"/>
      <c r="N187" s="327"/>
      <c r="O187" s="327"/>
      <c r="P187" s="327"/>
      <c r="Q187" s="327"/>
      <c r="R187" s="327"/>
      <c r="S187" s="327"/>
      <c r="T187" s="327"/>
      <c r="U187" s="327"/>
      <c r="V187" s="327"/>
      <c r="W187" s="327"/>
      <c r="X187" s="327"/>
    </row>
    <row r="188" spans="1:24">
      <c r="A188"/>
      <c r="D188" s="494"/>
      <c r="E188" s="327"/>
      <c r="F188" s="327"/>
      <c r="G188" s="327"/>
      <c r="H188" s="327"/>
      <c r="I188" s="327"/>
      <c r="J188" s="327"/>
      <c r="K188" s="327"/>
      <c r="L188" s="327"/>
      <c r="M188" s="327"/>
      <c r="N188" s="327"/>
      <c r="O188" s="327"/>
      <c r="P188" s="327"/>
      <c r="Q188" s="327"/>
      <c r="R188" s="327"/>
      <c r="S188" s="327"/>
      <c r="T188" s="327"/>
      <c r="U188" s="327"/>
      <c r="V188" s="327"/>
      <c r="W188" s="327"/>
      <c r="X188" s="327"/>
    </row>
    <row r="189" spans="1:24">
      <c r="D189" s="494"/>
      <c r="E189" s="327"/>
      <c r="F189" s="327"/>
      <c r="G189" s="327"/>
      <c r="H189" s="362"/>
      <c r="I189" s="327"/>
      <c r="J189" s="327"/>
      <c r="K189" s="327"/>
      <c r="L189" s="327"/>
      <c r="M189" s="327"/>
      <c r="N189" s="327"/>
      <c r="O189" s="327"/>
      <c r="P189" s="327"/>
      <c r="Q189" s="327"/>
      <c r="R189" s="327"/>
      <c r="S189" s="327"/>
      <c r="T189" s="327"/>
      <c r="U189" s="327"/>
      <c r="V189" s="327"/>
      <c r="W189" s="327"/>
      <c r="X189" s="327"/>
    </row>
    <row r="190" spans="1:24">
      <c r="D190" s="326"/>
      <c r="E190" s="327"/>
      <c r="F190" s="327"/>
      <c r="G190" s="327"/>
      <c r="H190" s="359"/>
      <c r="I190" s="327"/>
      <c r="J190" s="327"/>
      <c r="K190" s="327"/>
      <c r="L190" s="327"/>
      <c r="M190" s="327"/>
      <c r="N190" s="327"/>
      <c r="O190" s="327"/>
      <c r="P190" s="327"/>
      <c r="Q190" s="327"/>
      <c r="R190" s="327"/>
      <c r="S190" s="327"/>
      <c r="T190" s="327"/>
      <c r="U190" s="327"/>
      <c r="V190" s="327"/>
      <c r="W190" s="327"/>
      <c r="X190" s="327"/>
    </row>
    <row r="191" spans="1:24">
      <c r="H191" s="305"/>
    </row>
    <row r="192" spans="1:24">
      <c r="H192" s="30"/>
    </row>
    <row r="193" spans="8:8">
      <c r="H193" s="87"/>
    </row>
    <row r="195" spans="8:8">
      <c r="H195" s="360"/>
    </row>
    <row r="196" spans="8:8">
      <c r="H196" s="361"/>
    </row>
  </sheetData>
  <pageMargins left="0.7" right="0.7" top="0.75" bottom="0.75" header="0.3" footer="0.3"/>
  <pageSetup paperSize="9" scale="2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XFD197"/>
  <sheetViews>
    <sheetView topLeftCell="A79" zoomScale="64" zoomScaleNormal="55" workbookViewId="0">
      <selection activeCell="A118" sqref="A118:XFD118"/>
    </sheetView>
  </sheetViews>
  <sheetFormatPr defaultColWidth="9" defaultRowHeight="16.5"/>
  <cols>
    <col min="1" max="1" width="71.875" style="18" customWidth="1"/>
    <col min="2" max="2" width="51.5" style="18" bestFit="1" customWidth="1"/>
    <col min="3" max="3" width="8" style="18" bestFit="1" customWidth="1"/>
    <col min="4" max="4" width="7.75" style="262" bestFit="1" customWidth="1"/>
    <col min="5" max="5" width="17.75" style="18" bestFit="1" customWidth="1"/>
    <col min="6" max="6" width="16.75" style="18" bestFit="1" customWidth="1"/>
    <col min="7" max="7" width="16.375" style="18" bestFit="1" customWidth="1"/>
    <col min="8" max="9" width="16.75" style="18" bestFit="1" customWidth="1"/>
    <col min="10" max="10" width="16.375" style="18" bestFit="1" customWidth="1"/>
    <col min="11" max="12" width="16.75" style="18" bestFit="1" customWidth="1"/>
    <col min="13" max="13" width="17.125" style="18" bestFit="1" customWidth="1"/>
    <col min="14" max="17" width="16.75" style="18" bestFit="1" customWidth="1"/>
    <col min="18" max="19" width="17.125" style="18" bestFit="1" customWidth="1"/>
    <col min="20" max="20" width="16.75" style="18" bestFit="1" customWidth="1"/>
    <col min="21" max="21" width="17.125" style="18" bestFit="1" customWidth="1"/>
    <col min="22" max="23" width="16.75" style="18" bestFit="1" customWidth="1"/>
    <col min="24" max="24" width="17.125" style="18" bestFit="1" customWidth="1"/>
    <col min="25" max="25" width="22.625" style="18" bestFit="1" customWidth="1"/>
    <col min="26" max="16384" width="9" style="18"/>
  </cols>
  <sheetData>
    <row r="1" spans="1:25" ht="18.75" thickBot="1">
      <c r="A1" s="11" t="str">
        <f>Intro!A1</f>
        <v>Town of Bar Harbor</v>
      </c>
      <c r="B1" s="27"/>
      <c r="C1" s="17"/>
      <c r="D1" s="260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</row>
    <row r="2" spans="1:25" ht="17.25" thickBot="1">
      <c r="A2" s="380" t="str">
        <f>Intro!A2</f>
        <v>Ferry Property Business Plan</v>
      </c>
      <c r="B2" s="13"/>
      <c r="C2" s="17"/>
      <c r="D2" s="260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</row>
    <row r="3" spans="1:25" s="381" customFormat="1" ht="14.25" thickBot="1">
      <c r="A3" s="384" t="str">
        <f>Intro!A3</f>
        <v>05.23.2018</v>
      </c>
      <c r="B3" s="304"/>
      <c r="C3" s="387"/>
      <c r="D3" s="388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7"/>
      <c r="X3" s="387"/>
    </row>
    <row r="4" spans="1:25" s="381" customFormat="1" ht="13.5">
      <c r="A4" s="384" t="str">
        <f ca="1">Intro!A4</f>
        <v>Town of Bar Harbor</v>
      </c>
      <c r="B4" s="382"/>
      <c r="C4" s="383">
        <f ca="1">NOW()</f>
        <v>43242.835659143515</v>
      </c>
      <c r="D4" s="388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  <c r="Q4" s="387"/>
      <c r="R4" s="387"/>
      <c r="S4" s="387"/>
      <c r="T4" s="387"/>
      <c r="U4" s="387"/>
      <c r="V4" s="387"/>
      <c r="W4" s="387"/>
      <c r="X4" s="387"/>
    </row>
    <row r="5" spans="1:25">
      <c r="A5" s="244" t="s">
        <v>343</v>
      </c>
      <c r="B5" s="244"/>
      <c r="C5" s="245"/>
      <c r="D5" s="261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</row>
    <row r="6" spans="1:25">
      <c r="D6" s="485"/>
    </row>
    <row r="7" spans="1:25">
      <c r="A7" s="22"/>
      <c r="B7" s="71"/>
      <c r="C7" s="71"/>
      <c r="D7" s="72">
        <f>'Cruise Projections'!T7</f>
        <v>2018</v>
      </c>
      <c r="E7" s="72">
        <f>'Cruise Projections'!U7</f>
        <v>2019</v>
      </c>
      <c r="F7" s="72">
        <f>'Cruise Projections'!V7</f>
        <v>2020</v>
      </c>
      <c r="G7" s="72">
        <f>'Cruise Projections'!W7</f>
        <v>2021</v>
      </c>
      <c r="H7" s="72">
        <f>'Cruise Projections'!X7</f>
        <v>2022</v>
      </c>
      <c r="I7" s="72">
        <f>'Cruise Projections'!Y7</f>
        <v>2023</v>
      </c>
      <c r="J7" s="72">
        <f>'Cruise Projections'!Z7</f>
        <v>2024</v>
      </c>
      <c r="K7" s="72">
        <f>'Cruise Projections'!AA7</f>
        <v>2025</v>
      </c>
      <c r="L7" s="72">
        <f>'Cruise Projections'!AB7</f>
        <v>2026</v>
      </c>
      <c r="M7" s="72">
        <f>'Cruise Projections'!AC7</f>
        <v>2027</v>
      </c>
      <c r="N7" s="72">
        <f>'Cruise Projections'!AD7</f>
        <v>2028</v>
      </c>
      <c r="O7" s="72">
        <f>'Cruise Projections'!AE7</f>
        <v>2029</v>
      </c>
      <c r="P7" s="72">
        <f>'Cruise Projections'!AF7</f>
        <v>2030</v>
      </c>
      <c r="Q7" s="72">
        <f>'Cruise Projections'!AG7</f>
        <v>2031</v>
      </c>
      <c r="R7" s="72">
        <f>'Cruise Projections'!AH7</f>
        <v>2032</v>
      </c>
      <c r="S7" s="72">
        <f>'Cruise Projections'!AI7</f>
        <v>2033</v>
      </c>
      <c r="T7" s="72">
        <f>'Cruise Projections'!AJ7</f>
        <v>2034</v>
      </c>
      <c r="U7" s="72">
        <f>'Cruise Projections'!AK7</f>
        <v>2035</v>
      </c>
      <c r="V7" s="72">
        <f>'Cruise Projections'!AL7</f>
        <v>2036</v>
      </c>
      <c r="W7" s="72">
        <f>'Cruise Projections'!AM7</f>
        <v>2037</v>
      </c>
      <c r="X7" s="72">
        <f>'Cruise Projections'!AN7</f>
        <v>2038</v>
      </c>
    </row>
    <row r="8" spans="1:25" ht="17.25" thickBot="1">
      <c r="D8" s="488"/>
    </row>
    <row r="9" spans="1:25" ht="17.25" thickBot="1">
      <c r="A9" s="117" t="s">
        <v>34</v>
      </c>
      <c r="B9" s="484" t="str">
        <f>'Cruise Projections'!A77</f>
        <v>Scenario 3 - Percent of 2018 Business - Carnival</v>
      </c>
      <c r="D9" s="489"/>
      <c r="E9" s="327"/>
      <c r="F9" s="327"/>
      <c r="G9" s="327"/>
      <c r="H9" s="327"/>
      <c r="I9" s="327"/>
      <c r="J9" s="327"/>
      <c r="K9" s="327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</row>
    <row r="10" spans="1:25">
      <c r="D10" s="489"/>
      <c r="E10" s="327"/>
      <c r="F10" s="327"/>
      <c r="G10" s="327"/>
      <c r="H10" s="327"/>
      <c r="I10" s="327"/>
      <c r="J10" s="327"/>
      <c r="K10" s="327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</row>
    <row r="11" spans="1:25" s="279" customFormat="1" ht="14.25">
      <c r="A11" s="279" t="s">
        <v>83</v>
      </c>
      <c r="D11" s="490"/>
      <c r="E11" s="328"/>
      <c r="F11" s="328"/>
      <c r="G11" s="328"/>
      <c r="H11" s="328"/>
      <c r="I11" s="328"/>
      <c r="J11" s="328"/>
      <c r="K11" s="328"/>
      <c r="L11" s="328"/>
      <c r="M11" s="328"/>
      <c r="N11" s="328"/>
      <c r="O11" s="328"/>
      <c r="P11" s="328"/>
      <c r="Q11" s="328"/>
      <c r="R11" s="328"/>
      <c r="S11" s="328"/>
      <c r="T11" s="328"/>
      <c r="U11" s="328"/>
      <c r="V11" s="328"/>
      <c r="W11" s="328"/>
      <c r="X11" s="328"/>
    </row>
    <row r="12" spans="1:25">
      <c r="A12" s="53" t="str">
        <f>'Cruise Projections'!A67</f>
        <v>Passengers</v>
      </c>
      <c r="B12" s="21"/>
      <c r="C12" s="21"/>
      <c r="D12" s="486">
        <f>'Cruise Projections'!T67</f>
        <v>0</v>
      </c>
      <c r="E12" s="313">
        <v>0</v>
      </c>
      <c r="F12" s="313">
        <f>'Cruise Projections'!V79</f>
        <v>105331.33459735833</v>
      </c>
      <c r="G12" s="313">
        <f>'Cruise Projections'!W79</f>
        <v>105331.33459735833</v>
      </c>
      <c r="H12" s="313">
        <f>'Cruise Projections'!X79</f>
        <v>105331.33459735833</v>
      </c>
      <c r="I12" s="313">
        <f>'Cruise Projections'!Y79</f>
        <v>105331.33459735833</v>
      </c>
      <c r="J12" s="313">
        <f>'Cruise Projections'!Z79</f>
        <v>105331.33459735833</v>
      </c>
      <c r="K12" s="313">
        <f>'Cruise Projections'!AA79</f>
        <v>105331.33459735833</v>
      </c>
      <c r="L12" s="313">
        <f>'Cruise Projections'!AB79</f>
        <v>105331.33459735833</v>
      </c>
      <c r="M12" s="313">
        <f>'Cruise Projections'!AC79</f>
        <v>105331.33459735833</v>
      </c>
      <c r="N12" s="313">
        <f>'Cruise Projections'!AD79</f>
        <v>105331.33459735833</v>
      </c>
      <c r="O12" s="313">
        <f>'Cruise Projections'!AE79</f>
        <v>105331.33459735833</v>
      </c>
      <c r="P12" s="313">
        <f>'Cruise Projections'!AF79</f>
        <v>105331.33459735833</v>
      </c>
      <c r="Q12" s="313">
        <f>'Cruise Projections'!AG79</f>
        <v>105331.33459735833</v>
      </c>
      <c r="R12" s="313">
        <f>'Cruise Projections'!AH79</f>
        <v>105331.33459735833</v>
      </c>
      <c r="S12" s="313">
        <f>'Cruise Projections'!AI79</f>
        <v>105331.33459735833</v>
      </c>
      <c r="T12" s="313">
        <f>'Cruise Projections'!AJ79</f>
        <v>105331.33459735833</v>
      </c>
      <c r="U12" s="313">
        <f>'Cruise Projections'!AK79</f>
        <v>105331.33459735833</v>
      </c>
      <c r="V12" s="313">
        <f>'Cruise Projections'!AL79</f>
        <v>105331.33459735833</v>
      </c>
      <c r="W12" s="313">
        <f>'Cruise Projections'!AM79</f>
        <v>105331.33459735833</v>
      </c>
      <c r="X12" s="313">
        <f>'Cruise Projections'!AN79</f>
        <v>105331.33459735833</v>
      </c>
      <c r="Y12" s="312"/>
    </row>
    <row r="13" spans="1:25">
      <c r="A13" s="53" t="str">
        <f>'Cruise Projections'!A68</f>
        <v>Calls</v>
      </c>
      <c r="B13" s="21"/>
      <c r="C13" s="21"/>
      <c r="D13" s="486">
        <f>'Cruise Projections'!T68</f>
        <v>0</v>
      </c>
      <c r="E13" s="313">
        <v>0</v>
      </c>
      <c r="F13" s="313">
        <f>'Cruise Projections'!V80</f>
        <v>60.199999999999996</v>
      </c>
      <c r="G13" s="313">
        <f>'Cruise Projections'!W80</f>
        <v>60.199999999999996</v>
      </c>
      <c r="H13" s="313">
        <f>'Cruise Projections'!X80</f>
        <v>60.199999999999996</v>
      </c>
      <c r="I13" s="313">
        <f>'Cruise Projections'!Y80</f>
        <v>60.199999999999996</v>
      </c>
      <c r="J13" s="313">
        <f>'Cruise Projections'!Z80</f>
        <v>60.199999999999996</v>
      </c>
      <c r="K13" s="313">
        <f>'Cruise Projections'!AA80</f>
        <v>60.199999999999996</v>
      </c>
      <c r="L13" s="313">
        <f>'Cruise Projections'!AB80</f>
        <v>60.199999999999996</v>
      </c>
      <c r="M13" s="313">
        <f>'Cruise Projections'!AC80</f>
        <v>60.199999999999996</v>
      </c>
      <c r="N13" s="313">
        <f>'Cruise Projections'!AD80</f>
        <v>60.199999999999996</v>
      </c>
      <c r="O13" s="313">
        <f>'Cruise Projections'!AE80</f>
        <v>60.199999999999996</v>
      </c>
      <c r="P13" s="313">
        <f>'Cruise Projections'!AF80</f>
        <v>60.199999999999996</v>
      </c>
      <c r="Q13" s="313">
        <f>'Cruise Projections'!AG80</f>
        <v>60.199999999999996</v>
      </c>
      <c r="R13" s="313">
        <f>'Cruise Projections'!AH80</f>
        <v>60.199999999999996</v>
      </c>
      <c r="S13" s="313">
        <f>'Cruise Projections'!AI80</f>
        <v>60.199999999999996</v>
      </c>
      <c r="T13" s="313">
        <f>'Cruise Projections'!AJ80</f>
        <v>60.199999999999996</v>
      </c>
      <c r="U13" s="313">
        <f>'Cruise Projections'!AK80</f>
        <v>60.199999999999996</v>
      </c>
      <c r="V13" s="313">
        <f>'Cruise Projections'!AL80</f>
        <v>60.199999999999996</v>
      </c>
      <c r="W13" s="313">
        <f>'Cruise Projections'!AM80</f>
        <v>60.199999999999996</v>
      </c>
      <c r="X13" s="313">
        <f>'Cruise Projections'!AN80</f>
        <v>60.199999999999996</v>
      </c>
      <c r="Y13" s="312"/>
    </row>
    <row r="14" spans="1:25">
      <c r="A14" s="53" t="str">
        <f>'Cruise Projections'!A69</f>
        <v>Passengers per Call</v>
      </c>
      <c r="B14" s="21"/>
      <c r="C14" s="21"/>
      <c r="D14" s="486">
        <f>'Cruise Projections'!T69</f>
        <v>0</v>
      </c>
      <c r="E14" s="313">
        <v>0</v>
      </c>
      <c r="F14" s="313">
        <f>'Cruise Projections'!V81</f>
        <v>1749.6899434777133</v>
      </c>
      <c r="G14" s="313">
        <f>'Cruise Projections'!W81</f>
        <v>1749.6899434777133</v>
      </c>
      <c r="H14" s="313">
        <f>'Cruise Projections'!X81</f>
        <v>1749.6899434777133</v>
      </c>
      <c r="I14" s="313">
        <f>'Cruise Projections'!Y81</f>
        <v>1749.6899434777133</v>
      </c>
      <c r="J14" s="313">
        <f>'Cruise Projections'!Z81</f>
        <v>1749.6899434777133</v>
      </c>
      <c r="K14" s="313">
        <f>'Cruise Projections'!AA81</f>
        <v>1749.6899434777133</v>
      </c>
      <c r="L14" s="313">
        <f>'Cruise Projections'!AB81</f>
        <v>1749.6899434777133</v>
      </c>
      <c r="M14" s="313">
        <f>'Cruise Projections'!AC81</f>
        <v>1749.6899434777133</v>
      </c>
      <c r="N14" s="313">
        <f>'Cruise Projections'!AD81</f>
        <v>1749.6899434777133</v>
      </c>
      <c r="O14" s="313">
        <f>'Cruise Projections'!AE81</f>
        <v>1749.6899434777133</v>
      </c>
      <c r="P14" s="313">
        <f>'Cruise Projections'!AF81</f>
        <v>1749.6899434777133</v>
      </c>
      <c r="Q14" s="313">
        <f>'Cruise Projections'!AG81</f>
        <v>1749.6899434777133</v>
      </c>
      <c r="R14" s="313">
        <f>'Cruise Projections'!AH81</f>
        <v>1749.6899434777133</v>
      </c>
      <c r="S14" s="313">
        <f>'Cruise Projections'!AI81</f>
        <v>1749.6899434777133</v>
      </c>
      <c r="T14" s="313">
        <f>'Cruise Projections'!AJ81</f>
        <v>1749.6899434777133</v>
      </c>
      <c r="U14" s="313">
        <f>'Cruise Projections'!AK81</f>
        <v>1749.6899434777133</v>
      </c>
      <c r="V14" s="313">
        <f>'Cruise Projections'!AL81</f>
        <v>1749.6899434777133</v>
      </c>
      <c r="W14" s="313">
        <f>'Cruise Projections'!AM81</f>
        <v>1749.6899434777133</v>
      </c>
      <c r="X14" s="313">
        <f>'Cruise Projections'!AN81</f>
        <v>1749.6899434777133</v>
      </c>
      <c r="Y14" s="312"/>
    </row>
    <row r="15" spans="1:25" s="96" customFormat="1">
      <c r="A15" s="54" t="s">
        <v>313</v>
      </c>
      <c r="B15" s="487"/>
      <c r="C15" s="487"/>
      <c r="D15" s="486">
        <f>'Cruise Projections'!T70</f>
        <v>0</v>
      </c>
      <c r="E15" s="313">
        <v>0</v>
      </c>
      <c r="F15" s="313">
        <f>'Shuttle Projections'!D35</f>
        <v>4120</v>
      </c>
      <c r="G15" s="313">
        <f>'Shuttle Projections'!E35</f>
        <v>4120</v>
      </c>
      <c r="H15" s="313">
        <f>'Shuttle Projections'!F35</f>
        <v>4120</v>
      </c>
      <c r="I15" s="313">
        <f>'Shuttle Projections'!G35</f>
        <v>4120</v>
      </c>
      <c r="J15" s="313">
        <f>'Shuttle Projections'!H35</f>
        <v>4120</v>
      </c>
      <c r="K15" s="313">
        <f>'Shuttle Projections'!I35</f>
        <v>4120</v>
      </c>
      <c r="L15" s="313">
        <f>'Shuttle Projections'!J35</f>
        <v>4120</v>
      </c>
      <c r="M15" s="313">
        <f>'Shuttle Projections'!K35</f>
        <v>4120</v>
      </c>
      <c r="N15" s="313">
        <f>'Shuttle Projections'!L35</f>
        <v>4120</v>
      </c>
      <c r="O15" s="313">
        <f>'Shuttle Projections'!M35</f>
        <v>4120</v>
      </c>
      <c r="P15" s="313">
        <f>'Shuttle Projections'!N35</f>
        <v>4120</v>
      </c>
      <c r="Q15" s="313">
        <f>'Shuttle Projections'!O35</f>
        <v>4120</v>
      </c>
      <c r="R15" s="313">
        <f>'Shuttle Projections'!P35</f>
        <v>4120</v>
      </c>
      <c r="S15" s="313">
        <f>'Shuttle Projections'!Q35</f>
        <v>4120</v>
      </c>
      <c r="T15" s="313">
        <f>'Shuttle Projections'!R35</f>
        <v>4120</v>
      </c>
      <c r="U15" s="313">
        <f>'Shuttle Projections'!S35</f>
        <v>4120</v>
      </c>
      <c r="V15" s="313">
        <f>'Shuttle Projections'!T35</f>
        <v>4120</v>
      </c>
      <c r="W15" s="313">
        <f>'Shuttle Projections'!U35</f>
        <v>4120</v>
      </c>
      <c r="X15" s="313">
        <f>'Shuttle Projections'!V35</f>
        <v>4120</v>
      </c>
      <c r="Y15" s="313"/>
    </row>
    <row r="16" spans="1:25">
      <c r="A16" s="54"/>
      <c r="B16" s="21"/>
      <c r="C16" s="21"/>
      <c r="D16" s="486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</row>
    <row r="17" spans="1:25" s="279" customFormat="1" ht="14.25">
      <c r="A17" s="293" t="s">
        <v>163</v>
      </c>
      <c r="B17" s="294"/>
      <c r="C17" s="294"/>
      <c r="D17" s="491"/>
      <c r="E17" s="329"/>
      <c r="F17" s="329"/>
      <c r="G17" s="329"/>
      <c r="H17" s="329"/>
      <c r="I17" s="329"/>
      <c r="J17" s="329"/>
      <c r="K17" s="329"/>
      <c r="L17" s="329"/>
      <c r="M17" s="329"/>
      <c r="N17" s="329"/>
      <c r="O17" s="329"/>
      <c r="P17" s="329"/>
      <c r="Q17" s="329"/>
      <c r="R17" s="329"/>
      <c r="S17" s="329"/>
      <c r="T17" s="329"/>
      <c r="U17" s="329"/>
      <c r="V17" s="329"/>
      <c r="W17" s="329"/>
      <c r="X17" s="329"/>
    </row>
    <row r="18" spans="1:25" s="96" customFormat="1">
      <c r="A18" s="54" t="str">
        <f>'International Ferry Projections'!A11</f>
        <v>Passengers</v>
      </c>
      <c r="B18" s="487"/>
      <c r="C18" s="487"/>
      <c r="D18" s="486">
        <f>'International Ferry Projections'!B11</f>
        <v>0</v>
      </c>
      <c r="E18" s="313">
        <f>'International Ferry Projections'!C11</f>
        <v>60000</v>
      </c>
      <c r="F18" s="313">
        <f>'International Ferry Projections'!D11</f>
        <v>70000</v>
      </c>
      <c r="G18" s="313">
        <f>'International Ferry Projections'!E11</f>
        <v>80000</v>
      </c>
      <c r="H18" s="313">
        <f>'International Ferry Projections'!F11</f>
        <v>80000</v>
      </c>
      <c r="I18" s="313">
        <f>'International Ferry Projections'!G11</f>
        <v>80000</v>
      </c>
      <c r="J18" s="313">
        <f>'International Ferry Projections'!H11</f>
        <v>80000</v>
      </c>
      <c r="K18" s="313">
        <f>'International Ferry Projections'!I11</f>
        <v>80000</v>
      </c>
      <c r="L18" s="313">
        <f>'International Ferry Projections'!J11</f>
        <v>80000</v>
      </c>
      <c r="M18" s="313">
        <f>'International Ferry Projections'!K11</f>
        <v>80000</v>
      </c>
      <c r="N18" s="313">
        <f>'International Ferry Projections'!L11</f>
        <v>80000</v>
      </c>
      <c r="O18" s="313">
        <f>'International Ferry Projections'!M11</f>
        <v>80000</v>
      </c>
      <c r="P18" s="313">
        <f>'International Ferry Projections'!N11</f>
        <v>80000</v>
      </c>
      <c r="Q18" s="313">
        <f>'International Ferry Projections'!O11</f>
        <v>80000</v>
      </c>
      <c r="R18" s="313">
        <f>'International Ferry Projections'!P11</f>
        <v>80000</v>
      </c>
      <c r="S18" s="313">
        <f>'International Ferry Projections'!Q11</f>
        <v>80000</v>
      </c>
      <c r="T18" s="313">
        <f>'International Ferry Projections'!R11</f>
        <v>80000</v>
      </c>
      <c r="U18" s="313">
        <f>'International Ferry Projections'!S11</f>
        <v>80000</v>
      </c>
      <c r="V18" s="313">
        <f>'International Ferry Projections'!T11</f>
        <v>80000</v>
      </c>
      <c r="W18" s="313">
        <f>'International Ferry Projections'!U11</f>
        <v>80000</v>
      </c>
      <c r="X18" s="313">
        <f>'International Ferry Projections'!V11</f>
        <v>80000</v>
      </c>
    </row>
    <row r="19" spans="1:25" s="96" customFormat="1">
      <c r="A19" s="54" t="str">
        <f>'International Ferry Projections'!A12</f>
        <v>Cars</v>
      </c>
      <c r="B19" s="487"/>
      <c r="C19" s="487"/>
      <c r="D19" s="486">
        <f>'International Ferry Projections'!B12</f>
        <v>0</v>
      </c>
      <c r="E19" s="313">
        <f>'International Ferry Projections'!C12</f>
        <v>24000</v>
      </c>
      <c r="F19" s="313">
        <f>'International Ferry Projections'!D12</f>
        <v>28000</v>
      </c>
      <c r="G19" s="313">
        <f>'International Ferry Projections'!E12</f>
        <v>32000</v>
      </c>
      <c r="H19" s="313">
        <f>'International Ferry Projections'!F12</f>
        <v>32000</v>
      </c>
      <c r="I19" s="313">
        <f>'International Ferry Projections'!G12</f>
        <v>32000</v>
      </c>
      <c r="J19" s="313">
        <f>'International Ferry Projections'!H12</f>
        <v>32000</v>
      </c>
      <c r="K19" s="313">
        <f>'International Ferry Projections'!I12</f>
        <v>32000</v>
      </c>
      <c r="L19" s="313">
        <f>'International Ferry Projections'!J12</f>
        <v>32000</v>
      </c>
      <c r="M19" s="313">
        <f>'International Ferry Projections'!K12</f>
        <v>32000</v>
      </c>
      <c r="N19" s="313">
        <f>'International Ferry Projections'!L12</f>
        <v>32000</v>
      </c>
      <c r="O19" s="313">
        <f>'International Ferry Projections'!M12</f>
        <v>32000</v>
      </c>
      <c r="P19" s="313">
        <f>'International Ferry Projections'!N12</f>
        <v>32000</v>
      </c>
      <c r="Q19" s="313">
        <f>'International Ferry Projections'!O12</f>
        <v>32000</v>
      </c>
      <c r="R19" s="313">
        <f>'International Ferry Projections'!P12</f>
        <v>32000</v>
      </c>
      <c r="S19" s="313">
        <f>'International Ferry Projections'!Q12</f>
        <v>32000</v>
      </c>
      <c r="T19" s="313">
        <f>'International Ferry Projections'!R12</f>
        <v>32000</v>
      </c>
      <c r="U19" s="313">
        <f>'International Ferry Projections'!S12</f>
        <v>32000</v>
      </c>
      <c r="V19" s="313">
        <f>'International Ferry Projections'!T12</f>
        <v>32000</v>
      </c>
      <c r="W19" s="313">
        <f>'International Ferry Projections'!U12</f>
        <v>32000</v>
      </c>
      <c r="X19" s="313">
        <f>'International Ferry Projections'!V12</f>
        <v>32000</v>
      </c>
    </row>
    <row r="20" spans="1:25" s="96" customFormat="1">
      <c r="A20" s="54" t="str">
        <f>'International Ferry Projections'!A13</f>
        <v>Buses</v>
      </c>
      <c r="B20" s="487"/>
      <c r="C20" s="487"/>
      <c r="D20" s="486">
        <f>'International Ferry Projections'!B13</f>
        <v>0</v>
      </c>
      <c r="E20" s="313">
        <f>'International Ferry Projections'!C13</f>
        <v>40</v>
      </c>
      <c r="F20" s="313">
        <f>'International Ferry Projections'!D13</f>
        <v>50</v>
      </c>
      <c r="G20" s="313">
        <f>'International Ferry Projections'!E13</f>
        <v>60</v>
      </c>
      <c r="H20" s="313">
        <f>'International Ferry Projections'!F13</f>
        <v>60</v>
      </c>
      <c r="I20" s="313">
        <f>'International Ferry Projections'!G13</f>
        <v>60</v>
      </c>
      <c r="J20" s="313">
        <f>'International Ferry Projections'!H13</f>
        <v>60</v>
      </c>
      <c r="K20" s="313">
        <f>'International Ferry Projections'!I13</f>
        <v>60</v>
      </c>
      <c r="L20" s="313">
        <f>'International Ferry Projections'!J13</f>
        <v>60</v>
      </c>
      <c r="M20" s="313">
        <f>'International Ferry Projections'!K13</f>
        <v>60</v>
      </c>
      <c r="N20" s="313">
        <f>'International Ferry Projections'!L13</f>
        <v>60</v>
      </c>
      <c r="O20" s="313">
        <f>'International Ferry Projections'!M13</f>
        <v>60</v>
      </c>
      <c r="P20" s="313">
        <f>'International Ferry Projections'!N13</f>
        <v>60</v>
      </c>
      <c r="Q20" s="313">
        <f>'International Ferry Projections'!O13</f>
        <v>60</v>
      </c>
      <c r="R20" s="313">
        <f>'International Ferry Projections'!P13</f>
        <v>60</v>
      </c>
      <c r="S20" s="313">
        <f>'International Ferry Projections'!Q13</f>
        <v>60</v>
      </c>
      <c r="T20" s="313">
        <f>'International Ferry Projections'!R13</f>
        <v>60</v>
      </c>
      <c r="U20" s="313">
        <f>'International Ferry Projections'!S13</f>
        <v>60</v>
      </c>
      <c r="V20" s="313">
        <f>'International Ferry Projections'!T13</f>
        <v>60</v>
      </c>
      <c r="W20" s="313">
        <f>'International Ferry Projections'!U13</f>
        <v>60</v>
      </c>
      <c r="X20" s="313">
        <f>'International Ferry Projections'!V13</f>
        <v>60</v>
      </c>
    </row>
    <row r="21" spans="1:25">
      <c r="A21" s="54"/>
      <c r="B21" s="21"/>
      <c r="C21" s="21"/>
      <c r="D21" s="486"/>
      <c r="E21" s="313"/>
      <c r="F21" s="313"/>
      <c r="G21" s="313"/>
      <c r="H21" s="313"/>
      <c r="I21" s="313"/>
      <c r="J21" s="313"/>
      <c r="K21" s="313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</row>
    <row r="22" spans="1:25" s="582" customFormat="1">
      <c r="A22" s="293" t="str">
        <f>'BH Tariffs'!A30</f>
        <v>Local Ferry</v>
      </c>
      <c r="B22" s="581"/>
      <c r="C22" s="581"/>
      <c r="D22" s="486">
        <v>0</v>
      </c>
      <c r="E22" s="329"/>
      <c r="F22" s="329"/>
      <c r="G22" s="329"/>
      <c r="H22" s="329"/>
      <c r="I22" s="329"/>
      <c r="J22" s="329"/>
      <c r="K22" s="329"/>
      <c r="L22" s="329"/>
      <c r="M22" s="329"/>
      <c r="N22" s="329"/>
      <c r="O22" s="329"/>
      <c r="P22" s="329"/>
      <c r="Q22" s="329"/>
      <c r="R22" s="329"/>
      <c r="S22" s="329"/>
      <c r="T22" s="329"/>
      <c r="U22" s="329"/>
      <c r="V22" s="329"/>
      <c r="W22" s="329"/>
      <c r="X22" s="329"/>
    </row>
    <row r="23" spans="1:25" s="96" customFormat="1">
      <c r="A23" s="54" t="str">
        <f>'BH Tariffs'!A31</f>
        <v>Dock Rent (6 Months Only)</v>
      </c>
      <c r="B23" s="487"/>
      <c r="C23" s="487"/>
      <c r="D23" s="486">
        <v>0</v>
      </c>
      <c r="E23" s="623" t="s">
        <v>286</v>
      </c>
      <c r="F23" s="623" t="s">
        <v>286</v>
      </c>
      <c r="G23" s="623" t="s">
        <v>286</v>
      </c>
      <c r="H23" s="623" t="s">
        <v>286</v>
      </c>
      <c r="I23" s="623" t="s">
        <v>286</v>
      </c>
      <c r="J23" s="623" t="s">
        <v>286</v>
      </c>
      <c r="K23" s="623" t="s">
        <v>286</v>
      </c>
      <c r="L23" s="623" t="s">
        <v>286</v>
      </c>
      <c r="M23" s="623" t="s">
        <v>286</v>
      </c>
      <c r="N23" s="623" t="s">
        <v>286</v>
      </c>
      <c r="O23" s="623" t="s">
        <v>286</v>
      </c>
      <c r="P23" s="623" t="s">
        <v>286</v>
      </c>
      <c r="Q23" s="623" t="s">
        <v>286</v>
      </c>
      <c r="R23" s="623" t="s">
        <v>286</v>
      </c>
      <c r="S23" s="623" t="s">
        <v>286</v>
      </c>
      <c r="T23" s="623" t="s">
        <v>286</v>
      </c>
      <c r="U23" s="623" t="s">
        <v>286</v>
      </c>
      <c r="V23" s="623" t="s">
        <v>286</v>
      </c>
      <c r="W23" s="623" t="s">
        <v>286</v>
      </c>
      <c r="X23" s="623" t="s">
        <v>286</v>
      </c>
    </row>
    <row r="24" spans="1:25" s="341" customFormat="1">
      <c r="A24" s="552"/>
      <c r="B24" s="553"/>
      <c r="C24" s="553"/>
      <c r="D24" s="554"/>
      <c r="E24" s="555"/>
      <c r="F24" s="555"/>
      <c r="G24" s="555"/>
      <c r="H24" s="555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</row>
    <row r="25" spans="1:25" s="96" customFormat="1">
      <c r="A25" s="559" t="s">
        <v>227</v>
      </c>
      <c r="B25" s="487"/>
      <c r="C25" s="487"/>
      <c r="D25" s="486"/>
      <c r="E25" s="313"/>
      <c r="F25" s="313"/>
      <c r="G25" s="313"/>
      <c r="H25" s="313"/>
      <c r="I25" s="313"/>
      <c r="J25" s="313"/>
      <c r="K25" s="313"/>
      <c r="L25" s="313"/>
      <c r="M25" s="313"/>
      <c r="N25" s="313"/>
      <c r="O25" s="313"/>
      <c r="P25" s="313"/>
      <c r="Q25" s="313"/>
      <c r="R25" s="313"/>
      <c r="S25" s="313"/>
      <c r="T25" s="313"/>
      <c r="U25" s="313"/>
      <c r="V25" s="313"/>
      <c r="W25" s="313"/>
      <c r="X25" s="313"/>
    </row>
    <row r="26" spans="1:25">
      <c r="A26" s="54"/>
      <c r="B26" s="21"/>
      <c r="C26" s="21"/>
      <c r="D26" s="486"/>
      <c r="E26" s="313"/>
      <c r="F26" s="313"/>
      <c r="G26" s="313"/>
      <c r="H26" s="313"/>
      <c r="I26" s="313"/>
      <c r="J26" s="313"/>
      <c r="K26" s="313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</row>
    <row r="27" spans="1:25">
      <c r="A27" s="54" t="s">
        <v>420</v>
      </c>
      <c r="B27" s="21"/>
      <c r="C27" s="21"/>
      <c r="D27" s="486">
        <v>0</v>
      </c>
      <c r="E27" s="313">
        <f>'Marina Projections'!C9</f>
        <v>0</v>
      </c>
      <c r="F27" s="313">
        <f>'Marina Projections'!D9</f>
        <v>214</v>
      </c>
      <c r="G27" s="313">
        <f>'Marina Projections'!E9</f>
        <v>214</v>
      </c>
      <c r="H27" s="313">
        <f>'Marina Projections'!F9</f>
        <v>214</v>
      </c>
      <c r="I27" s="313">
        <f>'Marina Projections'!G9</f>
        <v>214</v>
      </c>
      <c r="J27" s="313">
        <f>'Marina Projections'!H9</f>
        <v>214</v>
      </c>
      <c r="K27" s="313">
        <f>'Marina Projections'!I9</f>
        <v>214</v>
      </c>
      <c r="L27" s="313">
        <f>'Marina Projections'!J9</f>
        <v>214</v>
      </c>
      <c r="M27" s="313">
        <f>'Marina Projections'!K9</f>
        <v>214</v>
      </c>
      <c r="N27" s="313">
        <f>'Marina Projections'!L9</f>
        <v>214</v>
      </c>
      <c r="O27" s="313">
        <f>'Marina Projections'!M9</f>
        <v>214</v>
      </c>
      <c r="P27" s="313">
        <f>'Marina Projections'!N9</f>
        <v>214</v>
      </c>
      <c r="Q27" s="313">
        <f>'Marina Projections'!O9</f>
        <v>214</v>
      </c>
      <c r="R27" s="313">
        <f>'Marina Projections'!P9</f>
        <v>214</v>
      </c>
      <c r="S27" s="313">
        <f>'Marina Projections'!Q9</f>
        <v>214</v>
      </c>
      <c r="T27" s="313">
        <f>'Marina Projections'!R9</f>
        <v>214</v>
      </c>
      <c r="U27" s="313">
        <f>'Marina Projections'!S9</f>
        <v>214</v>
      </c>
      <c r="V27" s="313">
        <f>'Marina Projections'!T9</f>
        <v>214</v>
      </c>
      <c r="W27" s="313">
        <f>'Marina Projections'!U9</f>
        <v>214</v>
      </c>
      <c r="X27" s="313">
        <f>'Marina Projections'!V9</f>
        <v>214</v>
      </c>
    </row>
    <row r="28" spans="1:25">
      <c r="A28" s="54" t="s">
        <v>205</v>
      </c>
      <c r="B28" s="21"/>
      <c r="C28" s="21"/>
      <c r="D28" s="486">
        <v>0</v>
      </c>
      <c r="E28" s="330">
        <v>0</v>
      </c>
      <c r="F28" s="330">
        <f>'Cruise Projections'!V80</f>
        <v>60.199999999999996</v>
      </c>
      <c r="G28" s="330">
        <f>'Cruise Projections'!W80</f>
        <v>60.199999999999996</v>
      </c>
      <c r="H28" s="330">
        <f>'Cruise Projections'!X80</f>
        <v>60.199999999999996</v>
      </c>
      <c r="I28" s="330">
        <f>'Cruise Projections'!Y80</f>
        <v>60.199999999999996</v>
      </c>
      <c r="J28" s="330">
        <f>'Cruise Projections'!Z80</f>
        <v>60.199999999999996</v>
      </c>
      <c r="K28" s="330">
        <f>'Cruise Projections'!AA80</f>
        <v>60.199999999999996</v>
      </c>
      <c r="L28" s="330">
        <f>'Cruise Projections'!AB80</f>
        <v>60.199999999999996</v>
      </c>
      <c r="M28" s="330">
        <f>'Cruise Projections'!AC80</f>
        <v>60.199999999999996</v>
      </c>
      <c r="N28" s="330">
        <f>'Cruise Projections'!AD80</f>
        <v>60.199999999999996</v>
      </c>
      <c r="O28" s="330">
        <f>'Cruise Projections'!AE80</f>
        <v>60.199999999999996</v>
      </c>
      <c r="P28" s="330">
        <f>'Cruise Projections'!AF80</f>
        <v>60.199999999999996</v>
      </c>
      <c r="Q28" s="330">
        <f>'Cruise Projections'!AG80</f>
        <v>60.199999999999996</v>
      </c>
      <c r="R28" s="330">
        <f>'Cruise Projections'!AH80</f>
        <v>60.199999999999996</v>
      </c>
      <c r="S28" s="330">
        <f>'Cruise Projections'!AI80</f>
        <v>60.199999999999996</v>
      </c>
      <c r="T28" s="330">
        <f>'Cruise Projections'!AJ80</f>
        <v>60.199999999999996</v>
      </c>
      <c r="U28" s="330">
        <f>'Cruise Projections'!AK80</f>
        <v>60.199999999999996</v>
      </c>
      <c r="V28" s="330">
        <f>'Cruise Projections'!AL80</f>
        <v>60.199999999999996</v>
      </c>
      <c r="W28" s="330">
        <f>'Cruise Projections'!AM80</f>
        <v>60.199999999999996</v>
      </c>
      <c r="X28" s="330">
        <f>'Cruise Projections'!AN80</f>
        <v>60.199999999999996</v>
      </c>
      <c r="Y28" s="32"/>
    </row>
    <row r="29" spans="1:25">
      <c r="A29" s="54" t="s">
        <v>219</v>
      </c>
      <c r="B29" s="21"/>
      <c r="C29" s="21"/>
      <c r="D29" s="486">
        <v>0</v>
      </c>
      <c r="E29" s="330">
        <v>150</v>
      </c>
      <c r="F29" s="330">
        <f>E29</f>
        <v>150</v>
      </c>
      <c r="G29" s="330">
        <f t="shared" ref="G29:X29" si="0">F29</f>
        <v>150</v>
      </c>
      <c r="H29" s="330">
        <f t="shared" si="0"/>
        <v>150</v>
      </c>
      <c r="I29" s="330">
        <f t="shared" si="0"/>
        <v>150</v>
      </c>
      <c r="J29" s="330">
        <f t="shared" si="0"/>
        <v>150</v>
      </c>
      <c r="K29" s="330">
        <f t="shared" si="0"/>
        <v>150</v>
      </c>
      <c r="L29" s="330">
        <f t="shared" si="0"/>
        <v>150</v>
      </c>
      <c r="M29" s="330">
        <f t="shared" si="0"/>
        <v>150</v>
      </c>
      <c r="N29" s="330">
        <f t="shared" si="0"/>
        <v>150</v>
      </c>
      <c r="O29" s="330">
        <f t="shared" si="0"/>
        <v>150</v>
      </c>
      <c r="P29" s="330">
        <f t="shared" si="0"/>
        <v>150</v>
      </c>
      <c r="Q29" s="330">
        <f t="shared" si="0"/>
        <v>150</v>
      </c>
      <c r="R29" s="330">
        <f t="shared" si="0"/>
        <v>150</v>
      </c>
      <c r="S29" s="330">
        <f t="shared" si="0"/>
        <v>150</v>
      </c>
      <c r="T29" s="330">
        <f t="shared" si="0"/>
        <v>150</v>
      </c>
      <c r="U29" s="330">
        <f t="shared" si="0"/>
        <v>150</v>
      </c>
      <c r="V29" s="330">
        <f t="shared" si="0"/>
        <v>150</v>
      </c>
      <c r="W29" s="330">
        <f t="shared" si="0"/>
        <v>150</v>
      </c>
      <c r="X29" s="330">
        <f t="shared" si="0"/>
        <v>150</v>
      </c>
      <c r="Y29" s="32"/>
    </row>
    <row r="30" spans="1:25">
      <c r="A30" s="54" t="s">
        <v>220</v>
      </c>
      <c r="B30" s="21"/>
      <c r="C30" s="21"/>
      <c r="D30" s="486">
        <v>0</v>
      </c>
      <c r="E30" s="495">
        <f>E28/E29</f>
        <v>0</v>
      </c>
      <c r="F30" s="495">
        <f t="shared" ref="F30:X30" si="1">F28/F29</f>
        <v>0.40133333333333332</v>
      </c>
      <c r="G30" s="495">
        <f t="shared" si="1"/>
        <v>0.40133333333333332</v>
      </c>
      <c r="H30" s="495">
        <f t="shared" si="1"/>
        <v>0.40133333333333332</v>
      </c>
      <c r="I30" s="495">
        <f t="shared" si="1"/>
        <v>0.40133333333333332</v>
      </c>
      <c r="J30" s="495">
        <f t="shared" si="1"/>
        <v>0.40133333333333332</v>
      </c>
      <c r="K30" s="495">
        <f t="shared" si="1"/>
        <v>0.40133333333333332</v>
      </c>
      <c r="L30" s="495">
        <f t="shared" si="1"/>
        <v>0.40133333333333332</v>
      </c>
      <c r="M30" s="495">
        <f t="shared" si="1"/>
        <v>0.40133333333333332</v>
      </c>
      <c r="N30" s="495">
        <f t="shared" si="1"/>
        <v>0.40133333333333332</v>
      </c>
      <c r="O30" s="495">
        <f t="shared" si="1"/>
        <v>0.40133333333333332</v>
      </c>
      <c r="P30" s="495">
        <f t="shared" si="1"/>
        <v>0.40133333333333332</v>
      </c>
      <c r="Q30" s="495">
        <f t="shared" si="1"/>
        <v>0.40133333333333332</v>
      </c>
      <c r="R30" s="495">
        <f t="shared" si="1"/>
        <v>0.40133333333333332</v>
      </c>
      <c r="S30" s="495">
        <f t="shared" si="1"/>
        <v>0.40133333333333332</v>
      </c>
      <c r="T30" s="495">
        <f t="shared" si="1"/>
        <v>0.40133333333333332</v>
      </c>
      <c r="U30" s="495">
        <f t="shared" si="1"/>
        <v>0.40133333333333332</v>
      </c>
      <c r="V30" s="495">
        <f t="shared" si="1"/>
        <v>0.40133333333333332</v>
      </c>
      <c r="W30" s="495">
        <f t="shared" si="1"/>
        <v>0.40133333333333332</v>
      </c>
      <c r="X30" s="495">
        <f t="shared" si="1"/>
        <v>0.40133333333333332</v>
      </c>
      <c r="Y30" s="32"/>
    </row>
    <row r="31" spans="1:25" s="96" customFormat="1">
      <c r="A31" s="54" t="s">
        <v>226</v>
      </c>
      <c r="B31" s="487"/>
      <c r="C31" s="487"/>
      <c r="D31" s="486">
        <v>0</v>
      </c>
      <c r="E31" s="330">
        <v>0</v>
      </c>
      <c r="F31" s="330">
        <v>125</v>
      </c>
      <c r="G31" s="330">
        <v>125</v>
      </c>
      <c r="H31" s="330">
        <v>125</v>
      </c>
      <c r="I31" s="330">
        <v>125</v>
      </c>
      <c r="J31" s="330">
        <v>125</v>
      </c>
      <c r="K31" s="330">
        <v>125</v>
      </c>
      <c r="L31" s="330">
        <v>125</v>
      </c>
      <c r="M31" s="330">
        <v>125</v>
      </c>
      <c r="N31" s="330">
        <v>125</v>
      </c>
      <c r="O31" s="330">
        <v>125</v>
      </c>
      <c r="P31" s="330">
        <v>125</v>
      </c>
      <c r="Q31" s="330">
        <v>125</v>
      </c>
      <c r="R31" s="330">
        <v>125</v>
      </c>
      <c r="S31" s="330">
        <v>125</v>
      </c>
      <c r="T31" s="330">
        <v>125</v>
      </c>
      <c r="U31" s="330">
        <v>125</v>
      </c>
      <c r="V31" s="330">
        <v>125</v>
      </c>
      <c r="W31" s="330">
        <v>125</v>
      </c>
      <c r="X31" s="330">
        <v>125</v>
      </c>
      <c r="Y31" s="58"/>
    </row>
    <row r="32" spans="1:25">
      <c r="A32" s="54"/>
      <c r="B32" s="21"/>
      <c r="C32" s="21"/>
      <c r="D32" s="486"/>
      <c r="E32" s="495"/>
      <c r="F32" s="495"/>
      <c r="G32" s="495"/>
      <c r="H32" s="495"/>
      <c r="I32" s="495"/>
      <c r="J32" s="495"/>
      <c r="K32" s="495"/>
      <c r="L32" s="495"/>
      <c r="M32" s="495"/>
      <c r="N32" s="495"/>
      <c r="O32" s="495"/>
      <c r="P32" s="495"/>
      <c r="Q32" s="495"/>
      <c r="R32" s="495"/>
      <c r="S32" s="495"/>
      <c r="T32" s="495"/>
      <c r="U32" s="495"/>
      <c r="V32" s="495"/>
      <c r="W32" s="495"/>
      <c r="X32" s="495"/>
      <c r="Y32" s="32"/>
    </row>
    <row r="33" spans="1:24">
      <c r="A33" s="54" t="s">
        <v>206</v>
      </c>
      <c r="B33" s="21"/>
      <c r="C33" s="21"/>
      <c r="D33" s="486">
        <v>0</v>
      </c>
      <c r="E33" s="313">
        <v>0</v>
      </c>
      <c r="F33" s="313">
        <f t="shared" ref="F33:X33" si="2">F12/F28</f>
        <v>1749.6899434777133</v>
      </c>
      <c r="G33" s="313">
        <f t="shared" si="2"/>
        <v>1749.6899434777133</v>
      </c>
      <c r="H33" s="313">
        <f t="shared" si="2"/>
        <v>1749.6899434777133</v>
      </c>
      <c r="I33" s="313">
        <f t="shared" si="2"/>
        <v>1749.6899434777133</v>
      </c>
      <c r="J33" s="313">
        <f t="shared" si="2"/>
        <v>1749.6899434777133</v>
      </c>
      <c r="K33" s="313">
        <f t="shared" si="2"/>
        <v>1749.6899434777133</v>
      </c>
      <c r="L33" s="313">
        <f t="shared" si="2"/>
        <v>1749.6899434777133</v>
      </c>
      <c r="M33" s="313">
        <f t="shared" si="2"/>
        <v>1749.6899434777133</v>
      </c>
      <c r="N33" s="313">
        <f t="shared" si="2"/>
        <v>1749.6899434777133</v>
      </c>
      <c r="O33" s="313">
        <f t="shared" si="2"/>
        <v>1749.6899434777133</v>
      </c>
      <c r="P33" s="313">
        <f t="shared" si="2"/>
        <v>1749.6899434777133</v>
      </c>
      <c r="Q33" s="313">
        <f t="shared" si="2"/>
        <v>1749.6899434777133</v>
      </c>
      <c r="R33" s="313">
        <f t="shared" si="2"/>
        <v>1749.6899434777133</v>
      </c>
      <c r="S33" s="313">
        <f t="shared" si="2"/>
        <v>1749.6899434777133</v>
      </c>
      <c r="T33" s="313">
        <f t="shared" si="2"/>
        <v>1749.6899434777133</v>
      </c>
      <c r="U33" s="313">
        <f t="shared" si="2"/>
        <v>1749.6899434777133</v>
      </c>
      <c r="V33" s="313">
        <f t="shared" si="2"/>
        <v>1749.6899434777133</v>
      </c>
      <c r="W33" s="313">
        <f t="shared" si="2"/>
        <v>1749.6899434777133</v>
      </c>
      <c r="X33" s="313">
        <f t="shared" si="2"/>
        <v>1749.6899434777133</v>
      </c>
    </row>
    <row r="34" spans="1:24">
      <c r="A34" s="54" t="s">
        <v>207</v>
      </c>
      <c r="B34" s="21"/>
      <c r="C34" s="21"/>
      <c r="D34" s="486">
        <v>0</v>
      </c>
      <c r="E34" s="313">
        <v>0</v>
      </c>
      <c r="F34" s="313">
        <v>5500</v>
      </c>
      <c r="G34" s="313">
        <v>5500</v>
      </c>
      <c r="H34" s="313">
        <v>5500</v>
      </c>
      <c r="I34" s="313">
        <v>5500</v>
      </c>
      <c r="J34" s="313">
        <v>5500</v>
      </c>
      <c r="K34" s="313">
        <v>5500</v>
      </c>
      <c r="L34" s="313">
        <v>5500</v>
      </c>
      <c r="M34" s="313">
        <v>5500</v>
      </c>
      <c r="N34" s="313">
        <v>5500</v>
      </c>
      <c r="O34" s="313">
        <v>5500</v>
      </c>
      <c r="P34" s="313">
        <v>5500</v>
      </c>
      <c r="Q34" s="313">
        <v>5500</v>
      </c>
      <c r="R34" s="313">
        <v>5500</v>
      </c>
      <c r="S34" s="313">
        <v>5500</v>
      </c>
      <c r="T34" s="313">
        <v>5500</v>
      </c>
      <c r="U34" s="313">
        <v>5500</v>
      </c>
      <c r="V34" s="313">
        <v>5500</v>
      </c>
      <c r="W34" s="313">
        <v>5500</v>
      </c>
      <c r="X34" s="313">
        <v>5500</v>
      </c>
    </row>
    <row r="35" spans="1:24">
      <c r="A35" s="54" t="s">
        <v>221</v>
      </c>
      <c r="B35" s="21"/>
      <c r="C35" s="21"/>
      <c r="D35" s="486">
        <v>0</v>
      </c>
      <c r="E35" s="330">
        <f>E18/E29</f>
        <v>400</v>
      </c>
      <c r="F35" s="330">
        <f t="shared" ref="F35:X35" si="3">F18/F29</f>
        <v>466.66666666666669</v>
      </c>
      <c r="G35" s="330">
        <f t="shared" si="3"/>
        <v>533.33333333333337</v>
      </c>
      <c r="H35" s="330">
        <f t="shared" si="3"/>
        <v>533.33333333333337</v>
      </c>
      <c r="I35" s="330">
        <f t="shared" si="3"/>
        <v>533.33333333333337</v>
      </c>
      <c r="J35" s="330">
        <f t="shared" si="3"/>
        <v>533.33333333333337</v>
      </c>
      <c r="K35" s="330">
        <f t="shared" si="3"/>
        <v>533.33333333333337</v>
      </c>
      <c r="L35" s="330">
        <f t="shared" si="3"/>
        <v>533.33333333333337</v>
      </c>
      <c r="M35" s="330">
        <f t="shared" si="3"/>
        <v>533.33333333333337</v>
      </c>
      <c r="N35" s="330">
        <f t="shared" si="3"/>
        <v>533.33333333333337</v>
      </c>
      <c r="O35" s="330">
        <f t="shared" si="3"/>
        <v>533.33333333333337</v>
      </c>
      <c r="P35" s="330">
        <f t="shared" si="3"/>
        <v>533.33333333333337</v>
      </c>
      <c r="Q35" s="330">
        <f t="shared" si="3"/>
        <v>533.33333333333337</v>
      </c>
      <c r="R35" s="330">
        <f t="shared" si="3"/>
        <v>533.33333333333337</v>
      </c>
      <c r="S35" s="330">
        <f t="shared" si="3"/>
        <v>533.33333333333337</v>
      </c>
      <c r="T35" s="330">
        <f t="shared" si="3"/>
        <v>533.33333333333337</v>
      </c>
      <c r="U35" s="330">
        <f t="shared" si="3"/>
        <v>533.33333333333337</v>
      </c>
      <c r="V35" s="330">
        <f t="shared" si="3"/>
        <v>533.33333333333337</v>
      </c>
      <c r="W35" s="330">
        <f t="shared" si="3"/>
        <v>533.33333333333337</v>
      </c>
      <c r="X35" s="330">
        <f t="shared" si="3"/>
        <v>533.33333333333337</v>
      </c>
    </row>
    <row r="36" spans="1:24">
      <c r="A36" s="54" t="s">
        <v>222</v>
      </c>
      <c r="B36" s="21"/>
      <c r="C36" s="21"/>
      <c r="D36" s="486">
        <v>0</v>
      </c>
      <c r="E36" s="330">
        <v>800</v>
      </c>
      <c r="F36" s="330">
        <v>800</v>
      </c>
      <c r="G36" s="330">
        <v>800</v>
      </c>
      <c r="H36" s="330">
        <v>800</v>
      </c>
      <c r="I36" s="330">
        <v>800</v>
      </c>
      <c r="J36" s="330">
        <v>800</v>
      </c>
      <c r="K36" s="330">
        <v>800</v>
      </c>
      <c r="L36" s="330">
        <v>800</v>
      </c>
      <c r="M36" s="330">
        <v>800</v>
      </c>
      <c r="N36" s="330">
        <v>800</v>
      </c>
      <c r="O36" s="330">
        <v>800</v>
      </c>
      <c r="P36" s="330">
        <v>800</v>
      </c>
      <c r="Q36" s="330">
        <v>800</v>
      </c>
      <c r="R36" s="330">
        <v>800</v>
      </c>
      <c r="S36" s="330">
        <v>800</v>
      </c>
      <c r="T36" s="330">
        <v>800</v>
      </c>
      <c r="U36" s="330">
        <v>800</v>
      </c>
      <c r="V36" s="330">
        <v>800</v>
      </c>
      <c r="W36" s="330">
        <v>800</v>
      </c>
      <c r="X36" s="330">
        <v>800</v>
      </c>
    </row>
    <row r="37" spans="1:24">
      <c r="A37" s="54" t="s">
        <v>208</v>
      </c>
      <c r="B37" s="21"/>
      <c r="C37" s="21"/>
      <c r="D37" s="486">
        <v>0</v>
      </c>
      <c r="E37" s="330">
        <f>SUM(E34,E36)</f>
        <v>800</v>
      </c>
      <c r="F37" s="330">
        <f t="shared" ref="F37:X37" si="4">SUM(F34,F36)</f>
        <v>6300</v>
      </c>
      <c r="G37" s="330">
        <f t="shared" si="4"/>
        <v>6300</v>
      </c>
      <c r="H37" s="330">
        <f t="shared" si="4"/>
        <v>6300</v>
      </c>
      <c r="I37" s="330">
        <f t="shared" si="4"/>
        <v>6300</v>
      </c>
      <c r="J37" s="330">
        <f t="shared" si="4"/>
        <v>6300</v>
      </c>
      <c r="K37" s="330">
        <f t="shared" si="4"/>
        <v>6300</v>
      </c>
      <c r="L37" s="330">
        <f t="shared" si="4"/>
        <v>6300</v>
      </c>
      <c r="M37" s="330">
        <f t="shared" si="4"/>
        <v>6300</v>
      </c>
      <c r="N37" s="330">
        <f t="shared" si="4"/>
        <v>6300</v>
      </c>
      <c r="O37" s="330">
        <f t="shared" si="4"/>
        <v>6300</v>
      </c>
      <c r="P37" s="330">
        <f t="shared" si="4"/>
        <v>6300</v>
      </c>
      <c r="Q37" s="330">
        <f t="shared" si="4"/>
        <v>6300</v>
      </c>
      <c r="R37" s="330">
        <f t="shared" si="4"/>
        <v>6300</v>
      </c>
      <c r="S37" s="330">
        <f t="shared" si="4"/>
        <v>6300</v>
      </c>
      <c r="T37" s="330">
        <f t="shared" si="4"/>
        <v>6300</v>
      </c>
      <c r="U37" s="330">
        <f t="shared" si="4"/>
        <v>6300</v>
      </c>
      <c r="V37" s="330">
        <f t="shared" si="4"/>
        <v>6300</v>
      </c>
      <c r="W37" s="330">
        <f t="shared" si="4"/>
        <v>6300</v>
      </c>
      <c r="X37" s="330">
        <f t="shared" si="4"/>
        <v>6300</v>
      </c>
    </row>
    <row r="38" spans="1:24">
      <c r="A38" s="54"/>
      <c r="B38" s="21"/>
      <c r="C38" s="21"/>
      <c r="D38" s="486"/>
      <c r="E38" s="330"/>
      <c r="F38" s="330"/>
      <c r="G38" s="330"/>
      <c r="H38" s="330"/>
      <c r="I38" s="330"/>
      <c r="J38" s="330"/>
      <c r="K38" s="330"/>
      <c r="L38" s="330"/>
      <c r="M38" s="330"/>
      <c r="N38" s="330"/>
      <c r="O38" s="330"/>
      <c r="P38" s="330"/>
      <c r="Q38" s="330"/>
      <c r="R38" s="330"/>
      <c r="S38" s="330"/>
      <c r="T38" s="330"/>
      <c r="U38" s="330"/>
      <c r="V38" s="330"/>
      <c r="W38" s="330"/>
      <c r="X38" s="330"/>
    </row>
    <row r="39" spans="1:24">
      <c r="A39" s="54" t="s">
        <v>223</v>
      </c>
      <c r="B39" s="74"/>
      <c r="C39" s="74"/>
      <c r="D39" s="486">
        <v>0</v>
      </c>
      <c r="E39" s="313">
        <f>(E19+E20)/E29</f>
        <v>160.26666666666668</v>
      </c>
      <c r="F39" s="313">
        <f t="shared" ref="F39:X39" si="5">(F19+F20)/F29</f>
        <v>187</v>
      </c>
      <c r="G39" s="313">
        <f t="shared" si="5"/>
        <v>213.73333333333332</v>
      </c>
      <c r="H39" s="313">
        <f t="shared" si="5"/>
        <v>213.73333333333332</v>
      </c>
      <c r="I39" s="313">
        <f t="shared" si="5"/>
        <v>213.73333333333332</v>
      </c>
      <c r="J39" s="313">
        <f t="shared" si="5"/>
        <v>213.73333333333332</v>
      </c>
      <c r="K39" s="313">
        <f t="shared" si="5"/>
        <v>213.73333333333332</v>
      </c>
      <c r="L39" s="313">
        <f t="shared" si="5"/>
        <v>213.73333333333332</v>
      </c>
      <c r="M39" s="313">
        <f t="shared" si="5"/>
        <v>213.73333333333332</v>
      </c>
      <c r="N39" s="313">
        <f t="shared" si="5"/>
        <v>213.73333333333332</v>
      </c>
      <c r="O39" s="313">
        <f t="shared" si="5"/>
        <v>213.73333333333332</v>
      </c>
      <c r="P39" s="313">
        <f t="shared" si="5"/>
        <v>213.73333333333332</v>
      </c>
      <c r="Q39" s="313">
        <f t="shared" si="5"/>
        <v>213.73333333333332</v>
      </c>
      <c r="R39" s="313">
        <f t="shared" si="5"/>
        <v>213.73333333333332</v>
      </c>
      <c r="S39" s="313">
        <f t="shared" si="5"/>
        <v>213.73333333333332</v>
      </c>
      <c r="T39" s="313">
        <f t="shared" si="5"/>
        <v>213.73333333333332</v>
      </c>
      <c r="U39" s="313">
        <f t="shared" si="5"/>
        <v>213.73333333333332</v>
      </c>
      <c r="V39" s="313">
        <f t="shared" si="5"/>
        <v>213.73333333333332</v>
      </c>
      <c r="W39" s="313">
        <f t="shared" si="5"/>
        <v>213.73333333333332</v>
      </c>
      <c r="X39" s="313">
        <f t="shared" si="5"/>
        <v>213.73333333333332</v>
      </c>
    </row>
    <row r="40" spans="1:24">
      <c r="A40" s="54"/>
      <c r="B40" s="74"/>
      <c r="C40" s="74"/>
      <c r="D40" s="492"/>
      <c r="E40" s="308"/>
      <c r="F40" s="308"/>
      <c r="G40" s="308"/>
      <c r="H40" s="308"/>
      <c r="I40" s="308"/>
      <c r="J40" s="308"/>
      <c r="K40" s="308"/>
      <c r="L40" s="308"/>
      <c r="M40" s="308"/>
      <c r="N40" s="308"/>
      <c r="O40" s="308"/>
      <c r="P40" s="308"/>
      <c r="Q40" s="308"/>
      <c r="R40" s="308"/>
      <c r="S40" s="308"/>
      <c r="T40" s="308"/>
      <c r="U40" s="308"/>
      <c r="V40" s="308"/>
      <c r="W40" s="308"/>
      <c r="X40" s="308"/>
    </row>
    <row r="41" spans="1:24">
      <c r="A41" s="293" t="s">
        <v>26</v>
      </c>
      <c r="B41" s="74"/>
      <c r="C41" s="74"/>
      <c r="D41" s="492"/>
      <c r="E41" s="308"/>
      <c r="F41" s="308"/>
      <c r="G41" s="308"/>
      <c r="H41" s="308"/>
      <c r="I41" s="308"/>
      <c r="J41" s="308"/>
      <c r="K41" s="308"/>
      <c r="L41" s="308"/>
      <c r="M41" s="308"/>
      <c r="N41" s="308"/>
      <c r="O41" s="308"/>
      <c r="P41" s="308"/>
      <c r="Q41" s="308"/>
      <c r="R41" s="308"/>
      <c r="S41" s="308"/>
      <c r="T41" s="308"/>
      <c r="U41" s="308"/>
      <c r="V41" s="308"/>
      <c r="W41" s="308"/>
      <c r="X41" s="308"/>
    </row>
    <row r="42" spans="1:24">
      <c r="A42" s="54" t="s">
        <v>264</v>
      </c>
      <c r="B42" s="277"/>
      <c r="C42" s="74"/>
      <c r="D42" s="486">
        <v>0</v>
      </c>
      <c r="E42" s="313">
        <f>'Parking Projections'!C81</f>
        <v>13290.435763888891</v>
      </c>
      <c r="F42" s="313">
        <f>'Parking Projections'!D81</f>
        <v>13290.435763888891</v>
      </c>
      <c r="G42" s="313">
        <f>'Parking Projections'!E81</f>
        <v>13290.435763888891</v>
      </c>
      <c r="H42" s="313">
        <f>'Parking Projections'!F81</f>
        <v>13290.435763888891</v>
      </c>
      <c r="I42" s="313">
        <f>'Parking Projections'!G81</f>
        <v>13290.435763888891</v>
      </c>
      <c r="J42" s="313">
        <f>'Parking Projections'!H81</f>
        <v>13290.435763888891</v>
      </c>
      <c r="K42" s="313">
        <f>'Parking Projections'!I81</f>
        <v>13290.435763888891</v>
      </c>
      <c r="L42" s="313">
        <f>'Parking Projections'!J81</f>
        <v>13290.435763888891</v>
      </c>
      <c r="M42" s="313">
        <f>'Parking Projections'!K81</f>
        <v>13290.435763888891</v>
      </c>
      <c r="N42" s="313">
        <f>'Parking Projections'!L81</f>
        <v>13290.435763888891</v>
      </c>
      <c r="O42" s="313">
        <f>'Parking Projections'!M81</f>
        <v>13290.435763888891</v>
      </c>
      <c r="P42" s="313">
        <f>'Parking Projections'!N81</f>
        <v>13290.435763888891</v>
      </c>
      <c r="Q42" s="313">
        <f>'Parking Projections'!O81</f>
        <v>13290.435763888891</v>
      </c>
      <c r="R42" s="313">
        <f>'Parking Projections'!P81</f>
        <v>13290.435763888891</v>
      </c>
      <c r="S42" s="313">
        <f>'Parking Projections'!Q81</f>
        <v>13290.435763888891</v>
      </c>
      <c r="T42" s="313">
        <f>'Parking Projections'!R81</f>
        <v>13290.435763888891</v>
      </c>
      <c r="U42" s="313">
        <f>'Parking Projections'!S81</f>
        <v>13290.435763888891</v>
      </c>
      <c r="V42" s="313">
        <f>'Parking Projections'!T81</f>
        <v>13290.435763888891</v>
      </c>
      <c r="W42" s="313">
        <f>'Parking Projections'!U81</f>
        <v>13290.435763888891</v>
      </c>
      <c r="X42" s="313">
        <f>'Parking Projections'!V81</f>
        <v>13290.435763888891</v>
      </c>
    </row>
    <row r="43" spans="1:24">
      <c r="A43" s="54" t="s">
        <v>267</v>
      </c>
      <c r="B43" s="277"/>
      <c r="C43" s="74"/>
      <c r="D43" s="486">
        <v>0</v>
      </c>
      <c r="E43" s="313">
        <f>'Parking Projections'!C85</f>
        <v>13967.333333333327</v>
      </c>
      <c r="F43" s="313">
        <f>'Parking Projections'!D85</f>
        <v>13967.333333333327</v>
      </c>
      <c r="G43" s="313">
        <f>'Parking Projections'!E85</f>
        <v>13967.333333333327</v>
      </c>
      <c r="H43" s="313">
        <f>'Parking Projections'!F85</f>
        <v>13967.333333333327</v>
      </c>
      <c r="I43" s="313">
        <f>'Parking Projections'!G85</f>
        <v>13967.333333333327</v>
      </c>
      <c r="J43" s="313">
        <f>'Parking Projections'!H85</f>
        <v>13967.333333333327</v>
      </c>
      <c r="K43" s="313">
        <f>'Parking Projections'!I85</f>
        <v>13967.333333333327</v>
      </c>
      <c r="L43" s="313">
        <f>'Parking Projections'!J85</f>
        <v>13967.333333333327</v>
      </c>
      <c r="M43" s="313">
        <f>'Parking Projections'!K85</f>
        <v>13967.333333333327</v>
      </c>
      <c r="N43" s="313">
        <f>'Parking Projections'!L85</f>
        <v>13967.333333333327</v>
      </c>
      <c r="O43" s="313">
        <f>'Parking Projections'!M85</f>
        <v>13967.333333333327</v>
      </c>
      <c r="P43" s="313">
        <f>'Parking Projections'!N85</f>
        <v>13967.333333333327</v>
      </c>
      <c r="Q43" s="313">
        <f>'Parking Projections'!O85</f>
        <v>13967.333333333327</v>
      </c>
      <c r="R43" s="313">
        <f>'Parking Projections'!P85</f>
        <v>13967.333333333327</v>
      </c>
      <c r="S43" s="313">
        <f>'Parking Projections'!Q85</f>
        <v>13967.333333333327</v>
      </c>
      <c r="T43" s="313">
        <f>'Parking Projections'!R85</f>
        <v>13967.333333333327</v>
      </c>
      <c r="U43" s="313">
        <f>'Parking Projections'!S85</f>
        <v>13967.333333333327</v>
      </c>
      <c r="V43" s="313">
        <f>'Parking Projections'!T85</f>
        <v>13967.333333333327</v>
      </c>
      <c r="W43" s="313">
        <f>'Parking Projections'!U85</f>
        <v>13967.333333333327</v>
      </c>
      <c r="X43" s="313">
        <f>'Parking Projections'!V85</f>
        <v>13967.333333333327</v>
      </c>
    </row>
    <row r="44" spans="1:24" s="96" customFormat="1">
      <c r="A44" s="54" t="s">
        <v>274</v>
      </c>
      <c r="B44" s="435"/>
      <c r="C44" s="583"/>
      <c r="D44" s="486">
        <v>0</v>
      </c>
      <c r="E44" s="313">
        <f>SUM(E42:E43)</f>
        <v>27257.769097222219</v>
      </c>
      <c r="F44" s="313">
        <f t="shared" ref="F44:X44" si="6">SUM(F42:F43)</f>
        <v>27257.769097222219</v>
      </c>
      <c r="G44" s="313">
        <f t="shared" si="6"/>
        <v>27257.769097222219</v>
      </c>
      <c r="H44" s="313">
        <f t="shared" si="6"/>
        <v>27257.769097222219</v>
      </c>
      <c r="I44" s="313">
        <f t="shared" si="6"/>
        <v>27257.769097222219</v>
      </c>
      <c r="J44" s="313">
        <f t="shared" si="6"/>
        <v>27257.769097222219</v>
      </c>
      <c r="K44" s="313">
        <f t="shared" si="6"/>
        <v>27257.769097222219</v>
      </c>
      <c r="L44" s="313">
        <f t="shared" si="6"/>
        <v>27257.769097222219</v>
      </c>
      <c r="M44" s="313">
        <f t="shared" si="6"/>
        <v>27257.769097222219</v>
      </c>
      <c r="N44" s="313">
        <f t="shared" si="6"/>
        <v>27257.769097222219</v>
      </c>
      <c r="O44" s="313">
        <f t="shared" si="6"/>
        <v>27257.769097222219</v>
      </c>
      <c r="P44" s="313">
        <f t="shared" si="6"/>
        <v>27257.769097222219</v>
      </c>
      <c r="Q44" s="313">
        <f t="shared" si="6"/>
        <v>27257.769097222219</v>
      </c>
      <c r="R44" s="313">
        <f t="shared" si="6"/>
        <v>27257.769097222219</v>
      </c>
      <c r="S44" s="313">
        <f t="shared" si="6"/>
        <v>27257.769097222219</v>
      </c>
      <c r="T44" s="313">
        <f t="shared" si="6"/>
        <v>27257.769097222219</v>
      </c>
      <c r="U44" s="313">
        <f t="shared" si="6"/>
        <v>27257.769097222219</v>
      </c>
      <c r="V44" s="313">
        <f t="shared" si="6"/>
        <v>27257.769097222219</v>
      </c>
      <c r="W44" s="313">
        <f t="shared" si="6"/>
        <v>27257.769097222219</v>
      </c>
      <c r="X44" s="313">
        <f t="shared" si="6"/>
        <v>27257.769097222219</v>
      </c>
    </row>
    <row r="45" spans="1:24">
      <c r="A45" s="54"/>
      <c r="B45" s="277"/>
      <c r="C45" s="74"/>
      <c r="D45" s="499"/>
      <c r="E45" s="308"/>
      <c r="F45" s="308"/>
      <c r="G45" s="308"/>
      <c r="H45" s="308"/>
      <c r="I45" s="308"/>
      <c r="J45" s="308"/>
      <c r="K45" s="308"/>
      <c r="L45" s="308"/>
      <c r="M45" s="308"/>
      <c r="N45" s="308"/>
      <c r="O45" s="308"/>
      <c r="P45" s="308"/>
      <c r="Q45" s="308"/>
      <c r="R45" s="308"/>
      <c r="S45" s="308"/>
      <c r="T45" s="308"/>
      <c r="U45" s="308"/>
      <c r="V45" s="308"/>
      <c r="W45" s="308"/>
      <c r="X45" s="308"/>
    </row>
    <row r="46" spans="1:24" s="96" customFormat="1">
      <c r="A46" s="54" t="s">
        <v>224</v>
      </c>
      <c r="B46" s="435"/>
      <c r="C46" s="583"/>
      <c r="D46" s="486">
        <v>0</v>
      </c>
      <c r="E46" s="496">
        <v>3</v>
      </c>
      <c r="F46" s="496">
        <v>3</v>
      </c>
      <c r="G46" s="496">
        <v>3</v>
      </c>
      <c r="H46" s="496">
        <v>3</v>
      </c>
      <c r="I46" s="496">
        <v>3</v>
      </c>
      <c r="J46" s="496">
        <v>3</v>
      </c>
      <c r="K46" s="496">
        <v>3</v>
      </c>
      <c r="L46" s="496">
        <v>3</v>
      </c>
      <c r="M46" s="496">
        <v>3</v>
      </c>
      <c r="N46" s="496">
        <v>3</v>
      </c>
      <c r="O46" s="496">
        <v>3</v>
      </c>
      <c r="P46" s="496">
        <v>3</v>
      </c>
      <c r="Q46" s="496">
        <v>3</v>
      </c>
      <c r="R46" s="496">
        <v>3</v>
      </c>
      <c r="S46" s="496">
        <v>3</v>
      </c>
      <c r="T46" s="496">
        <v>3</v>
      </c>
      <c r="U46" s="496">
        <v>3</v>
      </c>
      <c r="V46" s="496">
        <v>3</v>
      </c>
      <c r="W46" s="496">
        <v>3</v>
      </c>
      <c r="X46" s="496">
        <v>3</v>
      </c>
    </row>
    <row r="47" spans="1:24" s="96" customFormat="1">
      <c r="A47" s="54" t="s">
        <v>225</v>
      </c>
      <c r="B47" s="435"/>
      <c r="C47" s="583"/>
      <c r="D47" s="486">
        <v>0</v>
      </c>
      <c r="E47" s="496">
        <v>1</v>
      </c>
      <c r="F47" s="496">
        <v>1</v>
      </c>
      <c r="G47" s="496">
        <v>1</v>
      </c>
      <c r="H47" s="496">
        <v>1</v>
      </c>
      <c r="I47" s="496">
        <v>1</v>
      </c>
      <c r="J47" s="496">
        <v>1</v>
      </c>
      <c r="K47" s="496">
        <v>1</v>
      </c>
      <c r="L47" s="496">
        <v>1</v>
      </c>
      <c r="M47" s="496">
        <v>1</v>
      </c>
      <c r="N47" s="496">
        <v>1</v>
      </c>
      <c r="O47" s="496">
        <v>1</v>
      </c>
      <c r="P47" s="496">
        <v>1</v>
      </c>
      <c r="Q47" s="496">
        <v>1</v>
      </c>
      <c r="R47" s="496">
        <v>1</v>
      </c>
      <c r="S47" s="496">
        <v>1</v>
      </c>
      <c r="T47" s="496">
        <v>1</v>
      </c>
      <c r="U47" s="496">
        <v>1</v>
      </c>
      <c r="V47" s="496">
        <v>1</v>
      </c>
      <c r="W47" s="496">
        <v>1</v>
      </c>
      <c r="X47" s="496">
        <v>1</v>
      </c>
    </row>
    <row r="48" spans="1:24">
      <c r="A48" s="54" t="s">
        <v>209</v>
      </c>
      <c r="B48" s="277"/>
      <c r="C48" s="74"/>
      <c r="D48" s="486">
        <v>0</v>
      </c>
      <c r="E48" s="496">
        <v>0.5</v>
      </c>
      <c r="F48" s="496">
        <v>0.5</v>
      </c>
      <c r="G48" s="496">
        <v>0.5</v>
      </c>
      <c r="H48" s="496">
        <v>0.5</v>
      </c>
      <c r="I48" s="496">
        <v>0.5</v>
      </c>
      <c r="J48" s="496">
        <v>0.5</v>
      </c>
      <c r="K48" s="496">
        <v>0.5</v>
      </c>
      <c r="L48" s="496">
        <v>0.5</v>
      </c>
      <c r="M48" s="496">
        <v>0.5</v>
      </c>
      <c r="N48" s="496">
        <v>0.5</v>
      </c>
      <c r="O48" s="496">
        <v>0.5</v>
      </c>
      <c r="P48" s="496">
        <v>0.5</v>
      </c>
      <c r="Q48" s="496">
        <v>0.5</v>
      </c>
      <c r="R48" s="496">
        <v>0.5</v>
      </c>
      <c r="S48" s="496">
        <v>0.5</v>
      </c>
      <c r="T48" s="496">
        <v>0.5</v>
      </c>
      <c r="U48" s="496">
        <v>0.5</v>
      </c>
      <c r="V48" s="496">
        <v>0.5</v>
      </c>
      <c r="W48" s="496">
        <v>0.5</v>
      </c>
      <c r="X48" s="496">
        <v>0.5</v>
      </c>
    </row>
    <row r="49" spans="1:25 16384:16384">
      <c r="A49" s="54" t="s">
        <v>289</v>
      </c>
      <c r="B49" s="277"/>
      <c r="C49" s="74"/>
      <c r="D49" s="486">
        <v>0</v>
      </c>
      <c r="E49" s="496">
        <f t="shared" ref="E49:X49" si="7">SUM(E46:E48)/3</f>
        <v>1.5</v>
      </c>
      <c r="F49" s="496">
        <f t="shared" si="7"/>
        <v>1.5</v>
      </c>
      <c r="G49" s="496">
        <f t="shared" si="7"/>
        <v>1.5</v>
      </c>
      <c r="H49" s="496">
        <f t="shared" si="7"/>
        <v>1.5</v>
      </c>
      <c r="I49" s="496">
        <f t="shared" si="7"/>
        <v>1.5</v>
      </c>
      <c r="J49" s="496">
        <f t="shared" si="7"/>
        <v>1.5</v>
      </c>
      <c r="K49" s="496">
        <f t="shared" si="7"/>
        <v>1.5</v>
      </c>
      <c r="L49" s="496">
        <f t="shared" si="7"/>
        <v>1.5</v>
      </c>
      <c r="M49" s="496">
        <f t="shared" si="7"/>
        <v>1.5</v>
      </c>
      <c r="N49" s="496">
        <f t="shared" si="7"/>
        <v>1.5</v>
      </c>
      <c r="O49" s="496">
        <f t="shared" si="7"/>
        <v>1.5</v>
      </c>
      <c r="P49" s="496">
        <f t="shared" si="7"/>
        <v>1.5</v>
      </c>
      <c r="Q49" s="496">
        <f t="shared" si="7"/>
        <v>1.5</v>
      </c>
      <c r="R49" s="496">
        <f t="shared" si="7"/>
        <v>1.5</v>
      </c>
      <c r="S49" s="496">
        <f t="shared" si="7"/>
        <v>1.5</v>
      </c>
      <c r="T49" s="496">
        <f t="shared" si="7"/>
        <v>1.5</v>
      </c>
      <c r="U49" s="496">
        <f t="shared" si="7"/>
        <v>1.5</v>
      </c>
      <c r="V49" s="496">
        <f t="shared" si="7"/>
        <v>1.5</v>
      </c>
      <c r="W49" s="496">
        <f t="shared" si="7"/>
        <v>1.5</v>
      </c>
      <c r="X49" s="496">
        <f t="shared" si="7"/>
        <v>1.5</v>
      </c>
    </row>
    <row r="50" spans="1:25 16384:16384">
      <c r="A50" s="54"/>
      <c r="B50" s="277"/>
      <c r="C50" s="74"/>
      <c r="D50" s="486"/>
      <c r="E50" s="496"/>
      <c r="F50" s="496"/>
      <c r="G50" s="496"/>
      <c r="H50" s="496"/>
      <c r="I50" s="496"/>
      <c r="J50" s="496"/>
      <c r="K50" s="496"/>
      <c r="L50" s="496"/>
      <c r="M50" s="496"/>
      <c r="N50" s="496"/>
      <c r="O50" s="496"/>
      <c r="P50" s="496"/>
      <c r="Q50" s="496"/>
      <c r="R50" s="496"/>
      <c r="S50" s="496"/>
      <c r="T50" s="496"/>
      <c r="U50" s="496"/>
      <c r="V50" s="496"/>
      <c r="W50" s="496"/>
      <c r="X50" s="496"/>
    </row>
    <row r="51" spans="1:25 16384:16384">
      <c r="A51" s="54" t="s">
        <v>312</v>
      </c>
      <c r="B51" s="277"/>
      <c r="C51" s="74"/>
      <c r="D51" s="486">
        <v>0</v>
      </c>
      <c r="E51" s="313">
        <f>'Shuttle Projections'!C33</f>
        <v>7190</v>
      </c>
      <c r="F51" s="313">
        <f>'Shuttle Projections'!D33</f>
        <v>7190</v>
      </c>
      <c r="G51" s="313">
        <f>'Shuttle Projections'!E33</f>
        <v>7190</v>
      </c>
      <c r="H51" s="313">
        <f>'Shuttle Projections'!F33</f>
        <v>7190</v>
      </c>
      <c r="I51" s="313">
        <f>'Shuttle Projections'!G33</f>
        <v>7190</v>
      </c>
      <c r="J51" s="313">
        <f>'Shuttle Projections'!H33</f>
        <v>7190</v>
      </c>
      <c r="K51" s="313">
        <f>'Shuttle Projections'!I33</f>
        <v>7190</v>
      </c>
      <c r="L51" s="313">
        <f>'Shuttle Projections'!J33</f>
        <v>7190</v>
      </c>
      <c r="M51" s="313">
        <f>'Shuttle Projections'!K33</f>
        <v>7190</v>
      </c>
      <c r="N51" s="313">
        <f>'Shuttle Projections'!L33</f>
        <v>7190</v>
      </c>
      <c r="O51" s="313">
        <f>'Shuttle Projections'!M33</f>
        <v>7190</v>
      </c>
      <c r="P51" s="313">
        <f>'Shuttle Projections'!N33</f>
        <v>7190</v>
      </c>
      <c r="Q51" s="313">
        <f>'Shuttle Projections'!O33</f>
        <v>7190</v>
      </c>
      <c r="R51" s="313">
        <f>'Shuttle Projections'!P33</f>
        <v>7190</v>
      </c>
      <c r="S51" s="313">
        <f>'Shuttle Projections'!Q33</f>
        <v>7190</v>
      </c>
      <c r="T51" s="313">
        <f>'Shuttle Projections'!R33</f>
        <v>7190</v>
      </c>
      <c r="U51" s="313">
        <f>'Shuttle Projections'!S33</f>
        <v>7190</v>
      </c>
      <c r="V51" s="313">
        <f>'Shuttle Projections'!T33</f>
        <v>7190</v>
      </c>
      <c r="W51" s="313">
        <f>'Shuttle Projections'!U33</f>
        <v>7190</v>
      </c>
      <c r="X51" s="313">
        <f>'Shuttle Projections'!V33</f>
        <v>7190</v>
      </c>
      <c r="XFD51" s="570"/>
    </row>
    <row r="52" spans="1:25 16384:16384">
      <c r="A52" s="54"/>
      <c r="B52" s="277"/>
      <c r="C52" s="74"/>
      <c r="D52" s="486"/>
      <c r="E52" s="308"/>
      <c r="F52" s="308"/>
      <c r="G52" s="308"/>
      <c r="H52" s="308"/>
      <c r="I52" s="308"/>
      <c r="J52" s="308"/>
      <c r="K52" s="308"/>
      <c r="L52" s="308"/>
      <c r="M52" s="308"/>
      <c r="N52" s="308"/>
      <c r="O52" s="308"/>
      <c r="P52" s="308"/>
      <c r="Q52" s="308"/>
      <c r="R52" s="308"/>
      <c r="S52" s="308"/>
      <c r="T52" s="308"/>
      <c r="U52" s="308"/>
      <c r="V52" s="308"/>
      <c r="W52" s="308"/>
      <c r="X52" s="308"/>
    </row>
    <row r="53" spans="1:25 16384:16384" s="612" customFormat="1">
      <c r="A53" s="613" t="s">
        <v>292</v>
      </c>
      <c r="B53" s="614"/>
      <c r="C53" s="615"/>
      <c r="D53" s="616">
        <v>0</v>
      </c>
      <c r="E53" s="617">
        <v>0</v>
      </c>
      <c r="F53" s="617">
        <v>0</v>
      </c>
      <c r="G53" s="617">
        <v>100000</v>
      </c>
      <c r="H53" s="617">
        <v>100000</v>
      </c>
      <c r="I53" s="617">
        <v>100000</v>
      </c>
      <c r="J53" s="617">
        <v>100000</v>
      </c>
      <c r="K53" s="617">
        <v>100000</v>
      </c>
      <c r="L53" s="617">
        <v>100000</v>
      </c>
      <c r="M53" s="617">
        <v>100000</v>
      </c>
      <c r="N53" s="617">
        <v>100000</v>
      </c>
      <c r="O53" s="617">
        <v>100000</v>
      </c>
      <c r="P53" s="617">
        <v>100000</v>
      </c>
      <c r="Q53" s="617">
        <v>100000</v>
      </c>
      <c r="R53" s="617">
        <v>100000</v>
      </c>
      <c r="S53" s="617">
        <v>100000</v>
      </c>
      <c r="T53" s="617">
        <v>100000</v>
      </c>
      <c r="U53" s="617">
        <v>100000</v>
      </c>
      <c r="V53" s="617">
        <v>100000</v>
      </c>
      <c r="W53" s="617">
        <v>100000</v>
      </c>
      <c r="X53" s="618">
        <v>100000</v>
      </c>
    </row>
    <row r="54" spans="1:25 16384:16384">
      <c r="A54" s="54"/>
      <c r="B54" s="277"/>
      <c r="C54" s="74"/>
      <c r="D54" s="486"/>
      <c r="E54" s="308"/>
      <c r="F54" s="308"/>
      <c r="G54" s="308"/>
      <c r="H54" s="308"/>
      <c r="I54" s="308"/>
      <c r="J54" s="308"/>
      <c r="K54" s="308"/>
      <c r="L54" s="308"/>
      <c r="M54" s="308"/>
      <c r="N54" s="308"/>
      <c r="O54" s="308"/>
      <c r="P54" s="308"/>
      <c r="Q54" s="308"/>
      <c r="R54" s="308"/>
      <c r="S54" s="308"/>
      <c r="T54" s="308"/>
      <c r="U54" s="308"/>
      <c r="V54" s="308"/>
      <c r="W54" s="308"/>
      <c r="X54" s="308"/>
    </row>
    <row r="55" spans="1:25 16384:16384" s="582" customFormat="1">
      <c r="A55" s="293" t="str">
        <f>'BH Tariffs'!A33</f>
        <v>Recreational/Commercial Marina</v>
      </c>
      <c r="B55" s="584"/>
      <c r="C55" s="585"/>
      <c r="D55" s="486"/>
      <c r="E55" s="586"/>
      <c r="F55" s="586"/>
      <c r="G55" s="586"/>
      <c r="H55" s="586"/>
      <c r="I55" s="586"/>
      <c r="J55" s="586"/>
      <c r="K55" s="586"/>
      <c r="L55" s="586"/>
      <c r="M55" s="586"/>
      <c r="N55" s="586"/>
      <c r="O55" s="586"/>
      <c r="P55" s="586"/>
      <c r="Q55" s="586"/>
      <c r="R55" s="586"/>
      <c r="S55" s="586"/>
      <c r="T55" s="586"/>
      <c r="U55" s="586"/>
      <c r="V55" s="586"/>
      <c r="W55" s="586"/>
      <c r="X55" s="586"/>
    </row>
    <row r="56" spans="1:25 16384:16384" s="96" customFormat="1">
      <c r="A56" s="54" t="s">
        <v>291</v>
      </c>
      <c r="B56" s="435"/>
      <c r="C56" s="583"/>
      <c r="D56" s="486">
        <v>0</v>
      </c>
      <c r="E56" s="313">
        <v>0</v>
      </c>
      <c r="F56" s="313">
        <f>'Marina Projections'!D103</f>
        <v>12</v>
      </c>
      <c r="G56" s="313">
        <f>'Marina Projections'!E103</f>
        <v>12</v>
      </c>
      <c r="H56" s="313">
        <f>'Marina Projections'!F103</f>
        <v>12</v>
      </c>
      <c r="I56" s="313">
        <f>'Marina Projections'!G103</f>
        <v>12</v>
      </c>
      <c r="J56" s="313">
        <f>'Marina Projections'!H103</f>
        <v>12</v>
      </c>
      <c r="K56" s="313">
        <f>'Marina Projections'!I103</f>
        <v>12</v>
      </c>
      <c r="L56" s="313">
        <f>'Marina Projections'!J103</f>
        <v>12</v>
      </c>
      <c r="M56" s="313">
        <f>'Marina Projections'!K103</f>
        <v>12</v>
      </c>
      <c r="N56" s="313">
        <f>'Marina Projections'!L103</f>
        <v>12</v>
      </c>
      <c r="O56" s="313">
        <f>'Marina Projections'!M103</f>
        <v>12</v>
      </c>
      <c r="P56" s="313">
        <f>'Marina Projections'!N103</f>
        <v>12</v>
      </c>
      <c r="Q56" s="313">
        <f>'Marina Projections'!O103</f>
        <v>12</v>
      </c>
      <c r="R56" s="313">
        <f>'Marina Projections'!P103</f>
        <v>12</v>
      </c>
      <c r="S56" s="313">
        <f>'Marina Projections'!Q103</f>
        <v>12</v>
      </c>
      <c r="T56" s="313">
        <f>'Marina Projections'!R103</f>
        <v>12</v>
      </c>
      <c r="U56" s="313">
        <f>'Marina Projections'!S103</f>
        <v>12</v>
      </c>
      <c r="V56" s="313">
        <f>'Marina Projections'!T103</f>
        <v>12</v>
      </c>
      <c r="W56" s="313">
        <f>'Marina Projections'!U103</f>
        <v>12</v>
      </c>
      <c r="X56" s="313">
        <f>'Marina Projections'!V103</f>
        <v>12</v>
      </c>
    </row>
    <row r="57" spans="1:25 16384:16384" s="96" customFormat="1">
      <c r="A57" s="54" t="s">
        <v>293</v>
      </c>
      <c r="B57" s="435"/>
      <c r="C57" s="583"/>
      <c r="D57" s="486">
        <v>0</v>
      </c>
      <c r="E57" s="313">
        <v>0</v>
      </c>
      <c r="F57" s="313">
        <f>'Marina Projections'!D110</f>
        <v>9557.1731249999993</v>
      </c>
      <c r="G57" s="313">
        <f>'Marina Projections'!E110</f>
        <v>9557.1731249999993</v>
      </c>
      <c r="H57" s="313">
        <f>'Marina Projections'!F110</f>
        <v>9557.1731249999993</v>
      </c>
      <c r="I57" s="313">
        <f>'Marina Projections'!G110</f>
        <v>9557.1731249999993</v>
      </c>
      <c r="J57" s="313">
        <f>'Marina Projections'!H110</f>
        <v>9557.1731249999993</v>
      </c>
      <c r="K57" s="313">
        <f>'Marina Projections'!I110</f>
        <v>9557.1731249999993</v>
      </c>
      <c r="L57" s="313">
        <f>'Marina Projections'!J110</f>
        <v>9557.1731249999993</v>
      </c>
      <c r="M57" s="313">
        <f>'Marina Projections'!K110</f>
        <v>9557.1731249999993</v>
      </c>
      <c r="N57" s="313">
        <f>'Marina Projections'!L110</f>
        <v>9557.1731249999993</v>
      </c>
      <c r="O57" s="313">
        <f>'Marina Projections'!M110</f>
        <v>9557.1731249999993</v>
      </c>
      <c r="P57" s="313">
        <f>'Marina Projections'!N110</f>
        <v>9557.1731249999993</v>
      </c>
      <c r="Q57" s="313">
        <f>'Marina Projections'!O110</f>
        <v>9557.1731249999993</v>
      </c>
      <c r="R57" s="313">
        <f>'Marina Projections'!P110</f>
        <v>9557.1731249999993</v>
      </c>
      <c r="S57" s="313">
        <f>'Marina Projections'!Q110</f>
        <v>9557.1731249999993</v>
      </c>
      <c r="T57" s="313">
        <f>'Marina Projections'!R110</f>
        <v>9557.1731249999993</v>
      </c>
      <c r="U57" s="313">
        <f>'Marina Projections'!S110</f>
        <v>9557.1731249999993</v>
      </c>
      <c r="V57" s="313">
        <f>'Marina Projections'!T110</f>
        <v>9557.1731249999993</v>
      </c>
      <c r="W57" s="313">
        <f>'Marina Projections'!U110</f>
        <v>9557.1731249999993</v>
      </c>
      <c r="X57" s="313">
        <f>'Marina Projections'!V110</f>
        <v>9557.1731249999993</v>
      </c>
    </row>
    <row r="58" spans="1:25 16384:16384" s="96" customFormat="1">
      <c r="A58" s="54" t="s">
        <v>294</v>
      </c>
      <c r="B58" s="435"/>
      <c r="C58" s="583"/>
      <c r="D58" s="486">
        <v>0</v>
      </c>
      <c r="E58" s="313">
        <v>0</v>
      </c>
      <c r="F58" s="313">
        <f>'Marina Projections'!D106</f>
        <v>359.1</v>
      </c>
      <c r="G58" s="313">
        <f>'Marina Projections'!E106</f>
        <v>359.1</v>
      </c>
      <c r="H58" s="313">
        <f>'Marina Projections'!F106</f>
        <v>359.1</v>
      </c>
      <c r="I58" s="313">
        <f>'Marina Projections'!G106</f>
        <v>359.1</v>
      </c>
      <c r="J58" s="313">
        <f>'Marina Projections'!H106</f>
        <v>359.1</v>
      </c>
      <c r="K58" s="313">
        <f>'Marina Projections'!I106</f>
        <v>359.1</v>
      </c>
      <c r="L58" s="313">
        <f>'Marina Projections'!J106</f>
        <v>359.1</v>
      </c>
      <c r="M58" s="313">
        <f>'Marina Projections'!K106</f>
        <v>359.1</v>
      </c>
      <c r="N58" s="313">
        <f>'Marina Projections'!L106</f>
        <v>359.1</v>
      </c>
      <c r="O58" s="313">
        <f>'Marina Projections'!M106</f>
        <v>359.1</v>
      </c>
      <c r="P58" s="313">
        <f>'Marina Projections'!N106</f>
        <v>359.1</v>
      </c>
      <c r="Q58" s="313">
        <f>'Marina Projections'!O106</f>
        <v>359.1</v>
      </c>
      <c r="R58" s="313">
        <f>'Marina Projections'!P106</f>
        <v>359.1</v>
      </c>
      <c r="S58" s="313">
        <f>'Marina Projections'!Q106</f>
        <v>359.1</v>
      </c>
      <c r="T58" s="313">
        <f>'Marina Projections'!R106</f>
        <v>359.1</v>
      </c>
      <c r="U58" s="313">
        <f>'Marina Projections'!S106</f>
        <v>359.1</v>
      </c>
      <c r="V58" s="313">
        <f>'Marina Projections'!T106</f>
        <v>359.1</v>
      </c>
      <c r="W58" s="313">
        <f>'Marina Projections'!U106</f>
        <v>359.1</v>
      </c>
      <c r="X58" s="313">
        <f>'Marina Projections'!V106</f>
        <v>359.1</v>
      </c>
    </row>
    <row r="59" spans="1:25 16384:16384" s="167" customFormat="1">
      <c r="A59" s="497" t="s">
        <v>170</v>
      </c>
      <c r="B59" s="450"/>
      <c r="C59" s="498"/>
      <c r="D59" s="499">
        <v>0</v>
      </c>
      <c r="E59" s="587">
        <v>0</v>
      </c>
      <c r="F59" s="587">
        <v>0</v>
      </c>
      <c r="G59" s="587">
        <v>0</v>
      </c>
      <c r="H59" s="587">
        <v>0</v>
      </c>
      <c r="I59" s="587">
        <v>0</v>
      </c>
      <c r="J59" s="587">
        <v>0</v>
      </c>
      <c r="K59" s="587">
        <v>0</v>
      </c>
      <c r="L59" s="587">
        <v>0</v>
      </c>
      <c r="M59" s="587">
        <v>0</v>
      </c>
      <c r="N59" s="587">
        <v>0</v>
      </c>
      <c r="O59" s="587">
        <v>0</v>
      </c>
      <c r="P59" s="587">
        <v>0</v>
      </c>
      <c r="Q59" s="587">
        <v>0</v>
      </c>
      <c r="R59" s="587">
        <v>0</v>
      </c>
      <c r="S59" s="587">
        <v>0</v>
      </c>
      <c r="T59" s="587">
        <v>0</v>
      </c>
      <c r="U59" s="587">
        <v>0</v>
      </c>
      <c r="V59" s="587">
        <v>0</v>
      </c>
      <c r="W59" s="587">
        <v>0</v>
      </c>
      <c r="X59" s="587">
        <v>0</v>
      </c>
      <c r="Y59" s="167" t="s">
        <v>282</v>
      </c>
    </row>
    <row r="60" spans="1:25 16384:16384" s="167" customFormat="1">
      <c r="A60" s="497" t="s">
        <v>16</v>
      </c>
      <c r="B60" s="450"/>
      <c r="C60" s="498"/>
      <c r="D60" s="499">
        <v>0</v>
      </c>
      <c r="E60" s="587">
        <v>0</v>
      </c>
      <c r="F60" s="587">
        <v>0</v>
      </c>
      <c r="G60" s="587">
        <v>0</v>
      </c>
      <c r="H60" s="587">
        <v>0</v>
      </c>
      <c r="I60" s="587">
        <v>0</v>
      </c>
      <c r="J60" s="587">
        <v>0</v>
      </c>
      <c r="K60" s="587">
        <v>0</v>
      </c>
      <c r="L60" s="587">
        <v>0</v>
      </c>
      <c r="M60" s="587">
        <v>0</v>
      </c>
      <c r="N60" s="587">
        <v>0</v>
      </c>
      <c r="O60" s="587">
        <v>0</v>
      </c>
      <c r="P60" s="587">
        <v>0</v>
      </c>
      <c r="Q60" s="587">
        <v>0</v>
      </c>
      <c r="R60" s="587">
        <v>0</v>
      </c>
      <c r="S60" s="587">
        <v>0</v>
      </c>
      <c r="T60" s="587">
        <v>0</v>
      </c>
      <c r="U60" s="587">
        <v>0</v>
      </c>
      <c r="V60" s="587">
        <v>0</v>
      </c>
      <c r="W60" s="587">
        <v>0</v>
      </c>
      <c r="X60" s="587">
        <v>0</v>
      </c>
      <c r="Y60" s="167" t="s">
        <v>282</v>
      </c>
    </row>
    <row r="61" spans="1:25 16384:16384">
      <c r="A61" s="54"/>
      <c r="B61" s="277"/>
      <c r="C61" s="74"/>
      <c r="D61" s="492"/>
      <c r="E61" s="308"/>
      <c r="F61" s="308"/>
      <c r="G61" s="308"/>
      <c r="H61" s="308"/>
      <c r="I61" s="308"/>
      <c r="J61" s="308"/>
      <c r="K61" s="308"/>
      <c r="L61" s="308"/>
      <c r="M61" s="308"/>
      <c r="N61" s="308"/>
      <c r="O61" s="308"/>
      <c r="P61" s="308"/>
      <c r="Q61" s="308"/>
      <c r="R61" s="308"/>
      <c r="S61" s="308"/>
      <c r="T61" s="308"/>
      <c r="U61" s="308"/>
      <c r="V61" s="308"/>
      <c r="W61" s="308"/>
      <c r="X61" s="308"/>
    </row>
    <row r="62" spans="1:25 16384:16384">
      <c r="A62" s="293" t="s">
        <v>2</v>
      </c>
      <c r="B62" s="277"/>
      <c r="C62" s="74"/>
      <c r="D62" s="492"/>
      <c r="E62" s="308"/>
      <c r="F62" s="308"/>
      <c r="G62" s="308"/>
      <c r="H62" s="308"/>
      <c r="I62" s="308"/>
      <c r="J62" s="308"/>
      <c r="K62" s="308"/>
      <c r="L62" s="308"/>
      <c r="M62" s="308"/>
      <c r="N62" s="308"/>
      <c r="O62" s="308"/>
      <c r="P62" s="308"/>
      <c r="Q62" s="308"/>
      <c r="R62" s="308"/>
      <c r="S62" s="308"/>
      <c r="T62" s="308"/>
      <c r="U62" s="308"/>
      <c r="V62" s="308"/>
      <c r="W62" s="308"/>
      <c r="X62" s="308"/>
    </row>
    <row r="63" spans="1:25 16384:16384" s="96" customFormat="1">
      <c r="A63" s="54" t="s">
        <v>290</v>
      </c>
      <c r="B63" s="435">
        <v>500</v>
      </c>
      <c r="C63" s="487"/>
      <c r="D63" s="486">
        <v>0</v>
      </c>
      <c r="E63" s="313">
        <v>0</v>
      </c>
      <c r="F63" s="313">
        <v>0</v>
      </c>
      <c r="G63" s="313">
        <f t="shared" ref="G63:X63" si="8">$B$63</f>
        <v>500</v>
      </c>
      <c r="H63" s="313">
        <f t="shared" si="8"/>
        <v>500</v>
      </c>
      <c r="I63" s="313">
        <f t="shared" si="8"/>
        <v>500</v>
      </c>
      <c r="J63" s="313">
        <f t="shared" si="8"/>
        <v>500</v>
      </c>
      <c r="K63" s="313">
        <f t="shared" si="8"/>
        <v>500</v>
      </c>
      <c r="L63" s="313">
        <f t="shared" si="8"/>
        <v>500</v>
      </c>
      <c r="M63" s="313">
        <f t="shared" si="8"/>
        <v>500</v>
      </c>
      <c r="N63" s="313">
        <f t="shared" si="8"/>
        <v>500</v>
      </c>
      <c r="O63" s="313">
        <f t="shared" si="8"/>
        <v>500</v>
      </c>
      <c r="P63" s="313">
        <f t="shared" si="8"/>
        <v>500</v>
      </c>
      <c r="Q63" s="313">
        <f t="shared" si="8"/>
        <v>500</v>
      </c>
      <c r="R63" s="313">
        <f t="shared" si="8"/>
        <v>500</v>
      </c>
      <c r="S63" s="313">
        <f t="shared" si="8"/>
        <v>500</v>
      </c>
      <c r="T63" s="313">
        <f t="shared" si="8"/>
        <v>500</v>
      </c>
      <c r="U63" s="313">
        <f t="shared" si="8"/>
        <v>500</v>
      </c>
      <c r="V63" s="313">
        <f t="shared" si="8"/>
        <v>500</v>
      </c>
      <c r="W63" s="313">
        <f t="shared" si="8"/>
        <v>500</v>
      </c>
      <c r="X63" s="313">
        <f t="shared" si="8"/>
        <v>500</v>
      </c>
    </row>
    <row r="64" spans="1:25 16384:16384" s="96" customFormat="1">
      <c r="A64" s="54" t="s">
        <v>540</v>
      </c>
      <c r="B64" s="435"/>
      <c r="C64" s="487"/>
      <c r="D64" s="1055">
        <v>0</v>
      </c>
      <c r="E64" s="1056">
        <v>0</v>
      </c>
      <c r="F64" s="1056">
        <v>0</v>
      </c>
      <c r="G64" s="1056">
        <v>200000</v>
      </c>
      <c r="H64" s="1056">
        <f>G64</f>
        <v>200000</v>
      </c>
      <c r="I64" s="1056">
        <f t="shared" ref="I64:X64" si="9">H64</f>
        <v>200000</v>
      </c>
      <c r="J64" s="1056">
        <f t="shared" si="9"/>
        <v>200000</v>
      </c>
      <c r="K64" s="1056">
        <f t="shared" si="9"/>
        <v>200000</v>
      </c>
      <c r="L64" s="1056">
        <f t="shared" si="9"/>
        <v>200000</v>
      </c>
      <c r="M64" s="1056">
        <f t="shared" si="9"/>
        <v>200000</v>
      </c>
      <c r="N64" s="1056">
        <f t="shared" si="9"/>
        <v>200000</v>
      </c>
      <c r="O64" s="1056">
        <f t="shared" si="9"/>
        <v>200000</v>
      </c>
      <c r="P64" s="1056">
        <f t="shared" si="9"/>
        <v>200000</v>
      </c>
      <c r="Q64" s="1056">
        <f t="shared" si="9"/>
        <v>200000</v>
      </c>
      <c r="R64" s="1056">
        <f t="shared" si="9"/>
        <v>200000</v>
      </c>
      <c r="S64" s="1056">
        <f t="shared" si="9"/>
        <v>200000</v>
      </c>
      <c r="T64" s="1056">
        <f t="shared" si="9"/>
        <v>200000</v>
      </c>
      <c r="U64" s="1056">
        <f t="shared" si="9"/>
        <v>200000</v>
      </c>
      <c r="V64" s="1056">
        <f t="shared" si="9"/>
        <v>200000</v>
      </c>
      <c r="W64" s="1056">
        <f t="shared" si="9"/>
        <v>200000</v>
      </c>
      <c r="X64" s="1056">
        <f t="shared" si="9"/>
        <v>200000</v>
      </c>
    </row>
    <row r="65" spans="1:25" s="96" customFormat="1">
      <c r="A65" s="54" t="s">
        <v>210</v>
      </c>
      <c r="B65" s="487"/>
      <c r="C65" s="487"/>
      <c r="D65" s="486">
        <v>0</v>
      </c>
      <c r="E65" s="313">
        <v>0</v>
      </c>
      <c r="F65" s="313">
        <v>1</v>
      </c>
      <c r="G65" s="313">
        <v>2</v>
      </c>
      <c r="H65" s="313">
        <v>2</v>
      </c>
      <c r="I65" s="313">
        <v>2</v>
      </c>
      <c r="J65" s="313">
        <v>3</v>
      </c>
      <c r="K65" s="313">
        <v>3</v>
      </c>
      <c r="L65" s="313">
        <v>3</v>
      </c>
      <c r="M65" s="313">
        <v>3</v>
      </c>
      <c r="N65" s="313">
        <v>3</v>
      </c>
      <c r="O65" s="313">
        <v>4</v>
      </c>
      <c r="P65" s="313">
        <v>4</v>
      </c>
      <c r="Q65" s="313">
        <v>4</v>
      </c>
      <c r="R65" s="313">
        <v>4</v>
      </c>
      <c r="S65" s="313">
        <v>4</v>
      </c>
      <c r="T65" s="313">
        <v>5</v>
      </c>
      <c r="U65" s="313">
        <v>5</v>
      </c>
      <c r="V65" s="313">
        <v>5</v>
      </c>
      <c r="W65" s="313">
        <v>5</v>
      </c>
      <c r="X65" s="313">
        <v>5</v>
      </c>
      <c r="Y65" s="313"/>
    </row>
    <row r="66" spans="1:25" s="96" customFormat="1">
      <c r="A66" s="96" t="s">
        <v>211</v>
      </c>
      <c r="D66" s="486">
        <v>0</v>
      </c>
      <c r="E66" s="435">
        <v>0</v>
      </c>
      <c r="F66" s="435">
        <v>3</v>
      </c>
      <c r="G66" s="435">
        <v>3</v>
      </c>
      <c r="H66" s="435">
        <v>3</v>
      </c>
      <c r="I66" s="435">
        <v>3</v>
      </c>
      <c r="J66" s="435">
        <v>3</v>
      </c>
      <c r="K66" s="435">
        <v>3</v>
      </c>
      <c r="L66" s="435">
        <v>3</v>
      </c>
      <c r="M66" s="435">
        <v>3</v>
      </c>
      <c r="N66" s="435">
        <v>3</v>
      </c>
      <c r="O66" s="435">
        <v>3</v>
      </c>
      <c r="P66" s="435">
        <v>3</v>
      </c>
      <c r="Q66" s="435">
        <v>3</v>
      </c>
      <c r="R66" s="435">
        <v>3</v>
      </c>
      <c r="S66" s="435">
        <v>3</v>
      </c>
      <c r="T66" s="435">
        <v>3</v>
      </c>
      <c r="U66" s="435">
        <v>3</v>
      </c>
      <c r="V66" s="435">
        <v>3</v>
      </c>
      <c r="W66" s="435">
        <v>3</v>
      </c>
      <c r="X66" s="435">
        <v>3</v>
      </c>
    </row>
    <row r="67" spans="1:25" s="167" customFormat="1">
      <c r="A67" s="497"/>
      <c r="B67" s="501"/>
      <c r="C67" s="501"/>
      <c r="D67" s="499"/>
      <c r="E67" s="500"/>
      <c r="F67" s="500"/>
      <c r="G67" s="500"/>
      <c r="H67" s="500"/>
      <c r="I67" s="500"/>
      <c r="J67" s="500"/>
      <c r="K67" s="500"/>
      <c r="L67" s="500"/>
      <c r="M67" s="500"/>
      <c r="N67" s="500"/>
      <c r="O67" s="500"/>
      <c r="P67" s="500"/>
      <c r="Q67" s="500"/>
      <c r="R67" s="500"/>
      <c r="S67" s="500"/>
      <c r="T67" s="500"/>
      <c r="U67" s="500"/>
      <c r="V67" s="500"/>
      <c r="W67" s="500"/>
      <c r="X67" s="500"/>
      <c r="Y67" s="500"/>
    </row>
    <row r="68" spans="1:25">
      <c r="A68" s="28"/>
      <c r="D68" s="486"/>
      <c r="E68" s="331"/>
      <c r="F68" s="333"/>
      <c r="G68" s="331"/>
      <c r="H68" s="331"/>
      <c r="I68" s="331"/>
      <c r="J68" s="331"/>
      <c r="K68" s="331"/>
      <c r="L68" s="331"/>
      <c r="M68" s="331"/>
      <c r="N68" s="331"/>
      <c r="O68" s="331"/>
      <c r="P68" s="331"/>
      <c r="Q68" s="331"/>
      <c r="R68" s="331"/>
      <c r="S68" s="331"/>
      <c r="T68" s="331"/>
      <c r="U68" s="331"/>
      <c r="V68" s="331"/>
      <c r="W68" s="331"/>
      <c r="X68" s="331"/>
    </row>
    <row r="69" spans="1:25">
      <c r="A69" s="266" t="s">
        <v>135</v>
      </c>
      <c r="B69" s="223"/>
      <c r="C69" s="267"/>
      <c r="D69" s="332"/>
      <c r="E69" s="332"/>
      <c r="F69" s="349"/>
      <c r="G69" s="332"/>
      <c r="H69" s="332"/>
      <c r="I69" s="332"/>
      <c r="J69" s="332"/>
      <c r="K69" s="332"/>
      <c r="L69" s="332"/>
      <c r="M69" s="332"/>
      <c r="N69" s="332"/>
      <c r="O69" s="332"/>
      <c r="P69" s="332"/>
      <c r="Q69" s="332"/>
      <c r="R69" s="332"/>
      <c r="S69" s="332"/>
      <c r="T69" s="332"/>
      <c r="U69" s="332"/>
      <c r="V69" s="332"/>
      <c r="W69" s="332"/>
      <c r="X69" s="332"/>
    </row>
    <row r="70" spans="1:25" s="341" customFormat="1">
      <c r="A70" s="353"/>
      <c r="B70" s="355"/>
      <c r="C70" s="355"/>
      <c r="D70" s="502"/>
      <c r="E70" s="503"/>
      <c r="F70" s="503"/>
      <c r="G70" s="503"/>
      <c r="H70" s="503"/>
      <c r="I70" s="503"/>
      <c r="J70" s="503"/>
      <c r="K70" s="503"/>
      <c r="L70" s="503"/>
      <c r="M70" s="503"/>
      <c r="N70" s="503"/>
      <c r="O70" s="503"/>
      <c r="P70" s="503"/>
      <c r="Q70" s="503"/>
      <c r="R70" s="503"/>
      <c r="S70" s="503"/>
      <c r="T70" s="503"/>
      <c r="U70" s="503"/>
      <c r="V70" s="503"/>
      <c r="W70" s="503"/>
      <c r="X70" s="503"/>
    </row>
    <row r="71" spans="1:25" s="341" customFormat="1">
      <c r="A71" s="691" t="s">
        <v>144</v>
      </c>
      <c r="B71" s="355"/>
      <c r="C71" s="355"/>
      <c r="D71" s="548"/>
      <c r="E71" s="503"/>
      <c r="F71" s="503"/>
      <c r="G71" s="503"/>
      <c r="H71" s="503"/>
      <c r="I71" s="503"/>
      <c r="J71" s="503"/>
      <c r="K71" s="503"/>
      <c r="L71" s="503"/>
      <c r="M71" s="503"/>
      <c r="N71" s="503"/>
      <c r="O71" s="503"/>
      <c r="P71" s="503"/>
      <c r="Q71" s="503"/>
      <c r="R71" s="503"/>
      <c r="S71" s="503"/>
      <c r="T71" s="503"/>
      <c r="U71" s="503"/>
      <c r="V71" s="503"/>
      <c r="W71" s="503"/>
      <c r="X71" s="503"/>
    </row>
    <row r="72" spans="1:25" s="561" customFormat="1">
      <c r="A72" s="353" t="str">
        <f>'BH Tariffs'!A11</f>
        <v>Port Fee</v>
      </c>
      <c r="B72" s="355"/>
      <c r="C72" s="355"/>
      <c r="D72" s="548">
        <v>0</v>
      </c>
      <c r="E72" s="503">
        <v>0</v>
      </c>
      <c r="F72" s="503">
        <v>0</v>
      </c>
      <c r="G72" s="503">
        <v>0</v>
      </c>
      <c r="H72" s="503">
        <v>0</v>
      </c>
      <c r="I72" s="503">
        <v>0</v>
      </c>
      <c r="J72" s="503">
        <v>0</v>
      </c>
      <c r="K72" s="503">
        <v>0</v>
      </c>
      <c r="L72" s="503">
        <v>0</v>
      </c>
      <c r="M72" s="503">
        <v>0</v>
      </c>
      <c r="N72" s="503">
        <v>0</v>
      </c>
      <c r="O72" s="503">
        <v>0</v>
      </c>
      <c r="P72" s="503">
        <v>0</v>
      </c>
      <c r="Q72" s="503">
        <v>0</v>
      </c>
      <c r="R72" s="503">
        <v>0</v>
      </c>
      <c r="S72" s="503">
        <v>0</v>
      </c>
      <c r="T72" s="503">
        <v>0</v>
      </c>
      <c r="U72" s="503">
        <v>0</v>
      </c>
      <c r="V72" s="503">
        <v>0</v>
      </c>
      <c r="W72" s="503">
        <v>0</v>
      </c>
      <c r="X72" s="503">
        <v>0</v>
      </c>
    </row>
    <row r="73" spans="1:25">
      <c r="A73" s="88"/>
      <c r="B73" s="89"/>
      <c r="C73" s="89"/>
      <c r="D73" s="502"/>
      <c r="E73" s="504"/>
      <c r="F73" s="504"/>
      <c r="G73" s="504"/>
      <c r="H73" s="504"/>
      <c r="I73" s="504"/>
      <c r="J73" s="504"/>
      <c r="K73" s="504"/>
      <c r="L73" s="504"/>
      <c r="M73" s="504"/>
      <c r="N73" s="504"/>
      <c r="O73" s="504"/>
      <c r="P73" s="504"/>
      <c r="Q73" s="504"/>
      <c r="R73" s="504"/>
      <c r="S73" s="504"/>
      <c r="T73" s="504"/>
      <c r="U73" s="504"/>
      <c r="V73" s="504"/>
      <c r="W73" s="504"/>
      <c r="X73" s="504"/>
    </row>
    <row r="74" spans="1:25" s="16" customFormat="1" ht="14.25">
      <c r="A74" s="280" t="s">
        <v>124</v>
      </c>
      <c r="B74" s="533"/>
      <c r="C74" s="533"/>
      <c r="D74" s="534"/>
      <c r="E74" s="535"/>
      <c r="F74" s="535"/>
      <c r="G74" s="535"/>
      <c r="H74" s="535"/>
      <c r="I74" s="535"/>
      <c r="J74" s="535"/>
      <c r="K74" s="535"/>
      <c r="L74" s="535"/>
      <c r="M74" s="535"/>
      <c r="N74" s="535"/>
      <c r="O74" s="535"/>
      <c r="P74" s="535"/>
      <c r="Q74" s="535"/>
      <c r="R74" s="535"/>
      <c r="S74" s="535"/>
      <c r="T74" s="535"/>
      <c r="U74" s="535"/>
      <c r="V74" s="535"/>
      <c r="W74" s="535"/>
      <c r="X74" s="535"/>
    </row>
    <row r="75" spans="1:25" s="279" customFormat="1" ht="14.25">
      <c r="A75" s="91" t="s">
        <v>83</v>
      </c>
      <c r="B75" s="536"/>
      <c r="C75" s="536"/>
      <c r="D75" s="537"/>
      <c r="E75" s="538"/>
      <c r="F75" s="538"/>
      <c r="G75" s="538"/>
      <c r="H75" s="538"/>
      <c r="I75" s="538"/>
      <c r="J75" s="538"/>
      <c r="K75" s="538"/>
      <c r="L75" s="538"/>
      <c r="M75" s="538"/>
      <c r="N75" s="538"/>
      <c r="O75" s="538"/>
      <c r="P75" s="538"/>
      <c r="Q75" s="538"/>
      <c r="R75" s="538"/>
      <c r="S75" s="538"/>
      <c r="T75" s="538"/>
      <c r="U75" s="538"/>
      <c r="V75" s="538"/>
      <c r="W75" s="538"/>
      <c r="X75" s="538"/>
    </row>
    <row r="76" spans="1:25">
      <c r="A76" s="90" t="str">
        <f>'BH Tariffs'!A19</f>
        <v>Town Wharfage (Exclusive Use, Ferry Property Only)</v>
      </c>
      <c r="B76" s="89"/>
      <c r="C76" s="89"/>
      <c r="D76" s="502">
        <v>0</v>
      </c>
      <c r="E76" s="504">
        <f>'BH Tariffs'!D19*'P&amp;L - Concept C1 - Carnival'!E12</f>
        <v>0</v>
      </c>
      <c r="F76" s="504">
        <f>'BH Tariffs'!E19*'P&amp;L - Concept C1 - Carnival'!F12</f>
        <v>737024.41444463574</v>
      </c>
      <c r="G76" s="504">
        <f>'BH Tariffs'!F19*'P&amp;L - Concept C1 - Carnival'!G12</f>
        <v>751764.90273352852</v>
      </c>
      <c r="H76" s="504">
        <f>'BH Tariffs'!G19*'P&amp;L - Concept C1 - Carnival'!H12</f>
        <v>766800.20078819909</v>
      </c>
      <c r="I76" s="504">
        <f>'BH Tariffs'!H19*'P&amp;L - Concept C1 - Carnival'!I12</f>
        <v>782136.20480396308</v>
      </c>
      <c r="J76" s="504">
        <f>'BH Tariffs'!I19*'P&amp;L - Concept C1 - Carnival'!J12</f>
        <v>797778.92890004232</v>
      </c>
      <c r="K76" s="504">
        <f>'BH Tariffs'!J19*'P&amp;L - Concept C1 - Carnival'!K12</f>
        <v>813734.5074780432</v>
      </c>
      <c r="L76" s="504">
        <f>'BH Tariffs'!K19*'P&amp;L - Concept C1 - Carnival'!L12</f>
        <v>830009.19762760401</v>
      </c>
      <c r="M76" s="504">
        <f>'BH Tariffs'!L19*'P&amp;L - Concept C1 - Carnival'!M12</f>
        <v>846609.38158015627</v>
      </c>
      <c r="N76" s="504">
        <f>'BH Tariffs'!M19*'P&amp;L - Concept C1 - Carnival'!N12</f>
        <v>863541.56921175926</v>
      </c>
      <c r="O76" s="504">
        <f>'BH Tariffs'!N19*'P&amp;L - Concept C1 - Carnival'!O12</f>
        <v>880812.40059599455</v>
      </c>
      <c r="P76" s="504">
        <f>'BH Tariffs'!O19*'P&amp;L - Concept C1 - Carnival'!P12</f>
        <v>898428.64860791445</v>
      </c>
      <c r="Q76" s="504">
        <f>'BH Tariffs'!P19*'P&amp;L - Concept C1 - Carnival'!Q12</f>
        <v>916397.22158007277</v>
      </c>
      <c r="R76" s="504">
        <f>'BH Tariffs'!Q19*'P&amp;L - Concept C1 - Carnival'!R12</f>
        <v>934725.1660116741</v>
      </c>
      <c r="S76" s="504">
        <f>'BH Tariffs'!R19*'P&amp;L - Concept C1 - Carnival'!S12</f>
        <v>953419.66933190764</v>
      </c>
      <c r="T76" s="504">
        <f>'BH Tariffs'!S19*'P&amp;L - Concept C1 - Carnival'!T12</f>
        <v>972488.06271854579</v>
      </c>
      <c r="U76" s="504">
        <f>'BH Tariffs'!T19*'P&amp;L - Concept C1 - Carnival'!U12</f>
        <v>991937.82397291681</v>
      </c>
      <c r="V76" s="504">
        <f>'BH Tariffs'!U19*'P&amp;L - Concept C1 - Carnival'!V12</f>
        <v>1011776.5804523751</v>
      </c>
      <c r="W76" s="504">
        <f>'BH Tariffs'!V19*'P&amp;L - Concept C1 - Carnival'!W12</f>
        <v>1032012.1120614228</v>
      </c>
      <c r="X76" s="504">
        <f>'BH Tariffs'!W19*'P&amp;L - Concept C1 - Carnival'!X12</f>
        <v>1052652.3543026512</v>
      </c>
      <c r="Y76" s="413">
        <f>SUM(D76:X76)</f>
        <v>16834049.347203407</v>
      </c>
    </row>
    <row r="77" spans="1:25" s="341" customFormat="1">
      <c r="A77" s="353" t="str">
        <f>'BH Tariffs'!A21</f>
        <v>CBP Infastructure Fee (Ferry Property Only)</v>
      </c>
      <c r="B77" s="355"/>
      <c r="C77" s="355"/>
      <c r="D77" s="548">
        <v>0</v>
      </c>
      <c r="E77" s="503">
        <v>0</v>
      </c>
      <c r="F77" s="503">
        <v>0</v>
      </c>
      <c r="G77" s="503">
        <v>0</v>
      </c>
      <c r="H77" s="503">
        <v>0</v>
      </c>
      <c r="I77" s="503">
        <v>0</v>
      </c>
      <c r="J77" s="503">
        <v>0</v>
      </c>
      <c r="K77" s="503">
        <v>0</v>
      </c>
      <c r="L77" s="503">
        <v>0</v>
      </c>
      <c r="M77" s="503">
        <v>0</v>
      </c>
      <c r="N77" s="503">
        <v>0</v>
      </c>
      <c r="O77" s="503">
        <v>0</v>
      </c>
      <c r="P77" s="503">
        <v>0</v>
      </c>
      <c r="Q77" s="503">
        <v>0</v>
      </c>
      <c r="R77" s="503">
        <v>0</v>
      </c>
      <c r="S77" s="503">
        <v>0</v>
      </c>
      <c r="T77" s="503">
        <v>0</v>
      </c>
      <c r="U77" s="503">
        <v>0</v>
      </c>
      <c r="V77" s="503">
        <v>0</v>
      </c>
      <c r="W77" s="503">
        <v>0</v>
      </c>
      <c r="X77" s="503">
        <v>0</v>
      </c>
      <c r="Y77" s="413"/>
    </row>
    <row r="78" spans="1:25" s="96" customFormat="1">
      <c r="A78" s="90" t="str">
        <f>'BH Tariffs'!A22</f>
        <v>Infrastructure Fee</v>
      </c>
      <c r="B78" s="356"/>
      <c r="C78" s="356"/>
      <c r="D78" s="502">
        <v>0</v>
      </c>
      <c r="E78" s="504">
        <v>0</v>
      </c>
      <c r="F78" s="504">
        <f>'BH Tariffs'!E22*'Cruise Projections'!V97</f>
        <v>522936.74160000001</v>
      </c>
      <c r="G78" s="504">
        <f>'BH Tariffs'!F22*'Cruise Projections'!W97</f>
        <v>533395.47643200005</v>
      </c>
      <c r="H78" s="504">
        <f>'BH Tariffs'!G22*'Cruise Projections'!X97</f>
        <v>544063.38596063992</v>
      </c>
      <c r="I78" s="504">
        <f>'BH Tariffs'!H22*'Cruise Projections'!Y97</f>
        <v>554944.65367985272</v>
      </c>
      <c r="J78" s="504">
        <f>'BH Tariffs'!I22*'Cruise Projections'!Z97</f>
        <v>566043.54675344983</v>
      </c>
      <c r="K78" s="504">
        <f>'BH Tariffs'!J22*'Cruise Projections'!AA97</f>
        <v>577364.41768851888</v>
      </c>
      <c r="L78" s="504">
        <f>'BH Tariffs'!K22*'Cruise Projections'!AB97</f>
        <v>588911.70604228915</v>
      </c>
      <c r="M78" s="504">
        <f>'BH Tariffs'!L22*'Cruise Projections'!AC97</f>
        <v>600689.94016313506</v>
      </c>
      <c r="N78" s="504">
        <f>'BH Tariffs'!M22*'Cruise Projections'!AD97</f>
        <v>612703.73896639771</v>
      </c>
      <c r="O78" s="504">
        <f>'BH Tariffs'!N22*'Cruise Projections'!AE97</f>
        <v>624957.81374572578</v>
      </c>
      <c r="P78" s="504">
        <f>'BH Tariffs'!O22*'Cruise Projections'!AF97</f>
        <v>637456.97002064029</v>
      </c>
      <c r="Q78" s="504">
        <f>'BH Tariffs'!P22*'Cruise Projections'!AG97</f>
        <v>650206.10942105309</v>
      </c>
      <c r="R78" s="504">
        <f>'BH Tariffs'!Q22*'Cruise Projections'!AH97</f>
        <v>663210.23160947405</v>
      </c>
      <c r="S78" s="504">
        <f>'BH Tariffs'!R22*'Cruise Projections'!AI97</f>
        <v>676474.43624166364</v>
      </c>
      <c r="T78" s="504">
        <f>'BH Tariffs'!S22*'Cruise Projections'!AJ97</f>
        <v>690003.924966497</v>
      </c>
      <c r="U78" s="504">
        <f>'BH Tariffs'!T22*'Cruise Projections'!AK97</f>
        <v>703804.00346582686</v>
      </c>
      <c r="V78" s="504">
        <f>'BH Tariffs'!U22*'Cruise Projections'!AL97</f>
        <v>717880.08353514341</v>
      </c>
      <c r="W78" s="504">
        <f>'BH Tariffs'!V22*'Cruise Projections'!AM97</f>
        <v>732237.68520584644</v>
      </c>
      <c r="X78" s="504">
        <f>'BH Tariffs'!W22*'Cruise Projections'!AN97</f>
        <v>746882.43890996324</v>
      </c>
      <c r="Y78" s="413">
        <f t="shared" ref="Y78" si="10">SUM(D78:X78)</f>
        <v>11944167.30440812</v>
      </c>
    </row>
    <row r="79" spans="1:25">
      <c r="A79" s="90"/>
      <c r="B79" s="89"/>
      <c r="C79" s="89"/>
      <c r="D79" s="502"/>
      <c r="E79" s="504"/>
      <c r="F79" s="504"/>
      <c r="G79" s="504"/>
      <c r="H79" s="504"/>
      <c r="I79" s="504"/>
      <c r="J79" s="504"/>
      <c r="K79" s="504"/>
      <c r="L79" s="504"/>
      <c r="M79" s="504"/>
      <c r="N79" s="504"/>
      <c r="O79" s="504"/>
      <c r="P79" s="504"/>
      <c r="Q79" s="504"/>
      <c r="R79" s="504"/>
      <c r="S79" s="504"/>
      <c r="T79" s="504"/>
      <c r="U79" s="504"/>
      <c r="V79" s="504"/>
      <c r="W79" s="504"/>
      <c r="X79" s="504"/>
      <c r="Y79" s="413"/>
    </row>
    <row r="80" spans="1:25">
      <c r="A80" s="91" t="s">
        <v>163</v>
      </c>
      <c r="B80" s="30"/>
      <c r="C80" s="89"/>
      <c r="D80" s="502"/>
      <c r="E80" s="504"/>
      <c r="F80" s="504"/>
      <c r="G80" s="504"/>
      <c r="H80" s="504"/>
      <c r="I80" s="504"/>
      <c r="J80" s="504"/>
      <c r="K80" s="504"/>
      <c r="L80" s="504"/>
      <c r="M80" s="504"/>
      <c r="N80" s="504"/>
      <c r="O80" s="504"/>
      <c r="P80" s="504"/>
      <c r="Q80" s="504"/>
      <c r="R80" s="504"/>
      <c r="S80" s="504"/>
      <c r="T80" s="504"/>
      <c r="U80" s="504"/>
      <c r="V80" s="504"/>
      <c r="W80" s="504"/>
      <c r="X80" s="504"/>
    </row>
    <row r="81" spans="1:25">
      <c r="A81" s="88" t="str">
        <f>'BH Tariffs'!A25</f>
        <v>Dock Rent (12 months)</v>
      </c>
      <c r="B81" s="30"/>
      <c r="C81" s="89"/>
      <c r="D81" s="502">
        <v>0</v>
      </c>
      <c r="E81" s="504">
        <f>'BH Tariffs'!D25*12</f>
        <v>69000</v>
      </c>
      <c r="F81" s="504">
        <f>'BH Tariffs'!E25*12</f>
        <v>69000</v>
      </c>
      <c r="G81" s="504">
        <f>'BH Tariffs'!F25*12</f>
        <v>69000</v>
      </c>
      <c r="H81" s="504">
        <f>'BH Tariffs'!G25*12</f>
        <v>70380</v>
      </c>
      <c r="I81" s="504">
        <f>'BH Tariffs'!H25*12</f>
        <v>71787.600000000006</v>
      </c>
      <c r="J81" s="504">
        <f>'BH Tariffs'!I25*12</f>
        <v>73223.351999999999</v>
      </c>
      <c r="K81" s="504">
        <f>'BH Tariffs'!J25*12</f>
        <v>74687.819040000002</v>
      </c>
      <c r="L81" s="504">
        <f>'BH Tariffs'!K25*12</f>
        <v>76181.5754208</v>
      </c>
      <c r="M81" s="504">
        <f>'BH Tariffs'!L25*12</f>
        <v>77705.206929216016</v>
      </c>
      <c r="N81" s="504">
        <f>'BH Tariffs'!M25*12</f>
        <v>79259.311067800329</v>
      </c>
      <c r="O81" s="504">
        <f>'BH Tariffs'!N25*12</f>
        <v>80844.497289156338</v>
      </c>
      <c r="P81" s="504">
        <f>'BH Tariffs'!O25*12</f>
        <v>82461.387234939466</v>
      </c>
      <c r="Q81" s="504">
        <f>'BH Tariffs'!P25*12</f>
        <v>84110.614979638252</v>
      </c>
      <c r="R81" s="504">
        <f>'BH Tariffs'!Q25*12</f>
        <v>85792.827279231016</v>
      </c>
      <c r="S81" s="504">
        <f>'BH Tariffs'!R25*12</f>
        <v>87508.683824815642</v>
      </c>
      <c r="T81" s="504">
        <f>'BH Tariffs'!S25*12</f>
        <v>89258.857501311941</v>
      </c>
      <c r="U81" s="504">
        <f>'BH Tariffs'!T25*12</f>
        <v>91044.034651338196</v>
      </c>
      <c r="V81" s="504">
        <f>'BH Tariffs'!U25*12</f>
        <v>92864.91534436497</v>
      </c>
      <c r="W81" s="504">
        <f>'BH Tariffs'!V25*12</f>
        <v>94722.21365125227</v>
      </c>
      <c r="X81" s="504">
        <f>'BH Tariffs'!W25*12</f>
        <v>96616.657924277315</v>
      </c>
    </row>
    <row r="82" spans="1:25">
      <c r="A82" s="88" t="str">
        <f>'BH Tariffs'!A26</f>
        <v>Ferry Passenger Wharfage</v>
      </c>
      <c r="B82" s="30"/>
      <c r="C82" s="89"/>
      <c r="D82" s="502">
        <v>0</v>
      </c>
      <c r="E82" s="504">
        <f>'BH Tariffs'!D26*E18</f>
        <v>120000</v>
      </c>
      <c r="F82" s="504">
        <f>'BH Tariffs'!E26*F18</f>
        <v>140000</v>
      </c>
      <c r="G82" s="504">
        <f>'BH Tariffs'!F26*G18</f>
        <v>160000</v>
      </c>
      <c r="H82" s="504">
        <f>'BH Tariffs'!G26*H18</f>
        <v>163200</v>
      </c>
      <c r="I82" s="504">
        <f>'BH Tariffs'!H26*I18</f>
        <v>166464</v>
      </c>
      <c r="J82" s="504">
        <f>'BH Tariffs'!I26*J18</f>
        <v>169793.28</v>
      </c>
      <c r="K82" s="504">
        <f>'BH Tariffs'!J26*K18</f>
        <v>173189.14559999999</v>
      </c>
      <c r="L82" s="504">
        <f>'BH Tariffs'!K26*L18</f>
        <v>176652.92851200001</v>
      </c>
      <c r="M82" s="504">
        <f>'BH Tariffs'!L26*M18</f>
        <v>180185.98708224</v>
      </c>
      <c r="N82" s="504">
        <f>'BH Tariffs'!M26*N18</f>
        <v>183789.7068238848</v>
      </c>
      <c r="O82" s="504">
        <f>'BH Tariffs'!N26*O18</f>
        <v>187465.50096036252</v>
      </c>
      <c r="P82" s="504">
        <f>'BH Tariffs'!O26*P18</f>
        <v>191214.81097956977</v>
      </c>
      <c r="Q82" s="504">
        <f>'BH Tariffs'!P26*Q18</f>
        <v>195039.10719916117</v>
      </c>
      <c r="R82" s="504">
        <f>'BH Tariffs'!Q26*R18</f>
        <v>198939.8893431444</v>
      </c>
      <c r="S82" s="504">
        <f>'BH Tariffs'!R26*S18</f>
        <v>202918.68713000728</v>
      </c>
      <c r="T82" s="504">
        <f>'BH Tariffs'!S26*T18</f>
        <v>206977.0608726074</v>
      </c>
      <c r="U82" s="504">
        <f>'BH Tariffs'!T26*U18</f>
        <v>211116.60209005958</v>
      </c>
      <c r="V82" s="504">
        <f>'BH Tariffs'!U26*V18</f>
        <v>215338.93413186079</v>
      </c>
      <c r="W82" s="504">
        <f>'BH Tariffs'!V26*W18</f>
        <v>219645.71281449799</v>
      </c>
      <c r="X82" s="504">
        <f>'BH Tariffs'!W26*X18</f>
        <v>224038.62707078797</v>
      </c>
    </row>
    <row r="83" spans="1:25">
      <c r="A83" s="88" t="str">
        <f>'BH Tariffs'!A27</f>
        <v>Ferry Passenger Vehicle Wharfage</v>
      </c>
      <c r="B83" s="30"/>
      <c r="C83" s="89"/>
      <c r="D83" s="502">
        <v>0</v>
      </c>
      <c r="E83" s="504">
        <f>'BH Tariffs'!D27*E19</f>
        <v>72000</v>
      </c>
      <c r="F83" s="504">
        <f>'BH Tariffs'!E27*F19</f>
        <v>84000</v>
      </c>
      <c r="G83" s="504">
        <f>'BH Tariffs'!F27*G19</f>
        <v>96000</v>
      </c>
      <c r="H83" s="504">
        <f>'BH Tariffs'!G27*H19</f>
        <v>97920</v>
      </c>
      <c r="I83" s="504">
        <f>'BH Tariffs'!H27*I19</f>
        <v>99878.399999999994</v>
      </c>
      <c r="J83" s="504">
        <f>'BH Tariffs'!I27*J19</f>
        <v>101875.96799999999</v>
      </c>
      <c r="K83" s="504">
        <f>'BH Tariffs'!J27*K19</f>
        <v>103913.48736</v>
      </c>
      <c r="L83" s="504">
        <f>'BH Tariffs'!K27*L19</f>
        <v>105991.7571072</v>
      </c>
      <c r="M83" s="504">
        <f>'BH Tariffs'!L27*M19</f>
        <v>108111.592249344</v>
      </c>
      <c r="N83" s="504">
        <f>'BH Tariffs'!M27*N19</f>
        <v>110273.82409433088</v>
      </c>
      <c r="O83" s="504">
        <f>'BH Tariffs'!N27*O19</f>
        <v>112479.30057621752</v>
      </c>
      <c r="P83" s="504">
        <f>'BH Tariffs'!O27*P19</f>
        <v>114728.88658774187</v>
      </c>
      <c r="Q83" s="504">
        <f>'BH Tariffs'!P27*Q19</f>
        <v>117023.46431949669</v>
      </c>
      <c r="R83" s="504">
        <f>'BH Tariffs'!Q27*R19</f>
        <v>119363.93360588665</v>
      </c>
      <c r="S83" s="504">
        <f>'BH Tariffs'!R27*S19</f>
        <v>121751.21227800437</v>
      </c>
      <c r="T83" s="504">
        <f>'BH Tariffs'!S27*T19</f>
        <v>124186.23652356444</v>
      </c>
      <c r="U83" s="504">
        <f>'BH Tariffs'!T27*U19</f>
        <v>126669.96125403573</v>
      </c>
      <c r="V83" s="504">
        <f>'BH Tariffs'!U27*V19</f>
        <v>129203.36047911647</v>
      </c>
      <c r="W83" s="504">
        <f>'BH Tariffs'!V27*W19</f>
        <v>131787.42768869881</v>
      </c>
      <c r="X83" s="504">
        <f>'BH Tariffs'!W27*X19</f>
        <v>134423.17624247278</v>
      </c>
    </row>
    <row r="84" spans="1:25">
      <c r="A84" s="88" t="str">
        <f>'BH Tariffs'!A28</f>
        <v>Ferry Bus Wharfage</v>
      </c>
      <c r="B84" s="30"/>
      <c r="C84" s="89"/>
      <c r="D84" s="502">
        <v>0</v>
      </c>
      <c r="E84" s="504">
        <f>'BH Tariffs'!D28*'P&amp;L - Concept C1 - Carnival'!E20</f>
        <v>800</v>
      </c>
      <c r="F84" s="504">
        <f>'BH Tariffs'!E28*'P&amp;L - Concept C1 - Carnival'!F20</f>
        <v>1000</v>
      </c>
      <c r="G84" s="504">
        <f>'BH Tariffs'!F28*'P&amp;L - Concept C1 - Carnival'!G20</f>
        <v>1200</v>
      </c>
      <c r="H84" s="504">
        <f>'BH Tariffs'!G28*'P&amp;L - Concept C1 - Carnival'!H20</f>
        <v>1224</v>
      </c>
      <c r="I84" s="504">
        <f>'BH Tariffs'!H28*'P&amp;L - Concept C1 - Carnival'!I20</f>
        <v>1248.48</v>
      </c>
      <c r="J84" s="504">
        <f>'BH Tariffs'!I28*'P&amp;L - Concept C1 - Carnival'!J20</f>
        <v>1273.4495999999999</v>
      </c>
      <c r="K84" s="504">
        <f>'BH Tariffs'!J28*'P&amp;L - Concept C1 - Carnival'!K20</f>
        <v>1298.918592</v>
      </c>
      <c r="L84" s="504">
        <f>'BH Tariffs'!K28*'P&amp;L - Concept C1 - Carnival'!L20</f>
        <v>1324.8969638400001</v>
      </c>
      <c r="M84" s="504">
        <f>'BH Tariffs'!L28*'P&amp;L - Concept C1 - Carnival'!M20</f>
        <v>1351.3949031168002</v>
      </c>
      <c r="N84" s="504">
        <f>'BH Tariffs'!M28*'P&amp;L - Concept C1 - Carnival'!N20</f>
        <v>1378.4228011791361</v>
      </c>
      <c r="O84" s="504">
        <f>'BH Tariffs'!N28*'P&amp;L - Concept C1 - Carnival'!O20</f>
        <v>1405.991257202719</v>
      </c>
      <c r="P84" s="504">
        <f>'BH Tariffs'!O28*'P&amp;L - Concept C1 - Carnival'!P20</f>
        <v>1434.1110823467732</v>
      </c>
      <c r="Q84" s="504">
        <f>'BH Tariffs'!P28*'P&amp;L - Concept C1 - Carnival'!Q20</f>
        <v>1462.7933039937088</v>
      </c>
      <c r="R84" s="504">
        <f>'BH Tariffs'!Q28*'P&amp;L - Concept C1 - Carnival'!R20</f>
        <v>1492.0491700735829</v>
      </c>
      <c r="S84" s="504">
        <f>'BH Tariffs'!R28*'P&amp;L - Concept C1 - Carnival'!S20</f>
        <v>1521.8901534750546</v>
      </c>
      <c r="T84" s="504">
        <f>'BH Tariffs'!S28*'P&amp;L - Concept C1 - Carnival'!T20</f>
        <v>1552.3279565445555</v>
      </c>
      <c r="U84" s="504">
        <f>'BH Tariffs'!T28*'P&amp;L - Concept C1 - Carnival'!U20</f>
        <v>1583.3745156754469</v>
      </c>
      <c r="V84" s="504">
        <f>'BH Tariffs'!U28*'P&amp;L - Concept C1 - Carnival'!V20</f>
        <v>1615.0420059889559</v>
      </c>
      <c r="W84" s="504">
        <f>'BH Tariffs'!V28*'P&amp;L - Concept C1 - Carnival'!W20</f>
        <v>1647.3428461087349</v>
      </c>
      <c r="X84" s="504">
        <f>'BH Tariffs'!W28*'P&amp;L - Concept C1 - Carnival'!X20</f>
        <v>1680.2897030309098</v>
      </c>
    </row>
    <row r="85" spans="1:25" s="167" customFormat="1">
      <c r="A85" s="539" t="s">
        <v>592</v>
      </c>
      <c r="B85" s="609"/>
      <c r="C85" s="540"/>
      <c r="D85" s="541">
        <v>0</v>
      </c>
      <c r="E85" s="542">
        <v>-100000</v>
      </c>
      <c r="F85" s="542">
        <f>E85</f>
        <v>-100000</v>
      </c>
      <c r="G85" s="542">
        <f t="shared" ref="G85:X85" si="11">F85</f>
        <v>-100000</v>
      </c>
      <c r="H85" s="542">
        <f t="shared" si="11"/>
        <v>-100000</v>
      </c>
      <c r="I85" s="542">
        <f t="shared" si="11"/>
        <v>-100000</v>
      </c>
      <c r="J85" s="542">
        <f t="shared" si="11"/>
        <v>-100000</v>
      </c>
      <c r="K85" s="542">
        <f t="shared" si="11"/>
        <v>-100000</v>
      </c>
      <c r="L85" s="542">
        <f t="shared" si="11"/>
        <v>-100000</v>
      </c>
      <c r="M85" s="542">
        <f t="shared" si="11"/>
        <v>-100000</v>
      </c>
      <c r="N85" s="542">
        <f t="shared" si="11"/>
        <v>-100000</v>
      </c>
      <c r="O85" s="542">
        <f t="shared" si="11"/>
        <v>-100000</v>
      </c>
      <c r="P85" s="542">
        <f t="shared" si="11"/>
        <v>-100000</v>
      </c>
      <c r="Q85" s="542">
        <f t="shared" si="11"/>
        <v>-100000</v>
      </c>
      <c r="R85" s="542">
        <f t="shared" si="11"/>
        <v>-100000</v>
      </c>
      <c r="S85" s="542">
        <f t="shared" si="11"/>
        <v>-100000</v>
      </c>
      <c r="T85" s="542">
        <f t="shared" si="11"/>
        <v>-100000</v>
      </c>
      <c r="U85" s="542">
        <f t="shared" si="11"/>
        <v>-100000</v>
      </c>
      <c r="V85" s="542">
        <f t="shared" si="11"/>
        <v>-100000</v>
      </c>
      <c r="W85" s="542">
        <f t="shared" si="11"/>
        <v>-100000</v>
      </c>
      <c r="X85" s="542">
        <f t="shared" si="11"/>
        <v>-100000</v>
      </c>
    </row>
    <row r="86" spans="1:25">
      <c r="A86" s="88"/>
      <c r="B86" s="30"/>
      <c r="C86" s="89"/>
      <c r="D86" s="502"/>
      <c r="E86" s="504"/>
      <c r="F86" s="504"/>
      <c r="G86" s="504"/>
      <c r="H86" s="504"/>
      <c r="I86" s="504"/>
      <c r="J86" s="504"/>
      <c r="K86" s="504"/>
      <c r="L86" s="504"/>
      <c r="M86" s="504"/>
      <c r="N86" s="504"/>
      <c r="O86" s="504"/>
      <c r="P86" s="504"/>
      <c r="Q86" s="504"/>
      <c r="R86" s="504"/>
      <c r="S86" s="504"/>
      <c r="T86" s="504"/>
      <c r="U86" s="504"/>
      <c r="V86" s="504"/>
      <c r="W86" s="504"/>
      <c r="X86" s="504"/>
    </row>
    <row r="87" spans="1:25" s="96" customFormat="1">
      <c r="A87" s="605" t="s">
        <v>164</v>
      </c>
      <c r="B87" s="606"/>
      <c r="C87" s="356"/>
      <c r="D87" s="502"/>
      <c r="E87" s="504"/>
      <c r="F87" s="504"/>
      <c r="G87" s="504"/>
      <c r="H87" s="504"/>
      <c r="I87" s="504"/>
      <c r="J87" s="504"/>
      <c r="K87" s="504"/>
      <c r="L87" s="504"/>
      <c r="M87" s="504"/>
      <c r="N87" s="504"/>
      <c r="O87" s="504"/>
      <c r="P87" s="504"/>
      <c r="Q87" s="504"/>
      <c r="R87" s="504"/>
      <c r="S87" s="504"/>
      <c r="T87" s="504"/>
      <c r="U87" s="504"/>
      <c r="V87" s="504"/>
      <c r="W87" s="504"/>
      <c r="X87" s="504"/>
    </row>
    <row r="88" spans="1:25" s="96" customFormat="1">
      <c r="A88" s="90" t="str">
        <f>'BH Tariffs'!A31</f>
        <v>Dock Rent (6 Months Only)</v>
      </c>
      <c r="B88" s="606"/>
      <c r="C88" s="356"/>
      <c r="D88" s="502">
        <v>0</v>
      </c>
      <c r="E88" s="504">
        <v>0</v>
      </c>
      <c r="F88" s="504">
        <f>'BH Tariffs'!E31*6</f>
        <v>12240</v>
      </c>
      <c r="G88" s="504">
        <f>'BH Tariffs'!F31*6</f>
        <v>12484.800000000001</v>
      </c>
      <c r="H88" s="504">
        <f>'BH Tariffs'!G31*6</f>
        <v>12734.495999999999</v>
      </c>
      <c r="I88" s="504">
        <f>'BH Tariffs'!H31*6</f>
        <v>12989.18592</v>
      </c>
      <c r="J88" s="504">
        <f>'BH Tariffs'!I31*6</f>
        <v>13248.9696384</v>
      </c>
      <c r="K88" s="504">
        <f>'BH Tariffs'!J31*6</f>
        <v>13513.949031168002</v>
      </c>
      <c r="L88" s="504">
        <f>'BH Tariffs'!K31*6</f>
        <v>13784.228011791361</v>
      </c>
      <c r="M88" s="504">
        <f>'BH Tariffs'!L31*6</f>
        <v>14059.912572027188</v>
      </c>
      <c r="N88" s="504">
        <f>'BH Tariffs'!M31*6</f>
        <v>14341.110823467734</v>
      </c>
      <c r="O88" s="504">
        <f>'BH Tariffs'!N31*6</f>
        <v>14627.933039937088</v>
      </c>
      <c r="P88" s="504">
        <f>'BH Tariffs'!O31*6</f>
        <v>14920.491700735829</v>
      </c>
      <c r="Q88" s="504">
        <f>'BH Tariffs'!P31*6</f>
        <v>15218.901534750545</v>
      </c>
      <c r="R88" s="504">
        <f>'BH Tariffs'!Q31*6</f>
        <v>15523.279565445555</v>
      </c>
      <c r="S88" s="504">
        <f>'BH Tariffs'!R31*6</f>
        <v>15833.745156754467</v>
      </c>
      <c r="T88" s="504">
        <f>'BH Tariffs'!S31*6</f>
        <v>16150.420059889559</v>
      </c>
      <c r="U88" s="504">
        <f>'BH Tariffs'!T31*6</f>
        <v>16473.428461087351</v>
      </c>
      <c r="V88" s="504">
        <f>'BH Tariffs'!U31*6</f>
        <v>16802.897030309097</v>
      </c>
      <c r="W88" s="504">
        <f>'BH Tariffs'!V31*6</f>
        <v>17138.954970915282</v>
      </c>
      <c r="X88" s="504">
        <f>'BH Tariffs'!W31*6</f>
        <v>17481.734070333587</v>
      </c>
    </row>
    <row r="89" spans="1:25" s="96" customFormat="1">
      <c r="A89" s="90"/>
      <c r="B89" s="606"/>
      <c r="C89" s="356"/>
      <c r="D89" s="502"/>
      <c r="E89" s="504"/>
      <c r="F89" s="504"/>
      <c r="G89" s="504"/>
      <c r="H89" s="504"/>
      <c r="I89" s="504"/>
      <c r="J89" s="504"/>
      <c r="K89" s="504"/>
      <c r="L89" s="504"/>
      <c r="M89" s="504"/>
      <c r="N89" s="504"/>
      <c r="O89" s="504"/>
      <c r="P89" s="504"/>
      <c r="Q89" s="504"/>
      <c r="R89" s="504"/>
      <c r="S89" s="504"/>
      <c r="T89" s="504"/>
      <c r="U89" s="504"/>
      <c r="V89" s="504"/>
      <c r="W89" s="504"/>
      <c r="X89" s="504"/>
    </row>
    <row r="90" spans="1:25" s="582" customFormat="1" ht="14.25">
      <c r="A90" s="605" t="str">
        <f>'BH Tariffs'!A33</f>
        <v>Recreational/Commercial Marina</v>
      </c>
      <c r="B90" s="607"/>
      <c r="C90" s="608"/>
      <c r="D90" s="537"/>
      <c r="E90" s="538"/>
      <c r="F90" s="538"/>
      <c r="G90" s="538"/>
      <c r="H90" s="538"/>
      <c r="I90" s="538"/>
      <c r="J90" s="538"/>
      <c r="K90" s="538"/>
      <c r="L90" s="538"/>
      <c r="M90" s="538"/>
      <c r="N90" s="538"/>
      <c r="O90" s="538"/>
      <c r="P90" s="538"/>
      <c r="Q90" s="538"/>
      <c r="R90" s="538"/>
      <c r="S90" s="538"/>
      <c r="T90" s="538"/>
      <c r="U90" s="538"/>
      <c r="V90" s="538"/>
      <c r="W90" s="538"/>
      <c r="X90" s="538"/>
    </row>
    <row r="91" spans="1:25" s="96" customFormat="1">
      <c r="A91" s="90" t="str">
        <f>'BH Tariffs'!A34</f>
        <v>Transient Slip Rent</v>
      </c>
      <c r="B91" s="606"/>
      <c r="C91" s="356"/>
      <c r="D91" s="502">
        <v>0</v>
      </c>
      <c r="E91" s="504">
        <v>0</v>
      </c>
      <c r="F91" s="504">
        <f>'BH Tariffs'!E34*'P&amp;L - Concept C1 - Carnival'!F57</f>
        <v>24370.791468749998</v>
      </c>
      <c r="G91" s="504">
        <f>'BH Tariffs'!F34*'P&amp;L - Concept C1 - Carnival'!G57</f>
        <v>24858.207298124998</v>
      </c>
      <c r="H91" s="504">
        <f>'BH Tariffs'!G34*'P&amp;L - Concept C1 - Carnival'!H57</f>
        <v>25355.371444087494</v>
      </c>
      <c r="I91" s="504">
        <f>'BH Tariffs'!H34*'P&amp;L - Concept C1 - Carnival'!I57</f>
        <v>25862.478872969248</v>
      </c>
      <c r="J91" s="504">
        <f>'BH Tariffs'!I34*'P&amp;L - Concept C1 - Carnival'!J57</f>
        <v>26379.728450428636</v>
      </c>
      <c r="K91" s="504">
        <f>'BH Tariffs'!J34*'P&amp;L - Concept C1 - Carnival'!K57</f>
        <v>26907.323019437208</v>
      </c>
      <c r="L91" s="504">
        <f>'BH Tariffs'!K34*'P&amp;L - Concept C1 - Carnival'!L57</f>
        <v>27445.469479825952</v>
      </c>
      <c r="M91" s="504">
        <f>'BH Tariffs'!L34*'P&amp;L - Concept C1 - Carnival'!M57</f>
        <v>27994.378869422475</v>
      </c>
      <c r="N91" s="504">
        <f>'BH Tariffs'!M34*'P&amp;L - Concept C1 - Carnival'!N57</f>
        <v>28554.266446810921</v>
      </c>
      <c r="O91" s="504">
        <f>'BH Tariffs'!N34*'P&amp;L - Concept C1 - Carnival'!O57</f>
        <v>29125.351775747142</v>
      </c>
      <c r="P91" s="504">
        <f>'BH Tariffs'!O34*'P&amp;L - Concept C1 - Carnival'!P57</f>
        <v>29707.858811262082</v>
      </c>
      <c r="Q91" s="504">
        <f>'BH Tariffs'!P34*'P&amp;L - Concept C1 - Carnival'!Q57</f>
        <v>30302.015987487324</v>
      </c>
      <c r="R91" s="504">
        <f>'BH Tariffs'!Q34*'P&amp;L - Concept C1 - Carnival'!R57</f>
        <v>30908.056307237068</v>
      </c>
      <c r="S91" s="504">
        <f>'BH Tariffs'!R34*'P&amp;L - Concept C1 - Carnival'!S57</f>
        <v>31526.217433381815</v>
      </c>
      <c r="T91" s="504">
        <f>'BH Tariffs'!S34*'P&amp;L - Concept C1 - Carnival'!T57</f>
        <v>32156.741782049452</v>
      </c>
      <c r="U91" s="504">
        <f>'BH Tariffs'!T34*'P&amp;L - Concept C1 - Carnival'!U57</f>
        <v>32799.876617690439</v>
      </c>
      <c r="V91" s="504">
        <f>'BH Tariffs'!U34*'P&amp;L - Concept C1 - Carnival'!V57</f>
        <v>33455.874150044256</v>
      </c>
      <c r="W91" s="504">
        <f>'BH Tariffs'!V34*'P&amp;L - Concept C1 - Carnival'!W57</f>
        <v>34124.991633045138</v>
      </c>
      <c r="X91" s="504">
        <f>'BH Tariffs'!W34*'P&amp;L - Concept C1 - Carnival'!X57</f>
        <v>34807.491465706036</v>
      </c>
    </row>
    <row r="92" spans="1:25" s="96" customFormat="1">
      <c r="A92" s="90" t="s">
        <v>280</v>
      </c>
      <c r="B92" s="606"/>
      <c r="C92" s="356"/>
      <c r="D92" s="502">
        <v>0</v>
      </c>
      <c r="E92" s="504">
        <v>0</v>
      </c>
      <c r="F92" s="504">
        <f>'BH Tariffs'!E35*'P&amp;L - Concept C1 - Carnival'!F58</f>
        <v>38459.610000000008</v>
      </c>
      <c r="G92" s="504">
        <f>'BH Tariffs'!F35*'P&amp;L - Concept C1 - Carnival'!G58</f>
        <v>39228.802200000006</v>
      </c>
      <c r="H92" s="504">
        <f>'BH Tariffs'!G35*'P&amp;L - Concept C1 - Carnival'!H58</f>
        <v>40013.378244</v>
      </c>
      <c r="I92" s="504">
        <f>'BH Tariffs'!H35*'P&amp;L - Concept C1 - Carnival'!I58</f>
        <v>40813.645808879999</v>
      </c>
      <c r="J92" s="504">
        <f>'BH Tariffs'!I35*'P&amp;L - Concept C1 - Carnival'!J58</f>
        <v>41629.9187250576</v>
      </c>
      <c r="K92" s="504">
        <f>'BH Tariffs'!J35*'P&amp;L - Concept C1 - Carnival'!K58</f>
        <v>42462.517099558754</v>
      </c>
      <c r="L92" s="504">
        <f>'BH Tariffs'!K35*'P&amp;L - Concept C1 - Carnival'!L58</f>
        <v>43311.767441549935</v>
      </c>
      <c r="M92" s="504">
        <f>'BH Tariffs'!L35*'P&amp;L - Concept C1 - Carnival'!M58</f>
        <v>44178.002790380931</v>
      </c>
      <c r="N92" s="504">
        <f>'BH Tariffs'!M35*'P&amp;L - Concept C1 - Carnival'!N58</f>
        <v>45061.56284618855</v>
      </c>
      <c r="O92" s="504">
        <f>'BH Tariffs'!N35*'P&amp;L - Concept C1 - Carnival'!O58</f>
        <v>45962.794103112326</v>
      </c>
      <c r="P92" s="504">
        <f>'BH Tariffs'!O35*'P&amp;L - Concept C1 - Carnival'!P58</f>
        <v>46882.04998517457</v>
      </c>
      <c r="Q92" s="504">
        <f>'BH Tariffs'!P35*'P&amp;L - Concept C1 - Carnival'!Q58</f>
        <v>47819.690984878056</v>
      </c>
      <c r="R92" s="504">
        <f>'BH Tariffs'!Q35*'P&amp;L - Concept C1 - Carnival'!R58</f>
        <v>48776.084804575621</v>
      </c>
      <c r="S92" s="504">
        <f>'BH Tariffs'!R35*'P&amp;L - Concept C1 - Carnival'!S58</f>
        <v>49751.606500667134</v>
      </c>
      <c r="T92" s="504">
        <f>'BH Tariffs'!S35*'P&amp;L - Concept C1 - Carnival'!T58</f>
        <v>50746.638630680485</v>
      </c>
      <c r="U92" s="504">
        <f>'BH Tariffs'!T35*'P&amp;L - Concept C1 - Carnival'!U58</f>
        <v>51761.571403294096</v>
      </c>
      <c r="V92" s="504">
        <f>'BH Tariffs'!U35*'P&amp;L - Concept C1 - Carnival'!V58</f>
        <v>52796.802831359972</v>
      </c>
      <c r="W92" s="504">
        <f>'BH Tariffs'!V35*'P&amp;L - Concept C1 - Carnival'!W58</f>
        <v>53852.738887987187</v>
      </c>
      <c r="X92" s="504">
        <f>'BH Tariffs'!W35*'P&amp;L - Concept C1 - Carnival'!X58</f>
        <v>54929.793665746925</v>
      </c>
    </row>
    <row r="93" spans="1:25" s="167" customFormat="1">
      <c r="A93" s="539" t="str">
        <f>'BH Tariffs'!A36</f>
        <v>Water/Sewer</v>
      </c>
      <c r="B93" s="609"/>
      <c r="C93" s="540"/>
      <c r="D93" s="541">
        <v>0</v>
      </c>
      <c r="E93" s="542">
        <v>0</v>
      </c>
      <c r="F93" s="542">
        <v>0</v>
      </c>
      <c r="G93" s="542">
        <v>0</v>
      </c>
      <c r="H93" s="542">
        <v>0</v>
      </c>
      <c r="I93" s="542">
        <v>0</v>
      </c>
      <c r="J93" s="542">
        <v>0</v>
      </c>
      <c r="K93" s="542">
        <v>0</v>
      </c>
      <c r="L93" s="542">
        <v>0</v>
      </c>
      <c r="M93" s="542">
        <v>0</v>
      </c>
      <c r="N93" s="542">
        <v>0</v>
      </c>
      <c r="O93" s="542">
        <v>0</v>
      </c>
      <c r="P93" s="542">
        <v>0</v>
      </c>
      <c r="Q93" s="542">
        <v>0</v>
      </c>
      <c r="R93" s="542">
        <v>0</v>
      </c>
      <c r="S93" s="542">
        <v>0</v>
      </c>
      <c r="T93" s="542">
        <v>0</v>
      </c>
      <c r="U93" s="542">
        <v>0</v>
      </c>
      <c r="V93" s="542">
        <v>0</v>
      </c>
      <c r="W93" s="542">
        <v>0</v>
      </c>
      <c r="X93" s="542">
        <v>0</v>
      </c>
      <c r="Y93" s="167" t="s">
        <v>282</v>
      </c>
    </row>
    <row r="94" spans="1:25" s="167" customFormat="1">
      <c r="A94" s="539" t="str">
        <f>'BH Tariffs'!A37</f>
        <v xml:space="preserve">Power (Electricity) </v>
      </c>
      <c r="B94" s="609"/>
      <c r="C94" s="540"/>
      <c r="D94" s="541">
        <v>0</v>
      </c>
      <c r="E94" s="542">
        <v>0</v>
      </c>
      <c r="F94" s="542">
        <v>0</v>
      </c>
      <c r="G94" s="542">
        <v>0</v>
      </c>
      <c r="H94" s="542">
        <v>0</v>
      </c>
      <c r="I94" s="542">
        <v>0</v>
      </c>
      <c r="J94" s="542">
        <v>0</v>
      </c>
      <c r="K94" s="542">
        <v>0</v>
      </c>
      <c r="L94" s="542">
        <v>0</v>
      </c>
      <c r="M94" s="542">
        <v>0</v>
      </c>
      <c r="N94" s="542">
        <v>0</v>
      </c>
      <c r="O94" s="542">
        <v>0</v>
      </c>
      <c r="P94" s="542">
        <v>0</v>
      </c>
      <c r="Q94" s="542">
        <v>0</v>
      </c>
      <c r="R94" s="542">
        <v>0</v>
      </c>
      <c r="S94" s="542">
        <v>0</v>
      </c>
      <c r="T94" s="542">
        <v>0</v>
      </c>
      <c r="U94" s="542">
        <v>0</v>
      </c>
      <c r="V94" s="542">
        <v>0</v>
      </c>
      <c r="W94" s="542">
        <v>0</v>
      </c>
      <c r="X94" s="542">
        <v>0</v>
      </c>
      <c r="Y94" s="167" t="s">
        <v>282</v>
      </c>
    </row>
    <row r="95" spans="1:25" s="96" customFormat="1">
      <c r="A95" s="90" t="s">
        <v>526</v>
      </c>
      <c r="B95" s="606"/>
      <c r="C95" s="356"/>
      <c r="D95" s="502">
        <v>0</v>
      </c>
      <c r="E95" s="504">
        <v>0</v>
      </c>
      <c r="F95" s="504">
        <f>'BH Tariffs'!E38*'P&amp;L - Concept C1 - Carnival'!F56</f>
        <v>7500</v>
      </c>
      <c r="G95" s="504">
        <f>'BH Tariffs'!F38*'P&amp;L - Concept C1 - Carnival'!G56</f>
        <v>7650</v>
      </c>
      <c r="H95" s="504">
        <f>'BH Tariffs'!G38*'P&amp;L - Concept C1 - Carnival'!H56</f>
        <v>7803</v>
      </c>
      <c r="I95" s="504">
        <f>'BH Tariffs'!H38*'P&amp;L - Concept C1 - Carnival'!I56</f>
        <v>7959.0599999999995</v>
      </c>
      <c r="J95" s="504">
        <f>'BH Tariffs'!I38*'P&amp;L - Concept C1 - Carnival'!J56</f>
        <v>8118.2411999999995</v>
      </c>
      <c r="K95" s="504">
        <f>'BH Tariffs'!J38*'P&amp;L - Concept C1 - Carnival'!K56</f>
        <v>8280.6060240000006</v>
      </c>
      <c r="L95" s="504">
        <f>'BH Tariffs'!K38*'P&amp;L - Concept C1 - Carnival'!L56</f>
        <v>8446.2181444800008</v>
      </c>
      <c r="M95" s="504">
        <f>'BH Tariffs'!L38*'P&amp;L - Concept C1 - Carnival'!M56</f>
        <v>8615.1425073696009</v>
      </c>
      <c r="N95" s="504">
        <f>'BH Tariffs'!M38*'P&amp;L - Concept C1 - Carnival'!N56</f>
        <v>8787.4453575169937</v>
      </c>
      <c r="O95" s="504">
        <f>'BH Tariffs'!N38*'P&amp;L - Concept C1 - Carnival'!O56</f>
        <v>8963.1942646673324</v>
      </c>
      <c r="P95" s="504">
        <f>'BH Tariffs'!O38*'P&amp;L - Concept C1 - Carnival'!P56</f>
        <v>9142.4581499606793</v>
      </c>
      <c r="Q95" s="504">
        <f>'BH Tariffs'!P38*'P&amp;L - Concept C1 - Carnival'!Q56</f>
        <v>9325.3073129598943</v>
      </c>
      <c r="R95" s="504">
        <f>'BH Tariffs'!Q38*'P&amp;L - Concept C1 - Carnival'!R56</f>
        <v>9511.8134592190909</v>
      </c>
      <c r="S95" s="504">
        <f>'BH Tariffs'!R38*'P&amp;L - Concept C1 - Carnival'!S56</f>
        <v>9702.0497284034718</v>
      </c>
      <c r="T95" s="504">
        <f>'BH Tariffs'!S38*'P&amp;L - Concept C1 - Carnival'!T56</f>
        <v>9896.0907229715431</v>
      </c>
      <c r="U95" s="504">
        <f>'BH Tariffs'!T38*'P&amp;L - Concept C1 - Carnival'!U56</f>
        <v>10094.012537430975</v>
      </c>
      <c r="V95" s="504">
        <f>'BH Tariffs'!U38*'P&amp;L - Concept C1 - Carnival'!V56</f>
        <v>10295.892788179593</v>
      </c>
      <c r="W95" s="504">
        <f>'BH Tariffs'!V38*'P&amp;L - Concept C1 - Carnival'!W56</f>
        <v>10501.810643943187</v>
      </c>
      <c r="X95" s="504">
        <f>'BH Tariffs'!W38*'P&amp;L - Concept C1 - Carnival'!X56</f>
        <v>10711.846856822051</v>
      </c>
    </row>
    <row r="96" spans="1:25">
      <c r="A96" s="88"/>
      <c r="B96" s="30"/>
      <c r="C96" s="89"/>
      <c r="D96" s="502"/>
      <c r="E96" s="504"/>
      <c r="F96" s="504"/>
      <c r="G96" s="504"/>
      <c r="H96" s="504"/>
      <c r="I96" s="504"/>
      <c r="J96" s="504"/>
      <c r="K96" s="504"/>
      <c r="L96" s="504"/>
      <c r="M96" s="504"/>
      <c r="N96" s="504"/>
      <c r="O96" s="504"/>
      <c r="P96" s="504"/>
      <c r="Q96" s="504"/>
      <c r="R96" s="504"/>
      <c r="S96" s="504"/>
      <c r="T96" s="504"/>
      <c r="U96" s="504"/>
      <c r="V96" s="504"/>
      <c r="W96" s="504"/>
      <c r="X96" s="504"/>
    </row>
    <row r="97" spans="1:24">
      <c r="A97" s="91" t="s">
        <v>26</v>
      </c>
      <c r="B97" s="30"/>
      <c r="C97" s="89"/>
      <c r="D97" s="502"/>
      <c r="E97" s="504"/>
      <c r="F97" s="504"/>
      <c r="G97" s="504"/>
      <c r="H97" s="504"/>
      <c r="I97" s="504"/>
      <c r="J97" s="504"/>
      <c r="K97" s="504"/>
      <c r="L97" s="504"/>
      <c r="M97" s="504"/>
      <c r="N97" s="504"/>
      <c r="O97" s="504"/>
      <c r="P97" s="504"/>
      <c r="Q97" s="504"/>
      <c r="R97" s="504"/>
      <c r="S97" s="504"/>
      <c r="T97" s="504"/>
      <c r="U97" s="504"/>
      <c r="V97" s="504"/>
      <c r="W97" s="504"/>
      <c r="X97" s="504"/>
    </row>
    <row r="98" spans="1:24" s="341" customFormat="1">
      <c r="A98" s="353" t="s">
        <v>214</v>
      </c>
      <c r="B98" s="354"/>
      <c r="C98" s="355"/>
      <c r="D98" s="548">
        <v>0</v>
      </c>
      <c r="E98" s="503">
        <v>0</v>
      </c>
      <c r="F98" s="503">
        <v>0</v>
      </c>
      <c r="G98" s="503">
        <v>0</v>
      </c>
      <c r="H98" s="503">
        <v>0</v>
      </c>
      <c r="I98" s="503">
        <v>0</v>
      </c>
      <c r="J98" s="503">
        <v>0</v>
      </c>
      <c r="K98" s="503">
        <v>0</v>
      </c>
      <c r="L98" s="503">
        <v>0</v>
      </c>
      <c r="M98" s="503">
        <v>0</v>
      </c>
      <c r="N98" s="503">
        <v>0</v>
      </c>
      <c r="O98" s="503">
        <v>0</v>
      </c>
      <c r="P98" s="503">
        <v>0</v>
      </c>
      <c r="Q98" s="503">
        <v>0</v>
      </c>
      <c r="R98" s="503">
        <v>0</v>
      </c>
      <c r="S98" s="503">
        <v>0</v>
      </c>
      <c r="T98" s="503">
        <v>0</v>
      </c>
      <c r="U98" s="503">
        <v>0</v>
      </c>
      <c r="V98" s="503">
        <v>0</v>
      </c>
      <c r="W98" s="503">
        <v>0</v>
      </c>
      <c r="X98" s="503">
        <v>0</v>
      </c>
    </row>
    <row r="99" spans="1:24">
      <c r="A99" s="88" t="s">
        <v>215</v>
      </c>
      <c r="B99" s="30"/>
      <c r="C99" s="89"/>
      <c r="D99" s="502">
        <v>0</v>
      </c>
      <c r="E99" s="504">
        <f>'BH Tariffs'!D43*'Parking Projections'!C90</f>
        <v>0</v>
      </c>
      <c r="F99" s="504">
        <f>'BH Tariffs'!E43*'Parking Projections'!D90</f>
        <v>0</v>
      </c>
      <c r="G99" s="504">
        <f>'BH Tariffs'!F43*'Parking Projections'!E90</f>
        <v>0</v>
      </c>
      <c r="H99" s="504">
        <f>'BH Tariffs'!G43*'Parking Projections'!F90</f>
        <v>0</v>
      </c>
      <c r="I99" s="504">
        <f>'BH Tariffs'!H43*'Parking Projections'!G90</f>
        <v>0</v>
      </c>
      <c r="J99" s="504">
        <f>'BH Tariffs'!I43*'Parking Projections'!H90</f>
        <v>216287.84722222219</v>
      </c>
      <c r="K99" s="504">
        <f>'BH Tariffs'!J43*'Parking Projections'!I90</f>
        <v>216287.84722222219</v>
      </c>
      <c r="L99" s="504">
        <f>'BH Tariffs'!K43*'Parking Projections'!J90</f>
        <v>216287.84722222219</v>
      </c>
      <c r="M99" s="504">
        <f>'BH Tariffs'!L43*'Parking Projections'!K90</f>
        <v>216287.84722222219</v>
      </c>
      <c r="N99" s="504">
        <f>'BH Tariffs'!M43*'Parking Projections'!L90</f>
        <v>216287.84722222219</v>
      </c>
      <c r="O99" s="504">
        <f>'BH Tariffs'!N43*'Parking Projections'!M90</f>
        <v>270359.80902777775</v>
      </c>
      <c r="P99" s="504">
        <f>'BH Tariffs'!O43*'Parking Projections'!N90</f>
        <v>270359.80902777775</v>
      </c>
      <c r="Q99" s="504">
        <f>'BH Tariffs'!P43*'Parking Projections'!O90</f>
        <v>270359.80902777775</v>
      </c>
      <c r="R99" s="504">
        <f>'BH Tariffs'!Q43*'Parking Projections'!P90</f>
        <v>270359.80902777775</v>
      </c>
      <c r="S99" s="504">
        <f>'BH Tariffs'!R43*'Parking Projections'!Q90</f>
        <v>270359.80902777775</v>
      </c>
      <c r="T99" s="504">
        <f>'BH Tariffs'!S43*'Parking Projections'!R90</f>
        <v>324431.77083333326</v>
      </c>
      <c r="U99" s="504">
        <f>'BH Tariffs'!T43*'Parking Projections'!S90</f>
        <v>324431.77083333326</v>
      </c>
      <c r="V99" s="504">
        <f>'BH Tariffs'!U43*'Parking Projections'!T90</f>
        <v>324431.77083333326</v>
      </c>
      <c r="W99" s="504">
        <f>'BH Tariffs'!V43*'Parking Projections'!U90</f>
        <v>324431.77083333326</v>
      </c>
      <c r="X99" s="504">
        <f>'BH Tariffs'!W43*'Parking Projections'!V90</f>
        <v>324431.77083333326</v>
      </c>
    </row>
    <row r="100" spans="1:24">
      <c r="A100" s="91"/>
      <c r="B100" s="30"/>
      <c r="C100" s="89"/>
      <c r="D100" s="502"/>
      <c r="E100" s="504"/>
      <c r="F100" s="504"/>
      <c r="G100" s="504"/>
      <c r="H100" s="504"/>
      <c r="I100" s="504"/>
      <c r="J100" s="504"/>
      <c r="K100" s="504"/>
      <c r="L100" s="504"/>
      <c r="M100" s="504"/>
      <c r="N100" s="504"/>
      <c r="O100" s="504"/>
      <c r="P100" s="504"/>
      <c r="Q100" s="504"/>
      <c r="R100" s="504"/>
      <c r="S100" s="504"/>
      <c r="T100" s="504"/>
      <c r="U100" s="504"/>
      <c r="V100" s="504"/>
      <c r="W100" s="504"/>
      <c r="X100" s="504"/>
    </row>
    <row r="101" spans="1:24">
      <c r="A101" s="91" t="s">
        <v>2</v>
      </c>
      <c r="B101" s="30"/>
      <c r="C101" s="89"/>
      <c r="D101" s="502"/>
      <c r="E101" s="504"/>
      <c r="F101" s="504"/>
      <c r="G101" s="504"/>
      <c r="H101" s="504"/>
      <c r="I101" s="504"/>
      <c r="J101" s="504"/>
      <c r="K101" s="504"/>
      <c r="L101" s="504"/>
      <c r="M101" s="504"/>
      <c r="N101" s="504"/>
      <c r="O101" s="504"/>
      <c r="P101" s="504"/>
      <c r="Q101" s="504"/>
      <c r="R101" s="504"/>
      <c r="S101" s="504"/>
      <c r="T101" s="504"/>
      <c r="U101" s="504"/>
      <c r="V101" s="504"/>
      <c r="W101" s="504"/>
      <c r="X101" s="504"/>
    </row>
    <row r="102" spans="1:24">
      <c r="A102" s="88" t="str">
        <f>'BH Tariffs'!A44</f>
        <v>Commerical Rent (Seasonal Kiosk(s)/Vendor(s))</v>
      </c>
      <c r="B102" s="30"/>
      <c r="C102" s="89"/>
      <c r="D102" s="502">
        <v>0</v>
      </c>
      <c r="E102" s="504">
        <f>'BH Tariffs'!D44*'P&amp;L - Concept C1 - Carnival'!E63</f>
        <v>0</v>
      </c>
      <c r="F102" s="504">
        <f>'BH Tariffs'!E44*'P&amp;L - Concept C1 - Carnival'!F63</f>
        <v>0</v>
      </c>
      <c r="G102" s="504">
        <f>'BH Tariffs'!F44*'P&amp;L - Concept C1 - Carnival'!G63*6</f>
        <v>6242.4000000000005</v>
      </c>
      <c r="H102" s="504">
        <f>'BH Tariffs'!G44*'P&amp;L - Concept C1 - Carnival'!H63*6</f>
        <v>6367.2479999999996</v>
      </c>
      <c r="I102" s="504">
        <f>'BH Tariffs'!H44*'P&amp;L - Concept C1 - Carnival'!I63*6</f>
        <v>6494.5929599999999</v>
      </c>
      <c r="J102" s="504">
        <f>'BH Tariffs'!I44*'P&amp;L - Concept C1 - Carnival'!J63*6</f>
        <v>6624.4848191999999</v>
      </c>
      <c r="K102" s="504">
        <f>'BH Tariffs'!J44*'P&amp;L - Concept C1 - Carnival'!K63*6</f>
        <v>6756.974515584001</v>
      </c>
      <c r="L102" s="504">
        <f>'BH Tariffs'!K44*'P&amp;L - Concept C1 - Carnival'!L63*6</f>
        <v>6892.1140058956807</v>
      </c>
      <c r="M102" s="504">
        <f>'BH Tariffs'!L44*'P&amp;L - Concept C1 - Carnival'!M63*6</f>
        <v>7029.9562860135939</v>
      </c>
      <c r="N102" s="504">
        <f>'BH Tariffs'!M44*'P&amp;L - Concept C1 - Carnival'!N63*6</f>
        <v>7170.555411733867</v>
      </c>
      <c r="O102" s="504">
        <f>'BH Tariffs'!N44*'P&amp;L - Concept C1 - Carnival'!O63*6</f>
        <v>7313.9665199685442</v>
      </c>
      <c r="P102" s="504">
        <f>'BH Tariffs'!O44*'P&amp;L - Concept C1 - Carnival'!P63*6</f>
        <v>7460.2458503679145</v>
      </c>
      <c r="Q102" s="504">
        <f>'BH Tariffs'!P44*'P&amp;L - Concept C1 - Carnival'!Q63*6</f>
        <v>7609.4507673752723</v>
      </c>
      <c r="R102" s="504">
        <f>'BH Tariffs'!Q44*'P&amp;L - Concept C1 - Carnival'!R63*6</f>
        <v>7761.6397827227775</v>
      </c>
      <c r="S102" s="504">
        <f>'BH Tariffs'!R44*'P&amp;L - Concept C1 - Carnival'!S63*6</f>
        <v>7916.8725783772334</v>
      </c>
      <c r="T102" s="504">
        <f>'BH Tariffs'!S44*'P&amp;L - Concept C1 - Carnival'!T63*6</f>
        <v>8075.2100299447793</v>
      </c>
      <c r="U102" s="504">
        <f>'BH Tariffs'!T44*'P&amp;L - Concept C1 - Carnival'!U63*6</f>
        <v>8236.7142305436755</v>
      </c>
      <c r="V102" s="504">
        <f>'BH Tariffs'!U44*'P&amp;L - Concept C1 - Carnival'!V63*6</f>
        <v>8401.4485151545487</v>
      </c>
      <c r="W102" s="504">
        <f>'BH Tariffs'!V44*'P&amp;L - Concept C1 - Carnival'!W63*6</f>
        <v>8569.4774854576408</v>
      </c>
      <c r="X102" s="504">
        <f>'BH Tariffs'!W44*'P&amp;L - Concept C1 - Carnival'!X63*6</f>
        <v>8740.8670351667934</v>
      </c>
    </row>
    <row r="103" spans="1:24" s="96" customFormat="1">
      <c r="A103" s="90" t="s">
        <v>541</v>
      </c>
      <c r="B103" s="606"/>
      <c r="C103" s="356"/>
      <c r="D103" s="502">
        <v>0</v>
      </c>
      <c r="E103" s="504">
        <v>0</v>
      </c>
      <c r="F103" s="504">
        <v>0</v>
      </c>
      <c r="G103" s="504">
        <f>G64*0.05</f>
        <v>10000</v>
      </c>
      <c r="H103" s="504">
        <f t="shared" ref="H103:X103" si="12">H64*0.05</f>
        <v>10000</v>
      </c>
      <c r="I103" s="504">
        <f t="shared" si="12"/>
        <v>10000</v>
      </c>
      <c r="J103" s="504">
        <f t="shared" si="12"/>
        <v>10000</v>
      </c>
      <c r="K103" s="504">
        <f t="shared" si="12"/>
        <v>10000</v>
      </c>
      <c r="L103" s="504">
        <f t="shared" si="12"/>
        <v>10000</v>
      </c>
      <c r="M103" s="504">
        <f t="shared" si="12"/>
        <v>10000</v>
      </c>
      <c r="N103" s="504">
        <f t="shared" si="12"/>
        <v>10000</v>
      </c>
      <c r="O103" s="504">
        <f t="shared" si="12"/>
        <v>10000</v>
      </c>
      <c r="P103" s="504">
        <f t="shared" si="12"/>
        <v>10000</v>
      </c>
      <c r="Q103" s="504">
        <f t="shared" si="12"/>
        <v>10000</v>
      </c>
      <c r="R103" s="504">
        <f t="shared" si="12"/>
        <v>10000</v>
      </c>
      <c r="S103" s="504">
        <f t="shared" si="12"/>
        <v>10000</v>
      </c>
      <c r="T103" s="504">
        <f t="shared" si="12"/>
        <v>10000</v>
      </c>
      <c r="U103" s="504">
        <f t="shared" si="12"/>
        <v>10000</v>
      </c>
      <c r="V103" s="504">
        <f t="shared" si="12"/>
        <v>10000</v>
      </c>
      <c r="W103" s="504">
        <f t="shared" si="12"/>
        <v>10000</v>
      </c>
      <c r="X103" s="504">
        <f t="shared" si="12"/>
        <v>10000</v>
      </c>
    </row>
    <row r="104" spans="1:24">
      <c r="A104" s="88" t="str">
        <f>'BH Tariffs'!A45</f>
        <v>Motorcoach Access/Tour Operator Licenses</v>
      </c>
      <c r="B104" s="30"/>
      <c r="C104" s="89"/>
      <c r="D104" s="502">
        <v>0</v>
      </c>
      <c r="E104" s="504">
        <v>0</v>
      </c>
      <c r="F104" s="504">
        <f>'BH Tariffs'!E45*'P&amp;L - Concept C1 - Carnival'!F66</f>
        <v>3060</v>
      </c>
      <c r="G104" s="504">
        <f>'BH Tariffs'!F45*'P&amp;L - Concept C1 - Carnival'!G66</f>
        <v>3121.2000000000003</v>
      </c>
      <c r="H104" s="504">
        <f>'BH Tariffs'!G45*'P&amp;L - Concept C1 - Carnival'!H66</f>
        <v>3183.6239999999998</v>
      </c>
      <c r="I104" s="504">
        <f>'BH Tariffs'!H45*'P&amp;L - Concept C1 - Carnival'!I66</f>
        <v>3247.29648</v>
      </c>
      <c r="J104" s="504">
        <f>'BH Tariffs'!I45*'P&amp;L - Concept C1 - Carnival'!J66</f>
        <v>3312.2424096</v>
      </c>
      <c r="K104" s="504">
        <f>'BH Tariffs'!J45*'P&amp;L - Concept C1 - Carnival'!K66</f>
        <v>3378.4872577920005</v>
      </c>
      <c r="L104" s="504">
        <f>'BH Tariffs'!K45*'P&amp;L - Concept C1 - Carnival'!L66</f>
        <v>3446.0570029478404</v>
      </c>
      <c r="M104" s="504">
        <f>'BH Tariffs'!L45*'P&amp;L - Concept C1 - Carnival'!M66</f>
        <v>3514.9781430067969</v>
      </c>
      <c r="N104" s="504">
        <f>'BH Tariffs'!M45*'P&amp;L - Concept C1 - Carnival'!N66</f>
        <v>3585.2777058669335</v>
      </c>
      <c r="O104" s="504">
        <f>'BH Tariffs'!N45*'P&amp;L - Concept C1 - Carnival'!O66</f>
        <v>3656.9832599842721</v>
      </c>
      <c r="P104" s="504">
        <f>'BH Tariffs'!O45*'P&amp;L - Concept C1 - Carnival'!P66</f>
        <v>3730.1229251839572</v>
      </c>
      <c r="Q104" s="504">
        <f>'BH Tariffs'!P45*'P&amp;L - Concept C1 - Carnival'!Q66</f>
        <v>3804.7253836876362</v>
      </c>
      <c r="R104" s="504">
        <f>'BH Tariffs'!Q45*'P&amp;L - Concept C1 - Carnival'!R66</f>
        <v>3880.8198913613887</v>
      </c>
      <c r="S104" s="504">
        <f>'BH Tariffs'!R45*'P&amp;L - Concept C1 - Carnival'!S66</f>
        <v>3958.4362891886167</v>
      </c>
      <c r="T104" s="504">
        <f>'BH Tariffs'!S45*'P&amp;L - Concept C1 - Carnival'!T66</f>
        <v>4037.6050149723897</v>
      </c>
      <c r="U104" s="504">
        <f>'BH Tariffs'!T45*'P&amp;L - Concept C1 - Carnival'!U66</f>
        <v>4118.3571152718378</v>
      </c>
      <c r="V104" s="504">
        <f>'BH Tariffs'!U45*'P&amp;L - Concept C1 - Carnival'!V66</f>
        <v>4200.7242575772743</v>
      </c>
      <c r="W104" s="504">
        <f>'BH Tariffs'!V45*'P&amp;L - Concept C1 - Carnival'!W66</f>
        <v>4284.7387427288204</v>
      </c>
      <c r="X104" s="504">
        <f>'BH Tariffs'!W45*'P&amp;L - Concept C1 - Carnival'!X66</f>
        <v>4370.4335175833967</v>
      </c>
    </row>
    <row r="105" spans="1:24">
      <c r="A105" s="299" t="s">
        <v>217</v>
      </c>
      <c r="B105" s="299"/>
      <c r="C105" s="299"/>
      <c r="D105" s="505">
        <v>0</v>
      </c>
      <c r="E105" s="506">
        <v>0</v>
      </c>
      <c r="F105" s="506">
        <f>'BH Tariffs'!E46*'P&amp;L - Concept C1 - Carnival'!F65</f>
        <v>500</v>
      </c>
      <c r="G105" s="506">
        <f>'BH Tariffs'!F46*'P&amp;L - Concept C1 - Carnival'!G65</f>
        <v>1000</v>
      </c>
      <c r="H105" s="506">
        <f>'BH Tariffs'!G46*'P&amp;L - Concept C1 - Carnival'!H65</f>
        <v>1000</v>
      </c>
      <c r="I105" s="506">
        <f>'BH Tariffs'!H46*'P&amp;L - Concept C1 - Carnival'!I65</f>
        <v>1000</v>
      </c>
      <c r="J105" s="506">
        <f>'BH Tariffs'!I46*'P&amp;L - Concept C1 - Carnival'!J65</f>
        <v>1650</v>
      </c>
      <c r="K105" s="506">
        <f>'BH Tariffs'!J46*'P&amp;L - Concept C1 - Carnival'!K65</f>
        <v>1650</v>
      </c>
      <c r="L105" s="506">
        <f>'BH Tariffs'!K46*'P&amp;L - Concept C1 - Carnival'!L65</f>
        <v>1650</v>
      </c>
      <c r="M105" s="506">
        <f>'BH Tariffs'!L46*'P&amp;L - Concept C1 - Carnival'!M65</f>
        <v>1650</v>
      </c>
      <c r="N105" s="506">
        <f>'BH Tariffs'!M46*'P&amp;L - Concept C1 - Carnival'!N65</f>
        <v>1650</v>
      </c>
      <c r="O105" s="506">
        <f>'BH Tariffs'!N46*'P&amp;L - Concept C1 - Carnival'!O65</f>
        <v>2400</v>
      </c>
      <c r="P105" s="506">
        <f>'BH Tariffs'!O46*'P&amp;L - Concept C1 - Carnival'!P65</f>
        <v>2400</v>
      </c>
      <c r="Q105" s="506">
        <f>'BH Tariffs'!P46*'P&amp;L - Concept C1 - Carnival'!Q65</f>
        <v>2400</v>
      </c>
      <c r="R105" s="506">
        <f>'BH Tariffs'!Q46*'P&amp;L - Concept C1 - Carnival'!R65</f>
        <v>2400</v>
      </c>
      <c r="S105" s="506">
        <f>'BH Tariffs'!R46*'P&amp;L - Concept C1 - Carnival'!S65</f>
        <v>2400</v>
      </c>
      <c r="T105" s="506">
        <f>'BH Tariffs'!S46*'P&amp;L - Concept C1 - Carnival'!T65</f>
        <v>3250</v>
      </c>
      <c r="U105" s="506">
        <f>'BH Tariffs'!T46*'P&amp;L - Concept C1 - Carnival'!U65</f>
        <v>3250</v>
      </c>
      <c r="V105" s="506">
        <f>'BH Tariffs'!U46*'P&amp;L - Concept C1 - Carnival'!V65</f>
        <v>3250</v>
      </c>
      <c r="W105" s="506">
        <f>'BH Tariffs'!V46*'P&amp;L - Concept C1 - Carnival'!W65</f>
        <v>3250</v>
      </c>
      <c r="X105" s="506">
        <f>'BH Tariffs'!W46*'P&amp;L - Concept C1 - Carnival'!X65</f>
        <v>3250</v>
      </c>
    </row>
    <row r="106" spans="1:24">
      <c r="A106" s="278" t="s">
        <v>145</v>
      </c>
      <c r="D106" s="507">
        <f>SUM(D71:D105)</f>
        <v>0</v>
      </c>
      <c r="E106" s="508">
        <f>SUM(E70:E105)</f>
        <v>161800</v>
      </c>
      <c r="F106" s="508">
        <f t="shared" ref="F106:X106" si="13">SUM(F70:F105)</f>
        <v>1540091.5575133858</v>
      </c>
      <c r="G106" s="508">
        <f t="shared" si="13"/>
        <v>1615945.7886636534</v>
      </c>
      <c r="H106" s="508">
        <f t="shared" si="13"/>
        <v>1650044.7044369264</v>
      </c>
      <c r="I106" s="508">
        <f t="shared" si="13"/>
        <v>1684825.5985256652</v>
      </c>
      <c r="J106" s="508">
        <f t="shared" si="13"/>
        <v>1937239.9577184003</v>
      </c>
      <c r="K106" s="508">
        <f t="shared" si="13"/>
        <v>1973425.9999283243</v>
      </c>
      <c r="L106" s="508">
        <f t="shared" si="13"/>
        <v>2010335.7629824465</v>
      </c>
      <c r="M106" s="508">
        <f t="shared" si="13"/>
        <v>2047983.7212976511</v>
      </c>
      <c r="N106" s="508">
        <f t="shared" si="13"/>
        <v>2086384.6387791594</v>
      </c>
      <c r="O106" s="508">
        <f t="shared" si="13"/>
        <v>2180375.5364158545</v>
      </c>
      <c r="P106" s="508">
        <f t="shared" si="13"/>
        <v>2220327.8509636153</v>
      </c>
      <c r="Q106" s="508">
        <f t="shared" si="13"/>
        <v>2261079.2118023317</v>
      </c>
      <c r="R106" s="508">
        <f t="shared" si="13"/>
        <v>2302645.5998578235</v>
      </c>
      <c r="S106" s="508">
        <f t="shared" si="13"/>
        <v>2345043.3156744237</v>
      </c>
      <c r="T106" s="508">
        <f t="shared" si="13"/>
        <v>2443210.9476129124</v>
      </c>
      <c r="U106" s="508">
        <f t="shared" si="13"/>
        <v>2487321.5311485045</v>
      </c>
      <c r="V106" s="508">
        <f t="shared" si="13"/>
        <v>2532314.3263548072</v>
      </c>
      <c r="W106" s="508">
        <f t="shared" si="13"/>
        <v>2578206.9774652366</v>
      </c>
      <c r="X106" s="508">
        <f t="shared" si="13"/>
        <v>2625017.4815978752</v>
      </c>
    </row>
    <row r="107" spans="1:24">
      <c r="D107" s="507"/>
      <c r="E107" s="413"/>
      <c r="F107" s="413"/>
      <c r="G107" s="413"/>
      <c r="H107" s="413"/>
      <c r="I107" s="413"/>
      <c r="J107" s="413"/>
      <c r="K107" s="413"/>
      <c r="L107" s="413"/>
      <c r="M107" s="413"/>
      <c r="N107" s="413"/>
      <c r="O107" s="413"/>
      <c r="P107" s="413"/>
      <c r="Q107" s="413"/>
      <c r="R107" s="413"/>
      <c r="S107" s="413"/>
      <c r="T107" s="413"/>
      <c r="U107" s="413"/>
      <c r="V107" s="413"/>
      <c r="W107" s="413"/>
      <c r="X107" s="413"/>
    </row>
    <row r="108" spans="1:24">
      <c r="A108" s="271" t="s">
        <v>146</v>
      </c>
      <c r="B108" s="149"/>
      <c r="C108" s="149"/>
      <c r="D108" s="509"/>
      <c r="E108" s="510"/>
      <c r="F108" s="510"/>
      <c r="G108" s="510"/>
      <c r="H108" s="510"/>
      <c r="I108" s="510"/>
      <c r="J108" s="510"/>
      <c r="K108" s="510"/>
      <c r="L108" s="510"/>
      <c r="M108" s="510"/>
      <c r="N108" s="510"/>
      <c r="O108" s="510"/>
      <c r="P108" s="510"/>
      <c r="Q108" s="510"/>
      <c r="R108" s="510"/>
      <c r="S108" s="510"/>
      <c r="T108" s="510"/>
      <c r="U108" s="510"/>
      <c r="V108" s="510"/>
      <c r="W108" s="510"/>
      <c r="X108" s="510"/>
    </row>
    <row r="109" spans="1:24">
      <c r="D109" s="507"/>
      <c r="E109" s="413"/>
      <c r="F109" s="413"/>
      <c r="G109" s="413"/>
      <c r="H109" s="413"/>
      <c r="I109" s="413"/>
      <c r="J109" s="413"/>
      <c r="K109" s="413"/>
      <c r="L109" s="413"/>
      <c r="M109" s="413"/>
      <c r="N109" s="413"/>
      <c r="O109" s="413"/>
      <c r="P109" s="413"/>
      <c r="Q109" s="413"/>
      <c r="R109" s="413"/>
      <c r="S109" s="413"/>
      <c r="T109" s="413"/>
      <c r="U109" s="413"/>
      <c r="V109" s="413"/>
      <c r="W109" s="413"/>
      <c r="X109" s="413"/>
    </row>
    <row r="110" spans="1:24">
      <c r="A110" s="91" t="s">
        <v>380</v>
      </c>
      <c r="B110" s="89"/>
      <c r="C110" s="89"/>
      <c r="D110" s="502"/>
      <c r="E110" s="504"/>
      <c r="F110" s="504"/>
      <c r="G110" s="504"/>
      <c r="H110" s="504"/>
      <c r="I110" s="504"/>
      <c r="J110" s="504"/>
      <c r="K110" s="504"/>
      <c r="L110" s="504"/>
      <c r="M110" s="504"/>
      <c r="N110" s="504"/>
      <c r="O110" s="504"/>
      <c r="P110" s="504"/>
      <c r="Q110" s="504"/>
      <c r="R110" s="504"/>
      <c r="S110" s="504"/>
      <c r="T110" s="504"/>
      <c r="U110" s="504"/>
      <c r="V110" s="504"/>
      <c r="W110" s="504"/>
      <c r="X110" s="504"/>
    </row>
    <row r="111" spans="1:24">
      <c r="A111" s="88" t="s">
        <v>432</v>
      </c>
      <c r="B111" s="89"/>
      <c r="C111" s="89"/>
      <c r="D111" s="502">
        <v>0</v>
      </c>
      <c r="E111" s="504">
        <v>0</v>
      </c>
      <c r="F111" s="504">
        <v>0</v>
      </c>
      <c r="G111" s="504">
        <v>0</v>
      </c>
      <c r="H111" s="504">
        <v>0</v>
      </c>
      <c r="I111" s="504">
        <v>0</v>
      </c>
      <c r="J111" s="504">
        <v>0</v>
      </c>
      <c r="K111" s="504">
        <v>0</v>
      </c>
      <c r="L111" s="504">
        <v>0</v>
      </c>
      <c r="M111" s="504">
        <v>0</v>
      </c>
      <c r="N111" s="504">
        <v>0</v>
      </c>
      <c r="O111" s="504">
        <v>0</v>
      </c>
      <c r="P111" s="504">
        <v>0</v>
      </c>
      <c r="Q111" s="504">
        <v>0</v>
      </c>
      <c r="R111" s="504">
        <v>0</v>
      </c>
      <c r="S111" s="504">
        <v>0</v>
      </c>
      <c r="T111" s="504">
        <v>0</v>
      </c>
      <c r="U111" s="504">
        <v>0</v>
      </c>
      <c r="V111" s="504">
        <v>0</v>
      </c>
      <c r="W111" s="504">
        <v>0</v>
      </c>
      <c r="X111" s="504">
        <v>0</v>
      </c>
    </row>
    <row r="112" spans="1:24">
      <c r="A112" s="88" t="s">
        <v>433</v>
      </c>
      <c r="B112" s="89"/>
      <c r="C112" s="89"/>
      <c r="D112" s="502">
        <v>0</v>
      </c>
      <c r="E112" s="504">
        <v>0</v>
      </c>
      <c r="F112" s="504">
        <v>0</v>
      </c>
      <c r="G112" s="504">
        <v>0</v>
      </c>
      <c r="H112" s="504">
        <v>0</v>
      </c>
      <c r="I112" s="504">
        <v>0</v>
      </c>
      <c r="J112" s="504">
        <v>0</v>
      </c>
      <c r="K112" s="504">
        <v>0</v>
      </c>
      <c r="L112" s="504">
        <v>0</v>
      </c>
      <c r="M112" s="504">
        <v>0</v>
      </c>
      <c r="N112" s="504">
        <v>0</v>
      </c>
      <c r="O112" s="504">
        <v>0</v>
      </c>
      <c r="P112" s="504">
        <v>0</v>
      </c>
      <c r="Q112" s="504">
        <v>0</v>
      </c>
      <c r="R112" s="504">
        <v>0</v>
      </c>
      <c r="S112" s="504">
        <v>0</v>
      </c>
      <c r="T112" s="504">
        <v>0</v>
      </c>
      <c r="U112" s="504">
        <v>0</v>
      </c>
      <c r="V112" s="504">
        <v>0</v>
      </c>
      <c r="W112" s="504">
        <v>0</v>
      </c>
      <c r="X112" s="504">
        <v>0</v>
      </c>
    </row>
    <row r="113" spans="1:27">
      <c r="A113" s="88" t="s">
        <v>434</v>
      </c>
      <c r="B113" s="89"/>
      <c r="C113" s="89"/>
      <c r="D113" s="502">
        <v>0</v>
      </c>
      <c r="E113" s="504">
        <v>0</v>
      </c>
      <c r="F113" s="504">
        <v>0</v>
      </c>
      <c r="G113" s="504">
        <v>0</v>
      </c>
      <c r="H113" s="504">
        <v>0</v>
      </c>
      <c r="I113" s="504">
        <v>0</v>
      </c>
      <c r="J113" s="504">
        <v>0</v>
      </c>
      <c r="K113" s="504">
        <v>0</v>
      </c>
      <c r="L113" s="504">
        <v>0</v>
      </c>
      <c r="M113" s="504">
        <v>0</v>
      </c>
      <c r="N113" s="504">
        <v>0</v>
      </c>
      <c r="O113" s="504">
        <v>0</v>
      </c>
      <c r="P113" s="504">
        <v>0</v>
      </c>
      <c r="Q113" s="504">
        <v>0</v>
      </c>
      <c r="R113" s="504">
        <v>0</v>
      </c>
      <c r="S113" s="504">
        <v>0</v>
      </c>
      <c r="T113" s="504">
        <v>0</v>
      </c>
      <c r="U113" s="504">
        <v>0</v>
      </c>
      <c r="V113" s="504">
        <v>0</v>
      </c>
      <c r="W113" s="504">
        <v>0</v>
      </c>
      <c r="X113" s="504">
        <v>0</v>
      </c>
    </row>
    <row r="114" spans="1:27">
      <c r="A114" s="88" t="s">
        <v>229</v>
      </c>
      <c r="B114" s="30"/>
      <c r="C114" s="89"/>
      <c r="D114" s="502">
        <v>0</v>
      </c>
      <c r="E114" s="504">
        <v>0</v>
      </c>
      <c r="F114" s="504">
        <v>0</v>
      </c>
      <c r="G114" s="504">
        <v>0</v>
      </c>
      <c r="H114" s="504">
        <v>0</v>
      </c>
      <c r="I114" s="504">
        <v>0</v>
      </c>
      <c r="J114" s="504">
        <v>0</v>
      </c>
      <c r="K114" s="504">
        <v>0</v>
      </c>
      <c r="L114" s="504">
        <v>0</v>
      </c>
      <c r="M114" s="504">
        <v>0</v>
      </c>
      <c r="N114" s="504">
        <v>0</v>
      </c>
      <c r="O114" s="504">
        <v>0</v>
      </c>
      <c r="P114" s="504">
        <v>0</v>
      </c>
      <c r="Q114" s="504">
        <v>0</v>
      </c>
      <c r="R114" s="504">
        <v>0</v>
      </c>
      <c r="S114" s="504">
        <v>0</v>
      </c>
      <c r="T114" s="504">
        <v>0</v>
      </c>
      <c r="U114" s="504">
        <v>0</v>
      </c>
      <c r="V114" s="504">
        <v>0</v>
      </c>
      <c r="W114" s="504">
        <v>0</v>
      </c>
      <c r="X114" s="504">
        <v>0</v>
      </c>
    </row>
    <row r="115" spans="1:27" s="32" customFormat="1">
      <c r="A115" s="299" t="s">
        <v>297</v>
      </c>
      <c r="B115" s="299"/>
      <c r="C115" s="299"/>
      <c r="D115" s="505">
        <v>0</v>
      </c>
      <c r="E115" s="506">
        <f>E53</f>
        <v>0</v>
      </c>
      <c r="F115" s="506">
        <f t="shared" ref="F115:X115" si="14">F53</f>
        <v>0</v>
      </c>
      <c r="G115" s="506">
        <f t="shared" si="14"/>
        <v>100000</v>
      </c>
      <c r="H115" s="506">
        <f t="shared" si="14"/>
        <v>100000</v>
      </c>
      <c r="I115" s="506">
        <f t="shared" si="14"/>
        <v>100000</v>
      </c>
      <c r="J115" s="506">
        <f t="shared" si="14"/>
        <v>100000</v>
      </c>
      <c r="K115" s="506">
        <f t="shared" si="14"/>
        <v>100000</v>
      </c>
      <c r="L115" s="506">
        <f t="shared" si="14"/>
        <v>100000</v>
      </c>
      <c r="M115" s="506">
        <f t="shared" si="14"/>
        <v>100000</v>
      </c>
      <c r="N115" s="506">
        <f t="shared" si="14"/>
        <v>100000</v>
      </c>
      <c r="O115" s="506">
        <f t="shared" si="14"/>
        <v>100000</v>
      </c>
      <c r="P115" s="506">
        <f t="shared" si="14"/>
        <v>100000</v>
      </c>
      <c r="Q115" s="506">
        <f t="shared" si="14"/>
        <v>100000</v>
      </c>
      <c r="R115" s="506">
        <f t="shared" si="14"/>
        <v>100000</v>
      </c>
      <c r="S115" s="506">
        <f t="shared" si="14"/>
        <v>100000</v>
      </c>
      <c r="T115" s="506">
        <f t="shared" si="14"/>
        <v>100000</v>
      </c>
      <c r="U115" s="506">
        <f t="shared" si="14"/>
        <v>100000</v>
      </c>
      <c r="V115" s="506">
        <f t="shared" si="14"/>
        <v>100000</v>
      </c>
      <c r="W115" s="506">
        <f t="shared" si="14"/>
        <v>100000</v>
      </c>
      <c r="X115" s="506">
        <f t="shared" si="14"/>
        <v>100000</v>
      </c>
    </row>
    <row r="116" spans="1:27">
      <c r="A116" s="278" t="s">
        <v>147</v>
      </c>
      <c r="D116" s="507">
        <f>SUM(D114:D115)</f>
        <v>0</v>
      </c>
      <c r="E116" s="508">
        <f>SUM(E111:E115)</f>
        <v>0</v>
      </c>
      <c r="F116" s="508">
        <f t="shared" ref="F116:X116" si="15">SUM(F111:F115)</f>
        <v>0</v>
      </c>
      <c r="G116" s="508">
        <f t="shared" si="15"/>
        <v>100000</v>
      </c>
      <c r="H116" s="508">
        <f t="shared" si="15"/>
        <v>100000</v>
      </c>
      <c r="I116" s="508">
        <f t="shared" si="15"/>
        <v>100000</v>
      </c>
      <c r="J116" s="508">
        <f t="shared" si="15"/>
        <v>100000</v>
      </c>
      <c r="K116" s="508">
        <f t="shared" si="15"/>
        <v>100000</v>
      </c>
      <c r="L116" s="508">
        <f t="shared" si="15"/>
        <v>100000</v>
      </c>
      <c r="M116" s="508">
        <f t="shared" si="15"/>
        <v>100000</v>
      </c>
      <c r="N116" s="508">
        <f t="shared" si="15"/>
        <v>100000</v>
      </c>
      <c r="O116" s="508">
        <f t="shared" si="15"/>
        <v>100000</v>
      </c>
      <c r="P116" s="508">
        <f t="shared" si="15"/>
        <v>100000</v>
      </c>
      <c r="Q116" s="508">
        <f t="shared" si="15"/>
        <v>100000</v>
      </c>
      <c r="R116" s="508">
        <f t="shared" si="15"/>
        <v>100000</v>
      </c>
      <c r="S116" s="508">
        <f t="shared" si="15"/>
        <v>100000</v>
      </c>
      <c r="T116" s="508">
        <f t="shared" si="15"/>
        <v>100000</v>
      </c>
      <c r="U116" s="508">
        <f t="shared" si="15"/>
        <v>100000</v>
      </c>
      <c r="V116" s="508">
        <f t="shared" si="15"/>
        <v>100000</v>
      </c>
      <c r="W116" s="508">
        <f t="shared" si="15"/>
        <v>100000</v>
      </c>
      <c r="X116" s="508">
        <f t="shared" si="15"/>
        <v>100000</v>
      </c>
    </row>
    <row r="117" spans="1:27">
      <c r="D117" s="507"/>
      <c r="E117" s="413"/>
      <c r="F117" s="413"/>
      <c r="G117" s="413"/>
      <c r="H117" s="413"/>
      <c r="I117" s="413"/>
      <c r="J117" s="413"/>
      <c r="K117" s="413"/>
      <c r="L117" s="413"/>
      <c r="M117" s="413"/>
      <c r="N117" s="413"/>
      <c r="O117" s="413"/>
      <c r="P117" s="413"/>
      <c r="Q117" s="413"/>
      <c r="R117" s="413"/>
      <c r="S117" s="413"/>
      <c r="T117" s="413"/>
      <c r="U117" s="413"/>
      <c r="V117" s="413"/>
      <c r="W117" s="413"/>
      <c r="X117" s="413"/>
    </row>
    <row r="118" spans="1:27">
      <c r="A118" s="88" t="s">
        <v>608</v>
      </c>
      <c r="D118" s="507">
        <f t="shared" ref="D118" si="16">SUM(D116:D117)</f>
        <v>0</v>
      </c>
      <c r="E118" s="413">
        <v>58025</v>
      </c>
      <c r="F118" s="413">
        <v>0</v>
      </c>
      <c r="G118" s="413">
        <v>0</v>
      </c>
      <c r="H118" s="413">
        <v>0</v>
      </c>
      <c r="I118" s="413">
        <v>0</v>
      </c>
      <c r="J118" s="413">
        <v>0</v>
      </c>
      <c r="K118" s="413">
        <v>0</v>
      </c>
      <c r="L118" s="413">
        <v>0</v>
      </c>
      <c r="M118" s="413">
        <v>0</v>
      </c>
      <c r="N118" s="413">
        <v>0</v>
      </c>
      <c r="O118" s="413">
        <v>0</v>
      </c>
      <c r="P118" s="413">
        <v>0</v>
      </c>
      <c r="Q118" s="413">
        <v>0</v>
      </c>
      <c r="R118" s="413">
        <v>0</v>
      </c>
      <c r="S118" s="413">
        <v>0</v>
      </c>
      <c r="T118" s="413">
        <v>0</v>
      </c>
      <c r="U118" s="413">
        <v>0</v>
      </c>
      <c r="V118" s="413">
        <v>0</v>
      </c>
      <c r="W118" s="413">
        <v>0</v>
      </c>
      <c r="X118" s="413">
        <v>0</v>
      </c>
    </row>
    <row r="119" spans="1:27">
      <c r="D119" s="507"/>
      <c r="E119" s="413"/>
      <c r="F119" s="413"/>
      <c r="G119" s="413"/>
      <c r="H119" s="413"/>
      <c r="I119" s="413"/>
      <c r="J119" s="413"/>
      <c r="K119" s="413"/>
      <c r="L119" s="413"/>
      <c r="M119" s="413"/>
      <c r="N119" s="413"/>
      <c r="O119" s="413"/>
      <c r="P119" s="413"/>
      <c r="Q119" s="413"/>
      <c r="R119" s="413"/>
      <c r="S119" s="413"/>
      <c r="T119" s="413"/>
      <c r="U119" s="413"/>
      <c r="V119" s="413"/>
      <c r="W119" s="413"/>
      <c r="X119" s="413"/>
    </row>
    <row r="120" spans="1:27" s="16" customFormat="1" ht="14.25">
      <c r="A120" s="295" t="s">
        <v>148</v>
      </c>
      <c r="B120" s="295"/>
      <c r="C120" s="295"/>
      <c r="D120" s="511">
        <f>SUM(D106,D116)</f>
        <v>0</v>
      </c>
      <c r="E120" s="511">
        <f>SUM(E106,E116,E118)</f>
        <v>219825</v>
      </c>
      <c r="F120" s="511">
        <f t="shared" ref="F120:X120" si="17">SUM(F106,F116,F118)</f>
        <v>1540091.5575133858</v>
      </c>
      <c r="G120" s="511">
        <f t="shared" si="17"/>
        <v>1715945.7886636534</v>
      </c>
      <c r="H120" s="511">
        <f t="shared" si="17"/>
        <v>1750044.7044369264</v>
      </c>
      <c r="I120" s="511">
        <f t="shared" si="17"/>
        <v>1784825.5985256652</v>
      </c>
      <c r="J120" s="511">
        <f t="shared" si="17"/>
        <v>2037239.9577184003</v>
      </c>
      <c r="K120" s="511">
        <f t="shared" si="17"/>
        <v>2073425.9999283243</v>
      </c>
      <c r="L120" s="511">
        <f t="shared" si="17"/>
        <v>2110335.7629824467</v>
      </c>
      <c r="M120" s="511">
        <f t="shared" si="17"/>
        <v>2147983.7212976511</v>
      </c>
      <c r="N120" s="511">
        <f t="shared" si="17"/>
        <v>2186384.6387791596</v>
      </c>
      <c r="O120" s="511">
        <f t="shared" si="17"/>
        <v>2280375.5364158545</v>
      </c>
      <c r="P120" s="511">
        <f t="shared" si="17"/>
        <v>2320327.8509636153</v>
      </c>
      <c r="Q120" s="511">
        <f t="shared" si="17"/>
        <v>2361079.2118023317</v>
      </c>
      <c r="R120" s="511">
        <f t="shared" si="17"/>
        <v>2402645.5998578235</v>
      </c>
      <c r="S120" s="511">
        <f t="shared" si="17"/>
        <v>2445043.3156744237</v>
      </c>
      <c r="T120" s="511">
        <f t="shared" si="17"/>
        <v>2543210.9476129124</v>
      </c>
      <c r="U120" s="511">
        <f t="shared" si="17"/>
        <v>2587321.5311485045</v>
      </c>
      <c r="V120" s="511">
        <f t="shared" si="17"/>
        <v>2632314.3263548072</v>
      </c>
      <c r="W120" s="511">
        <f t="shared" si="17"/>
        <v>2678206.9774652366</v>
      </c>
      <c r="X120" s="511">
        <f t="shared" si="17"/>
        <v>2725017.4815978752</v>
      </c>
      <c r="Y120" s="622">
        <f>SUM(D120:X120)</f>
        <v>42541645.508739002</v>
      </c>
      <c r="AA120" s="370">
        <f>(Y76+Y78)/Y120</f>
        <v>0.67647163873103688</v>
      </c>
    </row>
    <row r="121" spans="1:27">
      <c r="A121" s="30"/>
      <c r="B121" s="30"/>
      <c r="C121" s="30"/>
      <c r="D121" s="502"/>
      <c r="E121" s="512"/>
      <c r="F121" s="512"/>
      <c r="G121" s="512"/>
      <c r="H121" s="512"/>
      <c r="I121" s="512"/>
      <c r="J121" s="512"/>
      <c r="K121" s="512"/>
      <c r="L121" s="512"/>
      <c r="M121" s="512"/>
      <c r="N121" s="512"/>
      <c r="O121" s="512"/>
      <c r="P121" s="512"/>
      <c r="Q121" s="512"/>
      <c r="R121" s="512"/>
      <c r="S121" s="512"/>
      <c r="T121" s="512"/>
      <c r="U121" s="512"/>
      <c r="V121" s="512"/>
      <c r="W121" s="512"/>
      <c r="X121" s="512"/>
    </row>
    <row r="122" spans="1:27" s="33" customFormat="1">
      <c r="A122" s="47" t="s">
        <v>7</v>
      </c>
      <c r="B122" s="47" t="s">
        <v>7</v>
      </c>
      <c r="C122" s="78" t="s">
        <v>7</v>
      </c>
      <c r="D122" s="604" t="s">
        <v>7</v>
      </c>
      <c r="E122" s="78" t="s">
        <v>7</v>
      </c>
      <c r="F122" s="78" t="s">
        <v>7</v>
      </c>
      <c r="G122" s="78" t="s">
        <v>7</v>
      </c>
      <c r="H122" s="78" t="s">
        <v>7</v>
      </c>
      <c r="I122" s="78" t="s">
        <v>7</v>
      </c>
      <c r="J122" s="78" t="s">
        <v>7</v>
      </c>
      <c r="K122" s="78" t="s">
        <v>7</v>
      </c>
      <c r="L122" s="78" t="s">
        <v>7</v>
      </c>
      <c r="M122" s="78" t="s">
        <v>7</v>
      </c>
      <c r="N122" s="78" t="s">
        <v>7</v>
      </c>
      <c r="O122" s="78" t="s">
        <v>7</v>
      </c>
      <c r="P122" s="78" t="s">
        <v>7</v>
      </c>
      <c r="Q122" s="78" t="s">
        <v>7</v>
      </c>
      <c r="R122" s="78" t="s">
        <v>7</v>
      </c>
      <c r="S122" s="78" t="s">
        <v>7</v>
      </c>
      <c r="T122" s="78" t="s">
        <v>7</v>
      </c>
      <c r="U122" s="78" t="s">
        <v>7</v>
      </c>
      <c r="V122" s="78" t="s">
        <v>7</v>
      </c>
      <c r="W122" s="78" t="s">
        <v>7</v>
      </c>
      <c r="X122" s="78" t="s">
        <v>7</v>
      </c>
    </row>
    <row r="123" spans="1:27">
      <c r="A123" s="30"/>
      <c r="B123" s="30"/>
      <c r="C123" s="30"/>
      <c r="D123" s="502"/>
      <c r="E123" s="512"/>
      <c r="F123" s="512"/>
      <c r="G123" s="512"/>
      <c r="H123" s="512"/>
      <c r="I123" s="512"/>
      <c r="J123" s="512"/>
      <c r="K123" s="512"/>
      <c r="L123" s="512"/>
      <c r="M123" s="512"/>
      <c r="N123" s="512"/>
      <c r="O123" s="512"/>
      <c r="P123" s="512"/>
      <c r="Q123" s="512"/>
      <c r="R123" s="512"/>
      <c r="S123" s="512"/>
      <c r="T123" s="512"/>
      <c r="U123" s="512"/>
      <c r="V123" s="512"/>
      <c r="W123" s="512"/>
      <c r="X123" s="512"/>
    </row>
    <row r="124" spans="1:27">
      <c r="A124" s="269" t="s">
        <v>131</v>
      </c>
      <c r="B124" s="269"/>
      <c r="C124" s="270"/>
      <c r="D124" s="513"/>
      <c r="E124" s="513"/>
      <c r="F124" s="513"/>
      <c r="G124" s="513"/>
      <c r="H124" s="513"/>
      <c r="I124" s="513"/>
      <c r="J124" s="513"/>
      <c r="K124" s="513"/>
      <c r="L124" s="513"/>
      <c r="M124" s="513"/>
      <c r="N124" s="513"/>
      <c r="O124" s="513"/>
      <c r="P124" s="513"/>
      <c r="Q124" s="513"/>
      <c r="R124" s="513"/>
      <c r="S124" s="513"/>
      <c r="T124" s="513"/>
      <c r="U124" s="513"/>
      <c r="V124" s="513"/>
      <c r="W124" s="513"/>
      <c r="X124" s="513"/>
    </row>
    <row r="125" spans="1:27">
      <c r="A125" s="69"/>
      <c r="B125" s="69"/>
      <c r="C125" s="69"/>
      <c r="D125" s="502"/>
      <c r="E125" s="504"/>
      <c r="F125" s="504"/>
      <c r="G125" s="504"/>
      <c r="H125" s="504"/>
      <c r="I125" s="504"/>
      <c r="J125" s="504"/>
      <c r="K125" s="504"/>
      <c r="L125" s="504"/>
      <c r="M125" s="504"/>
      <c r="N125" s="504"/>
      <c r="O125" s="504"/>
      <c r="P125" s="504"/>
      <c r="Q125" s="504"/>
      <c r="R125" s="504"/>
      <c r="S125" s="504"/>
      <c r="T125" s="504"/>
      <c r="U125" s="504"/>
      <c r="V125" s="504"/>
      <c r="W125" s="504"/>
      <c r="X125" s="504"/>
    </row>
    <row r="126" spans="1:27" s="96" customFormat="1">
      <c r="A126" s="69" t="s">
        <v>13</v>
      </c>
      <c r="B126" s="69"/>
      <c r="C126" s="69"/>
      <c r="D126" s="514">
        <v>0</v>
      </c>
      <c r="E126" s="515">
        <f>'OPEX - Concept C1 - Carnival'!L79</f>
        <v>12250</v>
      </c>
      <c r="F126" s="515">
        <f>'OPEX - Concept C1 - Carnival'!M79</f>
        <v>150500</v>
      </c>
      <c r="G126" s="515">
        <f>'OPEX - Concept C1 - Carnival'!N79</f>
        <v>153510</v>
      </c>
      <c r="H126" s="515">
        <f>'OPEX - Concept C1 - Carnival'!O79</f>
        <v>156580.19999999998</v>
      </c>
      <c r="I126" s="515">
        <f>'OPEX - Concept C1 - Carnival'!P79</f>
        <v>159711.80399999997</v>
      </c>
      <c r="J126" s="515">
        <f>'OPEX - Concept C1 - Carnival'!Q79</f>
        <v>162906.04007999998</v>
      </c>
      <c r="K126" s="515">
        <f>'OPEX - Concept C1 - Carnival'!R79</f>
        <v>166164.16088159999</v>
      </c>
      <c r="L126" s="515">
        <f>'OPEX - Concept C1 - Carnival'!S79</f>
        <v>169487.444099232</v>
      </c>
      <c r="M126" s="515">
        <f>'OPEX - Concept C1 - Carnival'!T79</f>
        <v>172877.19298121665</v>
      </c>
      <c r="N126" s="515">
        <f>'OPEX - Concept C1 - Carnival'!U79</f>
        <v>176334.73684084098</v>
      </c>
      <c r="O126" s="515">
        <f>'OPEX - Concept C1 - Carnival'!V79</f>
        <v>179861.43157765782</v>
      </c>
      <c r="P126" s="515">
        <f>'OPEX - Concept C1 - Carnival'!W79</f>
        <v>183458.66020921097</v>
      </c>
      <c r="Q126" s="515">
        <f>'OPEX - Concept C1 - Carnival'!X79</f>
        <v>187127.83341339519</v>
      </c>
      <c r="R126" s="515">
        <f>'OPEX - Concept C1 - Carnival'!Y79</f>
        <v>190870.39008166309</v>
      </c>
      <c r="S126" s="515">
        <f>'OPEX - Concept C1 - Carnival'!Z79</f>
        <v>194687.79788329633</v>
      </c>
      <c r="T126" s="515">
        <f>'OPEX - Concept C1 - Carnival'!AA79</f>
        <v>198581.5538409623</v>
      </c>
      <c r="U126" s="515">
        <f>'OPEX - Concept C1 - Carnival'!AB79</f>
        <v>202553.18491778153</v>
      </c>
      <c r="V126" s="515">
        <f>'OPEX - Concept C1 - Carnival'!AC79</f>
        <v>206604.24861613716</v>
      </c>
      <c r="W126" s="515">
        <f>'OPEX - Concept C1 - Carnival'!AD79</f>
        <v>210736.33358845994</v>
      </c>
      <c r="X126" s="515">
        <f>'OPEX - Concept C1 - Carnival'!AE79</f>
        <v>214951.06026022913</v>
      </c>
    </row>
    <row r="127" spans="1:27" s="96" customFormat="1">
      <c r="A127" s="69" t="s">
        <v>41</v>
      </c>
      <c r="B127" s="69"/>
      <c r="C127" s="69"/>
      <c r="D127" s="514">
        <v>0</v>
      </c>
      <c r="E127" s="515">
        <f>'OPEX - Concept C1 - Carnival'!L87</f>
        <v>25000</v>
      </c>
      <c r="F127" s="515">
        <f>'OPEX - Concept C1 - Carnival'!M87</f>
        <v>25500</v>
      </c>
      <c r="G127" s="515">
        <f>'OPEX - Concept C1 - Carnival'!N87</f>
        <v>26010</v>
      </c>
      <c r="H127" s="515">
        <f>'OPEX - Concept C1 - Carnival'!O87</f>
        <v>26530.199999999997</v>
      </c>
      <c r="I127" s="515">
        <f>'OPEX - Concept C1 - Carnival'!P87</f>
        <v>27060.804</v>
      </c>
      <c r="J127" s="515">
        <f>'OPEX - Concept C1 - Carnival'!Q87</f>
        <v>27602.020080000002</v>
      </c>
      <c r="K127" s="515">
        <f>'OPEX - Concept C1 - Carnival'!R87</f>
        <v>28154.060481600001</v>
      </c>
      <c r="L127" s="515">
        <f>'OPEX - Concept C1 - Carnival'!S87</f>
        <v>28717.141691232002</v>
      </c>
      <c r="M127" s="515">
        <f>'OPEX - Concept C1 - Carnival'!T87</f>
        <v>29291.484525056643</v>
      </c>
      <c r="N127" s="515">
        <f>'OPEX - Concept C1 - Carnival'!U87</f>
        <v>29877.314215557777</v>
      </c>
      <c r="O127" s="515">
        <f>'OPEX - Concept C1 - Carnival'!V87</f>
        <v>30474.860499868933</v>
      </c>
      <c r="P127" s="515">
        <f>'OPEX - Concept C1 - Carnival'!W87</f>
        <v>31084.357709866312</v>
      </c>
      <c r="Q127" s="515">
        <f>'OPEX - Concept C1 - Carnival'!X87</f>
        <v>31706.044864063639</v>
      </c>
      <c r="R127" s="515">
        <f>'OPEX - Concept C1 - Carnival'!Y87</f>
        <v>32340.165761344906</v>
      </c>
      <c r="S127" s="515">
        <f>'OPEX - Concept C1 - Carnival'!Z87</f>
        <v>32986.969076571811</v>
      </c>
      <c r="T127" s="515">
        <f>'OPEX - Concept C1 - Carnival'!AA87</f>
        <v>33646.708458103247</v>
      </c>
      <c r="U127" s="515">
        <f>'OPEX - Concept C1 - Carnival'!AB87</f>
        <v>34319.642627265312</v>
      </c>
      <c r="V127" s="515">
        <f>'OPEX - Concept C1 - Carnival'!AC87</f>
        <v>35006.03547981062</v>
      </c>
      <c r="W127" s="515">
        <f>'OPEX - Concept C1 - Carnival'!AD87</f>
        <v>35706.156189406836</v>
      </c>
      <c r="X127" s="515">
        <f>'OPEX - Concept C1 - Carnival'!AE87</f>
        <v>36420.279313194973</v>
      </c>
    </row>
    <row r="128" spans="1:27" s="96" customFormat="1">
      <c r="A128" s="69" t="s">
        <v>424</v>
      </c>
      <c r="B128" s="69"/>
      <c r="C128" s="69"/>
      <c r="D128" s="514">
        <v>0</v>
      </c>
      <c r="E128" s="515">
        <f>'OPEX - Concept C1 - Carnival'!L88</f>
        <v>10000</v>
      </c>
      <c r="F128" s="515">
        <f>'OPEX - Concept C1 - Carnival'!M88</f>
        <v>500</v>
      </c>
      <c r="G128" s="515">
        <f>'OPEX - Concept C1 - Carnival'!N88</f>
        <v>520.20000000000005</v>
      </c>
      <c r="H128" s="515">
        <f>'OPEX - Concept C1 - Carnival'!O88</f>
        <v>530.60399999999993</v>
      </c>
      <c r="I128" s="515">
        <f>'OPEX - Concept C1 - Carnival'!P88</f>
        <v>541.21608000000003</v>
      </c>
      <c r="J128" s="515">
        <f>'OPEX - Concept C1 - Carnival'!Q88</f>
        <v>5000</v>
      </c>
      <c r="K128" s="515">
        <f>'OPEX - Concept C1 - Carnival'!R88</f>
        <v>563.08120963200008</v>
      </c>
      <c r="L128" s="515">
        <f>'OPEX - Concept C1 - Carnival'!S88</f>
        <v>574.34283382464002</v>
      </c>
      <c r="M128" s="515">
        <f>'OPEX - Concept C1 - Carnival'!T88</f>
        <v>585.82969050113286</v>
      </c>
      <c r="N128" s="515">
        <f>'OPEX - Concept C1 - Carnival'!U88</f>
        <v>597.54628431115555</v>
      </c>
      <c r="O128" s="515">
        <f>'OPEX - Concept C1 - Carnival'!V88</f>
        <v>5000</v>
      </c>
      <c r="P128" s="515">
        <f>'OPEX - Concept C1 - Carnival'!W88</f>
        <v>621.68715419732621</v>
      </c>
      <c r="Q128" s="515">
        <f>'OPEX - Concept C1 - Carnival'!X88</f>
        <v>634.12089728127273</v>
      </c>
      <c r="R128" s="515">
        <f>'OPEX - Concept C1 - Carnival'!Y88</f>
        <v>646.80331522689812</v>
      </c>
      <c r="S128" s="515">
        <f>'OPEX - Concept C1 - Carnival'!Z88</f>
        <v>659.73938153143615</v>
      </c>
      <c r="T128" s="515">
        <f>'OPEX - Concept C1 - Carnival'!AA88</f>
        <v>5000</v>
      </c>
      <c r="U128" s="515">
        <f>'OPEX - Concept C1 - Carnival'!AB88</f>
        <v>686.39285254530625</v>
      </c>
      <c r="V128" s="515">
        <f>'OPEX - Concept C1 - Carnival'!AC88</f>
        <v>700.12070959621246</v>
      </c>
      <c r="W128" s="515">
        <f>'OPEX - Concept C1 - Carnival'!AD88</f>
        <v>714.1231237881367</v>
      </c>
      <c r="X128" s="515">
        <f>'OPEX - Concept C1 - Carnival'!AE88</f>
        <v>728.40558626389941</v>
      </c>
    </row>
    <row r="129" spans="1:24" s="96" customFormat="1">
      <c r="A129" s="69" t="s">
        <v>42</v>
      </c>
      <c r="B129" s="69"/>
      <c r="C129" s="69"/>
      <c r="D129" s="514">
        <v>0</v>
      </c>
      <c r="E129" s="515">
        <f>'OPEX - Concept C1 - Carnival'!L89</f>
        <v>50000</v>
      </c>
      <c r="F129" s="515">
        <f>'OPEX - Concept C1 - Carnival'!M89</f>
        <v>51000</v>
      </c>
      <c r="G129" s="515">
        <f>'OPEX - Concept C1 - Carnival'!N89</f>
        <v>52020</v>
      </c>
      <c r="H129" s="515">
        <f>'OPEX - Concept C1 - Carnival'!O89</f>
        <v>53060.399999999994</v>
      </c>
      <c r="I129" s="515">
        <f>'OPEX - Concept C1 - Carnival'!P89</f>
        <v>54121.608</v>
      </c>
      <c r="J129" s="515">
        <f>'OPEX - Concept C1 - Carnival'!Q89</f>
        <v>55204.040160000004</v>
      </c>
      <c r="K129" s="515">
        <f>'OPEX - Concept C1 - Carnival'!R89</f>
        <v>56308.120963200003</v>
      </c>
      <c r="L129" s="515">
        <f>'OPEX - Concept C1 - Carnival'!S89</f>
        <v>57434.283382464004</v>
      </c>
      <c r="M129" s="515">
        <f>'OPEX - Concept C1 - Carnival'!T89</f>
        <v>58582.969050113286</v>
      </c>
      <c r="N129" s="515">
        <f>'OPEX - Concept C1 - Carnival'!U89</f>
        <v>59754.628431115554</v>
      </c>
      <c r="O129" s="515">
        <f>'OPEX - Concept C1 - Carnival'!V89</f>
        <v>60949.720999737867</v>
      </c>
      <c r="P129" s="515">
        <f>'OPEX - Concept C1 - Carnival'!W89</f>
        <v>62168.715419732624</v>
      </c>
      <c r="Q129" s="515">
        <f>'OPEX - Concept C1 - Carnival'!X89</f>
        <v>63412.089728127277</v>
      </c>
      <c r="R129" s="515">
        <f>'OPEX - Concept C1 - Carnival'!Y89</f>
        <v>64680.331522689812</v>
      </c>
      <c r="S129" s="515">
        <f>'OPEX - Concept C1 - Carnival'!Z89</f>
        <v>65973.938153143623</v>
      </c>
      <c r="T129" s="515">
        <f>'OPEX - Concept C1 - Carnival'!AA89</f>
        <v>67293.416916206494</v>
      </c>
      <c r="U129" s="515">
        <f>'OPEX - Concept C1 - Carnival'!AB89</f>
        <v>68639.285254530623</v>
      </c>
      <c r="V129" s="515">
        <f>'OPEX - Concept C1 - Carnival'!AC89</f>
        <v>70012.07095962124</v>
      </c>
      <c r="W129" s="515">
        <f>'OPEX - Concept C1 - Carnival'!AD89</f>
        <v>71412.312378813673</v>
      </c>
      <c r="X129" s="515">
        <f>'OPEX - Concept C1 - Carnival'!AE89</f>
        <v>72840.558626389946</v>
      </c>
    </row>
    <row r="130" spans="1:24" s="96" customFormat="1">
      <c r="A130" s="69" t="s">
        <v>43</v>
      </c>
      <c r="B130" s="69"/>
      <c r="C130" s="69"/>
      <c r="D130" s="514">
        <v>0</v>
      </c>
      <c r="E130" s="515">
        <f>'OPEX - Concept C1 - Carnival'!L90</f>
        <v>500</v>
      </c>
      <c r="F130" s="515">
        <f>'OPEX - Concept C1 - Carnival'!M90</f>
        <v>1530</v>
      </c>
      <c r="G130" s="515">
        <f>'OPEX - Concept C1 - Carnival'!N90</f>
        <v>1560.6</v>
      </c>
      <c r="H130" s="515">
        <f>'OPEX - Concept C1 - Carnival'!O90</f>
        <v>1591.8119999999999</v>
      </c>
      <c r="I130" s="515">
        <f>'OPEX - Concept C1 - Carnival'!P90</f>
        <v>1623.64824</v>
      </c>
      <c r="J130" s="515">
        <f>'OPEX - Concept C1 - Carnival'!Q90</f>
        <v>1656.1212048</v>
      </c>
      <c r="K130" s="515">
        <f>'OPEX - Concept C1 - Carnival'!R90</f>
        <v>1689.243628896</v>
      </c>
      <c r="L130" s="515">
        <f>'OPEX - Concept C1 - Carnival'!S90</f>
        <v>1723.02850147392</v>
      </c>
      <c r="M130" s="515">
        <f>'OPEX - Concept C1 - Carnival'!T90</f>
        <v>1757.4890715033987</v>
      </c>
      <c r="N130" s="515">
        <f>'OPEX - Concept C1 - Carnival'!U90</f>
        <v>1792.6388529334665</v>
      </c>
      <c r="O130" s="515">
        <f>'OPEX - Concept C1 - Carnival'!V90</f>
        <v>1828.491629992136</v>
      </c>
      <c r="P130" s="515">
        <f>'OPEX - Concept C1 - Carnival'!W90</f>
        <v>1865.0614625919786</v>
      </c>
      <c r="Q130" s="515">
        <f>'OPEX - Concept C1 - Carnival'!X90</f>
        <v>1902.3626918438183</v>
      </c>
      <c r="R130" s="515">
        <f>'OPEX - Concept C1 - Carnival'!Y90</f>
        <v>1940.4099456806944</v>
      </c>
      <c r="S130" s="515">
        <f>'OPEX - Concept C1 - Carnival'!Z90</f>
        <v>1979.2181445943086</v>
      </c>
      <c r="T130" s="515">
        <f>'OPEX - Concept C1 - Carnival'!AA90</f>
        <v>2018.8025074861948</v>
      </c>
      <c r="U130" s="515">
        <f>'OPEX - Concept C1 - Carnival'!AB90</f>
        <v>2059.1785576359189</v>
      </c>
      <c r="V130" s="515">
        <f>'OPEX - Concept C1 - Carnival'!AC90</f>
        <v>2100.3621287886372</v>
      </c>
      <c r="W130" s="515">
        <f>'OPEX - Concept C1 - Carnival'!AD90</f>
        <v>2142.3693713644102</v>
      </c>
      <c r="X130" s="515">
        <f>'OPEX - Concept C1 - Carnival'!AE90</f>
        <v>2185.2167587916983</v>
      </c>
    </row>
    <row r="131" spans="1:24" s="96" customFormat="1">
      <c r="A131" s="69" t="s">
        <v>44</v>
      </c>
      <c r="B131" s="69"/>
      <c r="C131" s="69"/>
      <c r="D131" s="514">
        <v>0</v>
      </c>
      <c r="E131" s="515">
        <f>'OPEX - Concept C1 - Carnival'!L91</f>
        <v>250</v>
      </c>
      <c r="F131" s="515">
        <f>'OPEX - Concept C1 - Carnival'!M91</f>
        <v>765</v>
      </c>
      <c r="G131" s="515">
        <f>'OPEX - Concept C1 - Carnival'!N91</f>
        <v>780.3</v>
      </c>
      <c r="H131" s="515">
        <f>'OPEX - Concept C1 - Carnival'!O91</f>
        <v>795.90599999999995</v>
      </c>
      <c r="I131" s="515">
        <f>'OPEX - Concept C1 - Carnival'!P91</f>
        <v>811.82411999999999</v>
      </c>
      <c r="J131" s="515">
        <f>'OPEX - Concept C1 - Carnival'!Q91</f>
        <v>828.06060239999999</v>
      </c>
      <c r="K131" s="515">
        <f>'OPEX - Concept C1 - Carnival'!R91</f>
        <v>844.62181444800001</v>
      </c>
      <c r="L131" s="515">
        <f>'OPEX - Concept C1 - Carnival'!S91</f>
        <v>861.51425073695998</v>
      </c>
      <c r="M131" s="515">
        <f>'OPEX - Concept C1 - Carnival'!T91</f>
        <v>878.74453575169935</v>
      </c>
      <c r="N131" s="515">
        <f>'OPEX - Concept C1 - Carnival'!U91</f>
        <v>896.31942646673326</v>
      </c>
      <c r="O131" s="515">
        <f>'OPEX - Concept C1 - Carnival'!V91</f>
        <v>914.24581499606802</v>
      </c>
      <c r="P131" s="515">
        <f>'OPEX - Concept C1 - Carnival'!W91</f>
        <v>932.53073129598931</v>
      </c>
      <c r="Q131" s="515">
        <f>'OPEX - Concept C1 - Carnival'!X91</f>
        <v>951.18134592190916</v>
      </c>
      <c r="R131" s="515">
        <f>'OPEX - Concept C1 - Carnival'!Y91</f>
        <v>970.20497284034718</v>
      </c>
      <c r="S131" s="515">
        <f>'OPEX - Concept C1 - Carnival'!Z91</f>
        <v>989.60907229715428</v>
      </c>
      <c r="T131" s="515">
        <f>'OPEX - Concept C1 - Carnival'!AA91</f>
        <v>1009.4012537430974</v>
      </c>
      <c r="U131" s="515">
        <f>'OPEX - Concept C1 - Carnival'!AB91</f>
        <v>1029.5892788179594</v>
      </c>
      <c r="V131" s="515">
        <f>'OPEX - Concept C1 - Carnival'!AC91</f>
        <v>1050.1810643943186</v>
      </c>
      <c r="W131" s="515">
        <f>'OPEX - Concept C1 - Carnival'!AD91</f>
        <v>1071.1846856822051</v>
      </c>
      <c r="X131" s="515">
        <f>'OPEX - Concept C1 - Carnival'!AE91</f>
        <v>1092.6083793958492</v>
      </c>
    </row>
    <row r="132" spans="1:24" s="96" customFormat="1">
      <c r="A132" s="69" t="s">
        <v>2</v>
      </c>
      <c r="B132" s="69"/>
      <c r="C132" s="69"/>
      <c r="D132" s="514">
        <v>0</v>
      </c>
      <c r="E132" s="515">
        <f>'OPEX - Concept C1 - Carnival'!L92</f>
        <v>1000</v>
      </c>
      <c r="F132" s="515">
        <f>'OPEX - Concept C1 - Carnival'!M92</f>
        <v>1020</v>
      </c>
      <c r="G132" s="515">
        <f>'OPEX - Concept C1 - Carnival'!N92</f>
        <v>1040.4000000000001</v>
      </c>
      <c r="H132" s="515">
        <f>'OPEX - Concept C1 - Carnival'!O92</f>
        <v>1061.2079999999999</v>
      </c>
      <c r="I132" s="515">
        <f>'OPEX - Concept C1 - Carnival'!P92</f>
        <v>1082.4321600000001</v>
      </c>
      <c r="J132" s="515">
        <f>'OPEX - Concept C1 - Carnival'!Q92</f>
        <v>1104.0808032</v>
      </c>
      <c r="K132" s="515">
        <f>'OPEX - Concept C1 - Carnival'!R92</f>
        <v>1126.1624192640002</v>
      </c>
      <c r="L132" s="515">
        <f>'OPEX - Concept C1 - Carnival'!S92</f>
        <v>1148.68566764928</v>
      </c>
      <c r="M132" s="515">
        <f>'OPEX - Concept C1 - Carnival'!T92</f>
        <v>1171.6593810022657</v>
      </c>
      <c r="N132" s="515">
        <f>'OPEX - Concept C1 - Carnival'!U92</f>
        <v>1195.0925686223111</v>
      </c>
      <c r="O132" s="515">
        <f>'OPEX - Concept C1 - Carnival'!V92</f>
        <v>1218.9944199947574</v>
      </c>
      <c r="P132" s="515">
        <f>'OPEX - Concept C1 - Carnival'!W92</f>
        <v>1243.3743083946524</v>
      </c>
      <c r="Q132" s="515">
        <f>'OPEX - Concept C1 - Carnival'!X92</f>
        <v>1268.2417945625455</v>
      </c>
      <c r="R132" s="515">
        <f>'OPEX - Concept C1 - Carnival'!Y92</f>
        <v>1293.6066304537962</v>
      </c>
      <c r="S132" s="515">
        <f>'OPEX - Concept C1 - Carnival'!Z92</f>
        <v>1319.4787630628723</v>
      </c>
      <c r="T132" s="515">
        <f>'OPEX - Concept C1 - Carnival'!AA92</f>
        <v>1345.8683383241298</v>
      </c>
      <c r="U132" s="515">
        <f>'OPEX - Concept C1 - Carnival'!AB92</f>
        <v>1372.7857050906125</v>
      </c>
      <c r="V132" s="515">
        <f>'OPEX - Concept C1 - Carnival'!AC92</f>
        <v>1400.2414191924249</v>
      </c>
      <c r="W132" s="515">
        <f>'OPEX - Concept C1 - Carnival'!AD92</f>
        <v>1428.2462475762734</v>
      </c>
      <c r="X132" s="515">
        <f>'OPEX - Concept C1 - Carnival'!AE92</f>
        <v>1456.8111725277988</v>
      </c>
    </row>
    <row r="133" spans="1:24" s="167" customFormat="1">
      <c r="A133" s="591"/>
      <c r="B133" s="591"/>
      <c r="C133" s="591"/>
      <c r="D133" s="592"/>
      <c r="E133" s="593"/>
      <c r="F133" s="593"/>
      <c r="G133" s="593"/>
      <c r="H133" s="593"/>
      <c r="I133" s="593"/>
      <c r="J133" s="593"/>
      <c r="K133" s="593"/>
      <c r="L133" s="593"/>
      <c r="M133" s="593"/>
      <c r="N133" s="593"/>
      <c r="O133" s="593"/>
      <c r="P133" s="593"/>
      <c r="Q133" s="593"/>
      <c r="R133" s="593"/>
      <c r="S133" s="593"/>
      <c r="T133" s="593"/>
      <c r="U133" s="593"/>
      <c r="V133" s="593"/>
      <c r="W133" s="593"/>
      <c r="X133" s="593"/>
    </row>
    <row r="134" spans="1:24" s="96" customFormat="1">
      <c r="A134" s="1012" t="s">
        <v>25</v>
      </c>
      <c r="B134" s="69"/>
      <c r="C134" s="69"/>
      <c r="D134" s="514">
        <v>0</v>
      </c>
      <c r="E134" s="515">
        <f>'OPEX - Concept C1 - Carnival'!L108</f>
        <v>34183.333333333328</v>
      </c>
      <c r="F134" s="515">
        <f>'OPEX - Concept C1 - Carnival'!M108</f>
        <v>34867</v>
      </c>
      <c r="G134" s="515">
        <f>'OPEX - Concept C1 - Carnival'!N108</f>
        <v>35564.339999999997</v>
      </c>
      <c r="H134" s="515">
        <f>'OPEX - Concept C1 - Carnival'!O108</f>
        <v>36275.626799999998</v>
      </c>
      <c r="I134" s="515">
        <f>'OPEX - Concept C1 - Carnival'!P108</f>
        <v>37001.139335999993</v>
      </c>
      <c r="J134" s="515">
        <f>'OPEX - Concept C1 - Carnival'!Q108</f>
        <v>37741.162122720001</v>
      </c>
      <c r="K134" s="515">
        <f>'OPEX - Concept C1 - Carnival'!R108</f>
        <v>38495.985365174398</v>
      </c>
      <c r="L134" s="515">
        <f>'OPEX - Concept C1 - Carnival'!S108</f>
        <v>39265.905072477886</v>
      </c>
      <c r="M134" s="515">
        <f>'OPEX - Concept C1 - Carnival'!T108</f>
        <v>40051.22317392745</v>
      </c>
      <c r="N134" s="515">
        <f>'OPEX - Concept C1 - Carnival'!U108</f>
        <v>40852.247637405999</v>
      </c>
      <c r="O134" s="515">
        <f>'OPEX - Concept C1 - Carnival'!V108</f>
        <v>41669.292590154117</v>
      </c>
      <c r="P134" s="515">
        <f>'OPEX - Concept C1 - Carnival'!W108</f>
        <v>42502.6784419572</v>
      </c>
      <c r="Q134" s="515">
        <f>'OPEX - Concept C1 - Carnival'!X108</f>
        <v>43352.732010796346</v>
      </c>
      <c r="R134" s="515">
        <f>'OPEX - Concept C1 - Carnival'!Y108</f>
        <v>44219.786651012269</v>
      </c>
      <c r="S134" s="515">
        <f>'OPEX - Concept C1 - Carnival'!Z108</f>
        <v>45104.182384032523</v>
      </c>
      <c r="T134" s="515">
        <f>'OPEX - Concept C1 - Carnival'!AA108</f>
        <v>46006.266031713167</v>
      </c>
      <c r="U134" s="515">
        <f>'OPEX - Concept C1 - Carnival'!AB108</f>
        <v>46926.39135234744</v>
      </c>
      <c r="V134" s="515">
        <f>'OPEX - Concept C1 - Carnival'!AC108</f>
        <v>47864.91917939439</v>
      </c>
      <c r="W134" s="515">
        <f>'OPEX - Concept C1 - Carnival'!AD108</f>
        <v>48822.217562982281</v>
      </c>
      <c r="X134" s="515">
        <f>'OPEX - Concept C1 - Carnival'!AE108</f>
        <v>49798.661914241922</v>
      </c>
    </row>
    <row r="135" spans="1:24" s="96" customFormat="1">
      <c r="A135" s="782" t="s">
        <v>426</v>
      </c>
      <c r="B135" s="69"/>
      <c r="C135" s="69"/>
      <c r="D135" s="514">
        <v>0</v>
      </c>
      <c r="E135" s="515">
        <f>'OPEX - Concept C1 - Carnival'!L96</f>
        <v>1000</v>
      </c>
      <c r="F135" s="515">
        <f>'OPEX - Concept C1 - Carnival'!M96</f>
        <v>1020</v>
      </c>
      <c r="G135" s="515">
        <f>'OPEX - Concept C1 - Carnival'!N96</f>
        <v>1040.4000000000001</v>
      </c>
      <c r="H135" s="515">
        <f>'OPEX - Concept C1 - Carnival'!O96</f>
        <v>1061.2079999999999</v>
      </c>
      <c r="I135" s="515">
        <f>'OPEX - Concept C1 - Carnival'!P96</f>
        <v>1082.4321600000001</v>
      </c>
      <c r="J135" s="515">
        <f>'OPEX - Concept C1 - Carnival'!Q96</f>
        <v>25000</v>
      </c>
      <c r="K135" s="515">
        <f>'OPEX - Concept C1 - Carnival'!R96</f>
        <v>25500</v>
      </c>
      <c r="L135" s="515">
        <f>'OPEX - Concept C1 - Carnival'!S96</f>
        <v>26010</v>
      </c>
      <c r="M135" s="515">
        <f>'OPEX - Concept C1 - Carnival'!T96</f>
        <v>26530.199999999997</v>
      </c>
      <c r="N135" s="515">
        <f>'OPEX - Concept C1 - Carnival'!U96</f>
        <v>27060.804</v>
      </c>
      <c r="O135" s="515">
        <f>'OPEX - Concept C1 - Carnival'!V96</f>
        <v>27602.020080000002</v>
      </c>
      <c r="P135" s="515">
        <f>'OPEX - Concept C1 - Carnival'!W96</f>
        <v>28154.060481600001</v>
      </c>
      <c r="Q135" s="515">
        <f>'OPEX - Concept C1 - Carnival'!X96</f>
        <v>28717.141691232002</v>
      </c>
      <c r="R135" s="515">
        <f>'OPEX - Concept C1 - Carnival'!Y96</f>
        <v>29291.484525056643</v>
      </c>
      <c r="S135" s="515">
        <f>'OPEX - Concept C1 - Carnival'!Z96</f>
        <v>29877.314215557777</v>
      </c>
      <c r="T135" s="515">
        <f>'OPEX - Concept C1 - Carnival'!AA96</f>
        <v>30474.860499868933</v>
      </c>
      <c r="U135" s="515">
        <f>'OPEX - Concept C1 - Carnival'!AB96</f>
        <v>31084.357709866312</v>
      </c>
      <c r="V135" s="515">
        <f>'OPEX - Concept C1 - Carnival'!AC96</f>
        <v>31706.044864063639</v>
      </c>
      <c r="W135" s="515">
        <f>'OPEX - Concept C1 - Carnival'!AD96</f>
        <v>32340.165761344906</v>
      </c>
      <c r="X135" s="515">
        <f>'OPEX - Concept C1 - Carnival'!AE96</f>
        <v>32986.969076571811</v>
      </c>
    </row>
    <row r="136" spans="1:24" s="96" customFormat="1">
      <c r="A136" s="644" t="s">
        <v>302</v>
      </c>
      <c r="B136" s="69"/>
      <c r="C136" s="69"/>
      <c r="D136" s="514">
        <v>0</v>
      </c>
      <c r="E136" s="515">
        <f>'Shuttle Projections'!C39/2</f>
        <v>233675</v>
      </c>
      <c r="F136" s="515">
        <f>'Shuttle Projections'!D39</f>
        <v>476697</v>
      </c>
      <c r="G136" s="515">
        <f>'Shuttle Projections'!E39</f>
        <v>486230.94000000006</v>
      </c>
      <c r="H136" s="515">
        <f>'Shuttle Projections'!F39</f>
        <v>495955.55879999994</v>
      </c>
      <c r="I136" s="515">
        <f>'Shuttle Projections'!G39</f>
        <v>505874.66997599998</v>
      </c>
      <c r="J136" s="515">
        <f>'Shuttle Projections'!H39</f>
        <v>515992.16337552003</v>
      </c>
      <c r="K136" s="515">
        <f>'Shuttle Projections'!I39</f>
        <v>526312.00664303044</v>
      </c>
      <c r="L136" s="515">
        <f>'Shuttle Projections'!J39</f>
        <v>536838.24677589093</v>
      </c>
      <c r="M136" s="515">
        <f>'Shuttle Projections'!K39</f>
        <v>547575.01171140897</v>
      </c>
      <c r="N136" s="515">
        <f>'Shuttle Projections'!L39</f>
        <v>558526.51194563706</v>
      </c>
      <c r="O136" s="515">
        <f>'Shuttle Projections'!M39</f>
        <v>569697.04218454985</v>
      </c>
      <c r="P136" s="515">
        <f>'Shuttle Projections'!N39</f>
        <v>581090.98302824085</v>
      </c>
      <c r="Q136" s="515">
        <f>'Shuttle Projections'!O39</f>
        <v>592712.80268880562</v>
      </c>
      <c r="R136" s="515">
        <f>'Shuttle Projections'!P39</f>
        <v>604567.05874258175</v>
      </c>
      <c r="S136" s="515">
        <f>'Shuttle Projections'!Q39</f>
        <v>616658.39991743339</v>
      </c>
      <c r="T136" s="515">
        <f>'Shuttle Projections'!R39</f>
        <v>628991.5679157821</v>
      </c>
      <c r="U136" s="515">
        <f>'Shuttle Projections'!S39</f>
        <v>641571.39927409776</v>
      </c>
      <c r="V136" s="515">
        <f>'Shuttle Projections'!T39</f>
        <v>654402.82725957979</v>
      </c>
      <c r="W136" s="515">
        <f>'Shuttle Projections'!U39</f>
        <v>667490.88380477135</v>
      </c>
      <c r="X136" s="515">
        <f>'Shuttle Projections'!V39</f>
        <v>680840.70148086676</v>
      </c>
    </row>
    <row r="137" spans="1:24" s="16" customFormat="1" ht="14.25">
      <c r="A137" s="282" t="s">
        <v>132</v>
      </c>
      <c r="B137" s="276"/>
      <c r="C137" s="276"/>
      <c r="D137" s="516">
        <f>SUM(D125:D136)</f>
        <v>0</v>
      </c>
      <c r="E137" s="517">
        <f t="shared" ref="E137:X137" si="18">SUM(E126:E136)</f>
        <v>367858.33333333331</v>
      </c>
      <c r="F137" s="517">
        <f t="shared" si="18"/>
        <v>743399</v>
      </c>
      <c r="G137" s="517">
        <f t="shared" si="18"/>
        <v>758277.18</v>
      </c>
      <c r="H137" s="517">
        <f t="shared" si="18"/>
        <v>773442.72359999991</v>
      </c>
      <c r="I137" s="517">
        <f t="shared" si="18"/>
        <v>788911.57807200006</v>
      </c>
      <c r="J137" s="517">
        <f t="shared" si="18"/>
        <v>833033.68842864002</v>
      </c>
      <c r="K137" s="517">
        <f t="shared" si="18"/>
        <v>845157.44340684474</v>
      </c>
      <c r="L137" s="517">
        <f t="shared" si="18"/>
        <v>862060.59227498155</v>
      </c>
      <c r="M137" s="517">
        <f t="shared" si="18"/>
        <v>879301.80412048148</v>
      </c>
      <c r="N137" s="517">
        <f t="shared" si="18"/>
        <v>896887.84020289104</v>
      </c>
      <c r="O137" s="517">
        <f t="shared" si="18"/>
        <v>919216.09979695152</v>
      </c>
      <c r="P137" s="517">
        <f t="shared" si="18"/>
        <v>933122.10894708801</v>
      </c>
      <c r="Q137" s="517">
        <f t="shared" si="18"/>
        <v>951784.55112602958</v>
      </c>
      <c r="R137" s="517">
        <f t="shared" si="18"/>
        <v>970820.24214855011</v>
      </c>
      <c r="S137" s="517">
        <f t="shared" si="18"/>
        <v>990236.64699152112</v>
      </c>
      <c r="T137" s="517">
        <f t="shared" si="18"/>
        <v>1014368.4457621896</v>
      </c>
      <c r="U137" s="517">
        <f t="shared" si="18"/>
        <v>1030242.2075299788</v>
      </c>
      <c r="V137" s="517">
        <f t="shared" si="18"/>
        <v>1050847.0516805784</v>
      </c>
      <c r="W137" s="517">
        <f t="shared" si="18"/>
        <v>1071863.9927141899</v>
      </c>
      <c r="X137" s="517">
        <f t="shared" si="18"/>
        <v>1093301.2725684738</v>
      </c>
    </row>
    <row r="138" spans="1:24">
      <c r="A138" s="92"/>
      <c r="B138" s="69"/>
      <c r="C138" s="69"/>
      <c r="D138" s="514"/>
      <c r="E138" s="515"/>
      <c r="F138" s="515"/>
      <c r="G138" s="515"/>
      <c r="H138" s="515"/>
      <c r="I138" s="515"/>
      <c r="J138" s="515"/>
      <c r="K138" s="515"/>
      <c r="L138" s="515"/>
      <c r="M138" s="515"/>
      <c r="N138" s="515"/>
      <c r="O138" s="515"/>
      <c r="P138" s="515"/>
      <c r="Q138" s="515"/>
      <c r="R138" s="515"/>
      <c r="S138" s="515"/>
      <c r="T138" s="515"/>
      <c r="U138" s="515"/>
      <c r="V138" s="515"/>
      <c r="W138" s="515"/>
      <c r="X138" s="515"/>
    </row>
    <row r="139" spans="1:24">
      <c r="A139" s="269" t="s">
        <v>85</v>
      </c>
      <c r="B139" s="269"/>
      <c r="C139" s="270"/>
      <c r="D139" s="513"/>
      <c r="E139" s="513"/>
      <c r="F139" s="513"/>
      <c r="G139" s="513"/>
      <c r="H139" s="513"/>
      <c r="I139" s="513"/>
      <c r="J139" s="513"/>
      <c r="K139" s="513"/>
      <c r="L139" s="513"/>
      <c r="M139" s="513"/>
      <c r="N139" s="513"/>
      <c r="O139" s="513"/>
      <c r="P139" s="513"/>
      <c r="Q139" s="513"/>
      <c r="R139" s="513"/>
      <c r="S139" s="513"/>
      <c r="T139" s="513"/>
      <c r="U139" s="513"/>
      <c r="V139" s="513"/>
      <c r="W139" s="513"/>
      <c r="X139" s="513"/>
    </row>
    <row r="140" spans="1:24" s="368" customFormat="1">
      <c r="A140" s="263"/>
      <c r="B140" s="263"/>
      <c r="C140" s="367"/>
      <c r="D140" s="514"/>
      <c r="E140" s="515"/>
      <c r="F140" s="515"/>
      <c r="G140" s="515"/>
      <c r="H140" s="515"/>
      <c r="I140" s="515"/>
      <c r="J140" s="515"/>
      <c r="K140" s="515"/>
      <c r="L140" s="515"/>
      <c r="M140" s="515"/>
      <c r="N140" s="515"/>
      <c r="O140" s="515"/>
      <c r="P140" s="515"/>
      <c r="Q140" s="515"/>
      <c r="R140" s="515"/>
      <c r="S140" s="515"/>
      <c r="T140" s="515"/>
      <c r="U140" s="515"/>
      <c r="V140" s="515"/>
      <c r="W140" s="515"/>
      <c r="X140" s="515"/>
    </row>
    <row r="141" spans="1:24" s="58" customFormat="1">
      <c r="A141" s="69" t="s">
        <v>0</v>
      </c>
      <c r="B141" s="263"/>
      <c r="C141" s="783"/>
      <c r="D141" s="514">
        <v>0</v>
      </c>
      <c r="E141" s="515">
        <f>'OPEX - Concept C1 - Carnival'!L131</f>
        <v>0</v>
      </c>
      <c r="F141" s="515">
        <f>'OPEX - Concept C1 - Carnival'!M131</f>
        <v>54570</v>
      </c>
      <c r="G141" s="515">
        <f>'OPEX - Concept C1 - Carnival'!N131</f>
        <v>56774.628000000004</v>
      </c>
      <c r="H141" s="515">
        <f>'OPEX - Concept C1 - Carnival'!O131</f>
        <v>57910.120559999996</v>
      </c>
      <c r="I141" s="515">
        <f>'OPEX - Concept C1 - Carnival'!P131</f>
        <v>59068.322971199988</v>
      </c>
      <c r="J141" s="515">
        <f>'OPEX - Concept C1 - Carnival'!Q131</f>
        <v>60249.689430623999</v>
      </c>
      <c r="K141" s="515">
        <f>'OPEX - Concept C1 - Carnival'!R131</f>
        <v>61454.683219236475</v>
      </c>
      <c r="L141" s="515">
        <f>'OPEX - Concept C1 - Carnival'!S131</f>
        <v>62683.776883621205</v>
      </c>
      <c r="M141" s="515">
        <f>'OPEX - Concept C1 - Carnival'!T131</f>
        <v>63937.452421293638</v>
      </c>
      <c r="N141" s="515">
        <f>'OPEX - Concept C1 - Carnival'!U131</f>
        <v>65216.201469719512</v>
      </c>
      <c r="O141" s="515">
        <f>'OPEX - Concept C1 - Carnival'!V131</f>
        <v>66520.525499113894</v>
      </c>
      <c r="P141" s="515">
        <f>'OPEX - Concept C1 - Carnival'!W131</f>
        <v>67850.936009096185</v>
      </c>
      <c r="Q141" s="515">
        <f>'OPEX - Concept C1 - Carnival'!X131</f>
        <v>69207.954729278121</v>
      </c>
      <c r="R141" s="515">
        <f>'OPEX - Concept C1 - Carnival'!Y131</f>
        <v>70592.113823863678</v>
      </c>
      <c r="S141" s="515">
        <f>'OPEX - Concept C1 - Carnival'!Z131</f>
        <v>72003.956100340947</v>
      </c>
      <c r="T141" s="515">
        <f>'OPEX - Concept C1 - Carnival'!AA131</f>
        <v>73444.035222347768</v>
      </c>
      <c r="U141" s="515">
        <f>'OPEX - Concept C1 - Carnival'!AB131</f>
        <v>74912.915926794725</v>
      </c>
      <c r="V141" s="515">
        <f>'OPEX - Concept C1 - Carnival'!AC131</f>
        <v>76411.174245330621</v>
      </c>
      <c r="W141" s="515">
        <f>'OPEX - Concept C1 - Carnival'!AD131</f>
        <v>77939.397730237237</v>
      </c>
      <c r="X141" s="515">
        <f>'OPEX - Concept C1 - Carnival'!AE131</f>
        <v>79498.18568484197</v>
      </c>
    </row>
    <row r="142" spans="1:24" s="58" customFormat="1">
      <c r="A142" s="69" t="s">
        <v>4</v>
      </c>
      <c r="B142" s="263"/>
      <c r="C142" s="783"/>
      <c r="D142" s="514">
        <v>0</v>
      </c>
      <c r="E142" s="515">
        <f>'OPEX - Concept C1 - Carnival'!L154</f>
        <v>0</v>
      </c>
      <c r="F142" s="515">
        <f>'OPEX - Concept C1 - Carnival'!M154</f>
        <v>85335.846153846156</v>
      </c>
      <c r="G142" s="515">
        <f>'OPEX - Concept C1 - Carnival'!N154</f>
        <v>87042.563076923077</v>
      </c>
      <c r="H142" s="515">
        <f>'OPEX - Concept C1 - Carnival'!O154</f>
        <v>88783.41433846156</v>
      </c>
      <c r="I142" s="515">
        <f>'OPEX - Concept C1 - Carnival'!P154</f>
        <v>90559.082625230774</v>
      </c>
      <c r="J142" s="515">
        <f>'OPEX - Concept C1 - Carnival'!Q154</f>
        <v>92370.264277735376</v>
      </c>
      <c r="K142" s="515">
        <f>'OPEX - Concept C1 - Carnival'!R154</f>
        <v>94217.669563290081</v>
      </c>
      <c r="L142" s="515">
        <f>'OPEX - Concept C1 - Carnival'!S154</f>
        <v>96102.022954555898</v>
      </c>
      <c r="M142" s="515">
        <f>'OPEX - Concept C1 - Carnival'!T154</f>
        <v>98024.063413647003</v>
      </c>
      <c r="N142" s="515">
        <f>'OPEX - Concept C1 - Carnival'!U154</f>
        <v>99984.544681919942</v>
      </c>
      <c r="O142" s="515">
        <f>'OPEX - Concept C1 - Carnival'!V154</f>
        <v>101984.23557555837</v>
      </c>
      <c r="P142" s="515">
        <f>'OPEX - Concept C1 - Carnival'!W154</f>
        <v>104023.92028706953</v>
      </c>
      <c r="Q142" s="515">
        <f>'OPEX - Concept C1 - Carnival'!X154</f>
        <v>106104.39869281092</v>
      </c>
      <c r="R142" s="515">
        <f>'OPEX - Concept C1 - Carnival'!Y154</f>
        <v>108226.48666666714</v>
      </c>
      <c r="S142" s="515">
        <f>'OPEX - Concept C1 - Carnival'!Z154</f>
        <v>110391.01640000047</v>
      </c>
      <c r="T142" s="515">
        <f>'OPEX - Concept C1 - Carnival'!AA154</f>
        <v>112598.8367280005</v>
      </c>
      <c r="U142" s="515">
        <f>'OPEX - Concept C1 - Carnival'!AB154</f>
        <v>114850.8134625605</v>
      </c>
      <c r="V142" s="515">
        <f>'OPEX - Concept C1 - Carnival'!AC154</f>
        <v>117147.82973181173</v>
      </c>
      <c r="W142" s="515">
        <f>'OPEX - Concept C1 - Carnival'!AD154</f>
        <v>119490.78632644797</v>
      </c>
      <c r="X142" s="515">
        <f>'OPEX - Concept C1 - Carnival'!AE154</f>
        <v>121880.60205297693</v>
      </c>
    </row>
    <row r="143" spans="1:24" s="16" customFormat="1" ht="14.25">
      <c r="A143" s="282" t="s">
        <v>133</v>
      </c>
      <c r="B143" s="276"/>
      <c r="C143" s="276"/>
      <c r="D143" s="516">
        <f>SUM(D141:D142)</f>
        <v>0</v>
      </c>
      <c r="E143" s="517">
        <f>SUM(E141:E142)</f>
        <v>0</v>
      </c>
      <c r="F143" s="517">
        <f t="shared" ref="F143:X143" si="19">SUM(F141:F142)</f>
        <v>139905.84615384616</v>
      </c>
      <c r="G143" s="517">
        <f t="shared" si="19"/>
        <v>143817.19107692307</v>
      </c>
      <c r="H143" s="517">
        <f t="shared" si="19"/>
        <v>146693.53489846154</v>
      </c>
      <c r="I143" s="517">
        <f t="shared" si="19"/>
        <v>149627.40559643076</v>
      </c>
      <c r="J143" s="517">
        <f t="shared" si="19"/>
        <v>152619.95370835939</v>
      </c>
      <c r="K143" s="517">
        <f t="shared" si="19"/>
        <v>155672.35278252655</v>
      </c>
      <c r="L143" s="517">
        <f t="shared" si="19"/>
        <v>158785.7998381771</v>
      </c>
      <c r="M143" s="517">
        <f t="shared" si="19"/>
        <v>161961.51583494066</v>
      </c>
      <c r="N143" s="517">
        <f t="shared" si="19"/>
        <v>165200.74615163944</v>
      </c>
      <c r="O143" s="517">
        <f t="shared" si="19"/>
        <v>168504.76107467228</v>
      </c>
      <c r="P143" s="517">
        <f t="shared" si="19"/>
        <v>171874.85629616573</v>
      </c>
      <c r="Q143" s="517">
        <f t="shared" si="19"/>
        <v>175312.35342208904</v>
      </c>
      <c r="R143" s="517">
        <f t="shared" si="19"/>
        <v>178818.60049053084</v>
      </c>
      <c r="S143" s="517">
        <f t="shared" si="19"/>
        <v>182394.97250034142</v>
      </c>
      <c r="T143" s="517">
        <f t="shared" si="19"/>
        <v>186042.87195034826</v>
      </c>
      <c r="U143" s="517">
        <f t="shared" si="19"/>
        <v>189763.72938935523</v>
      </c>
      <c r="V143" s="517">
        <f t="shared" si="19"/>
        <v>193559.00397714233</v>
      </c>
      <c r="W143" s="517">
        <f t="shared" si="19"/>
        <v>197430.18405668519</v>
      </c>
      <c r="X143" s="517">
        <f t="shared" si="19"/>
        <v>201378.7877378189</v>
      </c>
    </row>
    <row r="144" spans="1:24">
      <c r="A144" s="92"/>
      <c r="B144" s="92"/>
      <c r="C144" s="69"/>
      <c r="D144" s="514"/>
      <c r="E144" s="515"/>
      <c r="F144" s="515"/>
      <c r="G144" s="515"/>
      <c r="H144" s="515"/>
      <c r="I144" s="515"/>
      <c r="J144" s="515"/>
      <c r="K144" s="515"/>
      <c r="L144" s="515"/>
      <c r="M144" s="515"/>
      <c r="N144" s="515"/>
      <c r="O144" s="515"/>
      <c r="P144" s="515"/>
      <c r="Q144" s="515"/>
      <c r="R144" s="515"/>
      <c r="S144" s="515"/>
      <c r="T144" s="515"/>
      <c r="U144" s="515"/>
      <c r="V144" s="515"/>
      <c r="W144" s="515"/>
      <c r="X144" s="515"/>
    </row>
    <row r="145" spans="1:24" s="16" customFormat="1" ht="14.25">
      <c r="A145" s="350" t="s">
        <v>118</v>
      </c>
      <c r="B145" s="350"/>
      <c r="C145" s="351"/>
      <c r="D145" s="519">
        <f t="shared" ref="D145:X145" si="20">SUM(D137,D143)</f>
        <v>0</v>
      </c>
      <c r="E145" s="519">
        <f t="shared" si="20"/>
        <v>367858.33333333331</v>
      </c>
      <c r="F145" s="519">
        <f t="shared" si="20"/>
        <v>883304.84615384613</v>
      </c>
      <c r="G145" s="519">
        <f t="shared" si="20"/>
        <v>902094.3710769231</v>
      </c>
      <c r="H145" s="519">
        <f t="shared" si="20"/>
        <v>920136.25849846145</v>
      </c>
      <c r="I145" s="519">
        <f t="shared" si="20"/>
        <v>938538.98366843082</v>
      </c>
      <c r="J145" s="519">
        <f t="shared" si="20"/>
        <v>985653.64213699941</v>
      </c>
      <c r="K145" s="519">
        <f t="shared" si="20"/>
        <v>1000829.7961893713</v>
      </c>
      <c r="L145" s="519">
        <f t="shared" si="20"/>
        <v>1020846.3921131587</v>
      </c>
      <c r="M145" s="519">
        <f t="shared" si="20"/>
        <v>1041263.3199554221</v>
      </c>
      <c r="N145" s="519">
        <f t="shared" si="20"/>
        <v>1062088.5863545304</v>
      </c>
      <c r="O145" s="519">
        <f t="shared" si="20"/>
        <v>1087720.8608716237</v>
      </c>
      <c r="P145" s="519">
        <f t="shared" si="20"/>
        <v>1104996.9652432539</v>
      </c>
      <c r="Q145" s="519">
        <f t="shared" si="20"/>
        <v>1127096.9045481186</v>
      </c>
      <c r="R145" s="519">
        <f t="shared" si="20"/>
        <v>1149638.8426390809</v>
      </c>
      <c r="S145" s="519">
        <f t="shared" si="20"/>
        <v>1172631.6194918626</v>
      </c>
      <c r="T145" s="519">
        <f t="shared" si="20"/>
        <v>1200411.3177125379</v>
      </c>
      <c r="U145" s="519">
        <f t="shared" si="20"/>
        <v>1220005.9369193341</v>
      </c>
      <c r="V145" s="519">
        <f t="shared" si="20"/>
        <v>1244406.0556577207</v>
      </c>
      <c r="W145" s="519">
        <f t="shared" si="20"/>
        <v>1269294.1767708752</v>
      </c>
      <c r="X145" s="519">
        <f t="shared" si="20"/>
        <v>1294680.0603062927</v>
      </c>
    </row>
    <row r="146" spans="1:24" s="222" customFormat="1" ht="14.25">
      <c r="A146" s="280"/>
      <c r="B146" s="280"/>
      <c r="C146" s="263"/>
      <c r="D146" s="518"/>
      <c r="E146" s="520"/>
      <c r="F146" s="520"/>
      <c r="G146" s="520"/>
      <c r="H146" s="520"/>
      <c r="I146" s="520"/>
      <c r="J146" s="520"/>
      <c r="K146" s="520"/>
      <c r="L146" s="520"/>
      <c r="M146" s="520"/>
      <c r="N146" s="520"/>
      <c r="O146" s="520"/>
      <c r="P146" s="520"/>
      <c r="Q146" s="520"/>
      <c r="R146" s="520"/>
      <c r="S146" s="520"/>
      <c r="T146" s="520"/>
      <c r="U146" s="520"/>
      <c r="V146" s="520"/>
      <c r="W146" s="520"/>
      <c r="X146" s="520"/>
    </row>
    <row r="147" spans="1:24" s="222" customFormat="1" ht="14.25">
      <c r="A147" s="271" t="s">
        <v>295</v>
      </c>
      <c r="B147" s="271"/>
      <c r="C147" s="269"/>
      <c r="D147" s="521"/>
      <c r="E147" s="521"/>
      <c r="F147" s="521"/>
      <c r="G147" s="521"/>
      <c r="H147" s="521"/>
      <c r="I147" s="521"/>
      <c r="J147" s="521"/>
      <c r="K147" s="521"/>
      <c r="L147" s="521"/>
      <c r="M147" s="521"/>
      <c r="N147" s="521"/>
      <c r="O147" s="521"/>
      <c r="P147" s="521"/>
      <c r="Q147" s="521"/>
      <c r="R147" s="521"/>
      <c r="S147" s="521"/>
      <c r="T147" s="521"/>
      <c r="U147" s="521"/>
      <c r="V147" s="521"/>
      <c r="W147" s="521"/>
      <c r="X147" s="521"/>
    </row>
    <row r="148" spans="1:24" s="222" customFormat="1" ht="14.25">
      <c r="A148" s="280"/>
      <c r="B148" s="280"/>
      <c r="C148" s="263"/>
      <c r="D148" s="518"/>
      <c r="E148" s="520"/>
      <c r="F148" s="520"/>
      <c r="G148" s="520"/>
      <c r="H148" s="520"/>
      <c r="I148" s="520"/>
      <c r="J148" s="520"/>
      <c r="K148" s="520"/>
      <c r="L148" s="520"/>
      <c r="M148" s="520"/>
      <c r="N148" s="520"/>
      <c r="O148" s="520"/>
      <c r="P148" s="520"/>
      <c r="Q148" s="520"/>
      <c r="R148" s="520"/>
      <c r="S148" s="520"/>
      <c r="T148" s="520"/>
      <c r="U148" s="520"/>
      <c r="V148" s="520"/>
      <c r="W148" s="520"/>
      <c r="X148" s="520"/>
    </row>
    <row r="149" spans="1:24" s="725" customFormat="1">
      <c r="A149" s="353" t="s">
        <v>228</v>
      </c>
      <c r="B149" s="691"/>
      <c r="C149" s="724"/>
      <c r="D149" s="699">
        <v>0</v>
      </c>
      <c r="E149" s="700"/>
      <c r="F149" s="700"/>
      <c r="G149" s="700"/>
      <c r="H149" s="700"/>
      <c r="I149" s="700"/>
      <c r="J149" s="700"/>
      <c r="K149" s="700"/>
      <c r="L149" s="700"/>
      <c r="M149" s="700"/>
      <c r="N149" s="700"/>
      <c r="O149" s="700"/>
      <c r="P149" s="700"/>
      <c r="Q149" s="700"/>
      <c r="R149" s="700"/>
      <c r="S149" s="700"/>
      <c r="T149" s="700"/>
      <c r="U149" s="700"/>
      <c r="V149" s="700"/>
      <c r="W149" s="700"/>
      <c r="X149" s="700"/>
    </row>
    <row r="150" spans="1:24" s="725" customFormat="1">
      <c r="A150" s="726" t="s">
        <v>228</v>
      </c>
      <c r="B150" s="727"/>
      <c r="C150" s="728"/>
      <c r="D150" s="729">
        <v>0</v>
      </c>
      <c r="E150" s="730"/>
      <c r="F150" s="730"/>
      <c r="G150" s="730"/>
      <c r="H150" s="730"/>
      <c r="I150" s="730"/>
      <c r="J150" s="730"/>
      <c r="K150" s="730"/>
      <c r="L150" s="730"/>
      <c r="M150" s="730"/>
      <c r="N150" s="730"/>
      <c r="O150" s="730"/>
      <c r="P150" s="730"/>
      <c r="Q150" s="730"/>
      <c r="R150" s="730"/>
      <c r="S150" s="730"/>
      <c r="T150" s="730"/>
      <c r="U150" s="730"/>
      <c r="V150" s="730"/>
      <c r="W150" s="730"/>
      <c r="X150" s="730"/>
    </row>
    <row r="151" spans="1:24" s="725" customFormat="1" ht="14.25">
      <c r="A151" s="691" t="s">
        <v>296</v>
      </c>
      <c r="B151" s="691"/>
      <c r="C151" s="724"/>
      <c r="D151" s="731">
        <f t="shared" ref="D151:X151" si="21">SUM(D149:D150)</f>
        <v>0</v>
      </c>
      <c r="E151" s="732">
        <f t="shared" si="21"/>
        <v>0</v>
      </c>
      <c r="F151" s="732">
        <f t="shared" si="21"/>
        <v>0</v>
      </c>
      <c r="G151" s="732">
        <f t="shared" si="21"/>
        <v>0</v>
      </c>
      <c r="H151" s="732">
        <f t="shared" si="21"/>
        <v>0</v>
      </c>
      <c r="I151" s="732">
        <f t="shared" si="21"/>
        <v>0</v>
      </c>
      <c r="J151" s="732">
        <f t="shared" si="21"/>
        <v>0</v>
      </c>
      <c r="K151" s="732">
        <f t="shared" si="21"/>
        <v>0</v>
      </c>
      <c r="L151" s="732">
        <f t="shared" si="21"/>
        <v>0</v>
      </c>
      <c r="M151" s="732">
        <f t="shared" si="21"/>
        <v>0</v>
      </c>
      <c r="N151" s="732">
        <f t="shared" si="21"/>
        <v>0</v>
      </c>
      <c r="O151" s="732">
        <f t="shared" si="21"/>
        <v>0</v>
      </c>
      <c r="P151" s="732">
        <f t="shared" si="21"/>
        <v>0</v>
      </c>
      <c r="Q151" s="732">
        <f t="shared" si="21"/>
        <v>0</v>
      </c>
      <c r="R151" s="732">
        <f t="shared" si="21"/>
        <v>0</v>
      </c>
      <c r="S151" s="732">
        <f t="shared" si="21"/>
        <v>0</v>
      </c>
      <c r="T151" s="732">
        <f t="shared" si="21"/>
        <v>0</v>
      </c>
      <c r="U151" s="732">
        <f t="shared" si="21"/>
        <v>0</v>
      </c>
      <c r="V151" s="732">
        <f t="shared" si="21"/>
        <v>0</v>
      </c>
      <c r="W151" s="732">
        <f t="shared" si="21"/>
        <v>0</v>
      </c>
      <c r="X151" s="732">
        <f t="shared" si="21"/>
        <v>0</v>
      </c>
    </row>
    <row r="152" spans="1:24" s="222" customFormat="1">
      <c r="A152" s="280"/>
      <c r="B152" s="280"/>
      <c r="C152" s="263"/>
      <c r="D152" s="514"/>
      <c r="E152" s="515"/>
      <c r="F152" s="520"/>
      <c r="G152" s="520"/>
      <c r="H152" s="520"/>
      <c r="I152" s="520"/>
      <c r="J152" s="520"/>
      <c r="K152" s="520"/>
      <c r="L152" s="520"/>
      <c r="M152" s="520"/>
      <c r="N152" s="520"/>
      <c r="O152" s="520"/>
      <c r="P152" s="520"/>
      <c r="Q152" s="520"/>
      <c r="R152" s="520"/>
      <c r="S152" s="520"/>
      <c r="T152" s="520"/>
      <c r="U152" s="520"/>
      <c r="V152" s="520"/>
      <c r="W152" s="520"/>
      <c r="X152" s="520"/>
    </row>
    <row r="153" spans="1:24" s="222" customFormat="1" ht="14.25">
      <c r="A153" s="296" t="s">
        <v>140</v>
      </c>
      <c r="B153" s="296"/>
      <c r="C153" s="297"/>
      <c r="D153" s="522">
        <f t="shared" ref="D153:X153" si="22">SUM(D145,D151)</f>
        <v>0</v>
      </c>
      <c r="E153" s="522">
        <f t="shared" si="22"/>
        <v>367858.33333333331</v>
      </c>
      <c r="F153" s="522">
        <f t="shared" si="22"/>
        <v>883304.84615384613</v>
      </c>
      <c r="G153" s="522">
        <f t="shared" si="22"/>
        <v>902094.3710769231</v>
      </c>
      <c r="H153" s="522">
        <f t="shared" si="22"/>
        <v>920136.25849846145</v>
      </c>
      <c r="I153" s="522">
        <f t="shared" si="22"/>
        <v>938538.98366843082</v>
      </c>
      <c r="J153" s="522">
        <f t="shared" si="22"/>
        <v>985653.64213699941</v>
      </c>
      <c r="K153" s="522">
        <f t="shared" si="22"/>
        <v>1000829.7961893713</v>
      </c>
      <c r="L153" s="522">
        <f t="shared" si="22"/>
        <v>1020846.3921131587</v>
      </c>
      <c r="M153" s="522">
        <f t="shared" si="22"/>
        <v>1041263.3199554221</v>
      </c>
      <c r="N153" s="522">
        <f t="shared" si="22"/>
        <v>1062088.5863545304</v>
      </c>
      <c r="O153" s="522">
        <f t="shared" si="22"/>
        <v>1087720.8608716237</v>
      </c>
      <c r="P153" s="522">
        <f t="shared" si="22"/>
        <v>1104996.9652432539</v>
      </c>
      <c r="Q153" s="522">
        <f t="shared" si="22"/>
        <v>1127096.9045481186</v>
      </c>
      <c r="R153" s="522">
        <f t="shared" si="22"/>
        <v>1149638.8426390809</v>
      </c>
      <c r="S153" s="522">
        <f t="shared" si="22"/>
        <v>1172631.6194918626</v>
      </c>
      <c r="T153" s="522">
        <f t="shared" si="22"/>
        <v>1200411.3177125379</v>
      </c>
      <c r="U153" s="522">
        <f t="shared" si="22"/>
        <v>1220005.9369193341</v>
      </c>
      <c r="V153" s="522">
        <f t="shared" si="22"/>
        <v>1244406.0556577207</v>
      </c>
      <c r="W153" s="522">
        <f t="shared" si="22"/>
        <v>1269294.1767708752</v>
      </c>
      <c r="X153" s="522">
        <f t="shared" si="22"/>
        <v>1294680.0603062927</v>
      </c>
    </row>
    <row r="154" spans="1:24">
      <c r="A154" s="92"/>
      <c r="B154" s="92"/>
      <c r="C154" s="69"/>
      <c r="D154" s="514"/>
      <c r="E154" s="515"/>
      <c r="F154" s="515"/>
      <c r="G154" s="515"/>
      <c r="H154" s="515"/>
      <c r="I154" s="515"/>
      <c r="J154" s="515"/>
      <c r="K154" s="515"/>
      <c r="L154" s="515"/>
      <c r="M154" s="515"/>
      <c r="N154" s="515"/>
      <c r="O154" s="515"/>
      <c r="P154" s="515"/>
      <c r="Q154" s="515"/>
      <c r="R154" s="515"/>
      <c r="S154" s="515"/>
      <c r="T154" s="515"/>
      <c r="U154" s="515"/>
      <c r="V154" s="515"/>
      <c r="W154" s="515"/>
      <c r="X154" s="515"/>
    </row>
    <row r="155" spans="1:24" s="33" customFormat="1">
      <c r="A155" s="47" t="s">
        <v>7</v>
      </c>
      <c r="B155" s="47" t="s">
        <v>7</v>
      </c>
      <c r="C155" s="78" t="s">
        <v>7</v>
      </c>
      <c r="D155" s="604" t="s">
        <v>7</v>
      </c>
      <c r="E155" s="78" t="s">
        <v>7</v>
      </c>
      <c r="F155" s="78" t="s">
        <v>7</v>
      </c>
      <c r="G155" s="78" t="s">
        <v>7</v>
      </c>
      <c r="H155" s="78" t="s">
        <v>7</v>
      </c>
      <c r="I155" s="78" t="s">
        <v>7</v>
      </c>
      <c r="J155" s="78" t="s">
        <v>7</v>
      </c>
      <c r="K155" s="78" t="s">
        <v>7</v>
      </c>
      <c r="L155" s="78" t="s">
        <v>7</v>
      </c>
      <c r="M155" s="78" t="s">
        <v>7</v>
      </c>
      <c r="N155" s="78" t="s">
        <v>7</v>
      </c>
      <c r="O155" s="78" t="s">
        <v>7</v>
      </c>
      <c r="P155" s="78" t="s">
        <v>7</v>
      </c>
      <c r="Q155" s="78" t="s">
        <v>7</v>
      </c>
      <c r="R155" s="78" t="s">
        <v>7</v>
      </c>
      <c r="S155" s="78" t="s">
        <v>7</v>
      </c>
      <c r="T155" s="78" t="s">
        <v>7</v>
      </c>
      <c r="U155" s="78" t="s">
        <v>7</v>
      </c>
      <c r="V155" s="78" t="s">
        <v>7</v>
      </c>
      <c r="W155" s="78" t="s">
        <v>7</v>
      </c>
      <c r="X155" s="78" t="s">
        <v>7</v>
      </c>
    </row>
    <row r="156" spans="1:24">
      <c r="A156" s="92"/>
      <c r="B156" s="92"/>
      <c r="C156" s="69"/>
      <c r="D156" s="518"/>
      <c r="E156" s="515"/>
      <c r="F156" s="515"/>
      <c r="G156" s="515"/>
      <c r="H156" s="515"/>
      <c r="I156" s="515"/>
      <c r="J156" s="515"/>
      <c r="K156" s="515"/>
      <c r="L156" s="515"/>
      <c r="M156" s="515"/>
      <c r="N156" s="515"/>
      <c r="O156" s="515"/>
      <c r="P156" s="515"/>
      <c r="Q156" s="515"/>
      <c r="R156" s="515"/>
      <c r="S156" s="515"/>
      <c r="T156" s="515"/>
      <c r="U156" s="515"/>
      <c r="V156" s="515"/>
      <c r="W156" s="515"/>
      <c r="X156" s="515"/>
    </row>
    <row r="157" spans="1:24" s="16" customFormat="1" ht="14.25">
      <c r="A157" s="278" t="s">
        <v>116</v>
      </c>
      <c r="B157" s="263"/>
      <c r="C157" s="263"/>
      <c r="D157" s="518">
        <f>D120-(D137+D143)</f>
        <v>0</v>
      </c>
      <c r="E157" s="520">
        <f>E120-E153</f>
        <v>-148033.33333333331</v>
      </c>
      <c r="F157" s="520">
        <f t="shared" ref="F157:X157" si="23">F120-F153</f>
        <v>656786.71135953965</v>
      </c>
      <c r="G157" s="520">
        <f t="shared" si="23"/>
        <v>813851.41758673033</v>
      </c>
      <c r="H157" s="520">
        <f t="shared" si="23"/>
        <v>829908.44593846495</v>
      </c>
      <c r="I157" s="520">
        <f t="shared" si="23"/>
        <v>846286.61485723441</v>
      </c>
      <c r="J157" s="520">
        <f t="shared" si="23"/>
        <v>1051586.3155814009</v>
      </c>
      <c r="K157" s="520">
        <f t="shared" si="23"/>
        <v>1072596.203738953</v>
      </c>
      <c r="L157" s="520">
        <f t="shared" si="23"/>
        <v>1089489.370869288</v>
      </c>
      <c r="M157" s="520">
        <f t="shared" si="23"/>
        <v>1106720.401342229</v>
      </c>
      <c r="N157" s="520">
        <f t="shared" si="23"/>
        <v>1124296.0524246292</v>
      </c>
      <c r="O157" s="520">
        <f t="shared" si="23"/>
        <v>1192654.6755442307</v>
      </c>
      <c r="P157" s="520">
        <f t="shared" si="23"/>
        <v>1215330.8857203615</v>
      </c>
      <c r="Q157" s="520">
        <f t="shared" si="23"/>
        <v>1233982.3072542131</v>
      </c>
      <c r="R157" s="520">
        <f t="shared" si="23"/>
        <v>1253006.7572187425</v>
      </c>
      <c r="S157" s="520">
        <f t="shared" si="23"/>
        <v>1272411.6961825611</v>
      </c>
      <c r="T157" s="520">
        <f t="shared" si="23"/>
        <v>1342799.6299003744</v>
      </c>
      <c r="U157" s="520">
        <f t="shared" si="23"/>
        <v>1367315.5942291704</v>
      </c>
      <c r="V157" s="520">
        <f t="shared" si="23"/>
        <v>1387908.2706970866</v>
      </c>
      <c r="W157" s="520">
        <f t="shared" si="23"/>
        <v>1408912.8006943613</v>
      </c>
      <c r="X157" s="520">
        <f t="shared" si="23"/>
        <v>1430337.4212915825</v>
      </c>
    </row>
    <row r="158" spans="1:24">
      <c r="A158" s="30"/>
      <c r="B158" s="92"/>
      <c r="C158" s="69"/>
      <c r="D158" s="514"/>
      <c r="E158" s="515"/>
      <c r="F158" s="515"/>
      <c r="G158" s="515"/>
      <c r="H158" s="515"/>
      <c r="I158" s="515"/>
      <c r="J158" s="515"/>
      <c r="K158" s="515"/>
      <c r="L158" s="515"/>
      <c r="M158" s="515"/>
      <c r="N158" s="515"/>
      <c r="O158" s="515"/>
      <c r="P158" s="515"/>
      <c r="Q158" s="515"/>
      <c r="R158" s="515"/>
      <c r="S158" s="515"/>
      <c r="T158" s="515"/>
      <c r="U158" s="515"/>
      <c r="V158" s="515"/>
      <c r="W158" s="515"/>
      <c r="X158" s="515"/>
    </row>
    <row r="159" spans="1:24" s="594" customFormat="1">
      <c r="A159" s="589" t="s">
        <v>125</v>
      </c>
      <c r="B159" s="590"/>
      <c r="C159" s="591"/>
      <c r="D159" s="592">
        <v>0</v>
      </c>
      <c r="E159" s="593">
        <v>0</v>
      </c>
      <c r="F159" s="593">
        <v>0</v>
      </c>
      <c r="G159" s="593">
        <v>0</v>
      </c>
      <c r="H159" s="593">
        <v>0</v>
      </c>
      <c r="I159" s="593">
        <v>0</v>
      </c>
      <c r="J159" s="593">
        <v>0</v>
      </c>
      <c r="K159" s="593">
        <v>0</v>
      </c>
      <c r="L159" s="593">
        <v>0</v>
      </c>
      <c r="M159" s="593">
        <v>0</v>
      </c>
      <c r="N159" s="593">
        <v>0</v>
      </c>
      <c r="O159" s="593">
        <v>0</v>
      </c>
      <c r="P159" s="593">
        <v>0</v>
      </c>
      <c r="Q159" s="593">
        <v>0</v>
      </c>
      <c r="R159" s="593">
        <v>0</v>
      </c>
      <c r="S159" s="593">
        <v>0</v>
      </c>
      <c r="T159" s="593">
        <v>0</v>
      </c>
      <c r="U159" s="593">
        <v>0</v>
      </c>
      <c r="V159" s="593">
        <v>0</v>
      </c>
      <c r="W159" s="593">
        <v>0</v>
      </c>
      <c r="X159" s="593">
        <v>0</v>
      </c>
    </row>
    <row r="160" spans="1:24">
      <c r="A160" s="92"/>
      <c r="B160" s="92"/>
      <c r="C160" s="69"/>
      <c r="D160" s="514"/>
      <c r="E160" s="515"/>
      <c r="F160" s="515"/>
      <c r="G160" s="515"/>
      <c r="H160" s="515"/>
      <c r="I160" s="515"/>
      <c r="J160" s="515"/>
      <c r="K160" s="515"/>
      <c r="L160" s="515"/>
      <c r="M160" s="515"/>
      <c r="N160" s="515"/>
      <c r="O160" s="515"/>
      <c r="P160" s="515"/>
      <c r="Q160" s="515"/>
      <c r="R160" s="515"/>
      <c r="S160" s="515"/>
      <c r="T160" s="515"/>
      <c r="U160" s="515"/>
      <c r="V160" s="515"/>
      <c r="W160" s="515"/>
      <c r="X160" s="515"/>
    </row>
    <row r="161" spans="1:24" s="16" customFormat="1" ht="14.25">
      <c r="A161" s="278" t="s">
        <v>117</v>
      </c>
      <c r="B161" s="278"/>
      <c r="C161" s="263"/>
      <c r="D161" s="518">
        <v>0</v>
      </c>
      <c r="E161" s="520">
        <f>E157-E159</f>
        <v>-148033.33333333331</v>
      </c>
      <c r="F161" s="520">
        <f t="shared" ref="F161:X161" si="24">F157-F159</f>
        <v>656786.71135953965</v>
      </c>
      <c r="G161" s="520">
        <f t="shared" si="24"/>
        <v>813851.41758673033</v>
      </c>
      <c r="H161" s="520">
        <f t="shared" si="24"/>
        <v>829908.44593846495</v>
      </c>
      <c r="I161" s="520">
        <f t="shared" si="24"/>
        <v>846286.61485723441</v>
      </c>
      <c r="J161" s="520">
        <f t="shared" si="24"/>
        <v>1051586.3155814009</v>
      </c>
      <c r="K161" s="520">
        <f t="shared" si="24"/>
        <v>1072596.203738953</v>
      </c>
      <c r="L161" s="520">
        <f t="shared" si="24"/>
        <v>1089489.370869288</v>
      </c>
      <c r="M161" s="520">
        <f t="shared" si="24"/>
        <v>1106720.401342229</v>
      </c>
      <c r="N161" s="520">
        <f t="shared" si="24"/>
        <v>1124296.0524246292</v>
      </c>
      <c r="O161" s="520">
        <f t="shared" si="24"/>
        <v>1192654.6755442307</v>
      </c>
      <c r="P161" s="520">
        <f t="shared" si="24"/>
        <v>1215330.8857203615</v>
      </c>
      <c r="Q161" s="520">
        <f t="shared" si="24"/>
        <v>1233982.3072542131</v>
      </c>
      <c r="R161" s="520">
        <f t="shared" si="24"/>
        <v>1253006.7572187425</v>
      </c>
      <c r="S161" s="520">
        <f t="shared" si="24"/>
        <v>1272411.6961825611</v>
      </c>
      <c r="T161" s="520">
        <f t="shared" si="24"/>
        <v>1342799.6299003744</v>
      </c>
      <c r="U161" s="520">
        <f t="shared" si="24"/>
        <v>1367315.5942291704</v>
      </c>
      <c r="V161" s="520">
        <f t="shared" si="24"/>
        <v>1387908.2706970866</v>
      </c>
      <c r="W161" s="520">
        <f t="shared" si="24"/>
        <v>1408912.8006943613</v>
      </c>
      <c r="X161" s="520">
        <f t="shared" si="24"/>
        <v>1430337.4212915825</v>
      </c>
    </row>
    <row r="162" spans="1:24">
      <c r="A162" s="92"/>
      <c r="B162" s="92"/>
      <c r="C162" s="69"/>
      <c r="D162" s="514"/>
      <c r="E162" s="515"/>
      <c r="F162" s="515"/>
      <c r="G162" s="515"/>
      <c r="H162" s="515"/>
      <c r="I162" s="515"/>
      <c r="J162" s="515"/>
      <c r="K162" s="515"/>
      <c r="L162" s="515"/>
      <c r="M162" s="515"/>
      <c r="N162" s="515"/>
      <c r="O162" s="515"/>
      <c r="P162" s="515"/>
      <c r="Q162" s="515"/>
      <c r="R162" s="515"/>
      <c r="S162" s="515"/>
      <c r="T162" s="515"/>
      <c r="U162" s="515"/>
      <c r="V162" s="515"/>
      <c r="W162" s="515"/>
      <c r="X162" s="515"/>
    </row>
    <row r="163" spans="1:24">
      <c r="A163" s="271" t="s">
        <v>126</v>
      </c>
      <c r="B163" s="272"/>
      <c r="C163" s="273"/>
      <c r="D163" s="523"/>
      <c r="E163" s="523"/>
      <c r="F163" s="523"/>
      <c r="G163" s="523"/>
      <c r="H163" s="523"/>
      <c r="I163" s="523"/>
      <c r="J163" s="523"/>
      <c r="K163" s="523"/>
      <c r="L163" s="523"/>
      <c r="M163" s="523"/>
      <c r="N163" s="523"/>
      <c r="O163" s="523"/>
      <c r="P163" s="523"/>
      <c r="Q163" s="523"/>
      <c r="R163" s="523"/>
      <c r="S163" s="523"/>
      <c r="T163" s="523"/>
      <c r="U163" s="523"/>
      <c r="V163" s="523"/>
      <c r="W163" s="523"/>
      <c r="X163" s="523"/>
    </row>
    <row r="164" spans="1:24" s="32" customFormat="1">
      <c r="A164" s="280"/>
      <c r="B164" s="91"/>
      <c r="C164" s="69"/>
      <c r="D164" s="514"/>
      <c r="E164" s="515"/>
      <c r="F164" s="515"/>
      <c r="G164" s="515"/>
      <c r="H164" s="515"/>
      <c r="I164" s="515"/>
      <c r="J164" s="515"/>
      <c r="K164" s="515"/>
      <c r="L164" s="515"/>
      <c r="M164" s="515"/>
      <c r="N164" s="515"/>
      <c r="O164" s="515"/>
      <c r="P164" s="515"/>
      <c r="Q164" s="515"/>
      <c r="R164" s="515"/>
      <c r="S164" s="515"/>
      <c r="T164" s="515"/>
      <c r="U164" s="515"/>
      <c r="V164" s="515"/>
      <c r="W164" s="515"/>
      <c r="X164" s="515"/>
    </row>
    <row r="165" spans="1:24" s="96" customFormat="1">
      <c r="A165" s="885" t="s">
        <v>136</v>
      </c>
      <c r="B165" s="719"/>
      <c r="C165" s="69"/>
      <c r="D165" s="514">
        <v>0</v>
      </c>
      <c r="E165" s="515">
        <f>'OPEX - Concept C1 - Carnival'!L169</f>
        <v>0</v>
      </c>
      <c r="F165" s="515">
        <f>'OPEX - Concept C1 - Carnival'!M169</f>
        <v>85775</v>
      </c>
      <c r="G165" s="515">
        <f>'OPEX - Concept C1 - Carnival'!N169</f>
        <v>87490.5</v>
      </c>
      <c r="H165" s="515">
        <f>'OPEX - Concept C1 - Carnival'!O169</f>
        <v>89240.31</v>
      </c>
      <c r="I165" s="515">
        <f>'OPEX - Concept C1 - Carnival'!P169</f>
        <v>91025.116199999989</v>
      </c>
      <c r="J165" s="515">
        <f>'OPEX - Concept C1 - Carnival'!Q169</f>
        <v>92845.618524000005</v>
      </c>
      <c r="K165" s="515">
        <f>'OPEX - Concept C1 - Carnival'!R169</f>
        <v>94702.530894480005</v>
      </c>
      <c r="L165" s="515">
        <f>'OPEX - Concept C1 - Carnival'!S169</f>
        <v>96596.581512369608</v>
      </c>
      <c r="M165" s="515">
        <f>'OPEX - Concept C1 - Carnival'!T169</f>
        <v>98528.513142616997</v>
      </c>
      <c r="N165" s="515">
        <f>'OPEX - Concept C1 - Carnival'!U169</f>
        <v>100499.08340546934</v>
      </c>
      <c r="O165" s="515">
        <f>'OPEX - Concept C1 - Carnival'!V169</f>
        <v>102509.06507357873</v>
      </c>
      <c r="P165" s="515">
        <f>'OPEX - Concept C1 - Carnival'!W169</f>
        <v>104559.24637505031</v>
      </c>
      <c r="Q165" s="515">
        <f>'OPEX - Concept C1 - Carnival'!X169</f>
        <v>106650.43130255131</v>
      </c>
      <c r="R165" s="515">
        <f>'OPEX - Concept C1 - Carnival'!Y169</f>
        <v>108783.43992860234</v>
      </c>
      <c r="S165" s="515">
        <f>'OPEX - Concept C1 - Carnival'!Z169</f>
        <v>110959.10872717437</v>
      </c>
      <c r="T165" s="515">
        <f>'OPEX - Concept C1 - Carnival'!AA169</f>
        <v>113178.29090171788</v>
      </c>
      <c r="U165" s="515">
        <f>'OPEX - Concept C1 - Carnival'!AB169</f>
        <v>115441.85671975224</v>
      </c>
      <c r="V165" s="515">
        <f>'OPEX - Concept C1 - Carnival'!AC169</f>
        <v>117750.69385414729</v>
      </c>
      <c r="W165" s="515">
        <f>'OPEX - Concept C1 - Carnival'!AD169</f>
        <v>120105.70773123024</v>
      </c>
      <c r="X165" s="515">
        <f>'OPEX - Concept C1 - Carnival'!AE169</f>
        <v>122507.82188585485</v>
      </c>
    </row>
    <row r="166" spans="1:24" s="96" customFormat="1">
      <c r="A166" s="885" t="s">
        <v>458</v>
      </c>
      <c r="B166" s="719"/>
      <c r="C166" s="69"/>
      <c r="D166" s="514">
        <v>0</v>
      </c>
      <c r="E166" s="515">
        <f>'OPEX - Concept C1 - Carnival'!L171</f>
        <v>635662.67999999993</v>
      </c>
      <c r="F166" s="515">
        <f>'OPEX - Concept C1 - Carnival'!M171</f>
        <v>635662.67999999993</v>
      </c>
      <c r="G166" s="515">
        <f>'OPEX - Concept C1 - Carnival'!N171</f>
        <v>635662.67999999993</v>
      </c>
      <c r="H166" s="515">
        <f>'OPEX - Concept C1 - Carnival'!O171</f>
        <v>635662.67999999993</v>
      </c>
      <c r="I166" s="515">
        <f>'OPEX - Concept C1 - Carnival'!P171</f>
        <v>635662.67999999993</v>
      </c>
      <c r="J166" s="515">
        <f>'OPEX - Concept C1 - Carnival'!Q171</f>
        <v>635662.67999999993</v>
      </c>
      <c r="K166" s="515">
        <f>'OPEX - Concept C1 - Carnival'!R171</f>
        <v>635662.67999999993</v>
      </c>
      <c r="L166" s="515">
        <f>'OPEX - Concept C1 - Carnival'!S171</f>
        <v>635662.67999999993</v>
      </c>
      <c r="M166" s="515">
        <f>'OPEX - Concept C1 - Carnival'!T171</f>
        <v>635662.67999999993</v>
      </c>
      <c r="N166" s="515">
        <f>'OPEX - Concept C1 - Carnival'!U171</f>
        <v>635662.67999999993</v>
      </c>
      <c r="O166" s="515">
        <f>'OPEX - Concept C1 - Carnival'!V171</f>
        <v>635662.67999999993</v>
      </c>
      <c r="P166" s="515">
        <f>'OPEX - Concept C1 - Carnival'!W171</f>
        <v>635662.67999999993</v>
      </c>
      <c r="Q166" s="515">
        <f>'OPEX - Concept C1 - Carnival'!X171</f>
        <v>635662.67999999993</v>
      </c>
      <c r="R166" s="515">
        <f>'OPEX - Concept C1 - Carnival'!Y171</f>
        <v>635662.67999999993</v>
      </c>
      <c r="S166" s="515">
        <f>'OPEX - Concept C1 - Carnival'!Z171</f>
        <v>635662.67999999993</v>
      </c>
      <c r="T166" s="515">
        <f>'OPEX - Concept C1 - Carnival'!AA171</f>
        <v>635662.67999999993</v>
      </c>
      <c r="U166" s="515">
        <f>'OPEX - Concept C1 - Carnival'!AB171</f>
        <v>635662.67999999993</v>
      </c>
      <c r="V166" s="515">
        <f>'OPEX - Concept C1 - Carnival'!AC171</f>
        <v>635662.67999999993</v>
      </c>
      <c r="W166" s="515">
        <f>'OPEX - Concept C1 - Carnival'!AD171</f>
        <v>635662.67999999993</v>
      </c>
      <c r="X166" s="515">
        <f>'OPEX - Concept C1 - Carnival'!AE171</f>
        <v>635662.67999999993</v>
      </c>
    </row>
    <row r="167" spans="1:24" s="341" customFormat="1">
      <c r="A167" s="696" t="s">
        <v>315</v>
      </c>
      <c r="B167" s="697"/>
      <c r="C167" s="698"/>
      <c r="D167" s="699">
        <v>0</v>
      </c>
      <c r="E167" s="700">
        <v>0</v>
      </c>
      <c r="F167" s="700">
        <v>0</v>
      </c>
      <c r="G167" s="700">
        <v>0</v>
      </c>
      <c r="H167" s="700">
        <v>0</v>
      </c>
      <c r="I167" s="700">
        <v>0</v>
      </c>
      <c r="J167" s="700">
        <v>0</v>
      </c>
      <c r="K167" s="700">
        <v>0</v>
      </c>
      <c r="L167" s="700">
        <v>0</v>
      </c>
      <c r="M167" s="700">
        <v>0</v>
      </c>
      <c r="N167" s="700">
        <v>0</v>
      </c>
      <c r="O167" s="700">
        <v>0</v>
      </c>
      <c r="P167" s="700">
        <v>0</v>
      </c>
      <c r="Q167" s="700">
        <v>0</v>
      </c>
      <c r="R167" s="700">
        <v>0</v>
      </c>
      <c r="S167" s="700">
        <v>0</v>
      </c>
      <c r="T167" s="700">
        <v>0</v>
      </c>
      <c r="U167" s="700">
        <v>0</v>
      </c>
      <c r="V167" s="700">
        <v>0</v>
      </c>
      <c r="W167" s="700">
        <v>0</v>
      </c>
      <c r="X167" s="700">
        <v>0</v>
      </c>
    </row>
    <row r="168" spans="1:24" s="32" customFormat="1">
      <c r="A168" s="93" t="s">
        <v>316</v>
      </c>
      <c r="B168" s="298"/>
      <c r="C168" s="298"/>
      <c r="D168" s="505">
        <v>0</v>
      </c>
      <c r="E168" s="506">
        <v>246000</v>
      </c>
      <c r="F168" s="506">
        <v>246000</v>
      </c>
      <c r="G168" s="506">
        <v>246000</v>
      </c>
      <c r="H168" s="506">
        <v>246000</v>
      </c>
      <c r="I168" s="506">
        <v>246000</v>
      </c>
      <c r="J168" s="506">
        <v>246000</v>
      </c>
      <c r="K168" s="506">
        <v>246000</v>
      </c>
      <c r="L168" s="506">
        <v>246000</v>
      </c>
      <c r="M168" s="506">
        <v>246000</v>
      </c>
      <c r="N168" s="506">
        <v>246000</v>
      </c>
      <c r="O168" s="506">
        <v>246000</v>
      </c>
      <c r="P168" s="506">
        <v>246000</v>
      </c>
      <c r="Q168" s="506">
        <v>246000</v>
      </c>
      <c r="R168" s="506">
        <v>246000</v>
      </c>
      <c r="S168" s="506">
        <v>246000</v>
      </c>
      <c r="T168" s="506">
        <v>246000</v>
      </c>
      <c r="U168" s="506">
        <v>246000</v>
      </c>
      <c r="V168" s="506">
        <v>246000</v>
      </c>
      <c r="W168" s="506">
        <v>246000</v>
      </c>
      <c r="X168" s="506">
        <v>246000</v>
      </c>
    </row>
    <row r="169" spans="1:24" s="222" customFormat="1" ht="14.25">
      <c r="A169" s="263" t="s">
        <v>134</v>
      </c>
      <c r="B169" s="264"/>
      <c r="C169" s="264"/>
      <c r="D169" s="524">
        <f>SUM(D165:D168)</f>
        <v>0</v>
      </c>
      <c r="E169" s="525">
        <f t="shared" ref="E169:X169" si="25">SUM(E165:E168)</f>
        <v>881662.67999999993</v>
      </c>
      <c r="F169" s="525">
        <f t="shared" si="25"/>
        <v>967437.67999999993</v>
      </c>
      <c r="G169" s="525">
        <f t="shared" si="25"/>
        <v>969153.17999999993</v>
      </c>
      <c r="H169" s="525">
        <f t="shared" si="25"/>
        <v>970902.99</v>
      </c>
      <c r="I169" s="525">
        <f t="shared" si="25"/>
        <v>972687.79619999998</v>
      </c>
      <c r="J169" s="525">
        <f t="shared" si="25"/>
        <v>974508.29852399998</v>
      </c>
      <c r="K169" s="525">
        <f t="shared" si="25"/>
        <v>976365.21089447988</v>
      </c>
      <c r="L169" s="525">
        <f t="shared" si="25"/>
        <v>978259.2615123695</v>
      </c>
      <c r="M169" s="525">
        <f t="shared" si="25"/>
        <v>980191.19314261689</v>
      </c>
      <c r="N169" s="525">
        <f t="shared" si="25"/>
        <v>982161.76340546925</v>
      </c>
      <c r="O169" s="525">
        <f t="shared" si="25"/>
        <v>984171.74507357867</v>
      </c>
      <c r="P169" s="525">
        <f t="shared" si="25"/>
        <v>986221.92637505021</v>
      </c>
      <c r="Q169" s="525">
        <f t="shared" si="25"/>
        <v>988313.11130255123</v>
      </c>
      <c r="R169" s="525">
        <f t="shared" si="25"/>
        <v>990446.11992860225</v>
      </c>
      <c r="S169" s="525">
        <f t="shared" si="25"/>
        <v>992621.78872717428</v>
      </c>
      <c r="T169" s="525">
        <f t="shared" si="25"/>
        <v>994840.97090171778</v>
      </c>
      <c r="U169" s="525">
        <f t="shared" si="25"/>
        <v>997104.53671975213</v>
      </c>
      <c r="V169" s="525">
        <f t="shared" si="25"/>
        <v>999413.37385414727</v>
      </c>
      <c r="W169" s="525">
        <f t="shared" si="25"/>
        <v>1001768.3877312301</v>
      </c>
      <c r="X169" s="525">
        <f t="shared" si="25"/>
        <v>1004170.5018858548</v>
      </c>
    </row>
    <row r="170" spans="1:24" s="32" customFormat="1">
      <c r="A170" s="69"/>
      <c r="B170" s="90"/>
      <c r="C170" s="90"/>
      <c r="D170" s="526"/>
      <c r="E170" s="527"/>
      <c r="F170" s="527"/>
      <c r="G170" s="527"/>
      <c r="H170" s="527"/>
      <c r="I170" s="527"/>
      <c r="J170" s="527"/>
      <c r="K170" s="527"/>
      <c r="L170" s="527"/>
      <c r="M170" s="527"/>
      <c r="N170" s="527"/>
      <c r="O170" s="527"/>
      <c r="P170" s="527"/>
      <c r="Q170" s="527"/>
      <c r="R170" s="527"/>
      <c r="S170" s="527"/>
      <c r="T170" s="527"/>
      <c r="U170" s="527"/>
      <c r="V170" s="527"/>
      <c r="W170" s="527"/>
      <c r="X170" s="527"/>
    </row>
    <row r="171" spans="1:24" s="32" customFormat="1">
      <c r="A171" s="94" t="s">
        <v>137</v>
      </c>
      <c r="C171" s="69"/>
      <c r="D171" s="514">
        <v>0</v>
      </c>
      <c r="E171" s="515">
        <f>E161-E165</f>
        <v>-148033.33333333331</v>
      </c>
      <c r="F171" s="515">
        <f t="shared" ref="F171:X171" si="26">F157-F165</f>
        <v>571011.71135953965</v>
      </c>
      <c r="G171" s="515">
        <f t="shared" si="26"/>
        <v>726360.91758673033</v>
      </c>
      <c r="H171" s="515">
        <f t="shared" si="26"/>
        <v>740668.1359384649</v>
      </c>
      <c r="I171" s="515">
        <f t="shared" si="26"/>
        <v>755261.49865723448</v>
      </c>
      <c r="J171" s="515">
        <f t="shared" si="26"/>
        <v>958740.69705740083</v>
      </c>
      <c r="K171" s="515">
        <f t="shared" si="26"/>
        <v>977893.67284447304</v>
      </c>
      <c r="L171" s="515">
        <f t="shared" si="26"/>
        <v>992892.78935691842</v>
      </c>
      <c r="M171" s="515">
        <f t="shared" si="26"/>
        <v>1008191.888199612</v>
      </c>
      <c r="N171" s="515">
        <f t="shared" si="26"/>
        <v>1023796.9690191599</v>
      </c>
      <c r="O171" s="515">
        <f t="shared" si="26"/>
        <v>1090145.6104706521</v>
      </c>
      <c r="P171" s="515">
        <f t="shared" si="26"/>
        <v>1110771.6393453111</v>
      </c>
      <c r="Q171" s="515">
        <f t="shared" si="26"/>
        <v>1127331.8759516617</v>
      </c>
      <c r="R171" s="515">
        <f t="shared" si="26"/>
        <v>1144223.3172901401</v>
      </c>
      <c r="S171" s="515">
        <f t="shared" si="26"/>
        <v>1161452.5874553868</v>
      </c>
      <c r="T171" s="515">
        <f t="shared" si="26"/>
        <v>1229621.3389986565</v>
      </c>
      <c r="U171" s="515">
        <f t="shared" si="26"/>
        <v>1251873.737509418</v>
      </c>
      <c r="V171" s="515">
        <f t="shared" si="26"/>
        <v>1270157.5768429392</v>
      </c>
      <c r="W171" s="515">
        <f t="shared" si="26"/>
        <v>1288807.0929631311</v>
      </c>
      <c r="X171" s="515">
        <f t="shared" si="26"/>
        <v>1307829.5994057276</v>
      </c>
    </row>
    <row r="172" spans="1:24" ht="16.5" customHeight="1">
      <c r="A172" s="88" t="s">
        <v>128</v>
      </c>
      <c r="B172" s="98"/>
      <c r="C172" s="98"/>
      <c r="D172" s="528">
        <v>0</v>
      </c>
      <c r="E172" s="529">
        <f>E161-E169</f>
        <v>-1029696.0133333332</v>
      </c>
      <c r="F172" s="529">
        <f t="shared" ref="F172:X172" si="27">F161-F169</f>
        <v>-310650.96864046028</v>
      </c>
      <c r="G172" s="529">
        <f t="shared" si="27"/>
        <v>-155301.76241326961</v>
      </c>
      <c r="H172" s="529">
        <f t="shared" si="27"/>
        <v>-140994.54406153504</v>
      </c>
      <c r="I172" s="529">
        <f t="shared" si="27"/>
        <v>-126401.18134276557</v>
      </c>
      <c r="J172" s="529">
        <f t="shared" si="27"/>
        <v>77078.017057400895</v>
      </c>
      <c r="K172" s="529">
        <f t="shared" si="27"/>
        <v>96230.992844473105</v>
      </c>
      <c r="L172" s="529">
        <f t="shared" si="27"/>
        <v>111230.10935691849</v>
      </c>
      <c r="M172" s="529">
        <f t="shared" si="27"/>
        <v>126529.2081996121</v>
      </c>
      <c r="N172" s="529">
        <f t="shared" si="27"/>
        <v>142134.28901915997</v>
      </c>
      <c r="O172" s="529">
        <f t="shared" si="27"/>
        <v>208482.93047065206</v>
      </c>
      <c r="P172" s="529">
        <f t="shared" si="27"/>
        <v>229108.95934531128</v>
      </c>
      <c r="Q172" s="529">
        <f t="shared" si="27"/>
        <v>245669.19595166191</v>
      </c>
      <c r="R172" s="529">
        <f t="shared" si="27"/>
        <v>262560.63729014026</v>
      </c>
      <c r="S172" s="529">
        <f t="shared" si="27"/>
        <v>279789.90745538683</v>
      </c>
      <c r="T172" s="529">
        <f t="shared" si="27"/>
        <v>347958.65899865667</v>
      </c>
      <c r="U172" s="529">
        <f t="shared" si="27"/>
        <v>370211.05750941823</v>
      </c>
      <c r="V172" s="529">
        <f t="shared" si="27"/>
        <v>388494.89684293931</v>
      </c>
      <c r="W172" s="529">
        <f t="shared" si="27"/>
        <v>407144.41296313121</v>
      </c>
      <c r="X172" s="529">
        <f t="shared" si="27"/>
        <v>426166.91940572776</v>
      </c>
    </row>
    <row r="173" spans="1:24" ht="16.5" customHeight="1">
      <c r="A173" s="88"/>
      <c r="B173" s="88"/>
      <c r="C173" s="88"/>
      <c r="D173" s="526"/>
      <c r="E173" s="527"/>
      <c r="F173" s="527"/>
      <c r="G173" s="527"/>
      <c r="H173" s="527"/>
      <c r="I173" s="527"/>
      <c r="J173" s="527"/>
      <c r="K173" s="527"/>
      <c r="L173" s="527"/>
      <c r="M173" s="527"/>
      <c r="N173" s="527"/>
      <c r="O173" s="527"/>
      <c r="P173" s="527"/>
      <c r="Q173" s="527"/>
      <c r="R173" s="527"/>
      <c r="S173" s="527"/>
      <c r="T173" s="527"/>
      <c r="U173" s="527"/>
      <c r="V173" s="527"/>
      <c r="W173" s="527"/>
      <c r="X173" s="527"/>
    </row>
    <row r="174" spans="1:24" ht="16.5" customHeight="1">
      <c r="A174" s="88" t="s">
        <v>129</v>
      </c>
      <c r="B174" s="632">
        <f>NPV(Cost_of_Money__DPC,E161:X161)</f>
        <v>21548148.239097819</v>
      </c>
      <c r="C174" s="88"/>
      <c r="D174" s="526"/>
      <c r="E174" s="527"/>
      <c r="F174" s="527"/>
      <c r="G174" s="527"/>
      <c r="H174" s="527"/>
      <c r="I174" s="527"/>
      <c r="J174" s="527"/>
      <c r="K174" s="527"/>
      <c r="L174" s="527"/>
      <c r="M174" s="527"/>
      <c r="N174" s="527"/>
      <c r="O174" s="527"/>
      <c r="P174" s="527"/>
      <c r="Q174" s="527"/>
      <c r="R174" s="527"/>
      <c r="S174" s="527"/>
      <c r="T174" s="527"/>
      <c r="U174" s="527"/>
      <c r="V174" s="527"/>
      <c r="W174" s="527"/>
      <c r="X174" s="527"/>
    </row>
    <row r="175" spans="1:24" ht="16.5" customHeight="1">
      <c r="A175" s="300" t="s">
        <v>130</v>
      </c>
      <c r="B175" s="733">
        <f>SUM(E172:X172)</f>
        <v>1955745.7229192266</v>
      </c>
      <c r="C175" s="301"/>
      <c r="D175" s="530">
        <v>0</v>
      </c>
      <c r="E175" s="530">
        <f>E161-E169</f>
        <v>-1029696.0133333332</v>
      </c>
      <c r="F175" s="530">
        <f t="shared" ref="F175:X175" si="28">F161-F169</f>
        <v>-310650.96864046028</v>
      </c>
      <c r="G175" s="530">
        <f t="shared" si="28"/>
        <v>-155301.76241326961</v>
      </c>
      <c r="H175" s="530">
        <f t="shared" si="28"/>
        <v>-140994.54406153504</v>
      </c>
      <c r="I175" s="530">
        <f t="shared" si="28"/>
        <v>-126401.18134276557</v>
      </c>
      <c r="J175" s="530">
        <f t="shared" si="28"/>
        <v>77078.017057400895</v>
      </c>
      <c r="K175" s="530">
        <f t="shared" si="28"/>
        <v>96230.992844473105</v>
      </c>
      <c r="L175" s="530">
        <f t="shared" si="28"/>
        <v>111230.10935691849</v>
      </c>
      <c r="M175" s="530">
        <f t="shared" si="28"/>
        <v>126529.2081996121</v>
      </c>
      <c r="N175" s="530">
        <f t="shared" si="28"/>
        <v>142134.28901915997</v>
      </c>
      <c r="O175" s="530">
        <f t="shared" si="28"/>
        <v>208482.93047065206</v>
      </c>
      <c r="P175" s="530">
        <f t="shared" si="28"/>
        <v>229108.95934531128</v>
      </c>
      <c r="Q175" s="530">
        <f t="shared" si="28"/>
        <v>245669.19595166191</v>
      </c>
      <c r="R175" s="530">
        <f t="shared" si="28"/>
        <v>262560.63729014026</v>
      </c>
      <c r="S175" s="530">
        <f t="shared" si="28"/>
        <v>279789.90745538683</v>
      </c>
      <c r="T175" s="530">
        <f t="shared" si="28"/>
        <v>347958.65899865667</v>
      </c>
      <c r="U175" s="530">
        <f t="shared" si="28"/>
        <v>370211.05750941823</v>
      </c>
      <c r="V175" s="530">
        <f t="shared" si="28"/>
        <v>388494.89684293931</v>
      </c>
      <c r="W175" s="530">
        <f t="shared" si="28"/>
        <v>407144.41296313121</v>
      </c>
      <c r="X175" s="530">
        <f t="shared" si="28"/>
        <v>426166.91940572776</v>
      </c>
    </row>
    <row r="176" spans="1:24" s="58" customFormat="1" ht="16.5" customHeight="1">
      <c r="A176" s="90" t="s">
        <v>32</v>
      </c>
      <c r="B176" s="358">
        <f>IRR(E175:X175)</f>
        <v>6.0418661359734394E-2</v>
      </c>
      <c r="C176" s="356"/>
      <c r="D176" s="502"/>
      <c r="E176" s="504"/>
      <c r="F176" s="504"/>
      <c r="G176" s="504"/>
      <c r="H176" s="504"/>
      <c r="I176" s="504"/>
      <c r="J176" s="504"/>
      <c r="K176" s="504"/>
      <c r="L176" s="504"/>
      <c r="M176" s="504"/>
      <c r="N176" s="504"/>
      <c r="O176" s="504"/>
      <c r="P176" s="504"/>
      <c r="Q176" s="504"/>
      <c r="R176" s="504"/>
      <c r="S176" s="504"/>
      <c r="T176" s="504"/>
      <c r="U176" s="504"/>
      <c r="V176" s="504"/>
      <c r="W176" s="504"/>
      <c r="X176" s="504"/>
    </row>
    <row r="177" spans="1:24">
      <c r="A177" s="30"/>
      <c r="B177" s="30"/>
      <c r="C177" s="30"/>
      <c r="D177" s="502"/>
      <c r="E177" s="512"/>
      <c r="F177" s="512"/>
      <c r="G177" s="512"/>
      <c r="H177" s="512"/>
      <c r="I177" s="512"/>
      <c r="J177" s="512"/>
      <c r="K177" s="512"/>
      <c r="L177" s="512"/>
      <c r="M177" s="512"/>
      <c r="N177" s="512"/>
      <c r="O177" s="512"/>
      <c r="P177" s="512"/>
      <c r="Q177" s="512"/>
      <c r="R177" s="512"/>
      <c r="S177" s="512"/>
      <c r="T177" s="512"/>
      <c r="U177" s="512"/>
      <c r="V177" s="512"/>
      <c r="W177" s="512"/>
      <c r="X177" s="512"/>
    </row>
    <row r="178" spans="1:24">
      <c r="A178" s="274" t="s">
        <v>28</v>
      </c>
      <c r="B178" s="275"/>
      <c r="C178" s="275"/>
      <c r="D178" s="531"/>
      <c r="E178" s="531"/>
      <c r="F178" s="531"/>
      <c r="G178" s="531"/>
      <c r="H178" s="531"/>
      <c r="I178" s="531"/>
      <c r="J178" s="531"/>
      <c r="K178" s="531"/>
      <c r="L178" s="531"/>
      <c r="M178" s="531"/>
      <c r="N178" s="531"/>
      <c r="O178" s="531"/>
      <c r="P178" s="531"/>
      <c r="Q178" s="531"/>
      <c r="R178" s="531"/>
      <c r="S178" s="531"/>
      <c r="T178" s="531"/>
      <c r="U178" s="531"/>
      <c r="V178" s="531"/>
      <c r="W178" s="531"/>
      <c r="X178" s="531"/>
    </row>
    <row r="179" spans="1:24">
      <c r="A179" s="30"/>
      <c r="B179" s="30"/>
      <c r="C179" s="30"/>
      <c r="D179" s="502"/>
      <c r="E179" s="512"/>
      <c r="F179" s="512"/>
      <c r="G179" s="512"/>
      <c r="H179" s="512"/>
      <c r="I179" s="512"/>
      <c r="J179" s="512"/>
      <c r="K179" s="512"/>
      <c r="L179" s="512"/>
      <c r="M179" s="512"/>
      <c r="N179" s="512"/>
      <c r="O179" s="512"/>
      <c r="P179" s="512"/>
      <c r="Q179" s="512"/>
      <c r="R179" s="512"/>
      <c r="S179" s="512"/>
      <c r="T179" s="512"/>
      <c r="U179" s="512"/>
      <c r="V179" s="512"/>
      <c r="W179" s="512"/>
      <c r="X179" s="512"/>
    </row>
    <row r="180" spans="1:24">
      <c r="A180" s="30" t="s">
        <v>300</v>
      </c>
      <c r="B180" s="30"/>
      <c r="C180" s="87"/>
      <c r="D180" s="502">
        <v>0</v>
      </c>
      <c r="E180" s="512"/>
      <c r="F180" s="512"/>
      <c r="G180" s="512"/>
      <c r="H180" s="512"/>
      <c r="I180" s="512"/>
      <c r="J180" s="512"/>
      <c r="K180" s="512"/>
      <c r="L180" s="512"/>
      <c r="M180" s="512"/>
      <c r="N180" s="512"/>
      <c r="O180" s="512"/>
      <c r="P180" s="512"/>
      <c r="Q180" s="512"/>
      <c r="R180" s="512"/>
      <c r="S180" s="512"/>
      <c r="T180" s="512"/>
      <c r="U180" s="512"/>
      <c r="V180" s="512"/>
      <c r="W180" s="512"/>
      <c r="X180" s="512"/>
    </row>
    <row r="181" spans="1:24">
      <c r="A181" s="30" t="s">
        <v>301</v>
      </c>
      <c r="B181" s="30"/>
      <c r="C181" s="30"/>
      <c r="D181" s="502">
        <v>0</v>
      </c>
      <c r="E181" s="512"/>
      <c r="F181" s="512"/>
      <c r="G181" s="512"/>
      <c r="H181" s="512"/>
      <c r="I181" s="512"/>
      <c r="J181" s="512"/>
      <c r="K181" s="512"/>
      <c r="L181" s="512"/>
      <c r="M181" s="512"/>
      <c r="N181" s="512"/>
      <c r="O181" s="512"/>
      <c r="P181" s="512"/>
      <c r="Q181" s="512"/>
      <c r="R181" s="512"/>
      <c r="S181" s="512"/>
      <c r="T181" s="512"/>
      <c r="U181" s="512"/>
      <c r="V181" s="512"/>
      <c r="W181" s="512"/>
      <c r="X181" s="512"/>
    </row>
    <row r="182" spans="1:24">
      <c r="A182" s="30"/>
      <c r="B182" s="30"/>
      <c r="C182" s="30"/>
      <c r="D182" s="502"/>
      <c r="E182" s="512"/>
      <c r="F182" s="512"/>
      <c r="G182" s="512"/>
      <c r="H182" s="512"/>
      <c r="I182" s="512"/>
      <c r="J182" s="512"/>
      <c r="K182" s="512"/>
      <c r="L182" s="512"/>
      <c r="M182" s="512"/>
      <c r="N182" s="512"/>
      <c r="O182" s="512"/>
      <c r="P182" s="512"/>
      <c r="Q182" s="512"/>
      <c r="R182" s="512"/>
      <c r="S182" s="512"/>
      <c r="T182" s="512"/>
      <c r="U182" s="512"/>
      <c r="V182" s="512"/>
      <c r="W182" s="512"/>
      <c r="X182" s="512"/>
    </row>
    <row r="183" spans="1:24">
      <c r="A183" s="30" t="s">
        <v>298</v>
      </c>
      <c r="B183" s="30"/>
      <c r="C183" s="30"/>
      <c r="D183" s="502">
        <v>0</v>
      </c>
      <c r="E183" s="512"/>
      <c r="F183" s="512"/>
      <c r="G183" s="512"/>
      <c r="H183" s="512"/>
      <c r="I183" s="512"/>
      <c r="J183" s="512"/>
      <c r="K183" s="512"/>
      <c r="L183" s="512"/>
      <c r="M183" s="512"/>
      <c r="N183" s="512"/>
      <c r="O183" s="512"/>
      <c r="P183" s="512"/>
      <c r="Q183" s="512"/>
      <c r="R183" s="512"/>
      <c r="S183" s="512"/>
      <c r="T183" s="512"/>
      <c r="U183" s="512"/>
      <c r="V183" s="512"/>
      <c r="W183" s="512"/>
      <c r="X183" s="512"/>
    </row>
    <row r="184" spans="1:24">
      <c r="A184" s="30" t="s">
        <v>299</v>
      </c>
      <c r="B184" s="30"/>
      <c r="C184" s="30"/>
      <c r="D184" s="502">
        <v>0</v>
      </c>
      <c r="E184" s="512"/>
      <c r="F184" s="512"/>
      <c r="G184" s="512"/>
      <c r="H184" s="512"/>
      <c r="I184" s="512"/>
      <c r="J184" s="512"/>
      <c r="K184" s="512"/>
      <c r="L184" s="512"/>
      <c r="M184" s="512"/>
      <c r="N184" s="512"/>
      <c r="O184" s="512"/>
      <c r="P184" s="512"/>
      <c r="Q184" s="512"/>
      <c r="R184" s="512"/>
      <c r="S184" s="512"/>
      <c r="T184" s="512"/>
      <c r="U184" s="512"/>
      <c r="V184" s="512"/>
      <c r="W184" s="512"/>
      <c r="X184" s="512"/>
    </row>
    <row r="185" spans="1:24">
      <c r="D185" s="502"/>
      <c r="E185" s="532"/>
      <c r="F185" s="532"/>
      <c r="G185" s="532"/>
      <c r="H185" s="532"/>
      <c r="I185" s="532"/>
      <c r="J185" s="532"/>
      <c r="K185" s="532"/>
      <c r="L185" s="532"/>
      <c r="M185" s="532"/>
      <c r="N185" s="532"/>
      <c r="O185" s="532"/>
      <c r="P185" s="532"/>
      <c r="Q185" s="532"/>
      <c r="R185" s="532"/>
      <c r="S185" s="532"/>
      <c r="T185" s="532"/>
      <c r="U185" s="532"/>
      <c r="V185" s="532"/>
      <c r="W185" s="532"/>
      <c r="X185" s="532"/>
    </row>
    <row r="186" spans="1:24">
      <c r="A186" s="131"/>
      <c r="B186" s="131"/>
      <c r="C186" s="131"/>
      <c r="D186" s="493"/>
      <c r="E186" s="334"/>
      <c r="F186" s="334"/>
      <c r="G186" s="334"/>
      <c r="H186" s="334"/>
      <c r="I186" s="334"/>
      <c r="J186" s="334"/>
      <c r="K186" s="334"/>
      <c r="L186" s="334"/>
      <c r="M186" s="334"/>
      <c r="N186" s="334"/>
      <c r="O186" s="334"/>
      <c r="P186" s="334"/>
      <c r="Q186" s="334"/>
      <c r="R186" s="334"/>
      <c r="S186" s="334"/>
      <c r="T186" s="334"/>
      <c r="U186" s="334"/>
      <c r="V186" s="334"/>
      <c r="W186" s="334"/>
      <c r="X186" s="334"/>
    </row>
    <row r="187" spans="1:24">
      <c r="D187" s="494"/>
      <c r="E187" s="327"/>
      <c r="F187" s="327"/>
      <c r="G187" s="327"/>
      <c r="H187" s="327"/>
      <c r="I187" s="327"/>
      <c r="J187" s="327"/>
      <c r="K187" s="327"/>
      <c r="L187" s="327"/>
      <c r="M187" s="327"/>
      <c r="N187" s="327"/>
      <c r="O187" s="327"/>
      <c r="P187" s="327"/>
      <c r="Q187" s="327"/>
      <c r="R187" s="327"/>
      <c r="S187" s="327"/>
      <c r="T187" s="327"/>
      <c r="U187" s="327"/>
      <c r="V187" s="327"/>
      <c r="W187" s="327"/>
      <c r="X187" s="327"/>
    </row>
    <row r="188" spans="1:24">
      <c r="A188"/>
      <c r="D188" s="494"/>
      <c r="E188" s="327"/>
      <c r="F188" s="327"/>
      <c r="G188" s="327"/>
      <c r="H188" s="327"/>
      <c r="I188" s="327"/>
      <c r="J188" s="327"/>
      <c r="K188" s="327"/>
      <c r="L188" s="327"/>
      <c r="M188" s="327"/>
      <c r="N188" s="327"/>
      <c r="O188" s="327"/>
      <c r="P188" s="327"/>
      <c r="Q188" s="327"/>
      <c r="R188" s="327"/>
      <c r="S188" s="327"/>
      <c r="T188" s="327"/>
      <c r="U188" s="327"/>
      <c r="V188" s="327"/>
      <c r="W188" s="327"/>
      <c r="X188" s="327"/>
    </row>
    <row r="189" spans="1:24">
      <c r="A189"/>
      <c r="D189" s="494"/>
      <c r="E189" s="327"/>
      <c r="F189" s="327"/>
      <c r="G189" s="327"/>
      <c r="H189" s="327"/>
      <c r="I189" s="327"/>
      <c r="J189" s="327"/>
      <c r="K189" s="327"/>
      <c r="L189" s="327"/>
      <c r="M189" s="327"/>
      <c r="N189" s="327"/>
      <c r="O189" s="327"/>
      <c r="P189" s="327"/>
      <c r="Q189" s="327"/>
      <c r="R189" s="327"/>
      <c r="S189" s="327"/>
      <c r="T189" s="327"/>
      <c r="U189" s="327"/>
      <c r="V189" s="327"/>
      <c r="W189" s="327"/>
      <c r="X189" s="327"/>
    </row>
    <row r="190" spans="1:24">
      <c r="D190" s="494"/>
      <c r="E190" s="327"/>
      <c r="F190" s="327"/>
      <c r="G190" s="327"/>
      <c r="H190" s="362"/>
      <c r="I190" s="327"/>
      <c r="J190" s="327"/>
      <c r="K190" s="327"/>
      <c r="L190" s="327"/>
      <c r="M190" s="327"/>
      <c r="N190" s="327"/>
      <c r="O190" s="327"/>
      <c r="P190" s="327"/>
      <c r="Q190" s="327"/>
      <c r="R190" s="327"/>
      <c r="S190" s="327"/>
      <c r="T190" s="327"/>
      <c r="U190" s="327"/>
      <c r="V190" s="327"/>
      <c r="W190" s="327"/>
      <c r="X190" s="327"/>
    </row>
    <row r="191" spans="1:24">
      <c r="D191" s="326"/>
      <c r="E191" s="327"/>
      <c r="F191" s="327"/>
      <c r="G191" s="327"/>
      <c r="H191" s="359"/>
      <c r="I191" s="327"/>
      <c r="J191" s="327"/>
      <c r="K191" s="327"/>
      <c r="L191" s="327"/>
      <c r="M191" s="327"/>
      <c r="N191" s="327"/>
      <c r="O191" s="327"/>
      <c r="P191" s="327"/>
      <c r="Q191" s="327"/>
      <c r="R191" s="327"/>
      <c r="S191" s="327"/>
      <c r="T191" s="327"/>
      <c r="U191" s="327"/>
      <c r="V191" s="327"/>
      <c r="W191" s="327"/>
      <c r="X191" s="327"/>
    </row>
    <row r="192" spans="1:24">
      <c r="H192" s="305"/>
    </row>
    <row r="193" spans="8:8">
      <c r="H193" s="30"/>
    </row>
    <row r="194" spans="8:8">
      <c r="H194" s="87"/>
    </row>
    <row r="196" spans="8:8">
      <c r="H196" s="360"/>
    </row>
    <row r="197" spans="8:8">
      <c r="H197" s="361"/>
    </row>
  </sheetData>
  <pageMargins left="0.7" right="0.7" top="0.75" bottom="0.75" header="0.3" footer="0.3"/>
  <pageSetup paperSize="9" scale="2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XFD197"/>
  <sheetViews>
    <sheetView topLeftCell="A72" zoomScale="64" zoomScaleNormal="55" workbookViewId="0">
      <selection activeCell="A118" sqref="A118:XFD118"/>
    </sheetView>
  </sheetViews>
  <sheetFormatPr defaultColWidth="9" defaultRowHeight="16.5"/>
  <cols>
    <col min="1" max="1" width="71.875" style="18" customWidth="1"/>
    <col min="2" max="2" width="49" style="18" bestFit="1" customWidth="1"/>
    <col min="3" max="3" width="8" style="18" bestFit="1" customWidth="1"/>
    <col min="4" max="4" width="7.75" style="262" bestFit="1" customWidth="1"/>
    <col min="5" max="5" width="17.125" style="18" bestFit="1" customWidth="1"/>
    <col min="6" max="6" width="16" style="18" bestFit="1" customWidth="1"/>
    <col min="7" max="8" width="16.75" style="18" bestFit="1" customWidth="1"/>
    <col min="9" max="10" width="16.375" style="18" bestFit="1" customWidth="1"/>
    <col min="11" max="11" width="17.125" style="18" bestFit="1" customWidth="1"/>
    <col min="12" max="12" width="16.75" style="18" bestFit="1" customWidth="1"/>
    <col min="13" max="15" width="17.125" style="18" bestFit="1" customWidth="1"/>
    <col min="16" max="16" width="16.75" style="18" bestFit="1" customWidth="1"/>
    <col min="17" max="17" width="17.125" style="18" bestFit="1" customWidth="1"/>
    <col min="18" max="20" width="16.75" style="18" bestFit="1" customWidth="1"/>
    <col min="21" max="21" width="17.125" style="18" bestFit="1" customWidth="1"/>
    <col min="22" max="22" width="16.75" style="18" bestFit="1" customWidth="1"/>
    <col min="23" max="24" width="17.125" style="18" bestFit="1" customWidth="1"/>
    <col min="25" max="25" width="22.625" style="18" bestFit="1" customWidth="1"/>
    <col min="26" max="16384" width="9" style="18"/>
  </cols>
  <sheetData>
    <row r="1" spans="1:25" ht="18.75" thickBot="1">
      <c r="A1" s="11" t="str">
        <f>Intro!A1</f>
        <v>Town of Bar Harbor</v>
      </c>
      <c r="B1" s="27"/>
      <c r="C1" s="17"/>
      <c r="D1" s="260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</row>
    <row r="2" spans="1:25" ht="17.25" thickBot="1">
      <c r="A2" s="380" t="str">
        <f>Intro!A2</f>
        <v>Ferry Property Business Plan</v>
      </c>
      <c r="B2" s="13"/>
      <c r="C2" s="17"/>
      <c r="D2" s="260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</row>
    <row r="3" spans="1:25" s="381" customFormat="1" ht="14.25" thickBot="1">
      <c r="A3" s="384" t="str">
        <f>Intro!A3</f>
        <v>05.23.2018</v>
      </c>
      <c r="B3" s="304"/>
      <c r="C3" s="387"/>
      <c r="D3" s="388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7"/>
      <c r="X3" s="387"/>
    </row>
    <row r="4" spans="1:25" s="381" customFormat="1" ht="13.5">
      <c r="A4" s="384" t="str">
        <f ca="1">Intro!A4</f>
        <v>Town of Bar Harbor</v>
      </c>
      <c r="B4" s="382"/>
      <c r="C4" s="383">
        <f ca="1">NOW()</f>
        <v>43242.835659143515</v>
      </c>
      <c r="D4" s="388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  <c r="Q4" s="387"/>
      <c r="R4" s="387"/>
      <c r="S4" s="387"/>
      <c r="T4" s="387"/>
      <c r="U4" s="387"/>
      <c r="V4" s="387"/>
      <c r="W4" s="387"/>
      <c r="X4" s="387"/>
    </row>
    <row r="5" spans="1:25">
      <c r="A5" s="244" t="s">
        <v>343</v>
      </c>
      <c r="B5" s="244"/>
      <c r="C5" s="245"/>
      <c r="D5" s="261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</row>
    <row r="6" spans="1:25">
      <c r="D6" s="485"/>
    </row>
    <row r="7" spans="1:25">
      <c r="A7" s="22"/>
      <c r="B7" s="71"/>
      <c r="C7" s="71"/>
      <c r="D7" s="72">
        <f>'Cruise Projections'!T7</f>
        <v>2018</v>
      </c>
      <c r="E7" s="72">
        <f>'Cruise Projections'!U7</f>
        <v>2019</v>
      </c>
      <c r="F7" s="72">
        <f>'Cruise Projections'!V7</f>
        <v>2020</v>
      </c>
      <c r="G7" s="72">
        <f>'Cruise Projections'!W7</f>
        <v>2021</v>
      </c>
      <c r="H7" s="72">
        <f>'Cruise Projections'!X7</f>
        <v>2022</v>
      </c>
      <c r="I7" s="72">
        <f>'Cruise Projections'!Y7</f>
        <v>2023</v>
      </c>
      <c r="J7" s="72">
        <f>'Cruise Projections'!Z7</f>
        <v>2024</v>
      </c>
      <c r="K7" s="72">
        <f>'Cruise Projections'!AA7</f>
        <v>2025</v>
      </c>
      <c r="L7" s="72">
        <f>'Cruise Projections'!AB7</f>
        <v>2026</v>
      </c>
      <c r="M7" s="72">
        <f>'Cruise Projections'!AC7</f>
        <v>2027</v>
      </c>
      <c r="N7" s="72">
        <f>'Cruise Projections'!AD7</f>
        <v>2028</v>
      </c>
      <c r="O7" s="72">
        <f>'Cruise Projections'!AE7</f>
        <v>2029</v>
      </c>
      <c r="P7" s="72">
        <f>'Cruise Projections'!AF7</f>
        <v>2030</v>
      </c>
      <c r="Q7" s="72">
        <f>'Cruise Projections'!AG7</f>
        <v>2031</v>
      </c>
      <c r="R7" s="72">
        <f>'Cruise Projections'!AH7</f>
        <v>2032</v>
      </c>
      <c r="S7" s="72">
        <f>'Cruise Projections'!AI7</f>
        <v>2033</v>
      </c>
      <c r="T7" s="72">
        <f>'Cruise Projections'!AJ7</f>
        <v>2034</v>
      </c>
      <c r="U7" s="72">
        <f>'Cruise Projections'!AK7</f>
        <v>2035</v>
      </c>
      <c r="V7" s="72">
        <f>'Cruise Projections'!AL7</f>
        <v>2036</v>
      </c>
      <c r="W7" s="72">
        <f>'Cruise Projections'!AM7</f>
        <v>2037</v>
      </c>
      <c r="X7" s="72">
        <f>'Cruise Projections'!AN7</f>
        <v>2038</v>
      </c>
    </row>
    <row r="8" spans="1:25" ht="17.25" thickBot="1">
      <c r="D8" s="488"/>
    </row>
    <row r="9" spans="1:25" ht="17.25" thickBot="1">
      <c r="A9" s="117" t="s">
        <v>34</v>
      </c>
      <c r="B9" s="484" t="str">
        <f>'Cruise Projections'!A83</f>
        <v>Scenario 4 - Percent of 2018 Business - RCCL</v>
      </c>
      <c r="D9" s="489"/>
      <c r="E9" s="327"/>
      <c r="F9" s="327"/>
      <c r="G9" s="327"/>
      <c r="H9" s="327"/>
      <c r="I9" s="327"/>
      <c r="J9" s="327"/>
      <c r="K9" s="327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</row>
    <row r="10" spans="1:25">
      <c r="D10" s="489"/>
      <c r="E10" s="327"/>
      <c r="F10" s="327"/>
      <c r="G10" s="327"/>
      <c r="H10" s="327"/>
      <c r="I10" s="327"/>
      <c r="J10" s="327"/>
      <c r="K10" s="327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</row>
    <row r="11" spans="1:25" s="279" customFormat="1" ht="14.25">
      <c r="A11" s="279" t="s">
        <v>83</v>
      </c>
      <c r="D11" s="490"/>
      <c r="E11" s="328"/>
      <c r="F11" s="328"/>
      <c r="G11" s="328"/>
      <c r="H11" s="328"/>
      <c r="I11" s="328"/>
      <c r="J11" s="328"/>
      <c r="K11" s="328"/>
      <c r="L11" s="328"/>
      <c r="M11" s="328"/>
      <c r="N11" s="328"/>
      <c r="O11" s="328"/>
      <c r="P11" s="328"/>
      <c r="Q11" s="328"/>
      <c r="R11" s="328"/>
      <c r="S11" s="328"/>
      <c r="T11" s="328"/>
      <c r="U11" s="328"/>
      <c r="V11" s="328"/>
      <c r="W11" s="328"/>
      <c r="X11" s="328"/>
    </row>
    <row r="12" spans="1:25">
      <c r="A12" s="53" t="str">
        <f>'Cruise Projections'!A67</f>
        <v>Passengers</v>
      </c>
      <c r="B12" s="21"/>
      <c r="C12" s="21"/>
      <c r="D12" s="486">
        <f>'Cruise Projections'!T67</f>
        <v>0</v>
      </c>
      <c r="E12" s="313">
        <v>0</v>
      </c>
      <c r="F12" s="313">
        <f>'Cruise Projections'!V85</f>
        <v>89162.177869620791</v>
      </c>
      <c r="G12" s="313">
        <f>'Cruise Projections'!W85</f>
        <v>89162.177869620791</v>
      </c>
      <c r="H12" s="313">
        <f>'Cruise Projections'!X85</f>
        <v>89162.177869620791</v>
      </c>
      <c r="I12" s="313">
        <f>'Cruise Projections'!Y85</f>
        <v>89162.177869620791</v>
      </c>
      <c r="J12" s="313">
        <f>'Cruise Projections'!Z85</f>
        <v>89162.177869620791</v>
      </c>
      <c r="K12" s="313">
        <f>'Cruise Projections'!AA85</f>
        <v>89162.177869620791</v>
      </c>
      <c r="L12" s="313">
        <f>'Cruise Projections'!AB85</f>
        <v>89162.177869620791</v>
      </c>
      <c r="M12" s="313">
        <f>'Cruise Projections'!AC85</f>
        <v>89162.177869620791</v>
      </c>
      <c r="N12" s="313">
        <f>'Cruise Projections'!AD85</f>
        <v>89162.177869620791</v>
      </c>
      <c r="O12" s="313">
        <f>'Cruise Projections'!AE85</f>
        <v>89162.177869620791</v>
      </c>
      <c r="P12" s="313">
        <f>'Cruise Projections'!AF85</f>
        <v>89162.177869620791</v>
      </c>
      <c r="Q12" s="313">
        <f>'Cruise Projections'!AG85</f>
        <v>89162.177869620791</v>
      </c>
      <c r="R12" s="313">
        <f>'Cruise Projections'!AH85</f>
        <v>89162.177869620791</v>
      </c>
      <c r="S12" s="313">
        <f>'Cruise Projections'!AI85</f>
        <v>89162.177869620791</v>
      </c>
      <c r="T12" s="313">
        <f>'Cruise Projections'!AJ85</f>
        <v>89162.177869620791</v>
      </c>
      <c r="U12" s="313">
        <f>'Cruise Projections'!AK85</f>
        <v>89162.177869620791</v>
      </c>
      <c r="V12" s="313">
        <f>'Cruise Projections'!AL85</f>
        <v>89162.177869620791</v>
      </c>
      <c r="W12" s="313">
        <f>'Cruise Projections'!AM85</f>
        <v>89162.177869620791</v>
      </c>
      <c r="X12" s="313">
        <f>'Cruise Projections'!AN85</f>
        <v>89162.177869620791</v>
      </c>
      <c r="Y12" s="312"/>
    </row>
    <row r="13" spans="1:25">
      <c r="A13" s="53" t="str">
        <f>'Cruise Projections'!A68</f>
        <v>Calls</v>
      </c>
      <c r="B13" s="21"/>
      <c r="C13" s="21"/>
      <c r="D13" s="486">
        <f>'Cruise Projections'!T68</f>
        <v>0</v>
      </c>
      <c r="E13" s="313">
        <v>0</v>
      </c>
      <c r="F13" s="313">
        <f>'Cruise Projections'!V86</f>
        <v>28.666666666666664</v>
      </c>
      <c r="G13" s="313">
        <f>'Cruise Projections'!W86</f>
        <v>28.666666666666664</v>
      </c>
      <c r="H13" s="313">
        <f>'Cruise Projections'!X86</f>
        <v>28.666666666666664</v>
      </c>
      <c r="I13" s="313">
        <f>'Cruise Projections'!Y86</f>
        <v>28.666666666666664</v>
      </c>
      <c r="J13" s="313">
        <f>'Cruise Projections'!Z86</f>
        <v>28.666666666666664</v>
      </c>
      <c r="K13" s="313">
        <f>'Cruise Projections'!AA86</f>
        <v>28.666666666666664</v>
      </c>
      <c r="L13" s="313">
        <f>'Cruise Projections'!AB86</f>
        <v>28.666666666666664</v>
      </c>
      <c r="M13" s="313">
        <f>'Cruise Projections'!AC86</f>
        <v>28.666666666666664</v>
      </c>
      <c r="N13" s="313">
        <f>'Cruise Projections'!AD86</f>
        <v>28.666666666666664</v>
      </c>
      <c r="O13" s="313">
        <f>'Cruise Projections'!AE86</f>
        <v>28.666666666666664</v>
      </c>
      <c r="P13" s="313">
        <f>'Cruise Projections'!AF86</f>
        <v>28.666666666666664</v>
      </c>
      <c r="Q13" s="313">
        <f>'Cruise Projections'!AG86</f>
        <v>28.666666666666664</v>
      </c>
      <c r="R13" s="313">
        <f>'Cruise Projections'!AH86</f>
        <v>28.666666666666664</v>
      </c>
      <c r="S13" s="313">
        <f>'Cruise Projections'!AI86</f>
        <v>28.666666666666664</v>
      </c>
      <c r="T13" s="313">
        <f>'Cruise Projections'!AJ86</f>
        <v>28.666666666666664</v>
      </c>
      <c r="U13" s="313">
        <f>'Cruise Projections'!AK86</f>
        <v>28.666666666666664</v>
      </c>
      <c r="V13" s="313">
        <f>'Cruise Projections'!AL86</f>
        <v>28.666666666666664</v>
      </c>
      <c r="W13" s="313">
        <f>'Cruise Projections'!AM86</f>
        <v>28.666666666666664</v>
      </c>
      <c r="X13" s="313">
        <f>'Cruise Projections'!AN86</f>
        <v>28.666666666666664</v>
      </c>
      <c r="Y13" s="312"/>
    </row>
    <row r="14" spans="1:25">
      <c r="A14" s="53" t="str">
        <f>'Cruise Projections'!A69</f>
        <v>Passengers per Call</v>
      </c>
      <c r="B14" s="21"/>
      <c r="C14" s="21"/>
      <c r="D14" s="486">
        <f>'Cruise Projections'!T69</f>
        <v>0</v>
      </c>
      <c r="E14" s="313">
        <v>0</v>
      </c>
      <c r="F14" s="313">
        <f>'Cruise Projections'!V87</f>
        <v>3110.3085303356092</v>
      </c>
      <c r="G14" s="313">
        <f>'Cruise Projections'!W87</f>
        <v>3110.3085303356092</v>
      </c>
      <c r="H14" s="313">
        <f>'Cruise Projections'!X87</f>
        <v>3110.3085303356092</v>
      </c>
      <c r="I14" s="313">
        <f>'Cruise Projections'!Y87</f>
        <v>3110.3085303356092</v>
      </c>
      <c r="J14" s="313">
        <f>'Cruise Projections'!Z87</f>
        <v>3110.3085303356092</v>
      </c>
      <c r="K14" s="313">
        <f>'Cruise Projections'!AA87</f>
        <v>3110.3085303356092</v>
      </c>
      <c r="L14" s="313">
        <f>'Cruise Projections'!AB87</f>
        <v>3110.3085303356092</v>
      </c>
      <c r="M14" s="313">
        <f>'Cruise Projections'!AC87</f>
        <v>3110.3085303356092</v>
      </c>
      <c r="N14" s="313">
        <f>'Cruise Projections'!AD87</f>
        <v>3110.3085303356092</v>
      </c>
      <c r="O14" s="313">
        <f>'Cruise Projections'!AE87</f>
        <v>3110.3085303356092</v>
      </c>
      <c r="P14" s="313">
        <f>'Cruise Projections'!AF87</f>
        <v>3110.3085303356092</v>
      </c>
      <c r="Q14" s="313">
        <f>'Cruise Projections'!AG87</f>
        <v>3110.3085303356092</v>
      </c>
      <c r="R14" s="313">
        <f>'Cruise Projections'!AH87</f>
        <v>3110.3085303356092</v>
      </c>
      <c r="S14" s="313">
        <f>'Cruise Projections'!AI87</f>
        <v>3110.3085303356092</v>
      </c>
      <c r="T14" s="313">
        <f>'Cruise Projections'!AJ87</f>
        <v>3110.3085303356092</v>
      </c>
      <c r="U14" s="313">
        <f>'Cruise Projections'!AK87</f>
        <v>3110.3085303356092</v>
      </c>
      <c r="V14" s="313">
        <f>'Cruise Projections'!AL87</f>
        <v>3110.3085303356092</v>
      </c>
      <c r="W14" s="313">
        <f>'Cruise Projections'!AM87</f>
        <v>3110.3085303356092</v>
      </c>
      <c r="X14" s="313">
        <f>'Cruise Projections'!AN87</f>
        <v>3110.3085303356092</v>
      </c>
      <c r="Y14" s="312"/>
    </row>
    <row r="15" spans="1:25" s="96" customFormat="1">
      <c r="A15" s="54" t="s">
        <v>313</v>
      </c>
      <c r="B15" s="487"/>
      <c r="C15" s="487"/>
      <c r="D15" s="486">
        <f>'Cruise Projections'!T70</f>
        <v>0</v>
      </c>
      <c r="E15" s="313">
        <v>0</v>
      </c>
      <c r="F15" s="313">
        <f>'Shuttle Projections'!D35</f>
        <v>4120</v>
      </c>
      <c r="G15" s="313">
        <f>'Shuttle Projections'!E35</f>
        <v>4120</v>
      </c>
      <c r="H15" s="313">
        <f>'Shuttle Projections'!F35</f>
        <v>4120</v>
      </c>
      <c r="I15" s="313">
        <f>'Shuttle Projections'!G35</f>
        <v>4120</v>
      </c>
      <c r="J15" s="313">
        <f>'Shuttle Projections'!H35</f>
        <v>4120</v>
      </c>
      <c r="K15" s="313">
        <f>'Shuttle Projections'!I35</f>
        <v>4120</v>
      </c>
      <c r="L15" s="313">
        <f>'Shuttle Projections'!J35</f>
        <v>4120</v>
      </c>
      <c r="M15" s="313">
        <f>'Shuttle Projections'!K35</f>
        <v>4120</v>
      </c>
      <c r="N15" s="313">
        <f>'Shuttle Projections'!L35</f>
        <v>4120</v>
      </c>
      <c r="O15" s="313">
        <f>'Shuttle Projections'!M35</f>
        <v>4120</v>
      </c>
      <c r="P15" s="313">
        <f>'Shuttle Projections'!N35</f>
        <v>4120</v>
      </c>
      <c r="Q15" s="313">
        <f>'Shuttle Projections'!O35</f>
        <v>4120</v>
      </c>
      <c r="R15" s="313">
        <f>'Shuttle Projections'!P35</f>
        <v>4120</v>
      </c>
      <c r="S15" s="313">
        <f>'Shuttle Projections'!Q35</f>
        <v>4120</v>
      </c>
      <c r="T15" s="313">
        <f>'Shuttle Projections'!R35</f>
        <v>4120</v>
      </c>
      <c r="U15" s="313">
        <f>'Shuttle Projections'!S35</f>
        <v>4120</v>
      </c>
      <c r="V15" s="313">
        <f>'Shuttle Projections'!T35</f>
        <v>4120</v>
      </c>
      <c r="W15" s="313">
        <f>'Shuttle Projections'!U35</f>
        <v>4120</v>
      </c>
      <c r="X15" s="313">
        <f>'Shuttle Projections'!V35</f>
        <v>4120</v>
      </c>
      <c r="Y15" s="313"/>
    </row>
    <row r="16" spans="1:25">
      <c r="A16" s="54"/>
      <c r="B16" s="21"/>
      <c r="C16" s="21"/>
      <c r="D16" s="486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</row>
    <row r="17" spans="1:25" s="279" customFormat="1" ht="14.25">
      <c r="A17" s="293" t="s">
        <v>163</v>
      </c>
      <c r="B17" s="294"/>
      <c r="C17" s="294"/>
      <c r="D17" s="491"/>
      <c r="E17" s="329"/>
      <c r="F17" s="329"/>
      <c r="G17" s="329"/>
      <c r="H17" s="329"/>
      <c r="I17" s="329"/>
      <c r="J17" s="329"/>
      <c r="K17" s="329"/>
      <c r="L17" s="329"/>
      <c r="M17" s="329"/>
      <c r="N17" s="329"/>
      <c r="O17" s="329"/>
      <c r="P17" s="329"/>
      <c r="Q17" s="329"/>
      <c r="R17" s="329"/>
      <c r="S17" s="329"/>
      <c r="T17" s="329"/>
      <c r="U17" s="329"/>
      <c r="V17" s="329"/>
      <c r="W17" s="329"/>
      <c r="X17" s="329"/>
    </row>
    <row r="18" spans="1:25" s="96" customFormat="1">
      <c r="A18" s="54" t="str">
        <f>'International Ferry Projections'!A11</f>
        <v>Passengers</v>
      </c>
      <c r="B18" s="487"/>
      <c r="C18" s="487"/>
      <c r="D18" s="486">
        <f>'International Ferry Projections'!B11</f>
        <v>0</v>
      </c>
      <c r="E18" s="313">
        <f>'International Ferry Projections'!C11</f>
        <v>60000</v>
      </c>
      <c r="F18" s="313">
        <f>'International Ferry Projections'!D11</f>
        <v>70000</v>
      </c>
      <c r="G18" s="313">
        <f>'International Ferry Projections'!E11</f>
        <v>80000</v>
      </c>
      <c r="H18" s="313">
        <f>'International Ferry Projections'!F11</f>
        <v>80000</v>
      </c>
      <c r="I18" s="313">
        <f>'International Ferry Projections'!G11</f>
        <v>80000</v>
      </c>
      <c r="J18" s="313">
        <f>'International Ferry Projections'!H11</f>
        <v>80000</v>
      </c>
      <c r="K18" s="313">
        <f>'International Ferry Projections'!I11</f>
        <v>80000</v>
      </c>
      <c r="L18" s="313">
        <f>'International Ferry Projections'!J11</f>
        <v>80000</v>
      </c>
      <c r="M18" s="313">
        <f>'International Ferry Projections'!K11</f>
        <v>80000</v>
      </c>
      <c r="N18" s="313">
        <f>'International Ferry Projections'!L11</f>
        <v>80000</v>
      </c>
      <c r="O18" s="313">
        <f>'International Ferry Projections'!M11</f>
        <v>80000</v>
      </c>
      <c r="P18" s="313">
        <f>'International Ferry Projections'!N11</f>
        <v>80000</v>
      </c>
      <c r="Q18" s="313">
        <f>'International Ferry Projections'!O11</f>
        <v>80000</v>
      </c>
      <c r="R18" s="313">
        <f>'International Ferry Projections'!P11</f>
        <v>80000</v>
      </c>
      <c r="S18" s="313">
        <f>'International Ferry Projections'!Q11</f>
        <v>80000</v>
      </c>
      <c r="T18" s="313">
        <f>'International Ferry Projections'!R11</f>
        <v>80000</v>
      </c>
      <c r="U18" s="313">
        <f>'International Ferry Projections'!S11</f>
        <v>80000</v>
      </c>
      <c r="V18" s="313">
        <f>'International Ferry Projections'!T11</f>
        <v>80000</v>
      </c>
      <c r="W18" s="313">
        <f>'International Ferry Projections'!U11</f>
        <v>80000</v>
      </c>
      <c r="X18" s="313">
        <f>'International Ferry Projections'!V11</f>
        <v>80000</v>
      </c>
    </row>
    <row r="19" spans="1:25" s="96" customFormat="1">
      <c r="A19" s="54" t="str">
        <f>'International Ferry Projections'!A12</f>
        <v>Cars</v>
      </c>
      <c r="B19" s="487"/>
      <c r="C19" s="487"/>
      <c r="D19" s="486">
        <f>'International Ferry Projections'!B12</f>
        <v>0</v>
      </c>
      <c r="E19" s="313">
        <f>'International Ferry Projections'!C12</f>
        <v>24000</v>
      </c>
      <c r="F19" s="313">
        <f>'International Ferry Projections'!D12</f>
        <v>28000</v>
      </c>
      <c r="G19" s="313">
        <f>'International Ferry Projections'!E12</f>
        <v>32000</v>
      </c>
      <c r="H19" s="313">
        <f>'International Ferry Projections'!F12</f>
        <v>32000</v>
      </c>
      <c r="I19" s="313">
        <f>'International Ferry Projections'!G12</f>
        <v>32000</v>
      </c>
      <c r="J19" s="313">
        <f>'International Ferry Projections'!H12</f>
        <v>32000</v>
      </c>
      <c r="K19" s="313">
        <f>'International Ferry Projections'!I12</f>
        <v>32000</v>
      </c>
      <c r="L19" s="313">
        <f>'International Ferry Projections'!J12</f>
        <v>32000</v>
      </c>
      <c r="M19" s="313">
        <f>'International Ferry Projections'!K12</f>
        <v>32000</v>
      </c>
      <c r="N19" s="313">
        <f>'International Ferry Projections'!L12</f>
        <v>32000</v>
      </c>
      <c r="O19" s="313">
        <f>'International Ferry Projections'!M12</f>
        <v>32000</v>
      </c>
      <c r="P19" s="313">
        <f>'International Ferry Projections'!N12</f>
        <v>32000</v>
      </c>
      <c r="Q19" s="313">
        <f>'International Ferry Projections'!O12</f>
        <v>32000</v>
      </c>
      <c r="R19" s="313">
        <f>'International Ferry Projections'!P12</f>
        <v>32000</v>
      </c>
      <c r="S19" s="313">
        <f>'International Ferry Projections'!Q12</f>
        <v>32000</v>
      </c>
      <c r="T19" s="313">
        <f>'International Ferry Projections'!R12</f>
        <v>32000</v>
      </c>
      <c r="U19" s="313">
        <f>'International Ferry Projections'!S12</f>
        <v>32000</v>
      </c>
      <c r="V19" s="313">
        <f>'International Ferry Projections'!T12</f>
        <v>32000</v>
      </c>
      <c r="W19" s="313">
        <f>'International Ferry Projections'!U12</f>
        <v>32000</v>
      </c>
      <c r="X19" s="313">
        <f>'International Ferry Projections'!V12</f>
        <v>32000</v>
      </c>
    </row>
    <row r="20" spans="1:25" s="96" customFormat="1">
      <c r="A20" s="54" t="str">
        <f>'International Ferry Projections'!A13</f>
        <v>Buses</v>
      </c>
      <c r="B20" s="487"/>
      <c r="C20" s="487"/>
      <c r="D20" s="486">
        <f>'International Ferry Projections'!B13</f>
        <v>0</v>
      </c>
      <c r="E20" s="313">
        <f>'International Ferry Projections'!C13</f>
        <v>40</v>
      </c>
      <c r="F20" s="313">
        <f>'International Ferry Projections'!D13</f>
        <v>50</v>
      </c>
      <c r="G20" s="313">
        <f>'International Ferry Projections'!E13</f>
        <v>60</v>
      </c>
      <c r="H20" s="313">
        <f>'International Ferry Projections'!F13</f>
        <v>60</v>
      </c>
      <c r="I20" s="313">
        <f>'International Ferry Projections'!G13</f>
        <v>60</v>
      </c>
      <c r="J20" s="313">
        <f>'International Ferry Projections'!H13</f>
        <v>60</v>
      </c>
      <c r="K20" s="313">
        <f>'International Ferry Projections'!I13</f>
        <v>60</v>
      </c>
      <c r="L20" s="313">
        <f>'International Ferry Projections'!J13</f>
        <v>60</v>
      </c>
      <c r="M20" s="313">
        <f>'International Ferry Projections'!K13</f>
        <v>60</v>
      </c>
      <c r="N20" s="313">
        <f>'International Ferry Projections'!L13</f>
        <v>60</v>
      </c>
      <c r="O20" s="313">
        <f>'International Ferry Projections'!M13</f>
        <v>60</v>
      </c>
      <c r="P20" s="313">
        <f>'International Ferry Projections'!N13</f>
        <v>60</v>
      </c>
      <c r="Q20" s="313">
        <f>'International Ferry Projections'!O13</f>
        <v>60</v>
      </c>
      <c r="R20" s="313">
        <f>'International Ferry Projections'!P13</f>
        <v>60</v>
      </c>
      <c r="S20" s="313">
        <f>'International Ferry Projections'!Q13</f>
        <v>60</v>
      </c>
      <c r="T20" s="313">
        <f>'International Ferry Projections'!R13</f>
        <v>60</v>
      </c>
      <c r="U20" s="313">
        <f>'International Ferry Projections'!S13</f>
        <v>60</v>
      </c>
      <c r="V20" s="313">
        <f>'International Ferry Projections'!T13</f>
        <v>60</v>
      </c>
      <c r="W20" s="313">
        <f>'International Ferry Projections'!U13</f>
        <v>60</v>
      </c>
      <c r="X20" s="313">
        <f>'International Ferry Projections'!V13</f>
        <v>60</v>
      </c>
    </row>
    <row r="21" spans="1:25">
      <c r="A21" s="54"/>
      <c r="B21" s="21"/>
      <c r="C21" s="21"/>
      <c r="D21" s="486"/>
      <c r="E21" s="313"/>
      <c r="F21" s="313"/>
      <c r="G21" s="313"/>
      <c r="H21" s="313"/>
      <c r="I21" s="313"/>
      <c r="J21" s="313"/>
      <c r="K21" s="313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</row>
    <row r="22" spans="1:25" s="582" customFormat="1">
      <c r="A22" s="293" t="str">
        <f>'BH Tariffs'!A30</f>
        <v>Local Ferry</v>
      </c>
      <c r="B22" s="581"/>
      <c r="C22" s="581"/>
      <c r="D22" s="486">
        <v>0</v>
      </c>
      <c r="E22" s="329"/>
      <c r="F22" s="329"/>
      <c r="G22" s="329"/>
      <c r="H22" s="329"/>
      <c r="I22" s="329"/>
      <c r="J22" s="329"/>
      <c r="K22" s="329"/>
      <c r="L22" s="329"/>
      <c r="M22" s="329"/>
      <c r="N22" s="329"/>
      <c r="O22" s="329"/>
      <c r="P22" s="329"/>
      <c r="Q22" s="329"/>
      <c r="R22" s="329"/>
      <c r="S22" s="329"/>
      <c r="T22" s="329"/>
      <c r="U22" s="329"/>
      <c r="V22" s="329"/>
      <c r="W22" s="329"/>
      <c r="X22" s="329"/>
    </row>
    <row r="23" spans="1:25" s="96" customFormat="1">
      <c r="A23" s="54" t="str">
        <f>'BH Tariffs'!A31</f>
        <v>Dock Rent (6 Months Only)</v>
      </c>
      <c r="B23" s="487"/>
      <c r="C23" s="487"/>
      <c r="D23" s="486">
        <v>0</v>
      </c>
      <c r="E23" s="623" t="s">
        <v>286</v>
      </c>
      <c r="F23" s="623" t="s">
        <v>286</v>
      </c>
      <c r="G23" s="623" t="s">
        <v>286</v>
      </c>
      <c r="H23" s="623" t="s">
        <v>286</v>
      </c>
      <c r="I23" s="623" t="s">
        <v>286</v>
      </c>
      <c r="J23" s="623" t="s">
        <v>286</v>
      </c>
      <c r="K23" s="623" t="s">
        <v>286</v>
      </c>
      <c r="L23" s="623" t="s">
        <v>286</v>
      </c>
      <c r="M23" s="623" t="s">
        <v>286</v>
      </c>
      <c r="N23" s="623" t="s">
        <v>286</v>
      </c>
      <c r="O23" s="623" t="s">
        <v>286</v>
      </c>
      <c r="P23" s="623" t="s">
        <v>286</v>
      </c>
      <c r="Q23" s="623" t="s">
        <v>286</v>
      </c>
      <c r="R23" s="623" t="s">
        <v>286</v>
      </c>
      <c r="S23" s="623" t="s">
        <v>286</v>
      </c>
      <c r="T23" s="623" t="s">
        <v>286</v>
      </c>
      <c r="U23" s="623" t="s">
        <v>286</v>
      </c>
      <c r="V23" s="623" t="s">
        <v>286</v>
      </c>
      <c r="W23" s="623" t="s">
        <v>286</v>
      </c>
      <c r="X23" s="623" t="s">
        <v>286</v>
      </c>
    </row>
    <row r="24" spans="1:25" s="341" customFormat="1">
      <c r="A24" s="552"/>
      <c r="B24" s="553"/>
      <c r="C24" s="553"/>
      <c r="D24" s="554"/>
      <c r="E24" s="555"/>
      <c r="F24" s="555"/>
      <c r="G24" s="555"/>
      <c r="H24" s="555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</row>
    <row r="25" spans="1:25" s="96" customFormat="1">
      <c r="A25" s="559" t="s">
        <v>227</v>
      </c>
      <c r="B25" s="487"/>
      <c r="C25" s="487"/>
      <c r="D25" s="486"/>
      <c r="E25" s="313"/>
      <c r="F25" s="313"/>
      <c r="G25" s="313"/>
      <c r="H25" s="313"/>
      <c r="I25" s="313"/>
      <c r="J25" s="313"/>
      <c r="K25" s="313"/>
      <c r="L25" s="313"/>
      <c r="M25" s="313"/>
      <c r="N25" s="313"/>
      <c r="O25" s="313"/>
      <c r="P25" s="313"/>
      <c r="Q25" s="313"/>
      <c r="R25" s="313"/>
      <c r="S25" s="313"/>
      <c r="T25" s="313"/>
      <c r="U25" s="313"/>
      <c r="V25" s="313"/>
      <c r="W25" s="313"/>
      <c r="X25" s="313"/>
    </row>
    <row r="26" spans="1:25">
      <c r="A26" s="54"/>
      <c r="B26" s="21"/>
      <c r="C26" s="21"/>
      <c r="D26" s="486"/>
      <c r="E26" s="313"/>
      <c r="F26" s="313"/>
      <c r="G26" s="313"/>
      <c r="H26" s="313"/>
      <c r="I26" s="313"/>
      <c r="J26" s="313"/>
      <c r="K26" s="313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</row>
    <row r="27" spans="1:25">
      <c r="A27" s="54" t="s">
        <v>420</v>
      </c>
      <c r="B27" s="21"/>
      <c r="C27" s="21"/>
      <c r="D27" s="486">
        <v>0</v>
      </c>
      <c r="E27" s="313">
        <f>'Marina Projections'!C9</f>
        <v>0</v>
      </c>
      <c r="F27" s="313">
        <f>'Marina Projections'!D9</f>
        <v>214</v>
      </c>
      <c r="G27" s="313">
        <f>'Marina Projections'!E9</f>
        <v>214</v>
      </c>
      <c r="H27" s="313">
        <f>'Marina Projections'!F9</f>
        <v>214</v>
      </c>
      <c r="I27" s="313">
        <f>'Marina Projections'!G9</f>
        <v>214</v>
      </c>
      <c r="J27" s="313">
        <f>'Marina Projections'!H9</f>
        <v>214</v>
      </c>
      <c r="K27" s="313">
        <f>'Marina Projections'!I9</f>
        <v>214</v>
      </c>
      <c r="L27" s="313">
        <f>'Marina Projections'!J9</f>
        <v>214</v>
      </c>
      <c r="M27" s="313">
        <f>'Marina Projections'!K9</f>
        <v>214</v>
      </c>
      <c r="N27" s="313">
        <f>'Marina Projections'!L9</f>
        <v>214</v>
      </c>
      <c r="O27" s="313">
        <f>'Marina Projections'!M9</f>
        <v>214</v>
      </c>
      <c r="P27" s="313">
        <f>'Marina Projections'!N9</f>
        <v>214</v>
      </c>
      <c r="Q27" s="313">
        <f>'Marina Projections'!O9</f>
        <v>214</v>
      </c>
      <c r="R27" s="313">
        <f>'Marina Projections'!P9</f>
        <v>214</v>
      </c>
      <c r="S27" s="313">
        <f>'Marina Projections'!Q9</f>
        <v>214</v>
      </c>
      <c r="T27" s="313">
        <f>'Marina Projections'!R9</f>
        <v>214</v>
      </c>
      <c r="U27" s="313">
        <f>'Marina Projections'!S9</f>
        <v>214</v>
      </c>
      <c r="V27" s="313">
        <f>'Marina Projections'!T9</f>
        <v>214</v>
      </c>
      <c r="W27" s="313">
        <f>'Marina Projections'!U9</f>
        <v>214</v>
      </c>
      <c r="X27" s="313">
        <f>'Marina Projections'!V9</f>
        <v>214</v>
      </c>
    </row>
    <row r="28" spans="1:25">
      <c r="A28" s="54" t="s">
        <v>205</v>
      </c>
      <c r="B28" s="21"/>
      <c r="C28" s="21"/>
      <c r="D28" s="486">
        <v>0</v>
      </c>
      <c r="E28" s="330">
        <v>0</v>
      </c>
      <c r="F28" s="330">
        <f>'Cruise Projections'!V86</f>
        <v>28.666666666666664</v>
      </c>
      <c r="G28" s="330">
        <f>'Cruise Projections'!W86</f>
        <v>28.666666666666664</v>
      </c>
      <c r="H28" s="330">
        <f>'Cruise Projections'!X86</f>
        <v>28.666666666666664</v>
      </c>
      <c r="I28" s="330">
        <f>'Cruise Projections'!Y86</f>
        <v>28.666666666666664</v>
      </c>
      <c r="J28" s="330">
        <f>'Cruise Projections'!Z86</f>
        <v>28.666666666666664</v>
      </c>
      <c r="K28" s="330">
        <f>'Cruise Projections'!AA86</f>
        <v>28.666666666666664</v>
      </c>
      <c r="L28" s="330">
        <f>'Cruise Projections'!AB86</f>
        <v>28.666666666666664</v>
      </c>
      <c r="M28" s="330">
        <f>'Cruise Projections'!AC86</f>
        <v>28.666666666666664</v>
      </c>
      <c r="N28" s="330">
        <f>'Cruise Projections'!AD86</f>
        <v>28.666666666666664</v>
      </c>
      <c r="O28" s="330">
        <f>'Cruise Projections'!AE86</f>
        <v>28.666666666666664</v>
      </c>
      <c r="P28" s="330">
        <f>'Cruise Projections'!AF86</f>
        <v>28.666666666666664</v>
      </c>
      <c r="Q28" s="330">
        <f>'Cruise Projections'!AG86</f>
        <v>28.666666666666664</v>
      </c>
      <c r="R28" s="330">
        <f>'Cruise Projections'!AH86</f>
        <v>28.666666666666664</v>
      </c>
      <c r="S28" s="330">
        <f>'Cruise Projections'!AI86</f>
        <v>28.666666666666664</v>
      </c>
      <c r="T28" s="330">
        <f>'Cruise Projections'!AJ86</f>
        <v>28.666666666666664</v>
      </c>
      <c r="U28" s="330">
        <f>'Cruise Projections'!AK86</f>
        <v>28.666666666666664</v>
      </c>
      <c r="V28" s="330">
        <f>'Cruise Projections'!AL86</f>
        <v>28.666666666666664</v>
      </c>
      <c r="W28" s="330">
        <f>'Cruise Projections'!AM86</f>
        <v>28.666666666666664</v>
      </c>
      <c r="X28" s="330">
        <f>'Cruise Projections'!AN86</f>
        <v>28.666666666666664</v>
      </c>
      <c r="Y28" s="32"/>
    </row>
    <row r="29" spans="1:25">
      <c r="A29" s="54" t="s">
        <v>219</v>
      </c>
      <c r="B29" s="21"/>
      <c r="C29" s="21"/>
      <c r="D29" s="486">
        <v>0</v>
      </c>
      <c r="E29" s="330">
        <v>150</v>
      </c>
      <c r="F29" s="330">
        <f>E29</f>
        <v>150</v>
      </c>
      <c r="G29" s="330">
        <f t="shared" ref="G29:X29" si="0">F29</f>
        <v>150</v>
      </c>
      <c r="H29" s="330">
        <f t="shared" si="0"/>
        <v>150</v>
      </c>
      <c r="I29" s="330">
        <f t="shared" si="0"/>
        <v>150</v>
      </c>
      <c r="J29" s="330">
        <f t="shared" si="0"/>
        <v>150</v>
      </c>
      <c r="K29" s="330">
        <f t="shared" si="0"/>
        <v>150</v>
      </c>
      <c r="L29" s="330">
        <f t="shared" si="0"/>
        <v>150</v>
      </c>
      <c r="M29" s="330">
        <f t="shared" si="0"/>
        <v>150</v>
      </c>
      <c r="N29" s="330">
        <f t="shared" si="0"/>
        <v>150</v>
      </c>
      <c r="O29" s="330">
        <f t="shared" si="0"/>
        <v>150</v>
      </c>
      <c r="P29" s="330">
        <f t="shared" si="0"/>
        <v>150</v>
      </c>
      <c r="Q29" s="330">
        <f t="shared" si="0"/>
        <v>150</v>
      </c>
      <c r="R29" s="330">
        <f t="shared" si="0"/>
        <v>150</v>
      </c>
      <c r="S29" s="330">
        <f t="shared" si="0"/>
        <v>150</v>
      </c>
      <c r="T29" s="330">
        <f t="shared" si="0"/>
        <v>150</v>
      </c>
      <c r="U29" s="330">
        <f t="shared" si="0"/>
        <v>150</v>
      </c>
      <c r="V29" s="330">
        <f t="shared" si="0"/>
        <v>150</v>
      </c>
      <c r="W29" s="330">
        <f t="shared" si="0"/>
        <v>150</v>
      </c>
      <c r="X29" s="330">
        <f t="shared" si="0"/>
        <v>150</v>
      </c>
      <c r="Y29" s="32"/>
    </row>
    <row r="30" spans="1:25">
      <c r="A30" s="54" t="s">
        <v>220</v>
      </c>
      <c r="B30" s="21"/>
      <c r="C30" s="21"/>
      <c r="D30" s="486">
        <v>0</v>
      </c>
      <c r="E30" s="495">
        <f>E28/E29</f>
        <v>0</v>
      </c>
      <c r="F30" s="495">
        <f t="shared" ref="F30:X30" si="1">F28/F29</f>
        <v>0.19111111111111109</v>
      </c>
      <c r="G30" s="495">
        <f t="shared" si="1"/>
        <v>0.19111111111111109</v>
      </c>
      <c r="H30" s="495">
        <f t="shared" si="1"/>
        <v>0.19111111111111109</v>
      </c>
      <c r="I30" s="495">
        <f t="shared" si="1"/>
        <v>0.19111111111111109</v>
      </c>
      <c r="J30" s="495">
        <f t="shared" si="1"/>
        <v>0.19111111111111109</v>
      </c>
      <c r="K30" s="495">
        <f t="shared" si="1"/>
        <v>0.19111111111111109</v>
      </c>
      <c r="L30" s="495">
        <f t="shared" si="1"/>
        <v>0.19111111111111109</v>
      </c>
      <c r="M30" s="495">
        <f t="shared" si="1"/>
        <v>0.19111111111111109</v>
      </c>
      <c r="N30" s="495">
        <f t="shared" si="1"/>
        <v>0.19111111111111109</v>
      </c>
      <c r="O30" s="495">
        <f t="shared" si="1"/>
        <v>0.19111111111111109</v>
      </c>
      <c r="P30" s="495">
        <f t="shared" si="1"/>
        <v>0.19111111111111109</v>
      </c>
      <c r="Q30" s="495">
        <f t="shared" si="1"/>
        <v>0.19111111111111109</v>
      </c>
      <c r="R30" s="495">
        <f t="shared" si="1"/>
        <v>0.19111111111111109</v>
      </c>
      <c r="S30" s="495">
        <f t="shared" si="1"/>
        <v>0.19111111111111109</v>
      </c>
      <c r="T30" s="495">
        <f t="shared" si="1"/>
        <v>0.19111111111111109</v>
      </c>
      <c r="U30" s="495">
        <f t="shared" si="1"/>
        <v>0.19111111111111109</v>
      </c>
      <c r="V30" s="495">
        <f t="shared" si="1"/>
        <v>0.19111111111111109</v>
      </c>
      <c r="W30" s="495">
        <f t="shared" si="1"/>
        <v>0.19111111111111109</v>
      </c>
      <c r="X30" s="495">
        <f t="shared" si="1"/>
        <v>0.19111111111111109</v>
      </c>
      <c r="Y30" s="32"/>
    </row>
    <row r="31" spans="1:25" s="96" customFormat="1">
      <c r="A31" s="54" t="s">
        <v>226</v>
      </c>
      <c r="B31" s="487"/>
      <c r="C31" s="487"/>
      <c r="D31" s="486">
        <v>0</v>
      </c>
      <c r="E31" s="330">
        <v>0</v>
      </c>
      <c r="F31" s="330">
        <v>125</v>
      </c>
      <c r="G31" s="330">
        <v>125</v>
      </c>
      <c r="H31" s="330">
        <v>125</v>
      </c>
      <c r="I31" s="330">
        <v>125</v>
      </c>
      <c r="J31" s="330">
        <v>125</v>
      </c>
      <c r="K31" s="330">
        <v>125</v>
      </c>
      <c r="L31" s="330">
        <v>125</v>
      </c>
      <c r="M31" s="330">
        <v>125</v>
      </c>
      <c r="N31" s="330">
        <v>125</v>
      </c>
      <c r="O31" s="330">
        <v>125</v>
      </c>
      <c r="P31" s="330">
        <v>125</v>
      </c>
      <c r="Q31" s="330">
        <v>125</v>
      </c>
      <c r="R31" s="330">
        <v>125</v>
      </c>
      <c r="S31" s="330">
        <v>125</v>
      </c>
      <c r="T31" s="330">
        <v>125</v>
      </c>
      <c r="U31" s="330">
        <v>125</v>
      </c>
      <c r="V31" s="330">
        <v>125</v>
      </c>
      <c r="W31" s="330">
        <v>125</v>
      </c>
      <c r="X31" s="330">
        <v>125</v>
      </c>
      <c r="Y31" s="58"/>
    </row>
    <row r="32" spans="1:25">
      <c r="A32" s="54"/>
      <c r="B32" s="21"/>
      <c r="C32" s="21"/>
      <c r="D32" s="486"/>
      <c r="E32" s="495"/>
      <c r="F32" s="495"/>
      <c r="G32" s="495"/>
      <c r="H32" s="495"/>
      <c r="I32" s="495"/>
      <c r="J32" s="495"/>
      <c r="K32" s="495"/>
      <c r="L32" s="495"/>
      <c r="M32" s="495"/>
      <c r="N32" s="495"/>
      <c r="O32" s="495"/>
      <c r="P32" s="495"/>
      <c r="Q32" s="495"/>
      <c r="R32" s="495"/>
      <c r="S32" s="495"/>
      <c r="T32" s="495"/>
      <c r="U32" s="495"/>
      <c r="V32" s="495"/>
      <c r="W32" s="495"/>
      <c r="X32" s="495"/>
      <c r="Y32" s="32"/>
    </row>
    <row r="33" spans="1:24">
      <c r="A33" s="54" t="s">
        <v>206</v>
      </c>
      <c r="B33" s="21"/>
      <c r="C33" s="21"/>
      <c r="D33" s="486">
        <v>0</v>
      </c>
      <c r="E33" s="313">
        <v>0</v>
      </c>
      <c r="F33" s="313">
        <f t="shared" ref="F33:X33" si="2">F12/F28</f>
        <v>3110.3085303356092</v>
      </c>
      <c r="G33" s="313">
        <f t="shared" si="2"/>
        <v>3110.3085303356092</v>
      </c>
      <c r="H33" s="313">
        <f t="shared" si="2"/>
        <v>3110.3085303356092</v>
      </c>
      <c r="I33" s="313">
        <f t="shared" si="2"/>
        <v>3110.3085303356092</v>
      </c>
      <c r="J33" s="313">
        <f t="shared" si="2"/>
        <v>3110.3085303356092</v>
      </c>
      <c r="K33" s="313">
        <f t="shared" si="2"/>
        <v>3110.3085303356092</v>
      </c>
      <c r="L33" s="313">
        <f t="shared" si="2"/>
        <v>3110.3085303356092</v>
      </c>
      <c r="M33" s="313">
        <f t="shared" si="2"/>
        <v>3110.3085303356092</v>
      </c>
      <c r="N33" s="313">
        <f t="shared" si="2"/>
        <v>3110.3085303356092</v>
      </c>
      <c r="O33" s="313">
        <f t="shared" si="2"/>
        <v>3110.3085303356092</v>
      </c>
      <c r="P33" s="313">
        <f t="shared" si="2"/>
        <v>3110.3085303356092</v>
      </c>
      <c r="Q33" s="313">
        <f t="shared" si="2"/>
        <v>3110.3085303356092</v>
      </c>
      <c r="R33" s="313">
        <f t="shared" si="2"/>
        <v>3110.3085303356092</v>
      </c>
      <c r="S33" s="313">
        <f t="shared" si="2"/>
        <v>3110.3085303356092</v>
      </c>
      <c r="T33" s="313">
        <f t="shared" si="2"/>
        <v>3110.3085303356092</v>
      </c>
      <c r="U33" s="313">
        <f t="shared" si="2"/>
        <v>3110.3085303356092</v>
      </c>
      <c r="V33" s="313">
        <f t="shared" si="2"/>
        <v>3110.3085303356092</v>
      </c>
      <c r="W33" s="313">
        <f t="shared" si="2"/>
        <v>3110.3085303356092</v>
      </c>
      <c r="X33" s="313">
        <f t="shared" si="2"/>
        <v>3110.3085303356092</v>
      </c>
    </row>
    <row r="34" spans="1:24">
      <c r="A34" s="54" t="s">
        <v>207</v>
      </c>
      <c r="B34" s="21"/>
      <c r="C34" s="21"/>
      <c r="D34" s="486">
        <v>0</v>
      </c>
      <c r="E34" s="313">
        <v>0</v>
      </c>
      <c r="F34" s="313">
        <v>5500</v>
      </c>
      <c r="G34" s="313">
        <v>5500</v>
      </c>
      <c r="H34" s="313">
        <v>5500</v>
      </c>
      <c r="I34" s="313">
        <v>5500</v>
      </c>
      <c r="J34" s="313">
        <v>5500</v>
      </c>
      <c r="K34" s="313">
        <v>5500</v>
      </c>
      <c r="L34" s="313">
        <v>5500</v>
      </c>
      <c r="M34" s="313">
        <v>5500</v>
      </c>
      <c r="N34" s="313">
        <v>5500</v>
      </c>
      <c r="O34" s="313">
        <v>5500</v>
      </c>
      <c r="P34" s="313">
        <v>5500</v>
      </c>
      <c r="Q34" s="313">
        <v>5500</v>
      </c>
      <c r="R34" s="313">
        <v>5500</v>
      </c>
      <c r="S34" s="313">
        <v>5500</v>
      </c>
      <c r="T34" s="313">
        <v>5500</v>
      </c>
      <c r="U34" s="313">
        <v>5500</v>
      </c>
      <c r="V34" s="313">
        <v>5500</v>
      </c>
      <c r="W34" s="313">
        <v>5500</v>
      </c>
      <c r="X34" s="313">
        <v>5500</v>
      </c>
    </row>
    <row r="35" spans="1:24">
      <c r="A35" s="54" t="s">
        <v>221</v>
      </c>
      <c r="B35" s="21"/>
      <c r="C35" s="21"/>
      <c r="D35" s="486">
        <v>0</v>
      </c>
      <c r="E35" s="330">
        <f>E18/E29</f>
        <v>400</v>
      </c>
      <c r="F35" s="330">
        <f t="shared" ref="F35:X35" si="3">F18/F29</f>
        <v>466.66666666666669</v>
      </c>
      <c r="G35" s="330">
        <f t="shared" si="3"/>
        <v>533.33333333333337</v>
      </c>
      <c r="H35" s="330">
        <f t="shared" si="3"/>
        <v>533.33333333333337</v>
      </c>
      <c r="I35" s="330">
        <f t="shared" si="3"/>
        <v>533.33333333333337</v>
      </c>
      <c r="J35" s="330">
        <f t="shared" si="3"/>
        <v>533.33333333333337</v>
      </c>
      <c r="K35" s="330">
        <f t="shared" si="3"/>
        <v>533.33333333333337</v>
      </c>
      <c r="L35" s="330">
        <f t="shared" si="3"/>
        <v>533.33333333333337</v>
      </c>
      <c r="M35" s="330">
        <f t="shared" si="3"/>
        <v>533.33333333333337</v>
      </c>
      <c r="N35" s="330">
        <f t="shared" si="3"/>
        <v>533.33333333333337</v>
      </c>
      <c r="O35" s="330">
        <f t="shared" si="3"/>
        <v>533.33333333333337</v>
      </c>
      <c r="P35" s="330">
        <f t="shared" si="3"/>
        <v>533.33333333333337</v>
      </c>
      <c r="Q35" s="330">
        <f t="shared" si="3"/>
        <v>533.33333333333337</v>
      </c>
      <c r="R35" s="330">
        <f t="shared" si="3"/>
        <v>533.33333333333337</v>
      </c>
      <c r="S35" s="330">
        <f t="shared" si="3"/>
        <v>533.33333333333337</v>
      </c>
      <c r="T35" s="330">
        <f t="shared" si="3"/>
        <v>533.33333333333337</v>
      </c>
      <c r="U35" s="330">
        <f t="shared" si="3"/>
        <v>533.33333333333337</v>
      </c>
      <c r="V35" s="330">
        <f t="shared" si="3"/>
        <v>533.33333333333337</v>
      </c>
      <c r="W35" s="330">
        <f t="shared" si="3"/>
        <v>533.33333333333337</v>
      </c>
      <c r="X35" s="330">
        <f t="shared" si="3"/>
        <v>533.33333333333337</v>
      </c>
    </row>
    <row r="36" spans="1:24">
      <c r="A36" s="54" t="s">
        <v>222</v>
      </c>
      <c r="B36" s="21"/>
      <c r="C36" s="21"/>
      <c r="D36" s="486">
        <v>0</v>
      </c>
      <c r="E36" s="330">
        <v>800</v>
      </c>
      <c r="F36" s="330">
        <v>800</v>
      </c>
      <c r="G36" s="330">
        <v>800</v>
      </c>
      <c r="H36" s="330">
        <v>800</v>
      </c>
      <c r="I36" s="330">
        <v>800</v>
      </c>
      <c r="J36" s="330">
        <v>800</v>
      </c>
      <c r="K36" s="330">
        <v>800</v>
      </c>
      <c r="L36" s="330">
        <v>800</v>
      </c>
      <c r="M36" s="330">
        <v>800</v>
      </c>
      <c r="N36" s="330">
        <v>800</v>
      </c>
      <c r="O36" s="330">
        <v>800</v>
      </c>
      <c r="P36" s="330">
        <v>800</v>
      </c>
      <c r="Q36" s="330">
        <v>800</v>
      </c>
      <c r="R36" s="330">
        <v>800</v>
      </c>
      <c r="S36" s="330">
        <v>800</v>
      </c>
      <c r="T36" s="330">
        <v>800</v>
      </c>
      <c r="U36" s="330">
        <v>800</v>
      </c>
      <c r="V36" s="330">
        <v>800</v>
      </c>
      <c r="W36" s="330">
        <v>800</v>
      </c>
      <c r="X36" s="330">
        <v>800</v>
      </c>
    </row>
    <row r="37" spans="1:24">
      <c r="A37" s="54" t="s">
        <v>208</v>
      </c>
      <c r="B37" s="21"/>
      <c r="C37" s="21"/>
      <c r="D37" s="486">
        <v>0</v>
      </c>
      <c r="E37" s="330">
        <f>SUM(E34,E36)</f>
        <v>800</v>
      </c>
      <c r="F37" s="330">
        <f t="shared" ref="F37:X37" si="4">SUM(F34,F36)</f>
        <v>6300</v>
      </c>
      <c r="G37" s="330">
        <f t="shared" si="4"/>
        <v>6300</v>
      </c>
      <c r="H37" s="330">
        <f t="shared" si="4"/>
        <v>6300</v>
      </c>
      <c r="I37" s="330">
        <f t="shared" si="4"/>
        <v>6300</v>
      </c>
      <c r="J37" s="330">
        <f t="shared" si="4"/>
        <v>6300</v>
      </c>
      <c r="K37" s="330">
        <f t="shared" si="4"/>
        <v>6300</v>
      </c>
      <c r="L37" s="330">
        <f t="shared" si="4"/>
        <v>6300</v>
      </c>
      <c r="M37" s="330">
        <f t="shared" si="4"/>
        <v>6300</v>
      </c>
      <c r="N37" s="330">
        <f t="shared" si="4"/>
        <v>6300</v>
      </c>
      <c r="O37" s="330">
        <f t="shared" si="4"/>
        <v>6300</v>
      </c>
      <c r="P37" s="330">
        <f t="shared" si="4"/>
        <v>6300</v>
      </c>
      <c r="Q37" s="330">
        <f t="shared" si="4"/>
        <v>6300</v>
      </c>
      <c r="R37" s="330">
        <f t="shared" si="4"/>
        <v>6300</v>
      </c>
      <c r="S37" s="330">
        <f t="shared" si="4"/>
        <v>6300</v>
      </c>
      <c r="T37" s="330">
        <f t="shared" si="4"/>
        <v>6300</v>
      </c>
      <c r="U37" s="330">
        <f t="shared" si="4"/>
        <v>6300</v>
      </c>
      <c r="V37" s="330">
        <f t="shared" si="4"/>
        <v>6300</v>
      </c>
      <c r="W37" s="330">
        <f t="shared" si="4"/>
        <v>6300</v>
      </c>
      <c r="X37" s="330">
        <f t="shared" si="4"/>
        <v>6300</v>
      </c>
    </row>
    <row r="38" spans="1:24">
      <c r="A38" s="54"/>
      <c r="B38" s="21"/>
      <c r="C38" s="21"/>
      <c r="D38" s="486"/>
      <c r="E38" s="330"/>
      <c r="F38" s="330"/>
      <c r="G38" s="330"/>
      <c r="H38" s="330"/>
      <c r="I38" s="330"/>
      <c r="J38" s="330"/>
      <c r="K38" s="330"/>
      <c r="L38" s="330"/>
      <c r="M38" s="330"/>
      <c r="N38" s="330"/>
      <c r="O38" s="330"/>
      <c r="P38" s="330"/>
      <c r="Q38" s="330"/>
      <c r="R38" s="330"/>
      <c r="S38" s="330"/>
      <c r="T38" s="330"/>
      <c r="U38" s="330"/>
      <c r="V38" s="330"/>
      <c r="W38" s="330"/>
      <c r="X38" s="330"/>
    </row>
    <row r="39" spans="1:24">
      <c r="A39" s="54" t="s">
        <v>223</v>
      </c>
      <c r="B39" s="74"/>
      <c r="C39" s="74"/>
      <c r="D39" s="486">
        <v>0</v>
      </c>
      <c r="E39" s="313">
        <f>(E19+E20)/E29</f>
        <v>160.26666666666668</v>
      </c>
      <c r="F39" s="313">
        <f t="shared" ref="F39:X39" si="5">(F19+F20)/F29</f>
        <v>187</v>
      </c>
      <c r="G39" s="313">
        <f t="shared" si="5"/>
        <v>213.73333333333332</v>
      </c>
      <c r="H39" s="313">
        <f t="shared" si="5"/>
        <v>213.73333333333332</v>
      </c>
      <c r="I39" s="313">
        <f t="shared" si="5"/>
        <v>213.73333333333332</v>
      </c>
      <c r="J39" s="313">
        <f t="shared" si="5"/>
        <v>213.73333333333332</v>
      </c>
      <c r="K39" s="313">
        <f t="shared" si="5"/>
        <v>213.73333333333332</v>
      </c>
      <c r="L39" s="313">
        <f t="shared" si="5"/>
        <v>213.73333333333332</v>
      </c>
      <c r="M39" s="313">
        <f t="shared" si="5"/>
        <v>213.73333333333332</v>
      </c>
      <c r="N39" s="313">
        <f t="shared" si="5"/>
        <v>213.73333333333332</v>
      </c>
      <c r="O39" s="313">
        <f t="shared" si="5"/>
        <v>213.73333333333332</v>
      </c>
      <c r="P39" s="313">
        <f t="shared" si="5"/>
        <v>213.73333333333332</v>
      </c>
      <c r="Q39" s="313">
        <f t="shared" si="5"/>
        <v>213.73333333333332</v>
      </c>
      <c r="R39" s="313">
        <f t="shared" si="5"/>
        <v>213.73333333333332</v>
      </c>
      <c r="S39" s="313">
        <f t="shared" si="5"/>
        <v>213.73333333333332</v>
      </c>
      <c r="T39" s="313">
        <f t="shared" si="5"/>
        <v>213.73333333333332</v>
      </c>
      <c r="U39" s="313">
        <f t="shared" si="5"/>
        <v>213.73333333333332</v>
      </c>
      <c r="V39" s="313">
        <f t="shared" si="5"/>
        <v>213.73333333333332</v>
      </c>
      <c r="W39" s="313">
        <f t="shared" si="5"/>
        <v>213.73333333333332</v>
      </c>
      <c r="X39" s="313">
        <f t="shared" si="5"/>
        <v>213.73333333333332</v>
      </c>
    </row>
    <row r="40" spans="1:24">
      <c r="A40" s="54"/>
      <c r="B40" s="74"/>
      <c r="C40" s="74"/>
      <c r="D40" s="492"/>
      <c r="E40" s="308"/>
      <c r="F40" s="308"/>
      <c r="G40" s="308"/>
      <c r="H40" s="308"/>
      <c r="I40" s="308"/>
      <c r="J40" s="308"/>
      <c r="K40" s="308"/>
      <c r="L40" s="308"/>
      <c r="M40" s="308"/>
      <c r="N40" s="308"/>
      <c r="O40" s="308"/>
      <c r="P40" s="308"/>
      <c r="Q40" s="308"/>
      <c r="R40" s="308"/>
      <c r="S40" s="308"/>
      <c r="T40" s="308"/>
      <c r="U40" s="308"/>
      <c r="V40" s="308"/>
      <c r="W40" s="308"/>
      <c r="X40" s="308"/>
    </row>
    <row r="41" spans="1:24">
      <c r="A41" s="293" t="s">
        <v>26</v>
      </c>
      <c r="B41" s="74"/>
      <c r="C41" s="74"/>
      <c r="D41" s="492"/>
      <c r="E41" s="308"/>
      <c r="F41" s="308"/>
      <c r="G41" s="308"/>
      <c r="H41" s="308"/>
      <c r="I41" s="308"/>
      <c r="J41" s="308"/>
      <c r="K41" s="308"/>
      <c r="L41" s="308"/>
      <c r="M41" s="308"/>
      <c r="N41" s="308"/>
      <c r="O41" s="308"/>
      <c r="P41" s="308"/>
      <c r="Q41" s="308"/>
      <c r="R41" s="308"/>
      <c r="S41" s="308"/>
      <c r="T41" s="308"/>
      <c r="U41" s="308"/>
      <c r="V41" s="308"/>
      <c r="W41" s="308"/>
      <c r="X41" s="308"/>
    </row>
    <row r="42" spans="1:24">
      <c r="A42" s="54" t="s">
        <v>264</v>
      </c>
      <c r="B42" s="277"/>
      <c r="C42" s="74"/>
      <c r="D42" s="486">
        <v>0</v>
      </c>
      <c r="E42" s="313">
        <f>'Parking Projections'!C81</f>
        <v>13290.435763888891</v>
      </c>
      <c r="F42" s="313">
        <f>'Parking Projections'!D81</f>
        <v>13290.435763888891</v>
      </c>
      <c r="G42" s="313">
        <f>'Parking Projections'!E81</f>
        <v>13290.435763888891</v>
      </c>
      <c r="H42" s="313">
        <f>'Parking Projections'!F81</f>
        <v>13290.435763888891</v>
      </c>
      <c r="I42" s="313">
        <f>'Parking Projections'!G81</f>
        <v>13290.435763888891</v>
      </c>
      <c r="J42" s="313">
        <f>'Parking Projections'!H81</f>
        <v>13290.435763888891</v>
      </c>
      <c r="K42" s="313">
        <f>'Parking Projections'!I81</f>
        <v>13290.435763888891</v>
      </c>
      <c r="L42" s="313">
        <f>'Parking Projections'!J81</f>
        <v>13290.435763888891</v>
      </c>
      <c r="M42" s="313">
        <f>'Parking Projections'!K81</f>
        <v>13290.435763888891</v>
      </c>
      <c r="N42" s="313">
        <f>'Parking Projections'!L81</f>
        <v>13290.435763888891</v>
      </c>
      <c r="O42" s="313">
        <f>'Parking Projections'!M81</f>
        <v>13290.435763888891</v>
      </c>
      <c r="P42" s="313">
        <f>'Parking Projections'!N81</f>
        <v>13290.435763888891</v>
      </c>
      <c r="Q42" s="313">
        <f>'Parking Projections'!O81</f>
        <v>13290.435763888891</v>
      </c>
      <c r="R42" s="313">
        <f>'Parking Projections'!P81</f>
        <v>13290.435763888891</v>
      </c>
      <c r="S42" s="313">
        <f>'Parking Projections'!Q81</f>
        <v>13290.435763888891</v>
      </c>
      <c r="T42" s="313">
        <f>'Parking Projections'!R81</f>
        <v>13290.435763888891</v>
      </c>
      <c r="U42" s="313">
        <f>'Parking Projections'!S81</f>
        <v>13290.435763888891</v>
      </c>
      <c r="V42" s="313">
        <f>'Parking Projections'!T81</f>
        <v>13290.435763888891</v>
      </c>
      <c r="W42" s="313">
        <f>'Parking Projections'!U81</f>
        <v>13290.435763888891</v>
      </c>
      <c r="X42" s="313">
        <f>'Parking Projections'!V81</f>
        <v>13290.435763888891</v>
      </c>
    </row>
    <row r="43" spans="1:24">
      <c r="A43" s="54" t="s">
        <v>267</v>
      </c>
      <c r="B43" s="277"/>
      <c r="C43" s="74"/>
      <c r="D43" s="486">
        <v>0</v>
      </c>
      <c r="E43" s="313">
        <f>'Parking Projections'!C85</f>
        <v>13967.333333333327</v>
      </c>
      <c r="F43" s="313">
        <f>'Parking Projections'!D85</f>
        <v>13967.333333333327</v>
      </c>
      <c r="G43" s="313">
        <f>'Parking Projections'!E85</f>
        <v>13967.333333333327</v>
      </c>
      <c r="H43" s="313">
        <f>'Parking Projections'!F85</f>
        <v>13967.333333333327</v>
      </c>
      <c r="I43" s="313">
        <f>'Parking Projections'!G85</f>
        <v>13967.333333333327</v>
      </c>
      <c r="J43" s="313">
        <f>'Parking Projections'!H85</f>
        <v>13967.333333333327</v>
      </c>
      <c r="K43" s="313">
        <f>'Parking Projections'!I85</f>
        <v>13967.333333333327</v>
      </c>
      <c r="L43" s="313">
        <f>'Parking Projections'!J85</f>
        <v>13967.333333333327</v>
      </c>
      <c r="M43" s="313">
        <f>'Parking Projections'!K85</f>
        <v>13967.333333333327</v>
      </c>
      <c r="N43" s="313">
        <f>'Parking Projections'!L85</f>
        <v>13967.333333333327</v>
      </c>
      <c r="O43" s="313">
        <f>'Parking Projections'!M85</f>
        <v>13967.333333333327</v>
      </c>
      <c r="P43" s="313">
        <f>'Parking Projections'!N85</f>
        <v>13967.333333333327</v>
      </c>
      <c r="Q43" s="313">
        <f>'Parking Projections'!O85</f>
        <v>13967.333333333327</v>
      </c>
      <c r="R43" s="313">
        <f>'Parking Projections'!P85</f>
        <v>13967.333333333327</v>
      </c>
      <c r="S43" s="313">
        <f>'Parking Projections'!Q85</f>
        <v>13967.333333333327</v>
      </c>
      <c r="T43" s="313">
        <f>'Parking Projections'!R85</f>
        <v>13967.333333333327</v>
      </c>
      <c r="U43" s="313">
        <f>'Parking Projections'!S85</f>
        <v>13967.333333333327</v>
      </c>
      <c r="V43" s="313">
        <f>'Parking Projections'!T85</f>
        <v>13967.333333333327</v>
      </c>
      <c r="W43" s="313">
        <f>'Parking Projections'!U85</f>
        <v>13967.333333333327</v>
      </c>
      <c r="X43" s="313">
        <f>'Parking Projections'!V85</f>
        <v>13967.333333333327</v>
      </c>
    </row>
    <row r="44" spans="1:24" s="96" customFormat="1">
      <c r="A44" s="54" t="s">
        <v>274</v>
      </c>
      <c r="B44" s="435"/>
      <c r="C44" s="583"/>
      <c r="D44" s="486">
        <v>0</v>
      </c>
      <c r="E44" s="313">
        <f>SUM(E42:E43)</f>
        <v>27257.769097222219</v>
      </c>
      <c r="F44" s="313">
        <f t="shared" ref="F44:X44" si="6">SUM(F42:F43)</f>
        <v>27257.769097222219</v>
      </c>
      <c r="G44" s="313">
        <f t="shared" si="6"/>
        <v>27257.769097222219</v>
      </c>
      <c r="H44" s="313">
        <f t="shared" si="6"/>
        <v>27257.769097222219</v>
      </c>
      <c r="I44" s="313">
        <f t="shared" si="6"/>
        <v>27257.769097222219</v>
      </c>
      <c r="J44" s="313">
        <f t="shared" si="6"/>
        <v>27257.769097222219</v>
      </c>
      <c r="K44" s="313">
        <f t="shared" si="6"/>
        <v>27257.769097222219</v>
      </c>
      <c r="L44" s="313">
        <f t="shared" si="6"/>
        <v>27257.769097222219</v>
      </c>
      <c r="M44" s="313">
        <f t="shared" si="6"/>
        <v>27257.769097222219</v>
      </c>
      <c r="N44" s="313">
        <f t="shared" si="6"/>
        <v>27257.769097222219</v>
      </c>
      <c r="O44" s="313">
        <f t="shared" si="6"/>
        <v>27257.769097222219</v>
      </c>
      <c r="P44" s="313">
        <f t="shared" si="6"/>
        <v>27257.769097222219</v>
      </c>
      <c r="Q44" s="313">
        <f t="shared" si="6"/>
        <v>27257.769097222219</v>
      </c>
      <c r="R44" s="313">
        <f t="shared" si="6"/>
        <v>27257.769097222219</v>
      </c>
      <c r="S44" s="313">
        <f t="shared" si="6"/>
        <v>27257.769097222219</v>
      </c>
      <c r="T44" s="313">
        <f t="shared" si="6"/>
        <v>27257.769097222219</v>
      </c>
      <c r="U44" s="313">
        <f t="shared" si="6"/>
        <v>27257.769097222219</v>
      </c>
      <c r="V44" s="313">
        <f t="shared" si="6"/>
        <v>27257.769097222219</v>
      </c>
      <c r="W44" s="313">
        <f t="shared" si="6"/>
        <v>27257.769097222219</v>
      </c>
      <c r="X44" s="313">
        <f t="shared" si="6"/>
        <v>27257.769097222219</v>
      </c>
    </row>
    <row r="45" spans="1:24">
      <c r="A45" s="54"/>
      <c r="B45" s="277"/>
      <c r="C45" s="74"/>
      <c r="D45" s="499"/>
      <c r="E45" s="308"/>
      <c r="F45" s="308"/>
      <c r="G45" s="308"/>
      <c r="H45" s="308"/>
      <c r="I45" s="308"/>
      <c r="J45" s="308"/>
      <c r="K45" s="308"/>
      <c r="L45" s="308"/>
      <c r="M45" s="308"/>
      <c r="N45" s="308"/>
      <c r="O45" s="308"/>
      <c r="P45" s="308"/>
      <c r="Q45" s="308"/>
      <c r="R45" s="308"/>
      <c r="S45" s="308"/>
      <c r="T45" s="308"/>
      <c r="U45" s="308"/>
      <c r="V45" s="308"/>
      <c r="W45" s="308"/>
      <c r="X45" s="308"/>
    </row>
    <row r="46" spans="1:24" s="96" customFormat="1">
      <c r="A46" s="54" t="s">
        <v>224</v>
      </c>
      <c r="B46" s="435"/>
      <c r="C46" s="583"/>
      <c r="D46" s="486">
        <v>0</v>
      </c>
      <c r="E46" s="496">
        <v>3</v>
      </c>
      <c r="F46" s="496">
        <v>3</v>
      </c>
      <c r="G46" s="496">
        <v>3</v>
      </c>
      <c r="H46" s="496">
        <v>3</v>
      </c>
      <c r="I46" s="496">
        <v>3</v>
      </c>
      <c r="J46" s="496">
        <v>3</v>
      </c>
      <c r="K46" s="496">
        <v>3</v>
      </c>
      <c r="L46" s="496">
        <v>3</v>
      </c>
      <c r="M46" s="496">
        <v>3</v>
      </c>
      <c r="N46" s="496">
        <v>3</v>
      </c>
      <c r="O46" s="496">
        <v>3</v>
      </c>
      <c r="P46" s="496">
        <v>3</v>
      </c>
      <c r="Q46" s="496">
        <v>3</v>
      </c>
      <c r="R46" s="496">
        <v>3</v>
      </c>
      <c r="S46" s="496">
        <v>3</v>
      </c>
      <c r="T46" s="496">
        <v>3</v>
      </c>
      <c r="U46" s="496">
        <v>3</v>
      </c>
      <c r="V46" s="496">
        <v>3</v>
      </c>
      <c r="W46" s="496">
        <v>3</v>
      </c>
      <c r="X46" s="496">
        <v>3</v>
      </c>
    </row>
    <row r="47" spans="1:24" s="96" customFormat="1">
      <c r="A47" s="54" t="s">
        <v>225</v>
      </c>
      <c r="B47" s="435"/>
      <c r="C47" s="583"/>
      <c r="D47" s="486">
        <v>0</v>
      </c>
      <c r="E47" s="496">
        <v>1</v>
      </c>
      <c r="F47" s="496">
        <v>1</v>
      </c>
      <c r="G47" s="496">
        <v>1</v>
      </c>
      <c r="H47" s="496">
        <v>1</v>
      </c>
      <c r="I47" s="496">
        <v>1</v>
      </c>
      <c r="J47" s="496">
        <v>1</v>
      </c>
      <c r="K47" s="496">
        <v>1</v>
      </c>
      <c r="L47" s="496">
        <v>1</v>
      </c>
      <c r="M47" s="496">
        <v>1</v>
      </c>
      <c r="N47" s="496">
        <v>1</v>
      </c>
      <c r="O47" s="496">
        <v>1</v>
      </c>
      <c r="P47" s="496">
        <v>1</v>
      </c>
      <c r="Q47" s="496">
        <v>1</v>
      </c>
      <c r="R47" s="496">
        <v>1</v>
      </c>
      <c r="S47" s="496">
        <v>1</v>
      </c>
      <c r="T47" s="496">
        <v>1</v>
      </c>
      <c r="U47" s="496">
        <v>1</v>
      </c>
      <c r="V47" s="496">
        <v>1</v>
      </c>
      <c r="W47" s="496">
        <v>1</v>
      </c>
      <c r="X47" s="496">
        <v>1</v>
      </c>
    </row>
    <row r="48" spans="1:24">
      <c r="A48" s="54" t="s">
        <v>209</v>
      </c>
      <c r="B48" s="277"/>
      <c r="C48" s="74"/>
      <c r="D48" s="486">
        <v>0</v>
      </c>
      <c r="E48" s="496">
        <v>0.5</v>
      </c>
      <c r="F48" s="496">
        <v>0.5</v>
      </c>
      <c r="G48" s="496">
        <v>0.5</v>
      </c>
      <c r="H48" s="496">
        <v>0.5</v>
      </c>
      <c r="I48" s="496">
        <v>0.5</v>
      </c>
      <c r="J48" s="496">
        <v>0.5</v>
      </c>
      <c r="K48" s="496">
        <v>0.5</v>
      </c>
      <c r="L48" s="496">
        <v>0.5</v>
      </c>
      <c r="M48" s="496">
        <v>0.5</v>
      </c>
      <c r="N48" s="496">
        <v>0.5</v>
      </c>
      <c r="O48" s="496">
        <v>0.5</v>
      </c>
      <c r="P48" s="496">
        <v>0.5</v>
      </c>
      <c r="Q48" s="496">
        <v>0.5</v>
      </c>
      <c r="R48" s="496">
        <v>0.5</v>
      </c>
      <c r="S48" s="496">
        <v>0.5</v>
      </c>
      <c r="T48" s="496">
        <v>0.5</v>
      </c>
      <c r="U48" s="496">
        <v>0.5</v>
      </c>
      <c r="V48" s="496">
        <v>0.5</v>
      </c>
      <c r="W48" s="496">
        <v>0.5</v>
      </c>
      <c r="X48" s="496">
        <v>0.5</v>
      </c>
    </row>
    <row r="49" spans="1:25 16384:16384">
      <c r="A49" s="54" t="s">
        <v>289</v>
      </c>
      <c r="B49" s="277"/>
      <c r="C49" s="74"/>
      <c r="D49" s="486">
        <v>0</v>
      </c>
      <c r="E49" s="496">
        <f t="shared" ref="E49:X49" si="7">SUM(E46:E48)/3</f>
        <v>1.5</v>
      </c>
      <c r="F49" s="496">
        <f t="shared" si="7"/>
        <v>1.5</v>
      </c>
      <c r="G49" s="496">
        <f t="shared" si="7"/>
        <v>1.5</v>
      </c>
      <c r="H49" s="496">
        <f t="shared" si="7"/>
        <v>1.5</v>
      </c>
      <c r="I49" s="496">
        <f t="shared" si="7"/>
        <v>1.5</v>
      </c>
      <c r="J49" s="496">
        <f t="shared" si="7"/>
        <v>1.5</v>
      </c>
      <c r="K49" s="496">
        <f t="shared" si="7"/>
        <v>1.5</v>
      </c>
      <c r="L49" s="496">
        <f t="shared" si="7"/>
        <v>1.5</v>
      </c>
      <c r="M49" s="496">
        <f t="shared" si="7"/>
        <v>1.5</v>
      </c>
      <c r="N49" s="496">
        <f t="shared" si="7"/>
        <v>1.5</v>
      </c>
      <c r="O49" s="496">
        <f t="shared" si="7"/>
        <v>1.5</v>
      </c>
      <c r="P49" s="496">
        <f t="shared" si="7"/>
        <v>1.5</v>
      </c>
      <c r="Q49" s="496">
        <f t="shared" si="7"/>
        <v>1.5</v>
      </c>
      <c r="R49" s="496">
        <f t="shared" si="7"/>
        <v>1.5</v>
      </c>
      <c r="S49" s="496">
        <f t="shared" si="7"/>
        <v>1.5</v>
      </c>
      <c r="T49" s="496">
        <f t="shared" si="7"/>
        <v>1.5</v>
      </c>
      <c r="U49" s="496">
        <f t="shared" si="7"/>
        <v>1.5</v>
      </c>
      <c r="V49" s="496">
        <f t="shared" si="7"/>
        <v>1.5</v>
      </c>
      <c r="W49" s="496">
        <f t="shared" si="7"/>
        <v>1.5</v>
      </c>
      <c r="X49" s="496">
        <f t="shared" si="7"/>
        <v>1.5</v>
      </c>
    </row>
    <row r="50" spans="1:25 16384:16384">
      <c r="A50" s="54"/>
      <c r="B50" s="277"/>
      <c r="C50" s="74"/>
      <c r="D50" s="486"/>
      <c r="E50" s="496"/>
      <c r="F50" s="496"/>
      <c r="G50" s="496"/>
      <c r="H50" s="496"/>
      <c r="I50" s="496"/>
      <c r="J50" s="496"/>
      <c r="K50" s="496"/>
      <c r="L50" s="496"/>
      <c r="M50" s="496"/>
      <c r="N50" s="496"/>
      <c r="O50" s="496"/>
      <c r="P50" s="496"/>
      <c r="Q50" s="496"/>
      <c r="R50" s="496"/>
      <c r="S50" s="496"/>
      <c r="T50" s="496"/>
      <c r="U50" s="496"/>
      <c r="V50" s="496"/>
      <c r="W50" s="496"/>
      <c r="X50" s="496"/>
    </row>
    <row r="51" spans="1:25 16384:16384">
      <c r="A51" s="54" t="s">
        <v>312</v>
      </c>
      <c r="B51" s="277"/>
      <c r="C51" s="74"/>
      <c r="D51" s="486">
        <v>0</v>
      </c>
      <c r="E51" s="313">
        <f>'Shuttle Projections'!C33</f>
        <v>7190</v>
      </c>
      <c r="F51" s="313">
        <f>'Shuttle Projections'!D33</f>
        <v>7190</v>
      </c>
      <c r="G51" s="313">
        <f>'Shuttle Projections'!E33</f>
        <v>7190</v>
      </c>
      <c r="H51" s="313">
        <f>'Shuttle Projections'!F33</f>
        <v>7190</v>
      </c>
      <c r="I51" s="313">
        <f>'Shuttle Projections'!G33</f>
        <v>7190</v>
      </c>
      <c r="J51" s="313">
        <f>'Shuttle Projections'!H33</f>
        <v>7190</v>
      </c>
      <c r="K51" s="313">
        <f>'Shuttle Projections'!I33</f>
        <v>7190</v>
      </c>
      <c r="L51" s="313">
        <f>'Shuttle Projections'!J33</f>
        <v>7190</v>
      </c>
      <c r="M51" s="313">
        <f>'Shuttle Projections'!K33</f>
        <v>7190</v>
      </c>
      <c r="N51" s="313">
        <f>'Shuttle Projections'!L33</f>
        <v>7190</v>
      </c>
      <c r="O51" s="313">
        <f>'Shuttle Projections'!M33</f>
        <v>7190</v>
      </c>
      <c r="P51" s="313">
        <f>'Shuttle Projections'!N33</f>
        <v>7190</v>
      </c>
      <c r="Q51" s="313">
        <f>'Shuttle Projections'!O33</f>
        <v>7190</v>
      </c>
      <c r="R51" s="313">
        <f>'Shuttle Projections'!P33</f>
        <v>7190</v>
      </c>
      <c r="S51" s="313">
        <f>'Shuttle Projections'!Q33</f>
        <v>7190</v>
      </c>
      <c r="T51" s="313">
        <f>'Shuttle Projections'!R33</f>
        <v>7190</v>
      </c>
      <c r="U51" s="313">
        <f>'Shuttle Projections'!S33</f>
        <v>7190</v>
      </c>
      <c r="V51" s="313">
        <f>'Shuttle Projections'!T33</f>
        <v>7190</v>
      </c>
      <c r="W51" s="313">
        <f>'Shuttle Projections'!U33</f>
        <v>7190</v>
      </c>
      <c r="X51" s="313">
        <f>'Shuttle Projections'!V33</f>
        <v>7190</v>
      </c>
      <c r="XFD51" s="570"/>
    </row>
    <row r="52" spans="1:25 16384:16384">
      <c r="A52" s="54"/>
      <c r="B52" s="277"/>
      <c r="C52" s="74"/>
      <c r="D52" s="486"/>
      <c r="E52" s="308"/>
      <c r="F52" s="308"/>
      <c r="G52" s="308"/>
      <c r="H52" s="308"/>
      <c r="I52" s="308"/>
      <c r="J52" s="308"/>
      <c r="K52" s="308"/>
      <c r="L52" s="308"/>
      <c r="M52" s="308"/>
      <c r="N52" s="308"/>
      <c r="O52" s="308"/>
      <c r="P52" s="308"/>
      <c r="Q52" s="308"/>
      <c r="R52" s="308"/>
      <c r="S52" s="308"/>
      <c r="T52" s="308"/>
      <c r="U52" s="308"/>
      <c r="V52" s="308"/>
      <c r="W52" s="308"/>
      <c r="X52" s="308"/>
    </row>
    <row r="53" spans="1:25 16384:16384" s="612" customFormat="1">
      <c r="A53" s="613" t="s">
        <v>292</v>
      </c>
      <c r="B53" s="614"/>
      <c r="C53" s="615"/>
      <c r="D53" s="616">
        <v>0</v>
      </c>
      <c r="E53" s="617">
        <v>0</v>
      </c>
      <c r="F53" s="617">
        <v>0</v>
      </c>
      <c r="G53" s="617">
        <v>100000</v>
      </c>
      <c r="H53" s="617">
        <v>100000</v>
      </c>
      <c r="I53" s="617">
        <v>100000</v>
      </c>
      <c r="J53" s="617">
        <v>100000</v>
      </c>
      <c r="K53" s="617">
        <v>100000</v>
      </c>
      <c r="L53" s="617">
        <v>100000</v>
      </c>
      <c r="M53" s="617">
        <v>100000</v>
      </c>
      <c r="N53" s="617">
        <v>100000</v>
      </c>
      <c r="O53" s="617">
        <v>100000</v>
      </c>
      <c r="P53" s="617">
        <v>100000</v>
      </c>
      <c r="Q53" s="617">
        <v>100000</v>
      </c>
      <c r="R53" s="617">
        <v>100000</v>
      </c>
      <c r="S53" s="617">
        <v>100000</v>
      </c>
      <c r="T53" s="617">
        <v>100000</v>
      </c>
      <c r="U53" s="617">
        <v>100000</v>
      </c>
      <c r="V53" s="617">
        <v>100000</v>
      </c>
      <c r="W53" s="617">
        <v>100000</v>
      </c>
      <c r="X53" s="618">
        <v>100000</v>
      </c>
    </row>
    <row r="54" spans="1:25 16384:16384">
      <c r="A54" s="54"/>
      <c r="B54" s="277"/>
      <c r="C54" s="74"/>
      <c r="D54" s="486"/>
      <c r="E54" s="308"/>
      <c r="F54" s="308"/>
      <c r="G54" s="308"/>
      <c r="H54" s="308"/>
      <c r="I54" s="308"/>
      <c r="J54" s="308"/>
      <c r="K54" s="308"/>
      <c r="L54" s="308"/>
      <c r="M54" s="308"/>
      <c r="N54" s="308"/>
      <c r="O54" s="308"/>
      <c r="P54" s="308"/>
      <c r="Q54" s="308"/>
      <c r="R54" s="308"/>
      <c r="S54" s="308"/>
      <c r="T54" s="308"/>
      <c r="U54" s="308"/>
      <c r="V54" s="308"/>
      <c r="W54" s="308"/>
      <c r="X54" s="308"/>
    </row>
    <row r="55" spans="1:25 16384:16384" s="582" customFormat="1">
      <c r="A55" s="293" t="str">
        <f>'BH Tariffs'!A33</f>
        <v>Recreational/Commercial Marina</v>
      </c>
      <c r="B55" s="584"/>
      <c r="C55" s="585"/>
      <c r="D55" s="486"/>
      <c r="E55" s="586"/>
      <c r="F55" s="586"/>
      <c r="G55" s="586"/>
      <c r="H55" s="586"/>
      <c r="I55" s="586"/>
      <c r="J55" s="586"/>
      <c r="K55" s="586"/>
      <c r="L55" s="586"/>
      <c r="M55" s="586"/>
      <c r="N55" s="586"/>
      <c r="O55" s="586"/>
      <c r="P55" s="586"/>
      <c r="Q55" s="586"/>
      <c r="R55" s="586"/>
      <c r="S55" s="586"/>
      <c r="T55" s="586"/>
      <c r="U55" s="586"/>
      <c r="V55" s="586"/>
      <c r="W55" s="586"/>
      <c r="X55" s="586"/>
    </row>
    <row r="56" spans="1:25 16384:16384" s="96" customFormat="1">
      <c r="A56" s="54" t="s">
        <v>291</v>
      </c>
      <c r="B56" s="435"/>
      <c r="C56" s="583"/>
      <c r="D56" s="486">
        <v>0</v>
      </c>
      <c r="E56" s="313">
        <v>0</v>
      </c>
      <c r="F56" s="313">
        <f>'Marina Projections'!D103</f>
        <v>12</v>
      </c>
      <c r="G56" s="313">
        <f>'Marina Projections'!E103</f>
        <v>12</v>
      </c>
      <c r="H56" s="313">
        <f>'Marina Projections'!F103</f>
        <v>12</v>
      </c>
      <c r="I56" s="313">
        <f>'Marina Projections'!G103</f>
        <v>12</v>
      </c>
      <c r="J56" s="313">
        <f>'Marina Projections'!H103</f>
        <v>12</v>
      </c>
      <c r="K56" s="313">
        <f>'Marina Projections'!I103</f>
        <v>12</v>
      </c>
      <c r="L56" s="313">
        <f>'Marina Projections'!J103</f>
        <v>12</v>
      </c>
      <c r="M56" s="313">
        <f>'Marina Projections'!K103</f>
        <v>12</v>
      </c>
      <c r="N56" s="313">
        <f>'Marina Projections'!L103</f>
        <v>12</v>
      </c>
      <c r="O56" s="313">
        <f>'Marina Projections'!M103</f>
        <v>12</v>
      </c>
      <c r="P56" s="313">
        <f>'Marina Projections'!N103</f>
        <v>12</v>
      </c>
      <c r="Q56" s="313">
        <f>'Marina Projections'!O103</f>
        <v>12</v>
      </c>
      <c r="R56" s="313">
        <f>'Marina Projections'!P103</f>
        <v>12</v>
      </c>
      <c r="S56" s="313">
        <f>'Marina Projections'!Q103</f>
        <v>12</v>
      </c>
      <c r="T56" s="313">
        <f>'Marina Projections'!R103</f>
        <v>12</v>
      </c>
      <c r="U56" s="313">
        <f>'Marina Projections'!S103</f>
        <v>12</v>
      </c>
      <c r="V56" s="313">
        <f>'Marina Projections'!T103</f>
        <v>12</v>
      </c>
      <c r="W56" s="313">
        <f>'Marina Projections'!U103</f>
        <v>12</v>
      </c>
      <c r="X56" s="313">
        <f>'Marina Projections'!V103</f>
        <v>12</v>
      </c>
    </row>
    <row r="57" spans="1:25 16384:16384" s="96" customFormat="1">
      <c r="A57" s="54" t="s">
        <v>293</v>
      </c>
      <c r="B57" s="435"/>
      <c r="C57" s="583"/>
      <c r="D57" s="486">
        <v>0</v>
      </c>
      <c r="E57" s="313">
        <v>0</v>
      </c>
      <c r="F57" s="313">
        <f>'Marina Projections'!D110</f>
        <v>9557.1731249999993</v>
      </c>
      <c r="G57" s="313">
        <f>'Marina Projections'!E110</f>
        <v>9557.1731249999993</v>
      </c>
      <c r="H57" s="313">
        <f>'Marina Projections'!F110</f>
        <v>9557.1731249999993</v>
      </c>
      <c r="I57" s="313">
        <f>'Marina Projections'!G110</f>
        <v>9557.1731249999993</v>
      </c>
      <c r="J57" s="313">
        <f>'Marina Projections'!H110</f>
        <v>9557.1731249999993</v>
      </c>
      <c r="K57" s="313">
        <f>'Marina Projections'!I110</f>
        <v>9557.1731249999993</v>
      </c>
      <c r="L57" s="313">
        <f>'Marina Projections'!J110</f>
        <v>9557.1731249999993</v>
      </c>
      <c r="M57" s="313">
        <f>'Marina Projections'!K110</f>
        <v>9557.1731249999993</v>
      </c>
      <c r="N57" s="313">
        <f>'Marina Projections'!L110</f>
        <v>9557.1731249999993</v>
      </c>
      <c r="O57" s="313">
        <f>'Marina Projections'!M110</f>
        <v>9557.1731249999993</v>
      </c>
      <c r="P57" s="313">
        <f>'Marina Projections'!N110</f>
        <v>9557.1731249999993</v>
      </c>
      <c r="Q57" s="313">
        <f>'Marina Projections'!O110</f>
        <v>9557.1731249999993</v>
      </c>
      <c r="R57" s="313">
        <f>'Marina Projections'!P110</f>
        <v>9557.1731249999993</v>
      </c>
      <c r="S57" s="313">
        <f>'Marina Projections'!Q110</f>
        <v>9557.1731249999993</v>
      </c>
      <c r="T57" s="313">
        <f>'Marina Projections'!R110</f>
        <v>9557.1731249999993</v>
      </c>
      <c r="U57" s="313">
        <f>'Marina Projections'!S110</f>
        <v>9557.1731249999993</v>
      </c>
      <c r="V57" s="313">
        <f>'Marina Projections'!T110</f>
        <v>9557.1731249999993</v>
      </c>
      <c r="W57" s="313">
        <f>'Marina Projections'!U110</f>
        <v>9557.1731249999993</v>
      </c>
      <c r="X57" s="313">
        <f>'Marina Projections'!V110</f>
        <v>9557.1731249999993</v>
      </c>
    </row>
    <row r="58" spans="1:25 16384:16384" s="96" customFormat="1">
      <c r="A58" s="54" t="s">
        <v>294</v>
      </c>
      <c r="B58" s="435"/>
      <c r="C58" s="583"/>
      <c r="D58" s="486">
        <v>0</v>
      </c>
      <c r="E58" s="313">
        <v>0</v>
      </c>
      <c r="F58" s="313">
        <f>'Marina Projections'!D106</f>
        <v>359.1</v>
      </c>
      <c r="G58" s="313">
        <f>'Marina Projections'!E106</f>
        <v>359.1</v>
      </c>
      <c r="H58" s="313">
        <f>'Marina Projections'!F106</f>
        <v>359.1</v>
      </c>
      <c r="I58" s="313">
        <f>'Marina Projections'!G106</f>
        <v>359.1</v>
      </c>
      <c r="J58" s="313">
        <f>'Marina Projections'!H106</f>
        <v>359.1</v>
      </c>
      <c r="K58" s="313">
        <f>'Marina Projections'!I106</f>
        <v>359.1</v>
      </c>
      <c r="L58" s="313">
        <f>'Marina Projections'!J106</f>
        <v>359.1</v>
      </c>
      <c r="M58" s="313">
        <f>'Marina Projections'!K106</f>
        <v>359.1</v>
      </c>
      <c r="N58" s="313">
        <f>'Marina Projections'!L106</f>
        <v>359.1</v>
      </c>
      <c r="O58" s="313">
        <f>'Marina Projections'!M106</f>
        <v>359.1</v>
      </c>
      <c r="P58" s="313">
        <f>'Marina Projections'!N106</f>
        <v>359.1</v>
      </c>
      <c r="Q58" s="313">
        <f>'Marina Projections'!O106</f>
        <v>359.1</v>
      </c>
      <c r="R58" s="313">
        <f>'Marina Projections'!P106</f>
        <v>359.1</v>
      </c>
      <c r="S58" s="313">
        <f>'Marina Projections'!Q106</f>
        <v>359.1</v>
      </c>
      <c r="T58" s="313">
        <f>'Marina Projections'!R106</f>
        <v>359.1</v>
      </c>
      <c r="U58" s="313">
        <f>'Marina Projections'!S106</f>
        <v>359.1</v>
      </c>
      <c r="V58" s="313">
        <f>'Marina Projections'!T106</f>
        <v>359.1</v>
      </c>
      <c r="W58" s="313">
        <f>'Marina Projections'!U106</f>
        <v>359.1</v>
      </c>
      <c r="X58" s="313">
        <f>'Marina Projections'!V106</f>
        <v>359.1</v>
      </c>
    </row>
    <row r="59" spans="1:25 16384:16384" s="167" customFormat="1">
      <c r="A59" s="497" t="s">
        <v>170</v>
      </c>
      <c r="B59" s="450"/>
      <c r="C59" s="498"/>
      <c r="D59" s="499">
        <v>0</v>
      </c>
      <c r="E59" s="587">
        <v>0</v>
      </c>
      <c r="F59" s="587">
        <v>0</v>
      </c>
      <c r="G59" s="587">
        <v>0</v>
      </c>
      <c r="H59" s="587">
        <v>0</v>
      </c>
      <c r="I59" s="587">
        <v>0</v>
      </c>
      <c r="J59" s="587">
        <v>0</v>
      </c>
      <c r="K59" s="587">
        <v>0</v>
      </c>
      <c r="L59" s="587">
        <v>0</v>
      </c>
      <c r="M59" s="587">
        <v>0</v>
      </c>
      <c r="N59" s="587">
        <v>0</v>
      </c>
      <c r="O59" s="587">
        <v>0</v>
      </c>
      <c r="P59" s="587">
        <v>0</v>
      </c>
      <c r="Q59" s="587">
        <v>0</v>
      </c>
      <c r="R59" s="587">
        <v>0</v>
      </c>
      <c r="S59" s="587">
        <v>0</v>
      </c>
      <c r="T59" s="587">
        <v>0</v>
      </c>
      <c r="U59" s="587">
        <v>0</v>
      </c>
      <c r="V59" s="587">
        <v>0</v>
      </c>
      <c r="W59" s="587">
        <v>0</v>
      </c>
      <c r="X59" s="587">
        <v>0</v>
      </c>
      <c r="Y59" s="167" t="s">
        <v>282</v>
      </c>
    </row>
    <row r="60" spans="1:25 16384:16384" s="167" customFormat="1">
      <c r="A60" s="497" t="s">
        <v>16</v>
      </c>
      <c r="B60" s="450"/>
      <c r="C60" s="498"/>
      <c r="D60" s="499">
        <v>0</v>
      </c>
      <c r="E60" s="587">
        <v>0</v>
      </c>
      <c r="F60" s="587">
        <v>0</v>
      </c>
      <c r="G60" s="587">
        <v>0</v>
      </c>
      <c r="H60" s="587">
        <v>0</v>
      </c>
      <c r="I60" s="587">
        <v>0</v>
      </c>
      <c r="J60" s="587">
        <v>0</v>
      </c>
      <c r="K60" s="587">
        <v>0</v>
      </c>
      <c r="L60" s="587">
        <v>0</v>
      </c>
      <c r="M60" s="587">
        <v>0</v>
      </c>
      <c r="N60" s="587">
        <v>0</v>
      </c>
      <c r="O60" s="587">
        <v>0</v>
      </c>
      <c r="P60" s="587">
        <v>0</v>
      </c>
      <c r="Q60" s="587">
        <v>0</v>
      </c>
      <c r="R60" s="587">
        <v>0</v>
      </c>
      <c r="S60" s="587">
        <v>0</v>
      </c>
      <c r="T60" s="587">
        <v>0</v>
      </c>
      <c r="U60" s="587">
        <v>0</v>
      </c>
      <c r="V60" s="587">
        <v>0</v>
      </c>
      <c r="W60" s="587">
        <v>0</v>
      </c>
      <c r="X60" s="587">
        <v>0</v>
      </c>
      <c r="Y60" s="167" t="s">
        <v>282</v>
      </c>
    </row>
    <row r="61" spans="1:25 16384:16384">
      <c r="A61" s="54"/>
      <c r="B61" s="277"/>
      <c r="C61" s="74"/>
      <c r="D61" s="492"/>
      <c r="E61" s="308"/>
      <c r="F61" s="308"/>
      <c r="G61" s="308"/>
      <c r="H61" s="308"/>
      <c r="I61" s="308"/>
      <c r="J61" s="308"/>
      <c r="K61" s="308"/>
      <c r="L61" s="308"/>
      <c r="M61" s="308"/>
      <c r="N61" s="308"/>
      <c r="O61" s="308"/>
      <c r="P61" s="308"/>
      <c r="Q61" s="308"/>
      <c r="R61" s="308"/>
      <c r="S61" s="308"/>
      <c r="T61" s="308"/>
      <c r="U61" s="308"/>
      <c r="V61" s="308"/>
      <c r="W61" s="308"/>
      <c r="X61" s="308"/>
    </row>
    <row r="62" spans="1:25 16384:16384">
      <c r="A62" s="293" t="s">
        <v>2</v>
      </c>
      <c r="B62" s="277"/>
      <c r="C62" s="74"/>
      <c r="D62" s="492"/>
      <c r="E62" s="308"/>
      <c r="F62" s="308"/>
      <c r="G62" s="308"/>
      <c r="H62" s="308"/>
      <c r="I62" s="308"/>
      <c r="J62" s="308"/>
      <c r="K62" s="308"/>
      <c r="L62" s="308"/>
      <c r="M62" s="308"/>
      <c r="N62" s="308"/>
      <c r="O62" s="308"/>
      <c r="P62" s="308"/>
      <c r="Q62" s="308"/>
      <c r="R62" s="308"/>
      <c r="S62" s="308"/>
      <c r="T62" s="308"/>
      <c r="U62" s="308"/>
      <c r="V62" s="308"/>
      <c r="W62" s="308"/>
      <c r="X62" s="308"/>
    </row>
    <row r="63" spans="1:25 16384:16384" s="96" customFormat="1">
      <c r="A63" s="54" t="s">
        <v>290</v>
      </c>
      <c r="B63" s="435">
        <v>500</v>
      </c>
      <c r="C63" s="487"/>
      <c r="D63" s="486">
        <v>0</v>
      </c>
      <c r="E63" s="313">
        <v>0</v>
      </c>
      <c r="F63" s="313">
        <v>0</v>
      </c>
      <c r="G63" s="313">
        <f t="shared" ref="G63:X63" si="8">$B$63</f>
        <v>500</v>
      </c>
      <c r="H63" s="313">
        <f t="shared" si="8"/>
        <v>500</v>
      </c>
      <c r="I63" s="313">
        <f t="shared" si="8"/>
        <v>500</v>
      </c>
      <c r="J63" s="313">
        <f t="shared" si="8"/>
        <v>500</v>
      </c>
      <c r="K63" s="313">
        <f t="shared" si="8"/>
        <v>500</v>
      </c>
      <c r="L63" s="313">
        <f t="shared" si="8"/>
        <v>500</v>
      </c>
      <c r="M63" s="313">
        <f t="shared" si="8"/>
        <v>500</v>
      </c>
      <c r="N63" s="313">
        <f t="shared" si="8"/>
        <v>500</v>
      </c>
      <c r="O63" s="313">
        <f t="shared" si="8"/>
        <v>500</v>
      </c>
      <c r="P63" s="313">
        <f t="shared" si="8"/>
        <v>500</v>
      </c>
      <c r="Q63" s="313">
        <f t="shared" si="8"/>
        <v>500</v>
      </c>
      <c r="R63" s="313">
        <f t="shared" si="8"/>
        <v>500</v>
      </c>
      <c r="S63" s="313">
        <f t="shared" si="8"/>
        <v>500</v>
      </c>
      <c r="T63" s="313">
        <f t="shared" si="8"/>
        <v>500</v>
      </c>
      <c r="U63" s="313">
        <f t="shared" si="8"/>
        <v>500</v>
      </c>
      <c r="V63" s="313">
        <f t="shared" si="8"/>
        <v>500</v>
      </c>
      <c r="W63" s="313">
        <f t="shared" si="8"/>
        <v>500</v>
      </c>
      <c r="X63" s="313">
        <f t="shared" si="8"/>
        <v>500</v>
      </c>
    </row>
    <row r="64" spans="1:25 16384:16384" s="96" customFormat="1">
      <c r="A64" s="54" t="s">
        <v>540</v>
      </c>
      <c r="B64" s="435"/>
      <c r="C64" s="487"/>
      <c r="D64" s="1055">
        <v>0</v>
      </c>
      <c r="E64" s="1056">
        <v>0</v>
      </c>
      <c r="F64" s="1056">
        <v>0</v>
      </c>
      <c r="G64" s="1056">
        <v>200000</v>
      </c>
      <c r="H64" s="1056">
        <f>G64</f>
        <v>200000</v>
      </c>
      <c r="I64" s="1056">
        <f t="shared" ref="I64:X64" si="9">H64</f>
        <v>200000</v>
      </c>
      <c r="J64" s="1056">
        <f t="shared" si="9"/>
        <v>200000</v>
      </c>
      <c r="K64" s="1056">
        <f t="shared" si="9"/>
        <v>200000</v>
      </c>
      <c r="L64" s="1056">
        <f t="shared" si="9"/>
        <v>200000</v>
      </c>
      <c r="M64" s="1056">
        <f t="shared" si="9"/>
        <v>200000</v>
      </c>
      <c r="N64" s="1056">
        <f t="shared" si="9"/>
        <v>200000</v>
      </c>
      <c r="O64" s="1056">
        <f t="shared" si="9"/>
        <v>200000</v>
      </c>
      <c r="P64" s="1056">
        <f t="shared" si="9"/>
        <v>200000</v>
      </c>
      <c r="Q64" s="1056">
        <f t="shared" si="9"/>
        <v>200000</v>
      </c>
      <c r="R64" s="1056">
        <f t="shared" si="9"/>
        <v>200000</v>
      </c>
      <c r="S64" s="1056">
        <f t="shared" si="9"/>
        <v>200000</v>
      </c>
      <c r="T64" s="1056">
        <f t="shared" si="9"/>
        <v>200000</v>
      </c>
      <c r="U64" s="1056">
        <f t="shared" si="9"/>
        <v>200000</v>
      </c>
      <c r="V64" s="1056">
        <f t="shared" si="9"/>
        <v>200000</v>
      </c>
      <c r="W64" s="1056">
        <f t="shared" si="9"/>
        <v>200000</v>
      </c>
      <c r="X64" s="1056">
        <f t="shared" si="9"/>
        <v>200000</v>
      </c>
    </row>
    <row r="65" spans="1:25" s="96" customFormat="1">
      <c r="A65" s="54" t="s">
        <v>210</v>
      </c>
      <c r="B65" s="487"/>
      <c r="C65" s="487"/>
      <c r="D65" s="486">
        <v>0</v>
      </c>
      <c r="E65" s="313">
        <v>0</v>
      </c>
      <c r="F65" s="313">
        <v>1</v>
      </c>
      <c r="G65" s="313">
        <v>2</v>
      </c>
      <c r="H65" s="313">
        <v>2</v>
      </c>
      <c r="I65" s="313">
        <v>2</v>
      </c>
      <c r="J65" s="313">
        <v>3</v>
      </c>
      <c r="K65" s="313">
        <v>3</v>
      </c>
      <c r="L65" s="313">
        <v>3</v>
      </c>
      <c r="M65" s="313">
        <v>3</v>
      </c>
      <c r="N65" s="313">
        <v>3</v>
      </c>
      <c r="O65" s="313">
        <v>4</v>
      </c>
      <c r="P65" s="313">
        <v>4</v>
      </c>
      <c r="Q65" s="313">
        <v>4</v>
      </c>
      <c r="R65" s="313">
        <v>4</v>
      </c>
      <c r="S65" s="313">
        <v>4</v>
      </c>
      <c r="T65" s="313">
        <v>5</v>
      </c>
      <c r="U65" s="313">
        <v>5</v>
      </c>
      <c r="V65" s="313">
        <v>5</v>
      </c>
      <c r="W65" s="313">
        <v>5</v>
      </c>
      <c r="X65" s="313">
        <v>5</v>
      </c>
      <c r="Y65" s="313"/>
    </row>
    <row r="66" spans="1:25" s="96" customFormat="1">
      <c r="A66" s="96" t="s">
        <v>211</v>
      </c>
      <c r="D66" s="486">
        <v>0</v>
      </c>
      <c r="E66" s="435">
        <v>0</v>
      </c>
      <c r="F66" s="435">
        <v>3</v>
      </c>
      <c r="G66" s="435">
        <v>3</v>
      </c>
      <c r="H66" s="435">
        <v>3</v>
      </c>
      <c r="I66" s="435">
        <v>3</v>
      </c>
      <c r="J66" s="435">
        <v>3</v>
      </c>
      <c r="K66" s="435">
        <v>3</v>
      </c>
      <c r="L66" s="435">
        <v>3</v>
      </c>
      <c r="M66" s="435">
        <v>3</v>
      </c>
      <c r="N66" s="435">
        <v>3</v>
      </c>
      <c r="O66" s="435">
        <v>3</v>
      </c>
      <c r="P66" s="435">
        <v>3</v>
      </c>
      <c r="Q66" s="435">
        <v>3</v>
      </c>
      <c r="R66" s="435">
        <v>3</v>
      </c>
      <c r="S66" s="435">
        <v>3</v>
      </c>
      <c r="T66" s="435">
        <v>3</v>
      </c>
      <c r="U66" s="435">
        <v>3</v>
      </c>
      <c r="V66" s="435">
        <v>3</v>
      </c>
      <c r="W66" s="435">
        <v>3</v>
      </c>
      <c r="X66" s="435">
        <v>3</v>
      </c>
    </row>
    <row r="67" spans="1:25" s="167" customFormat="1">
      <c r="A67" s="497"/>
      <c r="B67" s="501"/>
      <c r="C67" s="501"/>
      <c r="D67" s="499"/>
      <c r="E67" s="500"/>
      <c r="F67" s="500"/>
      <c r="G67" s="500"/>
      <c r="H67" s="500"/>
      <c r="I67" s="500"/>
      <c r="J67" s="500"/>
      <c r="K67" s="500"/>
      <c r="L67" s="500"/>
      <c r="M67" s="500"/>
      <c r="N67" s="500"/>
      <c r="O67" s="500"/>
      <c r="P67" s="500"/>
      <c r="Q67" s="500"/>
      <c r="R67" s="500"/>
      <c r="S67" s="500"/>
      <c r="T67" s="500"/>
      <c r="U67" s="500"/>
      <c r="V67" s="500"/>
      <c r="W67" s="500"/>
      <c r="X67" s="500"/>
      <c r="Y67" s="500"/>
    </row>
    <row r="68" spans="1:25">
      <c r="A68" s="28"/>
      <c r="D68" s="486"/>
      <c r="E68" s="331"/>
      <c r="F68" s="333"/>
      <c r="G68" s="331"/>
      <c r="H68" s="331"/>
      <c r="I68" s="331"/>
      <c r="J68" s="331"/>
      <c r="K68" s="331"/>
      <c r="L68" s="331"/>
      <c r="M68" s="331"/>
      <c r="N68" s="331"/>
      <c r="O68" s="331"/>
      <c r="P68" s="331"/>
      <c r="Q68" s="331"/>
      <c r="R68" s="331"/>
      <c r="S68" s="331"/>
      <c r="T68" s="331"/>
      <c r="U68" s="331"/>
      <c r="V68" s="331"/>
      <c r="W68" s="331"/>
      <c r="X68" s="331"/>
    </row>
    <row r="69" spans="1:25">
      <c r="A69" s="266" t="s">
        <v>135</v>
      </c>
      <c r="B69" s="223"/>
      <c r="C69" s="267"/>
      <c r="D69" s="332"/>
      <c r="E69" s="332"/>
      <c r="F69" s="349"/>
      <c r="G69" s="332"/>
      <c r="H69" s="332"/>
      <c r="I69" s="332"/>
      <c r="J69" s="332"/>
      <c r="K69" s="332"/>
      <c r="L69" s="332"/>
      <c r="M69" s="332"/>
      <c r="N69" s="332"/>
      <c r="O69" s="332"/>
      <c r="P69" s="332"/>
      <c r="Q69" s="332"/>
      <c r="R69" s="332"/>
      <c r="S69" s="332"/>
      <c r="T69" s="332"/>
      <c r="U69" s="332"/>
      <c r="V69" s="332"/>
      <c r="W69" s="332"/>
      <c r="X69" s="332"/>
    </row>
    <row r="70" spans="1:25" s="341" customFormat="1">
      <c r="A70" s="353"/>
      <c r="B70" s="355"/>
      <c r="C70" s="355"/>
      <c r="D70" s="502"/>
      <c r="E70" s="503"/>
      <c r="F70" s="503"/>
      <c r="G70" s="503"/>
      <c r="H70" s="503"/>
      <c r="I70" s="503"/>
      <c r="J70" s="503"/>
      <c r="K70" s="503"/>
      <c r="L70" s="503"/>
      <c r="M70" s="503"/>
      <c r="N70" s="503"/>
      <c r="O70" s="503"/>
      <c r="P70" s="503"/>
      <c r="Q70" s="503"/>
      <c r="R70" s="503"/>
      <c r="S70" s="503"/>
      <c r="T70" s="503"/>
      <c r="U70" s="503"/>
      <c r="V70" s="503"/>
      <c r="W70" s="503"/>
      <c r="X70" s="503"/>
    </row>
    <row r="71" spans="1:25" s="341" customFormat="1">
      <c r="A71" s="691" t="s">
        <v>144</v>
      </c>
      <c r="B71" s="355"/>
      <c r="C71" s="355"/>
      <c r="D71" s="548"/>
      <c r="E71" s="503"/>
      <c r="F71" s="503"/>
      <c r="G71" s="503"/>
      <c r="H71" s="503"/>
      <c r="I71" s="503"/>
      <c r="J71" s="503"/>
      <c r="K71" s="503"/>
      <c r="L71" s="503"/>
      <c r="M71" s="503"/>
      <c r="N71" s="503"/>
      <c r="O71" s="503"/>
      <c r="P71" s="503"/>
      <c r="Q71" s="503"/>
      <c r="R71" s="503"/>
      <c r="S71" s="503"/>
      <c r="T71" s="503"/>
      <c r="U71" s="503"/>
      <c r="V71" s="503"/>
      <c r="W71" s="503"/>
      <c r="X71" s="503"/>
    </row>
    <row r="72" spans="1:25" s="561" customFormat="1">
      <c r="A72" s="353" t="str">
        <f>'BH Tariffs'!A11</f>
        <v>Port Fee</v>
      </c>
      <c r="B72" s="355"/>
      <c r="C72" s="355"/>
      <c r="D72" s="548">
        <v>0</v>
      </c>
      <c r="E72" s="503">
        <v>0</v>
      </c>
      <c r="F72" s="503">
        <v>0</v>
      </c>
      <c r="G72" s="503">
        <v>0</v>
      </c>
      <c r="H72" s="503">
        <v>0</v>
      </c>
      <c r="I72" s="503">
        <v>0</v>
      </c>
      <c r="J72" s="503">
        <v>0</v>
      </c>
      <c r="K72" s="503">
        <v>0</v>
      </c>
      <c r="L72" s="503">
        <v>0</v>
      </c>
      <c r="M72" s="503">
        <v>0</v>
      </c>
      <c r="N72" s="503">
        <v>0</v>
      </c>
      <c r="O72" s="503">
        <v>0</v>
      </c>
      <c r="P72" s="503">
        <v>0</v>
      </c>
      <c r="Q72" s="503">
        <v>0</v>
      </c>
      <c r="R72" s="503">
        <v>0</v>
      </c>
      <c r="S72" s="503">
        <v>0</v>
      </c>
      <c r="T72" s="503">
        <v>0</v>
      </c>
      <c r="U72" s="503">
        <v>0</v>
      </c>
      <c r="V72" s="503">
        <v>0</v>
      </c>
      <c r="W72" s="503">
        <v>0</v>
      </c>
      <c r="X72" s="503">
        <v>0</v>
      </c>
    </row>
    <row r="73" spans="1:25">
      <c r="A73" s="88"/>
      <c r="B73" s="89"/>
      <c r="C73" s="89"/>
      <c r="D73" s="502"/>
      <c r="E73" s="504"/>
      <c r="F73" s="504"/>
      <c r="G73" s="504"/>
      <c r="H73" s="504"/>
      <c r="I73" s="504"/>
      <c r="J73" s="504"/>
      <c r="K73" s="504"/>
      <c r="L73" s="504"/>
      <c r="M73" s="504"/>
      <c r="N73" s="504"/>
      <c r="O73" s="504"/>
      <c r="P73" s="504"/>
      <c r="Q73" s="504"/>
      <c r="R73" s="504"/>
      <c r="S73" s="504"/>
      <c r="T73" s="504"/>
      <c r="U73" s="504"/>
      <c r="V73" s="504"/>
      <c r="W73" s="504"/>
      <c r="X73" s="504"/>
    </row>
    <row r="74" spans="1:25" s="16" customFormat="1" ht="14.25">
      <c r="A74" s="280" t="s">
        <v>124</v>
      </c>
      <c r="B74" s="533"/>
      <c r="C74" s="533"/>
      <c r="D74" s="534"/>
      <c r="E74" s="535"/>
      <c r="F74" s="535"/>
      <c r="G74" s="535"/>
      <c r="H74" s="535"/>
      <c r="I74" s="535"/>
      <c r="J74" s="535"/>
      <c r="K74" s="535"/>
      <c r="L74" s="535"/>
      <c r="M74" s="535"/>
      <c r="N74" s="535"/>
      <c r="O74" s="535"/>
      <c r="P74" s="535"/>
      <c r="Q74" s="535"/>
      <c r="R74" s="535"/>
      <c r="S74" s="535"/>
      <c r="T74" s="535"/>
      <c r="U74" s="535"/>
      <c r="V74" s="535"/>
      <c r="W74" s="535"/>
      <c r="X74" s="535"/>
    </row>
    <row r="75" spans="1:25" s="279" customFormat="1" ht="14.25">
      <c r="A75" s="91" t="s">
        <v>83</v>
      </c>
      <c r="B75" s="536"/>
      <c r="C75" s="536"/>
      <c r="D75" s="537"/>
      <c r="E75" s="538"/>
      <c r="F75" s="538"/>
      <c r="G75" s="538"/>
      <c r="H75" s="538"/>
      <c r="I75" s="538"/>
      <c r="J75" s="538"/>
      <c r="K75" s="538"/>
      <c r="L75" s="538"/>
      <c r="M75" s="538"/>
      <c r="N75" s="538"/>
      <c r="O75" s="538"/>
      <c r="P75" s="538"/>
      <c r="Q75" s="538"/>
      <c r="R75" s="538"/>
      <c r="S75" s="538"/>
      <c r="T75" s="538"/>
      <c r="U75" s="538"/>
      <c r="V75" s="538"/>
      <c r="W75" s="538"/>
      <c r="X75" s="538"/>
    </row>
    <row r="76" spans="1:25">
      <c r="A76" s="90" t="str">
        <f>'BH Tariffs'!A19</f>
        <v>Town Wharfage (Exclusive Use, Ferry Property Only)</v>
      </c>
      <c r="B76" s="89"/>
      <c r="C76" s="89"/>
      <c r="D76" s="502">
        <v>0</v>
      </c>
      <c r="E76" s="504">
        <f>'BH Tariffs'!D19*'P&amp;L - Concept C1 - RCCL'!E12</f>
        <v>0</v>
      </c>
      <c r="F76" s="504">
        <f>'BH Tariffs'!E19*'P&amp;L - Concept C1 - RCCL'!F12</f>
        <v>623885.59098931064</v>
      </c>
      <c r="G76" s="504">
        <f>'BH Tariffs'!F19*'P&amp;L - Concept C1 - RCCL'!G12</f>
        <v>636363.30280909687</v>
      </c>
      <c r="H76" s="504">
        <f>'BH Tariffs'!G19*'P&amp;L - Concept C1 - RCCL'!H12</f>
        <v>649090.56886527874</v>
      </c>
      <c r="I76" s="504">
        <f>'BH Tariffs'!H19*'P&amp;L - Concept C1 - RCCL'!I12</f>
        <v>662072.38024258439</v>
      </c>
      <c r="J76" s="504">
        <f>'BH Tariffs'!I19*'P&amp;L - Concept C1 - RCCL'!J12</f>
        <v>675313.82784743607</v>
      </c>
      <c r="K76" s="504">
        <f>'BH Tariffs'!J19*'P&amp;L - Concept C1 - RCCL'!K12</f>
        <v>688820.10440438474</v>
      </c>
      <c r="L76" s="504">
        <f>'BH Tariffs'!K19*'P&amp;L - Concept C1 - RCCL'!L12</f>
        <v>702596.50649247249</v>
      </c>
      <c r="M76" s="504">
        <f>'BH Tariffs'!L19*'P&amp;L - Concept C1 - RCCL'!M12</f>
        <v>716648.43662232207</v>
      </c>
      <c r="N76" s="504">
        <f>'BH Tariffs'!M19*'P&amp;L - Concept C1 - RCCL'!N12</f>
        <v>730981.40535476839</v>
      </c>
      <c r="O76" s="504">
        <f>'BH Tariffs'!N19*'P&amp;L - Concept C1 - RCCL'!O12</f>
        <v>745601.03346186387</v>
      </c>
      <c r="P76" s="504">
        <f>'BH Tariffs'!O19*'P&amp;L - Concept C1 - RCCL'!P12</f>
        <v>760513.05413110112</v>
      </c>
      <c r="Q76" s="504">
        <f>'BH Tariffs'!P19*'P&amp;L - Concept C1 - RCCL'!Q12</f>
        <v>775723.31521372311</v>
      </c>
      <c r="R76" s="504">
        <f>'BH Tariffs'!Q19*'P&amp;L - Concept C1 - RCCL'!R12</f>
        <v>791237.7815179975</v>
      </c>
      <c r="S76" s="504">
        <f>'BH Tariffs'!R19*'P&amp;L - Concept C1 - RCCL'!S12</f>
        <v>807062.53714835749</v>
      </c>
      <c r="T76" s="504">
        <f>'BH Tariffs'!S19*'P&amp;L - Concept C1 - RCCL'!T12</f>
        <v>823203.78789132461</v>
      </c>
      <c r="U76" s="504">
        <f>'BH Tariffs'!T19*'P&amp;L - Concept C1 - RCCL'!U12</f>
        <v>839667.86364915129</v>
      </c>
      <c r="V76" s="504">
        <f>'BH Tariffs'!U19*'P&amp;L - Concept C1 - RCCL'!V12</f>
        <v>856461.22092213423</v>
      </c>
      <c r="W76" s="504">
        <f>'BH Tariffs'!V19*'P&amp;L - Concept C1 - RCCL'!W12</f>
        <v>873590.44534057705</v>
      </c>
      <c r="X76" s="504">
        <f>'BH Tariffs'!W19*'P&amp;L - Concept C1 - RCCL'!X12</f>
        <v>891062.25424738857</v>
      </c>
      <c r="Y76" s="413">
        <f>SUM(D76:X76)</f>
        <v>14249895.417151274</v>
      </c>
    </row>
    <row r="77" spans="1:25" s="341" customFormat="1">
      <c r="A77" s="353" t="str">
        <f>'BH Tariffs'!A21</f>
        <v>CBP Infastructure Fee (Ferry Property Only)</v>
      </c>
      <c r="B77" s="355"/>
      <c r="C77" s="355"/>
      <c r="D77" s="548">
        <v>0</v>
      </c>
      <c r="E77" s="503">
        <v>0</v>
      </c>
      <c r="F77" s="503">
        <v>0</v>
      </c>
      <c r="G77" s="503">
        <v>0</v>
      </c>
      <c r="H77" s="503">
        <v>0</v>
      </c>
      <c r="I77" s="503">
        <v>0</v>
      </c>
      <c r="J77" s="503">
        <v>0</v>
      </c>
      <c r="K77" s="503">
        <v>0</v>
      </c>
      <c r="L77" s="503">
        <v>0</v>
      </c>
      <c r="M77" s="503">
        <v>0</v>
      </c>
      <c r="N77" s="503">
        <v>0</v>
      </c>
      <c r="O77" s="503">
        <v>0</v>
      </c>
      <c r="P77" s="503">
        <v>0</v>
      </c>
      <c r="Q77" s="503">
        <v>0</v>
      </c>
      <c r="R77" s="503">
        <v>0</v>
      </c>
      <c r="S77" s="503">
        <v>0</v>
      </c>
      <c r="T77" s="503">
        <v>0</v>
      </c>
      <c r="U77" s="503">
        <v>0</v>
      </c>
      <c r="V77" s="503">
        <v>0</v>
      </c>
      <c r="W77" s="503">
        <v>0</v>
      </c>
      <c r="X77" s="503">
        <v>0</v>
      </c>
      <c r="Y77" s="413"/>
    </row>
    <row r="78" spans="1:25" s="96" customFormat="1">
      <c r="A78" s="90" t="str">
        <f>'BH Tariffs'!A22</f>
        <v>Infrastructure Fee</v>
      </c>
      <c r="B78" s="356"/>
      <c r="C78" s="356"/>
      <c r="D78" s="502">
        <v>0</v>
      </c>
      <c r="E78" s="504">
        <v>0</v>
      </c>
      <c r="F78" s="504">
        <f>'BH Tariffs'!E22*'Cruise Projections'!V97</f>
        <v>522936.74160000001</v>
      </c>
      <c r="G78" s="504">
        <f>'BH Tariffs'!F22*'Cruise Projections'!W97</f>
        <v>533395.47643200005</v>
      </c>
      <c r="H78" s="504">
        <f>'BH Tariffs'!G22*'Cruise Projections'!X97</f>
        <v>544063.38596063992</v>
      </c>
      <c r="I78" s="504">
        <f>'BH Tariffs'!H22*'Cruise Projections'!Y97</f>
        <v>554944.65367985272</v>
      </c>
      <c r="J78" s="504">
        <f>'BH Tariffs'!I22*'Cruise Projections'!Z97</f>
        <v>566043.54675344983</v>
      </c>
      <c r="K78" s="504">
        <f>'BH Tariffs'!J22*'Cruise Projections'!AA97</f>
        <v>577364.41768851888</v>
      </c>
      <c r="L78" s="504">
        <f>'BH Tariffs'!K22*'Cruise Projections'!AB97</f>
        <v>588911.70604228915</v>
      </c>
      <c r="M78" s="504">
        <f>'BH Tariffs'!L22*'Cruise Projections'!AC97</f>
        <v>600689.94016313506</v>
      </c>
      <c r="N78" s="504">
        <f>'BH Tariffs'!M22*'Cruise Projections'!AD97</f>
        <v>612703.73896639771</v>
      </c>
      <c r="O78" s="504">
        <f>'BH Tariffs'!N22*'Cruise Projections'!AE97</f>
        <v>624957.81374572578</v>
      </c>
      <c r="P78" s="504">
        <f>'BH Tariffs'!O22*'Cruise Projections'!AF97</f>
        <v>637456.97002064029</v>
      </c>
      <c r="Q78" s="504">
        <f>'BH Tariffs'!P22*'Cruise Projections'!AG97</f>
        <v>650206.10942105309</v>
      </c>
      <c r="R78" s="504">
        <f>'BH Tariffs'!Q22*'Cruise Projections'!AH97</f>
        <v>663210.23160947405</v>
      </c>
      <c r="S78" s="504">
        <f>'BH Tariffs'!R22*'Cruise Projections'!AI97</f>
        <v>676474.43624166364</v>
      </c>
      <c r="T78" s="504">
        <f>'BH Tariffs'!S22*'Cruise Projections'!AJ97</f>
        <v>690003.924966497</v>
      </c>
      <c r="U78" s="504">
        <f>'BH Tariffs'!T22*'Cruise Projections'!AK97</f>
        <v>703804.00346582686</v>
      </c>
      <c r="V78" s="504">
        <f>'BH Tariffs'!U22*'Cruise Projections'!AL97</f>
        <v>717880.08353514341</v>
      </c>
      <c r="W78" s="504">
        <f>'BH Tariffs'!V22*'Cruise Projections'!AM97</f>
        <v>732237.68520584644</v>
      </c>
      <c r="X78" s="504">
        <f>'BH Tariffs'!W22*'Cruise Projections'!AN97</f>
        <v>746882.43890996324</v>
      </c>
      <c r="Y78" s="413">
        <f t="shared" ref="Y78" si="10">SUM(D78:X78)</f>
        <v>11944167.30440812</v>
      </c>
    </row>
    <row r="79" spans="1:25">
      <c r="A79" s="90"/>
      <c r="B79" s="89"/>
      <c r="C79" s="89"/>
      <c r="D79" s="502"/>
      <c r="E79" s="504"/>
      <c r="F79" s="504"/>
      <c r="G79" s="504"/>
      <c r="H79" s="504"/>
      <c r="I79" s="504"/>
      <c r="J79" s="504"/>
      <c r="K79" s="504"/>
      <c r="L79" s="504"/>
      <c r="M79" s="504"/>
      <c r="N79" s="504"/>
      <c r="O79" s="504"/>
      <c r="P79" s="504"/>
      <c r="Q79" s="504"/>
      <c r="R79" s="504"/>
      <c r="S79" s="504"/>
      <c r="T79" s="504"/>
      <c r="U79" s="504"/>
      <c r="V79" s="504"/>
      <c r="W79" s="504"/>
      <c r="X79" s="504"/>
    </row>
    <row r="80" spans="1:25">
      <c r="A80" s="91" t="s">
        <v>163</v>
      </c>
      <c r="B80" s="30"/>
      <c r="C80" s="89"/>
      <c r="D80" s="502"/>
      <c r="E80" s="504"/>
      <c r="F80" s="504"/>
      <c r="G80" s="504"/>
      <c r="H80" s="504"/>
      <c r="I80" s="504"/>
      <c r="J80" s="504"/>
      <c r="K80" s="504"/>
      <c r="L80" s="504"/>
      <c r="M80" s="504"/>
      <c r="N80" s="504"/>
      <c r="O80" s="504"/>
      <c r="P80" s="504"/>
      <c r="Q80" s="504"/>
      <c r="R80" s="504"/>
      <c r="S80" s="504"/>
      <c r="T80" s="504"/>
      <c r="U80" s="504"/>
      <c r="V80" s="504"/>
      <c r="W80" s="504"/>
      <c r="X80" s="504"/>
    </row>
    <row r="81" spans="1:25">
      <c r="A81" s="88" t="str">
        <f>'BH Tariffs'!A25</f>
        <v>Dock Rent (12 months)</v>
      </c>
      <c r="B81" s="30"/>
      <c r="C81" s="89"/>
      <c r="D81" s="502">
        <v>0</v>
      </c>
      <c r="E81" s="504">
        <f>'BH Tariffs'!D25*12</f>
        <v>69000</v>
      </c>
      <c r="F81" s="504">
        <f>'BH Tariffs'!E25*12</f>
        <v>69000</v>
      </c>
      <c r="G81" s="504">
        <f>'BH Tariffs'!F25*12</f>
        <v>69000</v>
      </c>
      <c r="H81" s="504">
        <f>'BH Tariffs'!G25*12</f>
        <v>70380</v>
      </c>
      <c r="I81" s="504">
        <f>'BH Tariffs'!H25*12</f>
        <v>71787.600000000006</v>
      </c>
      <c r="J81" s="504">
        <f>'BH Tariffs'!I25*12</f>
        <v>73223.351999999999</v>
      </c>
      <c r="K81" s="504">
        <f>'BH Tariffs'!J25*12</f>
        <v>74687.819040000002</v>
      </c>
      <c r="L81" s="504">
        <f>'BH Tariffs'!K25*12</f>
        <v>76181.5754208</v>
      </c>
      <c r="M81" s="504">
        <f>'BH Tariffs'!L25*12</f>
        <v>77705.206929216016</v>
      </c>
      <c r="N81" s="504">
        <f>'BH Tariffs'!M25*12</f>
        <v>79259.311067800329</v>
      </c>
      <c r="O81" s="504">
        <f>'BH Tariffs'!N25*12</f>
        <v>80844.497289156338</v>
      </c>
      <c r="P81" s="504">
        <f>'BH Tariffs'!O25*12</f>
        <v>82461.387234939466</v>
      </c>
      <c r="Q81" s="504">
        <f>'BH Tariffs'!P25*12</f>
        <v>84110.614979638252</v>
      </c>
      <c r="R81" s="504">
        <f>'BH Tariffs'!Q25*12</f>
        <v>85792.827279231016</v>
      </c>
      <c r="S81" s="504">
        <f>'BH Tariffs'!R25*12</f>
        <v>87508.683824815642</v>
      </c>
      <c r="T81" s="504">
        <f>'BH Tariffs'!S25*12</f>
        <v>89258.857501311941</v>
      </c>
      <c r="U81" s="504">
        <f>'BH Tariffs'!T25*12</f>
        <v>91044.034651338196</v>
      </c>
      <c r="V81" s="504">
        <f>'BH Tariffs'!U25*12</f>
        <v>92864.91534436497</v>
      </c>
      <c r="W81" s="504">
        <f>'BH Tariffs'!V25*12</f>
        <v>94722.21365125227</v>
      </c>
      <c r="X81" s="504">
        <f>'BH Tariffs'!W25*12</f>
        <v>96616.657924277315</v>
      </c>
    </row>
    <row r="82" spans="1:25">
      <c r="A82" s="88" t="str">
        <f>'BH Tariffs'!A26</f>
        <v>Ferry Passenger Wharfage</v>
      </c>
      <c r="B82" s="30"/>
      <c r="C82" s="89"/>
      <c r="D82" s="502">
        <v>0</v>
      </c>
      <c r="E82" s="504">
        <f>'BH Tariffs'!D26*E18</f>
        <v>120000</v>
      </c>
      <c r="F82" s="504">
        <f>'BH Tariffs'!E26*F18</f>
        <v>140000</v>
      </c>
      <c r="G82" s="504">
        <f>'BH Tariffs'!F26*G18</f>
        <v>160000</v>
      </c>
      <c r="H82" s="504">
        <f>'BH Tariffs'!G26*H18</f>
        <v>163200</v>
      </c>
      <c r="I82" s="504">
        <f>'BH Tariffs'!H26*I18</f>
        <v>166464</v>
      </c>
      <c r="J82" s="504">
        <f>'BH Tariffs'!I26*J18</f>
        <v>169793.28</v>
      </c>
      <c r="K82" s="504">
        <f>'BH Tariffs'!J26*K18</f>
        <v>173189.14559999999</v>
      </c>
      <c r="L82" s="504">
        <f>'BH Tariffs'!K26*L18</f>
        <v>176652.92851200001</v>
      </c>
      <c r="M82" s="504">
        <f>'BH Tariffs'!L26*M18</f>
        <v>180185.98708224</v>
      </c>
      <c r="N82" s="504">
        <f>'BH Tariffs'!M26*N18</f>
        <v>183789.7068238848</v>
      </c>
      <c r="O82" s="504">
        <f>'BH Tariffs'!N26*O18</f>
        <v>187465.50096036252</v>
      </c>
      <c r="P82" s="504">
        <f>'BH Tariffs'!O26*P18</f>
        <v>191214.81097956977</v>
      </c>
      <c r="Q82" s="504">
        <f>'BH Tariffs'!P26*Q18</f>
        <v>195039.10719916117</v>
      </c>
      <c r="R82" s="504">
        <f>'BH Tariffs'!Q26*R18</f>
        <v>198939.8893431444</v>
      </c>
      <c r="S82" s="504">
        <f>'BH Tariffs'!R26*S18</f>
        <v>202918.68713000728</v>
      </c>
      <c r="T82" s="504">
        <f>'BH Tariffs'!S26*T18</f>
        <v>206977.0608726074</v>
      </c>
      <c r="U82" s="504">
        <f>'BH Tariffs'!T26*U18</f>
        <v>211116.60209005958</v>
      </c>
      <c r="V82" s="504">
        <f>'BH Tariffs'!U26*V18</f>
        <v>215338.93413186079</v>
      </c>
      <c r="W82" s="504">
        <f>'BH Tariffs'!V26*W18</f>
        <v>219645.71281449799</v>
      </c>
      <c r="X82" s="504">
        <f>'BH Tariffs'!W26*X18</f>
        <v>224038.62707078797</v>
      </c>
    </row>
    <row r="83" spans="1:25">
      <c r="A83" s="88" t="str">
        <f>'BH Tariffs'!A27</f>
        <v>Ferry Passenger Vehicle Wharfage</v>
      </c>
      <c r="B83" s="30"/>
      <c r="C83" s="89"/>
      <c r="D83" s="502">
        <v>0</v>
      </c>
      <c r="E83" s="504">
        <f>'BH Tariffs'!D27*E19</f>
        <v>72000</v>
      </c>
      <c r="F83" s="504">
        <f>'BH Tariffs'!E27*F19</f>
        <v>84000</v>
      </c>
      <c r="G83" s="504">
        <f>'BH Tariffs'!F27*G19</f>
        <v>96000</v>
      </c>
      <c r="H83" s="504">
        <f>'BH Tariffs'!G27*H19</f>
        <v>97920</v>
      </c>
      <c r="I83" s="504">
        <f>'BH Tariffs'!H27*I19</f>
        <v>99878.399999999994</v>
      </c>
      <c r="J83" s="504">
        <f>'BH Tariffs'!I27*J19</f>
        <v>101875.96799999999</v>
      </c>
      <c r="K83" s="504">
        <f>'BH Tariffs'!J27*K19</f>
        <v>103913.48736</v>
      </c>
      <c r="L83" s="504">
        <f>'BH Tariffs'!K27*L19</f>
        <v>105991.7571072</v>
      </c>
      <c r="M83" s="504">
        <f>'BH Tariffs'!L27*M19</f>
        <v>108111.592249344</v>
      </c>
      <c r="N83" s="504">
        <f>'BH Tariffs'!M27*N19</f>
        <v>110273.82409433088</v>
      </c>
      <c r="O83" s="504">
        <f>'BH Tariffs'!N27*O19</f>
        <v>112479.30057621752</v>
      </c>
      <c r="P83" s="504">
        <f>'BH Tariffs'!O27*P19</f>
        <v>114728.88658774187</v>
      </c>
      <c r="Q83" s="504">
        <f>'BH Tariffs'!P27*Q19</f>
        <v>117023.46431949669</v>
      </c>
      <c r="R83" s="504">
        <f>'BH Tariffs'!Q27*R19</f>
        <v>119363.93360588665</v>
      </c>
      <c r="S83" s="504">
        <f>'BH Tariffs'!R27*S19</f>
        <v>121751.21227800437</v>
      </c>
      <c r="T83" s="504">
        <f>'BH Tariffs'!S27*T19</f>
        <v>124186.23652356444</v>
      </c>
      <c r="U83" s="504">
        <f>'BH Tariffs'!T27*U19</f>
        <v>126669.96125403573</v>
      </c>
      <c r="V83" s="504">
        <f>'BH Tariffs'!U27*V19</f>
        <v>129203.36047911647</v>
      </c>
      <c r="W83" s="504">
        <f>'BH Tariffs'!V27*W19</f>
        <v>131787.42768869881</v>
      </c>
      <c r="X83" s="504">
        <f>'BH Tariffs'!W27*X19</f>
        <v>134423.17624247278</v>
      </c>
    </row>
    <row r="84" spans="1:25">
      <c r="A84" s="88" t="str">
        <f>'BH Tariffs'!A28</f>
        <v>Ferry Bus Wharfage</v>
      </c>
      <c r="B84" s="30"/>
      <c r="C84" s="89"/>
      <c r="D84" s="502">
        <v>0</v>
      </c>
      <c r="E84" s="504">
        <f>'BH Tariffs'!D28*'P&amp;L - Concept C1 - RCCL'!E20</f>
        <v>800</v>
      </c>
      <c r="F84" s="504">
        <f>'BH Tariffs'!E28*'P&amp;L - Concept C1 - RCCL'!F20</f>
        <v>1000</v>
      </c>
      <c r="G84" s="504">
        <f>'BH Tariffs'!F28*'P&amp;L - Concept C1 - RCCL'!G20</f>
        <v>1200</v>
      </c>
      <c r="H84" s="504">
        <f>'BH Tariffs'!G28*'P&amp;L - Concept C1 - RCCL'!H20</f>
        <v>1224</v>
      </c>
      <c r="I84" s="504">
        <f>'BH Tariffs'!H28*'P&amp;L - Concept C1 - RCCL'!I20</f>
        <v>1248.48</v>
      </c>
      <c r="J84" s="504">
        <f>'BH Tariffs'!I28*'P&amp;L - Concept C1 - RCCL'!J20</f>
        <v>1273.4495999999999</v>
      </c>
      <c r="K84" s="504">
        <f>'BH Tariffs'!J28*'P&amp;L - Concept C1 - RCCL'!K20</f>
        <v>1298.918592</v>
      </c>
      <c r="L84" s="504">
        <f>'BH Tariffs'!K28*'P&amp;L - Concept C1 - RCCL'!L20</f>
        <v>1324.8969638400001</v>
      </c>
      <c r="M84" s="504">
        <f>'BH Tariffs'!L28*'P&amp;L - Concept C1 - RCCL'!M20</f>
        <v>1351.3949031168002</v>
      </c>
      <c r="N84" s="504">
        <f>'BH Tariffs'!M28*'P&amp;L - Concept C1 - RCCL'!N20</f>
        <v>1378.4228011791361</v>
      </c>
      <c r="O84" s="504">
        <f>'BH Tariffs'!N28*'P&amp;L - Concept C1 - RCCL'!O20</f>
        <v>1405.991257202719</v>
      </c>
      <c r="P84" s="504">
        <f>'BH Tariffs'!O28*'P&amp;L - Concept C1 - RCCL'!P20</f>
        <v>1434.1110823467732</v>
      </c>
      <c r="Q84" s="504">
        <f>'BH Tariffs'!P28*'P&amp;L - Concept C1 - RCCL'!Q20</f>
        <v>1462.7933039937088</v>
      </c>
      <c r="R84" s="504">
        <f>'BH Tariffs'!Q28*'P&amp;L - Concept C1 - RCCL'!R20</f>
        <v>1492.0491700735829</v>
      </c>
      <c r="S84" s="504">
        <f>'BH Tariffs'!R28*'P&amp;L - Concept C1 - RCCL'!S20</f>
        <v>1521.8901534750546</v>
      </c>
      <c r="T84" s="504">
        <f>'BH Tariffs'!S28*'P&amp;L - Concept C1 - RCCL'!T20</f>
        <v>1552.3279565445555</v>
      </c>
      <c r="U84" s="504">
        <f>'BH Tariffs'!T28*'P&amp;L - Concept C1 - RCCL'!U20</f>
        <v>1583.3745156754469</v>
      </c>
      <c r="V84" s="504">
        <f>'BH Tariffs'!U28*'P&amp;L - Concept C1 - RCCL'!V20</f>
        <v>1615.0420059889559</v>
      </c>
      <c r="W84" s="504">
        <f>'BH Tariffs'!V28*'P&amp;L - Concept C1 - RCCL'!W20</f>
        <v>1647.3428461087349</v>
      </c>
      <c r="X84" s="504">
        <f>'BH Tariffs'!W28*'P&amp;L - Concept C1 - RCCL'!X20</f>
        <v>1680.2897030309098</v>
      </c>
    </row>
    <row r="85" spans="1:25" s="167" customFormat="1">
      <c r="A85" s="539" t="s">
        <v>592</v>
      </c>
      <c r="B85" s="609"/>
      <c r="C85" s="540"/>
      <c r="D85" s="541">
        <v>0</v>
      </c>
      <c r="E85" s="542">
        <v>-100000</v>
      </c>
      <c r="F85" s="542">
        <f>E85</f>
        <v>-100000</v>
      </c>
      <c r="G85" s="542">
        <f t="shared" ref="G85:X85" si="11">F85</f>
        <v>-100000</v>
      </c>
      <c r="H85" s="542">
        <f t="shared" si="11"/>
        <v>-100000</v>
      </c>
      <c r="I85" s="542">
        <f t="shared" si="11"/>
        <v>-100000</v>
      </c>
      <c r="J85" s="542">
        <f t="shared" si="11"/>
        <v>-100000</v>
      </c>
      <c r="K85" s="542">
        <f t="shared" si="11"/>
        <v>-100000</v>
      </c>
      <c r="L85" s="542">
        <f t="shared" si="11"/>
        <v>-100000</v>
      </c>
      <c r="M85" s="542">
        <f t="shared" si="11"/>
        <v>-100000</v>
      </c>
      <c r="N85" s="542">
        <f t="shared" si="11"/>
        <v>-100000</v>
      </c>
      <c r="O85" s="542">
        <f t="shared" si="11"/>
        <v>-100000</v>
      </c>
      <c r="P85" s="542">
        <f t="shared" si="11"/>
        <v>-100000</v>
      </c>
      <c r="Q85" s="542">
        <f t="shared" si="11"/>
        <v>-100000</v>
      </c>
      <c r="R85" s="542">
        <f t="shared" si="11"/>
        <v>-100000</v>
      </c>
      <c r="S85" s="542">
        <f t="shared" si="11"/>
        <v>-100000</v>
      </c>
      <c r="T85" s="542">
        <f t="shared" si="11"/>
        <v>-100000</v>
      </c>
      <c r="U85" s="542">
        <f t="shared" si="11"/>
        <v>-100000</v>
      </c>
      <c r="V85" s="542">
        <f t="shared" si="11"/>
        <v>-100000</v>
      </c>
      <c r="W85" s="542">
        <f t="shared" si="11"/>
        <v>-100000</v>
      </c>
      <c r="X85" s="542">
        <f t="shared" si="11"/>
        <v>-100000</v>
      </c>
    </row>
    <row r="86" spans="1:25">
      <c r="A86" s="88"/>
      <c r="B86" s="30"/>
      <c r="C86" s="89"/>
      <c r="D86" s="502"/>
      <c r="E86" s="504"/>
      <c r="F86" s="504"/>
      <c r="G86" s="504"/>
      <c r="H86" s="504"/>
      <c r="I86" s="504"/>
      <c r="J86" s="504"/>
      <c r="K86" s="504"/>
      <c r="L86" s="504"/>
      <c r="M86" s="504"/>
      <c r="N86" s="504"/>
      <c r="O86" s="504"/>
      <c r="P86" s="504"/>
      <c r="Q86" s="504"/>
      <c r="R86" s="504"/>
      <c r="S86" s="504"/>
      <c r="T86" s="504"/>
      <c r="U86" s="504"/>
      <c r="V86" s="504"/>
      <c r="W86" s="504"/>
      <c r="X86" s="504"/>
    </row>
    <row r="87" spans="1:25" s="96" customFormat="1">
      <c r="A87" s="605" t="s">
        <v>164</v>
      </c>
      <c r="B87" s="606"/>
      <c r="C87" s="356"/>
      <c r="D87" s="502"/>
      <c r="E87" s="504"/>
      <c r="F87" s="504"/>
      <c r="G87" s="504"/>
      <c r="H87" s="504"/>
      <c r="I87" s="504"/>
      <c r="J87" s="504"/>
      <c r="K87" s="504"/>
      <c r="L87" s="504"/>
      <c r="M87" s="504"/>
      <c r="N87" s="504"/>
      <c r="O87" s="504"/>
      <c r="P87" s="504"/>
      <c r="Q87" s="504"/>
      <c r="R87" s="504"/>
      <c r="S87" s="504"/>
      <c r="T87" s="504"/>
      <c r="U87" s="504"/>
      <c r="V87" s="504"/>
      <c r="W87" s="504"/>
      <c r="X87" s="504"/>
    </row>
    <row r="88" spans="1:25" s="96" customFormat="1">
      <c r="A88" s="90" t="str">
        <f>'BH Tariffs'!A31</f>
        <v>Dock Rent (6 Months Only)</v>
      </c>
      <c r="B88" s="606"/>
      <c r="C88" s="356"/>
      <c r="D88" s="502">
        <v>0</v>
      </c>
      <c r="E88" s="504">
        <v>0</v>
      </c>
      <c r="F88" s="504">
        <f>'BH Tariffs'!E31*6</f>
        <v>12240</v>
      </c>
      <c r="G88" s="504">
        <f>'BH Tariffs'!F31*6</f>
        <v>12484.800000000001</v>
      </c>
      <c r="H88" s="504">
        <f>'BH Tariffs'!G31*6</f>
        <v>12734.495999999999</v>
      </c>
      <c r="I88" s="504">
        <f>'BH Tariffs'!H31*6</f>
        <v>12989.18592</v>
      </c>
      <c r="J88" s="504">
        <f>'BH Tariffs'!I31*6</f>
        <v>13248.9696384</v>
      </c>
      <c r="K88" s="504">
        <f>'BH Tariffs'!J31*6</f>
        <v>13513.949031168002</v>
      </c>
      <c r="L88" s="504">
        <f>'BH Tariffs'!K31*6</f>
        <v>13784.228011791361</v>
      </c>
      <c r="M88" s="504">
        <f>'BH Tariffs'!L31*6</f>
        <v>14059.912572027188</v>
      </c>
      <c r="N88" s="504">
        <f>'BH Tariffs'!M31*6</f>
        <v>14341.110823467734</v>
      </c>
      <c r="O88" s="504">
        <f>'BH Tariffs'!N31*6</f>
        <v>14627.933039937088</v>
      </c>
      <c r="P88" s="504">
        <f>'BH Tariffs'!O31*6</f>
        <v>14920.491700735829</v>
      </c>
      <c r="Q88" s="504">
        <f>'BH Tariffs'!P31*6</f>
        <v>15218.901534750545</v>
      </c>
      <c r="R88" s="504">
        <f>'BH Tariffs'!Q31*6</f>
        <v>15523.279565445555</v>
      </c>
      <c r="S88" s="504">
        <f>'BH Tariffs'!R31*6</f>
        <v>15833.745156754467</v>
      </c>
      <c r="T88" s="504">
        <f>'BH Tariffs'!S31*6</f>
        <v>16150.420059889559</v>
      </c>
      <c r="U88" s="504">
        <f>'BH Tariffs'!T31*6</f>
        <v>16473.428461087351</v>
      </c>
      <c r="V88" s="504">
        <f>'BH Tariffs'!U31*6</f>
        <v>16802.897030309097</v>
      </c>
      <c r="W88" s="504">
        <f>'BH Tariffs'!V31*6</f>
        <v>17138.954970915282</v>
      </c>
      <c r="X88" s="504">
        <f>'BH Tariffs'!W31*6</f>
        <v>17481.734070333587</v>
      </c>
    </row>
    <row r="89" spans="1:25" s="96" customFormat="1">
      <c r="A89" s="90"/>
      <c r="B89" s="606"/>
      <c r="C89" s="356"/>
      <c r="D89" s="502"/>
      <c r="E89" s="504"/>
      <c r="F89" s="504"/>
      <c r="G89" s="504"/>
      <c r="H89" s="504"/>
      <c r="I89" s="504"/>
      <c r="J89" s="504"/>
      <c r="K89" s="504"/>
      <c r="L89" s="504"/>
      <c r="M89" s="504"/>
      <c r="N89" s="504"/>
      <c r="O89" s="504"/>
      <c r="P89" s="504"/>
      <c r="Q89" s="504"/>
      <c r="R89" s="504"/>
      <c r="S89" s="504"/>
      <c r="T89" s="504"/>
      <c r="U89" s="504"/>
      <c r="V89" s="504"/>
      <c r="W89" s="504"/>
      <c r="X89" s="504"/>
    </row>
    <row r="90" spans="1:25" s="582" customFormat="1" ht="14.25">
      <c r="A90" s="605" t="str">
        <f>'BH Tariffs'!A33</f>
        <v>Recreational/Commercial Marina</v>
      </c>
      <c r="B90" s="607"/>
      <c r="C90" s="608"/>
      <c r="D90" s="537"/>
      <c r="E90" s="538"/>
      <c r="F90" s="538"/>
      <c r="G90" s="538"/>
      <c r="H90" s="538"/>
      <c r="I90" s="538"/>
      <c r="J90" s="538"/>
      <c r="K90" s="538"/>
      <c r="L90" s="538"/>
      <c r="M90" s="538"/>
      <c r="N90" s="538"/>
      <c r="O90" s="538"/>
      <c r="P90" s="538"/>
      <c r="Q90" s="538"/>
      <c r="R90" s="538"/>
      <c r="S90" s="538"/>
      <c r="T90" s="538"/>
      <c r="U90" s="538"/>
      <c r="V90" s="538"/>
      <c r="W90" s="538"/>
      <c r="X90" s="538"/>
    </row>
    <row r="91" spans="1:25" s="96" customFormat="1">
      <c r="A91" s="90" t="str">
        <f>'BH Tariffs'!A34</f>
        <v>Transient Slip Rent</v>
      </c>
      <c r="B91" s="606"/>
      <c r="C91" s="356"/>
      <c r="D91" s="502">
        <v>0</v>
      </c>
      <c r="E91" s="504">
        <v>0</v>
      </c>
      <c r="F91" s="504">
        <f>'BH Tariffs'!E34*'P&amp;L - Concept C1 - RCCL'!F57</f>
        <v>24370.791468749998</v>
      </c>
      <c r="G91" s="504">
        <f>'BH Tariffs'!F34*'P&amp;L - Concept C1 - RCCL'!G57</f>
        <v>24858.207298124998</v>
      </c>
      <c r="H91" s="504">
        <f>'BH Tariffs'!G34*'P&amp;L - Concept C1 - RCCL'!H57</f>
        <v>25355.371444087494</v>
      </c>
      <c r="I91" s="504">
        <f>'BH Tariffs'!H34*'P&amp;L - Concept C1 - RCCL'!I57</f>
        <v>25862.478872969248</v>
      </c>
      <c r="J91" s="504">
        <f>'BH Tariffs'!I34*'P&amp;L - Concept C1 - RCCL'!J57</f>
        <v>26379.728450428636</v>
      </c>
      <c r="K91" s="504">
        <f>'BH Tariffs'!J34*'P&amp;L - Concept C1 - RCCL'!K57</f>
        <v>26907.323019437208</v>
      </c>
      <c r="L91" s="504">
        <f>'BH Tariffs'!K34*'P&amp;L - Concept C1 - RCCL'!L57</f>
        <v>27445.469479825952</v>
      </c>
      <c r="M91" s="504">
        <f>'BH Tariffs'!L34*'P&amp;L - Concept C1 - RCCL'!M57</f>
        <v>27994.378869422475</v>
      </c>
      <c r="N91" s="504">
        <f>'BH Tariffs'!M34*'P&amp;L - Concept C1 - RCCL'!N57</f>
        <v>28554.266446810921</v>
      </c>
      <c r="O91" s="504">
        <f>'BH Tariffs'!N34*'P&amp;L - Concept C1 - RCCL'!O57</f>
        <v>29125.351775747142</v>
      </c>
      <c r="P91" s="504">
        <f>'BH Tariffs'!O34*'P&amp;L - Concept C1 - RCCL'!P57</f>
        <v>29707.858811262082</v>
      </c>
      <c r="Q91" s="504">
        <f>'BH Tariffs'!P34*'P&amp;L - Concept C1 - RCCL'!Q57</f>
        <v>30302.015987487324</v>
      </c>
      <c r="R91" s="504">
        <f>'BH Tariffs'!Q34*'P&amp;L - Concept C1 - RCCL'!R57</f>
        <v>30908.056307237068</v>
      </c>
      <c r="S91" s="504">
        <f>'BH Tariffs'!R34*'P&amp;L - Concept C1 - RCCL'!S57</f>
        <v>31526.217433381815</v>
      </c>
      <c r="T91" s="504">
        <f>'BH Tariffs'!S34*'P&amp;L - Concept C1 - RCCL'!T57</f>
        <v>32156.741782049452</v>
      </c>
      <c r="U91" s="504">
        <f>'BH Tariffs'!T34*'P&amp;L - Concept C1 - RCCL'!U57</f>
        <v>32799.876617690439</v>
      </c>
      <c r="V91" s="504">
        <f>'BH Tariffs'!U34*'P&amp;L - Concept C1 - RCCL'!V57</f>
        <v>33455.874150044256</v>
      </c>
      <c r="W91" s="504">
        <f>'BH Tariffs'!V34*'P&amp;L - Concept C1 - RCCL'!W57</f>
        <v>34124.991633045138</v>
      </c>
      <c r="X91" s="504">
        <f>'BH Tariffs'!W34*'P&amp;L - Concept C1 - RCCL'!X57</f>
        <v>34807.491465706036</v>
      </c>
    </row>
    <row r="92" spans="1:25" s="96" customFormat="1">
      <c r="A92" s="90" t="s">
        <v>280</v>
      </c>
      <c r="B92" s="606"/>
      <c r="C92" s="356"/>
      <c r="D92" s="502">
        <v>0</v>
      </c>
      <c r="E92" s="504">
        <v>0</v>
      </c>
      <c r="F92" s="504">
        <f>'BH Tariffs'!E35*'P&amp;L - Concept C1 - RCCL'!F58</f>
        <v>38459.610000000008</v>
      </c>
      <c r="G92" s="504">
        <f>'BH Tariffs'!F35*'P&amp;L - Concept C1 - RCCL'!G58</f>
        <v>39228.802200000006</v>
      </c>
      <c r="H92" s="504">
        <f>'BH Tariffs'!G35*'P&amp;L - Concept C1 - RCCL'!H58</f>
        <v>40013.378244</v>
      </c>
      <c r="I92" s="504">
        <f>'BH Tariffs'!H35*'P&amp;L - Concept C1 - RCCL'!I58</f>
        <v>40813.645808879999</v>
      </c>
      <c r="J92" s="504">
        <f>'BH Tariffs'!I35*'P&amp;L - Concept C1 - RCCL'!J58</f>
        <v>41629.9187250576</v>
      </c>
      <c r="K92" s="504">
        <f>'BH Tariffs'!J35*'P&amp;L - Concept C1 - RCCL'!K58</f>
        <v>42462.517099558754</v>
      </c>
      <c r="L92" s="504">
        <f>'BH Tariffs'!K35*'P&amp;L - Concept C1 - RCCL'!L58</f>
        <v>43311.767441549935</v>
      </c>
      <c r="M92" s="504">
        <f>'BH Tariffs'!L35*'P&amp;L - Concept C1 - RCCL'!M58</f>
        <v>44178.002790380931</v>
      </c>
      <c r="N92" s="504">
        <f>'BH Tariffs'!M35*'P&amp;L - Concept C1 - RCCL'!N58</f>
        <v>45061.56284618855</v>
      </c>
      <c r="O92" s="504">
        <f>'BH Tariffs'!N35*'P&amp;L - Concept C1 - RCCL'!O58</f>
        <v>45962.794103112326</v>
      </c>
      <c r="P92" s="504">
        <f>'BH Tariffs'!O35*'P&amp;L - Concept C1 - RCCL'!P58</f>
        <v>46882.04998517457</v>
      </c>
      <c r="Q92" s="504">
        <f>'BH Tariffs'!P35*'P&amp;L - Concept C1 - RCCL'!Q58</f>
        <v>47819.690984878056</v>
      </c>
      <c r="R92" s="504">
        <f>'BH Tariffs'!Q35*'P&amp;L - Concept C1 - RCCL'!R58</f>
        <v>48776.084804575621</v>
      </c>
      <c r="S92" s="504">
        <f>'BH Tariffs'!R35*'P&amp;L - Concept C1 - RCCL'!S58</f>
        <v>49751.606500667134</v>
      </c>
      <c r="T92" s="504">
        <f>'BH Tariffs'!S35*'P&amp;L - Concept C1 - RCCL'!T58</f>
        <v>50746.638630680485</v>
      </c>
      <c r="U92" s="504">
        <f>'BH Tariffs'!T35*'P&amp;L - Concept C1 - RCCL'!U58</f>
        <v>51761.571403294096</v>
      </c>
      <c r="V92" s="504">
        <f>'BH Tariffs'!U35*'P&amp;L - Concept C1 - RCCL'!V58</f>
        <v>52796.802831359972</v>
      </c>
      <c r="W92" s="504">
        <f>'BH Tariffs'!V35*'P&amp;L - Concept C1 - RCCL'!W58</f>
        <v>53852.738887987187</v>
      </c>
      <c r="X92" s="504">
        <f>'BH Tariffs'!W35*'P&amp;L - Concept C1 - RCCL'!X58</f>
        <v>54929.793665746925</v>
      </c>
    </row>
    <row r="93" spans="1:25" s="167" customFormat="1">
      <c r="A93" s="539" t="str">
        <f>'BH Tariffs'!A36</f>
        <v>Water/Sewer</v>
      </c>
      <c r="B93" s="609"/>
      <c r="C93" s="540"/>
      <c r="D93" s="541">
        <v>0</v>
      </c>
      <c r="E93" s="542">
        <v>0</v>
      </c>
      <c r="F93" s="542">
        <v>0</v>
      </c>
      <c r="G93" s="542">
        <v>0</v>
      </c>
      <c r="H93" s="542">
        <v>0</v>
      </c>
      <c r="I93" s="542">
        <v>0</v>
      </c>
      <c r="J93" s="542">
        <v>0</v>
      </c>
      <c r="K93" s="542">
        <v>0</v>
      </c>
      <c r="L93" s="542">
        <v>0</v>
      </c>
      <c r="M93" s="542">
        <v>0</v>
      </c>
      <c r="N93" s="542">
        <v>0</v>
      </c>
      <c r="O93" s="542">
        <v>0</v>
      </c>
      <c r="P93" s="542">
        <v>0</v>
      </c>
      <c r="Q93" s="542">
        <v>0</v>
      </c>
      <c r="R93" s="542">
        <v>0</v>
      </c>
      <c r="S93" s="542">
        <v>0</v>
      </c>
      <c r="T93" s="542">
        <v>0</v>
      </c>
      <c r="U93" s="542">
        <v>0</v>
      </c>
      <c r="V93" s="542">
        <v>0</v>
      </c>
      <c r="W93" s="542">
        <v>0</v>
      </c>
      <c r="X93" s="542">
        <v>0</v>
      </c>
      <c r="Y93" s="167" t="s">
        <v>282</v>
      </c>
    </row>
    <row r="94" spans="1:25" s="167" customFormat="1">
      <c r="A94" s="539" t="str">
        <f>'BH Tariffs'!A37</f>
        <v xml:space="preserve">Power (Electricity) </v>
      </c>
      <c r="B94" s="609"/>
      <c r="C94" s="540"/>
      <c r="D94" s="541">
        <v>0</v>
      </c>
      <c r="E94" s="542">
        <v>0</v>
      </c>
      <c r="F94" s="542">
        <v>0</v>
      </c>
      <c r="G94" s="542">
        <v>0</v>
      </c>
      <c r="H94" s="542">
        <v>0</v>
      </c>
      <c r="I94" s="542">
        <v>0</v>
      </c>
      <c r="J94" s="542">
        <v>0</v>
      </c>
      <c r="K94" s="542">
        <v>0</v>
      </c>
      <c r="L94" s="542">
        <v>0</v>
      </c>
      <c r="M94" s="542">
        <v>0</v>
      </c>
      <c r="N94" s="542">
        <v>0</v>
      </c>
      <c r="O94" s="542">
        <v>0</v>
      </c>
      <c r="P94" s="542">
        <v>0</v>
      </c>
      <c r="Q94" s="542">
        <v>0</v>
      </c>
      <c r="R94" s="542">
        <v>0</v>
      </c>
      <c r="S94" s="542">
        <v>0</v>
      </c>
      <c r="T94" s="542">
        <v>0</v>
      </c>
      <c r="U94" s="542">
        <v>0</v>
      </c>
      <c r="V94" s="542">
        <v>0</v>
      </c>
      <c r="W94" s="542">
        <v>0</v>
      </c>
      <c r="X94" s="542">
        <v>0</v>
      </c>
      <c r="Y94" s="167" t="s">
        <v>282</v>
      </c>
    </row>
    <row r="95" spans="1:25" s="96" customFormat="1">
      <c r="A95" s="90" t="s">
        <v>526</v>
      </c>
      <c r="B95" s="606"/>
      <c r="C95" s="356"/>
      <c r="D95" s="502">
        <v>0</v>
      </c>
      <c r="E95" s="504">
        <v>0</v>
      </c>
      <c r="F95" s="504">
        <f>'BH Tariffs'!E38*'P&amp;L - Concept C1 - RCCL'!F56</f>
        <v>7500</v>
      </c>
      <c r="G95" s="504">
        <f>'BH Tariffs'!F38*'P&amp;L - Concept C1 - RCCL'!G56</f>
        <v>7650</v>
      </c>
      <c r="H95" s="504">
        <f>'BH Tariffs'!G38*'P&amp;L - Concept C1 - RCCL'!H56</f>
        <v>7803</v>
      </c>
      <c r="I95" s="504">
        <f>'BH Tariffs'!H38*'P&amp;L - Concept C1 - RCCL'!I56</f>
        <v>7959.0599999999995</v>
      </c>
      <c r="J95" s="504">
        <f>'BH Tariffs'!I38*'P&amp;L - Concept C1 - RCCL'!J56</f>
        <v>8118.2411999999995</v>
      </c>
      <c r="K95" s="504">
        <f>'BH Tariffs'!J38*'P&amp;L - Concept C1 - RCCL'!K56</f>
        <v>8280.6060240000006</v>
      </c>
      <c r="L95" s="504">
        <f>'BH Tariffs'!K38*'P&amp;L - Concept C1 - RCCL'!L56</f>
        <v>8446.2181444800008</v>
      </c>
      <c r="M95" s="504">
        <f>'BH Tariffs'!L38*'P&amp;L - Concept C1 - RCCL'!M56</f>
        <v>8615.1425073696009</v>
      </c>
      <c r="N95" s="504">
        <f>'BH Tariffs'!M38*'P&amp;L - Concept C1 - RCCL'!N56</f>
        <v>8787.4453575169937</v>
      </c>
      <c r="O95" s="504">
        <f>'BH Tariffs'!N38*'P&amp;L - Concept C1 - RCCL'!O56</f>
        <v>8963.1942646673324</v>
      </c>
      <c r="P95" s="504">
        <f>'BH Tariffs'!O38*'P&amp;L - Concept C1 - RCCL'!P56</f>
        <v>9142.4581499606793</v>
      </c>
      <c r="Q95" s="504">
        <f>'BH Tariffs'!P38*'P&amp;L - Concept C1 - RCCL'!Q56</f>
        <v>9325.3073129598943</v>
      </c>
      <c r="R95" s="504">
        <f>'BH Tariffs'!Q38*'P&amp;L - Concept C1 - RCCL'!R56</f>
        <v>9511.8134592190909</v>
      </c>
      <c r="S95" s="504">
        <f>'BH Tariffs'!R38*'P&amp;L - Concept C1 - RCCL'!S56</f>
        <v>9702.0497284034718</v>
      </c>
      <c r="T95" s="504">
        <f>'BH Tariffs'!S38*'P&amp;L - Concept C1 - RCCL'!T56</f>
        <v>9896.0907229715431</v>
      </c>
      <c r="U95" s="504">
        <f>'BH Tariffs'!T38*'P&amp;L - Concept C1 - RCCL'!U56</f>
        <v>10094.012537430975</v>
      </c>
      <c r="V95" s="504">
        <f>'BH Tariffs'!U38*'P&amp;L - Concept C1 - RCCL'!V56</f>
        <v>10295.892788179593</v>
      </c>
      <c r="W95" s="504">
        <f>'BH Tariffs'!V38*'P&amp;L - Concept C1 - RCCL'!W56</f>
        <v>10501.810643943187</v>
      </c>
      <c r="X95" s="504">
        <f>'BH Tariffs'!W38*'P&amp;L - Concept C1 - RCCL'!X56</f>
        <v>10711.846856822051</v>
      </c>
    </row>
    <row r="96" spans="1:25">
      <c r="A96" s="88"/>
      <c r="B96" s="30"/>
      <c r="C96" s="89"/>
      <c r="D96" s="502"/>
      <c r="E96" s="504"/>
      <c r="F96" s="504"/>
      <c r="G96" s="504"/>
      <c r="H96" s="504"/>
      <c r="I96" s="504"/>
      <c r="J96" s="504"/>
      <c r="K96" s="504"/>
      <c r="L96" s="504"/>
      <c r="M96" s="504"/>
      <c r="N96" s="504"/>
      <c r="O96" s="504"/>
      <c r="P96" s="504"/>
      <c r="Q96" s="504"/>
      <c r="R96" s="504"/>
      <c r="S96" s="504"/>
      <c r="T96" s="504"/>
      <c r="U96" s="504"/>
      <c r="V96" s="504"/>
      <c r="W96" s="504"/>
      <c r="X96" s="504"/>
    </row>
    <row r="97" spans="1:24">
      <c r="A97" s="91" t="s">
        <v>26</v>
      </c>
      <c r="B97" s="30"/>
      <c r="C97" s="89"/>
      <c r="D97" s="502"/>
      <c r="E97" s="504"/>
      <c r="F97" s="504"/>
      <c r="G97" s="504"/>
      <c r="H97" s="504"/>
      <c r="I97" s="504"/>
      <c r="J97" s="504"/>
      <c r="K97" s="504"/>
      <c r="L97" s="504"/>
      <c r="M97" s="504"/>
      <c r="N97" s="504"/>
      <c r="O97" s="504"/>
      <c r="P97" s="504"/>
      <c r="Q97" s="504"/>
      <c r="R97" s="504"/>
      <c r="S97" s="504"/>
      <c r="T97" s="504"/>
      <c r="U97" s="504"/>
      <c r="V97" s="504"/>
      <c r="W97" s="504"/>
      <c r="X97" s="504"/>
    </row>
    <row r="98" spans="1:24" s="341" customFormat="1">
      <c r="A98" s="353" t="s">
        <v>214</v>
      </c>
      <c r="B98" s="354"/>
      <c r="C98" s="355"/>
      <c r="D98" s="548">
        <v>0</v>
      </c>
      <c r="E98" s="503">
        <v>0</v>
      </c>
      <c r="F98" s="503">
        <v>0</v>
      </c>
      <c r="G98" s="503">
        <v>0</v>
      </c>
      <c r="H98" s="503">
        <v>0</v>
      </c>
      <c r="I98" s="503">
        <v>0</v>
      </c>
      <c r="J98" s="503">
        <v>0</v>
      </c>
      <c r="K98" s="503">
        <v>0</v>
      </c>
      <c r="L98" s="503">
        <v>0</v>
      </c>
      <c r="M98" s="503">
        <v>0</v>
      </c>
      <c r="N98" s="503">
        <v>0</v>
      </c>
      <c r="O98" s="503">
        <v>0</v>
      </c>
      <c r="P98" s="503">
        <v>0</v>
      </c>
      <c r="Q98" s="503">
        <v>0</v>
      </c>
      <c r="R98" s="503">
        <v>0</v>
      </c>
      <c r="S98" s="503">
        <v>0</v>
      </c>
      <c r="T98" s="503">
        <v>0</v>
      </c>
      <c r="U98" s="503">
        <v>0</v>
      </c>
      <c r="V98" s="503">
        <v>0</v>
      </c>
      <c r="W98" s="503">
        <v>0</v>
      </c>
      <c r="X98" s="503">
        <v>0</v>
      </c>
    </row>
    <row r="99" spans="1:24">
      <c r="A99" s="88" t="s">
        <v>215</v>
      </c>
      <c r="B99" s="30"/>
      <c r="C99" s="89"/>
      <c r="D99" s="502">
        <v>0</v>
      </c>
      <c r="E99" s="504">
        <f>'BH Tariffs'!D43*'Parking Projections'!C90</f>
        <v>0</v>
      </c>
      <c r="F99" s="504">
        <f>'BH Tariffs'!E43*'Parking Projections'!D90</f>
        <v>0</v>
      </c>
      <c r="G99" s="504">
        <f>'BH Tariffs'!F43*'Parking Projections'!E90</f>
        <v>0</v>
      </c>
      <c r="H99" s="504">
        <f>'BH Tariffs'!G43*'Parking Projections'!F90</f>
        <v>0</v>
      </c>
      <c r="I99" s="504">
        <f>'BH Tariffs'!H43*'Parking Projections'!G90</f>
        <v>0</v>
      </c>
      <c r="J99" s="504">
        <f>'BH Tariffs'!I43*'Parking Projections'!H90</f>
        <v>216287.84722222219</v>
      </c>
      <c r="K99" s="504">
        <f>'BH Tariffs'!J43*'Parking Projections'!I90</f>
        <v>216287.84722222219</v>
      </c>
      <c r="L99" s="504">
        <f>'BH Tariffs'!K43*'Parking Projections'!J90</f>
        <v>216287.84722222219</v>
      </c>
      <c r="M99" s="504">
        <f>'BH Tariffs'!L43*'Parking Projections'!K90</f>
        <v>216287.84722222219</v>
      </c>
      <c r="N99" s="504">
        <f>'BH Tariffs'!M43*'Parking Projections'!L90</f>
        <v>216287.84722222219</v>
      </c>
      <c r="O99" s="504">
        <f>'BH Tariffs'!N43*'Parking Projections'!M90</f>
        <v>270359.80902777775</v>
      </c>
      <c r="P99" s="504">
        <f>'BH Tariffs'!O43*'Parking Projections'!N90</f>
        <v>270359.80902777775</v>
      </c>
      <c r="Q99" s="504">
        <f>'BH Tariffs'!P43*'Parking Projections'!O90</f>
        <v>270359.80902777775</v>
      </c>
      <c r="R99" s="504">
        <f>'BH Tariffs'!Q43*'Parking Projections'!P90</f>
        <v>270359.80902777775</v>
      </c>
      <c r="S99" s="504">
        <f>'BH Tariffs'!R43*'Parking Projections'!Q90</f>
        <v>270359.80902777775</v>
      </c>
      <c r="T99" s="504">
        <f>'BH Tariffs'!S43*'Parking Projections'!R90</f>
        <v>324431.77083333326</v>
      </c>
      <c r="U99" s="504">
        <f>'BH Tariffs'!T43*'Parking Projections'!S90</f>
        <v>324431.77083333326</v>
      </c>
      <c r="V99" s="504">
        <f>'BH Tariffs'!U43*'Parking Projections'!T90</f>
        <v>324431.77083333326</v>
      </c>
      <c r="W99" s="504">
        <f>'BH Tariffs'!V43*'Parking Projections'!U90</f>
        <v>324431.77083333326</v>
      </c>
      <c r="X99" s="504">
        <f>'BH Tariffs'!W43*'Parking Projections'!V90</f>
        <v>324431.77083333326</v>
      </c>
    </row>
    <row r="100" spans="1:24">
      <c r="A100" s="91"/>
      <c r="B100" s="30"/>
      <c r="C100" s="89"/>
      <c r="D100" s="502"/>
      <c r="E100" s="504"/>
      <c r="F100" s="504"/>
      <c r="G100" s="504"/>
      <c r="H100" s="504"/>
      <c r="I100" s="504"/>
      <c r="J100" s="504"/>
      <c r="K100" s="504"/>
      <c r="L100" s="504"/>
      <c r="M100" s="504"/>
      <c r="N100" s="504"/>
      <c r="O100" s="504"/>
      <c r="P100" s="504"/>
      <c r="Q100" s="504"/>
      <c r="R100" s="504"/>
      <c r="S100" s="504"/>
      <c r="T100" s="504"/>
      <c r="U100" s="504"/>
      <c r="V100" s="504"/>
      <c r="W100" s="504"/>
      <c r="X100" s="504"/>
    </row>
    <row r="101" spans="1:24">
      <c r="A101" s="91" t="s">
        <v>2</v>
      </c>
      <c r="B101" s="30"/>
      <c r="C101" s="89"/>
      <c r="D101" s="502"/>
      <c r="E101" s="504"/>
      <c r="F101" s="504"/>
      <c r="G101" s="504"/>
      <c r="H101" s="504"/>
      <c r="I101" s="504"/>
      <c r="J101" s="504"/>
      <c r="K101" s="504"/>
      <c r="L101" s="504"/>
      <c r="M101" s="504"/>
      <c r="N101" s="504"/>
      <c r="O101" s="504"/>
      <c r="P101" s="504"/>
      <c r="Q101" s="504"/>
      <c r="R101" s="504"/>
      <c r="S101" s="504"/>
      <c r="T101" s="504"/>
      <c r="U101" s="504"/>
      <c r="V101" s="504"/>
      <c r="W101" s="504"/>
      <c r="X101" s="504"/>
    </row>
    <row r="102" spans="1:24">
      <c r="A102" s="88" t="str">
        <f>'BH Tariffs'!A44</f>
        <v>Commerical Rent (Seasonal Kiosk(s)/Vendor(s))</v>
      </c>
      <c r="B102" s="30"/>
      <c r="C102" s="89"/>
      <c r="D102" s="502">
        <v>0</v>
      </c>
      <c r="E102" s="504">
        <f>'BH Tariffs'!D44*'P&amp;L - Concept C1 - RCCL'!E63</f>
        <v>0</v>
      </c>
      <c r="F102" s="504">
        <f>'BH Tariffs'!E44*'P&amp;L - Concept C1 - RCCL'!F63</f>
        <v>0</v>
      </c>
      <c r="G102" s="504">
        <f>'BH Tariffs'!F44*'P&amp;L - Concept C1 - RCCL'!G63*6</f>
        <v>6242.4000000000005</v>
      </c>
      <c r="H102" s="504">
        <f>'BH Tariffs'!G44*'P&amp;L - Concept C1 - RCCL'!H63*6</f>
        <v>6367.2479999999996</v>
      </c>
      <c r="I102" s="504">
        <f>'BH Tariffs'!H44*'P&amp;L - Concept C1 - RCCL'!I63*6</f>
        <v>6494.5929599999999</v>
      </c>
      <c r="J102" s="504">
        <f>'BH Tariffs'!I44*'P&amp;L - Concept C1 - RCCL'!J63*6</f>
        <v>6624.4848191999999</v>
      </c>
      <c r="K102" s="504">
        <f>'BH Tariffs'!J44*'P&amp;L - Concept C1 - RCCL'!K63*6</f>
        <v>6756.974515584001</v>
      </c>
      <c r="L102" s="504">
        <f>'BH Tariffs'!K44*'P&amp;L - Concept C1 - RCCL'!L63*6</f>
        <v>6892.1140058956807</v>
      </c>
      <c r="M102" s="504">
        <f>'BH Tariffs'!L44*'P&amp;L - Concept C1 - RCCL'!M63*6</f>
        <v>7029.9562860135939</v>
      </c>
      <c r="N102" s="504">
        <f>'BH Tariffs'!M44*'P&amp;L - Concept C1 - RCCL'!N63*6</f>
        <v>7170.555411733867</v>
      </c>
      <c r="O102" s="504">
        <f>'BH Tariffs'!N44*'P&amp;L - Concept C1 - RCCL'!O63*6</f>
        <v>7313.9665199685442</v>
      </c>
      <c r="P102" s="504">
        <f>'BH Tariffs'!O44*'P&amp;L - Concept C1 - RCCL'!P63*6</f>
        <v>7460.2458503679145</v>
      </c>
      <c r="Q102" s="504">
        <f>'BH Tariffs'!P44*'P&amp;L - Concept C1 - RCCL'!Q63*6</f>
        <v>7609.4507673752723</v>
      </c>
      <c r="R102" s="504">
        <f>'BH Tariffs'!Q44*'P&amp;L - Concept C1 - RCCL'!R63*6</f>
        <v>7761.6397827227775</v>
      </c>
      <c r="S102" s="504">
        <f>'BH Tariffs'!R44*'P&amp;L - Concept C1 - RCCL'!S63*6</f>
        <v>7916.8725783772334</v>
      </c>
      <c r="T102" s="504">
        <f>'BH Tariffs'!S44*'P&amp;L - Concept C1 - RCCL'!T63*6</f>
        <v>8075.2100299447793</v>
      </c>
      <c r="U102" s="504">
        <f>'BH Tariffs'!T44*'P&amp;L - Concept C1 - RCCL'!U63*6</f>
        <v>8236.7142305436755</v>
      </c>
      <c r="V102" s="504">
        <f>'BH Tariffs'!U44*'P&amp;L - Concept C1 - RCCL'!V63*6</f>
        <v>8401.4485151545487</v>
      </c>
      <c r="W102" s="504">
        <f>'BH Tariffs'!V44*'P&amp;L - Concept C1 - RCCL'!W63*6</f>
        <v>8569.4774854576408</v>
      </c>
      <c r="X102" s="504">
        <f>'BH Tariffs'!W44*'P&amp;L - Concept C1 - RCCL'!X63*6</f>
        <v>8740.8670351667934</v>
      </c>
    </row>
    <row r="103" spans="1:24" s="96" customFormat="1">
      <c r="A103" s="90" t="s">
        <v>541</v>
      </c>
      <c r="B103" s="606"/>
      <c r="C103" s="356"/>
      <c r="D103" s="502">
        <v>0</v>
      </c>
      <c r="E103" s="504">
        <v>0</v>
      </c>
      <c r="F103" s="504">
        <v>0</v>
      </c>
      <c r="G103" s="504">
        <f>G64*0.05</f>
        <v>10000</v>
      </c>
      <c r="H103" s="504">
        <f t="shared" ref="H103:X103" si="12">H64*0.05</f>
        <v>10000</v>
      </c>
      <c r="I103" s="504">
        <f t="shared" si="12"/>
        <v>10000</v>
      </c>
      <c r="J103" s="504">
        <f t="shared" si="12"/>
        <v>10000</v>
      </c>
      <c r="K103" s="504">
        <f t="shared" si="12"/>
        <v>10000</v>
      </c>
      <c r="L103" s="504">
        <f t="shared" si="12"/>
        <v>10000</v>
      </c>
      <c r="M103" s="504">
        <f t="shared" si="12"/>
        <v>10000</v>
      </c>
      <c r="N103" s="504">
        <f t="shared" si="12"/>
        <v>10000</v>
      </c>
      <c r="O103" s="504">
        <f t="shared" si="12"/>
        <v>10000</v>
      </c>
      <c r="P103" s="504">
        <f t="shared" si="12"/>
        <v>10000</v>
      </c>
      <c r="Q103" s="504">
        <f t="shared" si="12"/>
        <v>10000</v>
      </c>
      <c r="R103" s="504">
        <f t="shared" si="12"/>
        <v>10000</v>
      </c>
      <c r="S103" s="504">
        <f t="shared" si="12"/>
        <v>10000</v>
      </c>
      <c r="T103" s="504">
        <f t="shared" si="12"/>
        <v>10000</v>
      </c>
      <c r="U103" s="504">
        <f t="shared" si="12"/>
        <v>10000</v>
      </c>
      <c r="V103" s="504">
        <f t="shared" si="12"/>
        <v>10000</v>
      </c>
      <c r="W103" s="504">
        <f t="shared" si="12"/>
        <v>10000</v>
      </c>
      <c r="X103" s="504">
        <f t="shared" si="12"/>
        <v>10000</v>
      </c>
    </row>
    <row r="104" spans="1:24">
      <c r="A104" s="88" t="str">
        <f>'BH Tariffs'!A45</f>
        <v>Motorcoach Access/Tour Operator Licenses</v>
      </c>
      <c r="B104" s="30"/>
      <c r="C104" s="89"/>
      <c r="D104" s="502">
        <v>0</v>
      </c>
      <c r="E104" s="504">
        <v>0</v>
      </c>
      <c r="F104" s="504">
        <f>'BH Tariffs'!E45*'P&amp;L - Concept C1 - RCCL'!F66</f>
        <v>3060</v>
      </c>
      <c r="G104" s="504">
        <f>'BH Tariffs'!F45*'P&amp;L - Concept C1 - RCCL'!G66</f>
        <v>3121.2000000000003</v>
      </c>
      <c r="H104" s="504">
        <f>'BH Tariffs'!G45*'P&amp;L - Concept C1 - RCCL'!H66</f>
        <v>3183.6239999999998</v>
      </c>
      <c r="I104" s="504">
        <f>'BH Tariffs'!H45*'P&amp;L - Concept C1 - RCCL'!I66</f>
        <v>3247.29648</v>
      </c>
      <c r="J104" s="504">
        <f>'BH Tariffs'!I45*'P&amp;L - Concept C1 - RCCL'!J66</f>
        <v>3312.2424096</v>
      </c>
      <c r="K104" s="504">
        <f>'BH Tariffs'!J45*'P&amp;L - Concept C1 - RCCL'!K66</f>
        <v>3378.4872577920005</v>
      </c>
      <c r="L104" s="504">
        <f>'BH Tariffs'!K45*'P&amp;L - Concept C1 - RCCL'!L66</f>
        <v>3446.0570029478404</v>
      </c>
      <c r="M104" s="504">
        <f>'BH Tariffs'!L45*'P&amp;L - Concept C1 - RCCL'!M66</f>
        <v>3514.9781430067969</v>
      </c>
      <c r="N104" s="504">
        <f>'BH Tariffs'!M45*'P&amp;L - Concept C1 - RCCL'!N66</f>
        <v>3585.2777058669335</v>
      </c>
      <c r="O104" s="504">
        <f>'BH Tariffs'!N45*'P&amp;L - Concept C1 - RCCL'!O66</f>
        <v>3656.9832599842721</v>
      </c>
      <c r="P104" s="504">
        <f>'BH Tariffs'!O45*'P&amp;L - Concept C1 - RCCL'!P66</f>
        <v>3730.1229251839572</v>
      </c>
      <c r="Q104" s="504">
        <f>'BH Tariffs'!P45*'P&amp;L - Concept C1 - RCCL'!Q66</f>
        <v>3804.7253836876362</v>
      </c>
      <c r="R104" s="504">
        <f>'BH Tariffs'!Q45*'P&amp;L - Concept C1 - RCCL'!R66</f>
        <v>3880.8198913613887</v>
      </c>
      <c r="S104" s="504">
        <f>'BH Tariffs'!R45*'P&amp;L - Concept C1 - RCCL'!S66</f>
        <v>3958.4362891886167</v>
      </c>
      <c r="T104" s="504">
        <f>'BH Tariffs'!S45*'P&amp;L - Concept C1 - RCCL'!T66</f>
        <v>4037.6050149723897</v>
      </c>
      <c r="U104" s="504">
        <f>'BH Tariffs'!T45*'P&amp;L - Concept C1 - RCCL'!U66</f>
        <v>4118.3571152718378</v>
      </c>
      <c r="V104" s="504">
        <f>'BH Tariffs'!U45*'P&amp;L - Concept C1 - RCCL'!V66</f>
        <v>4200.7242575772743</v>
      </c>
      <c r="W104" s="504">
        <f>'BH Tariffs'!V45*'P&amp;L - Concept C1 - RCCL'!W66</f>
        <v>4284.7387427288204</v>
      </c>
      <c r="X104" s="504">
        <f>'BH Tariffs'!W45*'P&amp;L - Concept C1 - RCCL'!X66</f>
        <v>4370.4335175833967</v>
      </c>
    </row>
    <row r="105" spans="1:24">
      <c r="A105" s="299" t="s">
        <v>217</v>
      </c>
      <c r="B105" s="299"/>
      <c r="C105" s="299"/>
      <c r="D105" s="505">
        <v>0</v>
      </c>
      <c r="E105" s="506">
        <v>0</v>
      </c>
      <c r="F105" s="506">
        <f>'BH Tariffs'!E46*'P&amp;L - Concept C1 - RCCL'!F65</f>
        <v>500</v>
      </c>
      <c r="G105" s="506">
        <f>'BH Tariffs'!F46*'P&amp;L - Concept C1 - RCCL'!G65</f>
        <v>1000</v>
      </c>
      <c r="H105" s="506">
        <f>'BH Tariffs'!G46*'P&amp;L - Concept C1 - RCCL'!H65</f>
        <v>1000</v>
      </c>
      <c r="I105" s="506">
        <f>'BH Tariffs'!H46*'P&amp;L - Concept C1 - RCCL'!I65</f>
        <v>1000</v>
      </c>
      <c r="J105" s="506">
        <f>'BH Tariffs'!I46*'P&amp;L - Concept C1 - RCCL'!J65</f>
        <v>1650</v>
      </c>
      <c r="K105" s="506">
        <f>'BH Tariffs'!J46*'P&amp;L - Concept C1 - RCCL'!K65</f>
        <v>1650</v>
      </c>
      <c r="L105" s="506">
        <f>'BH Tariffs'!K46*'P&amp;L - Concept C1 - RCCL'!L65</f>
        <v>1650</v>
      </c>
      <c r="M105" s="506">
        <f>'BH Tariffs'!L46*'P&amp;L - Concept C1 - RCCL'!M65</f>
        <v>1650</v>
      </c>
      <c r="N105" s="506">
        <f>'BH Tariffs'!M46*'P&amp;L - Concept C1 - RCCL'!N65</f>
        <v>1650</v>
      </c>
      <c r="O105" s="506">
        <f>'BH Tariffs'!N46*'P&amp;L - Concept C1 - RCCL'!O65</f>
        <v>2400</v>
      </c>
      <c r="P105" s="506">
        <f>'BH Tariffs'!O46*'P&amp;L - Concept C1 - RCCL'!P65</f>
        <v>2400</v>
      </c>
      <c r="Q105" s="506">
        <f>'BH Tariffs'!P46*'P&amp;L - Concept C1 - RCCL'!Q65</f>
        <v>2400</v>
      </c>
      <c r="R105" s="506">
        <f>'BH Tariffs'!Q46*'P&amp;L - Concept C1 - RCCL'!R65</f>
        <v>2400</v>
      </c>
      <c r="S105" s="506">
        <f>'BH Tariffs'!R46*'P&amp;L - Concept C1 - RCCL'!S65</f>
        <v>2400</v>
      </c>
      <c r="T105" s="506">
        <f>'BH Tariffs'!S46*'P&amp;L - Concept C1 - RCCL'!T65</f>
        <v>3250</v>
      </c>
      <c r="U105" s="506">
        <f>'BH Tariffs'!T46*'P&amp;L - Concept C1 - RCCL'!U65</f>
        <v>3250</v>
      </c>
      <c r="V105" s="506">
        <f>'BH Tariffs'!U46*'P&amp;L - Concept C1 - RCCL'!V65</f>
        <v>3250</v>
      </c>
      <c r="W105" s="506">
        <f>'BH Tariffs'!V46*'P&amp;L - Concept C1 - RCCL'!W65</f>
        <v>3250</v>
      </c>
      <c r="X105" s="506">
        <f>'BH Tariffs'!W46*'P&amp;L - Concept C1 - RCCL'!X65</f>
        <v>3250</v>
      </c>
    </row>
    <row r="106" spans="1:24">
      <c r="A106" s="278" t="s">
        <v>145</v>
      </c>
      <c r="D106" s="507">
        <f>SUM(D71:D105)</f>
        <v>0</v>
      </c>
      <c r="E106" s="508">
        <f>SUM(E70:E105)</f>
        <v>161800</v>
      </c>
      <c r="F106" s="508">
        <f t="shared" ref="F106:X106" si="13">SUM(F70:F105)</f>
        <v>1426952.7340580607</v>
      </c>
      <c r="G106" s="508">
        <f t="shared" si="13"/>
        <v>1500544.1887392218</v>
      </c>
      <c r="H106" s="508">
        <f t="shared" si="13"/>
        <v>1532335.0725140062</v>
      </c>
      <c r="I106" s="508">
        <f t="shared" si="13"/>
        <v>1564761.7739642865</v>
      </c>
      <c r="J106" s="508">
        <f t="shared" si="13"/>
        <v>1814774.8566657943</v>
      </c>
      <c r="K106" s="508">
        <f t="shared" si="13"/>
        <v>1848511.5968546655</v>
      </c>
      <c r="L106" s="508">
        <f t="shared" si="13"/>
        <v>1882923.0718473147</v>
      </c>
      <c r="M106" s="508">
        <f t="shared" si="13"/>
        <v>1918022.7763398169</v>
      </c>
      <c r="N106" s="508">
        <f t="shared" si="13"/>
        <v>1953824.4749221683</v>
      </c>
      <c r="O106" s="508">
        <f t="shared" si="13"/>
        <v>2045164.1692817232</v>
      </c>
      <c r="P106" s="508">
        <f t="shared" si="13"/>
        <v>2082412.2564868024</v>
      </c>
      <c r="Q106" s="508">
        <f t="shared" si="13"/>
        <v>2120405.3054359821</v>
      </c>
      <c r="R106" s="508">
        <f t="shared" si="13"/>
        <v>2159158.2153641465</v>
      </c>
      <c r="S106" s="508">
        <f t="shared" si="13"/>
        <v>2198686.1834908738</v>
      </c>
      <c r="T106" s="508">
        <f t="shared" si="13"/>
        <v>2293926.672785691</v>
      </c>
      <c r="U106" s="508">
        <f t="shared" si="13"/>
        <v>2335051.5708247386</v>
      </c>
      <c r="V106" s="508">
        <f t="shared" si="13"/>
        <v>2376998.9668245665</v>
      </c>
      <c r="W106" s="508">
        <f t="shared" si="13"/>
        <v>2419785.3107443918</v>
      </c>
      <c r="X106" s="508">
        <f t="shared" si="13"/>
        <v>2463427.3815426128</v>
      </c>
    </row>
    <row r="107" spans="1:24">
      <c r="D107" s="507"/>
      <c r="E107" s="413"/>
      <c r="F107" s="413"/>
      <c r="G107" s="413"/>
      <c r="H107" s="413"/>
      <c r="I107" s="413"/>
      <c r="J107" s="413"/>
      <c r="K107" s="413"/>
      <c r="L107" s="413"/>
      <c r="M107" s="413"/>
      <c r="N107" s="413"/>
      <c r="O107" s="413"/>
      <c r="P107" s="413"/>
      <c r="Q107" s="413"/>
      <c r="R107" s="413"/>
      <c r="S107" s="413"/>
      <c r="T107" s="413"/>
      <c r="U107" s="413"/>
      <c r="V107" s="413"/>
      <c r="W107" s="413"/>
      <c r="X107" s="413"/>
    </row>
    <row r="108" spans="1:24">
      <c r="A108" s="271" t="s">
        <v>146</v>
      </c>
      <c r="B108" s="149"/>
      <c r="C108" s="149"/>
      <c r="D108" s="509"/>
      <c r="E108" s="510"/>
      <c r="F108" s="510"/>
      <c r="G108" s="510"/>
      <c r="H108" s="510"/>
      <c r="I108" s="510"/>
      <c r="J108" s="510"/>
      <c r="K108" s="510"/>
      <c r="L108" s="510"/>
      <c r="M108" s="510"/>
      <c r="N108" s="510"/>
      <c r="O108" s="510"/>
      <c r="P108" s="510"/>
      <c r="Q108" s="510"/>
      <c r="R108" s="510"/>
      <c r="S108" s="510"/>
      <c r="T108" s="510"/>
      <c r="U108" s="510"/>
      <c r="V108" s="510"/>
      <c r="W108" s="510"/>
      <c r="X108" s="510"/>
    </row>
    <row r="109" spans="1:24">
      <c r="D109" s="507"/>
      <c r="E109" s="413"/>
      <c r="F109" s="413"/>
      <c r="G109" s="413"/>
      <c r="H109" s="413"/>
      <c r="I109" s="413"/>
      <c r="J109" s="413"/>
      <c r="K109" s="413"/>
      <c r="L109" s="413"/>
      <c r="M109" s="413"/>
      <c r="N109" s="413"/>
      <c r="O109" s="413"/>
      <c r="P109" s="413"/>
      <c r="Q109" s="413"/>
      <c r="R109" s="413"/>
      <c r="S109" s="413"/>
      <c r="T109" s="413"/>
      <c r="U109" s="413"/>
      <c r="V109" s="413"/>
      <c r="W109" s="413"/>
      <c r="X109" s="413"/>
    </row>
    <row r="110" spans="1:24">
      <c r="A110" s="91" t="s">
        <v>380</v>
      </c>
      <c r="B110" s="89"/>
      <c r="C110" s="89"/>
      <c r="D110" s="502"/>
      <c r="E110" s="504"/>
      <c r="F110" s="504"/>
      <c r="G110" s="504"/>
      <c r="H110" s="504"/>
      <c r="I110" s="504"/>
      <c r="J110" s="504"/>
      <c r="K110" s="504"/>
      <c r="L110" s="504"/>
      <c r="M110" s="504"/>
      <c r="N110" s="504"/>
      <c r="O110" s="504"/>
      <c r="P110" s="504"/>
      <c r="Q110" s="504"/>
      <c r="R110" s="504"/>
      <c r="S110" s="504"/>
      <c r="T110" s="504"/>
      <c r="U110" s="504"/>
      <c r="V110" s="504"/>
      <c r="W110" s="504"/>
      <c r="X110" s="504"/>
    </row>
    <row r="111" spans="1:24">
      <c r="A111" s="88" t="s">
        <v>432</v>
      </c>
      <c r="B111" s="89"/>
      <c r="C111" s="89"/>
      <c r="D111" s="502">
        <v>0</v>
      </c>
      <c r="E111" s="504">
        <v>0</v>
      </c>
      <c r="F111" s="504">
        <v>0</v>
      </c>
      <c r="G111" s="504">
        <v>0</v>
      </c>
      <c r="H111" s="504">
        <v>0</v>
      </c>
      <c r="I111" s="504">
        <v>0</v>
      </c>
      <c r="J111" s="504">
        <v>0</v>
      </c>
      <c r="K111" s="504">
        <v>0</v>
      </c>
      <c r="L111" s="504">
        <v>0</v>
      </c>
      <c r="M111" s="504">
        <v>0</v>
      </c>
      <c r="N111" s="504">
        <v>0</v>
      </c>
      <c r="O111" s="504">
        <v>0</v>
      </c>
      <c r="P111" s="504">
        <v>0</v>
      </c>
      <c r="Q111" s="504">
        <v>0</v>
      </c>
      <c r="R111" s="504">
        <v>0</v>
      </c>
      <c r="S111" s="504">
        <v>0</v>
      </c>
      <c r="T111" s="504">
        <v>0</v>
      </c>
      <c r="U111" s="504">
        <v>0</v>
      </c>
      <c r="V111" s="504">
        <v>0</v>
      </c>
      <c r="W111" s="504">
        <v>0</v>
      </c>
      <c r="X111" s="504">
        <v>0</v>
      </c>
    </row>
    <row r="112" spans="1:24">
      <c r="A112" s="88" t="s">
        <v>433</v>
      </c>
      <c r="B112" s="89"/>
      <c r="C112" s="89"/>
      <c r="D112" s="502">
        <v>0</v>
      </c>
      <c r="E112" s="504">
        <v>0</v>
      </c>
      <c r="F112" s="504">
        <v>0</v>
      </c>
      <c r="G112" s="504">
        <v>0</v>
      </c>
      <c r="H112" s="504">
        <v>0</v>
      </c>
      <c r="I112" s="504">
        <v>0</v>
      </c>
      <c r="J112" s="504">
        <v>0</v>
      </c>
      <c r="K112" s="504">
        <v>0</v>
      </c>
      <c r="L112" s="504">
        <v>0</v>
      </c>
      <c r="M112" s="504">
        <v>0</v>
      </c>
      <c r="N112" s="504">
        <v>0</v>
      </c>
      <c r="O112" s="504">
        <v>0</v>
      </c>
      <c r="P112" s="504">
        <v>0</v>
      </c>
      <c r="Q112" s="504">
        <v>0</v>
      </c>
      <c r="R112" s="504">
        <v>0</v>
      </c>
      <c r="S112" s="504">
        <v>0</v>
      </c>
      <c r="T112" s="504">
        <v>0</v>
      </c>
      <c r="U112" s="504">
        <v>0</v>
      </c>
      <c r="V112" s="504">
        <v>0</v>
      </c>
      <c r="W112" s="504">
        <v>0</v>
      </c>
      <c r="X112" s="504">
        <v>0</v>
      </c>
    </row>
    <row r="113" spans="1:27">
      <c r="A113" s="88" t="s">
        <v>434</v>
      </c>
      <c r="B113" s="89"/>
      <c r="C113" s="89"/>
      <c r="D113" s="502">
        <v>0</v>
      </c>
      <c r="E113" s="504">
        <v>0</v>
      </c>
      <c r="F113" s="504">
        <v>0</v>
      </c>
      <c r="G113" s="504">
        <v>0</v>
      </c>
      <c r="H113" s="504">
        <v>0</v>
      </c>
      <c r="I113" s="504">
        <v>0</v>
      </c>
      <c r="J113" s="504">
        <v>0</v>
      </c>
      <c r="K113" s="504">
        <v>0</v>
      </c>
      <c r="L113" s="504">
        <v>0</v>
      </c>
      <c r="M113" s="504">
        <v>0</v>
      </c>
      <c r="N113" s="504">
        <v>0</v>
      </c>
      <c r="O113" s="504">
        <v>0</v>
      </c>
      <c r="P113" s="504">
        <v>0</v>
      </c>
      <c r="Q113" s="504">
        <v>0</v>
      </c>
      <c r="R113" s="504">
        <v>0</v>
      </c>
      <c r="S113" s="504">
        <v>0</v>
      </c>
      <c r="T113" s="504">
        <v>0</v>
      </c>
      <c r="U113" s="504">
        <v>0</v>
      </c>
      <c r="V113" s="504">
        <v>0</v>
      </c>
      <c r="W113" s="504">
        <v>0</v>
      </c>
      <c r="X113" s="504">
        <v>0</v>
      </c>
    </row>
    <row r="114" spans="1:27">
      <c r="A114" s="88" t="s">
        <v>229</v>
      </c>
      <c r="B114" s="30"/>
      <c r="C114" s="89"/>
      <c r="D114" s="502">
        <v>0</v>
      </c>
      <c r="E114" s="504">
        <v>0</v>
      </c>
      <c r="F114" s="504">
        <v>0</v>
      </c>
      <c r="G114" s="504">
        <v>0</v>
      </c>
      <c r="H114" s="504">
        <v>0</v>
      </c>
      <c r="I114" s="504">
        <v>0</v>
      </c>
      <c r="J114" s="504">
        <v>0</v>
      </c>
      <c r="K114" s="504">
        <v>0</v>
      </c>
      <c r="L114" s="504">
        <v>0</v>
      </c>
      <c r="M114" s="504">
        <v>0</v>
      </c>
      <c r="N114" s="504">
        <v>0</v>
      </c>
      <c r="O114" s="504">
        <v>0</v>
      </c>
      <c r="P114" s="504">
        <v>0</v>
      </c>
      <c r="Q114" s="504">
        <v>0</v>
      </c>
      <c r="R114" s="504">
        <v>0</v>
      </c>
      <c r="S114" s="504">
        <v>0</v>
      </c>
      <c r="T114" s="504">
        <v>0</v>
      </c>
      <c r="U114" s="504">
        <v>0</v>
      </c>
      <c r="V114" s="504">
        <v>0</v>
      </c>
      <c r="W114" s="504">
        <v>0</v>
      </c>
      <c r="X114" s="504">
        <v>0</v>
      </c>
    </row>
    <row r="115" spans="1:27" s="32" customFormat="1">
      <c r="A115" s="299" t="s">
        <v>297</v>
      </c>
      <c r="B115" s="299"/>
      <c r="C115" s="299"/>
      <c r="D115" s="505">
        <v>0</v>
      </c>
      <c r="E115" s="506">
        <f>E53</f>
        <v>0</v>
      </c>
      <c r="F115" s="506">
        <f t="shared" ref="F115:X115" si="14">F53</f>
        <v>0</v>
      </c>
      <c r="G115" s="506">
        <f t="shared" si="14"/>
        <v>100000</v>
      </c>
      <c r="H115" s="506">
        <f t="shared" si="14"/>
        <v>100000</v>
      </c>
      <c r="I115" s="506">
        <f t="shared" si="14"/>
        <v>100000</v>
      </c>
      <c r="J115" s="506">
        <f t="shared" si="14"/>
        <v>100000</v>
      </c>
      <c r="K115" s="506">
        <f t="shared" si="14"/>
        <v>100000</v>
      </c>
      <c r="L115" s="506">
        <f t="shared" si="14"/>
        <v>100000</v>
      </c>
      <c r="M115" s="506">
        <f t="shared" si="14"/>
        <v>100000</v>
      </c>
      <c r="N115" s="506">
        <f t="shared" si="14"/>
        <v>100000</v>
      </c>
      <c r="O115" s="506">
        <f t="shared" si="14"/>
        <v>100000</v>
      </c>
      <c r="P115" s="506">
        <f t="shared" si="14"/>
        <v>100000</v>
      </c>
      <c r="Q115" s="506">
        <f t="shared" si="14"/>
        <v>100000</v>
      </c>
      <c r="R115" s="506">
        <f t="shared" si="14"/>
        <v>100000</v>
      </c>
      <c r="S115" s="506">
        <f t="shared" si="14"/>
        <v>100000</v>
      </c>
      <c r="T115" s="506">
        <f t="shared" si="14"/>
        <v>100000</v>
      </c>
      <c r="U115" s="506">
        <f t="shared" si="14"/>
        <v>100000</v>
      </c>
      <c r="V115" s="506">
        <f t="shared" si="14"/>
        <v>100000</v>
      </c>
      <c r="W115" s="506">
        <f t="shared" si="14"/>
        <v>100000</v>
      </c>
      <c r="X115" s="506">
        <f t="shared" si="14"/>
        <v>100000</v>
      </c>
    </row>
    <row r="116" spans="1:27">
      <c r="A116" s="278" t="s">
        <v>147</v>
      </c>
      <c r="D116" s="507">
        <f>SUM(D114:D115)</f>
        <v>0</v>
      </c>
      <c r="E116" s="508">
        <f>SUM(E111:E115)</f>
        <v>0</v>
      </c>
      <c r="F116" s="508">
        <f t="shared" ref="F116:X116" si="15">SUM(F111:F115)</f>
        <v>0</v>
      </c>
      <c r="G116" s="508">
        <f t="shared" si="15"/>
        <v>100000</v>
      </c>
      <c r="H116" s="508">
        <f t="shared" si="15"/>
        <v>100000</v>
      </c>
      <c r="I116" s="508">
        <f t="shared" si="15"/>
        <v>100000</v>
      </c>
      <c r="J116" s="508">
        <f t="shared" si="15"/>
        <v>100000</v>
      </c>
      <c r="K116" s="508">
        <f t="shared" si="15"/>
        <v>100000</v>
      </c>
      <c r="L116" s="508">
        <f t="shared" si="15"/>
        <v>100000</v>
      </c>
      <c r="M116" s="508">
        <f t="shared" si="15"/>
        <v>100000</v>
      </c>
      <c r="N116" s="508">
        <f t="shared" si="15"/>
        <v>100000</v>
      </c>
      <c r="O116" s="508">
        <f t="shared" si="15"/>
        <v>100000</v>
      </c>
      <c r="P116" s="508">
        <f t="shared" si="15"/>
        <v>100000</v>
      </c>
      <c r="Q116" s="508">
        <f t="shared" si="15"/>
        <v>100000</v>
      </c>
      <c r="R116" s="508">
        <f t="shared" si="15"/>
        <v>100000</v>
      </c>
      <c r="S116" s="508">
        <f t="shared" si="15"/>
        <v>100000</v>
      </c>
      <c r="T116" s="508">
        <f t="shared" si="15"/>
        <v>100000</v>
      </c>
      <c r="U116" s="508">
        <f t="shared" si="15"/>
        <v>100000</v>
      </c>
      <c r="V116" s="508">
        <f t="shared" si="15"/>
        <v>100000</v>
      </c>
      <c r="W116" s="508">
        <f t="shared" si="15"/>
        <v>100000</v>
      </c>
      <c r="X116" s="508">
        <f t="shared" si="15"/>
        <v>100000</v>
      </c>
    </row>
    <row r="117" spans="1:27">
      <c r="D117" s="507"/>
      <c r="E117" s="413"/>
      <c r="F117" s="413"/>
      <c r="G117" s="413"/>
      <c r="H117" s="413"/>
      <c r="I117" s="413"/>
      <c r="J117" s="413"/>
      <c r="K117" s="413"/>
      <c r="L117" s="413"/>
      <c r="M117" s="413"/>
      <c r="N117" s="413"/>
      <c r="O117" s="413"/>
      <c r="P117" s="413"/>
      <c r="Q117" s="413"/>
      <c r="R117" s="413"/>
      <c r="S117" s="413"/>
      <c r="T117" s="413"/>
      <c r="U117" s="413"/>
      <c r="V117" s="413"/>
      <c r="W117" s="413"/>
      <c r="X117" s="413"/>
    </row>
    <row r="118" spans="1:27">
      <c r="A118" s="88" t="s">
        <v>608</v>
      </c>
      <c r="D118" s="507">
        <f t="shared" ref="D118" si="16">SUM(D116:D117)</f>
        <v>0</v>
      </c>
      <c r="E118" s="413">
        <v>58025</v>
      </c>
      <c r="F118" s="413">
        <v>0</v>
      </c>
      <c r="G118" s="413">
        <v>0</v>
      </c>
      <c r="H118" s="413">
        <v>0</v>
      </c>
      <c r="I118" s="413">
        <v>0</v>
      </c>
      <c r="J118" s="413">
        <v>0</v>
      </c>
      <c r="K118" s="413">
        <v>0</v>
      </c>
      <c r="L118" s="413">
        <v>0</v>
      </c>
      <c r="M118" s="413">
        <v>0</v>
      </c>
      <c r="N118" s="413">
        <v>0</v>
      </c>
      <c r="O118" s="413">
        <v>0</v>
      </c>
      <c r="P118" s="413">
        <v>0</v>
      </c>
      <c r="Q118" s="413">
        <v>0</v>
      </c>
      <c r="R118" s="413">
        <v>0</v>
      </c>
      <c r="S118" s="413">
        <v>0</v>
      </c>
      <c r="T118" s="413">
        <v>0</v>
      </c>
      <c r="U118" s="413">
        <v>0</v>
      </c>
      <c r="V118" s="413">
        <v>0</v>
      </c>
      <c r="W118" s="413">
        <v>0</v>
      </c>
      <c r="X118" s="413">
        <v>0</v>
      </c>
    </row>
    <row r="119" spans="1:27">
      <c r="D119" s="507"/>
      <c r="E119" s="413"/>
      <c r="F119" s="413"/>
      <c r="G119" s="413"/>
      <c r="H119" s="413"/>
      <c r="I119" s="413"/>
      <c r="J119" s="413"/>
      <c r="K119" s="413"/>
      <c r="L119" s="413"/>
      <c r="M119" s="413"/>
      <c r="N119" s="413"/>
      <c r="O119" s="413"/>
      <c r="P119" s="413"/>
      <c r="Q119" s="413"/>
      <c r="R119" s="413"/>
      <c r="S119" s="413"/>
      <c r="T119" s="413"/>
      <c r="U119" s="413"/>
      <c r="V119" s="413"/>
      <c r="W119" s="413"/>
      <c r="X119" s="413"/>
    </row>
    <row r="120" spans="1:27" s="16" customFormat="1" ht="14.25">
      <c r="A120" s="295" t="s">
        <v>148</v>
      </c>
      <c r="B120" s="295"/>
      <c r="C120" s="295"/>
      <c r="D120" s="511">
        <f>SUM(D106,D116)</f>
        <v>0</v>
      </c>
      <c r="E120" s="511">
        <f>SUM(E106,E116,E118)</f>
        <v>219825</v>
      </c>
      <c r="F120" s="511">
        <f t="shared" ref="F120:X120" si="17">SUM(F106,F116,F118)</f>
        <v>1426952.7340580607</v>
      </c>
      <c r="G120" s="511">
        <f t="shared" si="17"/>
        <v>1600544.1887392218</v>
      </c>
      <c r="H120" s="511">
        <f t="shared" si="17"/>
        <v>1632335.0725140062</v>
      </c>
      <c r="I120" s="511">
        <f t="shared" si="17"/>
        <v>1664761.7739642865</v>
      </c>
      <c r="J120" s="511">
        <f t="shared" si="17"/>
        <v>1914774.8566657943</v>
      </c>
      <c r="K120" s="511">
        <f t="shared" si="17"/>
        <v>1948511.5968546655</v>
      </c>
      <c r="L120" s="511">
        <f t="shared" si="17"/>
        <v>1982923.0718473147</v>
      </c>
      <c r="M120" s="511">
        <f t="shared" si="17"/>
        <v>2018022.7763398169</v>
      </c>
      <c r="N120" s="511">
        <f t="shared" si="17"/>
        <v>2053824.4749221683</v>
      </c>
      <c r="O120" s="511">
        <f t="shared" si="17"/>
        <v>2145164.169281723</v>
      </c>
      <c r="P120" s="511">
        <f t="shared" si="17"/>
        <v>2182412.2564868024</v>
      </c>
      <c r="Q120" s="511">
        <f t="shared" si="17"/>
        <v>2220405.3054359821</v>
      </c>
      <c r="R120" s="511">
        <f t="shared" si="17"/>
        <v>2259158.2153641465</v>
      </c>
      <c r="S120" s="511">
        <f t="shared" si="17"/>
        <v>2298686.1834908738</v>
      </c>
      <c r="T120" s="511">
        <f t="shared" si="17"/>
        <v>2393926.672785691</v>
      </c>
      <c r="U120" s="511">
        <f t="shared" si="17"/>
        <v>2435051.5708247386</v>
      </c>
      <c r="V120" s="511">
        <f t="shared" si="17"/>
        <v>2476998.9668245665</v>
      </c>
      <c r="W120" s="511">
        <f t="shared" si="17"/>
        <v>2519785.3107443918</v>
      </c>
      <c r="X120" s="511">
        <f t="shared" si="17"/>
        <v>2563427.3815426128</v>
      </c>
      <c r="Y120" s="622">
        <f>SUM(D120:X120)</f>
        <v>39957491.578686863</v>
      </c>
      <c r="AA120" s="370">
        <f>(Y76+Y78)/Y120</f>
        <v>0.65554822604357832</v>
      </c>
    </row>
    <row r="121" spans="1:27">
      <c r="A121" s="30"/>
      <c r="B121" s="30"/>
      <c r="C121" s="30"/>
      <c r="D121" s="502"/>
      <c r="E121" s="512"/>
      <c r="F121" s="512"/>
      <c r="G121" s="512"/>
      <c r="H121" s="512"/>
      <c r="I121" s="512"/>
      <c r="J121" s="512"/>
      <c r="K121" s="512"/>
      <c r="L121" s="512"/>
      <c r="M121" s="512"/>
      <c r="N121" s="512"/>
      <c r="O121" s="512"/>
      <c r="P121" s="512"/>
      <c r="Q121" s="512"/>
      <c r="R121" s="512"/>
      <c r="S121" s="512"/>
      <c r="T121" s="512"/>
      <c r="U121" s="512"/>
      <c r="V121" s="512"/>
      <c r="W121" s="512"/>
      <c r="X121" s="512"/>
    </row>
    <row r="122" spans="1:27" s="33" customFormat="1">
      <c r="A122" s="47" t="s">
        <v>7</v>
      </c>
      <c r="B122" s="47" t="s">
        <v>7</v>
      </c>
      <c r="C122" s="78" t="s">
        <v>7</v>
      </c>
      <c r="D122" s="604" t="s">
        <v>7</v>
      </c>
      <c r="E122" s="78" t="s">
        <v>7</v>
      </c>
      <c r="F122" s="78" t="s">
        <v>7</v>
      </c>
      <c r="G122" s="78" t="s">
        <v>7</v>
      </c>
      <c r="H122" s="78" t="s">
        <v>7</v>
      </c>
      <c r="I122" s="78" t="s">
        <v>7</v>
      </c>
      <c r="J122" s="78" t="s">
        <v>7</v>
      </c>
      <c r="K122" s="78" t="s">
        <v>7</v>
      </c>
      <c r="L122" s="78" t="s">
        <v>7</v>
      </c>
      <c r="M122" s="78" t="s">
        <v>7</v>
      </c>
      <c r="N122" s="78" t="s">
        <v>7</v>
      </c>
      <c r="O122" s="78" t="s">
        <v>7</v>
      </c>
      <c r="P122" s="78" t="s">
        <v>7</v>
      </c>
      <c r="Q122" s="78" t="s">
        <v>7</v>
      </c>
      <c r="R122" s="78" t="s">
        <v>7</v>
      </c>
      <c r="S122" s="78" t="s">
        <v>7</v>
      </c>
      <c r="T122" s="78" t="s">
        <v>7</v>
      </c>
      <c r="U122" s="78" t="s">
        <v>7</v>
      </c>
      <c r="V122" s="78" t="s">
        <v>7</v>
      </c>
      <c r="W122" s="78" t="s">
        <v>7</v>
      </c>
      <c r="X122" s="78" t="s">
        <v>7</v>
      </c>
    </row>
    <row r="123" spans="1:27">
      <c r="A123" s="30"/>
      <c r="B123" s="30"/>
      <c r="C123" s="30"/>
      <c r="D123" s="502"/>
      <c r="E123" s="512"/>
      <c r="F123" s="512"/>
      <c r="G123" s="512"/>
      <c r="H123" s="512"/>
      <c r="I123" s="512"/>
      <c r="J123" s="512"/>
      <c r="K123" s="512"/>
      <c r="L123" s="512"/>
      <c r="M123" s="512"/>
      <c r="N123" s="512"/>
      <c r="O123" s="512"/>
      <c r="P123" s="512"/>
      <c r="Q123" s="512"/>
      <c r="R123" s="512"/>
      <c r="S123" s="512"/>
      <c r="T123" s="512"/>
      <c r="U123" s="512"/>
      <c r="V123" s="512"/>
      <c r="W123" s="512"/>
      <c r="X123" s="512"/>
    </row>
    <row r="124" spans="1:27">
      <c r="A124" s="269" t="s">
        <v>131</v>
      </c>
      <c r="B124" s="269"/>
      <c r="C124" s="270"/>
      <c r="D124" s="513"/>
      <c r="E124" s="513"/>
      <c r="F124" s="513"/>
      <c r="G124" s="513"/>
      <c r="H124" s="513"/>
      <c r="I124" s="513"/>
      <c r="J124" s="513"/>
      <c r="K124" s="513"/>
      <c r="L124" s="513"/>
      <c r="M124" s="513"/>
      <c r="N124" s="513"/>
      <c r="O124" s="513"/>
      <c r="P124" s="513"/>
      <c r="Q124" s="513"/>
      <c r="R124" s="513"/>
      <c r="S124" s="513"/>
      <c r="T124" s="513"/>
      <c r="U124" s="513"/>
      <c r="V124" s="513"/>
      <c r="W124" s="513"/>
      <c r="X124" s="513"/>
    </row>
    <row r="125" spans="1:27">
      <c r="A125" s="69"/>
      <c r="B125" s="69"/>
      <c r="C125" s="69"/>
      <c r="D125" s="502"/>
      <c r="E125" s="504"/>
      <c r="F125" s="504"/>
      <c r="G125" s="504"/>
      <c r="H125" s="504"/>
      <c r="I125" s="504"/>
      <c r="J125" s="504"/>
      <c r="K125" s="504"/>
      <c r="L125" s="504"/>
      <c r="M125" s="504"/>
      <c r="N125" s="504"/>
      <c r="O125" s="504"/>
      <c r="P125" s="504"/>
      <c r="Q125" s="504"/>
      <c r="R125" s="504"/>
      <c r="S125" s="504"/>
      <c r="T125" s="504"/>
      <c r="U125" s="504"/>
      <c r="V125" s="504"/>
      <c r="W125" s="504"/>
      <c r="X125" s="504"/>
    </row>
    <row r="126" spans="1:27" s="96" customFormat="1">
      <c r="A126" s="69" t="s">
        <v>13</v>
      </c>
      <c r="B126" s="69"/>
      <c r="C126" s="69"/>
      <c r="D126" s="514">
        <v>0</v>
      </c>
      <c r="E126" s="515">
        <f>'OPEX - Concept C1 - RCCL'!L79</f>
        <v>12250</v>
      </c>
      <c r="F126" s="515">
        <f>'OPEX - Concept C1 - RCCL'!M79</f>
        <v>150500</v>
      </c>
      <c r="G126" s="515">
        <f>'OPEX - Concept C1 - RCCL'!N79</f>
        <v>153510</v>
      </c>
      <c r="H126" s="515">
        <f>'OPEX - Concept C1 - RCCL'!O79</f>
        <v>156580.19999999998</v>
      </c>
      <c r="I126" s="515">
        <f>'OPEX - Concept C1 - RCCL'!P79</f>
        <v>159711.80399999997</v>
      </c>
      <c r="J126" s="515">
        <f>'OPEX - Concept C1 - RCCL'!Q79</f>
        <v>162906.04007999998</v>
      </c>
      <c r="K126" s="515">
        <f>'OPEX - Concept C1 - RCCL'!R79</f>
        <v>166164.16088159999</v>
      </c>
      <c r="L126" s="515">
        <f>'OPEX - Concept C1 - RCCL'!S79</f>
        <v>169487.444099232</v>
      </c>
      <c r="M126" s="515">
        <f>'OPEX - Concept C1 - RCCL'!T79</f>
        <v>172877.19298121665</v>
      </c>
      <c r="N126" s="515">
        <f>'OPEX - Concept C1 - RCCL'!U79</f>
        <v>176334.73684084098</v>
      </c>
      <c r="O126" s="515">
        <f>'OPEX - Concept C1 - RCCL'!V79</f>
        <v>179861.43157765782</v>
      </c>
      <c r="P126" s="515">
        <f>'OPEX - Concept C1 - RCCL'!W79</f>
        <v>183458.66020921097</v>
      </c>
      <c r="Q126" s="515">
        <f>'OPEX - Concept C1 - RCCL'!X79</f>
        <v>187127.83341339519</v>
      </c>
      <c r="R126" s="515">
        <f>'OPEX - Concept C1 - RCCL'!Y79</f>
        <v>190870.39008166309</v>
      </c>
      <c r="S126" s="515">
        <f>'OPEX - Concept C1 - RCCL'!Z79</f>
        <v>194687.79788329633</v>
      </c>
      <c r="T126" s="515">
        <f>'OPEX - Concept C1 - RCCL'!AA79</f>
        <v>198581.5538409623</v>
      </c>
      <c r="U126" s="515">
        <f>'OPEX - Concept C1 - RCCL'!AB79</f>
        <v>202553.18491778153</v>
      </c>
      <c r="V126" s="515">
        <f>'OPEX - Concept C1 - RCCL'!AC79</f>
        <v>206604.24861613716</v>
      </c>
      <c r="W126" s="515">
        <f>'OPEX - Concept C1 - RCCL'!AD79</f>
        <v>210736.33358845994</v>
      </c>
      <c r="X126" s="515">
        <f>'OPEX - Concept C1 - RCCL'!AE79</f>
        <v>214951.06026022913</v>
      </c>
    </row>
    <row r="127" spans="1:27" s="96" customFormat="1">
      <c r="A127" s="69" t="s">
        <v>41</v>
      </c>
      <c r="B127" s="69"/>
      <c r="C127" s="69"/>
      <c r="D127" s="514">
        <v>0</v>
      </c>
      <c r="E127" s="515">
        <f>'OPEX - Concept C1 - RCCL'!L87</f>
        <v>25000</v>
      </c>
      <c r="F127" s="515">
        <f>'OPEX - Concept C1 - RCCL'!M87</f>
        <v>25500</v>
      </c>
      <c r="G127" s="515">
        <f>'OPEX - Concept C1 - RCCL'!N87</f>
        <v>26010</v>
      </c>
      <c r="H127" s="515">
        <f>'OPEX - Concept C1 - RCCL'!O87</f>
        <v>26530.199999999997</v>
      </c>
      <c r="I127" s="515">
        <f>'OPEX - Concept C1 - RCCL'!P87</f>
        <v>27060.804</v>
      </c>
      <c r="J127" s="515">
        <f>'OPEX - Concept C1 - RCCL'!Q87</f>
        <v>27602.020080000002</v>
      </c>
      <c r="K127" s="515">
        <f>'OPEX - Concept C1 - RCCL'!R87</f>
        <v>28154.060481600001</v>
      </c>
      <c r="L127" s="515">
        <f>'OPEX - Concept C1 - RCCL'!S87</f>
        <v>28717.141691232002</v>
      </c>
      <c r="M127" s="515">
        <f>'OPEX - Concept C1 - RCCL'!T87</f>
        <v>29291.484525056643</v>
      </c>
      <c r="N127" s="515">
        <f>'OPEX - Concept C1 - RCCL'!U87</f>
        <v>29877.314215557777</v>
      </c>
      <c r="O127" s="515">
        <f>'OPEX - Concept C1 - RCCL'!V87</f>
        <v>30474.860499868933</v>
      </c>
      <c r="P127" s="515">
        <f>'OPEX - Concept C1 - RCCL'!W87</f>
        <v>31084.357709866312</v>
      </c>
      <c r="Q127" s="515">
        <f>'OPEX - Concept C1 - RCCL'!X87</f>
        <v>31706.044864063639</v>
      </c>
      <c r="R127" s="515">
        <f>'OPEX - Concept C1 - RCCL'!Y87</f>
        <v>32340.165761344906</v>
      </c>
      <c r="S127" s="515">
        <f>'OPEX - Concept C1 - RCCL'!Z87</f>
        <v>32986.969076571811</v>
      </c>
      <c r="T127" s="515">
        <f>'OPEX - Concept C1 - RCCL'!AA87</f>
        <v>33646.708458103247</v>
      </c>
      <c r="U127" s="515">
        <f>'OPEX - Concept C1 - RCCL'!AB87</f>
        <v>34319.642627265312</v>
      </c>
      <c r="V127" s="515">
        <f>'OPEX - Concept C1 - RCCL'!AC87</f>
        <v>35006.03547981062</v>
      </c>
      <c r="W127" s="515">
        <f>'OPEX - Concept C1 - RCCL'!AD87</f>
        <v>35706.156189406836</v>
      </c>
      <c r="X127" s="515">
        <f>'OPEX - Concept C1 - RCCL'!AE87</f>
        <v>36420.279313194973</v>
      </c>
    </row>
    <row r="128" spans="1:27" s="96" customFormat="1">
      <c r="A128" s="69" t="s">
        <v>424</v>
      </c>
      <c r="B128" s="69"/>
      <c r="C128" s="69"/>
      <c r="D128" s="514">
        <v>0</v>
      </c>
      <c r="E128" s="515">
        <f>'OPEX - Concept C1 - RCCL'!L88</f>
        <v>10000</v>
      </c>
      <c r="F128" s="515">
        <f>'OPEX - Concept C1 - RCCL'!M88</f>
        <v>500</v>
      </c>
      <c r="G128" s="515">
        <f>'OPEX - Concept C1 - RCCL'!N88</f>
        <v>520.20000000000005</v>
      </c>
      <c r="H128" s="515">
        <f>'OPEX - Concept C1 - RCCL'!O88</f>
        <v>530.60399999999993</v>
      </c>
      <c r="I128" s="515">
        <f>'OPEX - Concept C1 - RCCL'!P88</f>
        <v>541.21608000000003</v>
      </c>
      <c r="J128" s="515">
        <f>'OPEX - Concept C1 - RCCL'!Q88</f>
        <v>5000</v>
      </c>
      <c r="K128" s="515">
        <f>'OPEX - Concept C1 - RCCL'!R88</f>
        <v>563.08120963200008</v>
      </c>
      <c r="L128" s="515">
        <f>'OPEX - Concept C1 - RCCL'!S88</f>
        <v>574.34283382464002</v>
      </c>
      <c r="M128" s="515">
        <f>'OPEX - Concept C1 - RCCL'!T88</f>
        <v>585.82969050113286</v>
      </c>
      <c r="N128" s="515">
        <f>'OPEX - Concept C1 - RCCL'!U88</f>
        <v>597.54628431115555</v>
      </c>
      <c r="O128" s="515">
        <f>'OPEX - Concept C1 - RCCL'!V88</f>
        <v>5000</v>
      </c>
      <c r="P128" s="515">
        <f>'OPEX - Concept C1 - RCCL'!W88</f>
        <v>621.68715419732621</v>
      </c>
      <c r="Q128" s="515">
        <f>'OPEX - Concept C1 - RCCL'!X88</f>
        <v>634.12089728127273</v>
      </c>
      <c r="R128" s="515">
        <f>'OPEX - Concept C1 - RCCL'!Y88</f>
        <v>646.80331522689812</v>
      </c>
      <c r="S128" s="515">
        <f>'OPEX - Concept C1 - RCCL'!Z88</f>
        <v>659.73938153143615</v>
      </c>
      <c r="T128" s="515">
        <f>'OPEX - Concept C1 - RCCL'!AA88</f>
        <v>5000</v>
      </c>
      <c r="U128" s="515">
        <f>'OPEX - Concept C1 - RCCL'!AB88</f>
        <v>686.39285254530625</v>
      </c>
      <c r="V128" s="515">
        <f>'OPEX - Concept C1 - RCCL'!AC88</f>
        <v>700.12070959621246</v>
      </c>
      <c r="W128" s="515">
        <f>'OPEX - Concept C1 - RCCL'!AD88</f>
        <v>714.1231237881367</v>
      </c>
      <c r="X128" s="515">
        <f>'OPEX - Concept C1 - RCCL'!AE88</f>
        <v>728.40558626389941</v>
      </c>
    </row>
    <row r="129" spans="1:24" s="96" customFormat="1">
      <c r="A129" s="69" t="s">
        <v>42</v>
      </c>
      <c r="B129" s="69"/>
      <c r="C129" s="69"/>
      <c r="D129" s="514">
        <v>0</v>
      </c>
      <c r="E129" s="515">
        <f>'OPEX - Concept C1 - RCCL'!L89</f>
        <v>50000</v>
      </c>
      <c r="F129" s="515">
        <f>'OPEX - Concept C1 - RCCL'!M89</f>
        <v>51000</v>
      </c>
      <c r="G129" s="515">
        <f>'OPEX - Concept C1 - RCCL'!N89</f>
        <v>52020</v>
      </c>
      <c r="H129" s="515">
        <f>'OPEX - Concept C1 - RCCL'!O89</f>
        <v>53060.399999999994</v>
      </c>
      <c r="I129" s="515">
        <f>'OPEX - Concept C1 - RCCL'!P89</f>
        <v>54121.608</v>
      </c>
      <c r="J129" s="515">
        <f>'OPEX - Concept C1 - RCCL'!Q89</f>
        <v>55204.040160000004</v>
      </c>
      <c r="K129" s="515">
        <f>'OPEX - Concept C1 - RCCL'!R89</f>
        <v>56308.120963200003</v>
      </c>
      <c r="L129" s="515">
        <f>'OPEX - Concept C1 - RCCL'!S89</f>
        <v>57434.283382464004</v>
      </c>
      <c r="M129" s="515">
        <f>'OPEX - Concept C1 - RCCL'!T89</f>
        <v>58582.969050113286</v>
      </c>
      <c r="N129" s="515">
        <f>'OPEX - Concept C1 - RCCL'!U89</f>
        <v>59754.628431115554</v>
      </c>
      <c r="O129" s="515">
        <f>'OPEX - Concept C1 - RCCL'!V89</f>
        <v>60949.720999737867</v>
      </c>
      <c r="P129" s="515">
        <f>'OPEX - Concept C1 - RCCL'!W89</f>
        <v>62168.715419732624</v>
      </c>
      <c r="Q129" s="515">
        <f>'OPEX - Concept C1 - RCCL'!X89</f>
        <v>63412.089728127277</v>
      </c>
      <c r="R129" s="515">
        <f>'OPEX - Concept C1 - RCCL'!Y89</f>
        <v>64680.331522689812</v>
      </c>
      <c r="S129" s="515">
        <f>'OPEX - Concept C1 - RCCL'!Z89</f>
        <v>65973.938153143623</v>
      </c>
      <c r="T129" s="515">
        <f>'OPEX - Concept C1 - RCCL'!AA89</f>
        <v>67293.416916206494</v>
      </c>
      <c r="U129" s="515">
        <f>'OPEX - Concept C1 - RCCL'!AB89</f>
        <v>68639.285254530623</v>
      </c>
      <c r="V129" s="515">
        <f>'OPEX - Concept C1 - RCCL'!AC89</f>
        <v>70012.07095962124</v>
      </c>
      <c r="W129" s="515">
        <f>'OPEX - Concept C1 - RCCL'!AD89</f>
        <v>71412.312378813673</v>
      </c>
      <c r="X129" s="515">
        <f>'OPEX - Concept C1 - RCCL'!AE89</f>
        <v>72840.558626389946</v>
      </c>
    </row>
    <row r="130" spans="1:24" s="96" customFormat="1">
      <c r="A130" s="69" t="s">
        <v>43</v>
      </c>
      <c r="B130" s="69"/>
      <c r="C130" s="69"/>
      <c r="D130" s="514">
        <v>0</v>
      </c>
      <c r="E130" s="515">
        <f>'OPEX - Concept C1 - RCCL'!L90</f>
        <v>500</v>
      </c>
      <c r="F130" s="515">
        <f>'OPEX - Concept C1 - RCCL'!M90</f>
        <v>1530</v>
      </c>
      <c r="G130" s="515">
        <f>'OPEX - Concept C1 - RCCL'!N90</f>
        <v>1560.6</v>
      </c>
      <c r="H130" s="515">
        <f>'OPEX - Concept C1 - RCCL'!O90</f>
        <v>1591.8119999999999</v>
      </c>
      <c r="I130" s="515">
        <f>'OPEX - Concept C1 - RCCL'!P90</f>
        <v>1623.64824</v>
      </c>
      <c r="J130" s="515">
        <f>'OPEX - Concept C1 - RCCL'!Q90</f>
        <v>1656.1212048</v>
      </c>
      <c r="K130" s="515">
        <f>'OPEX - Concept C1 - RCCL'!R90</f>
        <v>1689.243628896</v>
      </c>
      <c r="L130" s="515">
        <f>'OPEX - Concept C1 - RCCL'!S90</f>
        <v>1723.02850147392</v>
      </c>
      <c r="M130" s="515">
        <f>'OPEX - Concept C1 - RCCL'!T90</f>
        <v>1757.4890715033987</v>
      </c>
      <c r="N130" s="515">
        <f>'OPEX - Concept C1 - RCCL'!U90</f>
        <v>1792.6388529334665</v>
      </c>
      <c r="O130" s="515">
        <f>'OPEX - Concept C1 - RCCL'!V90</f>
        <v>1828.491629992136</v>
      </c>
      <c r="P130" s="515">
        <f>'OPEX - Concept C1 - RCCL'!W90</f>
        <v>1865.0614625919786</v>
      </c>
      <c r="Q130" s="515">
        <f>'OPEX - Concept C1 - RCCL'!X90</f>
        <v>1902.3626918438183</v>
      </c>
      <c r="R130" s="515">
        <f>'OPEX - Concept C1 - RCCL'!Y90</f>
        <v>1940.4099456806944</v>
      </c>
      <c r="S130" s="515">
        <f>'OPEX - Concept C1 - RCCL'!Z90</f>
        <v>1979.2181445943086</v>
      </c>
      <c r="T130" s="515">
        <f>'OPEX - Concept C1 - RCCL'!AA90</f>
        <v>2018.8025074861948</v>
      </c>
      <c r="U130" s="515">
        <f>'OPEX - Concept C1 - RCCL'!AB90</f>
        <v>2059.1785576359189</v>
      </c>
      <c r="V130" s="515">
        <f>'OPEX - Concept C1 - RCCL'!AC90</f>
        <v>2100.3621287886372</v>
      </c>
      <c r="W130" s="515">
        <f>'OPEX - Concept C1 - RCCL'!AD90</f>
        <v>2142.3693713644102</v>
      </c>
      <c r="X130" s="515">
        <f>'OPEX - Concept C1 - RCCL'!AE90</f>
        <v>2185.2167587916983</v>
      </c>
    </row>
    <row r="131" spans="1:24" s="96" customFormat="1">
      <c r="A131" s="69" t="s">
        <v>44</v>
      </c>
      <c r="B131" s="69"/>
      <c r="C131" s="69"/>
      <c r="D131" s="514">
        <v>0</v>
      </c>
      <c r="E131" s="515">
        <f>'OPEX - Concept C1 - RCCL'!L91</f>
        <v>250</v>
      </c>
      <c r="F131" s="515">
        <f>'OPEX - Concept C1 - RCCL'!M91</f>
        <v>765</v>
      </c>
      <c r="G131" s="515">
        <f>'OPEX - Concept C1 - RCCL'!N91</f>
        <v>780.3</v>
      </c>
      <c r="H131" s="515">
        <f>'OPEX - Concept C1 - RCCL'!O91</f>
        <v>795.90599999999995</v>
      </c>
      <c r="I131" s="515">
        <f>'OPEX - Concept C1 - RCCL'!P91</f>
        <v>811.82411999999999</v>
      </c>
      <c r="J131" s="515">
        <f>'OPEX - Concept C1 - RCCL'!Q91</f>
        <v>828.06060239999999</v>
      </c>
      <c r="K131" s="515">
        <f>'OPEX - Concept C1 - RCCL'!R91</f>
        <v>844.62181444800001</v>
      </c>
      <c r="L131" s="515">
        <f>'OPEX - Concept C1 - RCCL'!S91</f>
        <v>861.51425073695998</v>
      </c>
      <c r="M131" s="515">
        <f>'OPEX - Concept C1 - RCCL'!T91</f>
        <v>878.74453575169935</v>
      </c>
      <c r="N131" s="515">
        <f>'OPEX - Concept C1 - RCCL'!U91</f>
        <v>896.31942646673326</v>
      </c>
      <c r="O131" s="515">
        <f>'OPEX - Concept C1 - RCCL'!V91</f>
        <v>914.24581499606802</v>
      </c>
      <c r="P131" s="515">
        <f>'OPEX - Concept C1 - RCCL'!W91</f>
        <v>932.53073129598931</v>
      </c>
      <c r="Q131" s="515">
        <f>'OPEX - Concept C1 - RCCL'!X91</f>
        <v>951.18134592190916</v>
      </c>
      <c r="R131" s="515">
        <f>'OPEX - Concept C1 - RCCL'!Y91</f>
        <v>970.20497284034718</v>
      </c>
      <c r="S131" s="515">
        <f>'OPEX - Concept C1 - RCCL'!Z91</f>
        <v>989.60907229715428</v>
      </c>
      <c r="T131" s="515">
        <f>'OPEX - Concept C1 - RCCL'!AA91</f>
        <v>1009.4012537430974</v>
      </c>
      <c r="U131" s="515">
        <f>'OPEX - Concept C1 - RCCL'!AB91</f>
        <v>1029.5892788179594</v>
      </c>
      <c r="V131" s="515">
        <f>'OPEX - Concept C1 - RCCL'!AC91</f>
        <v>1050.1810643943186</v>
      </c>
      <c r="W131" s="515">
        <f>'OPEX - Concept C1 - RCCL'!AD91</f>
        <v>1071.1846856822051</v>
      </c>
      <c r="X131" s="515">
        <f>'OPEX - Concept C1 - RCCL'!AE91</f>
        <v>1092.6083793958492</v>
      </c>
    </row>
    <row r="132" spans="1:24" s="96" customFormat="1">
      <c r="A132" s="69" t="s">
        <v>2</v>
      </c>
      <c r="B132" s="69"/>
      <c r="C132" s="69"/>
      <c r="D132" s="514">
        <v>0</v>
      </c>
      <c r="E132" s="515">
        <f>'OPEX - Concept C1 - RCCL'!L92</f>
        <v>1000</v>
      </c>
      <c r="F132" s="515">
        <f>'OPEX - Concept C1 - RCCL'!M92</f>
        <v>1020</v>
      </c>
      <c r="G132" s="515">
        <f>'OPEX - Concept C1 - RCCL'!N92</f>
        <v>1040.4000000000001</v>
      </c>
      <c r="H132" s="515">
        <f>'OPEX - Concept C1 - RCCL'!O92</f>
        <v>1061.2079999999999</v>
      </c>
      <c r="I132" s="515">
        <f>'OPEX - Concept C1 - RCCL'!P92</f>
        <v>1082.4321600000001</v>
      </c>
      <c r="J132" s="515">
        <f>'OPEX - Concept C1 - RCCL'!Q92</f>
        <v>1104.0808032</v>
      </c>
      <c r="K132" s="515">
        <f>'OPEX - Concept C1 - RCCL'!R92</f>
        <v>1126.1624192640002</v>
      </c>
      <c r="L132" s="515">
        <f>'OPEX - Concept C1 - RCCL'!S92</f>
        <v>1148.68566764928</v>
      </c>
      <c r="M132" s="515">
        <f>'OPEX - Concept C1 - RCCL'!T92</f>
        <v>1171.6593810022657</v>
      </c>
      <c r="N132" s="515">
        <f>'OPEX - Concept C1 - RCCL'!U92</f>
        <v>1195.0925686223111</v>
      </c>
      <c r="O132" s="515">
        <f>'OPEX - Concept C1 - RCCL'!V92</f>
        <v>1218.9944199947574</v>
      </c>
      <c r="P132" s="515">
        <f>'OPEX - Concept C1 - RCCL'!W92</f>
        <v>1243.3743083946524</v>
      </c>
      <c r="Q132" s="515">
        <f>'OPEX - Concept C1 - RCCL'!X92</f>
        <v>1268.2417945625455</v>
      </c>
      <c r="R132" s="515">
        <f>'OPEX - Concept C1 - RCCL'!Y92</f>
        <v>1293.6066304537962</v>
      </c>
      <c r="S132" s="515">
        <f>'OPEX - Concept C1 - RCCL'!Z92</f>
        <v>1319.4787630628723</v>
      </c>
      <c r="T132" s="515">
        <f>'OPEX - Concept C1 - RCCL'!AA92</f>
        <v>1345.8683383241298</v>
      </c>
      <c r="U132" s="515">
        <f>'OPEX - Concept C1 - RCCL'!AB92</f>
        <v>1372.7857050906125</v>
      </c>
      <c r="V132" s="515">
        <f>'OPEX - Concept C1 - RCCL'!AC92</f>
        <v>1400.2414191924249</v>
      </c>
      <c r="W132" s="515">
        <f>'OPEX - Concept C1 - RCCL'!AD92</f>
        <v>1428.2462475762734</v>
      </c>
      <c r="X132" s="515">
        <f>'OPEX - Concept C1 - RCCL'!AE92</f>
        <v>1456.8111725277988</v>
      </c>
    </row>
    <row r="133" spans="1:24" s="167" customFormat="1">
      <c r="A133" s="591"/>
      <c r="B133" s="591"/>
      <c r="C133" s="591"/>
      <c r="D133" s="592"/>
      <c r="E133" s="593"/>
      <c r="F133" s="593"/>
      <c r="G133" s="593"/>
      <c r="H133" s="593"/>
      <c r="I133" s="593"/>
      <c r="J133" s="593"/>
      <c r="K133" s="593"/>
      <c r="L133" s="593"/>
      <c r="M133" s="593"/>
      <c r="N133" s="593"/>
      <c r="O133" s="593"/>
      <c r="P133" s="593"/>
      <c r="Q133" s="593"/>
      <c r="R133" s="593"/>
      <c r="S133" s="593"/>
      <c r="T133" s="593"/>
      <c r="U133" s="593"/>
      <c r="V133" s="593"/>
      <c r="W133" s="593"/>
      <c r="X133" s="593"/>
    </row>
    <row r="134" spans="1:24" s="96" customFormat="1">
      <c r="A134" s="1012" t="s">
        <v>25</v>
      </c>
      <c r="B134" s="69"/>
      <c r="C134" s="69"/>
      <c r="D134" s="514">
        <v>0</v>
      </c>
      <c r="E134" s="515">
        <f>'OPEX - Concept C1 - RCCL'!L108</f>
        <v>34183.333333333328</v>
      </c>
      <c r="F134" s="515">
        <f>'OPEX - Concept C1 - RCCL'!M108</f>
        <v>34867</v>
      </c>
      <c r="G134" s="515">
        <f>'OPEX - Concept C1 - RCCL'!N108</f>
        <v>35564.339999999997</v>
      </c>
      <c r="H134" s="515">
        <f>'OPEX - Concept C1 - RCCL'!O108</f>
        <v>36275.626799999998</v>
      </c>
      <c r="I134" s="515">
        <f>'OPEX - Concept C1 - RCCL'!P108</f>
        <v>37001.139335999993</v>
      </c>
      <c r="J134" s="515">
        <f>'OPEX - Concept C1 - RCCL'!Q108</f>
        <v>37741.162122720001</v>
      </c>
      <c r="K134" s="515">
        <f>'OPEX - Concept C1 - RCCL'!R108</f>
        <v>38495.985365174398</v>
      </c>
      <c r="L134" s="515">
        <f>'OPEX - Concept C1 - RCCL'!S108</f>
        <v>39265.905072477886</v>
      </c>
      <c r="M134" s="515">
        <f>'OPEX - Concept C1 - RCCL'!T108</f>
        <v>40051.22317392745</v>
      </c>
      <c r="N134" s="515">
        <f>'OPEX - Concept C1 - RCCL'!U108</f>
        <v>40852.247637405999</v>
      </c>
      <c r="O134" s="515">
        <f>'OPEX - Concept C1 - RCCL'!V108</f>
        <v>41669.292590154117</v>
      </c>
      <c r="P134" s="515">
        <f>'OPEX - Concept C1 - RCCL'!W108</f>
        <v>42502.6784419572</v>
      </c>
      <c r="Q134" s="515">
        <f>'OPEX - Concept C1 - RCCL'!X108</f>
        <v>43352.732010796346</v>
      </c>
      <c r="R134" s="515">
        <f>'OPEX - Concept C1 - RCCL'!Y108</f>
        <v>44219.786651012269</v>
      </c>
      <c r="S134" s="515">
        <f>'OPEX - Concept C1 - RCCL'!Z108</f>
        <v>45104.182384032523</v>
      </c>
      <c r="T134" s="515">
        <f>'OPEX - Concept C1 - RCCL'!AA108</f>
        <v>46006.266031713167</v>
      </c>
      <c r="U134" s="515">
        <f>'OPEX - Concept C1 - RCCL'!AB108</f>
        <v>46926.39135234744</v>
      </c>
      <c r="V134" s="515">
        <f>'OPEX - Concept C1 - RCCL'!AC108</f>
        <v>47864.91917939439</v>
      </c>
      <c r="W134" s="515">
        <f>'OPEX - Concept C1 - RCCL'!AD108</f>
        <v>48822.217562982281</v>
      </c>
      <c r="X134" s="515">
        <f>'OPEX - Concept C1 - RCCL'!AE108</f>
        <v>49798.661914241922</v>
      </c>
    </row>
    <row r="135" spans="1:24" s="96" customFormat="1">
      <c r="A135" s="782" t="s">
        <v>426</v>
      </c>
      <c r="B135" s="69"/>
      <c r="C135" s="69"/>
      <c r="D135" s="514">
        <v>0</v>
      </c>
      <c r="E135" s="515">
        <f>'OPEX - Concept C1 - RCCL'!L96</f>
        <v>1000</v>
      </c>
      <c r="F135" s="515">
        <f>'OPEX - Concept C1 - RCCL'!M96</f>
        <v>1020</v>
      </c>
      <c r="G135" s="515">
        <f>'OPEX - Concept C1 - RCCL'!N96</f>
        <v>1040.4000000000001</v>
      </c>
      <c r="H135" s="515">
        <f>'OPEX - Concept C1 - RCCL'!O96</f>
        <v>1061.2079999999999</v>
      </c>
      <c r="I135" s="515">
        <f>'OPEX - Concept C1 - RCCL'!P96</f>
        <v>1082.4321600000001</v>
      </c>
      <c r="J135" s="515">
        <f>'OPEX - Concept C1 - RCCL'!Q96</f>
        <v>25000</v>
      </c>
      <c r="K135" s="515">
        <f>'OPEX - Concept C1 - RCCL'!R96</f>
        <v>25500</v>
      </c>
      <c r="L135" s="515">
        <f>'OPEX - Concept C1 - RCCL'!S96</f>
        <v>26010</v>
      </c>
      <c r="M135" s="515">
        <f>'OPEX - Concept C1 - RCCL'!T96</f>
        <v>26530.199999999997</v>
      </c>
      <c r="N135" s="515">
        <f>'OPEX - Concept C1 - RCCL'!U96</f>
        <v>27060.804</v>
      </c>
      <c r="O135" s="515">
        <f>'OPEX - Concept C1 - RCCL'!V96</f>
        <v>27602.020080000002</v>
      </c>
      <c r="P135" s="515">
        <f>'OPEX - Concept C1 - RCCL'!W96</f>
        <v>28154.060481600001</v>
      </c>
      <c r="Q135" s="515">
        <f>'OPEX - Concept C1 - RCCL'!X96</f>
        <v>28717.141691232002</v>
      </c>
      <c r="R135" s="515">
        <f>'OPEX - Concept C1 - RCCL'!Y96</f>
        <v>29291.484525056643</v>
      </c>
      <c r="S135" s="515">
        <f>'OPEX - Concept C1 - RCCL'!Z96</f>
        <v>29877.314215557777</v>
      </c>
      <c r="T135" s="515">
        <f>'OPEX - Concept C1 - RCCL'!AA96</f>
        <v>30474.860499868933</v>
      </c>
      <c r="U135" s="515">
        <f>'OPEX - Concept C1 - RCCL'!AB96</f>
        <v>31084.357709866312</v>
      </c>
      <c r="V135" s="515">
        <f>'OPEX - Concept C1 - RCCL'!AC96</f>
        <v>31706.044864063639</v>
      </c>
      <c r="W135" s="515">
        <f>'OPEX - Concept C1 - RCCL'!AD96</f>
        <v>32340.165761344906</v>
      </c>
      <c r="X135" s="515">
        <f>'OPEX - Concept C1 - RCCL'!AE96</f>
        <v>32986.969076571811</v>
      </c>
    </row>
    <row r="136" spans="1:24" s="96" customFormat="1">
      <c r="A136" s="644" t="s">
        <v>302</v>
      </c>
      <c r="B136" s="69"/>
      <c r="C136" s="69"/>
      <c r="D136" s="514">
        <v>0</v>
      </c>
      <c r="E136" s="515">
        <f>'Shuttle Projections'!C39/2</f>
        <v>233675</v>
      </c>
      <c r="F136" s="515">
        <f>'Shuttle Projections'!D39</f>
        <v>476697</v>
      </c>
      <c r="G136" s="515">
        <f>'Shuttle Projections'!E39</f>
        <v>486230.94000000006</v>
      </c>
      <c r="H136" s="515">
        <f>'Shuttle Projections'!F39</f>
        <v>495955.55879999994</v>
      </c>
      <c r="I136" s="515">
        <f>'Shuttle Projections'!G39</f>
        <v>505874.66997599998</v>
      </c>
      <c r="J136" s="515">
        <f>'Shuttle Projections'!H39</f>
        <v>515992.16337552003</v>
      </c>
      <c r="K136" s="515">
        <f>'Shuttle Projections'!I39</f>
        <v>526312.00664303044</v>
      </c>
      <c r="L136" s="515">
        <f>'Shuttle Projections'!J39</f>
        <v>536838.24677589093</v>
      </c>
      <c r="M136" s="515">
        <f>'Shuttle Projections'!K39</f>
        <v>547575.01171140897</v>
      </c>
      <c r="N136" s="515">
        <f>'Shuttle Projections'!L39</f>
        <v>558526.51194563706</v>
      </c>
      <c r="O136" s="515">
        <f>'Shuttle Projections'!M39</f>
        <v>569697.04218454985</v>
      </c>
      <c r="P136" s="515">
        <f>'Shuttle Projections'!N39</f>
        <v>581090.98302824085</v>
      </c>
      <c r="Q136" s="515">
        <f>'Shuttle Projections'!O39</f>
        <v>592712.80268880562</v>
      </c>
      <c r="R136" s="515">
        <f>'Shuttle Projections'!P39</f>
        <v>604567.05874258175</v>
      </c>
      <c r="S136" s="515">
        <f>'Shuttle Projections'!Q39</f>
        <v>616658.39991743339</v>
      </c>
      <c r="T136" s="515">
        <f>'Shuttle Projections'!R39</f>
        <v>628991.5679157821</v>
      </c>
      <c r="U136" s="515">
        <f>'Shuttle Projections'!S39</f>
        <v>641571.39927409776</v>
      </c>
      <c r="V136" s="515">
        <f>'Shuttle Projections'!T39</f>
        <v>654402.82725957979</v>
      </c>
      <c r="W136" s="515">
        <f>'Shuttle Projections'!U39</f>
        <v>667490.88380477135</v>
      </c>
      <c r="X136" s="515">
        <f>'Shuttle Projections'!V39</f>
        <v>680840.70148086676</v>
      </c>
    </row>
    <row r="137" spans="1:24" s="16" customFormat="1" ht="14.25">
      <c r="A137" s="282" t="s">
        <v>132</v>
      </c>
      <c r="B137" s="276"/>
      <c r="C137" s="276"/>
      <c r="D137" s="516">
        <f>SUM(D125:D136)</f>
        <v>0</v>
      </c>
      <c r="E137" s="517">
        <f t="shared" ref="E137:X137" si="18">SUM(E126:E136)</f>
        <v>367858.33333333331</v>
      </c>
      <c r="F137" s="517">
        <f t="shared" si="18"/>
        <v>743399</v>
      </c>
      <c r="G137" s="517">
        <f t="shared" si="18"/>
        <v>758277.18</v>
      </c>
      <c r="H137" s="517">
        <f t="shared" si="18"/>
        <v>773442.72359999991</v>
      </c>
      <c r="I137" s="517">
        <f t="shared" si="18"/>
        <v>788911.57807200006</v>
      </c>
      <c r="J137" s="517">
        <f t="shared" si="18"/>
        <v>833033.68842864002</v>
      </c>
      <c r="K137" s="517">
        <f t="shared" si="18"/>
        <v>845157.44340684474</v>
      </c>
      <c r="L137" s="517">
        <f t="shared" si="18"/>
        <v>862060.59227498155</v>
      </c>
      <c r="M137" s="517">
        <f t="shared" si="18"/>
        <v>879301.80412048148</v>
      </c>
      <c r="N137" s="517">
        <f t="shared" si="18"/>
        <v>896887.84020289104</v>
      </c>
      <c r="O137" s="517">
        <f t="shared" si="18"/>
        <v>919216.09979695152</v>
      </c>
      <c r="P137" s="517">
        <f t="shared" si="18"/>
        <v>933122.10894708801</v>
      </c>
      <c r="Q137" s="517">
        <f t="shared" si="18"/>
        <v>951784.55112602958</v>
      </c>
      <c r="R137" s="517">
        <f t="shared" si="18"/>
        <v>970820.24214855011</v>
      </c>
      <c r="S137" s="517">
        <f t="shared" si="18"/>
        <v>990236.64699152112</v>
      </c>
      <c r="T137" s="517">
        <f t="shared" si="18"/>
        <v>1014368.4457621896</v>
      </c>
      <c r="U137" s="517">
        <f t="shared" si="18"/>
        <v>1030242.2075299788</v>
      </c>
      <c r="V137" s="517">
        <f t="shared" si="18"/>
        <v>1050847.0516805784</v>
      </c>
      <c r="W137" s="517">
        <f t="shared" si="18"/>
        <v>1071863.9927141899</v>
      </c>
      <c r="X137" s="517">
        <f t="shared" si="18"/>
        <v>1093301.2725684738</v>
      </c>
    </row>
    <row r="138" spans="1:24">
      <c r="A138" s="92"/>
      <c r="B138" s="69"/>
      <c r="C138" s="69"/>
      <c r="D138" s="514"/>
      <c r="E138" s="515"/>
      <c r="F138" s="515"/>
      <c r="G138" s="515"/>
      <c r="H138" s="515"/>
      <c r="I138" s="515"/>
      <c r="J138" s="515"/>
      <c r="K138" s="515"/>
      <c r="L138" s="515"/>
      <c r="M138" s="515"/>
      <c r="N138" s="515"/>
      <c r="O138" s="515"/>
      <c r="P138" s="515"/>
      <c r="Q138" s="515"/>
      <c r="R138" s="515"/>
      <c r="S138" s="515"/>
      <c r="T138" s="515"/>
      <c r="U138" s="515"/>
      <c r="V138" s="515"/>
      <c r="W138" s="515"/>
      <c r="X138" s="515"/>
    </row>
    <row r="139" spans="1:24">
      <c r="A139" s="269" t="s">
        <v>85</v>
      </c>
      <c r="B139" s="269"/>
      <c r="C139" s="270"/>
      <c r="D139" s="513"/>
      <c r="E139" s="513"/>
      <c r="F139" s="513"/>
      <c r="G139" s="513"/>
      <c r="H139" s="513"/>
      <c r="I139" s="513"/>
      <c r="J139" s="513"/>
      <c r="K139" s="513"/>
      <c r="L139" s="513"/>
      <c r="M139" s="513"/>
      <c r="N139" s="513"/>
      <c r="O139" s="513"/>
      <c r="P139" s="513"/>
      <c r="Q139" s="513"/>
      <c r="R139" s="513"/>
      <c r="S139" s="513"/>
      <c r="T139" s="513"/>
      <c r="U139" s="513"/>
      <c r="V139" s="513"/>
      <c r="W139" s="513"/>
      <c r="X139" s="513"/>
    </row>
    <row r="140" spans="1:24" s="368" customFormat="1">
      <c r="A140" s="263"/>
      <c r="B140" s="263"/>
      <c r="C140" s="367"/>
      <c r="D140" s="514"/>
      <c r="E140" s="515"/>
      <c r="F140" s="515"/>
      <c r="G140" s="515"/>
      <c r="H140" s="515"/>
      <c r="I140" s="515"/>
      <c r="J140" s="515"/>
      <c r="K140" s="515"/>
      <c r="L140" s="515"/>
      <c r="M140" s="515"/>
      <c r="N140" s="515"/>
      <c r="O140" s="515"/>
      <c r="P140" s="515"/>
      <c r="Q140" s="515"/>
      <c r="R140" s="515"/>
      <c r="S140" s="515"/>
      <c r="T140" s="515"/>
      <c r="U140" s="515"/>
      <c r="V140" s="515"/>
      <c r="W140" s="515"/>
      <c r="X140" s="515"/>
    </row>
    <row r="141" spans="1:24" s="58" customFormat="1">
      <c r="A141" s="69" t="s">
        <v>0</v>
      </c>
      <c r="B141" s="263"/>
      <c r="C141" s="783"/>
      <c r="D141" s="514">
        <v>0</v>
      </c>
      <c r="E141" s="515">
        <f>'OPEX - Concept C1 - RCCL'!L131</f>
        <v>0</v>
      </c>
      <c r="F141" s="515">
        <f>'OPEX - Concept C1 - RCCL'!M131</f>
        <v>54570</v>
      </c>
      <c r="G141" s="515">
        <f>'OPEX - Concept C1 - RCCL'!N131</f>
        <v>56774.628000000004</v>
      </c>
      <c r="H141" s="515">
        <f>'OPEX - Concept C1 - RCCL'!O131</f>
        <v>57910.120559999996</v>
      </c>
      <c r="I141" s="515">
        <f>'OPEX - Concept C1 - RCCL'!P131</f>
        <v>59068.322971199988</v>
      </c>
      <c r="J141" s="515">
        <f>'OPEX - Concept C1 - RCCL'!Q131</f>
        <v>60249.689430623999</v>
      </c>
      <c r="K141" s="515">
        <f>'OPEX - Concept C1 - RCCL'!R131</f>
        <v>61454.683219236475</v>
      </c>
      <c r="L141" s="515">
        <f>'OPEX - Concept C1 - RCCL'!S131</f>
        <v>62683.776883621205</v>
      </c>
      <c r="M141" s="515">
        <f>'OPEX - Concept C1 - RCCL'!T131</f>
        <v>63937.452421293638</v>
      </c>
      <c r="N141" s="515">
        <f>'OPEX - Concept C1 - RCCL'!U131</f>
        <v>65216.201469719512</v>
      </c>
      <c r="O141" s="515">
        <f>'OPEX - Concept C1 - RCCL'!V131</f>
        <v>66520.525499113894</v>
      </c>
      <c r="P141" s="515">
        <f>'OPEX - Concept C1 - RCCL'!W131</f>
        <v>67850.936009096185</v>
      </c>
      <c r="Q141" s="515">
        <f>'OPEX - Concept C1 - RCCL'!X131</f>
        <v>69207.954729278121</v>
      </c>
      <c r="R141" s="515">
        <f>'OPEX - Concept C1 - RCCL'!Y131</f>
        <v>70592.113823863678</v>
      </c>
      <c r="S141" s="515">
        <f>'OPEX - Concept C1 - RCCL'!Z131</f>
        <v>72003.956100340947</v>
      </c>
      <c r="T141" s="515">
        <f>'OPEX - Concept C1 - RCCL'!AA131</f>
        <v>73444.035222347768</v>
      </c>
      <c r="U141" s="515">
        <f>'OPEX - Concept C1 - RCCL'!AB131</f>
        <v>74912.915926794725</v>
      </c>
      <c r="V141" s="515">
        <f>'OPEX - Concept C1 - RCCL'!AC131</f>
        <v>76411.174245330621</v>
      </c>
      <c r="W141" s="515">
        <f>'OPEX - Concept C1 - RCCL'!AD131</f>
        <v>77939.397730237237</v>
      </c>
      <c r="X141" s="515">
        <f>'OPEX - Concept C1 - RCCL'!AE131</f>
        <v>79498.18568484197</v>
      </c>
    </row>
    <row r="142" spans="1:24" s="58" customFormat="1">
      <c r="A142" s="69" t="s">
        <v>4</v>
      </c>
      <c r="B142" s="263"/>
      <c r="C142" s="783"/>
      <c r="D142" s="514">
        <v>0</v>
      </c>
      <c r="E142" s="515">
        <f>'OPEX - Concept C1 - RCCL'!L154</f>
        <v>0</v>
      </c>
      <c r="F142" s="515">
        <f>'OPEX - Concept C1 - RCCL'!M154</f>
        <v>85335.846153846156</v>
      </c>
      <c r="G142" s="515">
        <f>'OPEX - Concept C1 - RCCL'!N154</f>
        <v>87042.563076923077</v>
      </c>
      <c r="H142" s="515">
        <f>'OPEX - Concept C1 - RCCL'!O154</f>
        <v>88783.41433846156</v>
      </c>
      <c r="I142" s="515">
        <f>'OPEX - Concept C1 - RCCL'!P154</f>
        <v>90559.082625230774</v>
      </c>
      <c r="J142" s="515">
        <f>'OPEX - Concept C1 - RCCL'!Q154</f>
        <v>92370.264277735376</v>
      </c>
      <c r="K142" s="515">
        <f>'OPEX - Concept C1 - RCCL'!R154</f>
        <v>94217.669563290081</v>
      </c>
      <c r="L142" s="515">
        <f>'OPEX - Concept C1 - RCCL'!S154</f>
        <v>96102.022954555898</v>
      </c>
      <c r="M142" s="515">
        <f>'OPEX - Concept C1 - RCCL'!T154</f>
        <v>98024.063413647003</v>
      </c>
      <c r="N142" s="515">
        <f>'OPEX - Concept C1 - RCCL'!U154</f>
        <v>99984.544681919942</v>
      </c>
      <c r="O142" s="515">
        <f>'OPEX - Concept C1 - RCCL'!V154</f>
        <v>101984.23557555837</v>
      </c>
      <c r="P142" s="515">
        <f>'OPEX - Concept C1 - RCCL'!W154</f>
        <v>104023.92028706953</v>
      </c>
      <c r="Q142" s="515">
        <f>'OPEX - Concept C1 - RCCL'!X154</f>
        <v>106104.39869281092</v>
      </c>
      <c r="R142" s="515">
        <f>'OPEX - Concept C1 - RCCL'!Y154</f>
        <v>108226.48666666714</v>
      </c>
      <c r="S142" s="515">
        <f>'OPEX - Concept C1 - RCCL'!Z154</f>
        <v>110391.01640000047</v>
      </c>
      <c r="T142" s="515">
        <f>'OPEX - Concept C1 - RCCL'!AA154</f>
        <v>112598.8367280005</v>
      </c>
      <c r="U142" s="515">
        <f>'OPEX - Concept C1 - RCCL'!AB154</f>
        <v>114850.8134625605</v>
      </c>
      <c r="V142" s="515">
        <f>'OPEX - Concept C1 - RCCL'!AC154</f>
        <v>117147.82973181173</v>
      </c>
      <c r="W142" s="515">
        <f>'OPEX - Concept C1 - RCCL'!AD154</f>
        <v>119490.78632644797</v>
      </c>
      <c r="X142" s="515">
        <f>'OPEX - Concept C1 - RCCL'!AE154</f>
        <v>121880.60205297693</v>
      </c>
    </row>
    <row r="143" spans="1:24" s="16" customFormat="1" ht="14.25">
      <c r="A143" s="282" t="s">
        <v>133</v>
      </c>
      <c r="B143" s="276"/>
      <c r="C143" s="276"/>
      <c r="D143" s="516">
        <f>SUM(D141:D142)</f>
        <v>0</v>
      </c>
      <c r="E143" s="517">
        <f>SUM(E141:E142)</f>
        <v>0</v>
      </c>
      <c r="F143" s="517">
        <f t="shared" ref="F143:X143" si="19">SUM(F141:F142)</f>
        <v>139905.84615384616</v>
      </c>
      <c r="G143" s="517">
        <f t="shared" si="19"/>
        <v>143817.19107692307</v>
      </c>
      <c r="H143" s="517">
        <f t="shared" si="19"/>
        <v>146693.53489846154</v>
      </c>
      <c r="I143" s="517">
        <f t="shared" si="19"/>
        <v>149627.40559643076</v>
      </c>
      <c r="J143" s="517">
        <f t="shared" si="19"/>
        <v>152619.95370835939</v>
      </c>
      <c r="K143" s="517">
        <f t="shared" si="19"/>
        <v>155672.35278252655</v>
      </c>
      <c r="L143" s="517">
        <f t="shared" si="19"/>
        <v>158785.7998381771</v>
      </c>
      <c r="M143" s="517">
        <f t="shared" si="19"/>
        <v>161961.51583494066</v>
      </c>
      <c r="N143" s="517">
        <f t="shared" si="19"/>
        <v>165200.74615163944</v>
      </c>
      <c r="O143" s="517">
        <f t="shared" si="19"/>
        <v>168504.76107467228</v>
      </c>
      <c r="P143" s="517">
        <f t="shared" si="19"/>
        <v>171874.85629616573</v>
      </c>
      <c r="Q143" s="517">
        <f t="shared" si="19"/>
        <v>175312.35342208904</v>
      </c>
      <c r="R143" s="517">
        <f t="shared" si="19"/>
        <v>178818.60049053084</v>
      </c>
      <c r="S143" s="517">
        <f t="shared" si="19"/>
        <v>182394.97250034142</v>
      </c>
      <c r="T143" s="517">
        <f t="shared" si="19"/>
        <v>186042.87195034826</v>
      </c>
      <c r="U143" s="517">
        <f t="shared" si="19"/>
        <v>189763.72938935523</v>
      </c>
      <c r="V143" s="517">
        <f t="shared" si="19"/>
        <v>193559.00397714233</v>
      </c>
      <c r="W143" s="517">
        <f t="shared" si="19"/>
        <v>197430.18405668519</v>
      </c>
      <c r="X143" s="517">
        <f t="shared" si="19"/>
        <v>201378.7877378189</v>
      </c>
    </row>
    <row r="144" spans="1:24">
      <c r="A144" s="92"/>
      <c r="B144" s="92"/>
      <c r="C144" s="69"/>
      <c r="D144" s="514"/>
      <c r="E144" s="515"/>
      <c r="F144" s="515"/>
      <c r="G144" s="515"/>
      <c r="H144" s="515"/>
      <c r="I144" s="515"/>
      <c r="J144" s="515"/>
      <c r="K144" s="515"/>
      <c r="L144" s="515"/>
      <c r="M144" s="515"/>
      <c r="N144" s="515"/>
      <c r="O144" s="515"/>
      <c r="P144" s="515"/>
      <c r="Q144" s="515"/>
      <c r="R144" s="515"/>
      <c r="S144" s="515"/>
      <c r="T144" s="515"/>
      <c r="U144" s="515"/>
      <c r="V144" s="515"/>
      <c r="W144" s="515"/>
      <c r="X144" s="515"/>
    </row>
    <row r="145" spans="1:24" s="16" customFormat="1" ht="14.25">
      <c r="A145" s="350" t="s">
        <v>118</v>
      </c>
      <c r="B145" s="350"/>
      <c r="C145" s="351"/>
      <c r="D145" s="519">
        <f t="shared" ref="D145:X145" si="20">SUM(D137,D143)</f>
        <v>0</v>
      </c>
      <c r="E145" s="519">
        <f t="shared" si="20"/>
        <v>367858.33333333331</v>
      </c>
      <c r="F145" s="519">
        <f t="shared" si="20"/>
        <v>883304.84615384613</v>
      </c>
      <c r="G145" s="519">
        <f t="shared" si="20"/>
        <v>902094.3710769231</v>
      </c>
      <c r="H145" s="519">
        <f t="shared" si="20"/>
        <v>920136.25849846145</v>
      </c>
      <c r="I145" s="519">
        <f t="shared" si="20"/>
        <v>938538.98366843082</v>
      </c>
      <c r="J145" s="519">
        <f t="shared" si="20"/>
        <v>985653.64213699941</v>
      </c>
      <c r="K145" s="519">
        <f t="shared" si="20"/>
        <v>1000829.7961893713</v>
      </c>
      <c r="L145" s="519">
        <f t="shared" si="20"/>
        <v>1020846.3921131587</v>
      </c>
      <c r="M145" s="519">
        <f t="shared" si="20"/>
        <v>1041263.3199554221</v>
      </c>
      <c r="N145" s="519">
        <f t="shared" si="20"/>
        <v>1062088.5863545304</v>
      </c>
      <c r="O145" s="519">
        <f t="shared" si="20"/>
        <v>1087720.8608716237</v>
      </c>
      <c r="P145" s="519">
        <f t="shared" si="20"/>
        <v>1104996.9652432539</v>
      </c>
      <c r="Q145" s="519">
        <f t="shared" si="20"/>
        <v>1127096.9045481186</v>
      </c>
      <c r="R145" s="519">
        <f t="shared" si="20"/>
        <v>1149638.8426390809</v>
      </c>
      <c r="S145" s="519">
        <f t="shared" si="20"/>
        <v>1172631.6194918626</v>
      </c>
      <c r="T145" s="519">
        <f t="shared" si="20"/>
        <v>1200411.3177125379</v>
      </c>
      <c r="U145" s="519">
        <f t="shared" si="20"/>
        <v>1220005.9369193341</v>
      </c>
      <c r="V145" s="519">
        <f t="shared" si="20"/>
        <v>1244406.0556577207</v>
      </c>
      <c r="W145" s="519">
        <f t="shared" si="20"/>
        <v>1269294.1767708752</v>
      </c>
      <c r="X145" s="519">
        <f t="shared" si="20"/>
        <v>1294680.0603062927</v>
      </c>
    </row>
    <row r="146" spans="1:24" s="222" customFormat="1" ht="14.25">
      <c r="A146" s="280"/>
      <c r="B146" s="280"/>
      <c r="C146" s="263"/>
      <c r="D146" s="518"/>
      <c r="E146" s="520"/>
      <c r="F146" s="520"/>
      <c r="G146" s="520"/>
      <c r="H146" s="520"/>
      <c r="I146" s="520"/>
      <c r="J146" s="520"/>
      <c r="K146" s="520"/>
      <c r="L146" s="520"/>
      <c r="M146" s="520"/>
      <c r="N146" s="520"/>
      <c r="O146" s="520"/>
      <c r="P146" s="520"/>
      <c r="Q146" s="520"/>
      <c r="R146" s="520"/>
      <c r="S146" s="520"/>
      <c r="T146" s="520"/>
      <c r="U146" s="520"/>
      <c r="V146" s="520"/>
      <c r="W146" s="520"/>
      <c r="X146" s="520"/>
    </row>
    <row r="147" spans="1:24" s="222" customFormat="1" ht="14.25">
      <c r="A147" s="271" t="s">
        <v>295</v>
      </c>
      <c r="B147" s="271"/>
      <c r="C147" s="269"/>
      <c r="D147" s="521"/>
      <c r="E147" s="521"/>
      <c r="F147" s="521"/>
      <c r="G147" s="521"/>
      <c r="H147" s="521"/>
      <c r="I147" s="521"/>
      <c r="J147" s="521"/>
      <c r="K147" s="521"/>
      <c r="L147" s="521"/>
      <c r="M147" s="521"/>
      <c r="N147" s="521"/>
      <c r="O147" s="521"/>
      <c r="P147" s="521"/>
      <c r="Q147" s="521"/>
      <c r="R147" s="521"/>
      <c r="S147" s="521"/>
      <c r="T147" s="521"/>
      <c r="U147" s="521"/>
      <c r="V147" s="521"/>
      <c r="W147" s="521"/>
      <c r="X147" s="521"/>
    </row>
    <row r="148" spans="1:24" s="222" customFormat="1" ht="14.25">
      <c r="A148" s="280"/>
      <c r="B148" s="280"/>
      <c r="C148" s="263"/>
      <c r="D148" s="518"/>
      <c r="E148" s="520"/>
      <c r="F148" s="520"/>
      <c r="G148" s="520"/>
      <c r="H148" s="520"/>
      <c r="I148" s="520"/>
      <c r="J148" s="520"/>
      <c r="K148" s="520"/>
      <c r="L148" s="520"/>
      <c r="M148" s="520"/>
      <c r="N148" s="520"/>
      <c r="O148" s="520"/>
      <c r="P148" s="520"/>
      <c r="Q148" s="520"/>
      <c r="R148" s="520"/>
      <c r="S148" s="520"/>
      <c r="T148" s="520"/>
      <c r="U148" s="520"/>
      <c r="V148" s="520"/>
      <c r="W148" s="520"/>
      <c r="X148" s="520"/>
    </row>
    <row r="149" spans="1:24" s="725" customFormat="1">
      <c r="A149" s="353" t="s">
        <v>228</v>
      </c>
      <c r="B149" s="691"/>
      <c r="C149" s="724"/>
      <c r="D149" s="699">
        <v>0</v>
      </c>
      <c r="E149" s="700"/>
      <c r="F149" s="700"/>
      <c r="G149" s="700"/>
      <c r="H149" s="700"/>
      <c r="I149" s="700"/>
      <c r="J149" s="700"/>
      <c r="K149" s="700"/>
      <c r="L149" s="700"/>
      <c r="M149" s="700"/>
      <c r="N149" s="700"/>
      <c r="O149" s="700"/>
      <c r="P149" s="700"/>
      <c r="Q149" s="700"/>
      <c r="R149" s="700"/>
      <c r="S149" s="700"/>
      <c r="T149" s="700"/>
      <c r="U149" s="700"/>
      <c r="V149" s="700"/>
      <c r="W149" s="700"/>
      <c r="X149" s="700"/>
    </row>
    <row r="150" spans="1:24" s="725" customFormat="1">
      <c r="A150" s="726" t="s">
        <v>228</v>
      </c>
      <c r="B150" s="727"/>
      <c r="C150" s="728"/>
      <c r="D150" s="729">
        <v>0</v>
      </c>
      <c r="E150" s="730"/>
      <c r="F150" s="730"/>
      <c r="G150" s="730"/>
      <c r="H150" s="730"/>
      <c r="I150" s="730"/>
      <c r="J150" s="730"/>
      <c r="K150" s="730"/>
      <c r="L150" s="730"/>
      <c r="M150" s="730"/>
      <c r="N150" s="730"/>
      <c r="O150" s="730"/>
      <c r="P150" s="730"/>
      <c r="Q150" s="730"/>
      <c r="R150" s="730"/>
      <c r="S150" s="730"/>
      <c r="T150" s="730"/>
      <c r="U150" s="730"/>
      <c r="V150" s="730"/>
      <c r="W150" s="730"/>
      <c r="X150" s="730"/>
    </row>
    <row r="151" spans="1:24" s="725" customFormat="1" ht="14.25">
      <c r="A151" s="691" t="s">
        <v>296</v>
      </c>
      <c r="B151" s="691"/>
      <c r="C151" s="724"/>
      <c r="D151" s="731">
        <f t="shared" ref="D151:X151" si="21">SUM(D149:D150)</f>
        <v>0</v>
      </c>
      <c r="E151" s="732">
        <f t="shared" si="21"/>
        <v>0</v>
      </c>
      <c r="F151" s="732">
        <f t="shared" si="21"/>
        <v>0</v>
      </c>
      <c r="G151" s="732">
        <f t="shared" si="21"/>
        <v>0</v>
      </c>
      <c r="H151" s="732">
        <f t="shared" si="21"/>
        <v>0</v>
      </c>
      <c r="I151" s="732">
        <f t="shared" si="21"/>
        <v>0</v>
      </c>
      <c r="J151" s="732">
        <f t="shared" si="21"/>
        <v>0</v>
      </c>
      <c r="K151" s="732">
        <f t="shared" si="21"/>
        <v>0</v>
      </c>
      <c r="L151" s="732">
        <f t="shared" si="21"/>
        <v>0</v>
      </c>
      <c r="M151" s="732">
        <f t="shared" si="21"/>
        <v>0</v>
      </c>
      <c r="N151" s="732">
        <f t="shared" si="21"/>
        <v>0</v>
      </c>
      <c r="O151" s="732">
        <f t="shared" si="21"/>
        <v>0</v>
      </c>
      <c r="P151" s="732">
        <f t="shared" si="21"/>
        <v>0</v>
      </c>
      <c r="Q151" s="732">
        <f t="shared" si="21"/>
        <v>0</v>
      </c>
      <c r="R151" s="732">
        <f t="shared" si="21"/>
        <v>0</v>
      </c>
      <c r="S151" s="732">
        <f t="shared" si="21"/>
        <v>0</v>
      </c>
      <c r="T151" s="732">
        <f t="shared" si="21"/>
        <v>0</v>
      </c>
      <c r="U151" s="732">
        <f t="shared" si="21"/>
        <v>0</v>
      </c>
      <c r="V151" s="732">
        <f t="shared" si="21"/>
        <v>0</v>
      </c>
      <c r="W151" s="732">
        <f t="shared" si="21"/>
        <v>0</v>
      </c>
      <c r="X151" s="732">
        <f t="shared" si="21"/>
        <v>0</v>
      </c>
    </row>
    <row r="152" spans="1:24" s="222" customFormat="1">
      <c r="A152" s="280"/>
      <c r="B152" s="280"/>
      <c r="C152" s="263"/>
      <c r="D152" s="514"/>
      <c r="E152" s="515"/>
      <c r="F152" s="520"/>
      <c r="G152" s="520"/>
      <c r="H152" s="520"/>
      <c r="I152" s="520"/>
      <c r="J152" s="520"/>
      <c r="K152" s="520"/>
      <c r="L152" s="520"/>
      <c r="M152" s="520"/>
      <c r="N152" s="520"/>
      <c r="O152" s="520"/>
      <c r="P152" s="520"/>
      <c r="Q152" s="520"/>
      <c r="R152" s="520"/>
      <c r="S152" s="520"/>
      <c r="T152" s="520"/>
      <c r="U152" s="520"/>
      <c r="V152" s="520"/>
      <c r="W152" s="520"/>
      <c r="X152" s="520"/>
    </row>
    <row r="153" spans="1:24" s="222" customFormat="1" ht="14.25">
      <c r="A153" s="296" t="s">
        <v>140</v>
      </c>
      <c r="B153" s="296"/>
      <c r="C153" s="297"/>
      <c r="D153" s="522">
        <f t="shared" ref="D153:X153" si="22">SUM(D145,D151)</f>
        <v>0</v>
      </c>
      <c r="E153" s="522">
        <f t="shared" si="22"/>
        <v>367858.33333333331</v>
      </c>
      <c r="F153" s="522">
        <f t="shared" si="22"/>
        <v>883304.84615384613</v>
      </c>
      <c r="G153" s="522">
        <f t="shared" si="22"/>
        <v>902094.3710769231</v>
      </c>
      <c r="H153" s="522">
        <f t="shared" si="22"/>
        <v>920136.25849846145</v>
      </c>
      <c r="I153" s="522">
        <f t="shared" si="22"/>
        <v>938538.98366843082</v>
      </c>
      <c r="J153" s="522">
        <f t="shared" si="22"/>
        <v>985653.64213699941</v>
      </c>
      <c r="K153" s="522">
        <f t="shared" si="22"/>
        <v>1000829.7961893713</v>
      </c>
      <c r="L153" s="522">
        <f t="shared" si="22"/>
        <v>1020846.3921131587</v>
      </c>
      <c r="M153" s="522">
        <f t="shared" si="22"/>
        <v>1041263.3199554221</v>
      </c>
      <c r="N153" s="522">
        <f t="shared" si="22"/>
        <v>1062088.5863545304</v>
      </c>
      <c r="O153" s="522">
        <f t="shared" si="22"/>
        <v>1087720.8608716237</v>
      </c>
      <c r="P153" s="522">
        <f t="shared" si="22"/>
        <v>1104996.9652432539</v>
      </c>
      <c r="Q153" s="522">
        <f t="shared" si="22"/>
        <v>1127096.9045481186</v>
      </c>
      <c r="R153" s="522">
        <f t="shared" si="22"/>
        <v>1149638.8426390809</v>
      </c>
      <c r="S153" s="522">
        <f t="shared" si="22"/>
        <v>1172631.6194918626</v>
      </c>
      <c r="T153" s="522">
        <f t="shared" si="22"/>
        <v>1200411.3177125379</v>
      </c>
      <c r="U153" s="522">
        <f t="shared" si="22"/>
        <v>1220005.9369193341</v>
      </c>
      <c r="V153" s="522">
        <f t="shared" si="22"/>
        <v>1244406.0556577207</v>
      </c>
      <c r="W153" s="522">
        <f t="shared" si="22"/>
        <v>1269294.1767708752</v>
      </c>
      <c r="X153" s="522">
        <f t="shared" si="22"/>
        <v>1294680.0603062927</v>
      </c>
    </row>
    <row r="154" spans="1:24">
      <c r="A154" s="92"/>
      <c r="B154" s="92"/>
      <c r="C154" s="69"/>
      <c r="D154" s="514"/>
      <c r="E154" s="515"/>
      <c r="F154" s="515"/>
      <c r="G154" s="515"/>
      <c r="H154" s="515"/>
      <c r="I154" s="515"/>
      <c r="J154" s="515"/>
      <c r="K154" s="515"/>
      <c r="L154" s="515"/>
      <c r="M154" s="515"/>
      <c r="N154" s="515"/>
      <c r="O154" s="515"/>
      <c r="P154" s="515"/>
      <c r="Q154" s="515"/>
      <c r="R154" s="515"/>
      <c r="S154" s="515"/>
      <c r="T154" s="515"/>
      <c r="U154" s="515"/>
      <c r="V154" s="515"/>
      <c r="W154" s="515"/>
      <c r="X154" s="515"/>
    </row>
    <row r="155" spans="1:24" s="33" customFormat="1">
      <c r="A155" s="47" t="s">
        <v>7</v>
      </c>
      <c r="B155" s="47" t="s">
        <v>7</v>
      </c>
      <c r="C155" s="78" t="s">
        <v>7</v>
      </c>
      <c r="D155" s="604" t="s">
        <v>7</v>
      </c>
      <c r="E155" s="78" t="s">
        <v>7</v>
      </c>
      <c r="F155" s="78" t="s">
        <v>7</v>
      </c>
      <c r="G155" s="78" t="s">
        <v>7</v>
      </c>
      <c r="H155" s="78" t="s">
        <v>7</v>
      </c>
      <c r="I155" s="78" t="s">
        <v>7</v>
      </c>
      <c r="J155" s="78" t="s">
        <v>7</v>
      </c>
      <c r="K155" s="78" t="s">
        <v>7</v>
      </c>
      <c r="L155" s="78" t="s">
        <v>7</v>
      </c>
      <c r="M155" s="78" t="s">
        <v>7</v>
      </c>
      <c r="N155" s="78" t="s">
        <v>7</v>
      </c>
      <c r="O155" s="78" t="s">
        <v>7</v>
      </c>
      <c r="P155" s="78" t="s">
        <v>7</v>
      </c>
      <c r="Q155" s="78" t="s">
        <v>7</v>
      </c>
      <c r="R155" s="78" t="s">
        <v>7</v>
      </c>
      <c r="S155" s="78" t="s">
        <v>7</v>
      </c>
      <c r="T155" s="78" t="s">
        <v>7</v>
      </c>
      <c r="U155" s="78" t="s">
        <v>7</v>
      </c>
      <c r="V155" s="78" t="s">
        <v>7</v>
      </c>
      <c r="W155" s="78" t="s">
        <v>7</v>
      </c>
      <c r="X155" s="78" t="s">
        <v>7</v>
      </c>
    </row>
    <row r="156" spans="1:24">
      <c r="A156" s="92"/>
      <c r="B156" s="92"/>
      <c r="C156" s="69"/>
      <c r="D156" s="518"/>
      <c r="E156" s="515"/>
      <c r="F156" s="515"/>
      <c r="G156" s="515"/>
      <c r="H156" s="515"/>
      <c r="I156" s="515"/>
      <c r="J156" s="515"/>
      <c r="K156" s="515"/>
      <c r="L156" s="515"/>
      <c r="M156" s="515"/>
      <c r="N156" s="515"/>
      <c r="O156" s="515"/>
      <c r="P156" s="515"/>
      <c r="Q156" s="515"/>
      <c r="R156" s="515"/>
      <c r="S156" s="515"/>
      <c r="T156" s="515"/>
      <c r="U156" s="515"/>
      <c r="V156" s="515"/>
      <c r="W156" s="515"/>
      <c r="X156" s="515"/>
    </row>
    <row r="157" spans="1:24" s="16" customFormat="1" ht="14.25">
      <c r="A157" s="278" t="s">
        <v>116</v>
      </c>
      <c r="B157" s="263"/>
      <c r="C157" s="263"/>
      <c r="D157" s="518">
        <f>D120-(D137+D143)</f>
        <v>0</v>
      </c>
      <c r="E157" s="520">
        <f t="shared" ref="E157:X157" si="23">E120-E153</f>
        <v>-148033.33333333331</v>
      </c>
      <c r="F157" s="520">
        <f t="shared" si="23"/>
        <v>543647.88790421456</v>
      </c>
      <c r="G157" s="520">
        <f t="shared" si="23"/>
        <v>698449.81766229868</v>
      </c>
      <c r="H157" s="520">
        <f t="shared" si="23"/>
        <v>712198.81401554472</v>
      </c>
      <c r="I157" s="520">
        <f t="shared" si="23"/>
        <v>726222.79029585572</v>
      </c>
      <c r="J157" s="520">
        <f t="shared" si="23"/>
        <v>929121.21452879487</v>
      </c>
      <c r="K157" s="520">
        <f t="shared" si="23"/>
        <v>947681.80066529429</v>
      </c>
      <c r="L157" s="520">
        <f t="shared" si="23"/>
        <v>962076.679734156</v>
      </c>
      <c r="M157" s="520">
        <f t="shared" si="23"/>
        <v>976759.45638439478</v>
      </c>
      <c r="N157" s="520">
        <f t="shared" si="23"/>
        <v>991735.88856763788</v>
      </c>
      <c r="O157" s="520">
        <f t="shared" si="23"/>
        <v>1057443.3084100992</v>
      </c>
      <c r="P157" s="520">
        <f t="shared" si="23"/>
        <v>1077415.2912435485</v>
      </c>
      <c r="Q157" s="520">
        <f t="shared" si="23"/>
        <v>1093308.4008878635</v>
      </c>
      <c r="R157" s="520">
        <f t="shared" si="23"/>
        <v>1109519.3727250656</v>
      </c>
      <c r="S157" s="520">
        <f t="shared" si="23"/>
        <v>1126054.5639990112</v>
      </c>
      <c r="T157" s="520">
        <f t="shared" si="23"/>
        <v>1193515.355073153</v>
      </c>
      <c r="U157" s="520">
        <f t="shared" si="23"/>
        <v>1215045.6339054045</v>
      </c>
      <c r="V157" s="520">
        <f t="shared" si="23"/>
        <v>1232592.9111668458</v>
      </c>
      <c r="W157" s="520">
        <f t="shared" si="23"/>
        <v>1250491.1339735165</v>
      </c>
      <c r="X157" s="520">
        <f t="shared" si="23"/>
        <v>1268747.3212363201</v>
      </c>
    </row>
    <row r="158" spans="1:24">
      <c r="A158" s="30"/>
      <c r="B158" s="92"/>
      <c r="C158" s="69"/>
      <c r="D158" s="514"/>
      <c r="E158" s="515"/>
      <c r="F158" s="515"/>
      <c r="G158" s="515"/>
      <c r="H158" s="515"/>
      <c r="I158" s="515"/>
      <c r="J158" s="515"/>
      <c r="K158" s="515"/>
      <c r="L158" s="515"/>
      <c r="M158" s="515"/>
      <c r="N158" s="515"/>
      <c r="O158" s="515"/>
      <c r="P158" s="515"/>
      <c r="Q158" s="515"/>
      <c r="R158" s="515"/>
      <c r="S158" s="515"/>
      <c r="T158" s="515"/>
      <c r="U158" s="515"/>
      <c r="V158" s="515"/>
      <c r="W158" s="515"/>
      <c r="X158" s="515"/>
    </row>
    <row r="159" spans="1:24" s="594" customFormat="1">
      <c r="A159" s="589" t="s">
        <v>125</v>
      </c>
      <c r="B159" s="590"/>
      <c r="C159" s="591"/>
      <c r="D159" s="592">
        <v>0</v>
      </c>
      <c r="E159" s="593">
        <v>0</v>
      </c>
      <c r="F159" s="593">
        <v>0</v>
      </c>
      <c r="G159" s="593">
        <v>0</v>
      </c>
      <c r="H159" s="593">
        <v>0</v>
      </c>
      <c r="I159" s="593">
        <v>0</v>
      </c>
      <c r="J159" s="593">
        <v>0</v>
      </c>
      <c r="K159" s="593">
        <v>0</v>
      </c>
      <c r="L159" s="593">
        <v>0</v>
      </c>
      <c r="M159" s="593">
        <v>0</v>
      </c>
      <c r="N159" s="593">
        <v>0</v>
      </c>
      <c r="O159" s="593">
        <v>0</v>
      </c>
      <c r="P159" s="593">
        <v>0</v>
      </c>
      <c r="Q159" s="593">
        <v>0</v>
      </c>
      <c r="R159" s="593">
        <v>0</v>
      </c>
      <c r="S159" s="593">
        <v>0</v>
      </c>
      <c r="T159" s="593">
        <v>0</v>
      </c>
      <c r="U159" s="593">
        <v>0</v>
      </c>
      <c r="V159" s="593">
        <v>0</v>
      </c>
      <c r="W159" s="593">
        <v>0</v>
      </c>
      <c r="X159" s="593">
        <v>0</v>
      </c>
    </row>
    <row r="160" spans="1:24">
      <c r="A160" s="92"/>
      <c r="B160" s="92"/>
      <c r="C160" s="69"/>
      <c r="D160" s="514"/>
      <c r="E160" s="515"/>
      <c r="F160" s="515"/>
      <c r="G160" s="515"/>
      <c r="H160" s="515"/>
      <c r="I160" s="515"/>
      <c r="J160" s="515"/>
      <c r="K160" s="515"/>
      <c r="L160" s="515"/>
      <c r="M160" s="515"/>
      <c r="N160" s="515"/>
      <c r="O160" s="515"/>
      <c r="P160" s="515"/>
      <c r="Q160" s="515"/>
      <c r="R160" s="515"/>
      <c r="S160" s="515"/>
      <c r="T160" s="515"/>
      <c r="U160" s="515"/>
      <c r="V160" s="515"/>
      <c r="W160" s="515"/>
      <c r="X160" s="515"/>
    </row>
    <row r="161" spans="1:24" s="16" customFormat="1" ht="14.25">
      <c r="A161" s="278" t="s">
        <v>117</v>
      </c>
      <c r="B161" s="278"/>
      <c r="C161" s="263"/>
      <c r="D161" s="518">
        <v>0</v>
      </c>
      <c r="E161" s="520">
        <f>E157-E159</f>
        <v>-148033.33333333331</v>
      </c>
      <c r="F161" s="520">
        <f t="shared" ref="F161:X161" si="24">F157-F159</f>
        <v>543647.88790421456</v>
      </c>
      <c r="G161" s="520">
        <f t="shared" si="24"/>
        <v>698449.81766229868</v>
      </c>
      <c r="H161" s="520">
        <f t="shared" si="24"/>
        <v>712198.81401554472</v>
      </c>
      <c r="I161" s="520">
        <f t="shared" si="24"/>
        <v>726222.79029585572</v>
      </c>
      <c r="J161" s="520">
        <f t="shared" si="24"/>
        <v>929121.21452879487</v>
      </c>
      <c r="K161" s="520">
        <f t="shared" si="24"/>
        <v>947681.80066529429</v>
      </c>
      <c r="L161" s="520">
        <f t="shared" si="24"/>
        <v>962076.679734156</v>
      </c>
      <c r="M161" s="520">
        <f t="shared" si="24"/>
        <v>976759.45638439478</v>
      </c>
      <c r="N161" s="520">
        <f t="shared" si="24"/>
        <v>991735.88856763788</v>
      </c>
      <c r="O161" s="520">
        <f t="shared" si="24"/>
        <v>1057443.3084100992</v>
      </c>
      <c r="P161" s="520">
        <f t="shared" si="24"/>
        <v>1077415.2912435485</v>
      </c>
      <c r="Q161" s="520">
        <f t="shared" si="24"/>
        <v>1093308.4008878635</v>
      </c>
      <c r="R161" s="520">
        <f t="shared" si="24"/>
        <v>1109519.3727250656</v>
      </c>
      <c r="S161" s="520">
        <f t="shared" si="24"/>
        <v>1126054.5639990112</v>
      </c>
      <c r="T161" s="520">
        <f t="shared" si="24"/>
        <v>1193515.355073153</v>
      </c>
      <c r="U161" s="520">
        <f t="shared" si="24"/>
        <v>1215045.6339054045</v>
      </c>
      <c r="V161" s="520">
        <f t="shared" si="24"/>
        <v>1232592.9111668458</v>
      </c>
      <c r="W161" s="520">
        <f t="shared" si="24"/>
        <v>1250491.1339735165</v>
      </c>
      <c r="X161" s="520">
        <f t="shared" si="24"/>
        <v>1268747.3212363201</v>
      </c>
    </row>
    <row r="162" spans="1:24">
      <c r="A162" s="92"/>
      <c r="B162" s="92"/>
      <c r="C162" s="69"/>
      <c r="D162" s="514"/>
      <c r="E162" s="515"/>
      <c r="F162" s="515"/>
      <c r="G162" s="515"/>
      <c r="H162" s="515"/>
      <c r="I162" s="515"/>
      <c r="J162" s="515"/>
      <c r="K162" s="515"/>
      <c r="L162" s="515"/>
      <c r="M162" s="515"/>
      <c r="N162" s="515"/>
      <c r="O162" s="515"/>
      <c r="P162" s="515"/>
      <c r="Q162" s="515"/>
      <c r="R162" s="515"/>
      <c r="S162" s="515"/>
      <c r="T162" s="515"/>
      <c r="U162" s="515"/>
      <c r="V162" s="515"/>
      <c r="W162" s="515"/>
      <c r="X162" s="515"/>
    </row>
    <row r="163" spans="1:24">
      <c r="A163" s="271" t="s">
        <v>126</v>
      </c>
      <c r="B163" s="272"/>
      <c r="C163" s="273"/>
      <c r="D163" s="523"/>
      <c r="E163" s="523"/>
      <c r="F163" s="523"/>
      <c r="G163" s="523"/>
      <c r="H163" s="523"/>
      <c r="I163" s="523"/>
      <c r="J163" s="523"/>
      <c r="K163" s="523"/>
      <c r="L163" s="523"/>
      <c r="M163" s="523"/>
      <c r="N163" s="523"/>
      <c r="O163" s="523"/>
      <c r="P163" s="523"/>
      <c r="Q163" s="523"/>
      <c r="R163" s="523"/>
      <c r="S163" s="523"/>
      <c r="T163" s="523"/>
      <c r="U163" s="523"/>
      <c r="V163" s="523"/>
      <c r="W163" s="523"/>
      <c r="X163" s="523"/>
    </row>
    <row r="164" spans="1:24" s="32" customFormat="1">
      <c r="A164" s="280"/>
      <c r="B164" s="91"/>
      <c r="C164" s="69"/>
      <c r="D164" s="514"/>
      <c r="E164" s="515"/>
      <c r="F164" s="515"/>
      <c r="G164" s="515"/>
      <c r="H164" s="515"/>
      <c r="I164" s="515"/>
      <c r="J164" s="515"/>
      <c r="K164" s="515"/>
      <c r="L164" s="515"/>
      <c r="M164" s="515"/>
      <c r="N164" s="515"/>
      <c r="O164" s="515"/>
      <c r="P164" s="515"/>
      <c r="Q164" s="515"/>
      <c r="R164" s="515"/>
      <c r="S164" s="515"/>
      <c r="T164" s="515"/>
      <c r="U164" s="515"/>
      <c r="V164" s="515"/>
      <c r="W164" s="515"/>
      <c r="X164" s="515"/>
    </row>
    <row r="165" spans="1:24" s="96" customFormat="1">
      <c r="A165" s="885" t="s">
        <v>136</v>
      </c>
      <c r="B165" s="719"/>
      <c r="C165" s="69"/>
      <c r="D165" s="514">
        <v>0</v>
      </c>
      <c r="E165" s="515">
        <f>'OPEX - Concept C1 - RCCL'!L169</f>
        <v>0</v>
      </c>
      <c r="F165" s="515">
        <f>'OPEX - Concept C1 - RCCL'!M169</f>
        <v>85775</v>
      </c>
      <c r="G165" s="515">
        <f>'OPEX - Concept C1 - RCCL'!N169</f>
        <v>87490.5</v>
      </c>
      <c r="H165" s="515">
        <f>'OPEX - Concept C1 - RCCL'!O169</f>
        <v>89240.31</v>
      </c>
      <c r="I165" s="515">
        <f>'OPEX - Concept C1 - RCCL'!P169</f>
        <v>91025.116199999989</v>
      </c>
      <c r="J165" s="515">
        <f>'OPEX - Concept C1 - RCCL'!Q169</f>
        <v>92845.618524000005</v>
      </c>
      <c r="K165" s="515">
        <f>'OPEX - Concept C1 - RCCL'!R169</f>
        <v>94702.530894480005</v>
      </c>
      <c r="L165" s="515">
        <f>'OPEX - Concept C1 - RCCL'!S169</f>
        <v>96596.581512369608</v>
      </c>
      <c r="M165" s="515">
        <f>'OPEX - Concept C1 - RCCL'!T169</f>
        <v>98528.513142616997</v>
      </c>
      <c r="N165" s="515">
        <f>'OPEX - Concept C1 - RCCL'!U169</f>
        <v>100499.08340546934</v>
      </c>
      <c r="O165" s="515">
        <f>'OPEX - Concept C1 - RCCL'!V169</f>
        <v>102509.06507357873</v>
      </c>
      <c r="P165" s="515">
        <f>'OPEX - Concept C1 - RCCL'!W169</f>
        <v>104559.24637505031</v>
      </c>
      <c r="Q165" s="515">
        <f>'OPEX - Concept C1 - RCCL'!X169</f>
        <v>106650.43130255131</v>
      </c>
      <c r="R165" s="515">
        <f>'OPEX - Concept C1 - RCCL'!Y169</f>
        <v>108783.43992860234</v>
      </c>
      <c r="S165" s="515">
        <f>'OPEX - Concept C1 - RCCL'!Z169</f>
        <v>110959.10872717437</v>
      </c>
      <c r="T165" s="515">
        <f>'OPEX - Concept C1 - RCCL'!AA169</f>
        <v>113178.29090171788</v>
      </c>
      <c r="U165" s="515">
        <f>'OPEX - Concept C1 - RCCL'!AB169</f>
        <v>115441.85671975224</v>
      </c>
      <c r="V165" s="515">
        <f>'OPEX - Concept C1 - RCCL'!AC169</f>
        <v>117750.69385414729</v>
      </c>
      <c r="W165" s="515">
        <f>'OPEX - Concept C1 - RCCL'!AD169</f>
        <v>120105.70773123024</v>
      </c>
      <c r="X165" s="515">
        <f>'OPEX - Concept C1 - RCCL'!AE169</f>
        <v>122507.82188585485</v>
      </c>
    </row>
    <row r="166" spans="1:24" s="96" customFormat="1">
      <c r="A166" s="885" t="s">
        <v>458</v>
      </c>
      <c r="B166" s="719"/>
      <c r="C166" s="69"/>
      <c r="D166" s="514">
        <v>0</v>
      </c>
      <c r="E166" s="515">
        <f>'OPEX - Concept C1 - RCCL'!L171</f>
        <v>635662.67999999993</v>
      </c>
      <c r="F166" s="515">
        <f>'OPEX - Concept C1 - RCCL'!M171</f>
        <v>635662.67999999993</v>
      </c>
      <c r="G166" s="515">
        <f>'OPEX - Concept C1 - RCCL'!N171</f>
        <v>635662.67999999993</v>
      </c>
      <c r="H166" s="515">
        <f>'OPEX - Concept C1 - RCCL'!O171</f>
        <v>635662.67999999993</v>
      </c>
      <c r="I166" s="515">
        <f>'OPEX - Concept C1 - RCCL'!P171</f>
        <v>635662.67999999993</v>
      </c>
      <c r="J166" s="515">
        <f>'OPEX - Concept C1 - RCCL'!Q171</f>
        <v>635662.67999999993</v>
      </c>
      <c r="K166" s="515">
        <f>'OPEX - Concept C1 - RCCL'!R171</f>
        <v>635662.67999999993</v>
      </c>
      <c r="L166" s="515">
        <f>'OPEX - Concept C1 - RCCL'!S171</f>
        <v>635662.67999999993</v>
      </c>
      <c r="M166" s="515">
        <f>'OPEX - Concept C1 - RCCL'!T171</f>
        <v>635662.67999999993</v>
      </c>
      <c r="N166" s="515">
        <f>'OPEX - Concept C1 - RCCL'!U171</f>
        <v>635662.67999999993</v>
      </c>
      <c r="O166" s="515">
        <f>'OPEX - Concept C1 - RCCL'!V171</f>
        <v>635662.67999999993</v>
      </c>
      <c r="P166" s="515">
        <f>'OPEX - Concept C1 - RCCL'!W171</f>
        <v>635662.67999999993</v>
      </c>
      <c r="Q166" s="515">
        <f>'OPEX - Concept C1 - RCCL'!X171</f>
        <v>635662.67999999993</v>
      </c>
      <c r="R166" s="515">
        <f>'OPEX - Concept C1 - RCCL'!Y171</f>
        <v>635662.67999999993</v>
      </c>
      <c r="S166" s="515">
        <f>'OPEX - Concept C1 - RCCL'!Z171</f>
        <v>635662.67999999993</v>
      </c>
      <c r="T166" s="515">
        <f>'OPEX - Concept C1 - RCCL'!AA171</f>
        <v>635662.67999999993</v>
      </c>
      <c r="U166" s="515">
        <f>'OPEX - Concept C1 - RCCL'!AB171</f>
        <v>635662.67999999993</v>
      </c>
      <c r="V166" s="515">
        <f>'OPEX - Concept C1 - RCCL'!AC171</f>
        <v>635662.67999999993</v>
      </c>
      <c r="W166" s="515">
        <f>'OPEX - Concept C1 - RCCL'!AD171</f>
        <v>635662.67999999993</v>
      </c>
      <c r="X166" s="515">
        <f>'OPEX - Concept C1 - RCCL'!AE171</f>
        <v>635662.67999999993</v>
      </c>
    </row>
    <row r="167" spans="1:24" s="341" customFormat="1">
      <c r="A167" s="696" t="s">
        <v>315</v>
      </c>
      <c r="B167" s="697"/>
      <c r="C167" s="698"/>
      <c r="D167" s="699">
        <v>0</v>
      </c>
      <c r="E167" s="700">
        <v>0</v>
      </c>
      <c r="F167" s="700">
        <v>0</v>
      </c>
      <c r="G167" s="700">
        <v>0</v>
      </c>
      <c r="H167" s="700">
        <v>0</v>
      </c>
      <c r="I167" s="700">
        <v>0</v>
      </c>
      <c r="J167" s="700">
        <v>0</v>
      </c>
      <c r="K167" s="700">
        <v>0</v>
      </c>
      <c r="L167" s="700">
        <v>0</v>
      </c>
      <c r="M167" s="700">
        <v>0</v>
      </c>
      <c r="N167" s="700">
        <v>0</v>
      </c>
      <c r="O167" s="700">
        <v>0</v>
      </c>
      <c r="P167" s="700">
        <v>0</v>
      </c>
      <c r="Q167" s="700">
        <v>0</v>
      </c>
      <c r="R167" s="700">
        <v>0</v>
      </c>
      <c r="S167" s="700">
        <v>0</v>
      </c>
      <c r="T167" s="700">
        <v>0</v>
      </c>
      <c r="U167" s="700">
        <v>0</v>
      </c>
      <c r="V167" s="700">
        <v>0</v>
      </c>
      <c r="W167" s="700">
        <v>0</v>
      </c>
      <c r="X167" s="700">
        <v>0</v>
      </c>
    </row>
    <row r="168" spans="1:24" s="32" customFormat="1">
      <c r="A168" s="93" t="s">
        <v>316</v>
      </c>
      <c r="B168" s="298"/>
      <c r="C168" s="298"/>
      <c r="D168" s="505">
        <v>0</v>
      </c>
      <c r="E168" s="506">
        <v>246000</v>
      </c>
      <c r="F168" s="506">
        <v>246000</v>
      </c>
      <c r="G168" s="506">
        <v>246000</v>
      </c>
      <c r="H168" s="506">
        <v>246000</v>
      </c>
      <c r="I168" s="506">
        <v>246000</v>
      </c>
      <c r="J168" s="506">
        <v>246000</v>
      </c>
      <c r="K168" s="506">
        <v>246000</v>
      </c>
      <c r="L168" s="506">
        <v>246000</v>
      </c>
      <c r="M168" s="506">
        <v>246000</v>
      </c>
      <c r="N168" s="506">
        <v>246000</v>
      </c>
      <c r="O168" s="506">
        <v>246000</v>
      </c>
      <c r="P168" s="506">
        <v>246000</v>
      </c>
      <c r="Q168" s="506">
        <v>246000</v>
      </c>
      <c r="R168" s="506">
        <v>246000</v>
      </c>
      <c r="S168" s="506">
        <v>246000</v>
      </c>
      <c r="T168" s="506">
        <v>246000</v>
      </c>
      <c r="U168" s="506">
        <v>246000</v>
      </c>
      <c r="V168" s="506">
        <v>246000</v>
      </c>
      <c r="W168" s="506">
        <v>246000</v>
      </c>
      <c r="X168" s="506">
        <v>246000</v>
      </c>
    </row>
    <row r="169" spans="1:24" s="222" customFormat="1" ht="14.25">
      <c r="A169" s="263" t="s">
        <v>134</v>
      </c>
      <c r="B169" s="264"/>
      <c r="C169" s="264"/>
      <c r="D169" s="524">
        <f>SUM(D165:D168)</f>
        <v>0</v>
      </c>
      <c r="E169" s="525">
        <f t="shared" ref="E169:X169" si="25">SUM(E165:E168)</f>
        <v>881662.67999999993</v>
      </c>
      <c r="F169" s="525">
        <f t="shared" si="25"/>
        <v>967437.67999999993</v>
      </c>
      <c r="G169" s="525">
        <f t="shared" si="25"/>
        <v>969153.17999999993</v>
      </c>
      <c r="H169" s="525">
        <f t="shared" si="25"/>
        <v>970902.99</v>
      </c>
      <c r="I169" s="525">
        <f t="shared" si="25"/>
        <v>972687.79619999998</v>
      </c>
      <c r="J169" s="525">
        <f t="shared" si="25"/>
        <v>974508.29852399998</v>
      </c>
      <c r="K169" s="525">
        <f t="shared" si="25"/>
        <v>976365.21089447988</v>
      </c>
      <c r="L169" s="525">
        <f t="shared" si="25"/>
        <v>978259.2615123695</v>
      </c>
      <c r="M169" s="525">
        <f t="shared" si="25"/>
        <v>980191.19314261689</v>
      </c>
      <c r="N169" s="525">
        <f t="shared" si="25"/>
        <v>982161.76340546925</v>
      </c>
      <c r="O169" s="525">
        <f t="shared" si="25"/>
        <v>984171.74507357867</v>
      </c>
      <c r="P169" s="525">
        <f t="shared" si="25"/>
        <v>986221.92637505021</v>
      </c>
      <c r="Q169" s="525">
        <f t="shared" si="25"/>
        <v>988313.11130255123</v>
      </c>
      <c r="R169" s="525">
        <f t="shared" si="25"/>
        <v>990446.11992860225</v>
      </c>
      <c r="S169" s="525">
        <f t="shared" si="25"/>
        <v>992621.78872717428</v>
      </c>
      <c r="T169" s="525">
        <f t="shared" si="25"/>
        <v>994840.97090171778</v>
      </c>
      <c r="U169" s="525">
        <f t="shared" si="25"/>
        <v>997104.53671975213</v>
      </c>
      <c r="V169" s="525">
        <f t="shared" si="25"/>
        <v>999413.37385414727</v>
      </c>
      <c r="W169" s="525">
        <f t="shared" si="25"/>
        <v>1001768.3877312301</v>
      </c>
      <c r="X169" s="525">
        <f t="shared" si="25"/>
        <v>1004170.5018858548</v>
      </c>
    </row>
    <row r="170" spans="1:24" s="32" customFormat="1">
      <c r="A170" s="69"/>
      <c r="B170" s="90"/>
      <c r="C170" s="90"/>
      <c r="D170" s="526"/>
      <c r="E170" s="527"/>
      <c r="F170" s="527"/>
      <c r="G170" s="527"/>
      <c r="H170" s="527"/>
      <c r="I170" s="527"/>
      <c r="J170" s="527"/>
      <c r="K170" s="527"/>
      <c r="L170" s="527"/>
      <c r="M170" s="527"/>
      <c r="N170" s="527"/>
      <c r="O170" s="527"/>
      <c r="P170" s="527"/>
      <c r="Q170" s="527"/>
      <c r="R170" s="527"/>
      <c r="S170" s="527"/>
      <c r="T170" s="527"/>
      <c r="U170" s="527"/>
      <c r="V170" s="527"/>
      <c r="W170" s="527"/>
      <c r="X170" s="527"/>
    </row>
    <row r="171" spans="1:24" s="32" customFormat="1">
      <c r="A171" s="94" t="s">
        <v>137</v>
      </c>
      <c r="C171" s="69"/>
      <c r="D171" s="514">
        <v>0</v>
      </c>
      <c r="E171" s="515">
        <f>E161-E165</f>
        <v>-148033.33333333331</v>
      </c>
      <c r="F171" s="515">
        <f t="shared" ref="F171:X171" si="26">F157-F165</f>
        <v>457872.88790421456</v>
      </c>
      <c r="G171" s="515">
        <f t="shared" si="26"/>
        <v>610959.31766229868</v>
      </c>
      <c r="H171" s="515">
        <f t="shared" si="26"/>
        <v>622958.50401554466</v>
      </c>
      <c r="I171" s="515">
        <f t="shared" si="26"/>
        <v>635197.67409585579</v>
      </c>
      <c r="J171" s="515">
        <f t="shared" si="26"/>
        <v>836275.59600479482</v>
      </c>
      <c r="K171" s="515">
        <f t="shared" si="26"/>
        <v>852979.26977081434</v>
      </c>
      <c r="L171" s="515">
        <f t="shared" si="26"/>
        <v>865480.09822178644</v>
      </c>
      <c r="M171" s="515">
        <f t="shared" si="26"/>
        <v>878230.94324177783</v>
      </c>
      <c r="N171" s="515">
        <f t="shared" si="26"/>
        <v>891236.80516216857</v>
      </c>
      <c r="O171" s="515">
        <f t="shared" si="26"/>
        <v>954934.24333652051</v>
      </c>
      <c r="P171" s="515">
        <f t="shared" si="26"/>
        <v>972856.04486849823</v>
      </c>
      <c r="Q171" s="515">
        <f t="shared" si="26"/>
        <v>986657.96958531218</v>
      </c>
      <c r="R171" s="515">
        <f t="shared" si="26"/>
        <v>1000735.9327964633</v>
      </c>
      <c r="S171" s="515">
        <f t="shared" si="26"/>
        <v>1015095.4552718368</v>
      </c>
      <c r="T171" s="515">
        <f t="shared" si="26"/>
        <v>1080337.0641714351</v>
      </c>
      <c r="U171" s="515">
        <f t="shared" si="26"/>
        <v>1099603.7771856522</v>
      </c>
      <c r="V171" s="515">
        <f t="shared" si="26"/>
        <v>1114842.2173126985</v>
      </c>
      <c r="W171" s="515">
        <f t="shared" si="26"/>
        <v>1130385.4262422863</v>
      </c>
      <c r="X171" s="515">
        <f t="shared" si="26"/>
        <v>1146239.4993504651</v>
      </c>
    </row>
    <row r="172" spans="1:24" ht="16.5" customHeight="1">
      <c r="A172" s="88" t="s">
        <v>128</v>
      </c>
      <c r="B172" s="98"/>
      <c r="C172" s="98"/>
      <c r="D172" s="528">
        <v>0</v>
      </c>
      <c r="E172" s="529">
        <f>E161-E169</f>
        <v>-1029696.0133333332</v>
      </c>
      <c r="F172" s="529">
        <f t="shared" ref="F172:X172" si="27">F161-F169</f>
        <v>-423789.79209578538</v>
      </c>
      <c r="G172" s="529">
        <f t="shared" si="27"/>
        <v>-270703.36233770126</v>
      </c>
      <c r="H172" s="529">
        <f t="shared" si="27"/>
        <v>-258704.17598445527</v>
      </c>
      <c r="I172" s="529">
        <f t="shared" si="27"/>
        <v>-246465.00590414426</v>
      </c>
      <c r="J172" s="529">
        <f t="shared" si="27"/>
        <v>-45387.083995205117</v>
      </c>
      <c r="K172" s="529">
        <f t="shared" si="27"/>
        <v>-28683.410229185596</v>
      </c>
      <c r="L172" s="529">
        <f t="shared" si="27"/>
        <v>-16182.581778213498</v>
      </c>
      <c r="M172" s="529">
        <f t="shared" si="27"/>
        <v>-3431.736758222105</v>
      </c>
      <c r="N172" s="529">
        <f t="shared" si="27"/>
        <v>9574.1251621686388</v>
      </c>
      <c r="O172" s="529">
        <f t="shared" si="27"/>
        <v>73271.563336520572</v>
      </c>
      <c r="P172" s="529">
        <f t="shared" si="27"/>
        <v>91193.364868498291</v>
      </c>
      <c r="Q172" s="529">
        <f t="shared" si="27"/>
        <v>104995.28958531225</v>
      </c>
      <c r="R172" s="529">
        <f t="shared" si="27"/>
        <v>119073.25279646332</v>
      </c>
      <c r="S172" s="529">
        <f t="shared" si="27"/>
        <v>133432.7752718369</v>
      </c>
      <c r="T172" s="529">
        <f t="shared" si="27"/>
        <v>198674.38417143526</v>
      </c>
      <c r="U172" s="529">
        <f t="shared" si="27"/>
        <v>217941.09718565235</v>
      </c>
      <c r="V172" s="529">
        <f t="shared" si="27"/>
        <v>233179.53731269855</v>
      </c>
      <c r="W172" s="529">
        <f t="shared" si="27"/>
        <v>248722.7462422864</v>
      </c>
      <c r="X172" s="529">
        <f t="shared" si="27"/>
        <v>264576.81935046532</v>
      </c>
    </row>
    <row r="173" spans="1:24" ht="16.5" customHeight="1">
      <c r="A173" s="88"/>
      <c r="B173" s="88"/>
      <c r="C173" s="88"/>
      <c r="D173" s="526"/>
      <c r="E173" s="527"/>
      <c r="F173" s="527"/>
      <c r="G173" s="527"/>
      <c r="H173" s="527"/>
      <c r="I173" s="527"/>
      <c r="J173" s="527"/>
      <c r="K173" s="527"/>
      <c r="L173" s="527"/>
      <c r="M173" s="527"/>
      <c r="N173" s="527"/>
      <c r="O173" s="527"/>
      <c r="P173" s="527"/>
      <c r="Q173" s="527"/>
      <c r="R173" s="527"/>
      <c r="S173" s="527"/>
      <c r="T173" s="527"/>
      <c r="U173" s="527"/>
      <c r="V173" s="527"/>
      <c r="W173" s="527"/>
      <c r="X173" s="527"/>
    </row>
    <row r="174" spans="1:24" ht="16.5" customHeight="1">
      <c r="A174" s="88" t="s">
        <v>129</v>
      </c>
      <c r="B174" s="632">
        <f>NPV(Cost_of_Money__DPC,E161:X161)</f>
        <v>18963994.309045684</v>
      </c>
      <c r="C174" s="88"/>
      <c r="D174" s="526"/>
      <c r="E174" s="527"/>
      <c r="F174" s="527"/>
      <c r="G174" s="527"/>
      <c r="H174" s="527"/>
      <c r="I174" s="527"/>
      <c r="J174" s="527"/>
      <c r="K174" s="527"/>
      <c r="L174" s="527"/>
      <c r="M174" s="527"/>
      <c r="N174" s="527"/>
      <c r="O174" s="527"/>
      <c r="P174" s="527"/>
      <c r="Q174" s="527"/>
      <c r="R174" s="527"/>
      <c r="S174" s="527"/>
      <c r="T174" s="527"/>
      <c r="U174" s="527"/>
      <c r="V174" s="527"/>
      <c r="W174" s="527"/>
      <c r="X174" s="527"/>
    </row>
    <row r="175" spans="1:24" ht="16.5" customHeight="1">
      <c r="A175" s="300" t="s">
        <v>130</v>
      </c>
      <c r="B175" s="733">
        <f>SUM(E172:X172)</f>
        <v>-628408.20713290817</v>
      </c>
      <c r="C175" s="301"/>
      <c r="D175" s="530">
        <v>0</v>
      </c>
      <c r="E175" s="530">
        <f>E161-E169</f>
        <v>-1029696.0133333332</v>
      </c>
      <c r="F175" s="530">
        <f t="shared" ref="F175:X175" si="28">F161-F169</f>
        <v>-423789.79209578538</v>
      </c>
      <c r="G175" s="530">
        <f t="shared" si="28"/>
        <v>-270703.36233770126</v>
      </c>
      <c r="H175" s="530">
        <f t="shared" si="28"/>
        <v>-258704.17598445527</v>
      </c>
      <c r="I175" s="530">
        <f t="shared" si="28"/>
        <v>-246465.00590414426</v>
      </c>
      <c r="J175" s="530">
        <f t="shared" si="28"/>
        <v>-45387.083995205117</v>
      </c>
      <c r="K175" s="530">
        <f t="shared" si="28"/>
        <v>-28683.410229185596</v>
      </c>
      <c r="L175" s="530">
        <f t="shared" si="28"/>
        <v>-16182.581778213498</v>
      </c>
      <c r="M175" s="530">
        <f t="shared" si="28"/>
        <v>-3431.736758222105</v>
      </c>
      <c r="N175" s="530">
        <f t="shared" si="28"/>
        <v>9574.1251621686388</v>
      </c>
      <c r="O175" s="530">
        <f t="shared" si="28"/>
        <v>73271.563336520572</v>
      </c>
      <c r="P175" s="530">
        <f t="shared" si="28"/>
        <v>91193.364868498291</v>
      </c>
      <c r="Q175" s="530">
        <f t="shared" si="28"/>
        <v>104995.28958531225</v>
      </c>
      <c r="R175" s="530">
        <f t="shared" si="28"/>
        <v>119073.25279646332</v>
      </c>
      <c r="S175" s="530">
        <f t="shared" si="28"/>
        <v>133432.7752718369</v>
      </c>
      <c r="T175" s="530">
        <f t="shared" si="28"/>
        <v>198674.38417143526</v>
      </c>
      <c r="U175" s="530">
        <f t="shared" si="28"/>
        <v>217941.09718565235</v>
      </c>
      <c r="V175" s="530">
        <f t="shared" si="28"/>
        <v>233179.53731269855</v>
      </c>
      <c r="W175" s="530">
        <f t="shared" si="28"/>
        <v>248722.7462422864</v>
      </c>
      <c r="X175" s="530">
        <f t="shared" si="28"/>
        <v>264576.81935046532</v>
      </c>
    </row>
    <row r="176" spans="1:24" s="58" customFormat="1" ht="16.5" customHeight="1">
      <c r="A176" s="90" t="s">
        <v>32</v>
      </c>
      <c r="B176" s="358">
        <f>IRR(E175:X175)</f>
        <v>-2.1906125203284943E-2</v>
      </c>
      <c r="C176" s="356"/>
      <c r="D176" s="502"/>
      <c r="E176" s="504"/>
      <c r="F176" s="504"/>
      <c r="G176" s="504"/>
      <c r="H176" s="504"/>
      <c r="I176" s="504"/>
      <c r="J176" s="504"/>
      <c r="K176" s="504"/>
      <c r="L176" s="504"/>
      <c r="M176" s="504"/>
      <c r="N176" s="504"/>
      <c r="O176" s="504"/>
      <c r="P176" s="504"/>
      <c r="Q176" s="504"/>
      <c r="R176" s="504"/>
      <c r="S176" s="504"/>
      <c r="T176" s="504"/>
      <c r="U176" s="504"/>
      <c r="V176" s="504"/>
      <c r="W176" s="504"/>
      <c r="X176" s="504"/>
    </row>
    <row r="177" spans="1:24">
      <c r="A177" s="30"/>
      <c r="B177" s="30"/>
      <c r="C177" s="30"/>
      <c r="D177" s="502"/>
      <c r="E177" s="512"/>
      <c r="F177" s="512"/>
      <c r="G177" s="512"/>
      <c r="H177" s="512"/>
      <c r="I177" s="512"/>
      <c r="J177" s="512"/>
      <c r="K177" s="512"/>
      <c r="L177" s="512"/>
      <c r="M177" s="512"/>
      <c r="N177" s="512"/>
      <c r="O177" s="512"/>
      <c r="P177" s="512"/>
      <c r="Q177" s="512"/>
      <c r="R177" s="512"/>
      <c r="S177" s="512"/>
      <c r="T177" s="512"/>
      <c r="U177" s="512"/>
      <c r="V177" s="512"/>
      <c r="W177" s="512"/>
      <c r="X177" s="512"/>
    </row>
    <row r="178" spans="1:24">
      <c r="A178" s="274" t="s">
        <v>28</v>
      </c>
      <c r="B178" s="275"/>
      <c r="C178" s="275"/>
      <c r="D178" s="531"/>
      <c r="E178" s="531"/>
      <c r="F178" s="531"/>
      <c r="G178" s="531"/>
      <c r="H178" s="531"/>
      <c r="I178" s="531"/>
      <c r="J178" s="531"/>
      <c r="K178" s="531"/>
      <c r="L178" s="531"/>
      <c r="M178" s="531"/>
      <c r="N178" s="531"/>
      <c r="O178" s="531"/>
      <c r="P178" s="531"/>
      <c r="Q178" s="531"/>
      <c r="R178" s="531"/>
      <c r="S178" s="531"/>
      <c r="T178" s="531"/>
      <c r="U178" s="531"/>
      <c r="V178" s="531"/>
      <c r="W178" s="531"/>
      <c r="X178" s="531"/>
    </row>
    <row r="179" spans="1:24">
      <c r="A179" s="30"/>
      <c r="B179" s="30"/>
      <c r="C179" s="30"/>
      <c r="D179" s="502"/>
      <c r="E179" s="512"/>
      <c r="F179" s="512"/>
      <c r="G179" s="512"/>
      <c r="H179" s="512"/>
      <c r="I179" s="512"/>
      <c r="J179" s="512"/>
      <c r="K179" s="512"/>
      <c r="L179" s="512"/>
      <c r="M179" s="512"/>
      <c r="N179" s="512"/>
      <c r="O179" s="512"/>
      <c r="P179" s="512"/>
      <c r="Q179" s="512"/>
      <c r="R179" s="512"/>
      <c r="S179" s="512"/>
      <c r="T179" s="512"/>
      <c r="U179" s="512"/>
      <c r="V179" s="512"/>
      <c r="W179" s="512"/>
      <c r="X179" s="512"/>
    </row>
    <row r="180" spans="1:24">
      <c r="A180" s="30" t="s">
        <v>300</v>
      </c>
      <c r="B180" s="30"/>
      <c r="C180" s="87"/>
      <c r="D180" s="502">
        <v>0</v>
      </c>
      <c r="E180" s="512"/>
      <c r="F180" s="512"/>
      <c r="G180" s="512"/>
      <c r="H180" s="512"/>
      <c r="I180" s="512"/>
      <c r="J180" s="512"/>
      <c r="K180" s="512"/>
      <c r="L180" s="512"/>
      <c r="M180" s="512"/>
      <c r="N180" s="512"/>
      <c r="O180" s="512"/>
      <c r="P180" s="512"/>
      <c r="Q180" s="512"/>
      <c r="R180" s="512"/>
      <c r="S180" s="512"/>
      <c r="T180" s="512"/>
      <c r="U180" s="512"/>
      <c r="V180" s="512"/>
      <c r="W180" s="512"/>
      <c r="X180" s="512"/>
    </row>
    <row r="181" spans="1:24">
      <c r="A181" s="30" t="s">
        <v>301</v>
      </c>
      <c r="B181" s="30"/>
      <c r="C181" s="30"/>
      <c r="D181" s="502">
        <v>0</v>
      </c>
      <c r="E181" s="512"/>
      <c r="F181" s="512"/>
      <c r="G181" s="512"/>
      <c r="H181" s="512"/>
      <c r="I181" s="512"/>
      <c r="J181" s="512"/>
      <c r="K181" s="512"/>
      <c r="L181" s="512"/>
      <c r="M181" s="512"/>
      <c r="N181" s="512"/>
      <c r="O181" s="512"/>
      <c r="P181" s="512"/>
      <c r="Q181" s="512"/>
      <c r="R181" s="512"/>
      <c r="S181" s="512"/>
      <c r="T181" s="512"/>
      <c r="U181" s="512"/>
      <c r="V181" s="512"/>
      <c r="W181" s="512"/>
      <c r="X181" s="512"/>
    </row>
    <row r="182" spans="1:24">
      <c r="A182" s="30"/>
      <c r="B182" s="30"/>
      <c r="C182" s="30"/>
      <c r="D182" s="502"/>
      <c r="E182" s="512"/>
      <c r="F182" s="512"/>
      <c r="G182" s="512"/>
      <c r="H182" s="512"/>
      <c r="I182" s="512"/>
      <c r="J182" s="512"/>
      <c r="K182" s="512"/>
      <c r="L182" s="512"/>
      <c r="M182" s="512"/>
      <c r="N182" s="512"/>
      <c r="O182" s="512"/>
      <c r="P182" s="512"/>
      <c r="Q182" s="512"/>
      <c r="R182" s="512"/>
      <c r="S182" s="512"/>
      <c r="T182" s="512"/>
      <c r="U182" s="512"/>
      <c r="V182" s="512"/>
      <c r="W182" s="512"/>
      <c r="X182" s="512"/>
    </row>
    <row r="183" spans="1:24">
      <c r="A183" s="30" t="s">
        <v>298</v>
      </c>
      <c r="B183" s="30"/>
      <c r="C183" s="30"/>
      <c r="D183" s="502">
        <v>0</v>
      </c>
      <c r="E183" s="512"/>
      <c r="F183" s="512"/>
      <c r="G183" s="512"/>
      <c r="H183" s="512"/>
      <c r="I183" s="512"/>
      <c r="J183" s="512"/>
      <c r="K183" s="512"/>
      <c r="L183" s="512"/>
      <c r="M183" s="512"/>
      <c r="N183" s="512"/>
      <c r="O183" s="512"/>
      <c r="P183" s="512"/>
      <c r="Q183" s="512"/>
      <c r="R183" s="512"/>
      <c r="S183" s="512"/>
      <c r="T183" s="512"/>
      <c r="U183" s="512"/>
      <c r="V183" s="512"/>
      <c r="W183" s="512"/>
      <c r="X183" s="512"/>
    </row>
    <row r="184" spans="1:24">
      <c r="A184" s="30" t="s">
        <v>299</v>
      </c>
      <c r="B184" s="30"/>
      <c r="C184" s="30"/>
      <c r="D184" s="502">
        <v>0</v>
      </c>
      <c r="E184" s="512"/>
      <c r="F184" s="512"/>
      <c r="G184" s="512"/>
      <c r="H184" s="512"/>
      <c r="I184" s="512"/>
      <c r="J184" s="512"/>
      <c r="K184" s="512"/>
      <c r="L184" s="512"/>
      <c r="M184" s="512"/>
      <c r="N184" s="512"/>
      <c r="O184" s="512"/>
      <c r="P184" s="512"/>
      <c r="Q184" s="512"/>
      <c r="R184" s="512"/>
      <c r="S184" s="512"/>
      <c r="T184" s="512"/>
      <c r="U184" s="512"/>
      <c r="V184" s="512"/>
      <c r="W184" s="512"/>
      <c r="X184" s="512"/>
    </row>
    <row r="185" spans="1:24">
      <c r="D185" s="502"/>
      <c r="E185" s="532"/>
      <c r="F185" s="532"/>
      <c r="G185" s="532"/>
      <c r="H185" s="532"/>
      <c r="I185" s="532"/>
      <c r="J185" s="532"/>
      <c r="K185" s="532"/>
      <c r="L185" s="532"/>
      <c r="M185" s="532"/>
      <c r="N185" s="532"/>
      <c r="O185" s="532"/>
      <c r="P185" s="532"/>
      <c r="Q185" s="532"/>
      <c r="R185" s="532"/>
      <c r="S185" s="532"/>
      <c r="T185" s="532"/>
      <c r="U185" s="532"/>
      <c r="V185" s="532"/>
      <c r="W185" s="532"/>
      <c r="X185" s="532"/>
    </row>
    <row r="186" spans="1:24">
      <c r="A186" s="131"/>
      <c r="B186" s="131"/>
      <c r="C186" s="131"/>
      <c r="D186" s="493"/>
      <c r="E186" s="334"/>
      <c r="F186" s="334"/>
      <c r="G186" s="334"/>
      <c r="H186" s="334"/>
      <c r="I186" s="334"/>
      <c r="J186" s="334"/>
      <c r="K186" s="334"/>
      <c r="L186" s="334"/>
      <c r="M186" s="334"/>
      <c r="N186" s="334"/>
      <c r="O186" s="334"/>
      <c r="P186" s="334"/>
      <c r="Q186" s="334"/>
      <c r="R186" s="334"/>
      <c r="S186" s="334"/>
      <c r="T186" s="334"/>
      <c r="U186" s="334"/>
      <c r="V186" s="334"/>
      <c r="W186" s="334"/>
      <c r="X186" s="334"/>
    </row>
    <row r="187" spans="1:24">
      <c r="D187" s="494"/>
      <c r="E187" s="327"/>
      <c r="F187" s="327"/>
      <c r="G187" s="327"/>
      <c r="H187" s="327"/>
      <c r="I187" s="327"/>
      <c r="J187" s="327"/>
      <c r="K187" s="327"/>
      <c r="L187" s="327"/>
      <c r="M187" s="327"/>
      <c r="N187" s="327"/>
      <c r="O187" s="327"/>
      <c r="P187" s="327"/>
      <c r="Q187" s="327"/>
      <c r="R187" s="327"/>
      <c r="S187" s="327"/>
      <c r="T187" s="327"/>
      <c r="U187" s="327"/>
      <c r="V187" s="327"/>
      <c r="W187" s="327"/>
      <c r="X187" s="327"/>
    </row>
    <row r="188" spans="1:24">
      <c r="A188"/>
      <c r="D188" s="494"/>
      <c r="E188" s="327"/>
      <c r="F188" s="327"/>
      <c r="G188" s="327"/>
      <c r="H188" s="327"/>
      <c r="I188" s="327"/>
      <c r="J188" s="327"/>
      <c r="K188" s="327"/>
      <c r="L188" s="327"/>
      <c r="M188" s="327"/>
      <c r="N188" s="327"/>
      <c r="O188" s="327"/>
      <c r="P188" s="327"/>
      <c r="Q188" s="327"/>
      <c r="R188" s="327"/>
      <c r="S188" s="327"/>
      <c r="T188" s="327"/>
      <c r="U188" s="327"/>
      <c r="V188" s="327"/>
      <c r="W188" s="327"/>
      <c r="X188" s="327"/>
    </row>
    <row r="189" spans="1:24">
      <c r="A189"/>
      <c r="D189" s="494"/>
      <c r="E189" s="327"/>
      <c r="F189" s="327"/>
      <c r="G189" s="327"/>
      <c r="H189" s="327"/>
      <c r="I189" s="327"/>
      <c r="J189" s="327"/>
      <c r="K189" s="327"/>
      <c r="L189" s="327"/>
      <c r="M189" s="327"/>
      <c r="N189" s="327"/>
      <c r="O189" s="327"/>
      <c r="P189" s="327"/>
      <c r="Q189" s="327"/>
      <c r="R189" s="327"/>
      <c r="S189" s="327"/>
      <c r="T189" s="327"/>
      <c r="U189" s="327"/>
      <c r="V189" s="327"/>
      <c r="W189" s="327"/>
      <c r="X189" s="327"/>
    </row>
    <row r="190" spans="1:24">
      <c r="D190" s="494"/>
      <c r="E190" s="327"/>
      <c r="F190" s="327"/>
      <c r="G190" s="327"/>
      <c r="H190" s="362"/>
      <c r="I190" s="327"/>
      <c r="J190" s="327"/>
      <c r="K190" s="327"/>
      <c r="L190" s="327"/>
      <c r="M190" s="327"/>
      <c r="N190" s="327"/>
      <c r="O190" s="327"/>
      <c r="P190" s="327"/>
      <c r="Q190" s="327"/>
      <c r="R190" s="327"/>
      <c r="S190" s="327"/>
      <c r="T190" s="327"/>
      <c r="U190" s="327"/>
      <c r="V190" s="327"/>
      <c r="W190" s="327"/>
      <c r="X190" s="327"/>
    </row>
    <row r="191" spans="1:24">
      <c r="D191" s="326"/>
      <c r="E191" s="327"/>
      <c r="F191" s="327"/>
      <c r="G191" s="327"/>
      <c r="H191" s="359"/>
      <c r="I191" s="327"/>
      <c r="J191" s="327"/>
      <c r="K191" s="327"/>
      <c r="L191" s="327"/>
      <c r="M191" s="327"/>
      <c r="N191" s="327"/>
      <c r="O191" s="327"/>
      <c r="P191" s="327"/>
      <c r="Q191" s="327"/>
      <c r="R191" s="327"/>
      <c r="S191" s="327"/>
      <c r="T191" s="327"/>
      <c r="U191" s="327"/>
      <c r="V191" s="327"/>
      <c r="W191" s="327"/>
      <c r="X191" s="327"/>
    </row>
    <row r="192" spans="1:24">
      <c r="H192" s="305"/>
    </row>
    <row r="193" spans="8:8">
      <c r="H193" s="30"/>
    </row>
    <row r="194" spans="8:8">
      <c r="H194" s="87"/>
    </row>
    <row r="196" spans="8:8">
      <c r="H196" s="360"/>
    </row>
    <row r="197" spans="8:8">
      <c r="H197" s="361"/>
    </row>
  </sheetData>
  <pageMargins left="0.7" right="0.7" top="0.75" bottom="0.75" header="0.3" footer="0.3"/>
  <pageSetup paperSize="9" scale="2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90"/>
  <sheetViews>
    <sheetView zoomScale="70" zoomScaleNormal="70" workbookViewId="0">
      <selection activeCell="A19" sqref="A19"/>
    </sheetView>
  </sheetViews>
  <sheetFormatPr defaultColWidth="9" defaultRowHeight="16.5"/>
  <cols>
    <col min="1" max="1" width="36.125" style="58" bestFit="1" customWidth="1"/>
    <col min="2" max="2" width="20.5" style="58" bestFit="1" customWidth="1"/>
    <col min="3" max="3" width="1.625" style="58" customWidth="1"/>
    <col min="4" max="4" width="59.625" style="58" bestFit="1" customWidth="1"/>
    <col min="5" max="5" width="20.25" style="58" bestFit="1" customWidth="1"/>
    <col min="6" max="6" width="74.25" style="58" customWidth="1"/>
    <col min="7" max="16384" width="9" style="58"/>
  </cols>
  <sheetData>
    <row r="1" spans="1:6" ht="18.75" thickBot="1">
      <c r="A1" s="11" t="str">
        <f>Intro!A1</f>
        <v>Town of Bar Harbor</v>
      </c>
      <c r="B1" s="14"/>
      <c r="C1" s="14"/>
      <c r="D1" s="14"/>
      <c r="E1" s="14"/>
    </row>
    <row r="2" spans="1:6" ht="17.25" thickBot="1">
      <c r="A2" s="380" t="str">
        <f>Intro!A2</f>
        <v>Ferry Property Business Plan</v>
      </c>
      <c r="B2" s="14"/>
      <c r="C2" s="14"/>
      <c r="D2" s="14"/>
      <c r="E2" s="14"/>
    </row>
    <row r="3" spans="1:6" s="386" customFormat="1" ht="14.25" thickBot="1">
      <c r="A3" s="384" t="str">
        <f>Intro!A3</f>
        <v>05.23.2018</v>
      </c>
      <c r="B3" s="2"/>
      <c r="C3" s="385"/>
      <c r="D3" s="385"/>
      <c r="E3" s="385"/>
    </row>
    <row r="4" spans="1:6" s="386" customFormat="1" ht="13.5">
      <c r="A4" s="384" t="str">
        <f ca="1">Intro!A4</f>
        <v>Town of Bar Harbor</v>
      </c>
      <c r="B4" s="383">
        <f ca="1">NOW()</f>
        <v>43242.835659143515</v>
      </c>
      <c r="C4" s="385"/>
      <c r="D4" s="385"/>
      <c r="E4" s="385"/>
    </row>
    <row r="5" spans="1:6">
      <c r="A5" s="1197" t="s">
        <v>24</v>
      </c>
      <c r="B5" s="1198"/>
      <c r="C5" s="1198"/>
      <c r="D5" s="1198"/>
      <c r="E5" s="1198"/>
    </row>
    <row r="7" spans="1:6">
      <c r="A7" s="59" t="s">
        <v>20</v>
      </c>
      <c r="B7" s="59" t="s">
        <v>23</v>
      </c>
      <c r="D7" s="59" t="s">
        <v>20</v>
      </c>
      <c r="E7" s="59" t="s">
        <v>23</v>
      </c>
    </row>
    <row r="8" spans="1:6" ht="17.25" thickBot="1"/>
    <row r="9" spans="1:6">
      <c r="A9" s="63" t="s">
        <v>120</v>
      </c>
      <c r="B9" s="64"/>
      <c r="D9" s="65" t="s">
        <v>81</v>
      </c>
      <c r="E9" s="1175">
        <v>2020</v>
      </c>
      <c r="F9" s="1176" t="s">
        <v>492</v>
      </c>
    </row>
    <row r="10" spans="1:6">
      <c r="A10" s="834" t="s">
        <v>444</v>
      </c>
      <c r="B10" s="845">
        <v>0</v>
      </c>
      <c r="D10" s="868" t="s">
        <v>158</v>
      </c>
      <c r="E10" s="1170"/>
      <c r="F10" s="1177"/>
    </row>
    <row r="11" spans="1:6" s="561" customFormat="1">
      <c r="A11" s="357" t="s">
        <v>106</v>
      </c>
      <c r="B11" s="846"/>
      <c r="D11" s="60" t="s">
        <v>155</v>
      </c>
      <c r="E11" s="1171">
        <f>'BH Tariffs'!E11</f>
        <v>4.5465480000000005</v>
      </c>
      <c r="F11" s="1178"/>
    </row>
    <row r="12" spans="1:6" s="561" customFormat="1">
      <c r="A12" s="357" t="s">
        <v>107</v>
      </c>
      <c r="B12" s="846"/>
      <c r="D12" s="60" t="s">
        <v>172</v>
      </c>
      <c r="E12" s="1171">
        <f>'BH Tariffs'!E12</f>
        <v>1040.4000000000001</v>
      </c>
      <c r="F12" s="1178"/>
    </row>
    <row r="13" spans="1:6" s="561" customFormat="1">
      <c r="A13" s="357" t="s">
        <v>443</v>
      </c>
      <c r="B13" s="847"/>
      <c r="D13" s="60" t="s">
        <v>171</v>
      </c>
      <c r="E13" s="1171">
        <f>'BH Tariffs'!E13</f>
        <v>2.0808</v>
      </c>
      <c r="F13" s="1178"/>
    </row>
    <row r="14" spans="1:6" s="561" customFormat="1">
      <c r="A14" s="61" t="s">
        <v>445</v>
      </c>
      <c r="B14" s="848">
        <v>0</v>
      </c>
      <c r="D14" s="60" t="s">
        <v>157</v>
      </c>
      <c r="E14" s="1171">
        <f>'BH Tariffs'!E14</f>
        <v>4.6818</v>
      </c>
      <c r="F14" s="1178"/>
    </row>
    <row r="15" spans="1:6" s="561" customFormat="1">
      <c r="A15" s="357" t="s">
        <v>108</v>
      </c>
      <c r="B15" s="849"/>
      <c r="D15" s="60"/>
      <c r="E15" s="1171"/>
      <c r="F15" s="1178"/>
    </row>
    <row r="16" spans="1:6" s="561" customFormat="1" ht="17.25" thickBot="1">
      <c r="A16" s="828" t="s">
        <v>109</v>
      </c>
      <c r="B16" s="850"/>
      <c r="D16" s="869" t="s">
        <v>447</v>
      </c>
      <c r="E16" s="1170"/>
      <c r="F16" s="1179"/>
    </row>
    <row r="17" spans="1:6" ht="17.25" thickBot="1">
      <c r="A17" s="55"/>
      <c r="B17" s="851"/>
      <c r="D17" s="870" t="s">
        <v>168</v>
      </c>
      <c r="E17" s="1171"/>
      <c r="F17" s="1180"/>
    </row>
    <row r="18" spans="1:6">
      <c r="A18" s="63" t="s">
        <v>446</v>
      </c>
      <c r="B18" s="852"/>
      <c r="D18" s="60" t="s">
        <v>439</v>
      </c>
      <c r="E18" s="1171">
        <f>'BH Tariffs'!E19</f>
        <v>6.9972000000000003</v>
      </c>
      <c r="F18" s="1180" t="s">
        <v>603</v>
      </c>
    </row>
    <row r="19" spans="1:6">
      <c r="A19" s="61" t="s">
        <v>102</v>
      </c>
      <c r="B19" s="845">
        <v>0.4</v>
      </c>
      <c r="D19" s="288" t="s">
        <v>440</v>
      </c>
      <c r="E19" s="1172">
        <f>'BH Tariffs'!E20</f>
        <v>4.4982000000000006</v>
      </c>
      <c r="F19" s="1178"/>
    </row>
    <row r="20" spans="1:6" s="561" customFormat="1">
      <c r="A20" s="357" t="s">
        <v>104</v>
      </c>
      <c r="B20" s="846"/>
      <c r="D20" s="288" t="s">
        <v>213</v>
      </c>
      <c r="E20" s="1172"/>
      <c r="F20" s="1180"/>
    </row>
    <row r="21" spans="1:6">
      <c r="A21" s="61" t="s">
        <v>105</v>
      </c>
      <c r="B21" s="845">
        <v>0.2</v>
      </c>
      <c r="D21" s="60" t="s">
        <v>457</v>
      </c>
      <c r="E21" s="1171">
        <f>'BH Tariffs'!E22</f>
        <v>1.9992000000000001</v>
      </c>
      <c r="F21" s="1180" t="s">
        <v>602</v>
      </c>
    </row>
    <row r="22" spans="1:6">
      <c r="A22" s="61" t="s">
        <v>110</v>
      </c>
      <c r="B22" s="848">
        <v>0.02</v>
      </c>
      <c r="D22" s="871"/>
      <c r="E22" s="1171"/>
      <c r="F22" s="1180"/>
    </row>
    <row r="23" spans="1:6">
      <c r="A23" s="61" t="s">
        <v>111</v>
      </c>
      <c r="B23" s="848">
        <v>0.02</v>
      </c>
      <c r="D23" s="870" t="s">
        <v>163</v>
      </c>
      <c r="E23" s="1171"/>
      <c r="F23" s="1180"/>
    </row>
    <row r="24" spans="1:6">
      <c r="A24" s="60" t="s">
        <v>112</v>
      </c>
      <c r="B24" s="884">
        <v>20</v>
      </c>
      <c r="D24" s="60" t="s">
        <v>167</v>
      </c>
      <c r="E24" s="1171">
        <f>'BH Tariffs'!E25</f>
        <v>5750</v>
      </c>
      <c r="F24" s="1178"/>
    </row>
    <row r="25" spans="1:6" s="561" customFormat="1">
      <c r="A25" s="357" t="s">
        <v>441</v>
      </c>
      <c r="B25" s="853"/>
      <c r="D25" s="60" t="s">
        <v>160</v>
      </c>
      <c r="E25" s="1171">
        <f>'BH Tariffs'!E26</f>
        <v>2</v>
      </c>
      <c r="F25" s="1178"/>
    </row>
    <row r="26" spans="1:6" s="561" customFormat="1">
      <c r="A26" s="357" t="s">
        <v>442</v>
      </c>
      <c r="B26" s="853"/>
      <c r="D26" s="60" t="s">
        <v>161</v>
      </c>
      <c r="E26" s="1171">
        <f>'BH Tariffs'!E27</f>
        <v>3</v>
      </c>
      <c r="F26" s="1178"/>
    </row>
    <row r="27" spans="1:6" s="561" customFormat="1">
      <c r="A27" s="357" t="s">
        <v>82</v>
      </c>
      <c r="B27" s="849"/>
      <c r="D27" s="60" t="s">
        <v>162</v>
      </c>
      <c r="E27" s="1171">
        <f>'BH Tariffs'!E28</f>
        <v>20</v>
      </c>
      <c r="F27" s="1178"/>
    </row>
    <row r="28" spans="1:6" s="561" customFormat="1">
      <c r="A28" s="357" t="s">
        <v>114</v>
      </c>
      <c r="B28" s="849"/>
      <c r="D28" s="60"/>
      <c r="E28" s="1171"/>
      <c r="F28" s="1178"/>
    </row>
    <row r="29" spans="1:6" s="561" customFormat="1" ht="17.25" thickBot="1">
      <c r="A29" s="62" t="s">
        <v>113</v>
      </c>
      <c r="B29" s="854">
        <v>3.5000000000000003E-2</v>
      </c>
      <c r="D29" s="870" t="s">
        <v>164</v>
      </c>
      <c r="E29" s="1171"/>
      <c r="F29" s="1180"/>
    </row>
    <row r="30" spans="1:6" ht="17.25" thickBot="1">
      <c r="B30" s="336"/>
      <c r="D30" s="60" t="s">
        <v>166</v>
      </c>
      <c r="E30" s="1171">
        <f>'BH Tariffs'!E31</f>
        <v>2040</v>
      </c>
      <c r="F30" s="1180"/>
    </row>
    <row r="31" spans="1:6">
      <c r="A31" s="73" t="s">
        <v>141</v>
      </c>
      <c r="B31" s="843" t="s">
        <v>609</v>
      </c>
      <c r="D31" s="872"/>
      <c r="E31" s="1171"/>
      <c r="F31" s="1180"/>
    </row>
    <row r="32" spans="1:6">
      <c r="A32" s="284" t="s">
        <v>5</v>
      </c>
      <c r="B32" s="337"/>
      <c r="D32" s="870" t="s">
        <v>169</v>
      </c>
      <c r="E32" s="1171"/>
      <c r="F32" s="1180"/>
    </row>
    <row r="33" spans="1:6">
      <c r="A33" s="67" t="s">
        <v>418</v>
      </c>
      <c r="B33" s="832">
        <v>105000</v>
      </c>
      <c r="D33" s="60" t="s">
        <v>279</v>
      </c>
      <c r="E33" s="1171">
        <f>'BH Tariffs'!E34</f>
        <v>2.5499999999999998</v>
      </c>
      <c r="F33" s="1181" t="s">
        <v>278</v>
      </c>
    </row>
    <row r="34" spans="1:6">
      <c r="A34" s="67" t="s">
        <v>417</v>
      </c>
      <c r="B34" s="832">
        <v>49000</v>
      </c>
      <c r="D34" s="60" t="s">
        <v>280</v>
      </c>
      <c r="E34" s="1171">
        <f>'BH Tariffs'!E35</f>
        <v>107.10000000000001</v>
      </c>
      <c r="F34" s="1181" t="s">
        <v>281</v>
      </c>
    </row>
    <row r="35" spans="1:6">
      <c r="A35" s="67" t="s">
        <v>422</v>
      </c>
      <c r="B35" s="832">
        <v>21000</v>
      </c>
      <c r="D35" s="873" t="s">
        <v>170</v>
      </c>
      <c r="E35" s="1173">
        <f>'BH Tariffs'!D36</f>
        <v>0</v>
      </c>
      <c r="F35" s="1182" t="s">
        <v>282</v>
      </c>
    </row>
    <row r="36" spans="1:6">
      <c r="A36" s="58" t="s">
        <v>422</v>
      </c>
      <c r="B36" s="832">
        <v>21000</v>
      </c>
      <c r="D36" s="873" t="s">
        <v>230</v>
      </c>
      <c r="E36" s="1173">
        <f>'BH Tariffs'!D37</f>
        <v>0</v>
      </c>
      <c r="F36" s="1182" t="s">
        <v>282</v>
      </c>
    </row>
    <row r="37" spans="1:6" s="561" customFormat="1">
      <c r="A37" s="829" t="s">
        <v>39</v>
      </c>
      <c r="B37" s="833"/>
      <c r="D37" s="60" t="s">
        <v>526</v>
      </c>
      <c r="E37" s="1171">
        <f>'BH Tariffs'!E38</f>
        <v>625</v>
      </c>
      <c r="F37" s="1180" t="s">
        <v>527</v>
      </c>
    </row>
    <row r="38" spans="1:6" s="561" customFormat="1">
      <c r="A38" s="829" t="s">
        <v>40</v>
      </c>
      <c r="B38" s="833"/>
      <c r="D38" s="60"/>
      <c r="E38" s="1171"/>
      <c r="F38" s="1178"/>
    </row>
    <row r="39" spans="1:6">
      <c r="A39" s="67"/>
      <c r="B39" s="832"/>
      <c r="D39" s="870" t="s">
        <v>174</v>
      </c>
      <c r="E39" s="1174"/>
      <c r="F39" s="1180"/>
    </row>
    <row r="40" spans="1:6">
      <c r="A40" s="284" t="s">
        <v>4</v>
      </c>
      <c r="B40" s="832"/>
      <c r="D40" s="288" t="s">
        <v>26</v>
      </c>
      <c r="E40" s="1172"/>
      <c r="F40" s="1178" t="s">
        <v>159</v>
      </c>
    </row>
    <row r="41" spans="1:6">
      <c r="A41" s="67" t="s">
        <v>65</v>
      </c>
      <c r="B41" s="832">
        <v>91000</v>
      </c>
      <c r="D41" s="357" t="s">
        <v>26</v>
      </c>
      <c r="E41" s="1172"/>
      <c r="F41" s="1178" t="s">
        <v>139</v>
      </c>
    </row>
    <row r="42" spans="1:6">
      <c r="A42" s="67" t="s">
        <v>62</v>
      </c>
      <c r="B42" s="832">
        <v>119000</v>
      </c>
      <c r="D42" s="61" t="s">
        <v>283</v>
      </c>
      <c r="E42" s="1171">
        <f>'BH Tariffs'!E44</f>
        <v>2.04</v>
      </c>
      <c r="F42" s="1183" t="s">
        <v>176</v>
      </c>
    </row>
    <row r="43" spans="1:6">
      <c r="A43" s="67" t="s">
        <v>419</v>
      </c>
      <c r="B43" s="832">
        <v>105000</v>
      </c>
      <c r="D43" s="61" t="s">
        <v>216</v>
      </c>
      <c r="E43" s="1171">
        <f>'BH Tariffs'!E45</f>
        <v>1020</v>
      </c>
      <c r="F43" s="1183" t="s">
        <v>284</v>
      </c>
    </row>
    <row r="44" spans="1:6" ht="17.25" thickBot="1">
      <c r="A44" s="67" t="s">
        <v>63</v>
      </c>
      <c r="B44" s="832">
        <v>21000</v>
      </c>
      <c r="C44" s="66"/>
      <c r="D44" s="874" t="s">
        <v>175</v>
      </c>
      <c r="E44" s="858">
        <f>'BH Tariffs'!E46</f>
        <v>500</v>
      </c>
      <c r="F44" s="1169" t="s">
        <v>285</v>
      </c>
    </row>
    <row r="45" spans="1:6" ht="17.25" thickBot="1">
      <c r="A45" s="67" t="s">
        <v>63</v>
      </c>
      <c r="B45" s="832">
        <v>21000</v>
      </c>
      <c r="C45" s="66"/>
      <c r="E45" s="859"/>
    </row>
    <row r="46" spans="1:6" s="561" customFormat="1">
      <c r="A46" s="829" t="s">
        <v>64</v>
      </c>
      <c r="B46" s="844"/>
      <c r="C46" s="702"/>
      <c r="D46" s="287" t="s">
        <v>121</v>
      </c>
      <c r="E46" s="860"/>
      <c r="F46" s="58"/>
    </row>
    <row r="47" spans="1:6">
      <c r="A47" s="60"/>
      <c r="B47" s="831"/>
      <c r="C47" s="33"/>
      <c r="D47" s="288" t="s">
        <v>95</v>
      </c>
      <c r="E47" s="833"/>
      <c r="F47" s="561"/>
    </row>
    <row r="48" spans="1:6">
      <c r="A48" s="284" t="s">
        <v>0</v>
      </c>
      <c r="B48" s="832"/>
      <c r="C48" s="33"/>
      <c r="D48" s="288" t="s">
        <v>96</v>
      </c>
      <c r="E48" s="833"/>
    </row>
    <row r="49" spans="1:7">
      <c r="A49" s="67" t="s">
        <v>56</v>
      </c>
      <c r="B49" s="831">
        <v>77000</v>
      </c>
      <c r="C49" s="33"/>
      <c r="D49" s="288" t="s">
        <v>97</v>
      </c>
      <c r="E49" s="833"/>
    </row>
    <row r="50" spans="1:7">
      <c r="A50" s="67" t="s">
        <v>57</v>
      </c>
      <c r="B50" s="831">
        <v>24000</v>
      </c>
      <c r="C50" s="33"/>
      <c r="D50" s="288" t="s">
        <v>98</v>
      </c>
      <c r="E50" s="833"/>
    </row>
    <row r="51" spans="1:7">
      <c r="A51" s="60" t="s">
        <v>57</v>
      </c>
      <c r="B51" s="831">
        <v>24000</v>
      </c>
      <c r="C51" s="33"/>
      <c r="D51" s="288" t="s">
        <v>99</v>
      </c>
      <c r="E51" s="833"/>
    </row>
    <row r="52" spans="1:7">
      <c r="A52" s="60"/>
      <c r="B52" s="338"/>
      <c r="C52" s="33"/>
      <c r="D52" s="288" t="s">
        <v>100</v>
      </c>
      <c r="E52" s="833"/>
    </row>
    <row r="53" spans="1:7" ht="17.25" thickBot="1">
      <c r="A53" s="836" t="s">
        <v>119</v>
      </c>
      <c r="B53" s="830"/>
      <c r="C53" s="33"/>
      <c r="D53" s="289" t="s">
        <v>101</v>
      </c>
      <c r="E53" s="857"/>
    </row>
    <row r="54" spans="1:7" ht="17.25" thickBot="1">
      <c r="A54" s="829" t="s">
        <v>70</v>
      </c>
      <c r="B54" s="835"/>
      <c r="C54" s="33"/>
    </row>
    <row r="55" spans="1:7">
      <c r="A55" s="829" t="s">
        <v>69</v>
      </c>
      <c r="B55" s="835"/>
      <c r="C55" s="33"/>
      <c r="D55" s="63" t="s">
        <v>25</v>
      </c>
      <c r="E55" s="856"/>
    </row>
    <row r="56" spans="1:7">
      <c r="A56" s="67"/>
      <c r="B56" s="338"/>
      <c r="C56" s="33"/>
      <c r="D56" s="285" t="s">
        <v>425</v>
      </c>
      <c r="E56" s="832" t="str">
        <f>"$6,350 - $10,800"</f>
        <v>$6,350 - $10,800</v>
      </c>
      <c r="F56" s="983" t="s">
        <v>532</v>
      </c>
    </row>
    <row r="57" spans="1:7">
      <c r="A57" s="836" t="s">
        <v>26</v>
      </c>
      <c r="B57" s="830"/>
      <c r="C57" s="33"/>
      <c r="D57" s="285" t="s">
        <v>16</v>
      </c>
      <c r="E57" s="832">
        <v>1250</v>
      </c>
      <c r="F57" s="983" t="s">
        <v>17</v>
      </c>
      <c r="G57" s="561"/>
    </row>
    <row r="58" spans="1:7">
      <c r="A58" s="829" t="s">
        <v>72</v>
      </c>
      <c r="B58" s="835"/>
      <c r="C58" s="33"/>
      <c r="D58" s="980" t="s">
        <v>53</v>
      </c>
      <c r="E58" s="833">
        <v>0</v>
      </c>
      <c r="F58" s="981"/>
    </row>
    <row r="59" spans="1:7" ht="17.25" thickBot="1">
      <c r="A59" s="829" t="s">
        <v>73</v>
      </c>
      <c r="B59" s="835"/>
      <c r="C59" s="33"/>
      <c r="D59" s="828" t="s">
        <v>54</v>
      </c>
      <c r="E59" s="857">
        <v>0</v>
      </c>
      <c r="F59" s="982"/>
    </row>
    <row r="60" spans="1:7" ht="17.25" thickBot="1">
      <c r="A60" s="829"/>
      <c r="B60" s="835"/>
      <c r="C60" s="33"/>
      <c r="F60" s="70"/>
    </row>
    <row r="61" spans="1:7">
      <c r="A61" s="836" t="s">
        <v>33</v>
      </c>
      <c r="B61" s="830"/>
      <c r="C61" s="33"/>
      <c r="D61" s="63" t="s">
        <v>122</v>
      </c>
      <c r="E61" s="856"/>
    </row>
    <row r="62" spans="1:7">
      <c r="A62" s="829" t="s">
        <v>76</v>
      </c>
      <c r="B62" s="835"/>
      <c r="C62" s="33"/>
      <c r="D62" s="285" t="s">
        <v>41</v>
      </c>
      <c r="E62" s="862">
        <f>'OPEX - Concept A1'!L87</f>
        <v>25000</v>
      </c>
    </row>
    <row r="63" spans="1:7">
      <c r="A63" s="829" t="s">
        <v>3</v>
      </c>
      <c r="B63" s="835"/>
      <c r="C63" s="33"/>
      <c r="D63" s="285" t="s">
        <v>424</v>
      </c>
      <c r="E63" s="862">
        <f>'OPEX - Concept A1'!L88</f>
        <v>10000</v>
      </c>
    </row>
    <row r="64" spans="1:7">
      <c r="A64" s="829" t="s">
        <v>75</v>
      </c>
      <c r="B64" s="835"/>
      <c r="C64" s="33"/>
      <c r="D64" s="285" t="s">
        <v>42</v>
      </c>
      <c r="E64" s="862">
        <f>'OPEX - Concept A1'!L89</f>
        <v>50000</v>
      </c>
    </row>
    <row r="65" spans="1:6">
      <c r="A65" s="829" t="s">
        <v>77</v>
      </c>
      <c r="B65" s="835"/>
      <c r="C65" s="33"/>
      <c r="D65" s="285" t="s">
        <v>43</v>
      </c>
      <c r="E65" s="862">
        <f>'OPEX - Concept A1'!L90</f>
        <v>500</v>
      </c>
      <c r="F65" s="58" t="s">
        <v>8</v>
      </c>
    </row>
    <row r="66" spans="1:6" ht="17.25" thickBot="1">
      <c r="A66" s="837" t="s">
        <v>74</v>
      </c>
      <c r="B66" s="838"/>
      <c r="C66" s="33"/>
      <c r="D66" s="285" t="s">
        <v>44</v>
      </c>
      <c r="E66" s="862">
        <f>'OPEX - Concept A1'!L91</f>
        <v>250</v>
      </c>
      <c r="F66" s="58" t="s">
        <v>8</v>
      </c>
    </row>
    <row r="67" spans="1:6" ht="17.25" thickBot="1">
      <c r="A67" s="265"/>
      <c r="B67" s="339"/>
      <c r="C67" s="33"/>
      <c r="D67" s="62" t="s">
        <v>2</v>
      </c>
      <c r="E67" s="863">
        <f>'OPEX - Concept A1'!L92</f>
        <v>1000</v>
      </c>
    </row>
    <row r="68" spans="1:6" ht="17.25" thickBot="1">
      <c r="A68" s="842" t="s">
        <v>123</v>
      </c>
      <c r="B68" s="352"/>
      <c r="C68" s="33"/>
    </row>
    <row r="69" spans="1:6">
      <c r="A69" s="839" t="s">
        <v>27</v>
      </c>
      <c r="B69" s="840"/>
      <c r="C69" s="33"/>
      <c r="D69" s="63" t="s">
        <v>610</v>
      </c>
      <c r="E69" s="856"/>
    </row>
    <row r="70" spans="1:6">
      <c r="A70" s="829" t="s">
        <v>103</v>
      </c>
      <c r="B70" s="835"/>
      <c r="C70" s="33"/>
      <c r="D70" s="61" t="s">
        <v>87</v>
      </c>
      <c r="E70" s="340">
        <v>2080</v>
      </c>
    </row>
    <row r="71" spans="1:6" ht="17.25" thickBot="1">
      <c r="A71" s="841" t="s">
        <v>19</v>
      </c>
      <c r="B71" s="838"/>
      <c r="C71" s="33"/>
      <c r="D71" s="285" t="s">
        <v>449</v>
      </c>
      <c r="E71" s="832">
        <v>8</v>
      </c>
    </row>
    <row r="72" spans="1:6">
      <c r="A72" s="33"/>
      <c r="B72" s="201"/>
      <c r="C72" s="33"/>
      <c r="D72" s="285" t="s">
        <v>88</v>
      </c>
      <c r="E72" s="832">
        <v>12</v>
      </c>
    </row>
    <row r="73" spans="1:6">
      <c r="A73" s="865"/>
      <c r="B73" s="866"/>
      <c r="C73" s="33"/>
      <c r="D73" s="285" t="s">
        <v>448</v>
      </c>
      <c r="E73" s="832">
        <v>8</v>
      </c>
    </row>
    <row r="74" spans="1:6">
      <c r="A74" s="265"/>
      <c r="B74" s="339"/>
      <c r="C74" s="33"/>
      <c r="D74" s="61" t="s">
        <v>450</v>
      </c>
      <c r="E74" s="832">
        <v>10</v>
      </c>
    </row>
    <row r="75" spans="1:6">
      <c r="A75" s="265"/>
      <c r="B75" s="339"/>
      <c r="C75" s="33"/>
      <c r="D75" s="61" t="s">
        <v>89</v>
      </c>
      <c r="E75" s="340">
        <v>32</v>
      </c>
    </row>
    <row r="76" spans="1:6">
      <c r="A76" s="265"/>
      <c r="B76" s="339"/>
      <c r="C76" s="33"/>
      <c r="D76" s="357" t="s">
        <v>90</v>
      </c>
      <c r="E76" s="855"/>
    </row>
    <row r="77" spans="1:6">
      <c r="A77" s="265"/>
      <c r="B77" s="339"/>
      <c r="C77" s="33"/>
      <c r="D77" s="357" t="s">
        <v>91</v>
      </c>
      <c r="E77" s="855"/>
    </row>
    <row r="78" spans="1:6">
      <c r="A78" s="54"/>
      <c r="B78" s="867"/>
      <c r="C78" s="33"/>
      <c r="D78" s="357" t="s">
        <v>92</v>
      </c>
      <c r="E78" s="855"/>
    </row>
    <row r="79" spans="1:6">
      <c r="A79" s="54"/>
      <c r="B79" s="867"/>
      <c r="C79" s="33"/>
      <c r="D79" s="357" t="s">
        <v>93</v>
      </c>
      <c r="E79" s="855"/>
    </row>
    <row r="80" spans="1:6" ht="17.25" thickBot="1">
      <c r="C80" s="33"/>
      <c r="D80" s="828" t="s">
        <v>94</v>
      </c>
      <c r="E80" s="864"/>
    </row>
    <row r="81" spans="1:5">
      <c r="C81" s="33"/>
      <c r="E81" s="861"/>
    </row>
    <row r="82" spans="1:5">
      <c r="C82" s="33"/>
    </row>
    <row r="83" spans="1:5">
      <c r="C83" s="33"/>
    </row>
    <row r="84" spans="1:5">
      <c r="C84" s="33"/>
    </row>
    <row r="85" spans="1:5">
      <c r="C85" s="33"/>
    </row>
    <row r="86" spans="1:5">
      <c r="C86" s="33"/>
    </row>
    <row r="87" spans="1:5">
      <c r="C87" s="33"/>
    </row>
    <row r="88" spans="1:5">
      <c r="A88" s="33"/>
      <c r="B88" s="33"/>
      <c r="C88" s="33"/>
    </row>
    <row r="89" spans="1:5">
      <c r="A89" s="33"/>
      <c r="B89" s="33"/>
      <c r="C89" s="33"/>
    </row>
    <row r="90" spans="1:5">
      <c r="A90" s="68"/>
      <c r="B90" s="68"/>
      <c r="C90" s="68"/>
    </row>
  </sheetData>
  <mergeCells count="1">
    <mergeCell ref="A5:E5"/>
  </mergeCells>
  <pageMargins left="0.7" right="0.7" top="0.75" bottom="0.75" header="0.3" footer="0.3"/>
  <pageSetup orientation="portrait" horizontalDpi="1200" verticalDpi="12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XFD197"/>
  <sheetViews>
    <sheetView topLeftCell="A70" zoomScale="64" zoomScaleNormal="55" workbookViewId="0">
      <selection activeCell="A118" sqref="A118:XFD118"/>
    </sheetView>
  </sheetViews>
  <sheetFormatPr defaultColWidth="9" defaultRowHeight="16.5"/>
  <cols>
    <col min="1" max="1" width="71.875" style="18" customWidth="1"/>
    <col min="2" max="2" width="49" style="18" bestFit="1" customWidth="1"/>
    <col min="3" max="3" width="8" style="18" bestFit="1" customWidth="1"/>
    <col min="4" max="4" width="7.75" style="262" bestFit="1" customWidth="1"/>
    <col min="5" max="5" width="17.125" style="18" bestFit="1" customWidth="1"/>
    <col min="6" max="8" width="16.75" style="18" bestFit="1" customWidth="1"/>
    <col min="9" max="9" width="16.125" style="18" bestFit="1" customWidth="1"/>
    <col min="10" max="15" width="16.75" style="18" bestFit="1" customWidth="1"/>
    <col min="16" max="17" width="17.125" style="18" bestFit="1" customWidth="1"/>
    <col min="18" max="18" width="16.375" style="18" bestFit="1" customWidth="1"/>
    <col min="19" max="20" width="16.75" style="18" bestFit="1" customWidth="1"/>
    <col min="21" max="21" width="17.125" style="18" bestFit="1" customWidth="1"/>
    <col min="22" max="22" width="16.75" style="18" bestFit="1" customWidth="1"/>
    <col min="23" max="23" width="17.125" style="18" bestFit="1" customWidth="1"/>
    <col min="24" max="24" width="16.75" style="18" bestFit="1" customWidth="1"/>
    <col min="25" max="25" width="22.625" style="18" bestFit="1" customWidth="1"/>
    <col min="26" max="16384" width="9" style="18"/>
  </cols>
  <sheetData>
    <row r="1" spans="1:25" ht="18.75" thickBot="1">
      <c r="A1" s="11" t="str">
        <f>Intro!A1</f>
        <v>Town of Bar Harbor</v>
      </c>
      <c r="B1" s="27"/>
      <c r="C1" s="17"/>
      <c r="D1" s="260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</row>
    <row r="2" spans="1:25" ht="17.25" thickBot="1">
      <c r="A2" s="380" t="str">
        <f>Intro!A2</f>
        <v>Ferry Property Business Plan</v>
      </c>
      <c r="B2" s="13"/>
      <c r="C2" s="17"/>
      <c r="D2" s="260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</row>
    <row r="3" spans="1:25" s="381" customFormat="1" ht="14.25" thickBot="1">
      <c r="A3" s="384" t="str">
        <f>Intro!A3</f>
        <v>05.23.2018</v>
      </c>
      <c r="B3" s="304"/>
      <c r="C3" s="387"/>
      <c r="D3" s="388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7"/>
      <c r="X3" s="387"/>
    </row>
    <row r="4" spans="1:25" s="381" customFormat="1" ht="13.5">
      <c r="A4" s="384" t="str">
        <f ca="1">Intro!A4</f>
        <v>Town of Bar Harbor</v>
      </c>
      <c r="B4" s="382"/>
      <c r="C4" s="383">
        <f ca="1">NOW()</f>
        <v>43242.835659143515</v>
      </c>
      <c r="D4" s="388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  <c r="Q4" s="387"/>
      <c r="R4" s="387"/>
      <c r="S4" s="387"/>
      <c r="T4" s="387"/>
      <c r="U4" s="387"/>
      <c r="V4" s="387"/>
      <c r="W4" s="387"/>
      <c r="X4" s="387"/>
    </row>
    <row r="5" spans="1:25">
      <c r="A5" s="244" t="s">
        <v>343</v>
      </c>
      <c r="B5" s="244"/>
      <c r="C5" s="245"/>
      <c r="D5" s="261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</row>
    <row r="6" spans="1:25">
      <c r="D6" s="485"/>
    </row>
    <row r="7" spans="1:25">
      <c r="A7" s="22"/>
      <c r="B7" s="71"/>
      <c r="C7" s="71"/>
      <c r="D7" s="72">
        <f>'Cruise Projections'!T7</f>
        <v>2018</v>
      </c>
      <c r="E7" s="72">
        <f>'Cruise Projections'!U7</f>
        <v>2019</v>
      </c>
      <c r="F7" s="72">
        <f>'Cruise Projections'!V7</f>
        <v>2020</v>
      </c>
      <c r="G7" s="72">
        <f>'Cruise Projections'!W7</f>
        <v>2021</v>
      </c>
      <c r="H7" s="72">
        <f>'Cruise Projections'!X7</f>
        <v>2022</v>
      </c>
      <c r="I7" s="72">
        <f>'Cruise Projections'!Y7</f>
        <v>2023</v>
      </c>
      <c r="J7" s="72">
        <f>'Cruise Projections'!Z7</f>
        <v>2024</v>
      </c>
      <c r="K7" s="72">
        <f>'Cruise Projections'!AA7</f>
        <v>2025</v>
      </c>
      <c r="L7" s="72">
        <f>'Cruise Projections'!AB7</f>
        <v>2026</v>
      </c>
      <c r="M7" s="72">
        <f>'Cruise Projections'!AC7</f>
        <v>2027</v>
      </c>
      <c r="N7" s="72">
        <f>'Cruise Projections'!AD7</f>
        <v>2028</v>
      </c>
      <c r="O7" s="72">
        <f>'Cruise Projections'!AE7</f>
        <v>2029</v>
      </c>
      <c r="P7" s="72">
        <f>'Cruise Projections'!AF7</f>
        <v>2030</v>
      </c>
      <c r="Q7" s="72">
        <f>'Cruise Projections'!AG7</f>
        <v>2031</v>
      </c>
      <c r="R7" s="72">
        <f>'Cruise Projections'!AH7</f>
        <v>2032</v>
      </c>
      <c r="S7" s="72">
        <f>'Cruise Projections'!AI7</f>
        <v>2033</v>
      </c>
      <c r="T7" s="72">
        <f>'Cruise Projections'!AJ7</f>
        <v>2034</v>
      </c>
      <c r="U7" s="72">
        <f>'Cruise Projections'!AK7</f>
        <v>2035</v>
      </c>
      <c r="V7" s="72">
        <f>'Cruise Projections'!AL7</f>
        <v>2036</v>
      </c>
      <c r="W7" s="72">
        <f>'Cruise Projections'!AM7</f>
        <v>2037</v>
      </c>
      <c r="X7" s="72">
        <f>'Cruise Projections'!AN7</f>
        <v>2038</v>
      </c>
    </row>
    <row r="8" spans="1:25" ht="17.25" thickBot="1">
      <c r="D8" s="488"/>
    </row>
    <row r="9" spans="1:25" ht="17.25" thickBot="1">
      <c r="A9" s="117" t="s">
        <v>34</v>
      </c>
      <c r="B9" s="484" t="str">
        <f>'Cruise Projections'!A89</f>
        <v>Scenario 5 - Percent of 2018 Business - NCLH</v>
      </c>
      <c r="D9" s="489"/>
      <c r="E9" s="327"/>
      <c r="F9" s="327"/>
      <c r="G9" s="327"/>
      <c r="H9" s="327"/>
      <c r="I9" s="327"/>
      <c r="J9" s="327"/>
      <c r="K9" s="327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</row>
    <row r="10" spans="1:25">
      <c r="D10" s="489"/>
      <c r="E10" s="327"/>
      <c r="F10" s="327"/>
      <c r="G10" s="327"/>
      <c r="H10" s="327"/>
      <c r="I10" s="327"/>
      <c r="J10" s="327"/>
      <c r="K10" s="327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</row>
    <row r="11" spans="1:25" s="279" customFormat="1" ht="14.25">
      <c r="A11" s="279" t="s">
        <v>83</v>
      </c>
      <c r="D11" s="490"/>
      <c r="E11" s="328"/>
      <c r="F11" s="328"/>
      <c r="G11" s="328"/>
      <c r="H11" s="328"/>
      <c r="I11" s="328"/>
      <c r="J11" s="328"/>
      <c r="K11" s="328"/>
      <c r="L11" s="328"/>
      <c r="M11" s="328"/>
      <c r="N11" s="328"/>
      <c r="O11" s="328"/>
      <c r="P11" s="328"/>
      <c r="Q11" s="328"/>
      <c r="R11" s="328"/>
      <c r="S11" s="328"/>
      <c r="T11" s="328"/>
      <c r="U11" s="328"/>
      <c r="V11" s="328"/>
      <c r="W11" s="328"/>
      <c r="X11" s="328"/>
    </row>
    <row r="12" spans="1:25">
      <c r="A12" s="53" t="str">
        <f>'Cruise Projections'!A67</f>
        <v>Passengers</v>
      </c>
      <c r="B12" s="21"/>
      <c r="C12" s="21"/>
      <c r="D12" s="486">
        <f>'Cruise Projections'!T67</f>
        <v>0</v>
      </c>
      <c r="E12" s="313">
        <v>0</v>
      </c>
      <c r="F12" s="313">
        <f>'Cruise Projections'!V91</f>
        <v>51920.067226246269</v>
      </c>
      <c r="G12" s="313">
        <f>'Cruise Projections'!W91</f>
        <v>51920.067226246269</v>
      </c>
      <c r="H12" s="313">
        <f>'Cruise Projections'!X91</f>
        <v>51920.067226246269</v>
      </c>
      <c r="I12" s="313">
        <f>'Cruise Projections'!Y91</f>
        <v>51920.067226246269</v>
      </c>
      <c r="J12" s="313">
        <f>'Cruise Projections'!Z91</f>
        <v>51920.067226246269</v>
      </c>
      <c r="K12" s="313">
        <f>'Cruise Projections'!AA91</f>
        <v>51920.067226246269</v>
      </c>
      <c r="L12" s="313">
        <f>'Cruise Projections'!AB91</f>
        <v>51920.067226246269</v>
      </c>
      <c r="M12" s="313">
        <f>'Cruise Projections'!AC91</f>
        <v>51920.067226246269</v>
      </c>
      <c r="N12" s="313">
        <f>'Cruise Projections'!AD91</f>
        <v>51920.067226246269</v>
      </c>
      <c r="O12" s="313">
        <f>'Cruise Projections'!AE91</f>
        <v>51920.067226246269</v>
      </c>
      <c r="P12" s="313">
        <f>'Cruise Projections'!AF91</f>
        <v>51920.067226246269</v>
      </c>
      <c r="Q12" s="313">
        <f>'Cruise Projections'!AG91</f>
        <v>51920.067226246269</v>
      </c>
      <c r="R12" s="313">
        <f>'Cruise Projections'!AH91</f>
        <v>51920.067226246269</v>
      </c>
      <c r="S12" s="313">
        <f>'Cruise Projections'!AI91</f>
        <v>51920.067226246269</v>
      </c>
      <c r="T12" s="313">
        <f>'Cruise Projections'!AJ91</f>
        <v>51920.067226246269</v>
      </c>
      <c r="U12" s="313">
        <f>'Cruise Projections'!AK91</f>
        <v>51920.067226246269</v>
      </c>
      <c r="V12" s="313">
        <f>'Cruise Projections'!AL91</f>
        <v>51920.067226246269</v>
      </c>
      <c r="W12" s="313">
        <f>'Cruise Projections'!AM91</f>
        <v>51920.067226246269</v>
      </c>
      <c r="X12" s="313">
        <f>'Cruise Projections'!AN91</f>
        <v>51920.067226246269</v>
      </c>
      <c r="Y12" s="312"/>
    </row>
    <row r="13" spans="1:25">
      <c r="A13" s="53" t="str">
        <f>'Cruise Projections'!A68</f>
        <v>Calls</v>
      </c>
      <c r="B13" s="21"/>
      <c r="C13" s="21"/>
      <c r="D13" s="486">
        <f>'Cruise Projections'!T68</f>
        <v>0</v>
      </c>
      <c r="E13" s="313">
        <v>0</v>
      </c>
      <c r="F13" s="313">
        <f>'Cruise Projections'!V92</f>
        <v>27.711111111111112</v>
      </c>
      <c r="G13" s="313">
        <f>'Cruise Projections'!W92</f>
        <v>27.711111111111112</v>
      </c>
      <c r="H13" s="313">
        <f>'Cruise Projections'!X92</f>
        <v>27.711111111111112</v>
      </c>
      <c r="I13" s="313">
        <f>'Cruise Projections'!Y92</f>
        <v>27.711111111111112</v>
      </c>
      <c r="J13" s="313">
        <f>'Cruise Projections'!Z92</f>
        <v>27.711111111111112</v>
      </c>
      <c r="K13" s="313">
        <f>'Cruise Projections'!AA92</f>
        <v>27.711111111111112</v>
      </c>
      <c r="L13" s="313">
        <f>'Cruise Projections'!AB92</f>
        <v>27.711111111111112</v>
      </c>
      <c r="M13" s="313">
        <f>'Cruise Projections'!AC92</f>
        <v>27.711111111111112</v>
      </c>
      <c r="N13" s="313">
        <f>'Cruise Projections'!AD92</f>
        <v>27.711111111111112</v>
      </c>
      <c r="O13" s="313">
        <f>'Cruise Projections'!AE92</f>
        <v>27.711111111111112</v>
      </c>
      <c r="P13" s="313">
        <f>'Cruise Projections'!AF92</f>
        <v>27.711111111111112</v>
      </c>
      <c r="Q13" s="313">
        <f>'Cruise Projections'!AG92</f>
        <v>27.711111111111112</v>
      </c>
      <c r="R13" s="313">
        <f>'Cruise Projections'!AH92</f>
        <v>27.711111111111112</v>
      </c>
      <c r="S13" s="313">
        <f>'Cruise Projections'!AI92</f>
        <v>27.711111111111112</v>
      </c>
      <c r="T13" s="313">
        <f>'Cruise Projections'!AJ92</f>
        <v>27.711111111111112</v>
      </c>
      <c r="U13" s="313">
        <f>'Cruise Projections'!AK92</f>
        <v>27.711111111111112</v>
      </c>
      <c r="V13" s="313">
        <f>'Cruise Projections'!AL92</f>
        <v>27.711111111111112</v>
      </c>
      <c r="W13" s="313">
        <f>'Cruise Projections'!AM92</f>
        <v>27.711111111111112</v>
      </c>
      <c r="X13" s="313">
        <f>'Cruise Projections'!AN92</f>
        <v>27.711111111111112</v>
      </c>
      <c r="Y13" s="312"/>
    </row>
    <row r="14" spans="1:25">
      <c r="A14" s="53" t="str">
        <f>'Cruise Projections'!A69</f>
        <v>Passengers per Call</v>
      </c>
      <c r="B14" s="21"/>
      <c r="C14" s="21"/>
      <c r="D14" s="486">
        <f>'Cruise Projections'!T69</f>
        <v>0</v>
      </c>
      <c r="E14" s="313">
        <v>0</v>
      </c>
      <c r="F14" s="313">
        <f>'Cruise Projections'!V93</f>
        <v>1873.6191059992639</v>
      </c>
      <c r="G14" s="313">
        <f>'Cruise Projections'!W93</f>
        <v>1873.6191059992639</v>
      </c>
      <c r="H14" s="313">
        <f>'Cruise Projections'!X93</f>
        <v>1873.6191059992639</v>
      </c>
      <c r="I14" s="313">
        <f>'Cruise Projections'!Y93</f>
        <v>1873.6191059992639</v>
      </c>
      <c r="J14" s="313">
        <f>'Cruise Projections'!Z93</f>
        <v>1873.6191059992639</v>
      </c>
      <c r="K14" s="313">
        <f>'Cruise Projections'!AA93</f>
        <v>1873.6191059992639</v>
      </c>
      <c r="L14" s="313">
        <f>'Cruise Projections'!AB93</f>
        <v>1873.6191059992639</v>
      </c>
      <c r="M14" s="313">
        <f>'Cruise Projections'!AC93</f>
        <v>1873.6191059992639</v>
      </c>
      <c r="N14" s="313">
        <f>'Cruise Projections'!AD93</f>
        <v>1873.6191059992639</v>
      </c>
      <c r="O14" s="313">
        <f>'Cruise Projections'!AE93</f>
        <v>1873.6191059992639</v>
      </c>
      <c r="P14" s="313">
        <f>'Cruise Projections'!AF93</f>
        <v>1873.6191059992639</v>
      </c>
      <c r="Q14" s="313">
        <f>'Cruise Projections'!AG93</f>
        <v>1873.6191059992639</v>
      </c>
      <c r="R14" s="313">
        <f>'Cruise Projections'!AH93</f>
        <v>1873.6191059992639</v>
      </c>
      <c r="S14" s="313">
        <f>'Cruise Projections'!AI93</f>
        <v>1873.6191059992639</v>
      </c>
      <c r="T14" s="313">
        <f>'Cruise Projections'!AJ93</f>
        <v>1873.6191059992639</v>
      </c>
      <c r="U14" s="313">
        <f>'Cruise Projections'!AK93</f>
        <v>1873.6191059992639</v>
      </c>
      <c r="V14" s="313">
        <f>'Cruise Projections'!AL93</f>
        <v>1873.6191059992639</v>
      </c>
      <c r="W14" s="313">
        <f>'Cruise Projections'!AM93</f>
        <v>1873.6191059992639</v>
      </c>
      <c r="X14" s="313">
        <f>'Cruise Projections'!AN93</f>
        <v>1873.6191059992639</v>
      </c>
      <c r="Y14" s="312"/>
    </row>
    <row r="15" spans="1:25" s="96" customFormat="1">
      <c r="A15" s="54" t="s">
        <v>313</v>
      </c>
      <c r="B15" s="487"/>
      <c r="C15" s="487"/>
      <c r="D15" s="486">
        <f>'Cruise Projections'!T70</f>
        <v>0</v>
      </c>
      <c r="E15" s="313">
        <v>0</v>
      </c>
      <c r="F15" s="313">
        <f>'Shuttle Projections'!D35</f>
        <v>4120</v>
      </c>
      <c r="G15" s="313">
        <f>'Shuttle Projections'!E35</f>
        <v>4120</v>
      </c>
      <c r="H15" s="313">
        <f>'Shuttle Projections'!F35</f>
        <v>4120</v>
      </c>
      <c r="I15" s="313">
        <f>'Shuttle Projections'!G35</f>
        <v>4120</v>
      </c>
      <c r="J15" s="313">
        <f>'Shuttle Projections'!H35</f>
        <v>4120</v>
      </c>
      <c r="K15" s="313">
        <f>'Shuttle Projections'!I35</f>
        <v>4120</v>
      </c>
      <c r="L15" s="313">
        <f>'Shuttle Projections'!J35</f>
        <v>4120</v>
      </c>
      <c r="M15" s="313">
        <f>'Shuttle Projections'!K35</f>
        <v>4120</v>
      </c>
      <c r="N15" s="313">
        <f>'Shuttle Projections'!L35</f>
        <v>4120</v>
      </c>
      <c r="O15" s="313">
        <f>'Shuttle Projections'!M35</f>
        <v>4120</v>
      </c>
      <c r="P15" s="313">
        <f>'Shuttle Projections'!N35</f>
        <v>4120</v>
      </c>
      <c r="Q15" s="313">
        <f>'Shuttle Projections'!O35</f>
        <v>4120</v>
      </c>
      <c r="R15" s="313">
        <f>'Shuttle Projections'!P35</f>
        <v>4120</v>
      </c>
      <c r="S15" s="313">
        <f>'Shuttle Projections'!Q35</f>
        <v>4120</v>
      </c>
      <c r="T15" s="313">
        <f>'Shuttle Projections'!R35</f>
        <v>4120</v>
      </c>
      <c r="U15" s="313">
        <f>'Shuttle Projections'!S35</f>
        <v>4120</v>
      </c>
      <c r="V15" s="313">
        <f>'Shuttle Projections'!T35</f>
        <v>4120</v>
      </c>
      <c r="W15" s="313">
        <f>'Shuttle Projections'!U35</f>
        <v>4120</v>
      </c>
      <c r="X15" s="313">
        <f>'Shuttle Projections'!V35</f>
        <v>4120</v>
      </c>
      <c r="Y15" s="313"/>
    </row>
    <row r="16" spans="1:25">
      <c r="A16" s="54"/>
      <c r="B16" s="21"/>
      <c r="C16" s="21"/>
      <c r="D16" s="486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</row>
    <row r="17" spans="1:25" s="279" customFormat="1" ht="14.25">
      <c r="A17" s="293" t="s">
        <v>163</v>
      </c>
      <c r="B17" s="294"/>
      <c r="C17" s="294"/>
      <c r="D17" s="491"/>
      <c r="E17" s="329"/>
      <c r="F17" s="329"/>
      <c r="G17" s="329"/>
      <c r="H17" s="329"/>
      <c r="I17" s="329"/>
      <c r="J17" s="329"/>
      <c r="K17" s="329"/>
      <c r="L17" s="329"/>
      <c r="M17" s="329"/>
      <c r="N17" s="329"/>
      <c r="O17" s="329"/>
      <c r="P17" s="329"/>
      <c r="Q17" s="329"/>
      <c r="R17" s="329"/>
      <c r="S17" s="329"/>
      <c r="T17" s="329"/>
      <c r="U17" s="329"/>
      <c r="V17" s="329"/>
      <c r="W17" s="329"/>
      <c r="X17" s="329"/>
    </row>
    <row r="18" spans="1:25" s="96" customFormat="1">
      <c r="A18" s="54" t="str">
        <f>'International Ferry Projections'!A11</f>
        <v>Passengers</v>
      </c>
      <c r="B18" s="487"/>
      <c r="C18" s="487"/>
      <c r="D18" s="486">
        <f>'International Ferry Projections'!B11</f>
        <v>0</v>
      </c>
      <c r="E18" s="313">
        <f>'International Ferry Projections'!C11</f>
        <v>60000</v>
      </c>
      <c r="F18" s="313">
        <f>'International Ferry Projections'!D11</f>
        <v>70000</v>
      </c>
      <c r="G18" s="313">
        <f>'International Ferry Projections'!E11</f>
        <v>80000</v>
      </c>
      <c r="H18" s="313">
        <f>'International Ferry Projections'!F11</f>
        <v>80000</v>
      </c>
      <c r="I18" s="313">
        <f>'International Ferry Projections'!G11</f>
        <v>80000</v>
      </c>
      <c r="J18" s="313">
        <f>'International Ferry Projections'!H11</f>
        <v>80000</v>
      </c>
      <c r="K18" s="313">
        <f>'International Ferry Projections'!I11</f>
        <v>80000</v>
      </c>
      <c r="L18" s="313">
        <f>'International Ferry Projections'!J11</f>
        <v>80000</v>
      </c>
      <c r="M18" s="313">
        <f>'International Ferry Projections'!K11</f>
        <v>80000</v>
      </c>
      <c r="N18" s="313">
        <f>'International Ferry Projections'!L11</f>
        <v>80000</v>
      </c>
      <c r="O18" s="313">
        <f>'International Ferry Projections'!M11</f>
        <v>80000</v>
      </c>
      <c r="P18" s="313">
        <f>'International Ferry Projections'!N11</f>
        <v>80000</v>
      </c>
      <c r="Q18" s="313">
        <f>'International Ferry Projections'!O11</f>
        <v>80000</v>
      </c>
      <c r="R18" s="313">
        <f>'International Ferry Projections'!P11</f>
        <v>80000</v>
      </c>
      <c r="S18" s="313">
        <f>'International Ferry Projections'!Q11</f>
        <v>80000</v>
      </c>
      <c r="T18" s="313">
        <f>'International Ferry Projections'!R11</f>
        <v>80000</v>
      </c>
      <c r="U18" s="313">
        <f>'International Ferry Projections'!S11</f>
        <v>80000</v>
      </c>
      <c r="V18" s="313">
        <f>'International Ferry Projections'!T11</f>
        <v>80000</v>
      </c>
      <c r="W18" s="313">
        <f>'International Ferry Projections'!U11</f>
        <v>80000</v>
      </c>
      <c r="X18" s="313">
        <f>'International Ferry Projections'!V11</f>
        <v>80000</v>
      </c>
    </row>
    <row r="19" spans="1:25" s="96" customFormat="1">
      <c r="A19" s="54" t="str">
        <f>'International Ferry Projections'!A12</f>
        <v>Cars</v>
      </c>
      <c r="B19" s="487"/>
      <c r="C19" s="487"/>
      <c r="D19" s="486">
        <f>'International Ferry Projections'!B12</f>
        <v>0</v>
      </c>
      <c r="E19" s="313">
        <f>'International Ferry Projections'!C12</f>
        <v>24000</v>
      </c>
      <c r="F19" s="313">
        <f>'International Ferry Projections'!D12</f>
        <v>28000</v>
      </c>
      <c r="G19" s="313">
        <f>'International Ferry Projections'!E12</f>
        <v>32000</v>
      </c>
      <c r="H19" s="313">
        <f>'International Ferry Projections'!F12</f>
        <v>32000</v>
      </c>
      <c r="I19" s="313">
        <f>'International Ferry Projections'!G12</f>
        <v>32000</v>
      </c>
      <c r="J19" s="313">
        <f>'International Ferry Projections'!H12</f>
        <v>32000</v>
      </c>
      <c r="K19" s="313">
        <f>'International Ferry Projections'!I12</f>
        <v>32000</v>
      </c>
      <c r="L19" s="313">
        <f>'International Ferry Projections'!J12</f>
        <v>32000</v>
      </c>
      <c r="M19" s="313">
        <f>'International Ferry Projections'!K12</f>
        <v>32000</v>
      </c>
      <c r="N19" s="313">
        <f>'International Ferry Projections'!L12</f>
        <v>32000</v>
      </c>
      <c r="O19" s="313">
        <f>'International Ferry Projections'!M12</f>
        <v>32000</v>
      </c>
      <c r="P19" s="313">
        <f>'International Ferry Projections'!N12</f>
        <v>32000</v>
      </c>
      <c r="Q19" s="313">
        <f>'International Ferry Projections'!O12</f>
        <v>32000</v>
      </c>
      <c r="R19" s="313">
        <f>'International Ferry Projections'!P12</f>
        <v>32000</v>
      </c>
      <c r="S19" s="313">
        <f>'International Ferry Projections'!Q12</f>
        <v>32000</v>
      </c>
      <c r="T19" s="313">
        <f>'International Ferry Projections'!R12</f>
        <v>32000</v>
      </c>
      <c r="U19" s="313">
        <f>'International Ferry Projections'!S12</f>
        <v>32000</v>
      </c>
      <c r="V19" s="313">
        <f>'International Ferry Projections'!T12</f>
        <v>32000</v>
      </c>
      <c r="W19" s="313">
        <f>'International Ferry Projections'!U12</f>
        <v>32000</v>
      </c>
      <c r="X19" s="313">
        <f>'International Ferry Projections'!V12</f>
        <v>32000</v>
      </c>
    </row>
    <row r="20" spans="1:25" s="96" customFormat="1">
      <c r="A20" s="54" t="str">
        <f>'International Ferry Projections'!A13</f>
        <v>Buses</v>
      </c>
      <c r="B20" s="487"/>
      <c r="C20" s="487"/>
      <c r="D20" s="486">
        <f>'International Ferry Projections'!B13</f>
        <v>0</v>
      </c>
      <c r="E20" s="313">
        <f>'International Ferry Projections'!C13</f>
        <v>40</v>
      </c>
      <c r="F20" s="313">
        <f>'International Ferry Projections'!D13</f>
        <v>50</v>
      </c>
      <c r="G20" s="313">
        <f>'International Ferry Projections'!E13</f>
        <v>60</v>
      </c>
      <c r="H20" s="313">
        <f>'International Ferry Projections'!F13</f>
        <v>60</v>
      </c>
      <c r="I20" s="313">
        <f>'International Ferry Projections'!G13</f>
        <v>60</v>
      </c>
      <c r="J20" s="313">
        <f>'International Ferry Projections'!H13</f>
        <v>60</v>
      </c>
      <c r="K20" s="313">
        <f>'International Ferry Projections'!I13</f>
        <v>60</v>
      </c>
      <c r="L20" s="313">
        <f>'International Ferry Projections'!J13</f>
        <v>60</v>
      </c>
      <c r="M20" s="313">
        <f>'International Ferry Projections'!K13</f>
        <v>60</v>
      </c>
      <c r="N20" s="313">
        <f>'International Ferry Projections'!L13</f>
        <v>60</v>
      </c>
      <c r="O20" s="313">
        <f>'International Ferry Projections'!M13</f>
        <v>60</v>
      </c>
      <c r="P20" s="313">
        <f>'International Ferry Projections'!N13</f>
        <v>60</v>
      </c>
      <c r="Q20" s="313">
        <f>'International Ferry Projections'!O13</f>
        <v>60</v>
      </c>
      <c r="R20" s="313">
        <f>'International Ferry Projections'!P13</f>
        <v>60</v>
      </c>
      <c r="S20" s="313">
        <f>'International Ferry Projections'!Q13</f>
        <v>60</v>
      </c>
      <c r="T20" s="313">
        <f>'International Ferry Projections'!R13</f>
        <v>60</v>
      </c>
      <c r="U20" s="313">
        <f>'International Ferry Projections'!S13</f>
        <v>60</v>
      </c>
      <c r="V20" s="313">
        <f>'International Ferry Projections'!T13</f>
        <v>60</v>
      </c>
      <c r="W20" s="313">
        <f>'International Ferry Projections'!U13</f>
        <v>60</v>
      </c>
      <c r="X20" s="313">
        <f>'International Ferry Projections'!V13</f>
        <v>60</v>
      </c>
    </row>
    <row r="21" spans="1:25">
      <c r="A21" s="54"/>
      <c r="B21" s="21"/>
      <c r="C21" s="21"/>
      <c r="D21" s="486"/>
      <c r="E21" s="313"/>
      <c r="F21" s="313"/>
      <c r="G21" s="313"/>
      <c r="H21" s="313"/>
      <c r="I21" s="313"/>
      <c r="J21" s="313"/>
      <c r="K21" s="313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</row>
    <row r="22" spans="1:25" s="582" customFormat="1">
      <c r="A22" s="293" t="str">
        <f>'BH Tariffs'!A30</f>
        <v>Local Ferry</v>
      </c>
      <c r="B22" s="581"/>
      <c r="C22" s="581"/>
      <c r="D22" s="486">
        <v>0</v>
      </c>
      <c r="E22" s="329"/>
      <c r="F22" s="329"/>
      <c r="G22" s="329"/>
      <c r="H22" s="329"/>
      <c r="I22" s="329"/>
      <c r="J22" s="329"/>
      <c r="K22" s="329"/>
      <c r="L22" s="329"/>
      <c r="M22" s="329"/>
      <c r="N22" s="329"/>
      <c r="O22" s="329"/>
      <c r="P22" s="329"/>
      <c r="Q22" s="329"/>
      <c r="R22" s="329"/>
      <c r="S22" s="329"/>
      <c r="T22" s="329"/>
      <c r="U22" s="329"/>
      <c r="V22" s="329"/>
      <c r="W22" s="329"/>
      <c r="X22" s="329"/>
    </row>
    <row r="23" spans="1:25" s="96" customFormat="1">
      <c r="A23" s="54" t="str">
        <f>'BH Tariffs'!A31</f>
        <v>Dock Rent (6 Months Only)</v>
      </c>
      <c r="B23" s="487"/>
      <c r="C23" s="487"/>
      <c r="D23" s="486">
        <v>0</v>
      </c>
      <c r="E23" s="623" t="s">
        <v>286</v>
      </c>
      <c r="F23" s="623" t="s">
        <v>286</v>
      </c>
      <c r="G23" s="623" t="s">
        <v>286</v>
      </c>
      <c r="H23" s="623" t="s">
        <v>286</v>
      </c>
      <c r="I23" s="623" t="s">
        <v>286</v>
      </c>
      <c r="J23" s="623" t="s">
        <v>286</v>
      </c>
      <c r="K23" s="623" t="s">
        <v>286</v>
      </c>
      <c r="L23" s="623" t="s">
        <v>286</v>
      </c>
      <c r="M23" s="623" t="s">
        <v>286</v>
      </c>
      <c r="N23" s="623" t="s">
        <v>286</v>
      </c>
      <c r="O23" s="623" t="s">
        <v>286</v>
      </c>
      <c r="P23" s="623" t="s">
        <v>286</v>
      </c>
      <c r="Q23" s="623" t="s">
        <v>286</v>
      </c>
      <c r="R23" s="623" t="s">
        <v>286</v>
      </c>
      <c r="S23" s="623" t="s">
        <v>286</v>
      </c>
      <c r="T23" s="623" t="s">
        <v>286</v>
      </c>
      <c r="U23" s="623" t="s">
        <v>286</v>
      </c>
      <c r="V23" s="623" t="s">
        <v>286</v>
      </c>
      <c r="W23" s="623" t="s">
        <v>286</v>
      </c>
      <c r="X23" s="623" t="s">
        <v>286</v>
      </c>
    </row>
    <row r="24" spans="1:25" s="341" customFormat="1">
      <c r="A24" s="552"/>
      <c r="B24" s="553"/>
      <c r="C24" s="553"/>
      <c r="D24" s="554"/>
      <c r="E24" s="555"/>
      <c r="F24" s="555"/>
      <c r="G24" s="555"/>
      <c r="H24" s="555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</row>
    <row r="25" spans="1:25" s="96" customFormat="1">
      <c r="A25" s="559" t="s">
        <v>227</v>
      </c>
      <c r="B25" s="487"/>
      <c r="C25" s="487"/>
      <c r="D25" s="486"/>
      <c r="E25" s="313"/>
      <c r="F25" s="313"/>
      <c r="G25" s="313"/>
      <c r="H25" s="313"/>
      <c r="I25" s="313"/>
      <c r="J25" s="313"/>
      <c r="K25" s="313"/>
      <c r="L25" s="313"/>
      <c r="M25" s="313"/>
      <c r="N25" s="313"/>
      <c r="O25" s="313"/>
      <c r="P25" s="313"/>
      <c r="Q25" s="313"/>
      <c r="R25" s="313"/>
      <c r="S25" s="313"/>
      <c r="T25" s="313"/>
      <c r="U25" s="313"/>
      <c r="V25" s="313"/>
      <c r="W25" s="313"/>
      <c r="X25" s="313"/>
    </row>
    <row r="26" spans="1:25">
      <c r="A26" s="54"/>
      <c r="B26" s="21"/>
      <c r="C26" s="21"/>
      <c r="D26" s="486"/>
      <c r="E26" s="313"/>
      <c r="F26" s="313"/>
      <c r="G26" s="313"/>
      <c r="H26" s="313"/>
      <c r="I26" s="313"/>
      <c r="J26" s="313"/>
      <c r="K26" s="313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</row>
    <row r="27" spans="1:25">
      <c r="A27" s="54" t="s">
        <v>420</v>
      </c>
      <c r="B27" s="21"/>
      <c r="C27" s="21"/>
      <c r="D27" s="486">
        <v>0</v>
      </c>
      <c r="E27" s="313">
        <f>'Marina Projections'!C9</f>
        <v>0</v>
      </c>
      <c r="F27" s="313">
        <f>'Marina Projections'!D9</f>
        <v>214</v>
      </c>
      <c r="G27" s="313">
        <f>'Marina Projections'!E9</f>
        <v>214</v>
      </c>
      <c r="H27" s="313">
        <f>'Marina Projections'!F9</f>
        <v>214</v>
      </c>
      <c r="I27" s="313">
        <f>'Marina Projections'!G9</f>
        <v>214</v>
      </c>
      <c r="J27" s="313">
        <f>'Marina Projections'!H9</f>
        <v>214</v>
      </c>
      <c r="K27" s="313">
        <f>'Marina Projections'!I9</f>
        <v>214</v>
      </c>
      <c r="L27" s="313">
        <f>'Marina Projections'!J9</f>
        <v>214</v>
      </c>
      <c r="M27" s="313">
        <f>'Marina Projections'!K9</f>
        <v>214</v>
      </c>
      <c r="N27" s="313">
        <f>'Marina Projections'!L9</f>
        <v>214</v>
      </c>
      <c r="O27" s="313">
        <f>'Marina Projections'!M9</f>
        <v>214</v>
      </c>
      <c r="P27" s="313">
        <f>'Marina Projections'!N9</f>
        <v>214</v>
      </c>
      <c r="Q27" s="313">
        <f>'Marina Projections'!O9</f>
        <v>214</v>
      </c>
      <c r="R27" s="313">
        <f>'Marina Projections'!P9</f>
        <v>214</v>
      </c>
      <c r="S27" s="313">
        <f>'Marina Projections'!Q9</f>
        <v>214</v>
      </c>
      <c r="T27" s="313">
        <f>'Marina Projections'!R9</f>
        <v>214</v>
      </c>
      <c r="U27" s="313">
        <f>'Marina Projections'!S9</f>
        <v>214</v>
      </c>
      <c r="V27" s="313">
        <f>'Marina Projections'!T9</f>
        <v>214</v>
      </c>
      <c r="W27" s="313">
        <f>'Marina Projections'!U9</f>
        <v>214</v>
      </c>
      <c r="X27" s="313">
        <f>'Marina Projections'!V9</f>
        <v>214</v>
      </c>
    </row>
    <row r="28" spans="1:25">
      <c r="A28" s="54" t="s">
        <v>205</v>
      </c>
      <c r="B28" s="21"/>
      <c r="C28" s="21"/>
      <c r="D28" s="486">
        <v>0</v>
      </c>
      <c r="E28" s="330">
        <v>0</v>
      </c>
      <c r="F28" s="330">
        <f>'Cruise Projections'!V92</f>
        <v>27.711111111111112</v>
      </c>
      <c r="G28" s="330">
        <f>'Cruise Projections'!W92</f>
        <v>27.711111111111112</v>
      </c>
      <c r="H28" s="330">
        <f>'Cruise Projections'!X92</f>
        <v>27.711111111111112</v>
      </c>
      <c r="I28" s="330">
        <f>'Cruise Projections'!Y92</f>
        <v>27.711111111111112</v>
      </c>
      <c r="J28" s="330">
        <f>'Cruise Projections'!Z92</f>
        <v>27.711111111111112</v>
      </c>
      <c r="K28" s="330">
        <f>'Cruise Projections'!AA92</f>
        <v>27.711111111111112</v>
      </c>
      <c r="L28" s="330">
        <f>'Cruise Projections'!AB92</f>
        <v>27.711111111111112</v>
      </c>
      <c r="M28" s="330">
        <f>'Cruise Projections'!AC92</f>
        <v>27.711111111111112</v>
      </c>
      <c r="N28" s="330">
        <f>'Cruise Projections'!AD92</f>
        <v>27.711111111111112</v>
      </c>
      <c r="O28" s="330">
        <f>'Cruise Projections'!AE92</f>
        <v>27.711111111111112</v>
      </c>
      <c r="P28" s="330">
        <f>'Cruise Projections'!AF92</f>
        <v>27.711111111111112</v>
      </c>
      <c r="Q28" s="330">
        <f>'Cruise Projections'!AG92</f>
        <v>27.711111111111112</v>
      </c>
      <c r="R28" s="330">
        <f>'Cruise Projections'!AH92</f>
        <v>27.711111111111112</v>
      </c>
      <c r="S28" s="330">
        <f>'Cruise Projections'!AI92</f>
        <v>27.711111111111112</v>
      </c>
      <c r="T28" s="330">
        <f>'Cruise Projections'!AJ92</f>
        <v>27.711111111111112</v>
      </c>
      <c r="U28" s="330">
        <f>'Cruise Projections'!AK92</f>
        <v>27.711111111111112</v>
      </c>
      <c r="V28" s="330">
        <f>'Cruise Projections'!AL92</f>
        <v>27.711111111111112</v>
      </c>
      <c r="W28" s="330">
        <f>'Cruise Projections'!AM92</f>
        <v>27.711111111111112</v>
      </c>
      <c r="X28" s="330">
        <f>'Cruise Projections'!AN92</f>
        <v>27.711111111111112</v>
      </c>
      <c r="Y28" s="32"/>
    </row>
    <row r="29" spans="1:25">
      <c r="A29" s="54" t="s">
        <v>219</v>
      </c>
      <c r="B29" s="21"/>
      <c r="C29" s="21"/>
      <c r="D29" s="486">
        <v>0</v>
      </c>
      <c r="E29" s="330">
        <v>150</v>
      </c>
      <c r="F29" s="330">
        <f>E29</f>
        <v>150</v>
      </c>
      <c r="G29" s="330">
        <f t="shared" ref="G29:X29" si="0">F29</f>
        <v>150</v>
      </c>
      <c r="H29" s="330">
        <f t="shared" si="0"/>
        <v>150</v>
      </c>
      <c r="I29" s="330">
        <f t="shared" si="0"/>
        <v>150</v>
      </c>
      <c r="J29" s="330">
        <f t="shared" si="0"/>
        <v>150</v>
      </c>
      <c r="K29" s="330">
        <f t="shared" si="0"/>
        <v>150</v>
      </c>
      <c r="L29" s="330">
        <f t="shared" si="0"/>
        <v>150</v>
      </c>
      <c r="M29" s="330">
        <f t="shared" si="0"/>
        <v>150</v>
      </c>
      <c r="N29" s="330">
        <f t="shared" si="0"/>
        <v>150</v>
      </c>
      <c r="O29" s="330">
        <f t="shared" si="0"/>
        <v>150</v>
      </c>
      <c r="P29" s="330">
        <f t="shared" si="0"/>
        <v>150</v>
      </c>
      <c r="Q29" s="330">
        <f t="shared" si="0"/>
        <v>150</v>
      </c>
      <c r="R29" s="330">
        <f t="shared" si="0"/>
        <v>150</v>
      </c>
      <c r="S29" s="330">
        <f t="shared" si="0"/>
        <v>150</v>
      </c>
      <c r="T29" s="330">
        <f t="shared" si="0"/>
        <v>150</v>
      </c>
      <c r="U29" s="330">
        <f t="shared" si="0"/>
        <v>150</v>
      </c>
      <c r="V29" s="330">
        <f t="shared" si="0"/>
        <v>150</v>
      </c>
      <c r="W29" s="330">
        <f t="shared" si="0"/>
        <v>150</v>
      </c>
      <c r="X29" s="330">
        <f t="shared" si="0"/>
        <v>150</v>
      </c>
      <c r="Y29" s="32"/>
    </row>
    <row r="30" spans="1:25">
      <c r="A30" s="54" t="s">
        <v>220</v>
      </c>
      <c r="B30" s="21"/>
      <c r="C30" s="21"/>
      <c r="D30" s="486">
        <v>0</v>
      </c>
      <c r="E30" s="495">
        <f>E28/E29</f>
        <v>0</v>
      </c>
      <c r="F30" s="495">
        <f t="shared" ref="F30:X30" si="1">F28/F29</f>
        <v>0.18474074074074076</v>
      </c>
      <c r="G30" s="495">
        <f t="shared" si="1"/>
        <v>0.18474074074074076</v>
      </c>
      <c r="H30" s="495">
        <f t="shared" si="1"/>
        <v>0.18474074074074076</v>
      </c>
      <c r="I30" s="495">
        <f t="shared" si="1"/>
        <v>0.18474074074074076</v>
      </c>
      <c r="J30" s="495">
        <f t="shared" si="1"/>
        <v>0.18474074074074076</v>
      </c>
      <c r="K30" s="495">
        <f t="shared" si="1"/>
        <v>0.18474074074074076</v>
      </c>
      <c r="L30" s="495">
        <f t="shared" si="1"/>
        <v>0.18474074074074076</v>
      </c>
      <c r="M30" s="495">
        <f t="shared" si="1"/>
        <v>0.18474074074074076</v>
      </c>
      <c r="N30" s="495">
        <f t="shared" si="1"/>
        <v>0.18474074074074076</v>
      </c>
      <c r="O30" s="495">
        <f t="shared" si="1"/>
        <v>0.18474074074074076</v>
      </c>
      <c r="P30" s="495">
        <f t="shared" si="1"/>
        <v>0.18474074074074076</v>
      </c>
      <c r="Q30" s="495">
        <f t="shared" si="1"/>
        <v>0.18474074074074076</v>
      </c>
      <c r="R30" s="495">
        <f t="shared" si="1"/>
        <v>0.18474074074074076</v>
      </c>
      <c r="S30" s="495">
        <f t="shared" si="1"/>
        <v>0.18474074074074076</v>
      </c>
      <c r="T30" s="495">
        <f t="shared" si="1"/>
        <v>0.18474074074074076</v>
      </c>
      <c r="U30" s="495">
        <f t="shared" si="1"/>
        <v>0.18474074074074076</v>
      </c>
      <c r="V30" s="495">
        <f t="shared" si="1"/>
        <v>0.18474074074074076</v>
      </c>
      <c r="W30" s="495">
        <f t="shared" si="1"/>
        <v>0.18474074074074076</v>
      </c>
      <c r="X30" s="495">
        <f t="shared" si="1"/>
        <v>0.18474074074074076</v>
      </c>
      <c r="Y30" s="32"/>
    </row>
    <row r="31" spans="1:25" s="96" customFormat="1">
      <c r="A31" s="54" t="s">
        <v>226</v>
      </c>
      <c r="B31" s="487"/>
      <c r="C31" s="487"/>
      <c r="D31" s="486">
        <v>0</v>
      </c>
      <c r="E31" s="330">
        <v>0</v>
      </c>
      <c r="F31" s="330">
        <v>125</v>
      </c>
      <c r="G31" s="330">
        <v>125</v>
      </c>
      <c r="H31" s="330">
        <v>125</v>
      </c>
      <c r="I31" s="330">
        <v>125</v>
      </c>
      <c r="J31" s="330">
        <v>125</v>
      </c>
      <c r="K31" s="330">
        <v>125</v>
      </c>
      <c r="L31" s="330">
        <v>125</v>
      </c>
      <c r="M31" s="330">
        <v>125</v>
      </c>
      <c r="N31" s="330">
        <v>125</v>
      </c>
      <c r="O31" s="330">
        <v>125</v>
      </c>
      <c r="P31" s="330">
        <v>125</v>
      </c>
      <c r="Q31" s="330">
        <v>125</v>
      </c>
      <c r="R31" s="330">
        <v>125</v>
      </c>
      <c r="S31" s="330">
        <v>125</v>
      </c>
      <c r="T31" s="330">
        <v>125</v>
      </c>
      <c r="U31" s="330">
        <v>125</v>
      </c>
      <c r="V31" s="330">
        <v>125</v>
      </c>
      <c r="W31" s="330">
        <v>125</v>
      </c>
      <c r="X31" s="330">
        <v>125</v>
      </c>
      <c r="Y31" s="58"/>
    </row>
    <row r="32" spans="1:25">
      <c r="A32" s="54"/>
      <c r="B32" s="21"/>
      <c r="C32" s="21"/>
      <c r="D32" s="486"/>
      <c r="E32" s="495"/>
      <c r="F32" s="495"/>
      <c r="G32" s="495"/>
      <c r="H32" s="495"/>
      <c r="I32" s="495"/>
      <c r="J32" s="495"/>
      <c r="K32" s="495"/>
      <c r="L32" s="495"/>
      <c r="M32" s="495"/>
      <c r="N32" s="495"/>
      <c r="O32" s="495"/>
      <c r="P32" s="495"/>
      <c r="Q32" s="495"/>
      <c r="R32" s="495"/>
      <c r="S32" s="495"/>
      <c r="T32" s="495"/>
      <c r="U32" s="495"/>
      <c r="V32" s="495"/>
      <c r="W32" s="495"/>
      <c r="X32" s="495"/>
      <c r="Y32" s="32"/>
    </row>
    <row r="33" spans="1:24">
      <c r="A33" s="54" t="s">
        <v>206</v>
      </c>
      <c r="B33" s="21"/>
      <c r="C33" s="21"/>
      <c r="D33" s="486">
        <v>0</v>
      </c>
      <c r="E33" s="313">
        <v>0</v>
      </c>
      <c r="F33" s="313">
        <f t="shared" ref="F33:X33" si="2">F12/F28</f>
        <v>1873.6191059992639</v>
      </c>
      <c r="G33" s="313">
        <f t="shared" si="2"/>
        <v>1873.6191059992639</v>
      </c>
      <c r="H33" s="313">
        <f t="shared" si="2"/>
        <v>1873.6191059992639</v>
      </c>
      <c r="I33" s="313">
        <f t="shared" si="2"/>
        <v>1873.6191059992639</v>
      </c>
      <c r="J33" s="313">
        <f t="shared" si="2"/>
        <v>1873.6191059992639</v>
      </c>
      <c r="K33" s="313">
        <f t="shared" si="2"/>
        <v>1873.6191059992639</v>
      </c>
      <c r="L33" s="313">
        <f t="shared" si="2"/>
        <v>1873.6191059992639</v>
      </c>
      <c r="M33" s="313">
        <f t="shared" si="2"/>
        <v>1873.6191059992639</v>
      </c>
      <c r="N33" s="313">
        <f t="shared" si="2"/>
        <v>1873.6191059992639</v>
      </c>
      <c r="O33" s="313">
        <f t="shared" si="2"/>
        <v>1873.6191059992639</v>
      </c>
      <c r="P33" s="313">
        <f t="shared" si="2"/>
        <v>1873.6191059992639</v>
      </c>
      <c r="Q33" s="313">
        <f t="shared" si="2"/>
        <v>1873.6191059992639</v>
      </c>
      <c r="R33" s="313">
        <f t="shared" si="2"/>
        <v>1873.6191059992639</v>
      </c>
      <c r="S33" s="313">
        <f t="shared" si="2"/>
        <v>1873.6191059992639</v>
      </c>
      <c r="T33" s="313">
        <f t="shared" si="2"/>
        <v>1873.6191059992639</v>
      </c>
      <c r="U33" s="313">
        <f t="shared" si="2"/>
        <v>1873.6191059992639</v>
      </c>
      <c r="V33" s="313">
        <f t="shared" si="2"/>
        <v>1873.6191059992639</v>
      </c>
      <c r="W33" s="313">
        <f t="shared" si="2"/>
        <v>1873.6191059992639</v>
      </c>
      <c r="X33" s="313">
        <f t="shared" si="2"/>
        <v>1873.6191059992639</v>
      </c>
    </row>
    <row r="34" spans="1:24">
      <c r="A34" s="54" t="s">
        <v>207</v>
      </c>
      <c r="B34" s="21"/>
      <c r="C34" s="21"/>
      <c r="D34" s="486">
        <v>0</v>
      </c>
      <c r="E34" s="313">
        <v>0</v>
      </c>
      <c r="F34" s="313">
        <v>5500</v>
      </c>
      <c r="G34" s="313">
        <v>5500</v>
      </c>
      <c r="H34" s="313">
        <v>5500</v>
      </c>
      <c r="I34" s="313">
        <v>5500</v>
      </c>
      <c r="J34" s="313">
        <v>5500</v>
      </c>
      <c r="K34" s="313">
        <v>5500</v>
      </c>
      <c r="L34" s="313">
        <v>5500</v>
      </c>
      <c r="M34" s="313">
        <v>5500</v>
      </c>
      <c r="N34" s="313">
        <v>5500</v>
      </c>
      <c r="O34" s="313">
        <v>5500</v>
      </c>
      <c r="P34" s="313">
        <v>5500</v>
      </c>
      <c r="Q34" s="313">
        <v>5500</v>
      </c>
      <c r="R34" s="313">
        <v>5500</v>
      </c>
      <c r="S34" s="313">
        <v>5500</v>
      </c>
      <c r="T34" s="313">
        <v>5500</v>
      </c>
      <c r="U34" s="313">
        <v>5500</v>
      </c>
      <c r="V34" s="313">
        <v>5500</v>
      </c>
      <c r="W34" s="313">
        <v>5500</v>
      </c>
      <c r="X34" s="313">
        <v>5500</v>
      </c>
    </row>
    <row r="35" spans="1:24">
      <c r="A35" s="54" t="s">
        <v>221</v>
      </c>
      <c r="B35" s="21"/>
      <c r="C35" s="21"/>
      <c r="D35" s="486">
        <v>0</v>
      </c>
      <c r="E35" s="330">
        <f>E18/E29</f>
        <v>400</v>
      </c>
      <c r="F35" s="330">
        <f t="shared" ref="F35:X35" si="3">F18/F29</f>
        <v>466.66666666666669</v>
      </c>
      <c r="G35" s="330">
        <f t="shared" si="3"/>
        <v>533.33333333333337</v>
      </c>
      <c r="H35" s="330">
        <f t="shared" si="3"/>
        <v>533.33333333333337</v>
      </c>
      <c r="I35" s="330">
        <f t="shared" si="3"/>
        <v>533.33333333333337</v>
      </c>
      <c r="J35" s="330">
        <f t="shared" si="3"/>
        <v>533.33333333333337</v>
      </c>
      <c r="K35" s="330">
        <f t="shared" si="3"/>
        <v>533.33333333333337</v>
      </c>
      <c r="L35" s="330">
        <f t="shared" si="3"/>
        <v>533.33333333333337</v>
      </c>
      <c r="M35" s="330">
        <f t="shared" si="3"/>
        <v>533.33333333333337</v>
      </c>
      <c r="N35" s="330">
        <f t="shared" si="3"/>
        <v>533.33333333333337</v>
      </c>
      <c r="O35" s="330">
        <f t="shared" si="3"/>
        <v>533.33333333333337</v>
      </c>
      <c r="P35" s="330">
        <f t="shared" si="3"/>
        <v>533.33333333333337</v>
      </c>
      <c r="Q35" s="330">
        <f t="shared" si="3"/>
        <v>533.33333333333337</v>
      </c>
      <c r="R35" s="330">
        <f t="shared" si="3"/>
        <v>533.33333333333337</v>
      </c>
      <c r="S35" s="330">
        <f t="shared" si="3"/>
        <v>533.33333333333337</v>
      </c>
      <c r="T35" s="330">
        <f t="shared" si="3"/>
        <v>533.33333333333337</v>
      </c>
      <c r="U35" s="330">
        <f t="shared" si="3"/>
        <v>533.33333333333337</v>
      </c>
      <c r="V35" s="330">
        <f t="shared" si="3"/>
        <v>533.33333333333337</v>
      </c>
      <c r="W35" s="330">
        <f t="shared" si="3"/>
        <v>533.33333333333337</v>
      </c>
      <c r="X35" s="330">
        <f t="shared" si="3"/>
        <v>533.33333333333337</v>
      </c>
    </row>
    <row r="36" spans="1:24">
      <c r="A36" s="54" t="s">
        <v>222</v>
      </c>
      <c r="B36" s="21"/>
      <c r="C36" s="21"/>
      <c r="D36" s="486">
        <v>0</v>
      </c>
      <c r="E36" s="330">
        <v>800</v>
      </c>
      <c r="F36" s="330">
        <v>800</v>
      </c>
      <c r="G36" s="330">
        <v>800</v>
      </c>
      <c r="H36" s="330">
        <v>800</v>
      </c>
      <c r="I36" s="330">
        <v>800</v>
      </c>
      <c r="J36" s="330">
        <v>800</v>
      </c>
      <c r="K36" s="330">
        <v>800</v>
      </c>
      <c r="L36" s="330">
        <v>800</v>
      </c>
      <c r="M36" s="330">
        <v>800</v>
      </c>
      <c r="N36" s="330">
        <v>800</v>
      </c>
      <c r="O36" s="330">
        <v>800</v>
      </c>
      <c r="P36" s="330">
        <v>800</v>
      </c>
      <c r="Q36" s="330">
        <v>800</v>
      </c>
      <c r="R36" s="330">
        <v>800</v>
      </c>
      <c r="S36" s="330">
        <v>800</v>
      </c>
      <c r="T36" s="330">
        <v>800</v>
      </c>
      <c r="U36" s="330">
        <v>800</v>
      </c>
      <c r="V36" s="330">
        <v>800</v>
      </c>
      <c r="W36" s="330">
        <v>800</v>
      </c>
      <c r="X36" s="330">
        <v>800</v>
      </c>
    </row>
    <row r="37" spans="1:24">
      <c r="A37" s="54" t="s">
        <v>208</v>
      </c>
      <c r="B37" s="21"/>
      <c r="C37" s="21"/>
      <c r="D37" s="486">
        <v>0</v>
      </c>
      <c r="E37" s="330">
        <f>SUM(E34,E36)</f>
        <v>800</v>
      </c>
      <c r="F37" s="330">
        <f t="shared" ref="F37:X37" si="4">SUM(F34,F36)</f>
        <v>6300</v>
      </c>
      <c r="G37" s="330">
        <f t="shared" si="4"/>
        <v>6300</v>
      </c>
      <c r="H37" s="330">
        <f t="shared" si="4"/>
        <v>6300</v>
      </c>
      <c r="I37" s="330">
        <f t="shared" si="4"/>
        <v>6300</v>
      </c>
      <c r="J37" s="330">
        <f t="shared" si="4"/>
        <v>6300</v>
      </c>
      <c r="K37" s="330">
        <f t="shared" si="4"/>
        <v>6300</v>
      </c>
      <c r="L37" s="330">
        <f t="shared" si="4"/>
        <v>6300</v>
      </c>
      <c r="M37" s="330">
        <f t="shared" si="4"/>
        <v>6300</v>
      </c>
      <c r="N37" s="330">
        <f t="shared" si="4"/>
        <v>6300</v>
      </c>
      <c r="O37" s="330">
        <f t="shared" si="4"/>
        <v>6300</v>
      </c>
      <c r="P37" s="330">
        <f t="shared" si="4"/>
        <v>6300</v>
      </c>
      <c r="Q37" s="330">
        <f t="shared" si="4"/>
        <v>6300</v>
      </c>
      <c r="R37" s="330">
        <f t="shared" si="4"/>
        <v>6300</v>
      </c>
      <c r="S37" s="330">
        <f t="shared" si="4"/>
        <v>6300</v>
      </c>
      <c r="T37" s="330">
        <f t="shared" si="4"/>
        <v>6300</v>
      </c>
      <c r="U37" s="330">
        <f t="shared" si="4"/>
        <v>6300</v>
      </c>
      <c r="V37" s="330">
        <f t="shared" si="4"/>
        <v>6300</v>
      </c>
      <c r="W37" s="330">
        <f t="shared" si="4"/>
        <v>6300</v>
      </c>
      <c r="X37" s="330">
        <f t="shared" si="4"/>
        <v>6300</v>
      </c>
    </row>
    <row r="38" spans="1:24">
      <c r="A38" s="54"/>
      <c r="B38" s="21"/>
      <c r="C38" s="21"/>
      <c r="D38" s="486"/>
      <c r="E38" s="330"/>
      <c r="F38" s="330"/>
      <c r="G38" s="330"/>
      <c r="H38" s="330"/>
      <c r="I38" s="330"/>
      <c r="J38" s="330"/>
      <c r="K38" s="330"/>
      <c r="L38" s="330"/>
      <c r="M38" s="330"/>
      <c r="N38" s="330"/>
      <c r="O38" s="330"/>
      <c r="P38" s="330"/>
      <c r="Q38" s="330"/>
      <c r="R38" s="330"/>
      <c r="S38" s="330"/>
      <c r="T38" s="330"/>
      <c r="U38" s="330"/>
      <c r="V38" s="330"/>
      <c r="W38" s="330"/>
      <c r="X38" s="330"/>
    </row>
    <row r="39" spans="1:24">
      <c r="A39" s="54" t="s">
        <v>223</v>
      </c>
      <c r="B39" s="74"/>
      <c r="C39" s="74"/>
      <c r="D39" s="486">
        <v>0</v>
      </c>
      <c r="E39" s="313">
        <f>(E19+E20)/E29</f>
        <v>160.26666666666668</v>
      </c>
      <c r="F39" s="313">
        <f t="shared" ref="F39:X39" si="5">(F19+F20)/F29</f>
        <v>187</v>
      </c>
      <c r="G39" s="313">
        <f t="shared" si="5"/>
        <v>213.73333333333332</v>
      </c>
      <c r="H39" s="313">
        <f t="shared" si="5"/>
        <v>213.73333333333332</v>
      </c>
      <c r="I39" s="313">
        <f t="shared" si="5"/>
        <v>213.73333333333332</v>
      </c>
      <c r="J39" s="313">
        <f t="shared" si="5"/>
        <v>213.73333333333332</v>
      </c>
      <c r="K39" s="313">
        <f t="shared" si="5"/>
        <v>213.73333333333332</v>
      </c>
      <c r="L39" s="313">
        <f t="shared" si="5"/>
        <v>213.73333333333332</v>
      </c>
      <c r="M39" s="313">
        <f t="shared" si="5"/>
        <v>213.73333333333332</v>
      </c>
      <c r="N39" s="313">
        <f t="shared" si="5"/>
        <v>213.73333333333332</v>
      </c>
      <c r="O39" s="313">
        <f t="shared" si="5"/>
        <v>213.73333333333332</v>
      </c>
      <c r="P39" s="313">
        <f t="shared" si="5"/>
        <v>213.73333333333332</v>
      </c>
      <c r="Q39" s="313">
        <f t="shared" si="5"/>
        <v>213.73333333333332</v>
      </c>
      <c r="R39" s="313">
        <f t="shared" si="5"/>
        <v>213.73333333333332</v>
      </c>
      <c r="S39" s="313">
        <f t="shared" si="5"/>
        <v>213.73333333333332</v>
      </c>
      <c r="T39" s="313">
        <f t="shared" si="5"/>
        <v>213.73333333333332</v>
      </c>
      <c r="U39" s="313">
        <f t="shared" si="5"/>
        <v>213.73333333333332</v>
      </c>
      <c r="V39" s="313">
        <f t="shared" si="5"/>
        <v>213.73333333333332</v>
      </c>
      <c r="W39" s="313">
        <f t="shared" si="5"/>
        <v>213.73333333333332</v>
      </c>
      <c r="X39" s="313">
        <f t="shared" si="5"/>
        <v>213.73333333333332</v>
      </c>
    </row>
    <row r="40" spans="1:24">
      <c r="A40" s="54"/>
      <c r="B40" s="74"/>
      <c r="C40" s="74"/>
      <c r="D40" s="492"/>
      <c r="E40" s="308"/>
      <c r="F40" s="308"/>
      <c r="G40" s="308"/>
      <c r="H40" s="308"/>
      <c r="I40" s="308"/>
      <c r="J40" s="308"/>
      <c r="K40" s="308"/>
      <c r="L40" s="308"/>
      <c r="M40" s="308"/>
      <c r="N40" s="308"/>
      <c r="O40" s="308"/>
      <c r="P40" s="308"/>
      <c r="Q40" s="308"/>
      <c r="R40" s="308"/>
      <c r="S40" s="308"/>
      <c r="T40" s="308"/>
      <c r="U40" s="308"/>
      <c r="V40" s="308"/>
      <c r="W40" s="308"/>
      <c r="X40" s="308"/>
    </row>
    <row r="41" spans="1:24">
      <c r="A41" s="293" t="s">
        <v>26</v>
      </c>
      <c r="B41" s="74"/>
      <c r="C41" s="74"/>
      <c r="D41" s="492"/>
      <c r="E41" s="308"/>
      <c r="F41" s="308"/>
      <c r="G41" s="308"/>
      <c r="H41" s="308"/>
      <c r="I41" s="308"/>
      <c r="J41" s="308"/>
      <c r="K41" s="308"/>
      <c r="L41" s="308"/>
      <c r="M41" s="308"/>
      <c r="N41" s="308"/>
      <c r="O41" s="308"/>
      <c r="P41" s="308"/>
      <c r="Q41" s="308"/>
      <c r="R41" s="308"/>
      <c r="S41" s="308"/>
      <c r="T41" s="308"/>
      <c r="U41" s="308"/>
      <c r="V41" s="308"/>
      <c r="W41" s="308"/>
      <c r="X41" s="308"/>
    </row>
    <row r="42" spans="1:24">
      <c r="A42" s="54" t="s">
        <v>264</v>
      </c>
      <c r="B42" s="277"/>
      <c r="C42" s="74"/>
      <c r="D42" s="486">
        <v>0</v>
      </c>
      <c r="E42" s="313">
        <f>'Parking Projections'!C81</f>
        <v>13290.435763888891</v>
      </c>
      <c r="F42" s="313">
        <f>'Parking Projections'!D81</f>
        <v>13290.435763888891</v>
      </c>
      <c r="G42" s="313">
        <f>'Parking Projections'!E81</f>
        <v>13290.435763888891</v>
      </c>
      <c r="H42" s="313">
        <f>'Parking Projections'!F81</f>
        <v>13290.435763888891</v>
      </c>
      <c r="I42" s="313">
        <f>'Parking Projections'!G81</f>
        <v>13290.435763888891</v>
      </c>
      <c r="J42" s="313">
        <f>'Parking Projections'!H81</f>
        <v>13290.435763888891</v>
      </c>
      <c r="K42" s="313">
        <f>'Parking Projections'!I81</f>
        <v>13290.435763888891</v>
      </c>
      <c r="L42" s="313">
        <f>'Parking Projections'!J81</f>
        <v>13290.435763888891</v>
      </c>
      <c r="M42" s="313">
        <f>'Parking Projections'!K81</f>
        <v>13290.435763888891</v>
      </c>
      <c r="N42" s="313">
        <f>'Parking Projections'!L81</f>
        <v>13290.435763888891</v>
      </c>
      <c r="O42" s="313">
        <f>'Parking Projections'!M81</f>
        <v>13290.435763888891</v>
      </c>
      <c r="P42" s="313">
        <f>'Parking Projections'!N81</f>
        <v>13290.435763888891</v>
      </c>
      <c r="Q42" s="313">
        <f>'Parking Projections'!O81</f>
        <v>13290.435763888891</v>
      </c>
      <c r="R42" s="313">
        <f>'Parking Projections'!P81</f>
        <v>13290.435763888891</v>
      </c>
      <c r="S42" s="313">
        <f>'Parking Projections'!Q81</f>
        <v>13290.435763888891</v>
      </c>
      <c r="T42" s="313">
        <f>'Parking Projections'!R81</f>
        <v>13290.435763888891</v>
      </c>
      <c r="U42" s="313">
        <f>'Parking Projections'!S81</f>
        <v>13290.435763888891</v>
      </c>
      <c r="V42" s="313">
        <f>'Parking Projections'!T81</f>
        <v>13290.435763888891</v>
      </c>
      <c r="W42" s="313">
        <f>'Parking Projections'!U81</f>
        <v>13290.435763888891</v>
      </c>
      <c r="X42" s="313">
        <f>'Parking Projections'!V81</f>
        <v>13290.435763888891</v>
      </c>
    </row>
    <row r="43" spans="1:24">
      <c r="A43" s="54" t="s">
        <v>267</v>
      </c>
      <c r="B43" s="277"/>
      <c r="C43" s="74"/>
      <c r="D43" s="486">
        <v>0</v>
      </c>
      <c r="E43" s="313">
        <f>'Parking Projections'!C85</f>
        <v>13967.333333333327</v>
      </c>
      <c r="F43" s="313">
        <f>'Parking Projections'!D85</f>
        <v>13967.333333333327</v>
      </c>
      <c r="G43" s="313">
        <f>'Parking Projections'!E85</f>
        <v>13967.333333333327</v>
      </c>
      <c r="H43" s="313">
        <f>'Parking Projections'!F85</f>
        <v>13967.333333333327</v>
      </c>
      <c r="I43" s="313">
        <f>'Parking Projections'!G85</f>
        <v>13967.333333333327</v>
      </c>
      <c r="J43" s="313">
        <f>'Parking Projections'!H85</f>
        <v>13967.333333333327</v>
      </c>
      <c r="K43" s="313">
        <f>'Parking Projections'!I85</f>
        <v>13967.333333333327</v>
      </c>
      <c r="L43" s="313">
        <f>'Parking Projections'!J85</f>
        <v>13967.333333333327</v>
      </c>
      <c r="M43" s="313">
        <f>'Parking Projections'!K85</f>
        <v>13967.333333333327</v>
      </c>
      <c r="N43" s="313">
        <f>'Parking Projections'!L85</f>
        <v>13967.333333333327</v>
      </c>
      <c r="O43" s="313">
        <f>'Parking Projections'!M85</f>
        <v>13967.333333333327</v>
      </c>
      <c r="P43" s="313">
        <f>'Parking Projections'!N85</f>
        <v>13967.333333333327</v>
      </c>
      <c r="Q43" s="313">
        <f>'Parking Projections'!O85</f>
        <v>13967.333333333327</v>
      </c>
      <c r="R43" s="313">
        <f>'Parking Projections'!P85</f>
        <v>13967.333333333327</v>
      </c>
      <c r="S43" s="313">
        <f>'Parking Projections'!Q85</f>
        <v>13967.333333333327</v>
      </c>
      <c r="T43" s="313">
        <f>'Parking Projections'!R85</f>
        <v>13967.333333333327</v>
      </c>
      <c r="U43" s="313">
        <f>'Parking Projections'!S85</f>
        <v>13967.333333333327</v>
      </c>
      <c r="V43" s="313">
        <f>'Parking Projections'!T85</f>
        <v>13967.333333333327</v>
      </c>
      <c r="W43" s="313">
        <f>'Parking Projections'!U85</f>
        <v>13967.333333333327</v>
      </c>
      <c r="X43" s="313">
        <f>'Parking Projections'!V85</f>
        <v>13967.333333333327</v>
      </c>
    </row>
    <row r="44" spans="1:24" s="96" customFormat="1">
      <c r="A44" s="54" t="s">
        <v>274</v>
      </c>
      <c r="B44" s="435"/>
      <c r="C44" s="583"/>
      <c r="D44" s="486">
        <v>0</v>
      </c>
      <c r="E44" s="313">
        <f>SUM(E42:E43)</f>
        <v>27257.769097222219</v>
      </c>
      <c r="F44" s="313">
        <f t="shared" ref="F44:X44" si="6">SUM(F42:F43)</f>
        <v>27257.769097222219</v>
      </c>
      <c r="G44" s="313">
        <f t="shared" si="6"/>
        <v>27257.769097222219</v>
      </c>
      <c r="H44" s="313">
        <f t="shared" si="6"/>
        <v>27257.769097222219</v>
      </c>
      <c r="I44" s="313">
        <f t="shared" si="6"/>
        <v>27257.769097222219</v>
      </c>
      <c r="J44" s="313">
        <f t="shared" si="6"/>
        <v>27257.769097222219</v>
      </c>
      <c r="K44" s="313">
        <f t="shared" si="6"/>
        <v>27257.769097222219</v>
      </c>
      <c r="L44" s="313">
        <f t="shared" si="6"/>
        <v>27257.769097222219</v>
      </c>
      <c r="M44" s="313">
        <f t="shared" si="6"/>
        <v>27257.769097222219</v>
      </c>
      <c r="N44" s="313">
        <f t="shared" si="6"/>
        <v>27257.769097222219</v>
      </c>
      <c r="O44" s="313">
        <f t="shared" si="6"/>
        <v>27257.769097222219</v>
      </c>
      <c r="P44" s="313">
        <f t="shared" si="6"/>
        <v>27257.769097222219</v>
      </c>
      <c r="Q44" s="313">
        <f t="shared" si="6"/>
        <v>27257.769097222219</v>
      </c>
      <c r="R44" s="313">
        <f t="shared" si="6"/>
        <v>27257.769097222219</v>
      </c>
      <c r="S44" s="313">
        <f t="shared" si="6"/>
        <v>27257.769097222219</v>
      </c>
      <c r="T44" s="313">
        <f t="shared" si="6"/>
        <v>27257.769097222219</v>
      </c>
      <c r="U44" s="313">
        <f t="shared" si="6"/>
        <v>27257.769097222219</v>
      </c>
      <c r="V44" s="313">
        <f t="shared" si="6"/>
        <v>27257.769097222219</v>
      </c>
      <c r="W44" s="313">
        <f t="shared" si="6"/>
        <v>27257.769097222219</v>
      </c>
      <c r="X44" s="313">
        <f t="shared" si="6"/>
        <v>27257.769097222219</v>
      </c>
    </row>
    <row r="45" spans="1:24">
      <c r="A45" s="54"/>
      <c r="B45" s="277"/>
      <c r="C45" s="74"/>
      <c r="D45" s="499"/>
      <c r="E45" s="308"/>
      <c r="F45" s="308"/>
      <c r="G45" s="308"/>
      <c r="H45" s="308"/>
      <c r="I45" s="308"/>
      <c r="J45" s="308"/>
      <c r="K45" s="308"/>
      <c r="L45" s="308"/>
      <c r="M45" s="308"/>
      <c r="N45" s="308"/>
      <c r="O45" s="308"/>
      <c r="P45" s="308"/>
      <c r="Q45" s="308"/>
      <c r="R45" s="308"/>
      <c r="S45" s="308"/>
      <c r="T45" s="308"/>
      <c r="U45" s="308"/>
      <c r="V45" s="308"/>
      <c r="W45" s="308"/>
      <c r="X45" s="308"/>
    </row>
    <row r="46" spans="1:24" s="96" customFormat="1">
      <c r="A46" s="54" t="s">
        <v>224</v>
      </c>
      <c r="B46" s="435"/>
      <c r="C46" s="583"/>
      <c r="D46" s="486">
        <v>0</v>
      </c>
      <c r="E46" s="496">
        <v>3</v>
      </c>
      <c r="F46" s="496">
        <v>3</v>
      </c>
      <c r="G46" s="496">
        <v>3</v>
      </c>
      <c r="H46" s="496">
        <v>3</v>
      </c>
      <c r="I46" s="496">
        <v>3</v>
      </c>
      <c r="J46" s="496">
        <v>3</v>
      </c>
      <c r="K46" s="496">
        <v>3</v>
      </c>
      <c r="L46" s="496">
        <v>3</v>
      </c>
      <c r="M46" s="496">
        <v>3</v>
      </c>
      <c r="N46" s="496">
        <v>3</v>
      </c>
      <c r="O46" s="496">
        <v>3</v>
      </c>
      <c r="P46" s="496">
        <v>3</v>
      </c>
      <c r="Q46" s="496">
        <v>3</v>
      </c>
      <c r="R46" s="496">
        <v>3</v>
      </c>
      <c r="S46" s="496">
        <v>3</v>
      </c>
      <c r="T46" s="496">
        <v>3</v>
      </c>
      <c r="U46" s="496">
        <v>3</v>
      </c>
      <c r="V46" s="496">
        <v>3</v>
      </c>
      <c r="W46" s="496">
        <v>3</v>
      </c>
      <c r="X46" s="496">
        <v>3</v>
      </c>
    </row>
    <row r="47" spans="1:24" s="96" customFormat="1">
      <c r="A47" s="54" t="s">
        <v>225</v>
      </c>
      <c r="B47" s="435"/>
      <c r="C47" s="583"/>
      <c r="D47" s="486">
        <v>0</v>
      </c>
      <c r="E47" s="496">
        <v>1</v>
      </c>
      <c r="F47" s="496">
        <v>1</v>
      </c>
      <c r="G47" s="496">
        <v>1</v>
      </c>
      <c r="H47" s="496">
        <v>1</v>
      </c>
      <c r="I47" s="496">
        <v>1</v>
      </c>
      <c r="J47" s="496">
        <v>1</v>
      </c>
      <c r="K47" s="496">
        <v>1</v>
      </c>
      <c r="L47" s="496">
        <v>1</v>
      </c>
      <c r="M47" s="496">
        <v>1</v>
      </c>
      <c r="N47" s="496">
        <v>1</v>
      </c>
      <c r="O47" s="496">
        <v>1</v>
      </c>
      <c r="P47" s="496">
        <v>1</v>
      </c>
      <c r="Q47" s="496">
        <v>1</v>
      </c>
      <c r="R47" s="496">
        <v>1</v>
      </c>
      <c r="S47" s="496">
        <v>1</v>
      </c>
      <c r="T47" s="496">
        <v>1</v>
      </c>
      <c r="U47" s="496">
        <v>1</v>
      </c>
      <c r="V47" s="496">
        <v>1</v>
      </c>
      <c r="W47" s="496">
        <v>1</v>
      </c>
      <c r="X47" s="496">
        <v>1</v>
      </c>
    </row>
    <row r="48" spans="1:24">
      <c r="A48" s="54" t="s">
        <v>209</v>
      </c>
      <c r="B48" s="277"/>
      <c r="C48" s="74"/>
      <c r="D48" s="486">
        <v>0</v>
      </c>
      <c r="E48" s="496">
        <v>0.5</v>
      </c>
      <c r="F48" s="496">
        <v>0.5</v>
      </c>
      <c r="G48" s="496">
        <v>0.5</v>
      </c>
      <c r="H48" s="496">
        <v>0.5</v>
      </c>
      <c r="I48" s="496">
        <v>0.5</v>
      </c>
      <c r="J48" s="496">
        <v>0.5</v>
      </c>
      <c r="K48" s="496">
        <v>0.5</v>
      </c>
      <c r="L48" s="496">
        <v>0.5</v>
      </c>
      <c r="M48" s="496">
        <v>0.5</v>
      </c>
      <c r="N48" s="496">
        <v>0.5</v>
      </c>
      <c r="O48" s="496">
        <v>0.5</v>
      </c>
      <c r="P48" s="496">
        <v>0.5</v>
      </c>
      <c r="Q48" s="496">
        <v>0.5</v>
      </c>
      <c r="R48" s="496">
        <v>0.5</v>
      </c>
      <c r="S48" s="496">
        <v>0.5</v>
      </c>
      <c r="T48" s="496">
        <v>0.5</v>
      </c>
      <c r="U48" s="496">
        <v>0.5</v>
      </c>
      <c r="V48" s="496">
        <v>0.5</v>
      </c>
      <c r="W48" s="496">
        <v>0.5</v>
      </c>
      <c r="X48" s="496">
        <v>0.5</v>
      </c>
    </row>
    <row r="49" spans="1:25 16384:16384">
      <c r="A49" s="54" t="s">
        <v>289</v>
      </c>
      <c r="B49" s="277"/>
      <c r="C49" s="74"/>
      <c r="D49" s="486">
        <v>0</v>
      </c>
      <c r="E49" s="496">
        <f t="shared" ref="E49:X49" si="7">SUM(E46:E48)/3</f>
        <v>1.5</v>
      </c>
      <c r="F49" s="496">
        <f t="shared" si="7"/>
        <v>1.5</v>
      </c>
      <c r="G49" s="496">
        <f t="shared" si="7"/>
        <v>1.5</v>
      </c>
      <c r="H49" s="496">
        <f t="shared" si="7"/>
        <v>1.5</v>
      </c>
      <c r="I49" s="496">
        <f t="shared" si="7"/>
        <v>1.5</v>
      </c>
      <c r="J49" s="496">
        <f t="shared" si="7"/>
        <v>1.5</v>
      </c>
      <c r="K49" s="496">
        <f t="shared" si="7"/>
        <v>1.5</v>
      </c>
      <c r="L49" s="496">
        <f t="shared" si="7"/>
        <v>1.5</v>
      </c>
      <c r="M49" s="496">
        <f t="shared" si="7"/>
        <v>1.5</v>
      </c>
      <c r="N49" s="496">
        <f t="shared" si="7"/>
        <v>1.5</v>
      </c>
      <c r="O49" s="496">
        <f t="shared" si="7"/>
        <v>1.5</v>
      </c>
      <c r="P49" s="496">
        <f t="shared" si="7"/>
        <v>1.5</v>
      </c>
      <c r="Q49" s="496">
        <f t="shared" si="7"/>
        <v>1.5</v>
      </c>
      <c r="R49" s="496">
        <f t="shared" si="7"/>
        <v>1.5</v>
      </c>
      <c r="S49" s="496">
        <f t="shared" si="7"/>
        <v>1.5</v>
      </c>
      <c r="T49" s="496">
        <f t="shared" si="7"/>
        <v>1.5</v>
      </c>
      <c r="U49" s="496">
        <f t="shared" si="7"/>
        <v>1.5</v>
      </c>
      <c r="V49" s="496">
        <f t="shared" si="7"/>
        <v>1.5</v>
      </c>
      <c r="W49" s="496">
        <f t="shared" si="7"/>
        <v>1.5</v>
      </c>
      <c r="X49" s="496">
        <f t="shared" si="7"/>
        <v>1.5</v>
      </c>
    </row>
    <row r="50" spans="1:25 16384:16384">
      <c r="A50" s="54"/>
      <c r="B50" s="277"/>
      <c r="C50" s="74"/>
      <c r="D50" s="486"/>
      <c r="E50" s="496"/>
      <c r="F50" s="496"/>
      <c r="G50" s="496"/>
      <c r="H50" s="496"/>
      <c r="I50" s="496"/>
      <c r="J50" s="496"/>
      <c r="K50" s="496"/>
      <c r="L50" s="496"/>
      <c r="M50" s="496"/>
      <c r="N50" s="496"/>
      <c r="O50" s="496"/>
      <c r="P50" s="496"/>
      <c r="Q50" s="496"/>
      <c r="R50" s="496"/>
      <c r="S50" s="496"/>
      <c r="T50" s="496"/>
      <c r="U50" s="496"/>
      <c r="V50" s="496"/>
      <c r="W50" s="496"/>
      <c r="X50" s="496"/>
    </row>
    <row r="51" spans="1:25 16384:16384">
      <c r="A51" s="54" t="s">
        <v>312</v>
      </c>
      <c r="B51" s="277"/>
      <c r="C51" s="74"/>
      <c r="D51" s="486">
        <v>0</v>
      </c>
      <c r="E51" s="313">
        <f>'Shuttle Projections'!C33</f>
        <v>7190</v>
      </c>
      <c r="F51" s="313">
        <f>'Shuttle Projections'!D33</f>
        <v>7190</v>
      </c>
      <c r="G51" s="313">
        <f>'Shuttle Projections'!E33</f>
        <v>7190</v>
      </c>
      <c r="H51" s="313">
        <f>'Shuttle Projections'!F33</f>
        <v>7190</v>
      </c>
      <c r="I51" s="313">
        <f>'Shuttle Projections'!G33</f>
        <v>7190</v>
      </c>
      <c r="J51" s="313">
        <f>'Shuttle Projections'!H33</f>
        <v>7190</v>
      </c>
      <c r="K51" s="313">
        <f>'Shuttle Projections'!I33</f>
        <v>7190</v>
      </c>
      <c r="L51" s="313">
        <f>'Shuttle Projections'!J33</f>
        <v>7190</v>
      </c>
      <c r="M51" s="313">
        <f>'Shuttle Projections'!K33</f>
        <v>7190</v>
      </c>
      <c r="N51" s="313">
        <f>'Shuttle Projections'!L33</f>
        <v>7190</v>
      </c>
      <c r="O51" s="313">
        <f>'Shuttle Projections'!M33</f>
        <v>7190</v>
      </c>
      <c r="P51" s="313">
        <f>'Shuttle Projections'!N33</f>
        <v>7190</v>
      </c>
      <c r="Q51" s="313">
        <f>'Shuttle Projections'!O33</f>
        <v>7190</v>
      </c>
      <c r="R51" s="313">
        <f>'Shuttle Projections'!P33</f>
        <v>7190</v>
      </c>
      <c r="S51" s="313">
        <f>'Shuttle Projections'!Q33</f>
        <v>7190</v>
      </c>
      <c r="T51" s="313">
        <f>'Shuttle Projections'!R33</f>
        <v>7190</v>
      </c>
      <c r="U51" s="313">
        <f>'Shuttle Projections'!S33</f>
        <v>7190</v>
      </c>
      <c r="V51" s="313">
        <f>'Shuttle Projections'!T33</f>
        <v>7190</v>
      </c>
      <c r="W51" s="313">
        <f>'Shuttle Projections'!U33</f>
        <v>7190</v>
      </c>
      <c r="X51" s="313">
        <f>'Shuttle Projections'!V33</f>
        <v>7190</v>
      </c>
      <c r="XFD51" s="570"/>
    </row>
    <row r="52" spans="1:25 16384:16384">
      <c r="A52" s="54"/>
      <c r="B52" s="277"/>
      <c r="C52" s="74"/>
      <c r="D52" s="486"/>
      <c r="E52" s="308"/>
      <c r="F52" s="308"/>
      <c r="G52" s="308"/>
      <c r="H52" s="308"/>
      <c r="I52" s="308"/>
      <c r="J52" s="308"/>
      <c r="K52" s="308"/>
      <c r="L52" s="308"/>
      <c r="M52" s="308"/>
      <c r="N52" s="308"/>
      <c r="O52" s="308"/>
      <c r="P52" s="308"/>
      <c r="Q52" s="308"/>
      <c r="R52" s="308"/>
      <c r="S52" s="308"/>
      <c r="T52" s="308"/>
      <c r="U52" s="308"/>
      <c r="V52" s="308"/>
      <c r="W52" s="308"/>
      <c r="X52" s="308"/>
    </row>
    <row r="53" spans="1:25 16384:16384" s="612" customFormat="1">
      <c r="A53" s="613" t="s">
        <v>292</v>
      </c>
      <c r="B53" s="614"/>
      <c r="C53" s="615"/>
      <c r="D53" s="616">
        <v>0</v>
      </c>
      <c r="E53" s="617">
        <v>0</v>
      </c>
      <c r="F53" s="617">
        <v>0</v>
      </c>
      <c r="G53" s="617">
        <v>100000</v>
      </c>
      <c r="H53" s="617">
        <v>100000</v>
      </c>
      <c r="I53" s="617">
        <v>100000</v>
      </c>
      <c r="J53" s="617">
        <v>100000</v>
      </c>
      <c r="K53" s="617">
        <v>100000</v>
      </c>
      <c r="L53" s="617">
        <v>100000</v>
      </c>
      <c r="M53" s="617">
        <v>100000</v>
      </c>
      <c r="N53" s="617">
        <v>100000</v>
      </c>
      <c r="O53" s="617">
        <v>100000</v>
      </c>
      <c r="P53" s="617">
        <v>100000</v>
      </c>
      <c r="Q53" s="617">
        <v>100000</v>
      </c>
      <c r="R53" s="617">
        <v>100000</v>
      </c>
      <c r="S53" s="617">
        <v>100000</v>
      </c>
      <c r="T53" s="617">
        <v>100000</v>
      </c>
      <c r="U53" s="617">
        <v>100000</v>
      </c>
      <c r="V53" s="617">
        <v>100000</v>
      </c>
      <c r="W53" s="617">
        <v>100000</v>
      </c>
      <c r="X53" s="618">
        <v>100000</v>
      </c>
    </row>
    <row r="54" spans="1:25 16384:16384">
      <c r="A54" s="54"/>
      <c r="B54" s="277"/>
      <c r="C54" s="74"/>
      <c r="D54" s="486"/>
      <c r="E54" s="308"/>
      <c r="F54" s="308"/>
      <c r="G54" s="308"/>
      <c r="H54" s="308"/>
      <c r="I54" s="308"/>
      <c r="J54" s="308"/>
      <c r="K54" s="308"/>
      <c r="L54" s="308"/>
      <c r="M54" s="308"/>
      <c r="N54" s="308"/>
      <c r="O54" s="308"/>
      <c r="P54" s="308"/>
      <c r="Q54" s="308"/>
      <c r="R54" s="308"/>
      <c r="S54" s="308"/>
      <c r="T54" s="308"/>
      <c r="U54" s="308"/>
      <c r="V54" s="308"/>
      <c r="W54" s="308"/>
      <c r="X54" s="308"/>
    </row>
    <row r="55" spans="1:25 16384:16384" s="582" customFormat="1">
      <c r="A55" s="293" t="str">
        <f>'BH Tariffs'!A33</f>
        <v>Recreational/Commercial Marina</v>
      </c>
      <c r="B55" s="584"/>
      <c r="C55" s="585"/>
      <c r="D55" s="486"/>
      <c r="E55" s="586"/>
      <c r="F55" s="586"/>
      <c r="G55" s="586"/>
      <c r="H55" s="586"/>
      <c r="I55" s="586"/>
      <c r="J55" s="586"/>
      <c r="K55" s="586"/>
      <c r="L55" s="586"/>
      <c r="M55" s="586"/>
      <c r="N55" s="586"/>
      <c r="O55" s="586"/>
      <c r="P55" s="586"/>
      <c r="Q55" s="586"/>
      <c r="R55" s="586"/>
      <c r="S55" s="586"/>
      <c r="T55" s="586"/>
      <c r="U55" s="586"/>
      <c r="V55" s="586"/>
      <c r="W55" s="586"/>
      <c r="X55" s="586"/>
    </row>
    <row r="56" spans="1:25 16384:16384" s="96" customFormat="1">
      <c r="A56" s="54" t="s">
        <v>291</v>
      </c>
      <c r="B56" s="435"/>
      <c r="C56" s="583"/>
      <c r="D56" s="486">
        <v>0</v>
      </c>
      <c r="E56" s="313">
        <v>0</v>
      </c>
      <c r="F56" s="313">
        <f>'Marina Projections'!D103</f>
        <v>12</v>
      </c>
      <c r="G56" s="313">
        <f>'Marina Projections'!E103</f>
        <v>12</v>
      </c>
      <c r="H56" s="313">
        <f>'Marina Projections'!F103</f>
        <v>12</v>
      </c>
      <c r="I56" s="313">
        <f>'Marina Projections'!G103</f>
        <v>12</v>
      </c>
      <c r="J56" s="313">
        <f>'Marina Projections'!H103</f>
        <v>12</v>
      </c>
      <c r="K56" s="313">
        <f>'Marina Projections'!I103</f>
        <v>12</v>
      </c>
      <c r="L56" s="313">
        <f>'Marina Projections'!J103</f>
        <v>12</v>
      </c>
      <c r="M56" s="313">
        <f>'Marina Projections'!K103</f>
        <v>12</v>
      </c>
      <c r="N56" s="313">
        <f>'Marina Projections'!L103</f>
        <v>12</v>
      </c>
      <c r="O56" s="313">
        <f>'Marina Projections'!M103</f>
        <v>12</v>
      </c>
      <c r="P56" s="313">
        <f>'Marina Projections'!N103</f>
        <v>12</v>
      </c>
      <c r="Q56" s="313">
        <f>'Marina Projections'!O103</f>
        <v>12</v>
      </c>
      <c r="R56" s="313">
        <f>'Marina Projections'!P103</f>
        <v>12</v>
      </c>
      <c r="S56" s="313">
        <f>'Marina Projections'!Q103</f>
        <v>12</v>
      </c>
      <c r="T56" s="313">
        <f>'Marina Projections'!R103</f>
        <v>12</v>
      </c>
      <c r="U56" s="313">
        <f>'Marina Projections'!S103</f>
        <v>12</v>
      </c>
      <c r="V56" s="313">
        <f>'Marina Projections'!T103</f>
        <v>12</v>
      </c>
      <c r="W56" s="313">
        <f>'Marina Projections'!U103</f>
        <v>12</v>
      </c>
      <c r="X56" s="313">
        <f>'Marina Projections'!V103</f>
        <v>12</v>
      </c>
    </row>
    <row r="57" spans="1:25 16384:16384" s="96" customFormat="1">
      <c r="A57" s="54" t="s">
        <v>293</v>
      </c>
      <c r="B57" s="435"/>
      <c r="C57" s="583"/>
      <c r="D57" s="486">
        <v>0</v>
      </c>
      <c r="E57" s="313">
        <v>0</v>
      </c>
      <c r="F57" s="313">
        <f>'Marina Projections'!D110</f>
        <v>9557.1731249999993</v>
      </c>
      <c r="G57" s="313">
        <f>'Marina Projections'!E110</f>
        <v>9557.1731249999993</v>
      </c>
      <c r="H57" s="313">
        <f>'Marina Projections'!F110</f>
        <v>9557.1731249999993</v>
      </c>
      <c r="I57" s="313">
        <f>'Marina Projections'!G110</f>
        <v>9557.1731249999993</v>
      </c>
      <c r="J57" s="313">
        <f>'Marina Projections'!H110</f>
        <v>9557.1731249999993</v>
      </c>
      <c r="K57" s="313">
        <f>'Marina Projections'!I110</f>
        <v>9557.1731249999993</v>
      </c>
      <c r="L57" s="313">
        <f>'Marina Projections'!J110</f>
        <v>9557.1731249999993</v>
      </c>
      <c r="M57" s="313">
        <f>'Marina Projections'!K110</f>
        <v>9557.1731249999993</v>
      </c>
      <c r="N57" s="313">
        <f>'Marina Projections'!L110</f>
        <v>9557.1731249999993</v>
      </c>
      <c r="O57" s="313">
        <f>'Marina Projections'!M110</f>
        <v>9557.1731249999993</v>
      </c>
      <c r="P57" s="313">
        <f>'Marina Projections'!N110</f>
        <v>9557.1731249999993</v>
      </c>
      <c r="Q57" s="313">
        <f>'Marina Projections'!O110</f>
        <v>9557.1731249999993</v>
      </c>
      <c r="R57" s="313">
        <f>'Marina Projections'!P110</f>
        <v>9557.1731249999993</v>
      </c>
      <c r="S57" s="313">
        <f>'Marina Projections'!Q110</f>
        <v>9557.1731249999993</v>
      </c>
      <c r="T57" s="313">
        <f>'Marina Projections'!R110</f>
        <v>9557.1731249999993</v>
      </c>
      <c r="U57" s="313">
        <f>'Marina Projections'!S110</f>
        <v>9557.1731249999993</v>
      </c>
      <c r="V57" s="313">
        <f>'Marina Projections'!T110</f>
        <v>9557.1731249999993</v>
      </c>
      <c r="W57" s="313">
        <f>'Marina Projections'!U110</f>
        <v>9557.1731249999993</v>
      </c>
      <c r="X57" s="313">
        <f>'Marina Projections'!V110</f>
        <v>9557.1731249999993</v>
      </c>
    </row>
    <row r="58" spans="1:25 16384:16384" s="96" customFormat="1">
      <c r="A58" s="54" t="s">
        <v>294</v>
      </c>
      <c r="B58" s="435"/>
      <c r="C58" s="583"/>
      <c r="D58" s="486">
        <v>0</v>
      </c>
      <c r="E58" s="313">
        <v>0</v>
      </c>
      <c r="F58" s="313">
        <f>'Marina Projections'!D106</f>
        <v>359.1</v>
      </c>
      <c r="G58" s="313">
        <f>'Marina Projections'!E106</f>
        <v>359.1</v>
      </c>
      <c r="H58" s="313">
        <f>'Marina Projections'!F106</f>
        <v>359.1</v>
      </c>
      <c r="I58" s="313">
        <f>'Marina Projections'!G106</f>
        <v>359.1</v>
      </c>
      <c r="J58" s="313">
        <f>'Marina Projections'!H106</f>
        <v>359.1</v>
      </c>
      <c r="K58" s="313">
        <f>'Marina Projections'!I106</f>
        <v>359.1</v>
      </c>
      <c r="L58" s="313">
        <f>'Marina Projections'!J106</f>
        <v>359.1</v>
      </c>
      <c r="M58" s="313">
        <f>'Marina Projections'!K106</f>
        <v>359.1</v>
      </c>
      <c r="N58" s="313">
        <f>'Marina Projections'!L106</f>
        <v>359.1</v>
      </c>
      <c r="O58" s="313">
        <f>'Marina Projections'!M106</f>
        <v>359.1</v>
      </c>
      <c r="P58" s="313">
        <f>'Marina Projections'!N106</f>
        <v>359.1</v>
      </c>
      <c r="Q58" s="313">
        <f>'Marina Projections'!O106</f>
        <v>359.1</v>
      </c>
      <c r="R58" s="313">
        <f>'Marina Projections'!P106</f>
        <v>359.1</v>
      </c>
      <c r="S58" s="313">
        <f>'Marina Projections'!Q106</f>
        <v>359.1</v>
      </c>
      <c r="T58" s="313">
        <f>'Marina Projections'!R106</f>
        <v>359.1</v>
      </c>
      <c r="U58" s="313">
        <f>'Marina Projections'!S106</f>
        <v>359.1</v>
      </c>
      <c r="V58" s="313">
        <f>'Marina Projections'!T106</f>
        <v>359.1</v>
      </c>
      <c r="W58" s="313">
        <f>'Marina Projections'!U106</f>
        <v>359.1</v>
      </c>
      <c r="X58" s="313">
        <f>'Marina Projections'!V106</f>
        <v>359.1</v>
      </c>
    </row>
    <row r="59" spans="1:25 16384:16384" s="167" customFormat="1">
      <c r="A59" s="497" t="s">
        <v>170</v>
      </c>
      <c r="B59" s="450"/>
      <c r="C59" s="498"/>
      <c r="D59" s="499">
        <v>0</v>
      </c>
      <c r="E59" s="587">
        <v>0</v>
      </c>
      <c r="F59" s="587">
        <v>0</v>
      </c>
      <c r="G59" s="587">
        <v>0</v>
      </c>
      <c r="H59" s="587">
        <v>0</v>
      </c>
      <c r="I59" s="587">
        <v>0</v>
      </c>
      <c r="J59" s="587">
        <v>0</v>
      </c>
      <c r="K59" s="587">
        <v>0</v>
      </c>
      <c r="L59" s="587">
        <v>0</v>
      </c>
      <c r="M59" s="587">
        <v>0</v>
      </c>
      <c r="N59" s="587">
        <v>0</v>
      </c>
      <c r="O59" s="587">
        <v>0</v>
      </c>
      <c r="P59" s="587">
        <v>0</v>
      </c>
      <c r="Q59" s="587">
        <v>0</v>
      </c>
      <c r="R59" s="587">
        <v>0</v>
      </c>
      <c r="S59" s="587">
        <v>0</v>
      </c>
      <c r="T59" s="587">
        <v>0</v>
      </c>
      <c r="U59" s="587">
        <v>0</v>
      </c>
      <c r="V59" s="587">
        <v>0</v>
      </c>
      <c r="W59" s="587">
        <v>0</v>
      </c>
      <c r="X59" s="587">
        <v>0</v>
      </c>
      <c r="Y59" s="167" t="s">
        <v>282</v>
      </c>
    </row>
    <row r="60" spans="1:25 16384:16384" s="167" customFormat="1">
      <c r="A60" s="497" t="s">
        <v>16</v>
      </c>
      <c r="B60" s="450"/>
      <c r="C60" s="498"/>
      <c r="D60" s="499">
        <v>0</v>
      </c>
      <c r="E60" s="587">
        <v>0</v>
      </c>
      <c r="F60" s="587">
        <v>0</v>
      </c>
      <c r="G60" s="587">
        <v>0</v>
      </c>
      <c r="H60" s="587">
        <v>0</v>
      </c>
      <c r="I60" s="587">
        <v>0</v>
      </c>
      <c r="J60" s="587">
        <v>0</v>
      </c>
      <c r="K60" s="587">
        <v>0</v>
      </c>
      <c r="L60" s="587">
        <v>0</v>
      </c>
      <c r="M60" s="587">
        <v>0</v>
      </c>
      <c r="N60" s="587">
        <v>0</v>
      </c>
      <c r="O60" s="587">
        <v>0</v>
      </c>
      <c r="P60" s="587">
        <v>0</v>
      </c>
      <c r="Q60" s="587">
        <v>0</v>
      </c>
      <c r="R60" s="587">
        <v>0</v>
      </c>
      <c r="S60" s="587">
        <v>0</v>
      </c>
      <c r="T60" s="587">
        <v>0</v>
      </c>
      <c r="U60" s="587">
        <v>0</v>
      </c>
      <c r="V60" s="587">
        <v>0</v>
      </c>
      <c r="W60" s="587">
        <v>0</v>
      </c>
      <c r="X60" s="587">
        <v>0</v>
      </c>
      <c r="Y60" s="167" t="s">
        <v>282</v>
      </c>
    </row>
    <row r="61" spans="1:25 16384:16384">
      <c r="A61" s="54"/>
      <c r="B61" s="277"/>
      <c r="C61" s="74"/>
      <c r="D61" s="492"/>
      <c r="E61" s="308"/>
      <c r="F61" s="308"/>
      <c r="G61" s="308"/>
      <c r="H61" s="308"/>
      <c r="I61" s="308"/>
      <c r="J61" s="308"/>
      <c r="K61" s="308"/>
      <c r="L61" s="308"/>
      <c r="M61" s="308"/>
      <c r="N61" s="308"/>
      <c r="O61" s="308"/>
      <c r="P61" s="308"/>
      <c r="Q61" s="308"/>
      <c r="R61" s="308"/>
      <c r="S61" s="308"/>
      <c r="T61" s="308"/>
      <c r="U61" s="308"/>
      <c r="V61" s="308"/>
      <c r="W61" s="308"/>
      <c r="X61" s="308"/>
    </row>
    <row r="62" spans="1:25 16384:16384">
      <c r="A62" s="293" t="s">
        <v>2</v>
      </c>
      <c r="B62" s="277"/>
      <c r="C62" s="74"/>
      <c r="D62" s="492"/>
      <c r="E62" s="308"/>
      <c r="F62" s="308"/>
      <c r="G62" s="308"/>
      <c r="H62" s="308"/>
      <c r="I62" s="308"/>
      <c r="J62" s="308"/>
      <c r="K62" s="308"/>
      <c r="L62" s="308"/>
      <c r="M62" s="308"/>
      <c r="N62" s="308"/>
      <c r="O62" s="308"/>
      <c r="P62" s="308"/>
      <c r="Q62" s="308"/>
      <c r="R62" s="308"/>
      <c r="S62" s="308"/>
      <c r="T62" s="308"/>
      <c r="U62" s="308"/>
      <c r="V62" s="308"/>
      <c r="W62" s="308"/>
      <c r="X62" s="308"/>
    </row>
    <row r="63" spans="1:25 16384:16384" s="96" customFormat="1">
      <c r="A63" s="54" t="s">
        <v>290</v>
      </c>
      <c r="B63" s="435">
        <v>500</v>
      </c>
      <c r="C63" s="487"/>
      <c r="D63" s="486">
        <v>0</v>
      </c>
      <c r="E63" s="313">
        <v>0</v>
      </c>
      <c r="F63" s="313">
        <v>0</v>
      </c>
      <c r="G63" s="313">
        <f t="shared" ref="G63:X63" si="8">$B$63</f>
        <v>500</v>
      </c>
      <c r="H63" s="313">
        <f t="shared" si="8"/>
        <v>500</v>
      </c>
      <c r="I63" s="313">
        <f t="shared" si="8"/>
        <v>500</v>
      </c>
      <c r="J63" s="313">
        <f t="shared" si="8"/>
        <v>500</v>
      </c>
      <c r="K63" s="313">
        <f t="shared" si="8"/>
        <v>500</v>
      </c>
      <c r="L63" s="313">
        <f t="shared" si="8"/>
        <v>500</v>
      </c>
      <c r="M63" s="313">
        <f t="shared" si="8"/>
        <v>500</v>
      </c>
      <c r="N63" s="313">
        <f t="shared" si="8"/>
        <v>500</v>
      </c>
      <c r="O63" s="313">
        <f t="shared" si="8"/>
        <v>500</v>
      </c>
      <c r="P63" s="313">
        <f t="shared" si="8"/>
        <v>500</v>
      </c>
      <c r="Q63" s="313">
        <f t="shared" si="8"/>
        <v>500</v>
      </c>
      <c r="R63" s="313">
        <f t="shared" si="8"/>
        <v>500</v>
      </c>
      <c r="S63" s="313">
        <f t="shared" si="8"/>
        <v>500</v>
      </c>
      <c r="T63" s="313">
        <f t="shared" si="8"/>
        <v>500</v>
      </c>
      <c r="U63" s="313">
        <f t="shared" si="8"/>
        <v>500</v>
      </c>
      <c r="V63" s="313">
        <f t="shared" si="8"/>
        <v>500</v>
      </c>
      <c r="W63" s="313">
        <f t="shared" si="8"/>
        <v>500</v>
      </c>
      <c r="X63" s="313">
        <f t="shared" si="8"/>
        <v>500</v>
      </c>
    </row>
    <row r="64" spans="1:25 16384:16384" s="96" customFormat="1">
      <c r="A64" s="54" t="s">
        <v>540</v>
      </c>
      <c r="B64" s="435"/>
      <c r="C64" s="487"/>
      <c r="D64" s="1055">
        <v>0</v>
      </c>
      <c r="E64" s="1056">
        <v>0</v>
      </c>
      <c r="F64" s="1056">
        <v>0</v>
      </c>
      <c r="G64" s="1056">
        <v>200000</v>
      </c>
      <c r="H64" s="1056">
        <f>G64</f>
        <v>200000</v>
      </c>
      <c r="I64" s="1056">
        <f t="shared" ref="I64:X64" si="9">H64</f>
        <v>200000</v>
      </c>
      <c r="J64" s="1056">
        <f t="shared" si="9"/>
        <v>200000</v>
      </c>
      <c r="K64" s="1056">
        <f t="shared" si="9"/>
        <v>200000</v>
      </c>
      <c r="L64" s="1056">
        <f t="shared" si="9"/>
        <v>200000</v>
      </c>
      <c r="M64" s="1056">
        <f t="shared" si="9"/>
        <v>200000</v>
      </c>
      <c r="N64" s="1056">
        <f t="shared" si="9"/>
        <v>200000</v>
      </c>
      <c r="O64" s="1056">
        <f t="shared" si="9"/>
        <v>200000</v>
      </c>
      <c r="P64" s="1056">
        <f t="shared" si="9"/>
        <v>200000</v>
      </c>
      <c r="Q64" s="1056">
        <f t="shared" si="9"/>
        <v>200000</v>
      </c>
      <c r="R64" s="1056">
        <f t="shared" si="9"/>
        <v>200000</v>
      </c>
      <c r="S64" s="1056">
        <f t="shared" si="9"/>
        <v>200000</v>
      </c>
      <c r="T64" s="1056">
        <f t="shared" si="9"/>
        <v>200000</v>
      </c>
      <c r="U64" s="1056">
        <f t="shared" si="9"/>
        <v>200000</v>
      </c>
      <c r="V64" s="1056">
        <f t="shared" si="9"/>
        <v>200000</v>
      </c>
      <c r="W64" s="1056">
        <f t="shared" si="9"/>
        <v>200000</v>
      </c>
      <c r="X64" s="1056">
        <f t="shared" si="9"/>
        <v>200000</v>
      </c>
    </row>
    <row r="65" spans="1:25" s="96" customFormat="1">
      <c r="A65" s="54" t="s">
        <v>210</v>
      </c>
      <c r="B65" s="487"/>
      <c r="C65" s="487"/>
      <c r="D65" s="486">
        <v>0</v>
      </c>
      <c r="E65" s="313">
        <v>0</v>
      </c>
      <c r="F65" s="313">
        <v>1</v>
      </c>
      <c r="G65" s="313">
        <v>2</v>
      </c>
      <c r="H65" s="313">
        <v>2</v>
      </c>
      <c r="I65" s="313">
        <v>2</v>
      </c>
      <c r="J65" s="313">
        <v>3</v>
      </c>
      <c r="K65" s="313">
        <v>3</v>
      </c>
      <c r="L65" s="313">
        <v>3</v>
      </c>
      <c r="M65" s="313">
        <v>3</v>
      </c>
      <c r="N65" s="313">
        <v>3</v>
      </c>
      <c r="O65" s="313">
        <v>4</v>
      </c>
      <c r="P65" s="313">
        <v>4</v>
      </c>
      <c r="Q65" s="313">
        <v>4</v>
      </c>
      <c r="R65" s="313">
        <v>4</v>
      </c>
      <c r="S65" s="313">
        <v>4</v>
      </c>
      <c r="T65" s="313">
        <v>5</v>
      </c>
      <c r="U65" s="313">
        <v>5</v>
      </c>
      <c r="V65" s="313">
        <v>5</v>
      </c>
      <c r="W65" s="313">
        <v>5</v>
      </c>
      <c r="X65" s="313">
        <v>5</v>
      </c>
      <c r="Y65" s="313"/>
    </row>
    <row r="66" spans="1:25" s="96" customFormat="1">
      <c r="A66" s="96" t="s">
        <v>211</v>
      </c>
      <c r="D66" s="486">
        <v>0</v>
      </c>
      <c r="E66" s="435">
        <v>0</v>
      </c>
      <c r="F66" s="435">
        <v>3</v>
      </c>
      <c r="G66" s="435">
        <v>3</v>
      </c>
      <c r="H66" s="435">
        <v>3</v>
      </c>
      <c r="I66" s="435">
        <v>3</v>
      </c>
      <c r="J66" s="435">
        <v>3</v>
      </c>
      <c r="K66" s="435">
        <v>3</v>
      </c>
      <c r="L66" s="435">
        <v>3</v>
      </c>
      <c r="M66" s="435">
        <v>3</v>
      </c>
      <c r="N66" s="435">
        <v>3</v>
      </c>
      <c r="O66" s="435">
        <v>3</v>
      </c>
      <c r="P66" s="435">
        <v>3</v>
      </c>
      <c r="Q66" s="435">
        <v>3</v>
      </c>
      <c r="R66" s="435">
        <v>3</v>
      </c>
      <c r="S66" s="435">
        <v>3</v>
      </c>
      <c r="T66" s="435">
        <v>3</v>
      </c>
      <c r="U66" s="435">
        <v>3</v>
      </c>
      <c r="V66" s="435">
        <v>3</v>
      </c>
      <c r="W66" s="435">
        <v>3</v>
      </c>
      <c r="X66" s="435">
        <v>3</v>
      </c>
    </row>
    <row r="67" spans="1:25" s="167" customFormat="1">
      <c r="A67" s="497"/>
      <c r="B67" s="501"/>
      <c r="C67" s="501"/>
      <c r="D67" s="499"/>
      <c r="E67" s="500"/>
      <c r="F67" s="500"/>
      <c r="G67" s="500"/>
      <c r="H67" s="500"/>
      <c r="I67" s="500"/>
      <c r="J67" s="500"/>
      <c r="K67" s="500"/>
      <c r="L67" s="500"/>
      <c r="M67" s="500"/>
      <c r="N67" s="500"/>
      <c r="O67" s="500"/>
      <c r="P67" s="500"/>
      <c r="Q67" s="500"/>
      <c r="R67" s="500"/>
      <c r="S67" s="500"/>
      <c r="T67" s="500"/>
      <c r="U67" s="500"/>
      <c r="V67" s="500"/>
      <c r="W67" s="500"/>
      <c r="X67" s="500"/>
      <c r="Y67" s="500"/>
    </row>
    <row r="68" spans="1:25">
      <c r="A68" s="28"/>
      <c r="D68" s="486"/>
      <c r="E68" s="331"/>
      <c r="F68" s="333"/>
      <c r="G68" s="331"/>
      <c r="H68" s="331"/>
      <c r="I68" s="331"/>
      <c r="J68" s="331"/>
      <c r="K68" s="331"/>
      <c r="L68" s="331"/>
      <c r="M68" s="331"/>
      <c r="N68" s="331"/>
      <c r="O68" s="331"/>
      <c r="P68" s="331"/>
      <c r="Q68" s="331"/>
      <c r="R68" s="331"/>
      <c r="S68" s="331"/>
      <c r="T68" s="331"/>
      <c r="U68" s="331"/>
      <c r="V68" s="331"/>
      <c r="W68" s="331"/>
      <c r="X68" s="331"/>
    </row>
    <row r="69" spans="1:25">
      <c r="A69" s="266" t="s">
        <v>135</v>
      </c>
      <c r="B69" s="223"/>
      <c r="C69" s="267"/>
      <c r="D69" s="332"/>
      <c r="E69" s="332"/>
      <c r="F69" s="349"/>
      <c r="G69" s="332"/>
      <c r="H69" s="332"/>
      <c r="I69" s="332"/>
      <c r="J69" s="332"/>
      <c r="K69" s="332"/>
      <c r="L69" s="332"/>
      <c r="M69" s="332"/>
      <c r="N69" s="332"/>
      <c r="O69" s="332"/>
      <c r="P69" s="332"/>
      <c r="Q69" s="332"/>
      <c r="R69" s="332"/>
      <c r="S69" s="332"/>
      <c r="T69" s="332"/>
      <c r="U69" s="332"/>
      <c r="V69" s="332"/>
      <c r="W69" s="332"/>
      <c r="X69" s="332"/>
    </row>
    <row r="70" spans="1:25" s="341" customFormat="1">
      <c r="A70" s="353"/>
      <c r="B70" s="355"/>
      <c r="C70" s="355"/>
      <c r="D70" s="502"/>
      <c r="E70" s="503"/>
      <c r="F70" s="503"/>
      <c r="G70" s="503"/>
      <c r="H70" s="503"/>
      <c r="I70" s="503"/>
      <c r="J70" s="503"/>
      <c r="K70" s="503"/>
      <c r="L70" s="503"/>
      <c r="M70" s="503"/>
      <c r="N70" s="503"/>
      <c r="O70" s="503"/>
      <c r="P70" s="503"/>
      <c r="Q70" s="503"/>
      <c r="R70" s="503"/>
      <c r="S70" s="503"/>
      <c r="T70" s="503"/>
      <c r="U70" s="503"/>
      <c r="V70" s="503"/>
      <c r="W70" s="503"/>
      <c r="X70" s="503"/>
    </row>
    <row r="71" spans="1:25" s="341" customFormat="1">
      <c r="A71" s="691" t="s">
        <v>144</v>
      </c>
      <c r="B71" s="355"/>
      <c r="C71" s="355"/>
      <c r="D71" s="548"/>
      <c r="E71" s="503"/>
      <c r="F71" s="503"/>
      <c r="G71" s="503"/>
      <c r="H71" s="503"/>
      <c r="I71" s="503"/>
      <c r="J71" s="503"/>
      <c r="K71" s="503"/>
      <c r="L71" s="503"/>
      <c r="M71" s="503"/>
      <c r="N71" s="503"/>
      <c r="O71" s="503"/>
      <c r="P71" s="503"/>
      <c r="Q71" s="503"/>
      <c r="R71" s="503"/>
      <c r="S71" s="503"/>
      <c r="T71" s="503"/>
      <c r="U71" s="503"/>
      <c r="V71" s="503"/>
      <c r="W71" s="503"/>
      <c r="X71" s="503"/>
    </row>
    <row r="72" spans="1:25" s="561" customFormat="1">
      <c r="A72" s="353" t="str">
        <f>'BH Tariffs'!A11</f>
        <v>Port Fee</v>
      </c>
      <c r="B72" s="355"/>
      <c r="C72" s="355"/>
      <c r="D72" s="548">
        <v>0</v>
      </c>
      <c r="E72" s="503">
        <v>0</v>
      </c>
      <c r="F72" s="503">
        <v>0</v>
      </c>
      <c r="G72" s="503">
        <v>0</v>
      </c>
      <c r="H72" s="503">
        <v>0</v>
      </c>
      <c r="I72" s="503">
        <v>0</v>
      </c>
      <c r="J72" s="503">
        <v>0</v>
      </c>
      <c r="K72" s="503">
        <v>0</v>
      </c>
      <c r="L72" s="503">
        <v>0</v>
      </c>
      <c r="M72" s="503">
        <v>0</v>
      </c>
      <c r="N72" s="503">
        <v>0</v>
      </c>
      <c r="O72" s="503">
        <v>0</v>
      </c>
      <c r="P72" s="503">
        <v>0</v>
      </c>
      <c r="Q72" s="503">
        <v>0</v>
      </c>
      <c r="R72" s="503">
        <v>0</v>
      </c>
      <c r="S72" s="503">
        <v>0</v>
      </c>
      <c r="T72" s="503">
        <v>0</v>
      </c>
      <c r="U72" s="503">
        <v>0</v>
      </c>
      <c r="V72" s="503">
        <v>0</v>
      </c>
      <c r="W72" s="503">
        <v>0</v>
      </c>
      <c r="X72" s="503">
        <v>0</v>
      </c>
    </row>
    <row r="73" spans="1:25">
      <c r="A73" s="88"/>
      <c r="B73" s="89"/>
      <c r="C73" s="89"/>
      <c r="D73" s="502"/>
      <c r="E73" s="504"/>
      <c r="F73" s="504"/>
      <c r="G73" s="504"/>
      <c r="H73" s="504"/>
      <c r="I73" s="504"/>
      <c r="J73" s="504"/>
      <c r="K73" s="504"/>
      <c r="L73" s="504"/>
      <c r="M73" s="504"/>
      <c r="N73" s="504"/>
      <c r="O73" s="504"/>
      <c r="P73" s="504"/>
      <c r="Q73" s="504"/>
      <c r="R73" s="504"/>
      <c r="S73" s="504"/>
      <c r="T73" s="504"/>
      <c r="U73" s="504"/>
      <c r="V73" s="504"/>
      <c r="W73" s="504"/>
      <c r="X73" s="504"/>
    </row>
    <row r="74" spans="1:25" s="16" customFormat="1" ht="14.25">
      <c r="A74" s="280" t="s">
        <v>124</v>
      </c>
      <c r="B74" s="533"/>
      <c r="C74" s="533"/>
      <c r="D74" s="534"/>
      <c r="E74" s="535"/>
      <c r="F74" s="535"/>
      <c r="G74" s="535"/>
      <c r="H74" s="535"/>
      <c r="I74" s="535"/>
      <c r="J74" s="535"/>
      <c r="K74" s="535"/>
      <c r="L74" s="535"/>
      <c r="M74" s="535"/>
      <c r="N74" s="535"/>
      <c r="O74" s="535"/>
      <c r="P74" s="535"/>
      <c r="Q74" s="535"/>
      <c r="R74" s="535"/>
      <c r="S74" s="535"/>
      <c r="T74" s="535"/>
      <c r="U74" s="535"/>
      <c r="V74" s="535"/>
      <c r="W74" s="535"/>
      <c r="X74" s="535"/>
    </row>
    <row r="75" spans="1:25" s="279" customFormat="1" ht="14.25">
      <c r="A75" s="91" t="s">
        <v>83</v>
      </c>
      <c r="B75" s="536"/>
      <c r="C75" s="536"/>
      <c r="D75" s="537"/>
      <c r="E75" s="538"/>
      <c r="F75" s="538"/>
      <c r="G75" s="538"/>
      <c r="H75" s="538"/>
      <c r="I75" s="538"/>
      <c r="J75" s="538"/>
      <c r="K75" s="538"/>
      <c r="L75" s="538"/>
      <c r="M75" s="538"/>
      <c r="N75" s="538"/>
      <c r="O75" s="538"/>
      <c r="P75" s="538"/>
      <c r="Q75" s="538"/>
      <c r="R75" s="538"/>
      <c r="S75" s="538"/>
      <c r="T75" s="538"/>
      <c r="U75" s="538"/>
      <c r="V75" s="538"/>
      <c r="W75" s="538"/>
      <c r="X75" s="538"/>
    </row>
    <row r="76" spans="1:25">
      <c r="A76" s="90" t="str">
        <f>'BH Tariffs'!A19</f>
        <v>Town Wharfage (Exclusive Use, Ferry Property Only)</v>
      </c>
      <c r="B76" s="89"/>
      <c r="C76" s="89"/>
      <c r="D76" s="502">
        <v>0</v>
      </c>
      <c r="E76" s="504">
        <f>'BH Tariffs'!D19*'P&amp;L - Concept C1 - NCLH'!E12</f>
        <v>0</v>
      </c>
      <c r="F76" s="504">
        <f>'BH Tariffs'!E19*'P&amp;L - Concept C1 - NCLH'!F12</f>
        <v>363295.09439549042</v>
      </c>
      <c r="G76" s="504">
        <f>'BH Tariffs'!F19*'P&amp;L - Concept C1 - NCLH'!G12</f>
        <v>370560.99628340022</v>
      </c>
      <c r="H76" s="504">
        <f>'BH Tariffs'!G19*'P&amp;L - Concept C1 - NCLH'!H12</f>
        <v>377972.2162090682</v>
      </c>
      <c r="I76" s="504">
        <f>'BH Tariffs'!H19*'P&amp;L - Concept C1 - NCLH'!I12</f>
        <v>385531.66053324961</v>
      </c>
      <c r="J76" s="504">
        <f>'BH Tariffs'!I19*'P&amp;L - Concept C1 - NCLH'!J12</f>
        <v>393242.29374391458</v>
      </c>
      <c r="K76" s="504">
        <f>'BH Tariffs'!J19*'P&amp;L - Concept C1 - NCLH'!K12</f>
        <v>401107.13961879286</v>
      </c>
      <c r="L76" s="504">
        <f>'BH Tariffs'!K19*'P&amp;L - Concept C1 - NCLH'!L12</f>
        <v>409129.28241116874</v>
      </c>
      <c r="M76" s="504">
        <f>'BH Tariffs'!L19*'P&amp;L - Concept C1 - NCLH'!M12</f>
        <v>417311.86805939215</v>
      </c>
      <c r="N76" s="504">
        <f>'BH Tariffs'!M19*'P&amp;L - Concept C1 - NCLH'!N12</f>
        <v>425658.10542058002</v>
      </c>
      <c r="O76" s="504">
        <f>'BH Tariffs'!N19*'P&amp;L - Concept C1 - NCLH'!O12</f>
        <v>434171.26752899162</v>
      </c>
      <c r="P76" s="504">
        <f>'BH Tariffs'!O19*'P&amp;L - Concept C1 - NCLH'!P12</f>
        <v>442854.69287957146</v>
      </c>
      <c r="Q76" s="504">
        <f>'BH Tariffs'!P19*'P&amp;L - Concept C1 - NCLH'!Q12</f>
        <v>451711.78673716291</v>
      </c>
      <c r="R76" s="504">
        <f>'BH Tariffs'!Q19*'P&amp;L - Concept C1 - NCLH'!R12</f>
        <v>460746.02247190609</v>
      </c>
      <c r="S76" s="504">
        <f>'BH Tariffs'!R19*'P&amp;L - Concept C1 - NCLH'!S12</f>
        <v>469960.94292134425</v>
      </c>
      <c r="T76" s="504">
        <f>'BH Tariffs'!S19*'P&amp;L - Concept C1 - NCLH'!T12</f>
        <v>479360.16177977109</v>
      </c>
      <c r="U76" s="504">
        <f>'BH Tariffs'!T19*'P&amp;L - Concept C1 - NCLH'!U12</f>
        <v>488947.36501536664</v>
      </c>
      <c r="V76" s="504">
        <f>'BH Tariffs'!U19*'P&amp;L - Concept C1 - NCLH'!V12</f>
        <v>498726.31231567392</v>
      </c>
      <c r="W76" s="504">
        <f>'BH Tariffs'!V19*'P&amp;L - Concept C1 - NCLH'!W12</f>
        <v>508700.83856198745</v>
      </c>
      <c r="X76" s="504">
        <f>'BH Tariffs'!W19*'P&amp;L - Concept C1 - NCLH'!X12</f>
        <v>518874.8553332272</v>
      </c>
      <c r="Y76" s="413">
        <f>SUM(D76:X76)</f>
        <v>8297862.9022200592</v>
      </c>
    </row>
    <row r="77" spans="1:25" s="341" customFormat="1">
      <c r="A77" s="353" t="str">
        <f>'BH Tariffs'!A21</f>
        <v>CBP Infastructure Fee (Ferry Property Only)</v>
      </c>
      <c r="B77" s="355"/>
      <c r="C77" s="355"/>
      <c r="D77" s="548">
        <v>0</v>
      </c>
      <c r="E77" s="503">
        <v>0</v>
      </c>
      <c r="F77" s="503">
        <v>0</v>
      </c>
      <c r="G77" s="503">
        <v>0</v>
      </c>
      <c r="H77" s="503">
        <v>0</v>
      </c>
      <c r="I77" s="503">
        <v>0</v>
      </c>
      <c r="J77" s="503">
        <v>0</v>
      </c>
      <c r="K77" s="503">
        <v>0</v>
      </c>
      <c r="L77" s="503">
        <v>0</v>
      </c>
      <c r="M77" s="503">
        <v>0</v>
      </c>
      <c r="N77" s="503">
        <v>0</v>
      </c>
      <c r="O77" s="503">
        <v>0</v>
      </c>
      <c r="P77" s="503">
        <v>0</v>
      </c>
      <c r="Q77" s="503">
        <v>0</v>
      </c>
      <c r="R77" s="503">
        <v>0</v>
      </c>
      <c r="S77" s="503">
        <v>0</v>
      </c>
      <c r="T77" s="503">
        <v>0</v>
      </c>
      <c r="U77" s="503">
        <v>0</v>
      </c>
      <c r="V77" s="503">
        <v>0</v>
      </c>
      <c r="W77" s="503">
        <v>0</v>
      </c>
      <c r="X77" s="503">
        <v>0</v>
      </c>
      <c r="Y77" s="413"/>
    </row>
    <row r="78" spans="1:25" s="96" customFormat="1">
      <c r="A78" s="90" t="str">
        <f>'BH Tariffs'!A22</f>
        <v>Infrastructure Fee</v>
      </c>
      <c r="B78" s="356"/>
      <c r="C78" s="356"/>
      <c r="D78" s="502">
        <v>0</v>
      </c>
      <c r="E78" s="504">
        <v>0</v>
      </c>
      <c r="F78" s="504">
        <f>'BH Tariffs'!E22*'Cruise Projections'!V97</f>
        <v>522936.74160000001</v>
      </c>
      <c r="G78" s="504">
        <f>'BH Tariffs'!F22*'Cruise Projections'!W97</f>
        <v>533395.47643200005</v>
      </c>
      <c r="H78" s="504">
        <f>'BH Tariffs'!G22*'Cruise Projections'!X97</f>
        <v>544063.38596063992</v>
      </c>
      <c r="I78" s="504">
        <f>'BH Tariffs'!H22*'Cruise Projections'!Y97</f>
        <v>554944.65367985272</v>
      </c>
      <c r="J78" s="504">
        <f>'BH Tariffs'!I22*'Cruise Projections'!Z97</f>
        <v>566043.54675344983</v>
      </c>
      <c r="K78" s="504">
        <f>'BH Tariffs'!J22*'Cruise Projections'!AA97</f>
        <v>577364.41768851888</v>
      </c>
      <c r="L78" s="504">
        <f>'BH Tariffs'!K22*'Cruise Projections'!AB97</f>
        <v>588911.70604228915</v>
      </c>
      <c r="M78" s="504">
        <f>'BH Tariffs'!L22*'Cruise Projections'!AC97</f>
        <v>600689.94016313506</v>
      </c>
      <c r="N78" s="504">
        <f>'BH Tariffs'!M22*'Cruise Projections'!AD97</f>
        <v>612703.73896639771</v>
      </c>
      <c r="O78" s="504">
        <f>'BH Tariffs'!N22*'Cruise Projections'!AE97</f>
        <v>624957.81374572578</v>
      </c>
      <c r="P78" s="504">
        <f>'BH Tariffs'!O22*'Cruise Projections'!AF97</f>
        <v>637456.97002064029</v>
      </c>
      <c r="Q78" s="504">
        <f>'BH Tariffs'!P22*'Cruise Projections'!AG97</f>
        <v>650206.10942105309</v>
      </c>
      <c r="R78" s="504">
        <f>'BH Tariffs'!Q22*'Cruise Projections'!AH97</f>
        <v>663210.23160947405</v>
      </c>
      <c r="S78" s="504">
        <f>'BH Tariffs'!R22*'Cruise Projections'!AI97</f>
        <v>676474.43624166364</v>
      </c>
      <c r="T78" s="504">
        <f>'BH Tariffs'!S22*'Cruise Projections'!AJ97</f>
        <v>690003.924966497</v>
      </c>
      <c r="U78" s="504">
        <f>'BH Tariffs'!T22*'Cruise Projections'!AK97</f>
        <v>703804.00346582686</v>
      </c>
      <c r="V78" s="504">
        <f>'BH Tariffs'!U22*'Cruise Projections'!AL97</f>
        <v>717880.08353514341</v>
      </c>
      <c r="W78" s="504">
        <f>'BH Tariffs'!V22*'Cruise Projections'!AM97</f>
        <v>732237.68520584644</v>
      </c>
      <c r="X78" s="504">
        <f>'BH Tariffs'!W22*'Cruise Projections'!AN97</f>
        <v>746882.43890996324</v>
      </c>
      <c r="Y78" s="413">
        <f t="shared" ref="Y78" si="10">SUM(D78:X78)</f>
        <v>11944167.30440812</v>
      </c>
    </row>
    <row r="79" spans="1:25">
      <c r="A79" s="90"/>
      <c r="B79" s="89"/>
      <c r="C79" s="89"/>
      <c r="D79" s="502"/>
      <c r="E79" s="504"/>
      <c r="F79" s="504"/>
      <c r="G79" s="504"/>
      <c r="H79" s="504"/>
      <c r="I79" s="504"/>
      <c r="J79" s="504"/>
      <c r="K79" s="504"/>
      <c r="L79" s="504"/>
      <c r="M79" s="504"/>
      <c r="N79" s="504"/>
      <c r="O79" s="504"/>
      <c r="P79" s="504"/>
      <c r="Q79" s="504"/>
      <c r="R79" s="504"/>
      <c r="S79" s="504"/>
      <c r="T79" s="504"/>
      <c r="U79" s="504"/>
      <c r="V79" s="504"/>
      <c r="W79" s="504"/>
      <c r="X79" s="504"/>
    </row>
    <row r="80" spans="1:25">
      <c r="A80" s="91" t="s">
        <v>163</v>
      </c>
      <c r="B80" s="30"/>
      <c r="C80" s="89"/>
      <c r="D80" s="502"/>
      <c r="E80" s="504"/>
      <c r="F80" s="504"/>
      <c r="G80" s="504"/>
      <c r="H80" s="504"/>
      <c r="I80" s="504"/>
      <c r="J80" s="504"/>
      <c r="K80" s="504"/>
      <c r="L80" s="504"/>
      <c r="M80" s="504"/>
      <c r="N80" s="504"/>
      <c r="O80" s="504"/>
      <c r="P80" s="504"/>
      <c r="Q80" s="504"/>
      <c r="R80" s="504"/>
      <c r="S80" s="504"/>
      <c r="T80" s="504"/>
      <c r="U80" s="504"/>
      <c r="V80" s="504"/>
      <c r="W80" s="504"/>
      <c r="X80" s="504"/>
    </row>
    <row r="81" spans="1:25">
      <c r="A81" s="88" t="str">
        <f>'BH Tariffs'!A25</f>
        <v>Dock Rent (12 months)</v>
      </c>
      <c r="B81" s="30"/>
      <c r="C81" s="89"/>
      <c r="D81" s="502">
        <v>0</v>
      </c>
      <c r="E81" s="504">
        <f>'BH Tariffs'!D25*12</f>
        <v>69000</v>
      </c>
      <c r="F81" s="504">
        <f>'BH Tariffs'!E25*12</f>
        <v>69000</v>
      </c>
      <c r="G81" s="504">
        <f>'BH Tariffs'!F25*12</f>
        <v>69000</v>
      </c>
      <c r="H81" s="504">
        <f>'BH Tariffs'!G25*12</f>
        <v>70380</v>
      </c>
      <c r="I81" s="504">
        <f>'BH Tariffs'!H25*12</f>
        <v>71787.600000000006</v>
      </c>
      <c r="J81" s="504">
        <f>'BH Tariffs'!I25*12</f>
        <v>73223.351999999999</v>
      </c>
      <c r="K81" s="504">
        <f>'BH Tariffs'!J25*12</f>
        <v>74687.819040000002</v>
      </c>
      <c r="L81" s="504">
        <f>'BH Tariffs'!K25*12</f>
        <v>76181.5754208</v>
      </c>
      <c r="M81" s="504">
        <f>'BH Tariffs'!L25*12</f>
        <v>77705.206929216016</v>
      </c>
      <c r="N81" s="504">
        <f>'BH Tariffs'!M25*12</f>
        <v>79259.311067800329</v>
      </c>
      <c r="O81" s="504">
        <f>'BH Tariffs'!N25*12</f>
        <v>80844.497289156338</v>
      </c>
      <c r="P81" s="504">
        <f>'BH Tariffs'!O25*12</f>
        <v>82461.387234939466</v>
      </c>
      <c r="Q81" s="504">
        <f>'BH Tariffs'!P25*12</f>
        <v>84110.614979638252</v>
      </c>
      <c r="R81" s="504">
        <f>'BH Tariffs'!Q25*12</f>
        <v>85792.827279231016</v>
      </c>
      <c r="S81" s="504">
        <f>'BH Tariffs'!R25*12</f>
        <v>87508.683824815642</v>
      </c>
      <c r="T81" s="504">
        <f>'BH Tariffs'!S25*12</f>
        <v>89258.857501311941</v>
      </c>
      <c r="U81" s="504">
        <f>'BH Tariffs'!T25*12</f>
        <v>91044.034651338196</v>
      </c>
      <c r="V81" s="504">
        <f>'BH Tariffs'!U25*12</f>
        <v>92864.91534436497</v>
      </c>
      <c r="W81" s="504">
        <f>'BH Tariffs'!V25*12</f>
        <v>94722.21365125227</v>
      </c>
      <c r="X81" s="504">
        <f>'BH Tariffs'!W25*12</f>
        <v>96616.657924277315</v>
      </c>
    </row>
    <row r="82" spans="1:25">
      <c r="A82" s="88" t="str">
        <f>'BH Tariffs'!A26</f>
        <v>Ferry Passenger Wharfage</v>
      </c>
      <c r="B82" s="30"/>
      <c r="C82" s="89"/>
      <c r="D82" s="502">
        <v>0</v>
      </c>
      <c r="E82" s="504">
        <f>'BH Tariffs'!D26*E18</f>
        <v>120000</v>
      </c>
      <c r="F82" s="504">
        <f>'BH Tariffs'!E26*F18</f>
        <v>140000</v>
      </c>
      <c r="G82" s="504">
        <f>'BH Tariffs'!F26*G18</f>
        <v>160000</v>
      </c>
      <c r="H82" s="504">
        <f>'BH Tariffs'!G26*H18</f>
        <v>163200</v>
      </c>
      <c r="I82" s="504">
        <f>'BH Tariffs'!H26*I18</f>
        <v>166464</v>
      </c>
      <c r="J82" s="504">
        <f>'BH Tariffs'!I26*J18</f>
        <v>169793.28</v>
      </c>
      <c r="K82" s="504">
        <f>'BH Tariffs'!J26*K18</f>
        <v>173189.14559999999</v>
      </c>
      <c r="L82" s="504">
        <f>'BH Tariffs'!K26*L18</f>
        <v>176652.92851200001</v>
      </c>
      <c r="M82" s="504">
        <f>'BH Tariffs'!L26*M18</f>
        <v>180185.98708224</v>
      </c>
      <c r="N82" s="504">
        <f>'BH Tariffs'!M26*N18</f>
        <v>183789.7068238848</v>
      </c>
      <c r="O82" s="504">
        <f>'BH Tariffs'!N26*O18</f>
        <v>187465.50096036252</v>
      </c>
      <c r="P82" s="504">
        <f>'BH Tariffs'!O26*P18</f>
        <v>191214.81097956977</v>
      </c>
      <c r="Q82" s="504">
        <f>'BH Tariffs'!P26*Q18</f>
        <v>195039.10719916117</v>
      </c>
      <c r="R82" s="504">
        <f>'BH Tariffs'!Q26*R18</f>
        <v>198939.8893431444</v>
      </c>
      <c r="S82" s="504">
        <f>'BH Tariffs'!R26*S18</f>
        <v>202918.68713000728</v>
      </c>
      <c r="T82" s="504">
        <f>'BH Tariffs'!S26*T18</f>
        <v>206977.0608726074</v>
      </c>
      <c r="U82" s="504">
        <f>'BH Tariffs'!T26*U18</f>
        <v>211116.60209005958</v>
      </c>
      <c r="V82" s="504">
        <f>'BH Tariffs'!U26*V18</f>
        <v>215338.93413186079</v>
      </c>
      <c r="W82" s="504">
        <f>'BH Tariffs'!V26*W18</f>
        <v>219645.71281449799</v>
      </c>
      <c r="X82" s="504">
        <f>'BH Tariffs'!W26*X18</f>
        <v>224038.62707078797</v>
      </c>
    </row>
    <row r="83" spans="1:25">
      <c r="A83" s="88" t="str">
        <f>'BH Tariffs'!A27</f>
        <v>Ferry Passenger Vehicle Wharfage</v>
      </c>
      <c r="B83" s="30"/>
      <c r="C83" s="89"/>
      <c r="D83" s="502">
        <v>0</v>
      </c>
      <c r="E83" s="504">
        <f>'BH Tariffs'!D27*E19</f>
        <v>72000</v>
      </c>
      <c r="F83" s="504">
        <f>'BH Tariffs'!E27*F19</f>
        <v>84000</v>
      </c>
      <c r="G83" s="504">
        <f>'BH Tariffs'!F27*G19</f>
        <v>96000</v>
      </c>
      <c r="H83" s="504">
        <f>'BH Tariffs'!G27*H19</f>
        <v>97920</v>
      </c>
      <c r="I83" s="504">
        <f>'BH Tariffs'!H27*I19</f>
        <v>99878.399999999994</v>
      </c>
      <c r="J83" s="504">
        <f>'BH Tariffs'!I27*J19</f>
        <v>101875.96799999999</v>
      </c>
      <c r="K83" s="504">
        <f>'BH Tariffs'!J27*K19</f>
        <v>103913.48736</v>
      </c>
      <c r="L83" s="504">
        <f>'BH Tariffs'!K27*L19</f>
        <v>105991.7571072</v>
      </c>
      <c r="M83" s="504">
        <f>'BH Tariffs'!L27*M19</f>
        <v>108111.592249344</v>
      </c>
      <c r="N83" s="504">
        <f>'BH Tariffs'!M27*N19</f>
        <v>110273.82409433088</v>
      </c>
      <c r="O83" s="504">
        <f>'BH Tariffs'!N27*O19</f>
        <v>112479.30057621752</v>
      </c>
      <c r="P83" s="504">
        <f>'BH Tariffs'!O27*P19</f>
        <v>114728.88658774187</v>
      </c>
      <c r="Q83" s="504">
        <f>'BH Tariffs'!P27*Q19</f>
        <v>117023.46431949669</v>
      </c>
      <c r="R83" s="504">
        <f>'BH Tariffs'!Q27*R19</f>
        <v>119363.93360588665</v>
      </c>
      <c r="S83" s="504">
        <f>'BH Tariffs'!R27*S19</f>
        <v>121751.21227800437</v>
      </c>
      <c r="T83" s="504">
        <f>'BH Tariffs'!S27*T19</f>
        <v>124186.23652356444</v>
      </c>
      <c r="U83" s="504">
        <f>'BH Tariffs'!T27*U19</f>
        <v>126669.96125403573</v>
      </c>
      <c r="V83" s="504">
        <f>'BH Tariffs'!U27*V19</f>
        <v>129203.36047911647</v>
      </c>
      <c r="W83" s="504">
        <f>'BH Tariffs'!V27*W19</f>
        <v>131787.42768869881</v>
      </c>
      <c r="X83" s="504">
        <f>'BH Tariffs'!W27*X19</f>
        <v>134423.17624247278</v>
      </c>
    </row>
    <row r="84" spans="1:25">
      <c r="A84" s="88" t="str">
        <f>'BH Tariffs'!A28</f>
        <v>Ferry Bus Wharfage</v>
      </c>
      <c r="B84" s="30"/>
      <c r="C84" s="89"/>
      <c r="D84" s="502">
        <v>0</v>
      </c>
      <c r="E84" s="504">
        <f>'BH Tariffs'!D28*'P&amp;L - Concept C1 - NCLH'!E20</f>
        <v>800</v>
      </c>
      <c r="F84" s="504">
        <f>'BH Tariffs'!E28*'P&amp;L - Concept C1 - NCLH'!F20</f>
        <v>1000</v>
      </c>
      <c r="G84" s="504">
        <f>'BH Tariffs'!F28*'P&amp;L - Concept C1 - NCLH'!G20</f>
        <v>1200</v>
      </c>
      <c r="H84" s="504">
        <f>'BH Tariffs'!G28*'P&amp;L - Concept C1 - NCLH'!H20</f>
        <v>1224</v>
      </c>
      <c r="I84" s="504">
        <f>'BH Tariffs'!H28*'P&amp;L - Concept C1 - NCLH'!I20</f>
        <v>1248.48</v>
      </c>
      <c r="J84" s="504">
        <f>'BH Tariffs'!I28*'P&amp;L - Concept C1 - NCLH'!J20</f>
        <v>1273.4495999999999</v>
      </c>
      <c r="K84" s="504">
        <f>'BH Tariffs'!J28*'P&amp;L - Concept C1 - NCLH'!K20</f>
        <v>1298.918592</v>
      </c>
      <c r="L84" s="504">
        <f>'BH Tariffs'!K28*'P&amp;L - Concept C1 - NCLH'!L20</f>
        <v>1324.8969638400001</v>
      </c>
      <c r="M84" s="504">
        <f>'BH Tariffs'!L28*'P&amp;L - Concept C1 - NCLH'!M20</f>
        <v>1351.3949031168002</v>
      </c>
      <c r="N84" s="504">
        <f>'BH Tariffs'!M28*'P&amp;L - Concept C1 - NCLH'!N20</f>
        <v>1378.4228011791361</v>
      </c>
      <c r="O84" s="504">
        <f>'BH Tariffs'!N28*'P&amp;L - Concept C1 - NCLH'!O20</f>
        <v>1405.991257202719</v>
      </c>
      <c r="P84" s="504">
        <f>'BH Tariffs'!O28*'P&amp;L - Concept C1 - NCLH'!P20</f>
        <v>1434.1110823467732</v>
      </c>
      <c r="Q84" s="504">
        <f>'BH Tariffs'!P28*'P&amp;L - Concept C1 - NCLH'!Q20</f>
        <v>1462.7933039937088</v>
      </c>
      <c r="R84" s="504">
        <f>'BH Tariffs'!Q28*'P&amp;L - Concept C1 - NCLH'!R20</f>
        <v>1492.0491700735829</v>
      </c>
      <c r="S84" s="504">
        <f>'BH Tariffs'!R28*'P&amp;L - Concept C1 - NCLH'!S20</f>
        <v>1521.8901534750546</v>
      </c>
      <c r="T84" s="504">
        <f>'BH Tariffs'!S28*'P&amp;L - Concept C1 - NCLH'!T20</f>
        <v>1552.3279565445555</v>
      </c>
      <c r="U84" s="504">
        <f>'BH Tariffs'!T28*'P&amp;L - Concept C1 - NCLH'!U20</f>
        <v>1583.3745156754469</v>
      </c>
      <c r="V84" s="504">
        <f>'BH Tariffs'!U28*'P&amp;L - Concept C1 - NCLH'!V20</f>
        <v>1615.0420059889559</v>
      </c>
      <c r="W84" s="504">
        <f>'BH Tariffs'!V28*'P&amp;L - Concept C1 - NCLH'!W20</f>
        <v>1647.3428461087349</v>
      </c>
      <c r="X84" s="504">
        <f>'BH Tariffs'!W28*'P&amp;L - Concept C1 - NCLH'!X20</f>
        <v>1680.2897030309098</v>
      </c>
    </row>
    <row r="85" spans="1:25" s="167" customFormat="1">
      <c r="A85" s="539" t="s">
        <v>592</v>
      </c>
      <c r="B85" s="609"/>
      <c r="C85" s="540"/>
      <c r="D85" s="541">
        <v>0</v>
      </c>
      <c r="E85" s="542">
        <v>-100000</v>
      </c>
      <c r="F85" s="542">
        <f>E85</f>
        <v>-100000</v>
      </c>
      <c r="G85" s="542">
        <f t="shared" ref="G85:X85" si="11">F85</f>
        <v>-100000</v>
      </c>
      <c r="H85" s="542">
        <f t="shared" si="11"/>
        <v>-100000</v>
      </c>
      <c r="I85" s="542">
        <f t="shared" si="11"/>
        <v>-100000</v>
      </c>
      <c r="J85" s="542">
        <f t="shared" si="11"/>
        <v>-100000</v>
      </c>
      <c r="K85" s="542">
        <f t="shared" si="11"/>
        <v>-100000</v>
      </c>
      <c r="L85" s="542">
        <f t="shared" si="11"/>
        <v>-100000</v>
      </c>
      <c r="M85" s="542">
        <f t="shared" si="11"/>
        <v>-100000</v>
      </c>
      <c r="N85" s="542">
        <f t="shared" si="11"/>
        <v>-100000</v>
      </c>
      <c r="O85" s="542">
        <f t="shared" si="11"/>
        <v>-100000</v>
      </c>
      <c r="P85" s="542">
        <f t="shared" si="11"/>
        <v>-100000</v>
      </c>
      <c r="Q85" s="542">
        <f t="shared" si="11"/>
        <v>-100000</v>
      </c>
      <c r="R85" s="542">
        <f t="shared" si="11"/>
        <v>-100000</v>
      </c>
      <c r="S85" s="542">
        <f t="shared" si="11"/>
        <v>-100000</v>
      </c>
      <c r="T85" s="542">
        <f t="shared" si="11"/>
        <v>-100000</v>
      </c>
      <c r="U85" s="542">
        <f t="shared" si="11"/>
        <v>-100000</v>
      </c>
      <c r="V85" s="542">
        <f t="shared" si="11"/>
        <v>-100000</v>
      </c>
      <c r="W85" s="542">
        <f t="shared" si="11"/>
        <v>-100000</v>
      </c>
      <c r="X85" s="542">
        <f t="shared" si="11"/>
        <v>-100000</v>
      </c>
    </row>
    <row r="86" spans="1:25">
      <c r="A86" s="88"/>
      <c r="B86" s="30"/>
      <c r="C86" s="89"/>
      <c r="D86" s="502"/>
      <c r="E86" s="504"/>
      <c r="F86" s="504"/>
      <c r="G86" s="504"/>
      <c r="H86" s="504"/>
      <c r="I86" s="504"/>
      <c r="J86" s="504"/>
      <c r="K86" s="504"/>
      <c r="L86" s="504"/>
      <c r="M86" s="504"/>
      <c r="N86" s="504"/>
      <c r="O86" s="504"/>
      <c r="P86" s="504"/>
      <c r="Q86" s="504"/>
      <c r="R86" s="504"/>
      <c r="S86" s="504"/>
      <c r="T86" s="504"/>
      <c r="U86" s="504"/>
      <c r="V86" s="504"/>
      <c r="W86" s="504"/>
      <c r="X86" s="504"/>
    </row>
    <row r="87" spans="1:25" s="96" customFormat="1">
      <c r="A87" s="605" t="s">
        <v>164</v>
      </c>
      <c r="B87" s="606"/>
      <c r="C87" s="356"/>
      <c r="D87" s="502"/>
      <c r="E87" s="504"/>
      <c r="F87" s="504"/>
      <c r="G87" s="504"/>
      <c r="H87" s="504"/>
      <c r="I87" s="504"/>
      <c r="J87" s="504"/>
      <c r="K87" s="504"/>
      <c r="L87" s="504"/>
      <c r="M87" s="504"/>
      <c r="N87" s="504"/>
      <c r="O87" s="504"/>
      <c r="P87" s="504"/>
      <c r="Q87" s="504"/>
      <c r="R87" s="504"/>
      <c r="S87" s="504"/>
      <c r="T87" s="504"/>
      <c r="U87" s="504"/>
      <c r="V87" s="504"/>
      <c r="W87" s="504"/>
      <c r="X87" s="504"/>
    </row>
    <row r="88" spans="1:25" s="96" customFormat="1">
      <c r="A88" s="90" t="str">
        <f>'BH Tariffs'!A31</f>
        <v>Dock Rent (6 Months Only)</v>
      </c>
      <c r="B88" s="606"/>
      <c r="C88" s="356"/>
      <c r="D88" s="502">
        <v>0</v>
      </c>
      <c r="E88" s="504">
        <v>0</v>
      </c>
      <c r="F88" s="504">
        <f>'BH Tariffs'!E31*6</f>
        <v>12240</v>
      </c>
      <c r="G88" s="504">
        <f>'BH Tariffs'!F31*6</f>
        <v>12484.800000000001</v>
      </c>
      <c r="H88" s="504">
        <f>'BH Tariffs'!G31*6</f>
        <v>12734.495999999999</v>
      </c>
      <c r="I88" s="504">
        <f>'BH Tariffs'!H31*6</f>
        <v>12989.18592</v>
      </c>
      <c r="J88" s="504">
        <f>'BH Tariffs'!I31*6</f>
        <v>13248.9696384</v>
      </c>
      <c r="K88" s="504">
        <f>'BH Tariffs'!J31*6</f>
        <v>13513.949031168002</v>
      </c>
      <c r="L88" s="504">
        <f>'BH Tariffs'!K31*6</f>
        <v>13784.228011791361</v>
      </c>
      <c r="M88" s="504">
        <f>'BH Tariffs'!L31*6</f>
        <v>14059.912572027188</v>
      </c>
      <c r="N88" s="504">
        <f>'BH Tariffs'!M31*6</f>
        <v>14341.110823467734</v>
      </c>
      <c r="O88" s="504">
        <f>'BH Tariffs'!N31*6</f>
        <v>14627.933039937088</v>
      </c>
      <c r="P88" s="504">
        <f>'BH Tariffs'!O31*6</f>
        <v>14920.491700735829</v>
      </c>
      <c r="Q88" s="504">
        <f>'BH Tariffs'!P31*6</f>
        <v>15218.901534750545</v>
      </c>
      <c r="R88" s="504">
        <f>'BH Tariffs'!Q31*6</f>
        <v>15523.279565445555</v>
      </c>
      <c r="S88" s="504">
        <f>'BH Tariffs'!R31*6</f>
        <v>15833.745156754467</v>
      </c>
      <c r="T88" s="504">
        <f>'BH Tariffs'!S31*6</f>
        <v>16150.420059889559</v>
      </c>
      <c r="U88" s="504">
        <f>'BH Tariffs'!T31*6</f>
        <v>16473.428461087351</v>
      </c>
      <c r="V88" s="504">
        <f>'BH Tariffs'!U31*6</f>
        <v>16802.897030309097</v>
      </c>
      <c r="W88" s="504">
        <f>'BH Tariffs'!V31*6</f>
        <v>17138.954970915282</v>
      </c>
      <c r="X88" s="504">
        <f>'BH Tariffs'!W31*6</f>
        <v>17481.734070333587</v>
      </c>
    </row>
    <row r="89" spans="1:25" s="96" customFormat="1">
      <c r="A89" s="90"/>
      <c r="B89" s="606"/>
      <c r="C89" s="356"/>
      <c r="D89" s="502"/>
      <c r="E89" s="504"/>
      <c r="F89" s="504"/>
      <c r="G89" s="504"/>
      <c r="H89" s="504"/>
      <c r="I89" s="504"/>
      <c r="J89" s="504"/>
      <c r="K89" s="504"/>
      <c r="L89" s="504"/>
      <c r="M89" s="504"/>
      <c r="N89" s="504"/>
      <c r="O89" s="504"/>
      <c r="P89" s="504"/>
      <c r="Q89" s="504"/>
      <c r="R89" s="504"/>
      <c r="S89" s="504"/>
      <c r="T89" s="504"/>
      <c r="U89" s="504"/>
      <c r="V89" s="504"/>
      <c r="W89" s="504"/>
      <c r="X89" s="504"/>
    </row>
    <row r="90" spans="1:25" s="582" customFormat="1" ht="14.25">
      <c r="A90" s="605" t="str">
        <f>'BH Tariffs'!A33</f>
        <v>Recreational/Commercial Marina</v>
      </c>
      <c r="B90" s="607"/>
      <c r="C90" s="608"/>
      <c r="D90" s="537"/>
      <c r="E90" s="538"/>
      <c r="F90" s="538"/>
      <c r="G90" s="538"/>
      <c r="H90" s="538"/>
      <c r="I90" s="538"/>
      <c r="J90" s="538"/>
      <c r="K90" s="538"/>
      <c r="L90" s="538"/>
      <c r="M90" s="538"/>
      <c r="N90" s="538"/>
      <c r="O90" s="538"/>
      <c r="P90" s="538"/>
      <c r="Q90" s="538"/>
      <c r="R90" s="538"/>
      <c r="S90" s="538"/>
      <c r="T90" s="538"/>
      <c r="U90" s="538"/>
      <c r="V90" s="538"/>
      <c r="W90" s="538"/>
      <c r="X90" s="538"/>
    </row>
    <row r="91" spans="1:25" s="96" customFormat="1">
      <c r="A91" s="90" t="str">
        <f>'BH Tariffs'!A34</f>
        <v>Transient Slip Rent</v>
      </c>
      <c r="B91" s="606"/>
      <c r="C91" s="356"/>
      <c r="D91" s="502">
        <v>0</v>
      </c>
      <c r="E91" s="504">
        <v>0</v>
      </c>
      <c r="F91" s="504">
        <f>'BH Tariffs'!E34*'P&amp;L - Concept C1 - NCLH'!F57</f>
        <v>24370.791468749998</v>
      </c>
      <c r="G91" s="504">
        <f>'BH Tariffs'!F34*'P&amp;L - Concept C1 - NCLH'!G57</f>
        <v>24858.207298124998</v>
      </c>
      <c r="H91" s="504">
        <f>'BH Tariffs'!G34*'P&amp;L - Concept C1 - NCLH'!H57</f>
        <v>25355.371444087494</v>
      </c>
      <c r="I91" s="504">
        <f>'BH Tariffs'!H34*'P&amp;L - Concept C1 - NCLH'!I57</f>
        <v>25862.478872969248</v>
      </c>
      <c r="J91" s="504">
        <f>'BH Tariffs'!I34*'P&amp;L - Concept C1 - NCLH'!J57</f>
        <v>26379.728450428636</v>
      </c>
      <c r="K91" s="504">
        <f>'BH Tariffs'!J34*'P&amp;L - Concept C1 - NCLH'!K57</f>
        <v>26907.323019437208</v>
      </c>
      <c r="L91" s="504">
        <f>'BH Tariffs'!K34*'P&amp;L - Concept C1 - NCLH'!L57</f>
        <v>27445.469479825952</v>
      </c>
      <c r="M91" s="504">
        <f>'BH Tariffs'!L34*'P&amp;L - Concept C1 - NCLH'!M57</f>
        <v>27994.378869422475</v>
      </c>
      <c r="N91" s="504">
        <f>'BH Tariffs'!M34*'P&amp;L - Concept C1 - NCLH'!N57</f>
        <v>28554.266446810921</v>
      </c>
      <c r="O91" s="504">
        <f>'BH Tariffs'!N34*'P&amp;L - Concept C1 - NCLH'!O57</f>
        <v>29125.351775747142</v>
      </c>
      <c r="P91" s="504">
        <f>'BH Tariffs'!O34*'P&amp;L - Concept C1 - NCLH'!P57</f>
        <v>29707.858811262082</v>
      </c>
      <c r="Q91" s="504">
        <f>'BH Tariffs'!P34*'P&amp;L - Concept C1 - NCLH'!Q57</f>
        <v>30302.015987487324</v>
      </c>
      <c r="R91" s="504">
        <f>'BH Tariffs'!Q34*'P&amp;L - Concept C1 - NCLH'!R57</f>
        <v>30908.056307237068</v>
      </c>
      <c r="S91" s="504">
        <f>'BH Tariffs'!R34*'P&amp;L - Concept C1 - NCLH'!S57</f>
        <v>31526.217433381815</v>
      </c>
      <c r="T91" s="504">
        <f>'BH Tariffs'!S34*'P&amp;L - Concept C1 - NCLH'!T57</f>
        <v>32156.741782049452</v>
      </c>
      <c r="U91" s="504">
        <f>'BH Tariffs'!T34*'P&amp;L - Concept C1 - NCLH'!U57</f>
        <v>32799.876617690439</v>
      </c>
      <c r="V91" s="504">
        <f>'BH Tariffs'!U34*'P&amp;L - Concept C1 - NCLH'!V57</f>
        <v>33455.874150044256</v>
      </c>
      <c r="W91" s="504">
        <f>'BH Tariffs'!V34*'P&amp;L - Concept C1 - NCLH'!W57</f>
        <v>34124.991633045138</v>
      </c>
      <c r="X91" s="504">
        <f>'BH Tariffs'!W34*'P&amp;L - Concept C1 - NCLH'!X57</f>
        <v>34807.491465706036</v>
      </c>
    </row>
    <row r="92" spans="1:25" s="96" customFormat="1">
      <c r="A92" s="90" t="s">
        <v>280</v>
      </c>
      <c r="B92" s="606"/>
      <c r="C92" s="356"/>
      <c r="D92" s="502">
        <v>0</v>
      </c>
      <c r="E92" s="504">
        <v>0</v>
      </c>
      <c r="F92" s="504">
        <f>'BH Tariffs'!E35*'P&amp;L - Concept C1 - NCLH'!F58</f>
        <v>38459.610000000008</v>
      </c>
      <c r="G92" s="504">
        <f>'BH Tariffs'!F35*'P&amp;L - Concept C1 - NCLH'!G58</f>
        <v>39228.802200000006</v>
      </c>
      <c r="H92" s="504">
        <f>'BH Tariffs'!G35*'P&amp;L - Concept C1 - NCLH'!H58</f>
        <v>40013.378244</v>
      </c>
      <c r="I92" s="504">
        <f>'BH Tariffs'!H35*'P&amp;L - Concept C1 - NCLH'!I58</f>
        <v>40813.645808879999</v>
      </c>
      <c r="J92" s="504">
        <f>'BH Tariffs'!I35*'P&amp;L - Concept C1 - NCLH'!J58</f>
        <v>41629.9187250576</v>
      </c>
      <c r="K92" s="504">
        <f>'BH Tariffs'!J35*'P&amp;L - Concept C1 - NCLH'!K58</f>
        <v>42462.517099558754</v>
      </c>
      <c r="L92" s="504">
        <f>'BH Tariffs'!K35*'P&amp;L - Concept C1 - NCLH'!L58</f>
        <v>43311.767441549935</v>
      </c>
      <c r="M92" s="504">
        <f>'BH Tariffs'!L35*'P&amp;L - Concept C1 - NCLH'!M58</f>
        <v>44178.002790380931</v>
      </c>
      <c r="N92" s="504">
        <f>'BH Tariffs'!M35*'P&amp;L - Concept C1 - NCLH'!N58</f>
        <v>45061.56284618855</v>
      </c>
      <c r="O92" s="504">
        <f>'BH Tariffs'!N35*'P&amp;L - Concept C1 - NCLH'!O58</f>
        <v>45962.794103112326</v>
      </c>
      <c r="P92" s="504">
        <f>'BH Tariffs'!O35*'P&amp;L - Concept C1 - NCLH'!P58</f>
        <v>46882.04998517457</v>
      </c>
      <c r="Q92" s="504">
        <f>'BH Tariffs'!P35*'P&amp;L - Concept C1 - NCLH'!Q58</f>
        <v>47819.690984878056</v>
      </c>
      <c r="R92" s="504">
        <f>'BH Tariffs'!Q35*'P&amp;L - Concept C1 - NCLH'!R58</f>
        <v>48776.084804575621</v>
      </c>
      <c r="S92" s="504">
        <f>'BH Tariffs'!R35*'P&amp;L - Concept C1 - NCLH'!S58</f>
        <v>49751.606500667134</v>
      </c>
      <c r="T92" s="504">
        <f>'BH Tariffs'!S35*'P&amp;L - Concept C1 - NCLH'!T58</f>
        <v>50746.638630680485</v>
      </c>
      <c r="U92" s="504">
        <f>'BH Tariffs'!T35*'P&amp;L - Concept C1 - NCLH'!U58</f>
        <v>51761.571403294096</v>
      </c>
      <c r="V92" s="504">
        <f>'BH Tariffs'!U35*'P&amp;L - Concept C1 - NCLH'!V58</f>
        <v>52796.802831359972</v>
      </c>
      <c r="W92" s="504">
        <f>'BH Tariffs'!V35*'P&amp;L - Concept C1 - NCLH'!W58</f>
        <v>53852.738887987187</v>
      </c>
      <c r="X92" s="504">
        <f>'BH Tariffs'!W35*'P&amp;L - Concept C1 - NCLH'!X58</f>
        <v>54929.793665746925</v>
      </c>
    </row>
    <row r="93" spans="1:25" s="167" customFormat="1">
      <c r="A93" s="539" t="str">
        <f>'BH Tariffs'!A36</f>
        <v>Water/Sewer</v>
      </c>
      <c r="B93" s="609"/>
      <c r="C93" s="540"/>
      <c r="D93" s="541">
        <v>0</v>
      </c>
      <c r="E93" s="542">
        <v>0</v>
      </c>
      <c r="F93" s="542">
        <v>0</v>
      </c>
      <c r="G93" s="542">
        <v>0</v>
      </c>
      <c r="H93" s="542">
        <v>0</v>
      </c>
      <c r="I93" s="542">
        <v>0</v>
      </c>
      <c r="J93" s="542">
        <v>0</v>
      </c>
      <c r="K93" s="542">
        <v>0</v>
      </c>
      <c r="L93" s="542">
        <v>0</v>
      </c>
      <c r="M93" s="542">
        <v>0</v>
      </c>
      <c r="N93" s="542">
        <v>0</v>
      </c>
      <c r="O93" s="542">
        <v>0</v>
      </c>
      <c r="P93" s="542">
        <v>0</v>
      </c>
      <c r="Q93" s="542">
        <v>0</v>
      </c>
      <c r="R93" s="542">
        <v>0</v>
      </c>
      <c r="S93" s="542">
        <v>0</v>
      </c>
      <c r="T93" s="542">
        <v>0</v>
      </c>
      <c r="U93" s="542">
        <v>0</v>
      </c>
      <c r="V93" s="542">
        <v>0</v>
      </c>
      <c r="W93" s="542">
        <v>0</v>
      </c>
      <c r="X93" s="542">
        <v>0</v>
      </c>
      <c r="Y93" s="167" t="s">
        <v>282</v>
      </c>
    </row>
    <row r="94" spans="1:25" s="167" customFormat="1">
      <c r="A94" s="539" t="str">
        <f>'BH Tariffs'!A37</f>
        <v xml:space="preserve">Power (Electricity) </v>
      </c>
      <c r="B94" s="609"/>
      <c r="C94" s="540"/>
      <c r="D94" s="541">
        <v>0</v>
      </c>
      <c r="E94" s="542">
        <v>0</v>
      </c>
      <c r="F94" s="542">
        <v>0</v>
      </c>
      <c r="G94" s="542">
        <v>0</v>
      </c>
      <c r="H94" s="542">
        <v>0</v>
      </c>
      <c r="I94" s="542">
        <v>0</v>
      </c>
      <c r="J94" s="542">
        <v>0</v>
      </c>
      <c r="K94" s="542">
        <v>0</v>
      </c>
      <c r="L94" s="542">
        <v>0</v>
      </c>
      <c r="M94" s="542">
        <v>0</v>
      </c>
      <c r="N94" s="542">
        <v>0</v>
      </c>
      <c r="O94" s="542">
        <v>0</v>
      </c>
      <c r="P94" s="542">
        <v>0</v>
      </c>
      <c r="Q94" s="542">
        <v>0</v>
      </c>
      <c r="R94" s="542">
        <v>0</v>
      </c>
      <c r="S94" s="542">
        <v>0</v>
      </c>
      <c r="T94" s="542">
        <v>0</v>
      </c>
      <c r="U94" s="542">
        <v>0</v>
      </c>
      <c r="V94" s="542">
        <v>0</v>
      </c>
      <c r="W94" s="542">
        <v>0</v>
      </c>
      <c r="X94" s="542">
        <v>0</v>
      </c>
      <c r="Y94" s="167" t="s">
        <v>282</v>
      </c>
    </row>
    <row r="95" spans="1:25" s="96" customFormat="1">
      <c r="A95" s="90" t="s">
        <v>526</v>
      </c>
      <c r="B95" s="606"/>
      <c r="C95" s="356"/>
      <c r="D95" s="502">
        <v>0</v>
      </c>
      <c r="E95" s="504">
        <v>0</v>
      </c>
      <c r="F95" s="504">
        <f>'BH Tariffs'!E38*'P&amp;L - Concept C1 - NCLH'!F56</f>
        <v>7500</v>
      </c>
      <c r="G95" s="504">
        <f>'BH Tariffs'!F38*'P&amp;L - Concept C1 - NCLH'!G56</f>
        <v>7650</v>
      </c>
      <c r="H95" s="504">
        <f>'BH Tariffs'!G38*'P&amp;L - Concept C1 - NCLH'!H56</f>
        <v>7803</v>
      </c>
      <c r="I95" s="504">
        <f>'BH Tariffs'!H38*'P&amp;L - Concept C1 - NCLH'!I56</f>
        <v>7959.0599999999995</v>
      </c>
      <c r="J95" s="504">
        <f>'BH Tariffs'!I38*'P&amp;L - Concept C1 - NCLH'!J56</f>
        <v>8118.2411999999995</v>
      </c>
      <c r="K95" s="504">
        <f>'BH Tariffs'!J38*'P&amp;L - Concept C1 - NCLH'!K56</f>
        <v>8280.6060240000006</v>
      </c>
      <c r="L95" s="504">
        <f>'BH Tariffs'!K38*'P&amp;L - Concept C1 - NCLH'!L56</f>
        <v>8446.2181444800008</v>
      </c>
      <c r="M95" s="504">
        <f>'BH Tariffs'!L38*'P&amp;L - Concept C1 - NCLH'!M56</f>
        <v>8615.1425073696009</v>
      </c>
      <c r="N95" s="504">
        <f>'BH Tariffs'!M38*'P&amp;L - Concept C1 - NCLH'!N56</f>
        <v>8787.4453575169937</v>
      </c>
      <c r="O95" s="504">
        <f>'BH Tariffs'!N38*'P&amp;L - Concept C1 - NCLH'!O56</f>
        <v>8963.1942646673324</v>
      </c>
      <c r="P95" s="504">
        <f>'BH Tariffs'!O38*'P&amp;L - Concept C1 - NCLH'!P56</f>
        <v>9142.4581499606793</v>
      </c>
      <c r="Q95" s="504">
        <f>'BH Tariffs'!P38*'P&amp;L - Concept C1 - NCLH'!Q56</f>
        <v>9325.3073129598943</v>
      </c>
      <c r="R95" s="504">
        <f>'BH Tariffs'!Q38*'P&amp;L - Concept C1 - NCLH'!R56</f>
        <v>9511.8134592190909</v>
      </c>
      <c r="S95" s="504">
        <f>'BH Tariffs'!R38*'P&amp;L - Concept C1 - NCLH'!S56</f>
        <v>9702.0497284034718</v>
      </c>
      <c r="T95" s="504">
        <f>'BH Tariffs'!S38*'P&amp;L - Concept C1 - NCLH'!T56</f>
        <v>9896.0907229715431</v>
      </c>
      <c r="U95" s="504">
        <f>'BH Tariffs'!T38*'P&amp;L - Concept C1 - NCLH'!U56</f>
        <v>10094.012537430975</v>
      </c>
      <c r="V95" s="504">
        <f>'BH Tariffs'!U38*'P&amp;L - Concept C1 - NCLH'!V56</f>
        <v>10295.892788179593</v>
      </c>
      <c r="W95" s="504">
        <f>'BH Tariffs'!V38*'P&amp;L - Concept C1 - NCLH'!W56</f>
        <v>10501.810643943187</v>
      </c>
      <c r="X95" s="504">
        <f>'BH Tariffs'!W38*'P&amp;L - Concept C1 - NCLH'!X56</f>
        <v>10711.846856822051</v>
      </c>
    </row>
    <row r="96" spans="1:25">
      <c r="A96" s="88"/>
      <c r="B96" s="30"/>
      <c r="C96" s="89"/>
      <c r="D96" s="502"/>
      <c r="E96" s="504"/>
      <c r="F96" s="504"/>
      <c r="G96" s="504"/>
      <c r="H96" s="504"/>
      <c r="I96" s="504"/>
      <c r="J96" s="504"/>
      <c r="K96" s="504"/>
      <c r="L96" s="504"/>
      <c r="M96" s="504"/>
      <c r="N96" s="504"/>
      <c r="O96" s="504"/>
      <c r="P96" s="504"/>
      <c r="Q96" s="504"/>
      <c r="R96" s="504"/>
      <c r="S96" s="504"/>
      <c r="T96" s="504"/>
      <c r="U96" s="504"/>
      <c r="V96" s="504"/>
      <c r="W96" s="504"/>
      <c r="X96" s="504"/>
    </row>
    <row r="97" spans="1:24">
      <c r="A97" s="91" t="s">
        <v>26</v>
      </c>
      <c r="B97" s="30"/>
      <c r="C97" s="89"/>
      <c r="D97" s="502"/>
      <c r="E97" s="504"/>
      <c r="F97" s="504"/>
      <c r="G97" s="504"/>
      <c r="H97" s="504"/>
      <c r="I97" s="504"/>
      <c r="J97" s="504"/>
      <c r="K97" s="504"/>
      <c r="L97" s="504"/>
      <c r="M97" s="504"/>
      <c r="N97" s="504"/>
      <c r="O97" s="504"/>
      <c r="P97" s="504"/>
      <c r="Q97" s="504"/>
      <c r="R97" s="504"/>
      <c r="S97" s="504"/>
      <c r="T97" s="504"/>
      <c r="U97" s="504"/>
      <c r="V97" s="504"/>
      <c r="W97" s="504"/>
      <c r="X97" s="504"/>
    </row>
    <row r="98" spans="1:24" s="341" customFormat="1">
      <c r="A98" s="353" t="s">
        <v>214</v>
      </c>
      <c r="B98" s="354"/>
      <c r="C98" s="355"/>
      <c r="D98" s="548">
        <v>0</v>
      </c>
      <c r="E98" s="503">
        <v>0</v>
      </c>
      <c r="F98" s="503">
        <v>0</v>
      </c>
      <c r="G98" s="503">
        <v>0</v>
      </c>
      <c r="H98" s="503">
        <v>0</v>
      </c>
      <c r="I98" s="503">
        <v>0</v>
      </c>
      <c r="J98" s="503">
        <v>0</v>
      </c>
      <c r="K98" s="503">
        <v>0</v>
      </c>
      <c r="L98" s="503">
        <v>0</v>
      </c>
      <c r="M98" s="503">
        <v>0</v>
      </c>
      <c r="N98" s="503">
        <v>0</v>
      </c>
      <c r="O98" s="503">
        <v>0</v>
      </c>
      <c r="P98" s="503">
        <v>0</v>
      </c>
      <c r="Q98" s="503">
        <v>0</v>
      </c>
      <c r="R98" s="503">
        <v>0</v>
      </c>
      <c r="S98" s="503">
        <v>0</v>
      </c>
      <c r="T98" s="503">
        <v>0</v>
      </c>
      <c r="U98" s="503">
        <v>0</v>
      </c>
      <c r="V98" s="503">
        <v>0</v>
      </c>
      <c r="W98" s="503">
        <v>0</v>
      </c>
      <c r="X98" s="503">
        <v>0</v>
      </c>
    </row>
    <row r="99" spans="1:24">
      <c r="A99" s="88" t="s">
        <v>215</v>
      </c>
      <c r="B99" s="30"/>
      <c r="C99" s="89"/>
      <c r="D99" s="502">
        <v>0</v>
      </c>
      <c r="E99" s="504">
        <f>'BH Tariffs'!D43*'Parking Projections'!C90</f>
        <v>0</v>
      </c>
      <c r="F99" s="504">
        <f>'BH Tariffs'!E43*'Parking Projections'!D90</f>
        <v>0</v>
      </c>
      <c r="G99" s="504">
        <f>'BH Tariffs'!F43*'Parking Projections'!E90</f>
        <v>0</v>
      </c>
      <c r="H99" s="504">
        <f>'BH Tariffs'!G43*'Parking Projections'!F90</f>
        <v>0</v>
      </c>
      <c r="I99" s="504">
        <f>'BH Tariffs'!H43*'Parking Projections'!G90</f>
        <v>0</v>
      </c>
      <c r="J99" s="504">
        <f>'BH Tariffs'!I43*'Parking Projections'!H90</f>
        <v>216287.84722222219</v>
      </c>
      <c r="K99" s="504">
        <f>'BH Tariffs'!J43*'Parking Projections'!I90</f>
        <v>216287.84722222219</v>
      </c>
      <c r="L99" s="504">
        <f>'BH Tariffs'!K43*'Parking Projections'!J90</f>
        <v>216287.84722222219</v>
      </c>
      <c r="M99" s="504">
        <f>'BH Tariffs'!L43*'Parking Projections'!K90</f>
        <v>216287.84722222219</v>
      </c>
      <c r="N99" s="504">
        <f>'BH Tariffs'!M43*'Parking Projections'!L90</f>
        <v>216287.84722222219</v>
      </c>
      <c r="O99" s="504">
        <f>'BH Tariffs'!N43*'Parking Projections'!M90</f>
        <v>270359.80902777775</v>
      </c>
      <c r="P99" s="504">
        <f>'BH Tariffs'!O43*'Parking Projections'!N90</f>
        <v>270359.80902777775</v>
      </c>
      <c r="Q99" s="504">
        <f>'BH Tariffs'!P43*'Parking Projections'!O90</f>
        <v>270359.80902777775</v>
      </c>
      <c r="R99" s="504">
        <f>'BH Tariffs'!Q43*'Parking Projections'!P90</f>
        <v>270359.80902777775</v>
      </c>
      <c r="S99" s="504">
        <f>'BH Tariffs'!R43*'Parking Projections'!Q90</f>
        <v>270359.80902777775</v>
      </c>
      <c r="T99" s="504">
        <f>'BH Tariffs'!S43*'Parking Projections'!R90</f>
        <v>324431.77083333326</v>
      </c>
      <c r="U99" s="504">
        <f>'BH Tariffs'!T43*'Parking Projections'!S90</f>
        <v>324431.77083333326</v>
      </c>
      <c r="V99" s="504">
        <f>'BH Tariffs'!U43*'Parking Projections'!T90</f>
        <v>324431.77083333326</v>
      </c>
      <c r="W99" s="504">
        <f>'BH Tariffs'!V43*'Parking Projections'!U90</f>
        <v>324431.77083333326</v>
      </c>
      <c r="X99" s="504">
        <f>'BH Tariffs'!W43*'Parking Projections'!V90</f>
        <v>324431.77083333326</v>
      </c>
    </row>
    <row r="100" spans="1:24">
      <c r="A100" s="91"/>
      <c r="B100" s="30"/>
      <c r="C100" s="89"/>
      <c r="D100" s="502"/>
      <c r="E100" s="504"/>
      <c r="F100" s="504"/>
      <c r="G100" s="504"/>
      <c r="H100" s="504"/>
      <c r="I100" s="504"/>
      <c r="J100" s="504"/>
      <c r="K100" s="504"/>
      <c r="L100" s="504"/>
      <c r="M100" s="504"/>
      <c r="N100" s="504"/>
      <c r="O100" s="504"/>
      <c r="P100" s="504"/>
      <c r="Q100" s="504"/>
      <c r="R100" s="504"/>
      <c r="S100" s="504"/>
      <c r="T100" s="504"/>
      <c r="U100" s="504"/>
      <c r="V100" s="504"/>
      <c r="W100" s="504"/>
      <c r="X100" s="504"/>
    </row>
    <row r="101" spans="1:24">
      <c r="A101" s="91" t="s">
        <v>2</v>
      </c>
      <c r="B101" s="30"/>
      <c r="C101" s="89"/>
      <c r="D101" s="502"/>
      <c r="E101" s="504"/>
      <c r="F101" s="504"/>
      <c r="G101" s="504"/>
      <c r="H101" s="504"/>
      <c r="I101" s="504"/>
      <c r="J101" s="504"/>
      <c r="K101" s="504"/>
      <c r="L101" s="504"/>
      <c r="M101" s="504"/>
      <c r="N101" s="504"/>
      <c r="O101" s="504"/>
      <c r="P101" s="504"/>
      <c r="Q101" s="504"/>
      <c r="R101" s="504"/>
      <c r="S101" s="504"/>
      <c r="T101" s="504"/>
      <c r="U101" s="504"/>
      <c r="V101" s="504"/>
      <c r="W101" s="504"/>
      <c r="X101" s="504"/>
    </row>
    <row r="102" spans="1:24">
      <c r="A102" s="88" t="str">
        <f>'BH Tariffs'!A44</f>
        <v>Commerical Rent (Seasonal Kiosk(s)/Vendor(s))</v>
      </c>
      <c r="B102" s="30"/>
      <c r="C102" s="89"/>
      <c r="D102" s="502">
        <v>0</v>
      </c>
      <c r="E102" s="504">
        <f>'BH Tariffs'!D44*'P&amp;L - Concept C1 - NCLH'!E63</f>
        <v>0</v>
      </c>
      <c r="F102" s="504">
        <f>'BH Tariffs'!E44*'P&amp;L - Concept C1 - NCLH'!F63</f>
        <v>0</v>
      </c>
      <c r="G102" s="504">
        <f>'BH Tariffs'!F44*'P&amp;L - Concept C1 - NCLH'!G63*6</f>
        <v>6242.4000000000005</v>
      </c>
      <c r="H102" s="504">
        <f>'BH Tariffs'!G44*'P&amp;L - Concept C1 - NCLH'!H63*6</f>
        <v>6367.2479999999996</v>
      </c>
      <c r="I102" s="504">
        <f>'BH Tariffs'!H44*'P&amp;L - Concept C1 - NCLH'!I63*6</f>
        <v>6494.5929599999999</v>
      </c>
      <c r="J102" s="504">
        <f>'BH Tariffs'!I44*'P&amp;L - Concept C1 - NCLH'!J63*6</f>
        <v>6624.4848191999999</v>
      </c>
      <c r="K102" s="504">
        <f>'BH Tariffs'!J44*'P&amp;L - Concept C1 - NCLH'!K63*6</f>
        <v>6756.974515584001</v>
      </c>
      <c r="L102" s="504">
        <f>'BH Tariffs'!K44*'P&amp;L - Concept C1 - NCLH'!L63*6</f>
        <v>6892.1140058956807</v>
      </c>
      <c r="M102" s="504">
        <f>'BH Tariffs'!L44*'P&amp;L - Concept C1 - NCLH'!M63*6</f>
        <v>7029.9562860135939</v>
      </c>
      <c r="N102" s="504">
        <f>'BH Tariffs'!M44*'P&amp;L - Concept C1 - NCLH'!N63*6</f>
        <v>7170.555411733867</v>
      </c>
      <c r="O102" s="504">
        <f>'BH Tariffs'!N44*'P&amp;L - Concept C1 - NCLH'!O63*6</f>
        <v>7313.9665199685442</v>
      </c>
      <c r="P102" s="504">
        <f>'BH Tariffs'!O44*'P&amp;L - Concept C1 - NCLH'!P63*6</f>
        <v>7460.2458503679145</v>
      </c>
      <c r="Q102" s="504">
        <f>'BH Tariffs'!P44*'P&amp;L - Concept C1 - NCLH'!Q63*6</f>
        <v>7609.4507673752723</v>
      </c>
      <c r="R102" s="504">
        <f>'BH Tariffs'!Q44*'P&amp;L - Concept C1 - NCLH'!R63*6</f>
        <v>7761.6397827227775</v>
      </c>
      <c r="S102" s="504">
        <f>'BH Tariffs'!R44*'P&amp;L - Concept C1 - NCLH'!S63*6</f>
        <v>7916.8725783772334</v>
      </c>
      <c r="T102" s="504">
        <f>'BH Tariffs'!S44*'P&amp;L - Concept C1 - NCLH'!T63*6</f>
        <v>8075.2100299447793</v>
      </c>
      <c r="U102" s="504">
        <f>'BH Tariffs'!T44*'P&amp;L - Concept C1 - NCLH'!U63*6</f>
        <v>8236.7142305436755</v>
      </c>
      <c r="V102" s="504">
        <f>'BH Tariffs'!U44*'P&amp;L - Concept C1 - NCLH'!V63*6</f>
        <v>8401.4485151545487</v>
      </c>
      <c r="W102" s="504">
        <f>'BH Tariffs'!V44*'P&amp;L - Concept C1 - NCLH'!W63*6</f>
        <v>8569.4774854576408</v>
      </c>
      <c r="X102" s="504">
        <f>'BH Tariffs'!W44*'P&amp;L - Concept C1 - NCLH'!X63*6</f>
        <v>8740.8670351667934</v>
      </c>
    </row>
    <row r="103" spans="1:24" s="96" customFormat="1">
      <c r="A103" s="90" t="s">
        <v>541</v>
      </c>
      <c r="B103" s="606"/>
      <c r="C103" s="356"/>
      <c r="D103" s="502">
        <v>0</v>
      </c>
      <c r="E103" s="504">
        <v>0</v>
      </c>
      <c r="F103" s="504">
        <v>0</v>
      </c>
      <c r="G103" s="504">
        <f>G64*0.05</f>
        <v>10000</v>
      </c>
      <c r="H103" s="504">
        <f t="shared" ref="H103:X103" si="12">H64*0.05</f>
        <v>10000</v>
      </c>
      <c r="I103" s="504">
        <f t="shared" si="12"/>
        <v>10000</v>
      </c>
      <c r="J103" s="504">
        <f t="shared" si="12"/>
        <v>10000</v>
      </c>
      <c r="K103" s="504">
        <f t="shared" si="12"/>
        <v>10000</v>
      </c>
      <c r="L103" s="504">
        <f t="shared" si="12"/>
        <v>10000</v>
      </c>
      <c r="M103" s="504">
        <f t="shared" si="12"/>
        <v>10000</v>
      </c>
      <c r="N103" s="504">
        <f t="shared" si="12"/>
        <v>10000</v>
      </c>
      <c r="O103" s="504">
        <f t="shared" si="12"/>
        <v>10000</v>
      </c>
      <c r="P103" s="504">
        <f t="shared" si="12"/>
        <v>10000</v>
      </c>
      <c r="Q103" s="504">
        <f t="shared" si="12"/>
        <v>10000</v>
      </c>
      <c r="R103" s="504">
        <f t="shared" si="12"/>
        <v>10000</v>
      </c>
      <c r="S103" s="504">
        <f t="shared" si="12"/>
        <v>10000</v>
      </c>
      <c r="T103" s="504">
        <f t="shared" si="12"/>
        <v>10000</v>
      </c>
      <c r="U103" s="504">
        <f t="shared" si="12"/>
        <v>10000</v>
      </c>
      <c r="V103" s="504">
        <f t="shared" si="12"/>
        <v>10000</v>
      </c>
      <c r="W103" s="504">
        <f t="shared" si="12"/>
        <v>10000</v>
      </c>
      <c r="X103" s="504">
        <f t="shared" si="12"/>
        <v>10000</v>
      </c>
    </row>
    <row r="104" spans="1:24">
      <c r="A104" s="88" t="str">
        <f>'BH Tariffs'!A45</f>
        <v>Motorcoach Access/Tour Operator Licenses</v>
      </c>
      <c r="B104" s="30"/>
      <c r="C104" s="89"/>
      <c r="D104" s="502">
        <v>0</v>
      </c>
      <c r="E104" s="504">
        <v>0</v>
      </c>
      <c r="F104" s="504">
        <f>'BH Tariffs'!E45*'P&amp;L - Concept C1 - NCLH'!F66</f>
        <v>3060</v>
      </c>
      <c r="G104" s="504">
        <f>'BH Tariffs'!F45*'P&amp;L - Concept C1 - NCLH'!G66</f>
        <v>3121.2000000000003</v>
      </c>
      <c r="H104" s="504">
        <f>'BH Tariffs'!G45*'P&amp;L - Concept C1 - NCLH'!H66</f>
        <v>3183.6239999999998</v>
      </c>
      <c r="I104" s="504">
        <f>'BH Tariffs'!H45*'P&amp;L - Concept C1 - NCLH'!I66</f>
        <v>3247.29648</v>
      </c>
      <c r="J104" s="504">
        <f>'BH Tariffs'!I45*'P&amp;L - Concept C1 - NCLH'!J66</f>
        <v>3312.2424096</v>
      </c>
      <c r="K104" s="504">
        <f>'BH Tariffs'!J45*'P&amp;L - Concept C1 - NCLH'!K66</f>
        <v>3378.4872577920005</v>
      </c>
      <c r="L104" s="504">
        <f>'BH Tariffs'!K45*'P&amp;L - Concept C1 - NCLH'!L66</f>
        <v>3446.0570029478404</v>
      </c>
      <c r="M104" s="504">
        <f>'BH Tariffs'!L45*'P&amp;L - Concept C1 - NCLH'!M66</f>
        <v>3514.9781430067969</v>
      </c>
      <c r="N104" s="504">
        <f>'BH Tariffs'!M45*'P&amp;L - Concept C1 - NCLH'!N66</f>
        <v>3585.2777058669335</v>
      </c>
      <c r="O104" s="504">
        <f>'BH Tariffs'!N45*'P&amp;L - Concept C1 - NCLH'!O66</f>
        <v>3656.9832599842721</v>
      </c>
      <c r="P104" s="504">
        <f>'BH Tariffs'!O45*'P&amp;L - Concept C1 - NCLH'!P66</f>
        <v>3730.1229251839572</v>
      </c>
      <c r="Q104" s="504">
        <f>'BH Tariffs'!P45*'P&amp;L - Concept C1 - NCLH'!Q66</f>
        <v>3804.7253836876362</v>
      </c>
      <c r="R104" s="504">
        <f>'BH Tariffs'!Q45*'P&amp;L - Concept C1 - NCLH'!R66</f>
        <v>3880.8198913613887</v>
      </c>
      <c r="S104" s="504">
        <f>'BH Tariffs'!R45*'P&amp;L - Concept C1 - NCLH'!S66</f>
        <v>3958.4362891886167</v>
      </c>
      <c r="T104" s="504">
        <f>'BH Tariffs'!S45*'P&amp;L - Concept C1 - NCLH'!T66</f>
        <v>4037.6050149723897</v>
      </c>
      <c r="U104" s="504">
        <f>'BH Tariffs'!T45*'P&amp;L - Concept C1 - NCLH'!U66</f>
        <v>4118.3571152718378</v>
      </c>
      <c r="V104" s="504">
        <f>'BH Tariffs'!U45*'P&amp;L - Concept C1 - NCLH'!V66</f>
        <v>4200.7242575772743</v>
      </c>
      <c r="W104" s="504">
        <f>'BH Tariffs'!V45*'P&amp;L - Concept C1 - NCLH'!W66</f>
        <v>4284.7387427288204</v>
      </c>
      <c r="X104" s="504">
        <f>'BH Tariffs'!W45*'P&amp;L - Concept C1 - NCLH'!X66</f>
        <v>4370.4335175833967</v>
      </c>
    </row>
    <row r="105" spans="1:24">
      <c r="A105" s="299" t="s">
        <v>217</v>
      </c>
      <c r="B105" s="299"/>
      <c r="C105" s="299"/>
      <c r="D105" s="505">
        <v>0</v>
      </c>
      <c r="E105" s="506">
        <v>0</v>
      </c>
      <c r="F105" s="506">
        <f>'BH Tariffs'!E46*'P&amp;L - Concept C1 - NCLH'!F65</f>
        <v>500</v>
      </c>
      <c r="G105" s="506">
        <f>'BH Tariffs'!F46*'P&amp;L - Concept C1 - NCLH'!G65</f>
        <v>1000</v>
      </c>
      <c r="H105" s="506">
        <f>'BH Tariffs'!G46*'P&amp;L - Concept C1 - NCLH'!H65</f>
        <v>1000</v>
      </c>
      <c r="I105" s="506">
        <f>'BH Tariffs'!H46*'P&amp;L - Concept C1 - NCLH'!I65</f>
        <v>1000</v>
      </c>
      <c r="J105" s="506">
        <f>'BH Tariffs'!I46*'P&amp;L - Concept C1 - NCLH'!J65</f>
        <v>1650</v>
      </c>
      <c r="K105" s="506">
        <f>'BH Tariffs'!J46*'P&amp;L - Concept C1 - NCLH'!K65</f>
        <v>1650</v>
      </c>
      <c r="L105" s="506">
        <f>'BH Tariffs'!K46*'P&amp;L - Concept C1 - NCLH'!L65</f>
        <v>1650</v>
      </c>
      <c r="M105" s="506">
        <f>'BH Tariffs'!L46*'P&amp;L - Concept C1 - NCLH'!M65</f>
        <v>1650</v>
      </c>
      <c r="N105" s="506">
        <f>'BH Tariffs'!M46*'P&amp;L - Concept C1 - NCLH'!N65</f>
        <v>1650</v>
      </c>
      <c r="O105" s="506">
        <f>'BH Tariffs'!N46*'P&amp;L - Concept C1 - NCLH'!O65</f>
        <v>2400</v>
      </c>
      <c r="P105" s="506">
        <f>'BH Tariffs'!O46*'P&amp;L - Concept C1 - NCLH'!P65</f>
        <v>2400</v>
      </c>
      <c r="Q105" s="506">
        <f>'BH Tariffs'!P46*'P&amp;L - Concept C1 - NCLH'!Q65</f>
        <v>2400</v>
      </c>
      <c r="R105" s="506">
        <f>'BH Tariffs'!Q46*'P&amp;L - Concept C1 - NCLH'!R65</f>
        <v>2400</v>
      </c>
      <c r="S105" s="506">
        <f>'BH Tariffs'!R46*'P&amp;L - Concept C1 - NCLH'!S65</f>
        <v>2400</v>
      </c>
      <c r="T105" s="506">
        <f>'BH Tariffs'!S46*'P&amp;L - Concept C1 - NCLH'!T65</f>
        <v>3250</v>
      </c>
      <c r="U105" s="506">
        <f>'BH Tariffs'!T46*'P&amp;L - Concept C1 - NCLH'!U65</f>
        <v>3250</v>
      </c>
      <c r="V105" s="506">
        <f>'BH Tariffs'!U46*'P&amp;L - Concept C1 - NCLH'!V65</f>
        <v>3250</v>
      </c>
      <c r="W105" s="506">
        <f>'BH Tariffs'!V46*'P&amp;L - Concept C1 - NCLH'!W65</f>
        <v>3250</v>
      </c>
      <c r="X105" s="506">
        <f>'BH Tariffs'!W46*'P&amp;L - Concept C1 - NCLH'!X65</f>
        <v>3250</v>
      </c>
    </row>
    <row r="106" spans="1:24">
      <c r="A106" s="278" t="s">
        <v>145</v>
      </c>
      <c r="D106" s="507">
        <f>SUM(D71:D105)</f>
        <v>0</v>
      </c>
      <c r="E106" s="508">
        <f>SUM(E70:E105)</f>
        <v>161800</v>
      </c>
      <c r="F106" s="508">
        <f t="shared" ref="F106:X106" si="13">SUM(F70:F105)</f>
        <v>1166362.2374642405</v>
      </c>
      <c r="G106" s="508">
        <f t="shared" si="13"/>
        <v>1234741.882213525</v>
      </c>
      <c r="H106" s="508">
        <f t="shared" si="13"/>
        <v>1261216.7198577956</v>
      </c>
      <c r="I106" s="508">
        <f t="shared" si="13"/>
        <v>1288221.0542549517</v>
      </c>
      <c r="J106" s="508">
        <f t="shared" si="13"/>
        <v>1532703.3225622727</v>
      </c>
      <c r="K106" s="508">
        <f t="shared" si="13"/>
        <v>1560798.6320690739</v>
      </c>
      <c r="L106" s="508">
        <f t="shared" si="13"/>
        <v>1589455.8477660108</v>
      </c>
      <c r="M106" s="508">
        <f t="shared" si="13"/>
        <v>1618686.2077768869</v>
      </c>
      <c r="N106" s="508">
        <f t="shared" si="13"/>
        <v>1648501.1749879804</v>
      </c>
      <c r="O106" s="508">
        <f t="shared" si="13"/>
        <v>1733734.4033488513</v>
      </c>
      <c r="P106" s="508">
        <f t="shared" si="13"/>
        <v>1764753.8952352726</v>
      </c>
      <c r="Q106" s="508">
        <f t="shared" si="13"/>
        <v>1796393.776959422</v>
      </c>
      <c r="R106" s="508">
        <f t="shared" si="13"/>
        <v>1828666.456318055</v>
      </c>
      <c r="S106" s="508">
        <f t="shared" si="13"/>
        <v>1861584.5892638606</v>
      </c>
      <c r="T106" s="508">
        <f t="shared" si="13"/>
        <v>1950083.0466741377</v>
      </c>
      <c r="U106" s="508">
        <f t="shared" si="13"/>
        <v>1984331.0721909541</v>
      </c>
      <c r="V106" s="508">
        <f t="shared" si="13"/>
        <v>2019264.0582181064</v>
      </c>
      <c r="W106" s="508">
        <f t="shared" si="13"/>
        <v>2054895.703965802</v>
      </c>
      <c r="X106" s="508">
        <f t="shared" si="13"/>
        <v>2091239.9826284517</v>
      </c>
    </row>
    <row r="107" spans="1:24">
      <c r="D107" s="507"/>
      <c r="E107" s="413"/>
      <c r="F107" s="413"/>
      <c r="G107" s="413"/>
      <c r="H107" s="413"/>
      <c r="I107" s="413"/>
      <c r="J107" s="413"/>
      <c r="K107" s="413"/>
      <c r="L107" s="413"/>
      <c r="M107" s="413"/>
      <c r="N107" s="413"/>
      <c r="O107" s="413"/>
      <c r="P107" s="413"/>
      <c r="Q107" s="413"/>
      <c r="R107" s="413"/>
      <c r="S107" s="413"/>
      <c r="T107" s="413"/>
      <c r="U107" s="413"/>
      <c r="V107" s="413"/>
      <c r="W107" s="413"/>
      <c r="X107" s="413"/>
    </row>
    <row r="108" spans="1:24">
      <c r="A108" s="271" t="s">
        <v>146</v>
      </c>
      <c r="B108" s="149"/>
      <c r="C108" s="149"/>
      <c r="D108" s="509"/>
      <c r="E108" s="510"/>
      <c r="F108" s="510"/>
      <c r="G108" s="510"/>
      <c r="H108" s="510"/>
      <c r="I108" s="510"/>
      <c r="J108" s="510"/>
      <c r="K108" s="510"/>
      <c r="L108" s="510"/>
      <c r="M108" s="510"/>
      <c r="N108" s="510"/>
      <c r="O108" s="510"/>
      <c r="P108" s="510"/>
      <c r="Q108" s="510"/>
      <c r="R108" s="510"/>
      <c r="S108" s="510"/>
      <c r="T108" s="510"/>
      <c r="U108" s="510"/>
      <c r="V108" s="510"/>
      <c r="W108" s="510"/>
      <c r="X108" s="510"/>
    </row>
    <row r="109" spans="1:24">
      <c r="D109" s="507"/>
      <c r="E109" s="413"/>
      <c r="F109" s="413"/>
      <c r="G109" s="413"/>
      <c r="H109" s="413"/>
      <c r="I109" s="413"/>
      <c r="J109" s="413"/>
      <c r="K109" s="413"/>
      <c r="L109" s="413"/>
      <c r="M109" s="413"/>
      <c r="N109" s="413"/>
      <c r="O109" s="413"/>
      <c r="P109" s="413"/>
      <c r="Q109" s="413"/>
      <c r="R109" s="413"/>
      <c r="S109" s="413"/>
      <c r="T109" s="413"/>
      <c r="U109" s="413"/>
      <c r="V109" s="413"/>
      <c r="W109" s="413"/>
      <c r="X109" s="413"/>
    </row>
    <row r="110" spans="1:24">
      <c r="A110" s="91" t="s">
        <v>380</v>
      </c>
      <c r="B110" s="89"/>
      <c r="C110" s="89"/>
      <c r="D110" s="502"/>
      <c r="E110" s="504"/>
      <c r="F110" s="504"/>
      <c r="G110" s="504"/>
      <c r="H110" s="504"/>
      <c r="I110" s="504"/>
      <c r="J110" s="504"/>
      <c r="K110" s="504"/>
      <c r="L110" s="504"/>
      <c r="M110" s="504"/>
      <c r="N110" s="504"/>
      <c r="O110" s="504"/>
      <c r="P110" s="504"/>
      <c r="Q110" s="504"/>
      <c r="R110" s="504"/>
      <c r="S110" s="504"/>
      <c r="T110" s="504"/>
      <c r="U110" s="504"/>
      <c r="V110" s="504"/>
      <c r="W110" s="504"/>
      <c r="X110" s="504"/>
    </row>
    <row r="111" spans="1:24">
      <c r="A111" s="88" t="s">
        <v>432</v>
      </c>
      <c r="B111" s="89"/>
      <c r="C111" s="89"/>
      <c r="D111" s="502">
        <v>0</v>
      </c>
      <c r="E111" s="504">
        <v>0</v>
      </c>
      <c r="F111" s="504">
        <v>0</v>
      </c>
      <c r="G111" s="504">
        <v>0</v>
      </c>
      <c r="H111" s="504">
        <v>0</v>
      </c>
      <c r="I111" s="504">
        <v>0</v>
      </c>
      <c r="J111" s="504">
        <v>0</v>
      </c>
      <c r="K111" s="504">
        <v>0</v>
      </c>
      <c r="L111" s="504">
        <v>0</v>
      </c>
      <c r="M111" s="504">
        <v>0</v>
      </c>
      <c r="N111" s="504">
        <v>0</v>
      </c>
      <c r="O111" s="504">
        <v>0</v>
      </c>
      <c r="P111" s="504">
        <v>0</v>
      </c>
      <c r="Q111" s="504">
        <v>0</v>
      </c>
      <c r="R111" s="504">
        <v>0</v>
      </c>
      <c r="S111" s="504">
        <v>0</v>
      </c>
      <c r="T111" s="504">
        <v>0</v>
      </c>
      <c r="U111" s="504">
        <v>0</v>
      </c>
      <c r="V111" s="504">
        <v>0</v>
      </c>
      <c r="W111" s="504">
        <v>0</v>
      </c>
      <c r="X111" s="504">
        <v>0</v>
      </c>
    </row>
    <row r="112" spans="1:24">
      <c r="A112" s="88" t="s">
        <v>433</v>
      </c>
      <c r="B112" s="89"/>
      <c r="C112" s="89"/>
      <c r="D112" s="502">
        <v>0</v>
      </c>
      <c r="E112" s="504">
        <v>0</v>
      </c>
      <c r="F112" s="504">
        <v>0</v>
      </c>
      <c r="G112" s="504">
        <v>0</v>
      </c>
      <c r="H112" s="504">
        <v>0</v>
      </c>
      <c r="I112" s="504">
        <v>0</v>
      </c>
      <c r="J112" s="504">
        <v>0</v>
      </c>
      <c r="K112" s="504">
        <v>0</v>
      </c>
      <c r="L112" s="504">
        <v>0</v>
      </c>
      <c r="M112" s="504">
        <v>0</v>
      </c>
      <c r="N112" s="504">
        <v>0</v>
      </c>
      <c r="O112" s="504">
        <v>0</v>
      </c>
      <c r="P112" s="504">
        <v>0</v>
      </c>
      <c r="Q112" s="504">
        <v>0</v>
      </c>
      <c r="R112" s="504">
        <v>0</v>
      </c>
      <c r="S112" s="504">
        <v>0</v>
      </c>
      <c r="T112" s="504">
        <v>0</v>
      </c>
      <c r="U112" s="504">
        <v>0</v>
      </c>
      <c r="V112" s="504">
        <v>0</v>
      </c>
      <c r="W112" s="504">
        <v>0</v>
      </c>
      <c r="X112" s="504">
        <v>0</v>
      </c>
    </row>
    <row r="113" spans="1:27">
      <c r="A113" s="88" t="s">
        <v>434</v>
      </c>
      <c r="B113" s="89"/>
      <c r="C113" s="89"/>
      <c r="D113" s="502">
        <v>0</v>
      </c>
      <c r="E113" s="504">
        <v>0</v>
      </c>
      <c r="F113" s="504">
        <v>0</v>
      </c>
      <c r="G113" s="504">
        <v>0</v>
      </c>
      <c r="H113" s="504">
        <v>0</v>
      </c>
      <c r="I113" s="504">
        <v>0</v>
      </c>
      <c r="J113" s="504">
        <v>0</v>
      </c>
      <c r="K113" s="504">
        <v>0</v>
      </c>
      <c r="L113" s="504">
        <v>0</v>
      </c>
      <c r="M113" s="504">
        <v>0</v>
      </c>
      <c r="N113" s="504">
        <v>0</v>
      </c>
      <c r="O113" s="504">
        <v>0</v>
      </c>
      <c r="P113" s="504">
        <v>0</v>
      </c>
      <c r="Q113" s="504">
        <v>0</v>
      </c>
      <c r="R113" s="504">
        <v>0</v>
      </c>
      <c r="S113" s="504">
        <v>0</v>
      </c>
      <c r="T113" s="504">
        <v>0</v>
      </c>
      <c r="U113" s="504">
        <v>0</v>
      </c>
      <c r="V113" s="504">
        <v>0</v>
      </c>
      <c r="W113" s="504">
        <v>0</v>
      </c>
      <c r="X113" s="504">
        <v>0</v>
      </c>
    </row>
    <row r="114" spans="1:27">
      <c r="A114" s="88" t="s">
        <v>229</v>
      </c>
      <c r="B114" s="30"/>
      <c r="C114" s="89"/>
      <c r="D114" s="502">
        <v>0</v>
      </c>
      <c r="E114" s="504">
        <v>0</v>
      </c>
      <c r="F114" s="504">
        <v>0</v>
      </c>
      <c r="G114" s="504">
        <v>0</v>
      </c>
      <c r="H114" s="504">
        <v>0</v>
      </c>
      <c r="I114" s="504">
        <v>0</v>
      </c>
      <c r="J114" s="504">
        <v>0</v>
      </c>
      <c r="K114" s="504">
        <v>0</v>
      </c>
      <c r="L114" s="504">
        <v>0</v>
      </c>
      <c r="M114" s="504">
        <v>0</v>
      </c>
      <c r="N114" s="504">
        <v>0</v>
      </c>
      <c r="O114" s="504">
        <v>0</v>
      </c>
      <c r="P114" s="504">
        <v>0</v>
      </c>
      <c r="Q114" s="504">
        <v>0</v>
      </c>
      <c r="R114" s="504">
        <v>0</v>
      </c>
      <c r="S114" s="504">
        <v>0</v>
      </c>
      <c r="T114" s="504">
        <v>0</v>
      </c>
      <c r="U114" s="504">
        <v>0</v>
      </c>
      <c r="V114" s="504">
        <v>0</v>
      </c>
      <c r="W114" s="504">
        <v>0</v>
      </c>
      <c r="X114" s="504">
        <v>0</v>
      </c>
    </row>
    <row r="115" spans="1:27" s="32" customFormat="1">
      <c r="A115" s="299" t="s">
        <v>297</v>
      </c>
      <c r="B115" s="299"/>
      <c r="C115" s="299"/>
      <c r="D115" s="505">
        <v>0</v>
      </c>
      <c r="E115" s="506">
        <f>E53</f>
        <v>0</v>
      </c>
      <c r="F115" s="506">
        <f t="shared" ref="F115:X115" si="14">F53</f>
        <v>0</v>
      </c>
      <c r="G115" s="506">
        <f t="shared" si="14"/>
        <v>100000</v>
      </c>
      <c r="H115" s="506">
        <f t="shared" si="14"/>
        <v>100000</v>
      </c>
      <c r="I115" s="506">
        <f t="shared" si="14"/>
        <v>100000</v>
      </c>
      <c r="J115" s="506">
        <f t="shared" si="14"/>
        <v>100000</v>
      </c>
      <c r="K115" s="506">
        <f t="shared" si="14"/>
        <v>100000</v>
      </c>
      <c r="L115" s="506">
        <f t="shared" si="14"/>
        <v>100000</v>
      </c>
      <c r="M115" s="506">
        <f t="shared" si="14"/>
        <v>100000</v>
      </c>
      <c r="N115" s="506">
        <f t="shared" si="14"/>
        <v>100000</v>
      </c>
      <c r="O115" s="506">
        <f t="shared" si="14"/>
        <v>100000</v>
      </c>
      <c r="P115" s="506">
        <f t="shared" si="14"/>
        <v>100000</v>
      </c>
      <c r="Q115" s="506">
        <f t="shared" si="14"/>
        <v>100000</v>
      </c>
      <c r="R115" s="506">
        <f t="shared" si="14"/>
        <v>100000</v>
      </c>
      <c r="S115" s="506">
        <f t="shared" si="14"/>
        <v>100000</v>
      </c>
      <c r="T115" s="506">
        <f t="shared" si="14"/>
        <v>100000</v>
      </c>
      <c r="U115" s="506">
        <f t="shared" si="14"/>
        <v>100000</v>
      </c>
      <c r="V115" s="506">
        <f t="shared" si="14"/>
        <v>100000</v>
      </c>
      <c r="W115" s="506">
        <f t="shared" si="14"/>
        <v>100000</v>
      </c>
      <c r="X115" s="506">
        <f t="shared" si="14"/>
        <v>100000</v>
      </c>
    </row>
    <row r="116" spans="1:27">
      <c r="A116" s="278" t="s">
        <v>147</v>
      </c>
      <c r="D116" s="507">
        <f>SUM(D114:D115)</f>
        <v>0</v>
      </c>
      <c r="E116" s="508">
        <f>SUM(E111:E115)</f>
        <v>0</v>
      </c>
      <c r="F116" s="508">
        <f t="shared" ref="F116:X116" si="15">SUM(F111:F115)</f>
        <v>0</v>
      </c>
      <c r="G116" s="508">
        <f t="shared" si="15"/>
        <v>100000</v>
      </c>
      <c r="H116" s="508">
        <f t="shared" si="15"/>
        <v>100000</v>
      </c>
      <c r="I116" s="508">
        <f t="shared" si="15"/>
        <v>100000</v>
      </c>
      <c r="J116" s="508">
        <f t="shared" si="15"/>
        <v>100000</v>
      </c>
      <c r="K116" s="508">
        <f t="shared" si="15"/>
        <v>100000</v>
      </c>
      <c r="L116" s="508">
        <f t="shared" si="15"/>
        <v>100000</v>
      </c>
      <c r="M116" s="508">
        <f t="shared" si="15"/>
        <v>100000</v>
      </c>
      <c r="N116" s="508">
        <f t="shared" si="15"/>
        <v>100000</v>
      </c>
      <c r="O116" s="508">
        <f t="shared" si="15"/>
        <v>100000</v>
      </c>
      <c r="P116" s="508">
        <f t="shared" si="15"/>
        <v>100000</v>
      </c>
      <c r="Q116" s="508">
        <f t="shared" si="15"/>
        <v>100000</v>
      </c>
      <c r="R116" s="508">
        <f t="shared" si="15"/>
        <v>100000</v>
      </c>
      <c r="S116" s="508">
        <f t="shared" si="15"/>
        <v>100000</v>
      </c>
      <c r="T116" s="508">
        <f t="shared" si="15"/>
        <v>100000</v>
      </c>
      <c r="U116" s="508">
        <f t="shared" si="15"/>
        <v>100000</v>
      </c>
      <c r="V116" s="508">
        <f t="shared" si="15"/>
        <v>100000</v>
      </c>
      <c r="W116" s="508">
        <f t="shared" si="15"/>
        <v>100000</v>
      </c>
      <c r="X116" s="508">
        <f t="shared" si="15"/>
        <v>100000</v>
      </c>
    </row>
    <row r="117" spans="1:27">
      <c r="D117" s="507"/>
      <c r="E117" s="413"/>
      <c r="F117" s="413"/>
      <c r="G117" s="413"/>
      <c r="H117" s="413"/>
      <c r="I117" s="413"/>
      <c r="J117" s="413"/>
      <c r="K117" s="413"/>
      <c r="L117" s="413"/>
      <c r="M117" s="413"/>
      <c r="N117" s="413"/>
      <c r="O117" s="413"/>
      <c r="P117" s="413"/>
      <c r="Q117" s="413"/>
      <c r="R117" s="413"/>
      <c r="S117" s="413"/>
      <c r="T117" s="413"/>
      <c r="U117" s="413"/>
      <c r="V117" s="413"/>
      <c r="W117" s="413"/>
      <c r="X117" s="413"/>
    </row>
    <row r="118" spans="1:27">
      <c r="A118" s="88" t="s">
        <v>608</v>
      </c>
      <c r="D118" s="507">
        <f t="shared" ref="D118" si="16">SUM(D116:D117)</f>
        <v>0</v>
      </c>
      <c r="E118" s="413">
        <v>58025</v>
      </c>
      <c r="F118" s="413">
        <v>0</v>
      </c>
      <c r="G118" s="413">
        <v>0</v>
      </c>
      <c r="H118" s="413">
        <v>0</v>
      </c>
      <c r="I118" s="413">
        <v>0</v>
      </c>
      <c r="J118" s="413">
        <v>0</v>
      </c>
      <c r="K118" s="413">
        <v>0</v>
      </c>
      <c r="L118" s="413">
        <v>0</v>
      </c>
      <c r="M118" s="413">
        <v>0</v>
      </c>
      <c r="N118" s="413">
        <v>0</v>
      </c>
      <c r="O118" s="413">
        <v>0</v>
      </c>
      <c r="P118" s="413">
        <v>0</v>
      </c>
      <c r="Q118" s="413">
        <v>0</v>
      </c>
      <c r="R118" s="413">
        <v>0</v>
      </c>
      <c r="S118" s="413">
        <v>0</v>
      </c>
      <c r="T118" s="413">
        <v>0</v>
      </c>
      <c r="U118" s="413">
        <v>0</v>
      </c>
      <c r="V118" s="413">
        <v>0</v>
      </c>
      <c r="W118" s="413">
        <v>0</v>
      </c>
      <c r="X118" s="413">
        <v>0</v>
      </c>
    </row>
    <row r="119" spans="1:27">
      <c r="D119" s="507"/>
      <c r="E119" s="413"/>
      <c r="F119" s="413"/>
      <c r="G119" s="413"/>
      <c r="H119" s="413"/>
      <c r="I119" s="413"/>
      <c r="J119" s="413"/>
      <c r="K119" s="413"/>
      <c r="L119" s="413"/>
      <c r="M119" s="413"/>
      <c r="N119" s="413"/>
      <c r="O119" s="413"/>
      <c r="P119" s="413"/>
      <c r="Q119" s="413"/>
      <c r="R119" s="413"/>
      <c r="S119" s="413"/>
      <c r="T119" s="413"/>
      <c r="U119" s="413"/>
      <c r="V119" s="413"/>
      <c r="W119" s="413"/>
      <c r="X119" s="413"/>
    </row>
    <row r="120" spans="1:27" s="16" customFormat="1" ht="14.25">
      <c r="A120" s="295" t="s">
        <v>148</v>
      </c>
      <c r="B120" s="295"/>
      <c r="C120" s="295"/>
      <c r="D120" s="511">
        <f>SUM(D106,D116)</f>
        <v>0</v>
      </c>
      <c r="E120" s="511">
        <f>SUM(E106,E116,E118)</f>
        <v>219825</v>
      </c>
      <c r="F120" s="511">
        <f t="shared" ref="F120:X120" si="17">SUM(F106,F116,F118)</f>
        <v>1166362.2374642405</v>
      </c>
      <c r="G120" s="511">
        <f t="shared" si="17"/>
        <v>1334741.882213525</v>
      </c>
      <c r="H120" s="511">
        <f t="shared" si="17"/>
        <v>1361216.7198577956</v>
      </c>
      <c r="I120" s="511">
        <f t="shared" si="17"/>
        <v>1388221.0542549517</v>
      </c>
      <c r="J120" s="511">
        <f t="shared" si="17"/>
        <v>1632703.3225622727</v>
      </c>
      <c r="K120" s="511">
        <f t="shared" si="17"/>
        <v>1660798.6320690739</v>
      </c>
      <c r="L120" s="511">
        <f t="shared" si="17"/>
        <v>1689455.8477660108</v>
      </c>
      <c r="M120" s="511">
        <f t="shared" si="17"/>
        <v>1718686.2077768869</v>
      </c>
      <c r="N120" s="511">
        <f t="shared" si="17"/>
        <v>1748501.1749879804</v>
      </c>
      <c r="O120" s="511">
        <f t="shared" si="17"/>
        <v>1833734.4033488513</v>
      </c>
      <c r="P120" s="511">
        <f t="shared" si="17"/>
        <v>1864753.8952352726</v>
      </c>
      <c r="Q120" s="511">
        <f t="shared" si="17"/>
        <v>1896393.776959422</v>
      </c>
      <c r="R120" s="511">
        <f t="shared" si="17"/>
        <v>1928666.456318055</v>
      </c>
      <c r="S120" s="511">
        <f t="shared" si="17"/>
        <v>1961584.5892638606</v>
      </c>
      <c r="T120" s="511">
        <f t="shared" si="17"/>
        <v>2050083.0466741377</v>
      </c>
      <c r="U120" s="511">
        <f t="shared" si="17"/>
        <v>2084331.0721909541</v>
      </c>
      <c r="V120" s="511">
        <f t="shared" si="17"/>
        <v>2119264.0582181066</v>
      </c>
      <c r="W120" s="511">
        <f t="shared" si="17"/>
        <v>2154895.7039658017</v>
      </c>
      <c r="X120" s="511">
        <f t="shared" si="17"/>
        <v>2191239.9826284517</v>
      </c>
      <c r="Y120" s="622">
        <f>SUM(D120:X120)</f>
        <v>34005459.063755654</v>
      </c>
      <c r="AA120" s="370">
        <f>(Y76+Y78)/Y120</f>
        <v>0.59525825452546022</v>
      </c>
    </row>
    <row r="121" spans="1:27">
      <c r="A121" s="30"/>
      <c r="B121" s="30"/>
      <c r="C121" s="30"/>
      <c r="D121" s="502"/>
      <c r="E121" s="512"/>
      <c r="F121" s="512"/>
      <c r="G121" s="512"/>
      <c r="H121" s="512"/>
      <c r="I121" s="512"/>
      <c r="J121" s="512"/>
      <c r="K121" s="512"/>
      <c r="L121" s="512"/>
      <c r="M121" s="512"/>
      <c r="N121" s="512"/>
      <c r="O121" s="512"/>
      <c r="P121" s="512"/>
      <c r="Q121" s="512"/>
      <c r="R121" s="512"/>
      <c r="S121" s="512"/>
      <c r="T121" s="512"/>
      <c r="U121" s="512"/>
      <c r="V121" s="512"/>
      <c r="W121" s="512"/>
      <c r="X121" s="512"/>
    </row>
    <row r="122" spans="1:27" s="33" customFormat="1">
      <c r="A122" s="47" t="s">
        <v>7</v>
      </c>
      <c r="B122" s="47" t="s">
        <v>7</v>
      </c>
      <c r="C122" s="78" t="s">
        <v>7</v>
      </c>
      <c r="D122" s="604" t="s">
        <v>7</v>
      </c>
      <c r="E122" s="78" t="s">
        <v>7</v>
      </c>
      <c r="F122" s="78" t="s">
        <v>7</v>
      </c>
      <c r="G122" s="78" t="s">
        <v>7</v>
      </c>
      <c r="H122" s="78" t="s">
        <v>7</v>
      </c>
      <c r="I122" s="78" t="s">
        <v>7</v>
      </c>
      <c r="J122" s="78" t="s">
        <v>7</v>
      </c>
      <c r="K122" s="78" t="s">
        <v>7</v>
      </c>
      <c r="L122" s="78" t="s">
        <v>7</v>
      </c>
      <c r="M122" s="78" t="s">
        <v>7</v>
      </c>
      <c r="N122" s="78" t="s">
        <v>7</v>
      </c>
      <c r="O122" s="78" t="s">
        <v>7</v>
      </c>
      <c r="P122" s="78" t="s">
        <v>7</v>
      </c>
      <c r="Q122" s="78" t="s">
        <v>7</v>
      </c>
      <c r="R122" s="78" t="s">
        <v>7</v>
      </c>
      <c r="S122" s="78" t="s">
        <v>7</v>
      </c>
      <c r="T122" s="78" t="s">
        <v>7</v>
      </c>
      <c r="U122" s="78" t="s">
        <v>7</v>
      </c>
      <c r="V122" s="78" t="s">
        <v>7</v>
      </c>
      <c r="W122" s="78" t="s">
        <v>7</v>
      </c>
      <c r="X122" s="78" t="s">
        <v>7</v>
      </c>
    </row>
    <row r="123" spans="1:27">
      <c r="A123" s="30"/>
      <c r="B123" s="30"/>
      <c r="C123" s="30"/>
      <c r="D123" s="502"/>
      <c r="E123" s="512"/>
      <c r="F123" s="512"/>
      <c r="G123" s="512"/>
      <c r="H123" s="512"/>
      <c r="I123" s="512"/>
      <c r="J123" s="512"/>
      <c r="K123" s="512"/>
      <c r="L123" s="512"/>
      <c r="M123" s="512"/>
      <c r="N123" s="512"/>
      <c r="O123" s="512"/>
      <c r="P123" s="512"/>
      <c r="Q123" s="512"/>
      <c r="R123" s="512"/>
      <c r="S123" s="512"/>
      <c r="T123" s="512"/>
      <c r="U123" s="512"/>
      <c r="V123" s="512"/>
      <c r="W123" s="512"/>
      <c r="X123" s="512"/>
    </row>
    <row r="124" spans="1:27">
      <c r="A124" s="269" t="s">
        <v>131</v>
      </c>
      <c r="B124" s="269"/>
      <c r="C124" s="270"/>
      <c r="D124" s="513"/>
      <c r="E124" s="513"/>
      <c r="F124" s="513"/>
      <c r="G124" s="513"/>
      <c r="H124" s="513"/>
      <c r="I124" s="513"/>
      <c r="J124" s="513"/>
      <c r="K124" s="513"/>
      <c r="L124" s="513"/>
      <c r="M124" s="513"/>
      <c r="N124" s="513"/>
      <c r="O124" s="513"/>
      <c r="P124" s="513"/>
      <c r="Q124" s="513"/>
      <c r="R124" s="513"/>
      <c r="S124" s="513"/>
      <c r="T124" s="513"/>
      <c r="U124" s="513"/>
      <c r="V124" s="513"/>
      <c r="W124" s="513"/>
      <c r="X124" s="513"/>
    </row>
    <row r="125" spans="1:27">
      <c r="A125" s="69"/>
      <c r="B125" s="69"/>
      <c r="C125" s="69"/>
      <c r="D125" s="502"/>
      <c r="E125" s="504"/>
      <c r="F125" s="504"/>
      <c r="G125" s="504"/>
      <c r="H125" s="504"/>
      <c r="I125" s="504"/>
      <c r="J125" s="504"/>
      <c r="K125" s="504"/>
      <c r="L125" s="504"/>
      <c r="M125" s="504"/>
      <c r="N125" s="504"/>
      <c r="O125" s="504"/>
      <c r="P125" s="504"/>
      <c r="Q125" s="504"/>
      <c r="R125" s="504"/>
      <c r="S125" s="504"/>
      <c r="T125" s="504"/>
      <c r="U125" s="504"/>
      <c r="V125" s="504"/>
      <c r="W125" s="504"/>
      <c r="X125" s="504"/>
    </row>
    <row r="126" spans="1:27" s="96" customFormat="1">
      <c r="A126" s="69" t="s">
        <v>13</v>
      </c>
      <c r="B126" s="69"/>
      <c r="C126" s="69"/>
      <c r="D126" s="514">
        <v>0</v>
      </c>
      <c r="E126" s="515">
        <f>'OPEX - Concept C1 - NCLH'!L79</f>
        <v>12250</v>
      </c>
      <c r="F126" s="515">
        <f>'OPEX - Concept C1 - NCLH'!M79</f>
        <v>150500</v>
      </c>
      <c r="G126" s="515">
        <f>'OPEX - Concept C1 - NCLH'!N79</f>
        <v>153510</v>
      </c>
      <c r="H126" s="515">
        <f>'OPEX - Concept C1 - NCLH'!O79</f>
        <v>156580.19999999998</v>
      </c>
      <c r="I126" s="515">
        <f>'OPEX - Concept C1 - NCLH'!P79</f>
        <v>159711.80399999997</v>
      </c>
      <c r="J126" s="515">
        <f>'OPEX - Concept C1 - NCLH'!Q79</f>
        <v>162906.04007999998</v>
      </c>
      <c r="K126" s="515">
        <f>'OPEX - Concept C1 - NCLH'!R79</f>
        <v>166164.16088159999</v>
      </c>
      <c r="L126" s="515">
        <f>'OPEX - Concept C1 - NCLH'!S79</f>
        <v>169487.444099232</v>
      </c>
      <c r="M126" s="515">
        <f>'OPEX - Concept C1 - NCLH'!T79</f>
        <v>172877.19298121665</v>
      </c>
      <c r="N126" s="515">
        <f>'OPEX - Concept C1 - NCLH'!U79</f>
        <v>176334.73684084098</v>
      </c>
      <c r="O126" s="515">
        <f>'OPEX - Concept C1 - NCLH'!V79</f>
        <v>179861.43157765782</v>
      </c>
      <c r="P126" s="515">
        <f>'OPEX - Concept C1 - NCLH'!W79</f>
        <v>183458.66020921097</v>
      </c>
      <c r="Q126" s="515">
        <f>'OPEX - Concept C1 - NCLH'!X79</f>
        <v>187127.83341339519</v>
      </c>
      <c r="R126" s="515">
        <f>'OPEX - Concept C1 - NCLH'!Y79</f>
        <v>190870.39008166309</v>
      </c>
      <c r="S126" s="515">
        <f>'OPEX - Concept C1 - NCLH'!Z79</f>
        <v>194687.79788329633</v>
      </c>
      <c r="T126" s="515">
        <f>'OPEX - Concept C1 - NCLH'!AA79</f>
        <v>198581.5538409623</v>
      </c>
      <c r="U126" s="515">
        <f>'OPEX - Concept C1 - NCLH'!AB79</f>
        <v>202553.18491778153</v>
      </c>
      <c r="V126" s="515">
        <f>'OPEX - Concept C1 - NCLH'!AC79</f>
        <v>206604.24861613716</v>
      </c>
      <c r="W126" s="515">
        <f>'OPEX - Concept C1 - NCLH'!AD79</f>
        <v>210736.33358845994</v>
      </c>
      <c r="X126" s="515">
        <f>'OPEX - Concept C1 - NCLH'!AE79</f>
        <v>214951.06026022913</v>
      </c>
    </row>
    <row r="127" spans="1:27" s="96" customFormat="1">
      <c r="A127" s="69" t="s">
        <v>41</v>
      </c>
      <c r="B127" s="69"/>
      <c r="C127" s="69"/>
      <c r="D127" s="514">
        <v>0</v>
      </c>
      <c r="E127" s="515">
        <f>'OPEX - Concept C1 - NCLH'!L87</f>
        <v>25000</v>
      </c>
      <c r="F127" s="515">
        <f>'OPEX - Concept C1 - NCLH'!M87</f>
        <v>25500</v>
      </c>
      <c r="G127" s="515">
        <f>'OPEX - Concept C1 - NCLH'!N87</f>
        <v>26010</v>
      </c>
      <c r="H127" s="515">
        <f>'OPEX - Concept C1 - NCLH'!O87</f>
        <v>26530.199999999997</v>
      </c>
      <c r="I127" s="515">
        <f>'OPEX - Concept C1 - NCLH'!P87</f>
        <v>27060.804</v>
      </c>
      <c r="J127" s="515">
        <f>'OPEX - Concept C1 - NCLH'!Q87</f>
        <v>27602.020080000002</v>
      </c>
      <c r="K127" s="515">
        <f>'OPEX - Concept C1 - NCLH'!R87</f>
        <v>28154.060481600001</v>
      </c>
      <c r="L127" s="515">
        <f>'OPEX - Concept C1 - NCLH'!S87</f>
        <v>28717.141691232002</v>
      </c>
      <c r="M127" s="515">
        <f>'OPEX - Concept C1 - NCLH'!T87</f>
        <v>29291.484525056643</v>
      </c>
      <c r="N127" s="515">
        <f>'OPEX - Concept C1 - NCLH'!U87</f>
        <v>29877.314215557777</v>
      </c>
      <c r="O127" s="515">
        <f>'OPEX - Concept C1 - NCLH'!V87</f>
        <v>30474.860499868933</v>
      </c>
      <c r="P127" s="515">
        <f>'OPEX - Concept C1 - NCLH'!W87</f>
        <v>31084.357709866312</v>
      </c>
      <c r="Q127" s="515">
        <f>'OPEX - Concept C1 - NCLH'!X87</f>
        <v>31706.044864063639</v>
      </c>
      <c r="R127" s="515">
        <f>'OPEX - Concept C1 - NCLH'!Y87</f>
        <v>32340.165761344906</v>
      </c>
      <c r="S127" s="515">
        <f>'OPEX - Concept C1 - NCLH'!Z87</f>
        <v>32986.969076571811</v>
      </c>
      <c r="T127" s="515">
        <f>'OPEX - Concept C1 - NCLH'!AA87</f>
        <v>33646.708458103247</v>
      </c>
      <c r="U127" s="515">
        <f>'OPEX - Concept C1 - NCLH'!AB87</f>
        <v>34319.642627265312</v>
      </c>
      <c r="V127" s="515">
        <f>'OPEX - Concept C1 - NCLH'!AC87</f>
        <v>35006.03547981062</v>
      </c>
      <c r="W127" s="515">
        <f>'OPEX - Concept C1 - NCLH'!AD87</f>
        <v>35706.156189406836</v>
      </c>
      <c r="X127" s="515">
        <f>'OPEX - Concept C1 - NCLH'!AE87</f>
        <v>36420.279313194973</v>
      </c>
    </row>
    <row r="128" spans="1:27" s="96" customFormat="1">
      <c r="A128" s="69" t="s">
        <v>424</v>
      </c>
      <c r="B128" s="69"/>
      <c r="C128" s="69"/>
      <c r="D128" s="514">
        <v>0</v>
      </c>
      <c r="E128" s="515">
        <f>'OPEX - Concept C1 - NCLH'!L88</f>
        <v>10000</v>
      </c>
      <c r="F128" s="515">
        <f>'OPEX - Concept C1 - NCLH'!M88</f>
        <v>500</v>
      </c>
      <c r="G128" s="515">
        <f>'OPEX - Concept C1 - NCLH'!N88</f>
        <v>520.20000000000005</v>
      </c>
      <c r="H128" s="515">
        <f>'OPEX - Concept C1 - NCLH'!O88</f>
        <v>530.60399999999993</v>
      </c>
      <c r="I128" s="515">
        <f>'OPEX - Concept C1 - NCLH'!P88</f>
        <v>541.21608000000003</v>
      </c>
      <c r="J128" s="515">
        <f>'OPEX - Concept C1 - NCLH'!Q88</f>
        <v>5000</v>
      </c>
      <c r="K128" s="515">
        <f>'OPEX - Concept C1 - NCLH'!R88</f>
        <v>563.08120963200008</v>
      </c>
      <c r="L128" s="515">
        <f>'OPEX - Concept C1 - NCLH'!S88</f>
        <v>574.34283382464002</v>
      </c>
      <c r="M128" s="515">
        <f>'OPEX - Concept C1 - NCLH'!T88</f>
        <v>585.82969050113286</v>
      </c>
      <c r="N128" s="515">
        <f>'OPEX - Concept C1 - NCLH'!U88</f>
        <v>597.54628431115555</v>
      </c>
      <c r="O128" s="515">
        <f>'OPEX - Concept C1 - NCLH'!V88</f>
        <v>5000</v>
      </c>
      <c r="P128" s="515">
        <f>'OPEX - Concept C1 - NCLH'!W88</f>
        <v>621.68715419732621</v>
      </c>
      <c r="Q128" s="515">
        <f>'OPEX - Concept C1 - NCLH'!X88</f>
        <v>634.12089728127273</v>
      </c>
      <c r="R128" s="515">
        <f>'OPEX - Concept C1 - NCLH'!Y88</f>
        <v>646.80331522689812</v>
      </c>
      <c r="S128" s="515">
        <f>'OPEX - Concept C1 - NCLH'!Z88</f>
        <v>659.73938153143615</v>
      </c>
      <c r="T128" s="515">
        <f>'OPEX - Concept C1 - NCLH'!AA88</f>
        <v>5000</v>
      </c>
      <c r="U128" s="515">
        <f>'OPEX - Concept C1 - NCLH'!AB88</f>
        <v>686.39285254530625</v>
      </c>
      <c r="V128" s="515">
        <f>'OPEX - Concept C1 - NCLH'!AC88</f>
        <v>700.12070959621246</v>
      </c>
      <c r="W128" s="515">
        <f>'OPEX - Concept C1 - NCLH'!AD88</f>
        <v>714.1231237881367</v>
      </c>
      <c r="X128" s="515">
        <f>'OPEX - Concept C1 - NCLH'!AE88</f>
        <v>728.40558626389941</v>
      </c>
    </row>
    <row r="129" spans="1:24" s="96" customFormat="1">
      <c r="A129" s="69" t="s">
        <v>42</v>
      </c>
      <c r="B129" s="69"/>
      <c r="C129" s="69"/>
      <c r="D129" s="514">
        <v>0</v>
      </c>
      <c r="E129" s="515">
        <f>'OPEX - Concept C1 - NCLH'!L89</f>
        <v>50000</v>
      </c>
      <c r="F129" s="515">
        <f>'OPEX - Concept C1 - NCLH'!M89</f>
        <v>51000</v>
      </c>
      <c r="G129" s="515">
        <f>'OPEX - Concept C1 - NCLH'!N89</f>
        <v>52020</v>
      </c>
      <c r="H129" s="515">
        <f>'OPEX - Concept C1 - NCLH'!O89</f>
        <v>53060.399999999994</v>
      </c>
      <c r="I129" s="515">
        <f>'OPEX - Concept C1 - NCLH'!P89</f>
        <v>54121.608</v>
      </c>
      <c r="J129" s="515">
        <f>'OPEX - Concept C1 - NCLH'!Q89</f>
        <v>55204.040160000004</v>
      </c>
      <c r="K129" s="515">
        <f>'OPEX - Concept C1 - NCLH'!R89</f>
        <v>56308.120963200003</v>
      </c>
      <c r="L129" s="515">
        <f>'OPEX - Concept C1 - NCLH'!S89</f>
        <v>57434.283382464004</v>
      </c>
      <c r="M129" s="515">
        <f>'OPEX - Concept C1 - NCLH'!T89</f>
        <v>58582.969050113286</v>
      </c>
      <c r="N129" s="515">
        <f>'OPEX - Concept C1 - NCLH'!U89</f>
        <v>59754.628431115554</v>
      </c>
      <c r="O129" s="515">
        <f>'OPEX - Concept C1 - NCLH'!V89</f>
        <v>60949.720999737867</v>
      </c>
      <c r="P129" s="515">
        <f>'OPEX - Concept C1 - NCLH'!W89</f>
        <v>62168.715419732624</v>
      </c>
      <c r="Q129" s="515">
        <f>'OPEX - Concept C1 - NCLH'!X89</f>
        <v>63412.089728127277</v>
      </c>
      <c r="R129" s="515">
        <f>'OPEX - Concept C1 - NCLH'!Y89</f>
        <v>64680.331522689812</v>
      </c>
      <c r="S129" s="515">
        <f>'OPEX - Concept C1 - NCLH'!Z89</f>
        <v>65973.938153143623</v>
      </c>
      <c r="T129" s="515">
        <f>'OPEX - Concept C1 - NCLH'!AA89</f>
        <v>67293.416916206494</v>
      </c>
      <c r="U129" s="515">
        <f>'OPEX - Concept C1 - NCLH'!AB89</f>
        <v>68639.285254530623</v>
      </c>
      <c r="V129" s="515">
        <f>'OPEX - Concept C1 - NCLH'!AC89</f>
        <v>70012.07095962124</v>
      </c>
      <c r="W129" s="515">
        <f>'OPEX - Concept C1 - NCLH'!AD89</f>
        <v>71412.312378813673</v>
      </c>
      <c r="X129" s="515">
        <f>'OPEX - Concept C1 - NCLH'!AE89</f>
        <v>72840.558626389946</v>
      </c>
    </row>
    <row r="130" spans="1:24" s="96" customFormat="1">
      <c r="A130" s="69" t="s">
        <v>43</v>
      </c>
      <c r="B130" s="69"/>
      <c r="C130" s="69"/>
      <c r="D130" s="514">
        <v>0</v>
      </c>
      <c r="E130" s="515">
        <f>'OPEX - Concept C1 - NCLH'!L90</f>
        <v>500</v>
      </c>
      <c r="F130" s="515">
        <f>'OPEX - Concept C1 - NCLH'!M90</f>
        <v>1530</v>
      </c>
      <c r="G130" s="515">
        <f>'OPEX - Concept C1 - NCLH'!N90</f>
        <v>1560.6</v>
      </c>
      <c r="H130" s="515">
        <f>'OPEX - Concept C1 - NCLH'!O90</f>
        <v>1591.8119999999999</v>
      </c>
      <c r="I130" s="515">
        <f>'OPEX - Concept C1 - NCLH'!P90</f>
        <v>1623.64824</v>
      </c>
      <c r="J130" s="515">
        <f>'OPEX - Concept C1 - NCLH'!Q90</f>
        <v>1656.1212048</v>
      </c>
      <c r="K130" s="515">
        <f>'OPEX - Concept C1 - NCLH'!R90</f>
        <v>1689.243628896</v>
      </c>
      <c r="L130" s="515">
        <f>'OPEX - Concept C1 - NCLH'!S90</f>
        <v>1723.02850147392</v>
      </c>
      <c r="M130" s="515">
        <f>'OPEX - Concept C1 - NCLH'!T90</f>
        <v>1757.4890715033987</v>
      </c>
      <c r="N130" s="515">
        <f>'OPEX - Concept C1 - NCLH'!U90</f>
        <v>1792.6388529334665</v>
      </c>
      <c r="O130" s="515">
        <f>'OPEX - Concept C1 - NCLH'!V90</f>
        <v>1828.491629992136</v>
      </c>
      <c r="P130" s="515">
        <f>'OPEX - Concept C1 - NCLH'!W90</f>
        <v>1865.0614625919786</v>
      </c>
      <c r="Q130" s="515">
        <f>'OPEX - Concept C1 - NCLH'!X90</f>
        <v>1902.3626918438183</v>
      </c>
      <c r="R130" s="515">
        <f>'OPEX - Concept C1 - NCLH'!Y90</f>
        <v>1940.4099456806944</v>
      </c>
      <c r="S130" s="515">
        <f>'OPEX - Concept C1 - NCLH'!Z90</f>
        <v>1979.2181445943086</v>
      </c>
      <c r="T130" s="515">
        <f>'OPEX - Concept C1 - NCLH'!AA90</f>
        <v>2018.8025074861948</v>
      </c>
      <c r="U130" s="515">
        <f>'OPEX - Concept C1 - NCLH'!AB90</f>
        <v>2059.1785576359189</v>
      </c>
      <c r="V130" s="515">
        <f>'OPEX - Concept C1 - NCLH'!AC90</f>
        <v>2100.3621287886372</v>
      </c>
      <c r="W130" s="515">
        <f>'OPEX - Concept C1 - NCLH'!AD90</f>
        <v>2142.3693713644102</v>
      </c>
      <c r="X130" s="515">
        <f>'OPEX - Concept C1 - NCLH'!AE90</f>
        <v>2185.2167587916983</v>
      </c>
    </row>
    <row r="131" spans="1:24" s="96" customFormat="1">
      <c r="A131" s="69" t="s">
        <v>44</v>
      </c>
      <c r="B131" s="69"/>
      <c r="C131" s="69"/>
      <c r="D131" s="514">
        <v>0</v>
      </c>
      <c r="E131" s="515">
        <f>'OPEX - Concept C1 - NCLH'!L91</f>
        <v>250</v>
      </c>
      <c r="F131" s="515">
        <f>'OPEX - Concept C1 - NCLH'!M91</f>
        <v>765</v>
      </c>
      <c r="G131" s="515">
        <f>'OPEX - Concept C1 - NCLH'!N91</f>
        <v>780.3</v>
      </c>
      <c r="H131" s="515">
        <f>'OPEX - Concept C1 - NCLH'!O91</f>
        <v>795.90599999999995</v>
      </c>
      <c r="I131" s="515">
        <f>'OPEX - Concept C1 - NCLH'!P91</f>
        <v>811.82411999999999</v>
      </c>
      <c r="J131" s="515">
        <f>'OPEX - Concept C1 - NCLH'!Q91</f>
        <v>828.06060239999999</v>
      </c>
      <c r="K131" s="515">
        <f>'OPEX - Concept C1 - NCLH'!R91</f>
        <v>844.62181444800001</v>
      </c>
      <c r="L131" s="515">
        <f>'OPEX - Concept C1 - NCLH'!S91</f>
        <v>861.51425073695998</v>
      </c>
      <c r="M131" s="515">
        <f>'OPEX - Concept C1 - NCLH'!T91</f>
        <v>878.74453575169935</v>
      </c>
      <c r="N131" s="515">
        <f>'OPEX - Concept C1 - NCLH'!U91</f>
        <v>896.31942646673326</v>
      </c>
      <c r="O131" s="515">
        <f>'OPEX - Concept C1 - NCLH'!V91</f>
        <v>914.24581499606802</v>
      </c>
      <c r="P131" s="515">
        <f>'OPEX - Concept C1 - NCLH'!W91</f>
        <v>932.53073129598931</v>
      </c>
      <c r="Q131" s="515">
        <f>'OPEX - Concept C1 - NCLH'!X91</f>
        <v>951.18134592190916</v>
      </c>
      <c r="R131" s="515">
        <f>'OPEX - Concept C1 - NCLH'!Y91</f>
        <v>970.20497284034718</v>
      </c>
      <c r="S131" s="515">
        <f>'OPEX - Concept C1 - NCLH'!Z91</f>
        <v>989.60907229715428</v>
      </c>
      <c r="T131" s="515">
        <f>'OPEX - Concept C1 - NCLH'!AA91</f>
        <v>1009.4012537430974</v>
      </c>
      <c r="U131" s="515">
        <f>'OPEX - Concept C1 - NCLH'!AB91</f>
        <v>1029.5892788179594</v>
      </c>
      <c r="V131" s="515">
        <f>'OPEX - Concept C1 - NCLH'!AC91</f>
        <v>1050.1810643943186</v>
      </c>
      <c r="W131" s="515">
        <f>'OPEX - Concept C1 - NCLH'!AD91</f>
        <v>1071.1846856822051</v>
      </c>
      <c r="X131" s="515">
        <f>'OPEX - Concept C1 - NCLH'!AE91</f>
        <v>1092.6083793958492</v>
      </c>
    </row>
    <row r="132" spans="1:24" s="96" customFormat="1">
      <c r="A132" s="69" t="s">
        <v>2</v>
      </c>
      <c r="B132" s="69"/>
      <c r="C132" s="69"/>
      <c r="D132" s="514">
        <v>0</v>
      </c>
      <c r="E132" s="515">
        <f>'OPEX - Concept C1 - NCLH'!L92</f>
        <v>1000</v>
      </c>
      <c r="F132" s="515">
        <f>'OPEX - Concept C1 - NCLH'!M92</f>
        <v>1020</v>
      </c>
      <c r="G132" s="515">
        <f>'OPEX - Concept C1 - NCLH'!N92</f>
        <v>1040.4000000000001</v>
      </c>
      <c r="H132" s="515">
        <f>'OPEX - Concept C1 - NCLH'!O92</f>
        <v>1061.2079999999999</v>
      </c>
      <c r="I132" s="515">
        <f>'OPEX - Concept C1 - NCLH'!P92</f>
        <v>1082.4321600000001</v>
      </c>
      <c r="J132" s="515">
        <f>'OPEX - Concept C1 - NCLH'!Q92</f>
        <v>1104.0808032</v>
      </c>
      <c r="K132" s="515">
        <f>'OPEX - Concept C1 - NCLH'!R92</f>
        <v>1126.1624192640002</v>
      </c>
      <c r="L132" s="515">
        <f>'OPEX - Concept C1 - NCLH'!S92</f>
        <v>1148.68566764928</v>
      </c>
      <c r="M132" s="515">
        <f>'OPEX - Concept C1 - NCLH'!T92</f>
        <v>1171.6593810022657</v>
      </c>
      <c r="N132" s="515">
        <f>'OPEX - Concept C1 - NCLH'!U92</f>
        <v>1195.0925686223111</v>
      </c>
      <c r="O132" s="515">
        <f>'OPEX - Concept C1 - NCLH'!V92</f>
        <v>1218.9944199947574</v>
      </c>
      <c r="P132" s="515">
        <f>'OPEX - Concept C1 - NCLH'!W92</f>
        <v>1243.3743083946524</v>
      </c>
      <c r="Q132" s="515">
        <f>'OPEX - Concept C1 - NCLH'!X92</f>
        <v>1268.2417945625455</v>
      </c>
      <c r="R132" s="515">
        <f>'OPEX - Concept C1 - NCLH'!Y92</f>
        <v>1293.6066304537962</v>
      </c>
      <c r="S132" s="515">
        <f>'OPEX - Concept C1 - NCLH'!Z92</f>
        <v>1319.4787630628723</v>
      </c>
      <c r="T132" s="515">
        <f>'OPEX - Concept C1 - NCLH'!AA92</f>
        <v>1345.8683383241298</v>
      </c>
      <c r="U132" s="515">
        <f>'OPEX - Concept C1 - NCLH'!AB92</f>
        <v>1372.7857050906125</v>
      </c>
      <c r="V132" s="515">
        <f>'OPEX - Concept C1 - NCLH'!AC92</f>
        <v>1400.2414191924249</v>
      </c>
      <c r="W132" s="515">
        <f>'OPEX - Concept C1 - NCLH'!AD92</f>
        <v>1428.2462475762734</v>
      </c>
      <c r="X132" s="515">
        <f>'OPEX - Concept C1 - NCLH'!AE92</f>
        <v>1456.8111725277988</v>
      </c>
    </row>
    <row r="133" spans="1:24" s="167" customFormat="1">
      <c r="A133" s="591"/>
      <c r="B133" s="591"/>
      <c r="C133" s="591"/>
      <c r="D133" s="592"/>
      <c r="E133" s="593"/>
      <c r="F133" s="593"/>
      <c r="G133" s="593"/>
      <c r="H133" s="593"/>
      <c r="I133" s="593"/>
      <c r="J133" s="593"/>
      <c r="K133" s="593"/>
      <c r="L133" s="593"/>
      <c r="M133" s="593"/>
      <c r="N133" s="593"/>
      <c r="O133" s="593"/>
      <c r="P133" s="593"/>
      <c r="Q133" s="593"/>
      <c r="R133" s="593"/>
      <c r="S133" s="593"/>
      <c r="T133" s="593"/>
      <c r="U133" s="593"/>
      <c r="V133" s="593"/>
      <c r="W133" s="593"/>
      <c r="X133" s="593"/>
    </row>
    <row r="134" spans="1:24" s="96" customFormat="1">
      <c r="A134" s="1012" t="s">
        <v>25</v>
      </c>
      <c r="B134" s="69"/>
      <c r="C134" s="69"/>
      <c r="D134" s="514">
        <v>0</v>
      </c>
      <c r="E134" s="515">
        <f>'OPEX - Concept C1 - NCLH'!L108</f>
        <v>34183.333333333328</v>
      </c>
      <c r="F134" s="515">
        <f>'OPEX - Concept C1 - NCLH'!M108</f>
        <v>34867</v>
      </c>
      <c r="G134" s="515">
        <f>'OPEX - Concept C1 - NCLH'!N108</f>
        <v>35564.339999999997</v>
      </c>
      <c r="H134" s="515">
        <f>'OPEX - Concept C1 - NCLH'!O108</f>
        <v>36275.626799999998</v>
      </c>
      <c r="I134" s="515">
        <f>'OPEX - Concept C1 - NCLH'!P108</f>
        <v>37001.139335999993</v>
      </c>
      <c r="J134" s="515">
        <f>'OPEX - Concept C1 - NCLH'!Q108</f>
        <v>37741.162122720001</v>
      </c>
      <c r="K134" s="515">
        <f>'OPEX - Concept C1 - NCLH'!R108</f>
        <v>38495.985365174398</v>
      </c>
      <c r="L134" s="515">
        <f>'OPEX - Concept C1 - NCLH'!S108</f>
        <v>39265.905072477886</v>
      </c>
      <c r="M134" s="515">
        <f>'OPEX - Concept C1 - NCLH'!T108</f>
        <v>40051.22317392745</v>
      </c>
      <c r="N134" s="515">
        <f>'OPEX - Concept C1 - NCLH'!U108</f>
        <v>40852.247637405999</v>
      </c>
      <c r="O134" s="515">
        <f>'OPEX - Concept C1 - NCLH'!V108</f>
        <v>41669.292590154117</v>
      </c>
      <c r="P134" s="515">
        <f>'OPEX - Concept C1 - NCLH'!W108</f>
        <v>42502.6784419572</v>
      </c>
      <c r="Q134" s="515">
        <f>'OPEX - Concept C1 - NCLH'!X108</f>
        <v>43352.732010796346</v>
      </c>
      <c r="R134" s="515">
        <f>'OPEX - Concept C1 - NCLH'!Y108</f>
        <v>44219.786651012269</v>
      </c>
      <c r="S134" s="515">
        <f>'OPEX - Concept C1 - NCLH'!Z108</f>
        <v>45104.182384032523</v>
      </c>
      <c r="T134" s="515">
        <f>'OPEX - Concept C1 - NCLH'!AA108</f>
        <v>46006.266031713167</v>
      </c>
      <c r="U134" s="515">
        <f>'OPEX - Concept C1 - NCLH'!AB108</f>
        <v>46926.39135234744</v>
      </c>
      <c r="V134" s="515">
        <f>'OPEX - Concept C1 - NCLH'!AC108</f>
        <v>47864.91917939439</v>
      </c>
      <c r="W134" s="515">
        <f>'OPEX - Concept C1 - NCLH'!AD108</f>
        <v>48822.217562982281</v>
      </c>
      <c r="X134" s="515">
        <f>'OPEX - Concept C1 - NCLH'!AE108</f>
        <v>49798.661914241922</v>
      </c>
    </row>
    <row r="135" spans="1:24" s="96" customFormat="1">
      <c r="A135" s="782" t="s">
        <v>426</v>
      </c>
      <c r="B135" s="69"/>
      <c r="C135" s="69"/>
      <c r="D135" s="514">
        <v>0</v>
      </c>
      <c r="E135" s="515">
        <f>'OPEX - Concept C1 - NCLH'!L96</f>
        <v>1000</v>
      </c>
      <c r="F135" s="515">
        <f>'OPEX - Concept C1 - NCLH'!M96</f>
        <v>1020</v>
      </c>
      <c r="G135" s="515">
        <f>'OPEX - Concept C1 - NCLH'!N96</f>
        <v>1040.4000000000001</v>
      </c>
      <c r="H135" s="515">
        <f>'OPEX - Concept C1 - NCLH'!O96</f>
        <v>1061.2079999999999</v>
      </c>
      <c r="I135" s="515">
        <f>'OPEX - Concept C1 - NCLH'!P96</f>
        <v>1082.4321600000001</v>
      </c>
      <c r="J135" s="515">
        <f>'OPEX - Concept C1 - NCLH'!Q96</f>
        <v>25000</v>
      </c>
      <c r="K135" s="515">
        <f>'OPEX - Concept C1 - NCLH'!R96</f>
        <v>25500</v>
      </c>
      <c r="L135" s="515">
        <f>'OPEX - Concept C1 - NCLH'!S96</f>
        <v>26010</v>
      </c>
      <c r="M135" s="515">
        <f>'OPEX - Concept C1 - NCLH'!T96</f>
        <v>26530.199999999997</v>
      </c>
      <c r="N135" s="515">
        <f>'OPEX - Concept C1 - NCLH'!U96</f>
        <v>27060.804</v>
      </c>
      <c r="O135" s="515">
        <f>'OPEX - Concept C1 - NCLH'!V96</f>
        <v>27602.020080000002</v>
      </c>
      <c r="P135" s="515">
        <f>'OPEX - Concept C1 - NCLH'!W96</f>
        <v>28154.060481600001</v>
      </c>
      <c r="Q135" s="515">
        <f>'OPEX - Concept C1 - NCLH'!X96</f>
        <v>28717.141691232002</v>
      </c>
      <c r="R135" s="515">
        <f>'OPEX - Concept C1 - NCLH'!Y96</f>
        <v>29291.484525056643</v>
      </c>
      <c r="S135" s="515">
        <f>'OPEX - Concept C1 - NCLH'!Z96</f>
        <v>29877.314215557777</v>
      </c>
      <c r="T135" s="515">
        <f>'OPEX - Concept C1 - NCLH'!AA96</f>
        <v>30474.860499868933</v>
      </c>
      <c r="U135" s="515">
        <f>'OPEX - Concept C1 - NCLH'!AB96</f>
        <v>31084.357709866312</v>
      </c>
      <c r="V135" s="515">
        <f>'OPEX - Concept C1 - NCLH'!AC96</f>
        <v>31706.044864063639</v>
      </c>
      <c r="W135" s="515">
        <f>'OPEX - Concept C1 - NCLH'!AD96</f>
        <v>32340.165761344906</v>
      </c>
      <c r="X135" s="515">
        <f>'OPEX - Concept C1 - NCLH'!AE96</f>
        <v>32986.969076571811</v>
      </c>
    </row>
    <row r="136" spans="1:24" s="96" customFormat="1">
      <c r="A136" s="644" t="s">
        <v>302</v>
      </c>
      <c r="B136" s="69"/>
      <c r="C136" s="69"/>
      <c r="D136" s="514">
        <v>0</v>
      </c>
      <c r="E136" s="515">
        <f>'Shuttle Projections'!C39/2</f>
        <v>233675</v>
      </c>
      <c r="F136" s="515">
        <f>'Shuttle Projections'!D39</f>
        <v>476697</v>
      </c>
      <c r="G136" s="515">
        <f>'Shuttle Projections'!E39</f>
        <v>486230.94000000006</v>
      </c>
      <c r="H136" s="515">
        <f>'Shuttle Projections'!F39</f>
        <v>495955.55879999994</v>
      </c>
      <c r="I136" s="515">
        <f>'Shuttle Projections'!G39</f>
        <v>505874.66997599998</v>
      </c>
      <c r="J136" s="515">
        <f>'Shuttle Projections'!H39</f>
        <v>515992.16337552003</v>
      </c>
      <c r="K136" s="515">
        <f>'Shuttle Projections'!I39</f>
        <v>526312.00664303044</v>
      </c>
      <c r="L136" s="515">
        <f>'Shuttle Projections'!J39</f>
        <v>536838.24677589093</v>
      </c>
      <c r="M136" s="515">
        <f>'Shuttle Projections'!K39</f>
        <v>547575.01171140897</v>
      </c>
      <c r="N136" s="515">
        <f>'Shuttle Projections'!L39</f>
        <v>558526.51194563706</v>
      </c>
      <c r="O136" s="515">
        <f>'Shuttle Projections'!M39</f>
        <v>569697.04218454985</v>
      </c>
      <c r="P136" s="515">
        <f>'Shuttle Projections'!N39</f>
        <v>581090.98302824085</v>
      </c>
      <c r="Q136" s="515">
        <f>'Shuttle Projections'!O39</f>
        <v>592712.80268880562</v>
      </c>
      <c r="R136" s="515">
        <f>'Shuttle Projections'!P39</f>
        <v>604567.05874258175</v>
      </c>
      <c r="S136" s="515">
        <f>'Shuttle Projections'!Q39</f>
        <v>616658.39991743339</v>
      </c>
      <c r="T136" s="515">
        <f>'Shuttle Projections'!R39</f>
        <v>628991.5679157821</v>
      </c>
      <c r="U136" s="515">
        <f>'Shuttle Projections'!S39</f>
        <v>641571.39927409776</v>
      </c>
      <c r="V136" s="515">
        <f>'Shuttle Projections'!T39</f>
        <v>654402.82725957979</v>
      </c>
      <c r="W136" s="515">
        <f>'Shuttle Projections'!U39</f>
        <v>667490.88380477135</v>
      </c>
      <c r="X136" s="515">
        <f>'Shuttle Projections'!V39</f>
        <v>680840.70148086676</v>
      </c>
    </row>
    <row r="137" spans="1:24" s="16" customFormat="1" ht="14.25">
      <c r="A137" s="282" t="s">
        <v>132</v>
      </c>
      <c r="B137" s="276"/>
      <c r="C137" s="276"/>
      <c r="D137" s="516">
        <f>SUM(D125:D136)</f>
        <v>0</v>
      </c>
      <c r="E137" s="517">
        <f>SUM(E126:E136)</f>
        <v>367858.33333333331</v>
      </c>
      <c r="F137" s="517">
        <f t="shared" ref="F137:X137" si="18">SUM(F126:F136)</f>
        <v>743399</v>
      </c>
      <c r="G137" s="517">
        <f t="shared" si="18"/>
        <v>758277.18</v>
      </c>
      <c r="H137" s="517">
        <f t="shared" si="18"/>
        <v>773442.72359999991</v>
      </c>
      <c r="I137" s="517">
        <f t="shared" si="18"/>
        <v>788911.57807200006</v>
      </c>
      <c r="J137" s="517">
        <f t="shared" si="18"/>
        <v>833033.68842864002</v>
      </c>
      <c r="K137" s="517">
        <f t="shared" si="18"/>
        <v>845157.44340684474</v>
      </c>
      <c r="L137" s="517">
        <f t="shared" si="18"/>
        <v>862060.59227498155</v>
      </c>
      <c r="M137" s="517">
        <f t="shared" si="18"/>
        <v>879301.80412048148</v>
      </c>
      <c r="N137" s="517">
        <f t="shared" si="18"/>
        <v>896887.84020289104</v>
      </c>
      <c r="O137" s="517">
        <f t="shared" si="18"/>
        <v>919216.09979695152</v>
      </c>
      <c r="P137" s="517">
        <f t="shared" si="18"/>
        <v>933122.10894708801</v>
      </c>
      <c r="Q137" s="517">
        <f t="shared" si="18"/>
        <v>951784.55112602958</v>
      </c>
      <c r="R137" s="517">
        <f t="shared" si="18"/>
        <v>970820.24214855011</v>
      </c>
      <c r="S137" s="517">
        <f t="shared" si="18"/>
        <v>990236.64699152112</v>
      </c>
      <c r="T137" s="517">
        <f t="shared" si="18"/>
        <v>1014368.4457621896</v>
      </c>
      <c r="U137" s="517">
        <f t="shared" si="18"/>
        <v>1030242.2075299788</v>
      </c>
      <c r="V137" s="517">
        <f t="shared" si="18"/>
        <v>1050847.0516805784</v>
      </c>
      <c r="W137" s="517">
        <f t="shared" si="18"/>
        <v>1071863.9927141899</v>
      </c>
      <c r="X137" s="517">
        <f t="shared" si="18"/>
        <v>1093301.2725684738</v>
      </c>
    </row>
    <row r="138" spans="1:24">
      <c r="A138" s="92"/>
      <c r="B138" s="69"/>
      <c r="C138" s="69"/>
      <c r="D138" s="514"/>
      <c r="E138" s="515"/>
      <c r="F138" s="515"/>
      <c r="G138" s="515"/>
      <c r="H138" s="515"/>
      <c r="I138" s="515"/>
      <c r="J138" s="515"/>
      <c r="K138" s="515"/>
      <c r="L138" s="515"/>
      <c r="M138" s="515"/>
      <c r="N138" s="515"/>
      <c r="O138" s="515"/>
      <c r="P138" s="515"/>
      <c r="Q138" s="515"/>
      <c r="R138" s="515"/>
      <c r="S138" s="515"/>
      <c r="T138" s="515"/>
      <c r="U138" s="515"/>
      <c r="V138" s="515"/>
      <c r="W138" s="515"/>
      <c r="X138" s="515"/>
    </row>
    <row r="139" spans="1:24">
      <c r="A139" s="269" t="s">
        <v>85</v>
      </c>
      <c r="B139" s="269"/>
      <c r="C139" s="270"/>
      <c r="D139" s="513"/>
      <c r="E139" s="513"/>
      <c r="F139" s="513"/>
      <c r="G139" s="513"/>
      <c r="H139" s="513"/>
      <c r="I139" s="513"/>
      <c r="J139" s="513"/>
      <c r="K139" s="513"/>
      <c r="L139" s="513"/>
      <c r="M139" s="513"/>
      <c r="N139" s="513"/>
      <c r="O139" s="513"/>
      <c r="P139" s="513"/>
      <c r="Q139" s="513"/>
      <c r="R139" s="513"/>
      <c r="S139" s="513"/>
      <c r="T139" s="513"/>
      <c r="U139" s="513"/>
      <c r="V139" s="513"/>
      <c r="W139" s="513"/>
      <c r="X139" s="513"/>
    </row>
    <row r="140" spans="1:24" s="368" customFormat="1">
      <c r="A140" s="263"/>
      <c r="B140" s="263"/>
      <c r="C140" s="367"/>
      <c r="D140" s="514"/>
      <c r="E140" s="515"/>
      <c r="F140" s="515"/>
      <c r="G140" s="515"/>
      <c r="H140" s="515"/>
      <c r="I140" s="515"/>
      <c r="J140" s="515"/>
      <c r="K140" s="515"/>
      <c r="L140" s="515"/>
      <c r="M140" s="515"/>
      <c r="N140" s="515"/>
      <c r="O140" s="515"/>
      <c r="P140" s="515"/>
      <c r="Q140" s="515"/>
      <c r="R140" s="515"/>
      <c r="S140" s="515"/>
      <c r="T140" s="515"/>
      <c r="U140" s="515"/>
      <c r="V140" s="515"/>
      <c r="W140" s="515"/>
      <c r="X140" s="515"/>
    </row>
    <row r="141" spans="1:24" s="58" customFormat="1">
      <c r="A141" s="69" t="s">
        <v>0</v>
      </c>
      <c r="B141" s="263"/>
      <c r="C141" s="783"/>
      <c r="D141" s="514">
        <v>0</v>
      </c>
      <c r="E141" s="515">
        <f>'OPEX - Concept C1 - NCLH'!L131</f>
        <v>0</v>
      </c>
      <c r="F141" s="515">
        <f>'OPEX - Concept C1 - NCLH'!M131</f>
        <v>54570</v>
      </c>
      <c r="G141" s="515">
        <f>'OPEX - Concept C1 - NCLH'!N131</f>
        <v>56774.628000000004</v>
      </c>
      <c r="H141" s="515">
        <f>'OPEX - Concept C1 - NCLH'!O131</f>
        <v>57910.120559999996</v>
      </c>
      <c r="I141" s="515">
        <f>'OPEX - Concept C1 - NCLH'!P131</f>
        <v>59068.322971199988</v>
      </c>
      <c r="J141" s="515">
        <f>'OPEX - Concept C1 - NCLH'!Q131</f>
        <v>60249.689430623999</v>
      </c>
      <c r="K141" s="515">
        <f>'OPEX - Concept C1 - NCLH'!R131</f>
        <v>61454.683219236475</v>
      </c>
      <c r="L141" s="515">
        <f>'OPEX - Concept C1 - NCLH'!S131</f>
        <v>62683.776883621205</v>
      </c>
      <c r="M141" s="515">
        <f>'OPEX - Concept C1 - NCLH'!T131</f>
        <v>63937.452421293638</v>
      </c>
      <c r="N141" s="515">
        <f>'OPEX - Concept C1 - NCLH'!U131</f>
        <v>65216.201469719512</v>
      </c>
      <c r="O141" s="515">
        <f>'OPEX - Concept C1 - NCLH'!V131</f>
        <v>66520.525499113894</v>
      </c>
      <c r="P141" s="515">
        <f>'OPEX - Concept C1 - NCLH'!W131</f>
        <v>67850.936009096185</v>
      </c>
      <c r="Q141" s="515">
        <f>'OPEX - Concept C1 - NCLH'!X131</f>
        <v>69207.954729278121</v>
      </c>
      <c r="R141" s="515">
        <f>'OPEX - Concept C1 - NCLH'!Y131</f>
        <v>70592.113823863678</v>
      </c>
      <c r="S141" s="515">
        <f>'OPEX - Concept C1 - NCLH'!Z131</f>
        <v>72003.956100340947</v>
      </c>
      <c r="T141" s="515">
        <f>'OPEX - Concept C1 - NCLH'!AA131</f>
        <v>73444.035222347768</v>
      </c>
      <c r="U141" s="515">
        <f>'OPEX - Concept C1 - NCLH'!AB131</f>
        <v>74912.915926794725</v>
      </c>
      <c r="V141" s="515">
        <f>'OPEX - Concept C1 - NCLH'!AC131</f>
        <v>76411.174245330621</v>
      </c>
      <c r="W141" s="515">
        <f>'OPEX - Concept C1 - NCLH'!AD131</f>
        <v>77939.397730237237</v>
      </c>
      <c r="X141" s="515">
        <f>'OPEX - Concept C1 - NCLH'!AE131</f>
        <v>79498.18568484197</v>
      </c>
    </row>
    <row r="142" spans="1:24" s="58" customFormat="1">
      <c r="A142" s="69" t="s">
        <v>4</v>
      </c>
      <c r="B142" s="263"/>
      <c r="C142" s="783"/>
      <c r="D142" s="514">
        <v>0</v>
      </c>
      <c r="E142" s="515">
        <f>'OPEX - Concept C1 - NCLH'!L154</f>
        <v>0</v>
      </c>
      <c r="F142" s="515">
        <f>'OPEX - Concept C1 - NCLH'!M154</f>
        <v>85335.846153846156</v>
      </c>
      <c r="G142" s="515">
        <f>'OPEX - Concept C1 - NCLH'!N154</f>
        <v>87042.563076923077</v>
      </c>
      <c r="H142" s="515">
        <f>'OPEX - Concept C1 - NCLH'!O154</f>
        <v>88783.41433846156</v>
      </c>
      <c r="I142" s="515">
        <f>'OPEX - Concept C1 - NCLH'!P154</f>
        <v>90559.082625230774</v>
      </c>
      <c r="J142" s="515">
        <f>'OPEX - Concept C1 - NCLH'!Q154</f>
        <v>92370.264277735376</v>
      </c>
      <c r="K142" s="515">
        <f>'OPEX - Concept C1 - NCLH'!R154</f>
        <v>94217.669563290081</v>
      </c>
      <c r="L142" s="515">
        <f>'OPEX - Concept C1 - NCLH'!S154</f>
        <v>96102.022954555898</v>
      </c>
      <c r="M142" s="515">
        <f>'OPEX - Concept C1 - NCLH'!T154</f>
        <v>98024.063413647003</v>
      </c>
      <c r="N142" s="515">
        <f>'OPEX - Concept C1 - NCLH'!U154</f>
        <v>99984.544681919942</v>
      </c>
      <c r="O142" s="515">
        <f>'OPEX - Concept C1 - NCLH'!V154</f>
        <v>101984.23557555837</v>
      </c>
      <c r="P142" s="515">
        <f>'OPEX - Concept C1 - NCLH'!W154</f>
        <v>104023.92028706953</v>
      </c>
      <c r="Q142" s="515">
        <f>'OPEX - Concept C1 - NCLH'!X154</f>
        <v>106104.39869281092</v>
      </c>
      <c r="R142" s="515">
        <f>'OPEX - Concept C1 - NCLH'!Y154</f>
        <v>108226.48666666714</v>
      </c>
      <c r="S142" s="515">
        <f>'OPEX - Concept C1 - NCLH'!Z154</f>
        <v>110391.01640000047</v>
      </c>
      <c r="T142" s="515">
        <f>'OPEX - Concept C1 - NCLH'!AA154</f>
        <v>112598.8367280005</v>
      </c>
      <c r="U142" s="515">
        <f>'OPEX - Concept C1 - NCLH'!AB154</f>
        <v>114850.8134625605</v>
      </c>
      <c r="V142" s="515">
        <f>'OPEX - Concept C1 - NCLH'!AC154</f>
        <v>117147.82973181173</v>
      </c>
      <c r="W142" s="515">
        <f>'OPEX - Concept C1 - NCLH'!AD154</f>
        <v>119490.78632644797</v>
      </c>
      <c r="X142" s="515">
        <f>'OPEX - Concept C1 - NCLH'!AE154</f>
        <v>121880.60205297693</v>
      </c>
    </row>
    <row r="143" spans="1:24" s="16" customFormat="1" ht="14.25">
      <c r="A143" s="282" t="s">
        <v>133</v>
      </c>
      <c r="B143" s="276"/>
      <c r="C143" s="276"/>
      <c r="D143" s="516">
        <f>SUM(D141:D142)</f>
        <v>0</v>
      </c>
      <c r="E143" s="517">
        <f>SUM(E141:E142)</f>
        <v>0</v>
      </c>
      <c r="F143" s="517">
        <f t="shared" ref="F143:X143" si="19">SUM(F141:F142)</f>
        <v>139905.84615384616</v>
      </c>
      <c r="G143" s="517">
        <f t="shared" si="19"/>
        <v>143817.19107692307</v>
      </c>
      <c r="H143" s="517">
        <f t="shared" si="19"/>
        <v>146693.53489846154</v>
      </c>
      <c r="I143" s="517">
        <f t="shared" si="19"/>
        <v>149627.40559643076</v>
      </c>
      <c r="J143" s="517">
        <f t="shared" si="19"/>
        <v>152619.95370835939</v>
      </c>
      <c r="K143" s="517">
        <f t="shared" si="19"/>
        <v>155672.35278252655</v>
      </c>
      <c r="L143" s="517">
        <f t="shared" si="19"/>
        <v>158785.7998381771</v>
      </c>
      <c r="M143" s="517">
        <f t="shared" si="19"/>
        <v>161961.51583494066</v>
      </c>
      <c r="N143" s="517">
        <f t="shared" si="19"/>
        <v>165200.74615163944</v>
      </c>
      <c r="O143" s="517">
        <f t="shared" si="19"/>
        <v>168504.76107467228</v>
      </c>
      <c r="P143" s="517">
        <f t="shared" si="19"/>
        <v>171874.85629616573</v>
      </c>
      <c r="Q143" s="517">
        <f t="shared" si="19"/>
        <v>175312.35342208904</v>
      </c>
      <c r="R143" s="517">
        <f t="shared" si="19"/>
        <v>178818.60049053084</v>
      </c>
      <c r="S143" s="517">
        <f t="shared" si="19"/>
        <v>182394.97250034142</v>
      </c>
      <c r="T143" s="517">
        <f t="shared" si="19"/>
        <v>186042.87195034826</v>
      </c>
      <c r="U143" s="517">
        <f t="shared" si="19"/>
        <v>189763.72938935523</v>
      </c>
      <c r="V143" s="517">
        <f t="shared" si="19"/>
        <v>193559.00397714233</v>
      </c>
      <c r="W143" s="517">
        <f t="shared" si="19"/>
        <v>197430.18405668519</v>
      </c>
      <c r="X143" s="517">
        <f t="shared" si="19"/>
        <v>201378.7877378189</v>
      </c>
    </row>
    <row r="144" spans="1:24">
      <c r="A144" s="92"/>
      <c r="B144" s="92"/>
      <c r="C144" s="69"/>
      <c r="D144" s="514"/>
      <c r="E144" s="515"/>
      <c r="F144" s="515"/>
      <c r="G144" s="515"/>
      <c r="H144" s="515"/>
      <c r="I144" s="515"/>
      <c r="J144" s="515"/>
      <c r="K144" s="515"/>
      <c r="L144" s="515"/>
      <c r="M144" s="515"/>
      <c r="N144" s="515"/>
      <c r="O144" s="515"/>
      <c r="P144" s="515"/>
      <c r="Q144" s="515"/>
      <c r="R144" s="515"/>
      <c r="S144" s="515"/>
      <c r="T144" s="515"/>
      <c r="U144" s="515"/>
      <c r="V144" s="515"/>
      <c r="W144" s="515"/>
      <c r="X144" s="515"/>
    </row>
    <row r="145" spans="1:24" s="16" customFormat="1" ht="14.25">
      <c r="A145" s="350" t="s">
        <v>118</v>
      </c>
      <c r="B145" s="350"/>
      <c r="C145" s="351"/>
      <c r="D145" s="519">
        <f t="shared" ref="D145:X145" si="20">SUM(D137,D143)</f>
        <v>0</v>
      </c>
      <c r="E145" s="519">
        <f t="shared" si="20"/>
        <v>367858.33333333331</v>
      </c>
      <c r="F145" s="519">
        <f t="shared" si="20"/>
        <v>883304.84615384613</v>
      </c>
      <c r="G145" s="519">
        <f t="shared" si="20"/>
        <v>902094.3710769231</v>
      </c>
      <c r="H145" s="519">
        <f t="shared" si="20"/>
        <v>920136.25849846145</v>
      </c>
      <c r="I145" s="519">
        <f t="shared" si="20"/>
        <v>938538.98366843082</v>
      </c>
      <c r="J145" s="519">
        <f t="shared" si="20"/>
        <v>985653.64213699941</v>
      </c>
      <c r="K145" s="519">
        <f t="shared" si="20"/>
        <v>1000829.7961893713</v>
      </c>
      <c r="L145" s="519">
        <f t="shared" si="20"/>
        <v>1020846.3921131587</v>
      </c>
      <c r="M145" s="519">
        <f t="shared" si="20"/>
        <v>1041263.3199554221</v>
      </c>
      <c r="N145" s="519">
        <f t="shared" si="20"/>
        <v>1062088.5863545304</v>
      </c>
      <c r="O145" s="519">
        <f t="shared" si="20"/>
        <v>1087720.8608716237</v>
      </c>
      <c r="P145" s="519">
        <f t="shared" si="20"/>
        <v>1104996.9652432539</v>
      </c>
      <c r="Q145" s="519">
        <f t="shared" si="20"/>
        <v>1127096.9045481186</v>
      </c>
      <c r="R145" s="519">
        <f t="shared" si="20"/>
        <v>1149638.8426390809</v>
      </c>
      <c r="S145" s="519">
        <f t="shared" si="20"/>
        <v>1172631.6194918626</v>
      </c>
      <c r="T145" s="519">
        <f t="shared" si="20"/>
        <v>1200411.3177125379</v>
      </c>
      <c r="U145" s="519">
        <f t="shared" si="20"/>
        <v>1220005.9369193341</v>
      </c>
      <c r="V145" s="519">
        <f t="shared" si="20"/>
        <v>1244406.0556577207</v>
      </c>
      <c r="W145" s="519">
        <f t="shared" si="20"/>
        <v>1269294.1767708752</v>
      </c>
      <c r="X145" s="519">
        <f t="shared" si="20"/>
        <v>1294680.0603062927</v>
      </c>
    </row>
    <row r="146" spans="1:24" s="222" customFormat="1" ht="14.25">
      <c r="A146" s="280"/>
      <c r="B146" s="280"/>
      <c r="C146" s="263"/>
      <c r="D146" s="518"/>
      <c r="E146" s="520"/>
      <c r="F146" s="520"/>
      <c r="G146" s="520"/>
      <c r="H146" s="520"/>
      <c r="I146" s="520"/>
      <c r="J146" s="520"/>
      <c r="K146" s="520"/>
      <c r="L146" s="520"/>
      <c r="M146" s="520"/>
      <c r="N146" s="520"/>
      <c r="O146" s="520"/>
      <c r="P146" s="520"/>
      <c r="Q146" s="520"/>
      <c r="R146" s="520"/>
      <c r="S146" s="520"/>
      <c r="T146" s="520"/>
      <c r="U146" s="520"/>
      <c r="V146" s="520"/>
      <c r="W146" s="520"/>
      <c r="X146" s="520"/>
    </row>
    <row r="147" spans="1:24" s="222" customFormat="1" ht="14.25">
      <c r="A147" s="271" t="s">
        <v>295</v>
      </c>
      <c r="B147" s="271"/>
      <c r="C147" s="269"/>
      <c r="D147" s="521"/>
      <c r="E147" s="521"/>
      <c r="F147" s="521"/>
      <c r="G147" s="521"/>
      <c r="H147" s="521"/>
      <c r="I147" s="521"/>
      <c r="J147" s="521"/>
      <c r="K147" s="521"/>
      <c r="L147" s="521"/>
      <c r="M147" s="521"/>
      <c r="N147" s="521"/>
      <c r="O147" s="521"/>
      <c r="P147" s="521"/>
      <c r="Q147" s="521"/>
      <c r="R147" s="521"/>
      <c r="S147" s="521"/>
      <c r="T147" s="521"/>
      <c r="U147" s="521"/>
      <c r="V147" s="521"/>
      <c r="W147" s="521"/>
      <c r="X147" s="521"/>
    </row>
    <row r="148" spans="1:24" s="222" customFormat="1" ht="14.25">
      <c r="A148" s="280"/>
      <c r="B148" s="280"/>
      <c r="C148" s="263"/>
      <c r="D148" s="518"/>
      <c r="E148" s="520"/>
      <c r="F148" s="520"/>
      <c r="G148" s="520"/>
      <c r="H148" s="520"/>
      <c r="I148" s="520"/>
      <c r="J148" s="520"/>
      <c r="K148" s="520"/>
      <c r="L148" s="520"/>
      <c r="M148" s="520"/>
      <c r="N148" s="520"/>
      <c r="O148" s="520"/>
      <c r="P148" s="520"/>
      <c r="Q148" s="520"/>
      <c r="R148" s="520"/>
      <c r="S148" s="520"/>
      <c r="T148" s="520"/>
      <c r="U148" s="520"/>
      <c r="V148" s="520"/>
      <c r="W148" s="520"/>
      <c r="X148" s="520"/>
    </row>
    <row r="149" spans="1:24" s="725" customFormat="1">
      <c r="A149" s="353" t="s">
        <v>228</v>
      </c>
      <c r="B149" s="691"/>
      <c r="C149" s="724"/>
      <c r="D149" s="699">
        <v>0</v>
      </c>
      <c r="E149" s="700"/>
      <c r="F149" s="700"/>
      <c r="G149" s="700"/>
      <c r="H149" s="700"/>
      <c r="I149" s="700"/>
      <c r="J149" s="700"/>
      <c r="K149" s="700"/>
      <c r="L149" s="700"/>
      <c r="M149" s="700"/>
      <c r="N149" s="700"/>
      <c r="O149" s="700"/>
      <c r="P149" s="700"/>
      <c r="Q149" s="700"/>
      <c r="R149" s="700"/>
      <c r="S149" s="700"/>
      <c r="T149" s="700"/>
      <c r="U149" s="700"/>
      <c r="V149" s="700"/>
      <c r="W149" s="700"/>
      <c r="X149" s="700"/>
    </row>
    <row r="150" spans="1:24" s="725" customFormat="1">
      <c r="A150" s="726" t="s">
        <v>228</v>
      </c>
      <c r="B150" s="727"/>
      <c r="C150" s="728"/>
      <c r="D150" s="729">
        <v>0</v>
      </c>
      <c r="E150" s="730"/>
      <c r="F150" s="730"/>
      <c r="G150" s="730"/>
      <c r="H150" s="730"/>
      <c r="I150" s="730"/>
      <c r="J150" s="730"/>
      <c r="K150" s="730"/>
      <c r="L150" s="730"/>
      <c r="M150" s="730"/>
      <c r="N150" s="730"/>
      <c r="O150" s="730"/>
      <c r="P150" s="730"/>
      <c r="Q150" s="730"/>
      <c r="R150" s="730"/>
      <c r="S150" s="730"/>
      <c r="T150" s="730"/>
      <c r="U150" s="730"/>
      <c r="V150" s="730"/>
      <c r="W150" s="730"/>
      <c r="X150" s="730"/>
    </row>
    <row r="151" spans="1:24" s="725" customFormat="1" ht="14.25">
      <c r="A151" s="691" t="s">
        <v>296</v>
      </c>
      <c r="B151" s="691"/>
      <c r="C151" s="724"/>
      <c r="D151" s="731">
        <f t="shared" ref="D151:X151" si="21">SUM(D149:D150)</f>
        <v>0</v>
      </c>
      <c r="E151" s="732">
        <f t="shared" si="21"/>
        <v>0</v>
      </c>
      <c r="F151" s="732">
        <f t="shared" si="21"/>
        <v>0</v>
      </c>
      <c r="G151" s="732">
        <f t="shared" si="21"/>
        <v>0</v>
      </c>
      <c r="H151" s="732">
        <f t="shared" si="21"/>
        <v>0</v>
      </c>
      <c r="I151" s="732">
        <f t="shared" si="21"/>
        <v>0</v>
      </c>
      <c r="J151" s="732">
        <f t="shared" si="21"/>
        <v>0</v>
      </c>
      <c r="K151" s="732">
        <f t="shared" si="21"/>
        <v>0</v>
      </c>
      <c r="L151" s="732">
        <f t="shared" si="21"/>
        <v>0</v>
      </c>
      <c r="M151" s="732">
        <f t="shared" si="21"/>
        <v>0</v>
      </c>
      <c r="N151" s="732">
        <f t="shared" si="21"/>
        <v>0</v>
      </c>
      <c r="O151" s="732">
        <f t="shared" si="21"/>
        <v>0</v>
      </c>
      <c r="P151" s="732">
        <f t="shared" si="21"/>
        <v>0</v>
      </c>
      <c r="Q151" s="732">
        <f t="shared" si="21"/>
        <v>0</v>
      </c>
      <c r="R151" s="732">
        <f t="shared" si="21"/>
        <v>0</v>
      </c>
      <c r="S151" s="732">
        <f t="shared" si="21"/>
        <v>0</v>
      </c>
      <c r="T151" s="732">
        <f t="shared" si="21"/>
        <v>0</v>
      </c>
      <c r="U151" s="732">
        <f t="shared" si="21"/>
        <v>0</v>
      </c>
      <c r="V151" s="732">
        <f t="shared" si="21"/>
        <v>0</v>
      </c>
      <c r="W151" s="732">
        <f t="shared" si="21"/>
        <v>0</v>
      </c>
      <c r="X151" s="732">
        <f t="shared" si="21"/>
        <v>0</v>
      </c>
    </row>
    <row r="152" spans="1:24" s="222" customFormat="1">
      <c r="A152" s="280"/>
      <c r="B152" s="280"/>
      <c r="C152" s="263"/>
      <c r="D152" s="514"/>
      <c r="E152" s="515"/>
      <c r="F152" s="520"/>
      <c r="G152" s="520"/>
      <c r="H152" s="520"/>
      <c r="I152" s="520"/>
      <c r="J152" s="520"/>
      <c r="K152" s="520"/>
      <c r="L152" s="520"/>
      <c r="M152" s="520"/>
      <c r="N152" s="520"/>
      <c r="O152" s="520"/>
      <c r="P152" s="520"/>
      <c r="Q152" s="520"/>
      <c r="R152" s="520"/>
      <c r="S152" s="520"/>
      <c r="T152" s="520"/>
      <c r="U152" s="520"/>
      <c r="V152" s="520"/>
      <c r="W152" s="520"/>
      <c r="X152" s="520"/>
    </row>
    <row r="153" spans="1:24" s="222" customFormat="1" ht="14.25">
      <c r="A153" s="296" t="s">
        <v>140</v>
      </c>
      <c r="B153" s="296"/>
      <c r="C153" s="297"/>
      <c r="D153" s="522">
        <f t="shared" ref="D153:X153" si="22">SUM(D145,D151)</f>
        <v>0</v>
      </c>
      <c r="E153" s="522">
        <f t="shared" si="22"/>
        <v>367858.33333333331</v>
      </c>
      <c r="F153" s="522">
        <f t="shared" si="22"/>
        <v>883304.84615384613</v>
      </c>
      <c r="G153" s="522">
        <f t="shared" si="22"/>
        <v>902094.3710769231</v>
      </c>
      <c r="H153" s="522">
        <f t="shared" si="22"/>
        <v>920136.25849846145</v>
      </c>
      <c r="I153" s="522">
        <f t="shared" si="22"/>
        <v>938538.98366843082</v>
      </c>
      <c r="J153" s="522">
        <f t="shared" si="22"/>
        <v>985653.64213699941</v>
      </c>
      <c r="K153" s="522">
        <f t="shared" si="22"/>
        <v>1000829.7961893713</v>
      </c>
      <c r="L153" s="522">
        <f t="shared" si="22"/>
        <v>1020846.3921131587</v>
      </c>
      <c r="M153" s="522">
        <f t="shared" si="22"/>
        <v>1041263.3199554221</v>
      </c>
      <c r="N153" s="522">
        <f t="shared" si="22"/>
        <v>1062088.5863545304</v>
      </c>
      <c r="O153" s="522">
        <f t="shared" si="22"/>
        <v>1087720.8608716237</v>
      </c>
      <c r="P153" s="522">
        <f t="shared" si="22"/>
        <v>1104996.9652432539</v>
      </c>
      <c r="Q153" s="522">
        <f t="shared" si="22"/>
        <v>1127096.9045481186</v>
      </c>
      <c r="R153" s="522">
        <f t="shared" si="22"/>
        <v>1149638.8426390809</v>
      </c>
      <c r="S153" s="522">
        <f t="shared" si="22"/>
        <v>1172631.6194918626</v>
      </c>
      <c r="T153" s="522">
        <f t="shared" si="22"/>
        <v>1200411.3177125379</v>
      </c>
      <c r="U153" s="522">
        <f t="shared" si="22"/>
        <v>1220005.9369193341</v>
      </c>
      <c r="V153" s="522">
        <f t="shared" si="22"/>
        <v>1244406.0556577207</v>
      </c>
      <c r="W153" s="522">
        <f t="shared" si="22"/>
        <v>1269294.1767708752</v>
      </c>
      <c r="X153" s="522">
        <f t="shared" si="22"/>
        <v>1294680.0603062927</v>
      </c>
    </row>
    <row r="154" spans="1:24">
      <c r="A154" s="92"/>
      <c r="B154" s="92"/>
      <c r="C154" s="69"/>
      <c r="D154" s="514"/>
      <c r="E154" s="515"/>
      <c r="F154" s="515"/>
      <c r="G154" s="515"/>
      <c r="H154" s="515"/>
      <c r="I154" s="515"/>
      <c r="J154" s="515"/>
      <c r="K154" s="515"/>
      <c r="L154" s="515"/>
      <c r="M154" s="515"/>
      <c r="N154" s="515"/>
      <c r="O154" s="515"/>
      <c r="P154" s="515"/>
      <c r="Q154" s="515"/>
      <c r="R154" s="515"/>
      <c r="S154" s="515"/>
      <c r="T154" s="515"/>
      <c r="U154" s="515"/>
      <c r="V154" s="515"/>
      <c r="W154" s="515"/>
      <c r="X154" s="515"/>
    </row>
    <row r="155" spans="1:24" s="33" customFormat="1">
      <c r="A155" s="47" t="s">
        <v>7</v>
      </c>
      <c r="B155" s="47" t="s">
        <v>7</v>
      </c>
      <c r="C155" s="78" t="s">
        <v>7</v>
      </c>
      <c r="D155" s="604" t="s">
        <v>7</v>
      </c>
      <c r="E155" s="78" t="s">
        <v>7</v>
      </c>
      <c r="F155" s="78" t="s">
        <v>7</v>
      </c>
      <c r="G155" s="78" t="s">
        <v>7</v>
      </c>
      <c r="H155" s="78" t="s">
        <v>7</v>
      </c>
      <c r="I155" s="78" t="s">
        <v>7</v>
      </c>
      <c r="J155" s="78" t="s">
        <v>7</v>
      </c>
      <c r="K155" s="78" t="s">
        <v>7</v>
      </c>
      <c r="L155" s="78" t="s">
        <v>7</v>
      </c>
      <c r="M155" s="78" t="s">
        <v>7</v>
      </c>
      <c r="N155" s="78" t="s">
        <v>7</v>
      </c>
      <c r="O155" s="78" t="s">
        <v>7</v>
      </c>
      <c r="P155" s="78" t="s">
        <v>7</v>
      </c>
      <c r="Q155" s="78" t="s">
        <v>7</v>
      </c>
      <c r="R155" s="78" t="s">
        <v>7</v>
      </c>
      <c r="S155" s="78" t="s">
        <v>7</v>
      </c>
      <c r="T155" s="78" t="s">
        <v>7</v>
      </c>
      <c r="U155" s="78" t="s">
        <v>7</v>
      </c>
      <c r="V155" s="78" t="s">
        <v>7</v>
      </c>
      <c r="W155" s="78" t="s">
        <v>7</v>
      </c>
      <c r="X155" s="78" t="s">
        <v>7</v>
      </c>
    </row>
    <row r="156" spans="1:24">
      <c r="A156" s="92"/>
      <c r="B156" s="92"/>
      <c r="C156" s="69"/>
      <c r="D156" s="518"/>
      <c r="E156" s="515"/>
      <c r="F156" s="515"/>
      <c r="G156" s="515"/>
      <c r="H156" s="515"/>
      <c r="I156" s="515"/>
      <c r="J156" s="515"/>
      <c r="K156" s="515"/>
      <c r="L156" s="515"/>
      <c r="M156" s="515"/>
      <c r="N156" s="515"/>
      <c r="O156" s="515"/>
      <c r="P156" s="515"/>
      <c r="Q156" s="515"/>
      <c r="R156" s="515"/>
      <c r="S156" s="515"/>
      <c r="T156" s="515"/>
      <c r="U156" s="515"/>
      <c r="V156" s="515"/>
      <c r="W156" s="515"/>
      <c r="X156" s="515"/>
    </row>
    <row r="157" spans="1:24" s="16" customFormat="1" ht="14.25">
      <c r="A157" s="278" t="s">
        <v>116</v>
      </c>
      <c r="B157" s="263"/>
      <c r="C157" s="263"/>
      <c r="D157" s="518">
        <f>D120-(D137+D143)</f>
        <v>0</v>
      </c>
      <c r="E157" s="520">
        <f>E120-E153</f>
        <v>-148033.33333333331</v>
      </c>
      <c r="F157" s="520">
        <f t="shared" ref="F157:X157" si="23">F120-F153</f>
        <v>283057.39131039439</v>
      </c>
      <c r="G157" s="520">
        <f t="shared" si="23"/>
        <v>432647.51113660191</v>
      </c>
      <c r="H157" s="520">
        <f t="shared" si="23"/>
        <v>441080.46135933418</v>
      </c>
      <c r="I157" s="520">
        <f t="shared" si="23"/>
        <v>449682.07058652083</v>
      </c>
      <c r="J157" s="520">
        <f t="shared" si="23"/>
        <v>647049.68042527325</v>
      </c>
      <c r="K157" s="520">
        <f t="shared" si="23"/>
        <v>659968.83587970259</v>
      </c>
      <c r="L157" s="520">
        <f t="shared" si="23"/>
        <v>668609.45565285208</v>
      </c>
      <c r="M157" s="520">
        <f t="shared" si="23"/>
        <v>677422.8878214648</v>
      </c>
      <c r="N157" s="520">
        <f t="shared" si="23"/>
        <v>686412.58863344998</v>
      </c>
      <c r="O157" s="520">
        <f t="shared" si="23"/>
        <v>746013.54247722751</v>
      </c>
      <c r="P157" s="520">
        <f t="shared" si="23"/>
        <v>759756.92999201873</v>
      </c>
      <c r="Q157" s="520">
        <f t="shared" si="23"/>
        <v>769296.87241130346</v>
      </c>
      <c r="R157" s="520">
        <f t="shared" si="23"/>
        <v>779027.6136789741</v>
      </c>
      <c r="S157" s="520">
        <f t="shared" si="23"/>
        <v>788952.969771998</v>
      </c>
      <c r="T157" s="520">
        <f t="shared" si="23"/>
        <v>849671.72896159976</v>
      </c>
      <c r="U157" s="520">
        <f t="shared" si="23"/>
        <v>864325.13527162001</v>
      </c>
      <c r="V157" s="520">
        <f t="shared" si="23"/>
        <v>874858.00256038597</v>
      </c>
      <c r="W157" s="520">
        <f t="shared" si="23"/>
        <v>885601.52719492652</v>
      </c>
      <c r="X157" s="520">
        <f t="shared" si="23"/>
        <v>896559.92232215893</v>
      </c>
    </row>
    <row r="158" spans="1:24">
      <c r="A158" s="30"/>
      <c r="B158" s="92"/>
      <c r="C158" s="69"/>
      <c r="D158" s="514"/>
      <c r="E158" s="515"/>
      <c r="F158" s="515"/>
      <c r="G158" s="515"/>
      <c r="H158" s="515"/>
      <c r="I158" s="515"/>
      <c r="J158" s="515"/>
      <c r="K158" s="515"/>
      <c r="L158" s="515"/>
      <c r="M158" s="515"/>
      <c r="N158" s="515"/>
      <c r="O158" s="515"/>
      <c r="P158" s="515"/>
      <c r="Q158" s="515"/>
      <c r="R158" s="515"/>
      <c r="S158" s="515"/>
      <c r="T158" s="515"/>
      <c r="U158" s="515"/>
      <c r="V158" s="515"/>
      <c r="W158" s="515"/>
      <c r="X158" s="515"/>
    </row>
    <row r="159" spans="1:24" s="594" customFormat="1">
      <c r="A159" s="589" t="s">
        <v>125</v>
      </c>
      <c r="B159" s="590"/>
      <c r="C159" s="591"/>
      <c r="D159" s="592">
        <v>0</v>
      </c>
      <c r="E159" s="593">
        <v>0</v>
      </c>
      <c r="F159" s="593">
        <v>0</v>
      </c>
      <c r="G159" s="593">
        <v>0</v>
      </c>
      <c r="H159" s="593">
        <v>0</v>
      </c>
      <c r="I159" s="593">
        <v>0</v>
      </c>
      <c r="J159" s="593">
        <v>0</v>
      </c>
      <c r="K159" s="593">
        <v>0</v>
      </c>
      <c r="L159" s="593">
        <v>0</v>
      </c>
      <c r="M159" s="593">
        <v>0</v>
      </c>
      <c r="N159" s="593">
        <v>0</v>
      </c>
      <c r="O159" s="593">
        <v>0</v>
      </c>
      <c r="P159" s="593">
        <v>0</v>
      </c>
      <c r="Q159" s="593">
        <v>0</v>
      </c>
      <c r="R159" s="593">
        <v>0</v>
      </c>
      <c r="S159" s="593">
        <v>0</v>
      </c>
      <c r="T159" s="593">
        <v>0</v>
      </c>
      <c r="U159" s="593">
        <v>0</v>
      </c>
      <c r="V159" s="593">
        <v>0</v>
      </c>
      <c r="W159" s="593">
        <v>0</v>
      </c>
      <c r="X159" s="593">
        <v>0</v>
      </c>
    </row>
    <row r="160" spans="1:24">
      <c r="A160" s="92"/>
      <c r="B160" s="92"/>
      <c r="C160" s="69"/>
      <c r="D160" s="514"/>
      <c r="E160" s="515"/>
      <c r="F160" s="515"/>
      <c r="G160" s="515"/>
      <c r="H160" s="515"/>
      <c r="I160" s="515"/>
      <c r="J160" s="515"/>
      <c r="K160" s="515"/>
      <c r="L160" s="515"/>
      <c r="M160" s="515"/>
      <c r="N160" s="515"/>
      <c r="O160" s="515"/>
      <c r="P160" s="515"/>
      <c r="Q160" s="515"/>
      <c r="R160" s="515"/>
      <c r="S160" s="515"/>
      <c r="T160" s="515"/>
      <c r="U160" s="515"/>
      <c r="V160" s="515"/>
      <c r="W160" s="515"/>
      <c r="X160" s="515"/>
    </row>
    <row r="161" spans="1:24" s="16" customFormat="1" ht="14.25">
      <c r="A161" s="278" t="s">
        <v>117</v>
      </c>
      <c r="B161" s="278"/>
      <c r="C161" s="263"/>
      <c r="D161" s="518">
        <v>0</v>
      </c>
      <c r="E161" s="520">
        <f>E157-E159</f>
        <v>-148033.33333333331</v>
      </c>
      <c r="F161" s="520">
        <f t="shared" ref="F161:X161" si="24">F157-F159</f>
        <v>283057.39131039439</v>
      </c>
      <c r="G161" s="520">
        <f t="shared" si="24"/>
        <v>432647.51113660191</v>
      </c>
      <c r="H161" s="520">
        <f t="shared" si="24"/>
        <v>441080.46135933418</v>
      </c>
      <c r="I161" s="520">
        <f t="shared" si="24"/>
        <v>449682.07058652083</v>
      </c>
      <c r="J161" s="520">
        <f t="shared" si="24"/>
        <v>647049.68042527325</v>
      </c>
      <c r="K161" s="520">
        <f t="shared" si="24"/>
        <v>659968.83587970259</v>
      </c>
      <c r="L161" s="520">
        <f t="shared" si="24"/>
        <v>668609.45565285208</v>
      </c>
      <c r="M161" s="520">
        <f t="shared" si="24"/>
        <v>677422.8878214648</v>
      </c>
      <c r="N161" s="520">
        <f t="shared" si="24"/>
        <v>686412.58863344998</v>
      </c>
      <c r="O161" s="520">
        <f t="shared" si="24"/>
        <v>746013.54247722751</v>
      </c>
      <c r="P161" s="520">
        <f t="shared" si="24"/>
        <v>759756.92999201873</v>
      </c>
      <c r="Q161" s="520">
        <f t="shared" si="24"/>
        <v>769296.87241130346</v>
      </c>
      <c r="R161" s="520">
        <f t="shared" si="24"/>
        <v>779027.6136789741</v>
      </c>
      <c r="S161" s="520">
        <f t="shared" si="24"/>
        <v>788952.969771998</v>
      </c>
      <c r="T161" s="520">
        <f t="shared" si="24"/>
        <v>849671.72896159976</v>
      </c>
      <c r="U161" s="520">
        <f t="shared" si="24"/>
        <v>864325.13527162001</v>
      </c>
      <c r="V161" s="520">
        <f t="shared" si="24"/>
        <v>874858.00256038597</v>
      </c>
      <c r="W161" s="520">
        <f t="shared" si="24"/>
        <v>885601.52719492652</v>
      </c>
      <c r="X161" s="520">
        <f t="shared" si="24"/>
        <v>896559.92232215893</v>
      </c>
    </row>
    <row r="162" spans="1:24">
      <c r="A162" s="92"/>
      <c r="B162" s="92"/>
      <c r="C162" s="69"/>
      <c r="D162" s="514"/>
      <c r="E162" s="515"/>
      <c r="F162" s="515"/>
      <c r="G162" s="515"/>
      <c r="H162" s="515"/>
      <c r="I162" s="515"/>
      <c r="J162" s="515"/>
      <c r="K162" s="515"/>
      <c r="L162" s="515"/>
      <c r="M162" s="515"/>
      <c r="N162" s="515"/>
      <c r="O162" s="515"/>
      <c r="P162" s="515"/>
      <c r="Q162" s="515"/>
      <c r="R162" s="515"/>
      <c r="S162" s="515"/>
      <c r="T162" s="515"/>
      <c r="U162" s="515"/>
      <c r="V162" s="515"/>
      <c r="W162" s="515"/>
      <c r="X162" s="515"/>
    </row>
    <row r="163" spans="1:24">
      <c r="A163" s="271" t="s">
        <v>126</v>
      </c>
      <c r="B163" s="272"/>
      <c r="C163" s="273"/>
      <c r="D163" s="523"/>
      <c r="E163" s="523"/>
      <c r="F163" s="523"/>
      <c r="G163" s="523"/>
      <c r="H163" s="523"/>
      <c r="I163" s="523"/>
      <c r="J163" s="523"/>
      <c r="K163" s="523"/>
      <c r="L163" s="523"/>
      <c r="M163" s="523"/>
      <c r="N163" s="523"/>
      <c r="O163" s="523"/>
      <c r="P163" s="523"/>
      <c r="Q163" s="523"/>
      <c r="R163" s="523"/>
      <c r="S163" s="523"/>
      <c r="T163" s="523"/>
      <c r="U163" s="523"/>
      <c r="V163" s="523"/>
      <c r="W163" s="523"/>
      <c r="X163" s="523"/>
    </row>
    <row r="164" spans="1:24" s="32" customFormat="1">
      <c r="A164" s="280"/>
      <c r="B164" s="91"/>
      <c r="C164" s="69"/>
      <c r="D164" s="514"/>
      <c r="E164" s="515"/>
      <c r="F164" s="515"/>
      <c r="G164" s="515"/>
      <c r="H164" s="515"/>
      <c r="I164" s="515"/>
      <c r="J164" s="515"/>
      <c r="K164" s="515"/>
      <c r="L164" s="515"/>
      <c r="M164" s="515"/>
      <c r="N164" s="515"/>
      <c r="O164" s="515"/>
      <c r="P164" s="515"/>
      <c r="Q164" s="515"/>
      <c r="R164" s="515"/>
      <c r="S164" s="515"/>
      <c r="T164" s="515"/>
      <c r="U164" s="515"/>
      <c r="V164" s="515"/>
      <c r="W164" s="515"/>
      <c r="X164" s="515"/>
    </row>
    <row r="165" spans="1:24" s="96" customFormat="1">
      <c r="A165" s="885" t="s">
        <v>136</v>
      </c>
      <c r="B165" s="719"/>
      <c r="C165" s="69"/>
      <c r="D165" s="514">
        <v>0</v>
      </c>
      <c r="E165" s="515">
        <f>'OPEX - Concept C1 - NCLH'!L169</f>
        <v>0</v>
      </c>
      <c r="F165" s="515">
        <f>'OPEX - Concept C1 - NCLH'!M169</f>
        <v>85775</v>
      </c>
      <c r="G165" s="515">
        <f>'OPEX - Concept C1 - NCLH'!N169</f>
        <v>87490.5</v>
      </c>
      <c r="H165" s="515">
        <f>'OPEX - Concept C1 - NCLH'!O169</f>
        <v>89240.31</v>
      </c>
      <c r="I165" s="515">
        <f>'OPEX - Concept C1 - NCLH'!P169</f>
        <v>91025.116199999989</v>
      </c>
      <c r="J165" s="515">
        <f>'OPEX - Concept C1 - NCLH'!Q169</f>
        <v>92845.618524000005</v>
      </c>
      <c r="K165" s="515">
        <f>'OPEX - Concept C1 - NCLH'!R169</f>
        <v>94702.530894480005</v>
      </c>
      <c r="L165" s="515">
        <f>'OPEX - Concept C1 - NCLH'!S169</f>
        <v>96596.581512369608</v>
      </c>
      <c r="M165" s="515">
        <f>'OPEX - Concept C1 - NCLH'!T169</f>
        <v>98528.513142616997</v>
      </c>
      <c r="N165" s="515">
        <f>'OPEX - Concept C1 - NCLH'!U169</f>
        <v>100499.08340546934</v>
      </c>
      <c r="O165" s="515">
        <f>'OPEX - Concept C1 - NCLH'!V169</f>
        <v>102509.06507357873</v>
      </c>
      <c r="P165" s="515">
        <f>'OPEX - Concept C1 - NCLH'!W169</f>
        <v>104559.24637505031</v>
      </c>
      <c r="Q165" s="515">
        <f>'OPEX - Concept C1 - NCLH'!X169</f>
        <v>106650.43130255131</v>
      </c>
      <c r="R165" s="515">
        <f>'OPEX - Concept C1 - NCLH'!Y169</f>
        <v>108783.43992860234</v>
      </c>
      <c r="S165" s="515">
        <f>'OPEX - Concept C1 - NCLH'!Z169</f>
        <v>110959.10872717437</v>
      </c>
      <c r="T165" s="515">
        <f>'OPEX - Concept C1 - NCLH'!AA169</f>
        <v>113178.29090171788</v>
      </c>
      <c r="U165" s="515">
        <f>'OPEX - Concept C1 - NCLH'!AB169</f>
        <v>115441.85671975224</v>
      </c>
      <c r="V165" s="515">
        <f>'OPEX - Concept C1 - NCLH'!AC169</f>
        <v>117750.69385414729</v>
      </c>
      <c r="W165" s="515">
        <f>'OPEX - Concept C1 - NCLH'!AD169</f>
        <v>120105.70773123024</v>
      </c>
      <c r="X165" s="515">
        <f>'OPEX - Concept C1 - NCLH'!AE169</f>
        <v>122507.82188585485</v>
      </c>
    </row>
    <row r="166" spans="1:24" s="167" customFormat="1">
      <c r="A166" s="885" t="s">
        <v>458</v>
      </c>
      <c r="B166" s="590"/>
      <c r="C166" s="591"/>
      <c r="D166" s="514">
        <v>0</v>
      </c>
      <c r="E166" s="515">
        <f>'OPEX - Concept C1 - NCLH'!L171</f>
        <v>635662.67999999993</v>
      </c>
      <c r="F166" s="515">
        <f>'OPEX - Concept C1 - NCLH'!M171</f>
        <v>635662.67999999993</v>
      </c>
      <c r="G166" s="515">
        <f>'OPEX - Concept C1 - NCLH'!N171</f>
        <v>635662.67999999993</v>
      </c>
      <c r="H166" s="515">
        <f>'OPEX - Concept C1 - NCLH'!O171</f>
        <v>635662.67999999993</v>
      </c>
      <c r="I166" s="515">
        <f>'OPEX - Concept C1 - NCLH'!P171</f>
        <v>635662.67999999993</v>
      </c>
      <c r="J166" s="515">
        <f>'OPEX - Concept C1 - NCLH'!Q171</f>
        <v>635662.67999999993</v>
      </c>
      <c r="K166" s="515">
        <f>'OPEX - Concept C1 - NCLH'!R171</f>
        <v>635662.67999999993</v>
      </c>
      <c r="L166" s="515">
        <f>'OPEX - Concept C1 - NCLH'!S171</f>
        <v>635662.67999999993</v>
      </c>
      <c r="M166" s="515">
        <f>'OPEX - Concept C1 - NCLH'!T171</f>
        <v>635662.67999999993</v>
      </c>
      <c r="N166" s="515">
        <f>'OPEX - Concept C1 - NCLH'!U171</f>
        <v>635662.67999999993</v>
      </c>
      <c r="O166" s="515">
        <f>'OPEX - Concept C1 - NCLH'!V171</f>
        <v>635662.67999999993</v>
      </c>
      <c r="P166" s="515">
        <f>'OPEX - Concept C1 - NCLH'!W171</f>
        <v>635662.67999999993</v>
      </c>
      <c r="Q166" s="515">
        <f>'OPEX - Concept C1 - NCLH'!X171</f>
        <v>635662.67999999993</v>
      </c>
      <c r="R166" s="515">
        <f>'OPEX - Concept C1 - NCLH'!Y171</f>
        <v>635662.67999999993</v>
      </c>
      <c r="S166" s="515">
        <f>'OPEX - Concept C1 - NCLH'!Z171</f>
        <v>635662.67999999993</v>
      </c>
      <c r="T166" s="515">
        <f>'OPEX - Concept C1 - NCLH'!AA171</f>
        <v>635662.67999999993</v>
      </c>
      <c r="U166" s="515">
        <f>'OPEX - Concept C1 - NCLH'!AB171</f>
        <v>635662.67999999993</v>
      </c>
      <c r="V166" s="515">
        <f>'OPEX - Concept C1 - NCLH'!AC171</f>
        <v>635662.67999999993</v>
      </c>
      <c r="W166" s="515">
        <f>'OPEX - Concept C1 - NCLH'!AD171</f>
        <v>635662.67999999993</v>
      </c>
      <c r="X166" s="515">
        <f>'OPEX - Concept C1 - NCLH'!AE171</f>
        <v>635662.67999999993</v>
      </c>
    </row>
    <row r="167" spans="1:24" s="341" customFormat="1">
      <c r="A167" s="696" t="s">
        <v>315</v>
      </c>
      <c r="B167" s="697"/>
      <c r="C167" s="698"/>
      <c r="D167" s="699">
        <v>0</v>
      </c>
      <c r="E167" s="700">
        <v>0</v>
      </c>
      <c r="F167" s="700">
        <v>0</v>
      </c>
      <c r="G167" s="700">
        <v>0</v>
      </c>
      <c r="H167" s="700">
        <v>0</v>
      </c>
      <c r="I167" s="700">
        <v>0</v>
      </c>
      <c r="J167" s="700">
        <v>0</v>
      </c>
      <c r="K167" s="700">
        <v>0</v>
      </c>
      <c r="L167" s="700">
        <v>0</v>
      </c>
      <c r="M167" s="700">
        <v>0</v>
      </c>
      <c r="N167" s="700">
        <v>0</v>
      </c>
      <c r="O167" s="700">
        <v>0</v>
      </c>
      <c r="P167" s="700">
        <v>0</v>
      </c>
      <c r="Q167" s="700">
        <v>0</v>
      </c>
      <c r="R167" s="700">
        <v>0</v>
      </c>
      <c r="S167" s="700">
        <v>0</v>
      </c>
      <c r="T167" s="700">
        <v>0</v>
      </c>
      <c r="U167" s="700">
        <v>0</v>
      </c>
      <c r="V167" s="700">
        <v>0</v>
      </c>
      <c r="W167" s="700">
        <v>0</v>
      </c>
      <c r="X167" s="700">
        <v>0</v>
      </c>
    </row>
    <row r="168" spans="1:24" s="32" customFormat="1">
      <c r="A168" s="93" t="s">
        <v>316</v>
      </c>
      <c r="B168" s="298"/>
      <c r="C168" s="298"/>
      <c r="D168" s="505">
        <v>0</v>
      </c>
      <c r="E168" s="506">
        <v>246000</v>
      </c>
      <c r="F168" s="506">
        <v>246000</v>
      </c>
      <c r="G168" s="506">
        <v>246000</v>
      </c>
      <c r="H168" s="506">
        <v>246000</v>
      </c>
      <c r="I168" s="506">
        <v>246000</v>
      </c>
      <c r="J168" s="506">
        <v>246000</v>
      </c>
      <c r="K168" s="506">
        <v>246000</v>
      </c>
      <c r="L168" s="506">
        <v>246000</v>
      </c>
      <c r="M168" s="506">
        <v>246000</v>
      </c>
      <c r="N168" s="506">
        <v>246000</v>
      </c>
      <c r="O168" s="506">
        <v>246000</v>
      </c>
      <c r="P168" s="506">
        <v>246000</v>
      </c>
      <c r="Q168" s="506">
        <v>246000</v>
      </c>
      <c r="R168" s="506">
        <v>246000</v>
      </c>
      <c r="S168" s="506">
        <v>246000</v>
      </c>
      <c r="T168" s="506">
        <v>246000</v>
      </c>
      <c r="U168" s="506">
        <v>246000</v>
      </c>
      <c r="V168" s="506">
        <v>246000</v>
      </c>
      <c r="W168" s="506">
        <v>246000</v>
      </c>
      <c r="X168" s="506">
        <v>246000</v>
      </c>
    </row>
    <row r="169" spans="1:24" s="222" customFormat="1" ht="14.25">
      <c r="A169" s="263" t="s">
        <v>134</v>
      </c>
      <c r="B169" s="264"/>
      <c r="C169" s="264"/>
      <c r="D169" s="524">
        <f>SUM(D165:D168)</f>
        <v>0</v>
      </c>
      <c r="E169" s="525">
        <f t="shared" ref="E169:X169" si="25">SUM(E165:E168)</f>
        <v>881662.67999999993</v>
      </c>
      <c r="F169" s="525">
        <f t="shared" si="25"/>
        <v>967437.67999999993</v>
      </c>
      <c r="G169" s="525">
        <f t="shared" si="25"/>
        <v>969153.17999999993</v>
      </c>
      <c r="H169" s="525">
        <f t="shared" si="25"/>
        <v>970902.99</v>
      </c>
      <c r="I169" s="525">
        <f t="shared" si="25"/>
        <v>972687.79619999998</v>
      </c>
      <c r="J169" s="525">
        <f>SUM(J165:J168)</f>
        <v>974508.29852399998</v>
      </c>
      <c r="K169" s="525">
        <f t="shared" si="25"/>
        <v>976365.21089447988</v>
      </c>
      <c r="L169" s="525">
        <f t="shared" si="25"/>
        <v>978259.2615123695</v>
      </c>
      <c r="M169" s="525">
        <f t="shared" si="25"/>
        <v>980191.19314261689</v>
      </c>
      <c r="N169" s="525">
        <f t="shared" si="25"/>
        <v>982161.76340546925</v>
      </c>
      <c r="O169" s="525">
        <f t="shared" si="25"/>
        <v>984171.74507357867</v>
      </c>
      <c r="P169" s="525">
        <f t="shared" si="25"/>
        <v>986221.92637505021</v>
      </c>
      <c r="Q169" s="525">
        <f t="shared" si="25"/>
        <v>988313.11130255123</v>
      </c>
      <c r="R169" s="525">
        <f t="shared" si="25"/>
        <v>990446.11992860225</v>
      </c>
      <c r="S169" s="525">
        <f t="shared" si="25"/>
        <v>992621.78872717428</v>
      </c>
      <c r="T169" s="525">
        <f t="shared" si="25"/>
        <v>994840.97090171778</v>
      </c>
      <c r="U169" s="525">
        <f t="shared" si="25"/>
        <v>997104.53671975213</v>
      </c>
      <c r="V169" s="525">
        <f t="shared" si="25"/>
        <v>999413.37385414727</v>
      </c>
      <c r="W169" s="525">
        <f t="shared" si="25"/>
        <v>1001768.3877312301</v>
      </c>
      <c r="X169" s="525">
        <f t="shared" si="25"/>
        <v>1004170.5018858548</v>
      </c>
    </row>
    <row r="170" spans="1:24" s="32" customFormat="1">
      <c r="A170" s="69"/>
      <c r="B170" s="90"/>
      <c r="C170" s="90"/>
      <c r="D170" s="526"/>
      <c r="E170" s="527"/>
      <c r="F170" s="527"/>
      <c r="G170" s="527"/>
      <c r="H170" s="527"/>
      <c r="I170" s="527"/>
      <c r="J170" s="527"/>
      <c r="K170" s="527"/>
      <c r="L170" s="527"/>
      <c r="M170" s="527"/>
      <c r="N170" s="527"/>
      <c r="O170" s="527"/>
      <c r="P170" s="527"/>
      <c r="Q170" s="527"/>
      <c r="R170" s="527"/>
      <c r="S170" s="527"/>
      <c r="T170" s="527"/>
      <c r="U170" s="527"/>
      <c r="V170" s="527"/>
      <c r="W170" s="527"/>
      <c r="X170" s="527"/>
    </row>
    <row r="171" spans="1:24" s="32" customFormat="1">
      <c r="A171" s="94" t="s">
        <v>137</v>
      </c>
      <c r="C171" s="69"/>
      <c r="D171" s="514">
        <v>0</v>
      </c>
      <c r="E171" s="515">
        <f>E161-E165</f>
        <v>-148033.33333333331</v>
      </c>
      <c r="F171" s="515">
        <f t="shared" ref="F171:X171" si="26">F157-F165</f>
        <v>197282.39131039439</v>
      </c>
      <c r="G171" s="515">
        <f t="shared" si="26"/>
        <v>345157.01113660191</v>
      </c>
      <c r="H171" s="515">
        <f t="shared" si="26"/>
        <v>351840.15135933418</v>
      </c>
      <c r="I171" s="515">
        <f t="shared" si="26"/>
        <v>358656.95438652084</v>
      </c>
      <c r="J171" s="515">
        <f t="shared" si="26"/>
        <v>554204.06190127321</v>
      </c>
      <c r="K171" s="515">
        <f t="shared" si="26"/>
        <v>565266.30498522264</v>
      </c>
      <c r="L171" s="515">
        <f t="shared" si="26"/>
        <v>572012.87414048251</v>
      </c>
      <c r="M171" s="515">
        <f t="shared" si="26"/>
        <v>578894.37467884785</v>
      </c>
      <c r="N171" s="515">
        <f t="shared" si="26"/>
        <v>585913.50522798067</v>
      </c>
      <c r="O171" s="515">
        <f t="shared" si="26"/>
        <v>643504.47740364878</v>
      </c>
      <c r="P171" s="515">
        <f t="shared" si="26"/>
        <v>655197.68361696845</v>
      </c>
      <c r="Q171" s="515">
        <f t="shared" si="26"/>
        <v>662646.44110875216</v>
      </c>
      <c r="R171" s="515">
        <f t="shared" si="26"/>
        <v>670244.17375037179</v>
      </c>
      <c r="S171" s="515">
        <f t="shared" si="26"/>
        <v>677993.86104482366</v>
      </c>
      <c r="T171" s="515">
        <f t="shared" si="26"/>
        <v>736493.43805988191</v>
      </c>
      <c r="U171" s="515">
        <f t="shared" si="26"/>
        <v>748883.27855186781</v>
      </c>
      <c r="V171" s="515">
        <f t="shared" si="26"/>
        <v>757107.30870623863</v>
      </c>
      <c r="W171" s="515">
        <f t="shared" si="26"/>
        <v>765495.81946369633</v>
      </c>
      <c r="X171" s="515">
        <f t="shared" si="26"/>
        <v>774052.10043630411</v>
      </c>
    </row>
    <row r="172" spans="1:24" ht="16.5" customHeight="1">
      <c r="A172" s="88" t="s">
        <v>128</v>
      </c>
      <c r="B172" s="98"/>
      <c r="C172" s="98"/>
      <c r="D172" s="528">
        <v>0</v>
      </c>
      <c r="E172" s="529">
        <f>E161-E169</f>
        <v>-1029696.0133333332</v>
      </c>
      <c r="F172" s="529">
        <f t="shared" ref="F172:X172" si="27">F161-F169</f>
        <v>-684380.28868960554</v>
      </c>
      <c r="G172" s="529">
        <f t="shared" si="27"/>
        <v>-536505.66886339802</v>
      </c>
      <c r="H172" s="529">
        <f t="shared" si="27"/>
        <v>-529822.52864066581</v>
      </c>
      <c r="I172" s="529">
        <f t="shared" si="27"/>
        <v>-523005.72561347915</v>
      </c>
      <c r="J172" s="529">
        <f t="shared" si="27"/>
        <v>-327458.61809872673</v>
      </c>
      <c r="K172" s="529">
        <f t="shared" si="27"/>
        <v>-316396.3750147773</v>
      </c>
      <c r="L172" s="529">
        <f t="shared" si="27"/>
        <v>-309649.80585951742</v>
      </c>
      <c r="M172" s="529">
        <f t="shared" si="27"/>
        <v>-302768.30532115209</v>
      </c>
      <c r="N172" s="529">
        <f t="shared" si="27"/>
        <v>-295749.17477201927</v>
      </c>
      <c r="O172" s="529">
        <f t="shared" si="27"/>
        <v>-238158.20259635116</v>
      </c>
      <c r="P172" s="529">
        <f t="shared" si="27"/>
        <v>-226464.99638303148</v>
      </c>
      <c r="Q172" s="529">
        <f t="shared" si="27"/>
        <v>-219016.23889124778</v>
      </c>
      <c r="R172" s="529">
        <f t="shared" si="27"/>
        <v>-211418.50624962815</v>
      </c>
      <c r="S172" s="529">
        <f t="shared" si="27"/>
        <v>-203668.81895517628</v>
      </c>
      <c r="T172" s="529">
        <f t="shared" si="27"/>
        <v>-145169.24194011802</v>
      </c>
      <c r="U172" s="529">
        <f t="shared" si="27"/>
        <v>-132779.40144813212</v>
      </c>
      <c r="V172" s="529">
        <f t="shared" si="27"/>
        <v>-124555.3712937613</v>
      </c>
      <c r="W172" s="529">
        <f t="shared" si="27"/>
        <v>-116166.8605363036</v>
      </c>
      <c r="X172" s="529">
        <f t="shared" si="27"/>
        <v>-107610.57956369582</v>
      </c>
    </row>
    <row r="173" spans="1:24" ht="16.5" customHeight="1">
      <c r="A173" s="88"/>
      <c r="B173" s="88"/>
      <c r="C173" s="88"/>
      <c r="D173" s="526"/>
      <c r="E173" s="527"/>
      <c r="F173" s="527"/>
      <c r="G173" s="527"/>
      <c r="H173" s="527"/>
      <c r="I173" s="527"/>
      <c r="J173" s="527"/>
      <c r="K173" s="527"/>
      <c r="L173" s="527"/>
      <c r="M173" s="527"/>
      <c r="N173" s="527"/>
      <c r="O173" s="527"/>
      <c r="P173" s="527"/>
      <c r="Q173" s="527"/>
      <c r="R173" s="527"/>
      <c r="S173" s="527"/>
      <c r="T173" s="527"/>
      <c r="U173" s="527"/>
      <c r="V173" s="527"/>
      <c r="W173" s="527"/>
      <c r="X173" s="527"/>
    </row>
    <row r="174" spans="1:24" ht="16.5" customHeight="1">
      <c r="A174" s="88" t="s">
        <v>129</v>
      </c>
      <c r="B174" s="632">
        <f>NPV(Cost_of_Money__DPC,E161:X161)</f>
        <v>13011961.794114474</v>
      </c>
      <c r="C174" s="88"/>
      <c r="D174" s="526"/>
      <c r="E174" s="527"/>
      <c r="F174" s="527"/>
      <c r="G174" s="527"/>
      <c r="H174" s="527"/>
      <c r="I174" s="527"/>
      <c r="J174" s="527"/>
      <c r="K174" s="527"/>
      <c r="L174" s="527"/>
      <c r="M174" s="527"/>
      <c r="N174" s="527"/>
      <c r="O174" s="527"/>
      <c r="P174" s="527"/>
      <c r="Q174" s="527"/>
      <c r="R174" s="527"/>
      <c r="S174" s="527"/>
      <c r="T174" s="527"/>
      <c r="U174" s="527"/>
      <c r="V174" s="527"/>
      <c r="W174" s="527"/>
      <c r="X174" s="527"/>
    </row>
    <row r="175" spans="1:24" ht="16.5" customHeight="1">
      <c r="A175" s="300" t="s">
        <v>130</v>
      </c>
      <c r="B175" s="733">
        <f>SUM(E172:X172)</f>
        <v>-6580440.7220641226</v>
      </c>
      <c r="C175" s="301"/>
      <c r="D175" s="530">
        <v>0</v>
      </c>
      <c r="E175" s="530">
        <f>E161-E169</f>
        <v>-1029696.0133333332</v>
      </c>
      <c r="F175" s="530">
        <f t="shared" ref="F175:X175" si="28">F161-F169</f>
        <v>-684380.28868960554</v>
      </c>
      <c r="G175" s="530">
        <f t="shared" si="28"/>
        <v>-536505.66886339802</v>
      </c>
      <c r="H175" s="530">
        <f t="shared" si="28"/>
        <v>-529822.52864066581</v>
      </c>
      <c r="I175" s="530">
        <f t="shared" si="28"/>
        <v>-523005.72561347915</v>
      </c>
      <c r="J175" s="530">
        <f t="shared" si="28"/>
        <v>-327458.61809872673</v>
      </c>
      <c r="K175" s="530">
        <f t="shared" si="28"/>
        <v>-316396.3750147773</v>
      </c>
      <c r="L175" s="530">
        <f t="shared" si="28"/>
        <v>-309649.80585951742</v>
      </c>
      <c r="M175" s="530">
        <f t="shared" si="28"/>
        <v>-302768.30532115209</v>
      </c>
      <c r="N175" s="530">
        <f t="shared" si="28"/>
        <v>-295749.17477201927</v>
      </c>
      <c r="O175" s="530">
        <f t="shared" si="28"/>
        <v>-238158.20259635116</v>
      </c>
      <c r="P175" s="530">
        <f t="shared" si="28"/>
        <v>-226464.99638303148</v>
      </c>
      <c r="Q175" s="530">
        <f t="shared" si="28"/>
        <v>-219016.23889124778</v>
      </c>
      <c r="R175" s="530">
        <f t="shared" si="28"/>
        <v>-211418.50624962815</v>
      </c>
      <c r="S175" s="530">
        <f t="shared" si="28"/>
        <v>-203668.81895517628</v>
      </c>
      <c r="T175" s="530">
        <f t="shared" si="28"/>
        <v>-145169.24194011802</v>
      </c>
      <c r="U175" s="530">
        <f t="shared" si="28"/>
        <v>-132779.40144813212</v>
      </c>
      <c r="V175" s="530">
        <f t="shared" si="28"/>
        <v>-124555.3712937613</v>
      </c>
      <c r="W175" s="530">
        <f t="shared" si="28"/>
        <v>-116166.8605363036</v>
      </c>
      <c r="X175" s="530">
        <f t="shared" si="28"/>
        <v>-107610.57956369582</v>
      </c>
    </row>
    <row r="176" spans="1:24" s="58" customFormat="1" ht="16.5" customHeight="1">
      <c r="A176" s="90" t="s">
        <v>32</v>
      </c>
      <c r="B176" s="358" t="e">
        <f>IRR(E175:X175)</f>
        <v>#NUM!</v>
      </c>
      <c r="C176" s="356"/>
      <c r="D176" s="502"/>
      <c r="E176" s="504"/>
      <c r="F176" s="504"/>
      <c r="G176" s="504"/>
      <c r="H176" s="504"/>
      <c r="I176" s="504"/>
      <c r="J176" s="504"/>
      <c r="K176" s="504"/>
      <c r="L176" s="504"/>
      <c r="M176" s="504"/>
      <c r="N176" s="504"/>
      <c r="O176" s="504"/>
      <c r="P176" s="504"/>
      <c r="Q176" s="504"/>
      <c r="R176" s="504"/>
      <c r="S176" s="504"/>
      <c r="T176" s="504"/>
      <c r="U176" s="504"/>
      <c r="V176" s="504"/>
      <c r="W176" s="504"/>
      <c r="X176" s="504"/>
    </row>
    <row r="177" spans="1:24">
      <c r="A177" s="30"/>
      <c r="B177" s="30"/>
      <c r="C177" s="30"/>
      <c r="D177" s="502"/>
      <c r="E177" s="512"/>
      <c r="F177" s="512"/>
      <c r="G177" s="512"/>
      <c r="H177" s="512"/>
      <c r="I177" s="512"/>
      <c r="J177" s="512"/>
      <c r="K177" s="512"/>
      <c r="L177" s="512"/>
      <c r="M177" s="512"/>
      <c r="N177" s="512"/>
      <c r="O177" s="512"/>
      <c r="P177" s="512"/>
      <c r="Q177" s="512"/>
      <c r="R177" s="512"/>
      <c r="S177" s="512"/>
      <c r="T177" s="512"/>
      <c r="U177" s="512"/>
      <c r="V177" s="512"/>
      <c r="W177" s="512"/>
      <c r="X177" s="512"/>
    </row>
    <row r="178" spans="1:24">
      <c r="A178" s="274" t="s">
        <v>28</v>
      </c>
      <c r="B178" s="275"/>
      <c r="C178" s="275"/>
      <c r="D178" s="531"/>
      <c r="E178" s="531"/>
      <c r="F178" s="531"/>
      <c r="G178" s="531"/>
      <c r="H178" s="531"/>
      <c r="I178" s="531"/>
      <c r="J178" s="531"/>
      <c r="K178" s="531"/>
      <c r="L178" s="531"/>
      <c r="M178" s="531"/>
      <c r="N178" s="531"/>
      <c r="O178" s="531"/>
      <c r="P178" s="531"/>
      <c r="Q178" s="531"/>
      <c r="R178" s="531"/>
      <c r="S178" s="531"/>
      <c r="T178" s="531"/>
      <c r="U178" s="531"/>
      <c r="V178" s="531"/>
      <c r="W178" s="531"/>
      <c r="X178" s="531"/>
    </row>
    <row r="179" spans="1:24">
      <c r="A179" s="30"/>
      <c r="B179" s="30"/>
      <c r="C179" s="30"/>
      <c r="D179" s="502"/>
      <c r="E179" s="512"/>
      <c r="F179" s="512"/>
      <c r="G179" s="512"/>
      <c r="H179" s="512"/>
      <c r="I179" s="512"/>
      <c r="J179" s="512"/>
      <c r="K179" s="512"/>
      <c r="L179" s="512"/>
      <c r="M179" s="512"/>
      <c r="N179" s="512"/>
      <c r="O179" s="512"/>
      <c r="P179" s="512"/>
      <c r="Q179" s="512"/>
      <c r="R179" s="512"/>
      <c r="S179" s="512"/>
      <c r="T179" s="512"/>
      <c r="U179" s="512"/>
      <c r="V179" s="512"/>
      <c r="W179" s="512"/>
      <c r="X179" s="512"/>
    </row>
    <row r="180" spans="1:24">
      <c r="A180" s="30" t="s">
        <v>300</v>
      </c>
      <c r="B180" s="30"/>
      <c r="C180" s="87"/>
      <c r="D180" s="502">
        <v>0</v>
      </c>
      <c r="E180" s="512"/>
      <c r="F180" s="512"/>
      <c r="G180" s="512"/>
      <c r="H180" s="512"/>
      <c r="I180" s="512"/>
      <c r="J180" s="512"/>
      <c r="K180" s="512"/>
      <c r="L180" s="512"/>
      <c r="M180" s="512"/>
      <c r="N180" s="512"/>
      <c r="O180" s="512"/>
      <c r="P180" s="512"/>
      <c r="Q180" s="512"/>
      <c r="R180" s="512"/>
      <c r="S180" s="512"/>
      <c r="T180" s="512"/>
      <c r="U180" s="512"/>
      <c r="V180" s="512"/>
      <c r="W180" s="512"/>
      <c r="X180" s="512"/>
    </row>
    <row r="181" spans="1:24">
      <c r="A181" s="30" t="s">
        <v>301</v>
      </c>
      <c r="B181" s="30"/>
      <c r="C181" s="30"/>
      <c r="D181" s="502">
        <v>0</v>
      </c>
      <c r="E181" s="512"/>
      <c r="F181" s="512"/>
      <c r="G181" s="512"/>
      <c r="H181" s="512"/>
      <c r="I181" s="512"/>
      <c r="J181" s="512"/>
      <c r="K181" s="512"/>
      <c r="L181" s="512"/>
      <c r="M181" s="512"/>
      <c r="N181" s="512"/>
      <c r="O181" s="512"/>
      <c r="P181" s="512"/>
      <c r="Q181" s="512"/>
      <c r="R181" s="512"/>
      <c r="S181" s="512"/>
      <c r="T181" s="512"/>
      <c r="U181" s="512"/>
      <c r="V181" s="512"/>
      <c r="W181" s="512"/>
      <c r="X181" s="512"/>
    </row>
    <row r="182" spans="1:24">
      <c r="A182" s="30"/>
      <c r="B182" s="30"/>
      <c r="C182" s="30"/>
      <c r="D182" s="502"/>
      <c r="E182" s="512"/>
      <c r="F182" s="512"/>
      <c r="G182" s="512"/>
      <c r="H182" s="512"/>
      <c r="I182" s="512"/>
      <c r="J182" s="512"/>
      <c r="K182" s="512"/>
      <c r="L182" s="512"/>
      <c r="M182" s="512"/>
      <c r="N182" s="512"/>
      <c r="O182" s="512"/>
      <c r="P182" s="512"/>
      <c r="Q182" s="512"/>
      <c r="R182" s="512"/>
      <c r="S182" s="512"/>
      <c r="T182" s="512"/>
      <c r="U182" s="512"/>
      <c r="V182" s="512"/>
      <c r="W182" s="512"/>
      <c r="X182" s="512"/>
    </row>
    <row r="183" spans="1:24">
      <c r="A183" s="30" t="s">
        <v>298</v>
      </c>
      <c r="B183" s="30"/>
      <c r="C183" s="30"/>
      <c r="D183" s="502">
        <v>0</v>
      </c>
      <c r="E183" s="512"/>
      <c r="F183" s="512"/>
      <c r="G183" s="512"/>
      <c r="H183" s="512"/>
      <c r="I183" s="512"/>
      <c r="J183" s="512"/>
      <c r="K183" s="512"/>
      <c r="L183" s="512"/>
      <c r="M183" s="512"/>
      <c r="N183" s="512"/>
      <c r="O183" s="512"/>
      <c r="P183" s="512"/>
      <c r="Q183" s="512"/>
      <c r="R183" s="512"/>
      <c r="S183" s="512"/>
      <c r="T183" s="512"/>
      <c r="U183" s="512"/>
      <c r="V183" s="512"/>
      <c r="W183" s="512"/>
      <c r="X183" s="512"/>
    </row>
    <row r="184" spans="1:24">
      <c r="A184" s="30" t="s">
        <v>299</v>
      </c>
      <c r="B184" s="30"/>
      <c r="C184" s="30"/>
      <c r="D184" s="502">
        <v>0</v>
      </c>
      <c r="E184" s="512"/>
      <c r="F184" s="512"/>
      <c r="G184" s="512"/>
      <c r="H184" s="512"/>
      <c r="I184" s="512"/>
      <c r="J184" s="512"/>
      <c r="K184" s="512"/>
      <c r="L184" s="512"/>
      <c r="M184" s="512"/>
      <c r="N184" s="512"/>
      <c r="O184" s="512"/>
      <c r="P184" s="512"/>
      <c r="Q184" s="512"/>
      <c r="R184" s="512"/>
      <c r="S184" s="512"/>
      <c r="T184" s="512"/>
      <c r="U184" s="512"/>
      <c r="V184" s="512"/>
      <c r="W184" s="512"/>
      <c r="X184" s="512"/>
    </row>
    <row r="185" spans="1:24">
      <c r="D185" s="502"/>
      <c r="E185" s="532"/>
      <c r="F185" s="532"/>
      <c r="G185" s="532"/>
      <c r="H185" s="532"/>
      <c r="I185" s="532"/>
      <c r="J185" s="532"/>
      <c r="K185" s="532"/>
      <c r="L185" s="532"/>
      <c r="M185" s="532"/>
      <c r="N185" s="532"/>
      <c r="O185" s="532"/>
      <c r="P185" s="532"/>
      <c r="Q185" s="532"/>
      <c r="R185" s="532"/>
      <c r="S185" s="532"/>
      <c r="T185" s="532"/>
      <c r="U185" s="532"/>
      <c r="V185" s="532"/>
      <c r="W185" s="532"/>
      <c r="X185" s="532"/>
    </row>
    <row r="186" spans="1:24">
      <c r="A186" s="131"/>
      <c r="B186" s="131"/>
      <c r="C186" s="131"/>
      <c r="D186" s="493"/>
      <c r="E186" s="334"/>
      <c r="F186" s="334"/>
      <c r="G186" s="334"/>
      <c r="H186" s="334"/>
      <c r="I186" s="334"/>
      <c r="J186" s="334"/>
      <c r="K186" s="334"/>
      <c r="L186" s="334"/>
      <c r="M186" s="334"/>
      <c r="N186" s="334"/>
      <c r="O186" s="334"/>
      <c r="P186" s="334"/>
      <c r="Q186" s="334"/>
      <c r="R186" s="334"/>
      <c r="S186" s="334"/>
      <c r="T186" s="334"/>
      <c r="U186" s="334"/>
      <c r="V186" s="334"/>
      <c r="W186" s="334"/>
      <c r="X186" s="334"/>
    </row>
    <row r="187" spans="1:24">
      <c r="D187" s="494"/>
      <c r="E187" s="327"/>
      <c r="F187" s="327"/>
      <c r="G187" s="327"/>
      <c r="H187" s="327"/>
      <c r="I187" s="327"/>
      <c r="J187" s="327"/>
      <c r="K187" s="327"/>
      <c r="L187" s="327"/>
      <c r="M187" s="327"/>
      <c r="N187" s="327"/>
      <c r="O187" s="327"/>
      <c r="P187" s="327"/>
      <c r="Q187" s="327"/>
      <c r="R187" s="327"/>
      <c r="S187" s="327"/>
      <c r="T187" s="327"/>
      <c r="U187" s="327"/>
      <c r="V187" s="327"/>
      <c r="W187" s="327"/>
      <c r="X187" s="327"/>
    </row>
    <row r="188" spans="1:24">
      <c r="A188"/>
      <c r="D188" s="494"/>
      <c r="E188" s="327"/>
      <c r="F188" s="327"/>
      <c r="G188" s="327"/>
      <c r="H188" s="327"/>
      <c r="I188" s="327"/>
      <c r="J188" s="327"/>
      <c r="K188" s="327"/>
      <c r="L188" s="327"/>
      <c r="M188" s="327"/>
      <c r="N188" s="327"/>
      <c r="O188" s="327"/>
      <c r="P188" s="327"/>
      <c r="Q188" s="327"/>
      <c r="R188" s="327"/>
      <c r="S188" s="327"/>
      <c r="T188" s="327"/>
      <c r="U188" s="327"/>
      <c r="V188" s="327"/>
      <c r="W188" s="327"/>
      <c r="X188" s="327"/>
    </row>
    <row r="189" spans="1:24">
      <c r="A189"/>
      <c r="D189" s="494"/>
      <c r="E189" s="327"/>
      <c r="F189" s="327"/>
      <c r="G189" s="327"/>
      <c r="H189" s="327"/>
      <c r="I189" s="327"/>
      <c r="J189" s="327"/>
      <c r="K189" s="327"/>
      <c r="L189" s="327"/>
      <c r="M189" s="327"/>
      <c r="N189" s="327"/>
      <c r="O189" s="327"/>
      <c r="P189" s="327"/>
      <c r="Q189" s="327"/>
      <c r="R189" s="327"/>
      <c r="S189" s="327"/>
      <c r="T189" s="327"/>
      <c r="U189" s="327"/>
      <c r="V189" s="327"/>
      <c r="W189" s="327"/>
      <c r="X189" s="327"/>
    </row>
    <row r="190" spans="1:24">
      <c r="D190" s="494"/>
      <c r="E190" s="327"/>
      <c r="F190" s="327"/>
      <c r="G190" s="327"/>
      <c r="H190" s="362"/>
      <c r="I190" s="327"/>
      <c r="J190" s="327"/>
      <c r="K190" s="327"/>
      <c r="L190" s="327"/>
      <c r="M190" s="327"/>
      <c r="N190" s="327"/>
      <c r="O190" s="327"/>
      <c r="P190" s="327"/>
      <c r="Q190" s="327"/>
      <c r="R190" s="327"/>
      <c r="S190" s="327"/>
      <c r="T190" s="327"/>
      <c r="U190" s="327"/>
      <c r="V190" s="327"/>
      <c r="W190" s="327"/>
      <c r="X190" s="327"/>
    </row>
    <row r="191" spans="1:24">
      <c r="D191" s="326"/>
      <c r="E191" s="327"/>
      <c r="F191" s="327"/>
      <c r="G191" s="327"/>
      <c r="H191" s="359"/>
      <c r="I191" s="327"/>
      <c r="J191" s="327"/>
      <c r="K191" s="327"/>
      <c r="L191" s="327"/>
      <c r="M191" s="327"/>
      <c r="N191" s="327"/>
      <c r="O191" s="327"/>
      <c r="P191" s="327"/>
      <c r="Q191" s="327"/>
      <c r="R191" s="327"/>
      <c r="S191" s="327"/>
      <c r="T191" s="327"/>
      <c r="U191" s="327"/>
      <c r="V191" s="327"/>
      <c r="W191" s="327"/>
      <c r="X191" s="327"/>
    </row>
    <row r="192" spans="1:24">
      <c r="H192" s="305"/>
    </row>
    <row r="193" spans="8:8">
      <c r="H193" s="30"/>
    </row>
    <row r="194" spans="8:8">
      <c r="H194" s="87"/>
    </row>
    <row r="196" spans="8:8">
      <c r="H196" s="360"/>
    </row>
    <row r="197" spans="8:8">
      <c r="H197" s="361"/>
    </row>
  </sheetData>
  <pageMargins left="0.7" right="0.7" top="0.75" bottom="0.75" header="0.3" footer="0.3"/>
  <pageSetup paperSize="9" scale="2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XFD197"/>
  <sheetViews>
    <sheetView topLeftCell="A73" zoomScale="64" zoomScaleNormal="55" workbookViewId="0">
      <selection activeCell="A118" sqref="A118:XFD118"/>
    </sheetView>
  </sheetViews>
  <sheetFormatPr defaultColWidth="9" defaultRowHeight="16.5"/>
  <cols>
    <col min="1" max="1" width="71.875" style="18" customWidth="1"/>
    <col min="2" max="2" width="17.125" style="18" bestFit="1" customWidth="1"/>
    <col min="3" max="3" width="8" style="18" bestFit="1" customWidth="1"/>
    <col min="4" max="4" width="7.75" style="262" bestFit="1" customWidth="1"/>
    <col min="5" max="7" width="17.125" style="18" bestFit="1" customWidth="1"/>
    <col min="8" max="8" width="16.375" style="18" bestFit="1" customWidth="1"/>
    <col min="9" max="9" width="16.75" style="18" bestFit="1" customWidth="1"/>
    <col min="10" max="10" width="17.125" style="18" bestFit="1" customWidth="1"/>
    <col min="11" max="13" width="16.75" style="18" bestFit="1" customWidth="1"/>
    <col min="14" max="15" width="17.125" style="18" bestFit="1" customWidth="1"/>
    <col min="16" max="19" width="16.75" style="18" bestFit="1" customWidth="1"/>
    <col min="20" max="20" width="17.125" style="18" bestFit="1" customWidth="1"/>
    <col min="21" max="23" width="16.75" style="18" bestFit="1" customWidth="1"/>
    <col min="24" max="24" width="17.125" style="18" bestFit="1" customWidth="1"/>
    <col min="25" max="25" width="22.625" style="18" bestFit="1" customWidth="1"/>
    <col min="26" max="16384" width="9" style="18"/>
  </cols>
  <sheetData>
    <row r="1" spans="1:25" ht="18.75" thickBot="1">
      <c r="A1" s="11" t="str">
        <f>Intro!A1</f>
        <v>Town of Bar Harbor</v>
      </c>
      <c r="B1" s="27"/>
      <c r="C1" s="17"/>
      <c r="D1" s="260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</row>
    <row r="2" spans="1:25" ht="17.25" thickBot="1">
      <c r="A2" s="380" t="str">
        <f>Intro!A2</f>
        <v>Ferry Property Business Plan</v>
      </c>
      <c r="B2" s="13"/>
      <c r="C2" s="17"/>
      <c r="D2" s="260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</row>
    <row r="3" spans="1:25" s="381" customFormat="1" ht="14.25" thickBot="1">
      <c r="A3" s="384" t="str">
        <f>Intro!A3</f>
        <v>05.23.2018</v>
      </c>
      <c r="B3" s="304"/>
      <c r="C3" s="387"/>
      <c r="D3" s="388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7"/>
      <c r="X3" s="387"/>
    </row>
    <row r="4" spans="1:25" s="381" customFormat="1" ht="13.5">
      <c r="A4" s="384" t="str">
        <f ca="1">Intro!A4</f>
        <v>Town of Bar Harbor</v>
      </c>
      <c r="B4" s="382"/>
      <c r="C4" s="383">
        <f ca="1">NOW()</f>
        <v>43242.835659143515</v>
      </c>
      <c r="D4" s="388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  <c r="Q4" s="387"/>
      <c r="R4" s="387"/>
      <c r="S4" s="387"/>
      <c r="T4" s="387"/>
      <c r="U4" s="387"/>
      <c r="V4" s="387"/>
      <c r="W4" s="387"/>
      <c r="X4" s="387"/>
    </row>
    <row r="5" spans="1:25">
      <c r="A5" s="244" t="s">
        <v>343</v>
      </c>
      <c r="B5" s="244"/>
      <c r="C5" s="245"/>
      <c r="D5" s="261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</row>
    <row r="6" spans="1:25">
      <c r="D6" s="485"/>
    </row>
    <row r="7" spans="1:25">
      <c r="A7" s="22"/>
      <c r="B7" s="71"/>
      <c r="C7" s="71"/>
      <c r="D7" s="72">
        <f>'Cruise Projections'!T7</f>
        <v>2018</v>
      </c>
      <c r="E7" s="72">
        <f>'Cruise Projections'!U7</f>
        <v>2019</v>
      </c>
      <c r="F7" s="72">
        <f>'Cruise Projections'!V7</f>
        <v>2020</v>
      </c>
      <c r="G7" s="72">
        <f>'Cruise Projections'!W7</f>
        <v>2021</v>
      </c>
      <c r="H7" s="72">
        <f>'Cruise Projections'!X7</f>
        <v>2022</v>
      </c>
      <c r="I7" s="72">
        <f>'Cruise Projections'!Y7</f>
        <v>2023</v>
      </c>
      <c r="J7" s="72">
        <f>'Cruise Projections'!Z7</f>
        <v>2024</v>
      </c>
      <c r="K7" s="72">
        <f>'Cruise Projections'!AA7</f>
        <v>2025</v>
      </c>
      <c r="L7" s="72">
        <f>'Cruise Projections'!AB7</f>
        <v>2026</v>
      </c>
      <c r="M7" s="72">
        <f>'Cruise Projections'!AC7</f>
        <v>2027</v>
      </c>
      <c r="N7" s="72">
        <f>'Cruise Projections'!AD7</f>
        <v>2028</v>
      </c>
      <c r="O7" s="72">
        <f>'Cruise Projections'!AE7</f>
        <v>2029</v>
      </c>
      <c r="P7" s="72">
        <f>'Cruise Projections'!AF7</f>
        <v>2030</v>
      </c>
      <c r="Q7" s="72">
        <f>'Cruise Projections'!AG7</f>
        <v>2031</v>
      </c>
      <c r="R7" s="72">
        <f>'Cruise Projections'!AH7</f>
        <v>2032</v>
      </c>
      <c r="S7" s="72">
        <f>'Cruise Projections'!AI7</f>
        <v>2033</v>
      </c>
      <c r="T7" s="72">
        <f>'Cruise Projections'!AJ7</f>
        <v>2034</v>
      </c>
      <c r="U7" s="72">
        <f>'Cruise Projections'!AK7</f>
        <v>2035</v>
      </c>
      <c r="V7" s="72">
        <f>'Cruise Projections'!AL7</f>
        <v>2036</v>
      </c>
      <c r="W7" s="72">
        <f>'Cruise Projections'!AM7</f>
        <v>2037</v>
      </c>
      <c r="X7" s="72">
        <f>'Cruise Projections'!AN7</f>
        <v>2038</v>
      </c>
    </row>
    <row r="8" spans="1:25" ht="17.25" thickBot="1">
      <c r="D8" s="488"/>
    </row>
    <row r="9" spans="1:25" ht="17.25" thickBot="1">
      <c r="A9" s="117" t="s">
        <v>34</v>
      </c>
      <c r="B9" s="484" t="str">
        <f>'Cruise Projections'!A95</f>
        <v>Scenario 6 - All</v>
      </c>
      <c r="D9" s="489"/>
      <c r="E9" s="327"/>
      <c r="F9" s="327"/>
      <c r="G9" s="327"/>
      <c r="H9" s="327"/>
      <c r="I9" s="327"/>
      <c r="J9" s="327"/>
      <c r="K9" s="327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</row>
    <row r="10" spans="1:25">
      <c r="D10" s="489"/>
      <c r="E10" s="327"/>
      <c r="F10" s="327"/>
      <c r="G10" s="327"/>
      <c r="H10" s="327"/>
      <c r="I10" s="327"/>
      <c r="J10" s="327"/>
      <c r="K10" s="327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</row>
    <row r="11" spans="1:25" s="279" customFormat="1" ht="14.25">
      <c r="A11" s="279" t="s">
        <v>83</v>
      </c>
      <c r="D11" s="490"/>
      <c r="E11" s="328"/>
      <c r="F11" s="328"/>
      <c r="G11" s="328"/>
      <c r="H11" s="328"/>
      <c r="I11" s="328"/>
      <c r="J11" s="328"/>
      <c r="K11" s="328"/>
      <c r="L11" s="328"/>
      <c r="M11" s="328"/>
      <c r="N11" s="328"/>
      <c r="O11" s="328"/>
      <c r="P11" s="328"/>
      <c r="Q11" s="328"/>
      <c r="R11" s="328"/>
      <c r="S11" s="328"/>
      <c r="T11" s="328"/>
      <c r="U11" s="328"/>
      <c r="V11" s="328"/>
      <c r="W11" s="328"/>
      <c r="X11" s="328"/>
    </row>
    <row r="12" spans="1:25">
      <c r="A12" s="53" t="str">
        <f>'Cruise Projections'!A67</f>
        <v>Passengers</v>
      </c>
      <c r="B12" s="21"/>
      <c r="C12" s="21"/>
      <c r="D12" s="486">
        <f>'Cruise Projections'!T67</f>
        <v>0</v>
      </c>
      <c r="E12" s="313">
        <v>0</v>
      </c>
      <c r="F12" s="313">
        <f>'Cruise Projections'!V97</f>
        <v>261573</v>
      </c>
      <c r="G12" s="313">
        <f>'Cruise Projections'!W97</f>
        <v>261573</v>
      </c>
      <c r="H12" s="313">
        <f>'Cruise Projections'!X97</f>
        <v>261573</v>
      </c>
      <c r="I12" s="313">
        <f>'Cruise Projections'!Y97</f>
        <v>261573</v>
      </c>
      <c r="J12" s="313">
        <f>'Cruise Projections'!Z97</f>
        <v>261573</v>
      </c>
      <c r="K12" s="313">
        <f>'Cruise Projections'!AA97</f>
        <v>261573</v>
      </c>
      <c r="L12" s="313">
        <f>'Cruise Projections'!AB97</f>
        <v>261573</v>
      </c>
      <c r="M12" s="313">
        <f>'Cruise Projections'!AC97</f>
        <v>261573</v>
      </c>
      <c r="N12" s="313">
        <f>'Cruise Projections'!AD97</f>
        <v>261573</v>
      </c>
      <c r="O12" s="313">
        <f>'Cruise Projections'!AE97</f>
        <v>261573</v>
      </c>
      <c r="P12" s="313">
        <f>'Cruise Projections'!AF97</f>
        <v>261573</v>
      </c>
      <c r="Q12" s="313">
        <f>'Cruise Projections'!AG97</f>
        <v>261573</v>
      </c>
      <c r="R12" s="313">
        <f>'Cruise Projections'!AH97</f>
        <v>261573</v>
      </c>
      <c r="S12" s="313">
        <f>'Cruise Projections'!AI97</f>
        <v>261573</v>
      </c>
      <c r="T12" s="313">
        <f>'Cruise Projections'!AJ97</f>
        <v>261573</v>
      </c>
      <c r="U12" s="313">
        <f>'Cruise Projections'!AK97</f>
        <v>261573</v>
      </c>
      <c r="V12" s="313">
        <f>'Cruise Projections'!AL97</f>
        <v>261573</v>
      </c>
      <c r="W12" s="313">
        <f>'Cruise Projections'!AM97</f>
        <v>261573</v>
      </c>
      <c r="X12" s="313">
        <f>'Cruise Projections'!AN97</f>
        <v>261573</v>
      </c>
      <c r="Y12" s="313"/>
    </row>
    <row r="13" spans="1:25">
      <c r="A13" s="53" t="str">
        <f>'Cruise Projections'!A68</f>
        <v>Calls</v>
      </c>
      <c r="B13" s="21"/>
      <c r="C13" s="21"/>
      <c r="D13" s="486">
        <f>'Cruise Projections'!T68</f>
        <v>0</v>
      </c>
      <c r="E13" s="313">
        <v>0</v>
      </c>
      <c r="F13" s="313">
        <f>'Cruise Projections'!V98</f>
        <v>172</v>
      </c>
      <c r="G13" s="313">
        <f>'Cruise Projections'!W98</f>
        <v>172</v>
      </c>
      <c r="H13" s="313">
        <f>'Cruise Projections'!X98</f>
        <v>172</v>
      </c>
      <c r="I13" s="313">
        <f>'Cruise Projections'!Y98</f>
        <v>172</v>
      </c>
      <c r="J13" s="313">
        <f>'Cruise Projections'!Z98</f>
        <v>172</v>
      </c>
      <c r="K13" s="313">
        <f>'Cruise Projections'!AA98</f>
        <v>172</v>
      </c>
      <c r="L13" s="313">
        <f>'Cruise Projections'!AB98</f>
        <v>172</v>
      </c>
      <c r="M13" s="313">
        <f>'Cruise Projections'!AC98</f>
        <v>172</v>
      </c>
      <c r="N13" s="313">
        <f>'Cruise Projections'!AD98</f>
        <v>172</v>
      </c>
      <c r="O13" s="313">
        <f>'Cruise Projections'!AE98</f>
        <v>172</v>
      </c>
      <c r="P13" s="313">
        <f>'Cruise Projections'!AF98</f>
        <v>172</v>
      </c>
      <c r="Q13" s="313">
        <f>'Cruise Projections'!AG98</f>
        <v>172</v>
      </c>
      <c r="R13" s="313">
        <f>'Cruise Projections'!AH98</f>
        <v>172</v>
      </c>
      <c r="S13" s="313">
        <f>'Cruise Projections'!AI98</f>
        <v>172</v>
      </c>
      <c r="T13" s="313">
        <f>'Cruise Projections'!AJ98</f>
        <v>172</v>
      </c>
      <c r="U13" s="313">
        <f>'Cruise Projections'!AK98</f>
        <v>172</v>
      </c>
      <c r="V13" s="313">
        <f>'Cruise Projections'!AL98</f>
        <v>172</v>
      </c>
      <c r="W13" s="313">
        <f>'Cruise Projections'!AM98</f>
        <v>172</v>
      </c>
      <c r="X13" s="313">
        <f>'Cruise Projections'!AN98</f>
        <v>172</v>
      </c>
      <c r="Y13" s="313"/>
    </row>
    <row r="14" spans="1:25">
      <c r="A14" s="53" t="str">
        <f>'Cruise Projections'!A69</f>
        <v>Passengers per Call</v>
      </c>
      <c r="B14" s="21"/>
      <c r="C14" s="21"/>
      <c r="D14" s="486">
        <f>'Cruise Projections'!T69</f>
        <v>0</v>
      </c>
      <c r="E14" s="313">
        <v>0</v>
      </c>
      <c r="F14" s="313">
        <f>'Cruise Projections'!V100</f>
        <v>1520.7732558139535</v>
      </c>
      <c r="G14" s="313">
        <f>'Cruise Projections'!W100</f>
        <v>1520.7732558139535</v>
      </c>
      <c r="H14" s="313">
        <f>'Cruise Projections'!X100</f>
        <v>1520.7732558139535</v>
      </c>
      <c r="I14" s="313">
        <f>'Cruise Projections'!Y100</f>
        <v>1520.7732558139535</v>
      </c>
      <c r="J14" s="313">
        <f>'Cruise Projections'!Z100</f>
        <v>1520.7732558139535</v>
      </c>
      <c r="K14" s="313">
        <f>'Cruise Projections'!AA100</f>
        <v>1520.7732558139535</v>
      </c>
      <c r="L14" s="313">
        <f>'Cruise Projections'!AB100</f>
        <v>1520.7732558139535</v>
      </c>
      <c r="M14" s="313">
        <f>'Cruise Projections'!AC100</f>
        <v>1520.7732558139535</v>
      </c>
      <c r="N14" s="313">
        <f>'Cruise Projections'!AD100</f>
        <v>1520.7732558139535</v>
      </c>
      <c r="O14" s="313">
        <f>'Cruise Projections'!AE100</f>
        <v>1520.7732558139535</v>
      </c>
      <c r="P14" s="313">
        <f>'Cruise Projections'!AF100</f>
        <v>1520.7732558139535</v>
      </c>
      <c r="Q14" s="313">
        <f>'Cruise Projections'!AG100</f>
        <v>1520.7732558139535</v>
      </c>
      <c r="R14" s="313">
        <f>'Cruise Projections'!AH100</f>
        <v>1520.7732558139535</v>
      </c>
      <c r="S14" s="313">
        <f>'Cruise Projections'!AI100</f>
        <v>1520.7732558139535</v>
      </c>
      <c r="T14" s="313">
        <f>'Cruise Projections'!AJ100</f>
        <v>1520.7732558139535</v>
      </c>
      <c r="U14" s="313">
        <f>'Cruise Projections'!AK100</f>
        <v>1520.7732558139535</v>
      </c>
      <c r="V14" s="313">
        <f>'Cruise Projections'!AL100</f>
        <v>1520.7732558139535</v>
      </c>
      <c r="W14" s="313">
        <f>'Cruise Projections'!AM100</f>
        <v>1520.7732558139535</v>
      </c>
      <c r="X14" s="313">
        <f>'Cruise Projections'!AN100</f>
        <v>1520.7732558139535</v>
      </c>
      <c r="Y14" s="313"/>
    </row>
    <row r="15" spans="1:25" s="96" customFormat="1">
      <c r="A15" s="54" t="s">
        <v>313</v>
      </c>
      <c r="B15" s="487"/>
      <c r="C15" s="487"/>
      <c r="D15" s="486">
        <f>'Cruise Projections'!T70</f>
        <v>0</v>
      </c>
      <c r="E15" s="313">
        <v>0</v>
      </c>
      <c r="F15" s="313">
        <f>'Shuttle Projections'!D35</f>
        <v>4120</v>
      </c>
      <c r="G15" s="313">
        <f>'Shuttle Projections'!E35</f>
        <v>4120</v>
      </c>
      <c r="H15" s="313">
        <f>'Shuttle Projections'!F35</f>
        <v>4120</v>
      </c>
      <c r="I15" s="313">
        <f>'Shuttle Projections'!G35</f>
        <v>4120</v>
      </c>
      <c r="J15" s="313">
        <f>'Shuttle Projections'!H35</f>
        <v>4120</v>
      </c>
      <c r="K15" s="313">
        <f>'Shuttle Projections'!I35</f>
        <v>4120</v>
      </c>
      <c r="L15" s="313">
        <f>'Shuttle Projections'!J35</f>
        <v>4120</v>
      </c>
      <c r="M15" s="313">
        <f>'Shuttle Projections'!K35</f>
        <v>4120</v>
      </c>
      <c r="N15" s="313">
        <f>'Shuttle Projections'!L35</f>
        <v>4120</v>
      </c>
      <c r="O15" s="313">
        <f>'Shuttle Projections'!M35</f>
        <v>4120</v>
      </c>
      <c r="P15" s="313">
        <f>'Shuttle Projections'!N35</f>
        <v>4120</v>
      </c>
      <c r="Q15" s="313">
        <f>'Shuttle Projections'!O35</f>
        <v>4120</v>
      </c>
      <c r="R15" s="313">
        <f>'Shuttle Projections'!P35</f>
        <v>4120</v>
      </c>
      <c r="S15" s="313">
        <f>'Shuttle Projections'!Q35</f>
        <v>4120</v>
      </c>
      <c r="T15" s="313">
        <f>'Shuttle Projections'!R35</f>
        <v>4120</v>
      </c>
      <c r="U15" s="313">
        <f>'Shuttle Projections'!S35</f>
        <v>4120</v>
      </c>
      <c r="V15" s="313">
        <f>'Shuttle Projections'!T35</f>
        <v>4120</v>
      </c>
      <c r="W15" s="313">
        <f>'Shuttle Projections'!U35</f>
        <v>4120</v>
      </c>
      <c r="X15" s="313">
        <f>'Shuttle Projections'!V35</f>
        <v>4120</v>
      </c>
      <c r="Y15" s="313"/>
    </row>
    <row r="16" spans="1:25">
      <c r="A16" s="54"/>
      <c r="B16" s="21"/>
      <c r="C16" s="21"/>
      <c r="D16" s="486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</row>
    <row r="17" spans="1:25" s="279" customFormat="1" ht="14.25">
      <c r="A17" s="293" t="s">
        <v>163</v>
      </c>
      <c r="B17" s="294"/>
      <c r="C17" s="294"/>
      <c r="D17" s="491"/>
      <c r="E17" s="329"/>
      <c r="F17" s="329"/>
      <c r="G17" s="329"/>
      <c r="H17" s="329"/>
      <c r="I17" s="329"/>
      <c r="J17" s="329"/>
      <c r="K17" s="329"/>
      <c r="L17" s="329"/>
      <c r="M17" s="329"/>
      <c r="N17" s="329"/>
      <c r="O17" s="329"/>
      <c r="P17" s="329"/>
      <c r="Q17" s="329"/>
      <c r="R17" s="329"/>
      <c r="S17" s="329"/>
      <c r="T17" s="329"/>
      <c r="U17" s="329"/>
      <c r="V17" s="329"/>
      <c r="W17" s="329"/>
      <c r="X17" s="329"/>
    </row>
    <row r="18" spans="1:25" s="96" customFormat="1">
      <c r="A18" s="54" t="str">
        <f>'International Ferry Projections'!A11</f>
        <v>Passengers</v>
      </c>
      <c r="B18" s="487"/>
      <c r="C18" s="487"/>
      <c r="D18" s="486">
        <f>'International Ferry Projections'!B11</f>
        <v>0</v>
      </c>
      <c r="E18" s="313">
        <f>'International Ferry Projections'!C11</f>
        <v>60000</v>
      </c>
      <c r="F18" s="313">
        <f>'International Ferry Projections'!D11</f>
        <v>70000</v>
      </c>
      <c r="G18" s="313">
        <f>'International Ferry Projections'!E11</f>
        <v>80000</v>
      </c>
      <c r="H18" s="313">
        <f>'International Ferry Projections'!F11</f>
        <v>80000</v>
      </c>
      <c r="I18" s="313">
        <f>'International Ferry Projections'!G11</f>
        <v>80000</v>
      </c>
      <c r="J18" s="313">
        <f>'International Ferry Projections'!H11</f>
        <v>80000</v>
      </c>
      <c r="K18" s="313">
        <f>'International Ferry Projections'!I11</f>
        <v>80000</v>
      </c>
      <c r="L18" s="313">
        <f>'International Ferry Projections'!J11</f>
        <v>80000</v>
      </c>
      <c r="M18" s="313">
        <f>'International Ferry Projections'!K11</f>
        <v>80000</v>
      </c>
      <c r="N18" s="313">
        <f>'International Ferry Projections'!L11</f>
        <v>80000</v>
      </c>
      <c r="O18" s="313">
        <f>'International Ferry Projections'!M11</f>
        <v>80000</v>
      </c>
      <c r="P18" s="313">
        <f>'International Ferry Projections'!N11</f>
        <v>80000</v>
      </c>
      <c r="Q18" s="313">
        <f>'International Ferry Projections'!O11</f>
        <v>80000</v>
      </c>
      <c r="R18" s="313">
        <f>'International Ferry Projections'!P11</f>
        <v>80000</v>
      </c>
      <c r="S18" s="313">
        <f>'International Ferry Projections'!Q11</f>
        <v>80000</v>
      </c>
      <c r="T18" s="313">
        <f>'International Ferry Projections'!R11</f>
        <v>80000</v>
      </c>
      <c r="U18" s="313">
        <f>'International Ferry Projections'!S11</f>
        <v>80000</v>
      </c>
      <c r="V18" s="313">
        <f>'International Ferry Projections'!T11</f>
        <v>80000</v>
      </c>
      <c r="W18" s="313">
        <f>'International Ferry Projections'!U11</f>
        <v>80000</v>
      </c>
      <c r="X18" s="313">
        <f>'International Ferry Projections'!V11</f>
        <v>80000</v>
      </c>
    </row>
    <row r="19" spans="1:25" s="96" customFormat="1">
      <c r="A19" s="54" t="str">
        <f>'International Ferry Projections'!A12</f>
        <v>Cars</v>
      </c>
      <c r="B19" s="487"/>
      <c r="C19" s="487"/>
      <c r="D19" s="486">
        <f>'International Ferry Projections'!B12</f>
        <v>0</v>
      </c>
      <c r="E19" s="313">
        <f>'International Ferry Projections'!C12</f>
        <v>24000</v>
      </c>
      <c r="F19" s="313">
        <f>'International Ferry Projections'!D12</f>
        <v>28000</v>
      </c>
      <c r="G19" s="313">
        <f>'International Ferry Projections'!E12</f>
        <v>32000</v>
      </c>
      <c r="H19" s="313">
        <f>'International Ferry Projections'!F12</f>
        <v>32000</v>
      </c>
      <c r="I19" s="313">
        <f>'International Ferry Projections'!G12</f>
        <v>32000</v>
      </c>
      <c r="J19" s="313">
        <f>'International Ferry Projections'!H12</f>
        <v>32000</v>
      </c>
      <c r="K19" s="313">
        <f>'International Ferry Projections'!I12</f>
        <v>32000</v>
      </c>
      <c r="L19" s="313">
        <f>'International Ferry Projections'!J12</f>
        <v>32000</v>
      </c>
      <c r="M19" s="313">
        <f>'International Ferry Projections'!K12</f>
        <v>32000</v>
      </c>
      <c r="N19" s="313">
        <f>'International Ferry Projections'!L12</f>
        <v>32000</v>
      </c>
      <c r="O19" s="313">
        <f>'International Ferry Projections'!M12</f>
        <v>32000</v>
      </c>
      <c r="P19" s="313">
        <f>'International Ferry Projections'!N12</f>
        <v>32000</v>
      </c>
      <c r="Q19" s="313">
        <f>'International Ferry Projections'!O12</f>
        <v>32000</v>
      </c>
      <c r="R19" s="313">
        <f>'International Ferry Projections'!P12</f>
        <v>32000</v>
      </c>
      <c r="S19" s="313">
        <f>'International Ferry Projections'!Q12</f>
        <v>32000</v>
      </c>
      <c r="T19" s="313">
        <f>'International Ferry Projections'!R12</f>
        <v>32000</v>
      </c>
      <c r="U19" s="313">
        <f>'International Ferry Projections'!S12</f>
        <v>32000</v>
      </c>
      <c r="V19" s="313">
        <f>'International Ferry Projections'!T12</f>
        <v>32000</v>
      </c>
      <c r="W19" s="313">
        <f>'International Ferry Projections'!U12</f>
        <v>32000</v>
      </c>
      <c r="X19" s="313">
        <f>'International Ferry Projections'!V12</f>
        <v>32000</v>
      </c>
    </row>
    <row r="20" spans="1:25" s="96" customFormat="1">
      <c r="A20" s="54" t="str">
        <f>'International Ferry Projections'!A13</f>
        <v>Buses</v>
      </c>
      <c r="B20" s="487"/>
      <c r="C20" s="487"/>
      <c r="D20" s="486">
        <f>'International Ferry Projections'!B13</f>
        <v>0</v>
      </c>
      <c r="E20" s="313">
        <f>'International Ferry Projections'!C13</f>
        <v>40</v>
      </c>
      <c r="F20" s="313">
        <f>'International Ferry Projections'!D13</f>
        <v>50</v>
      </c>
      <c r="G20" s="313">
        <f>'International Ferry Projections'!E13</f>
        <v>60</v>
      </c>
      <c r="H20" s="313">
        <f>'International Ferry Projections'!F13</f>
        <v>60</v>
      </c>
      <c r="I20" s="313">
        <f>'International Ferry Projections'!G13</f>
        <v>60</v>
      </c>
      <c r="J20" s="313">
        <f>'International Ferry Projections'!H13</f>
        <v>60</v>
      </c>
      <c r="K20" s="313">
        <f>'International Ferry Projections'!I13</f>
        <v>60</v>
      </c>
      <c r="L20" s="313">
        <f>'International Ferry Projections'!J13</f>
        <v>60</v>
      </c>
      <c r="M20" s="313">
        <f>'International Ferry Projections'!K13</f>
        <v>60</v>
      </c>
      <c r="N20" s="313">
        <f>'International Ferry Projections'!L13</f>
        <v>60</v>
      </c>
      <c r="O20" s="313">
        <f>'International Ferry Projections'!M13</f>
        <v>60</v>
      </c>
      <c r="P20" s="313">
        <f>'International Ferry Projections'!N13</f>
        <v>60</v>
      </c>
      <c r="Q20" s="313">
        <f>'International Ferry Projections'!O13</f>
        <v>60</v>
      </c>
      <c r="R20" s="313">
        <f>'International Ferry Projections'!P13</f>
        <v>60</v>
      </c>
      <c r="S20" s="313">
        <f>'International Ferry Projections'!Q13</f>
        <v>60</v>
      </c>
      <c r="T20" s="313">
        <f>'International Ferry Projections'!R13</f>
        <v>60</v>
      </c>
      <c r="U20" s="313">
        <f>'International Ferry Projections'!S13</f>
        <v>60</v>
      </c>
      <c r="V20" s="313">
        <f>'International Ferry Projections'!T13</f>
        <v>60</v>
      </c>
      <c r="W20" s="313">
        <f>'International Ferry Projections'!U13</f>
        <v>60</v>
      </c>
      <c r="X20" s="313">
        <f>'International Ferry Projections'!V13</f>
        <v>60</v>
      </c>
    </row>
    <row r="21" spans="1:25">
      <c r="A21" s="54"/>
      <c r="B21" s="21"/>
      <c r="C21" s="21"/>
      <c r="D21" s="486"/>
      <c r="E21" s="313"/>
      <c r="F21" s="313"/>
      <c r="G21" s="313"/>
      <c r="H21" s="313"/>
      <c r="I21" s="313"/>
      <c r="J21" s="313"/>
      <c r="K21" s="313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</row>
    <row r="22" spans="1:25" s="582" customFormat="1">
      <c r="A22" s="293" t="str">
        <f>'BH Tariffs'!A30</f>
        <v>Local Ferry</v>
      </c>
      <c r="B22" s="581"/>
      <c r="C22" s="581"/>
      <c r="D22" s="486">
        <v>0</v>
      </c>
      <c r="E22" s="329"/>
      <c r="F22" s="329"/>
      <c r="G22" s="329"/>
      <c r="H22" s="329"/>
      <c r="I22" s="329"/>
      <c r="J22" s="329"/>
      <c r="K22" s="329"/>
      <c r="L22" s="329"/>
      <c r="M22" s="329"/>
      <c r="N22" s="329"/>
      <c r="O22" s="329"/>
      <c r="P22" s="329"/>
      <c r="Q22" s="329"/>
      <c r="R22" s="329"/>
      <c r="S22" s="329"/>
      <c r="T22" s="329"/>
      <c r="U22" s="329"/>
      <c r="V22" s="329"/>
      <c r="W22" s="329"/>
      <c r="X22" s="329"/>
    </row>
    <row r="23" spans="1:25" s="96" customFormat="1">
      <c r="A23" s="54" t="str">
        <f>'BH Tariffs'!A31</f>
        <v>Dock Rent (6 Months Only)</v>
      </c>
      <c r="B23" s="487"/>
      <c r="C23" s="487"/>
      <c r="D23" s="486">
        <v>0</v>
      </c>
      <c r="E23" s="623" t="s">
        <v>286</v>
      </c>
      <c r="F23" s="623" t="s">
        <v>286</v>
      </c>
      <c r="G23" s="623" t="s">
        <v>286</v>
      </c>
      <c r="H23" s="623" t="s">
        <v>286</v>
      </c>
      <c r="I23" s="623" t="s">
        <v>286</v>
      </c>
      <c r="J23" s="623" t="s">
        <v>286</v>
      </c>
      <c r="K23" s="623" t="s">
        <v>286</v>
      </c>
      <c r="L23" s="623" t="s">
        <v>286</v>
      </c>
      <c r="M23" s="623" t="s">
        <v>286</v>
      </c>
      <c r="N23" s="623" t="s">
        <v>286</v>
      </c>
      <c r="O23" s="623" t="s">
        <v>286</v>
      </c>
      <c r="P23" s="623" t="s">
        <v>286</v>
      </c>
      <c r="Q23" s="623" t="s">
        <v>286</v>
      </c>
      <c r="R23" s="623" t="s">
        <v>286</v>
      </c>
      <c r="S23" s="623" t="s">
        <v>286</v>
      </c>
      <c r="T23" s="623" t="s">
        <v>286</v>
      </c>
      <c r="U23" s="623" t="s">
        <v>286</v>
      </c>
      <c r="V23" s="623" t="s">
        <v>286</v>
      </c>
      <c r="W23" s="623" t="s">
        <v>286</v>
      </c>
      <c r="X23" s="623" t="s">
        <v>286</v>
      </c>
    </row>
    <row r="24" spans="1:25" s="341" customFormat="1">
      <c r="A24" s="552"/>
      <c r="B24" s="553"/>
      <c r="C24" s="553"/>
      <c r="D24" s="554"/>
      <c r="E24" s="555"/>
      <c r="F24" s="555"/>
      <c r="G24" s="555"/>
      <c r="H24" s="555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</row>
    <row r="25" spans="1:25" s="96" customFormat="1">
      <c r="A25" s="559" t="s">
        <v>227</v>
      </c>
      <c r="B25" s="487"/>
      <c r="C25" s="487"/>
      <c r="D25" s="486"/>
      <c r="E25" s="313"/>
      <c r="F25" s="313"/>
      <c r="G25" s="313"/>
      <c r="H25" s="313"/>
      <c r="I25" s="313"/>
      <c r="J25" s="313"/>
      <c r="K25" s="313"/>
      <c r="L25" s="313"/>
      <c r="M25" s="313"/>
      <c r="N25" s="313"/>
      <c r="O25" s="313"/>
      <c r="P25" s="313"/>
      <c r="Q25" s="313"/>
      <c r="R25" s="313"/>
      <c r="S25" s="313"/>
      <c r="T25" s="313"/>
      <c r="U25" s="313"/>
      <c r="V25" s="313"/>
      <c r="W25" s="313"/>
      <c r="X25" s="313"/>
    </row>
    <row r="26" spans="1:25">
      <c r="A26" s="54"/>
      <c r="B26" s="21"/>
      <c r="C26" s="21"/>
      <c r="D26" s="486"/>
      <c r="E26" s="313"/>
      <c r="F26" s="313"/>
      <c r="G26" s="313"/>
      <c r="H26" s="313"/>
      <c r="I26" s="313"/>
      <c r="J26" s="313"/>
      <c r="K26" s="313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</row>
    <row r="27" spans="1:25">
      <c r="A27" s="54" t="s">
        <v>420</v>
      </c>
      <c r="B27" s="21"/>
      <c r="C27" s="21"/>
      <c r="D27" s="486">
        <v>0</v>
      </c>
      <c r="E27" s="313">
        <f>'Marina Projections'!C9</f>
        <v>0</v>
      </c>
      <c r="F27" s="313">
        <f>'Marina Projections'!D9</f>
        <v>214</v>
      </c>
      <c r="G27" s="313">
        <f>'Marina Projections'!E9</f>
        <v>214</v>
      </c>
      <c r="H27" s="313">
        <f>'Marina Projections'!F9</f>
        <v>214</v>
      </c>
      <c r="I27" s="313">
        <f>'Marina Projections'!G9</f>
        <v>214</v>
      </c>
      <c r="J27" s="313">
        <f>'Marina Projections'!H9</f>
        <v>214</v>
      </c>
      <c r="K27" s="313">
        <f>'Marina Projections'!I9</f>
        <v>214</v>
      </c>
      <c r="L27" s="313">
        <f>'Marina Projections'!J9</f>
        <v>214</v>
      </c>
      <c r="M27" s="313">
        <f>'Marina Projections'!K9</f>
        <v>214</v>
      </c>
      <c r="N27" s="313">
        <f>'Marina Projections'!L9</f>
        <v>214</v>
      </c>
      <c r="O27" s="313">
        <f>'Marina Projections'!M9</f>
        <v>214</v>
      </c>
      <c r="P27" s="313">
        <f>'Marina Projections'!N9</f>
        <v>214</v>
      </c>
      <c r="Q27" s="313">
        <f>'Marina Projections'!O9</f>
        <v>214</v>
      </c>
      <c r="R27" s="313">
        <f>'Marina Projections'!P9</f>
        <v>214</v>
      </c>
      <c r="S27" s="313">
        <f>'Marina Projections'!Q9</f>
        <v>214</v>
      </c>
      <c r="T27" s="313">
        <f>'Marina Projections'!R9</f>
        <v>214</v>
      </c>
      <c r="U27" s="313">
        <f>'Marina Projections'!S9</f>
        <v>214</v>
      </c>
      <c r="V27" s="313">
        <f>'Marina Projections'!T9</f>
        <v>214</v>
      </c>
      <c r="W27" s="313">
        <f>'Marina Projections'!U9</f>
        <v>214</v>
      </c>
      <c r="X27" s="313">
        <f>'Marina Projections'!V9</f>
        <v>214</v>
      </c>
    </row>
    <row r="28" spans="1:25">
      <c r="A28" s="54" t="s">
        <v>205</v>
      </c>
      <c r="B28" s="21"/>
      <c r="C28" s="21"/>
      <c r="D28" s="486">
        <v>0</v>
      </c>
      <c r="E28" s="330">
        <v>0</v>
      </c>
      <c r="F28" s="330">
        <f>'Cruise Projections'!V99</f>
        <v>106</v>
      </c>
      <c r="G28" s="330">
        <f>'Cruise Projections'!W99</f>
        <v>106</v>
      </c>
      <c r="H28" s="330">
        <f>'Cruise Projections'!X99</f>
        <v>106</v>
      </c>
      <c r="I28" s="330">
        <f>'Cruise Projections'!Y99</f>
        <v>106</v>
      </c>
      <c r="J28" s="330">
        <f>'Cruise Projections'!Z99</f>
        <v>106</v>
      </c>
      <c r="K28" s="330">
        <f>'Cruise Projections'!AA99</f>
        <v>106</v>
      </c>
      <c r="L28" s="330">
        <f>'Cruise Projections'!AB99</f>
        <v>106</v>
      </c>
      <c r="M28" s="330">
        <f>'Cruise Projections'!AC99</f>
        <v>106</v>
      </c>
      <c r="N28" s="330">
        <f>'Cruise Projections'!AD99</f>
        <v>106</v>
      </c>
      <c r="O28" s="330">
        <f>'Cruise Projections'!AE99</f>
        <v>106</v>
      </c>
      <c r="P28" s="330">
        <f>'Cruise Projections'!AF99</f>
        <v>106</v>
      </c>
      <c r="Q28" s="330">
        <f>'Cruise Projections'!AG99</f>
        <v>106</v>
      </c>
      <c r="R28" s="330">
        <f>'Cruise Projections'!AH99</f>
        <v>106</v>
      </c>
      <c r="S28" s="330">
        <f>'Cruise Projections'!AI99</f>
        <v>106</v>
      </c>
      <c r="T28" s="330">
        <f>'Cruise Projections'!AJ99</f>
        <v>106</v>
      </c>
      <c r="U28" s="330">
        <f>'Cruise Projections'!AK99</f>
        <v>106</v>
      </c>
      <c r="V28" s="330">
        <f>'Cruise Projections'!AL99</f>
        <v>106</v>
      </c>
      <c r="W28" s="330">
        <f>'Cruise Projections'!AM99</f>
        <v>106</v>
      </c>
      <c r="X28" s="330">
        <f>'Cruise Projections'!AN99</f>
        <v>106</v>
      </c>
      <c r="Y28" s="32"/>
    </row>
    <row r="29" spans="1:25">
      <c r="A29" s="54" t="s">
        <v>219</v>
      </c>
      <c r="B29" s="21"/>
      <c r="C29" s="21"/>
      <c r="D29" s="486">
        <v>0</v>
      </c>
      <c r="E29" s="330">
        <v>150</v>
      </c>
      <c r="F29" s="330">
        <f>E29</f>
        <v>150</v>
      </c>
      <c r="G29" s="330">
        <f t="shared" ref="G29:X29" si="0">F29</f>
        <v>150</v>
      </c>
      <c r="H29" s="330">
        <f t="shared" si="0"/>
        <v>150</v>
      </c>
      <c r="I29" s="330">
        <f t="shared" si="0"/>
        <v>150</v>
      </c>
      <c r="J29" s="330">
        <f t="shared" si="0"/>
        <v>150</v>
      </c>
      <c r="K29" s="330">
        <f t="shared" si="0"/>
        <v>150</v>
      </c>
      <c r="L29" s="330">
        <f t="shared" si="0"/>
        <v>150</v>
      </c>
      <c r="M29" s="330">
        <f t="shared" si="0"/>
        <v>150</v>
      </c>
      <c r="N29" s="330">
        <f t="shared" si="0"/>
        <v>150</v>
      </c>
      <c r="O29" s="330">
        <f t="shared" si="0"/>
        <v>150</v>
      </c>
      <c r="P29" s="330">
        <f t="shared" si="0"/>
        <v>150</v>
      </c>
      <c r="Q29" s="330">
        <f t="shared" si="0"/>
        <v>150</v>
      </c>
      <c r="R29" s="330">
        <f t="shared" si="0"/>
        <v>150</v>
      </c>
      <c r="S29" s="330">
        <f t="shared" si="0"/>
        <v>150</v>
      </c>
      <c r="T29" s="330">
        <f t="shared" si="0"/>
        <v>150</v>
      </c>
      <c r="U29" s="330">
        <f t="shared" si="0"/>
        <v>150</v>
      </c>
      <c r="V29" s="330">
        <f t="shared" si="0"/>
        <v>150</v>
      </c>
      <c r="W29" s="330">
        <f t="shared" si="0"/>
        <v>150</v>
      </c>
      <c r="X29" s="330">
        <f t="shared" si="0"/>
        <v>150</v>
      </c>
      <c r="Y29" s="32"/>
    </row>
    <row r="30" spans="1:25">
      <c r="A30" s="54" t="s">
        <v>220</v>
      </c>
      <c r="B30" s="21"/>
      <c r="C30" s="21"/>
      <c r="D30" s="486">
        <v>0</v>
      </c>
      <c r="E30" s="495">
        <f>E28/E29</f>
        <v>0</v>
      </c>
      <c r="F30" s="495">
        <f t="shared" ref="F30:X30" si="1">F28/F29</f>
        <v>0.70666666666666667</v>
      </c>
      <c r="G30" s="495">
        <f t="shared" si="1"/>
        <v>0.70666666666666667</v>
      </c>
      <c r="H30" s="495">
        <f t="shared" si="1"/>
        <v>0.70666666666666667</v>
      </c>
      <c r="I30" s="495">
        <f t="shared" si="1"/>
        <v>0.70666666666666667</v>
      </c>
      <c r="J30" s="495">
        <f t="shared" si="1"/>
        <v>0.70666666666666667</v>
      </c>
      <c r="K30" s="495">
        <f t="shared" si="1"/>
        <v>0.70666666666666667</v>
      </c>
      <c r="L30" s="495">
        <f t="shared" si="1"/>
        <v>0.70666666666666667</v>
      </c>
      <c r="M30" s="495">
        <f t="shared" si="1"/>
        <v>0.70666666666666667</v>
      </c>
      <c r="N30" s="495">
        <f t="shared" si="1"/>
        <v>0.70666666666666667</v>
      </c>
      <c r="O30" s="495">
        <f t="shared" si="1"/>
        <v>0.70666666666666667</v>
      </c>
      <c r="P30" s="495">
        <f t="shared" si="1"/>
        <v>0.70666666666666667</v>
      </c>
      <c r="Q30" s="495">
        <f t="shared" si="1"/>
        <v>0.70666666666666667</v>
      </c>
      <c r="R30" s="495">
        <f t="shared" si="1"/>
        <v>0.70666666666666667</v>
      </c>
      <c r="S30" s="495">
        <f t="shared" si="1"/>
        <v>0.70666666666666667</v>
      </c>
      <c r="T30" s="495">
        <f t="shared" si="1"/>
        <v>0.70666666666666667</v>
      </c>
      <c r="U30" s="495">
        <f t="shared" si="1"/>
        <v>0.70666666666666667</v>
      </c>
      <c r="V30" s="495">
        <f t="shared" si="1"/>
        <v>0.70666666666666667</v>
      </c>
      <c r="W30" s="495">
        <f t="shared" si="1"/>
        <v>0.70666666666666667</v>
      </c>
      <c r="X30" s="495">
        <f t="shared" si="1"/>
        <v>0.70666666666666667</v>
      </c>
      <c r="Y30" s="32"/>
    </row>
    <row r="31" spans="1:25" s="96" customFormat="1">
      <c r="A31" s="54" t="s">
        <v>226</v>
      </c>
      <c r="B31" s="487"/>
      <c r="C31" s="487"/>
      <c r="D31" s="486">
        <v>0</v>
      </c>
      <c r="E31" s="330">
        <v>0</v>
      </c>
      <c r="F31" s="330">
        <v>125</v>
      </c>
      <c r="G31" s="330">
        <v>125</v>
      </c>
      <c r="H31" s="330">
        <v>125</v>
      </c>
      <c r="I31" s="330">
        <v>125</v>
      </c>
      <c r="J31" s="330">
        <v>125</v>
      </c>
      <c r="K31" s="330">
        <v>125</v>
      </c>
      <c r="L31" s="330">
        <v>125</v>
      </c>
      <c r="M31" s="330">
        <v>125</v>
      </c>
      <c r="N31" s="330">
        <v>125</v>
      </c>
      <c r="O31" s="330">
        <v>125</v>
      </c>
      <c r="P31" s="330">
        <v>125</v>
      </c>
      <c r="Q31" s="330">
        <v>125</v>
      </c>
      <c r="R31" s="330">
        <v>125</v>
      </c>
      <c r="S31" s="330">
        <v>125</v>
      </c>
      <c r="T31" s="330">
        <v>125</v>
      </c>
      <c r="U31" s="330">
        <v>125</v>
      </c>
      <c r="V31" s="330">
        <v>125</v>
      </c>
      <c r="W31" s="330">
        <v>125</v>
      </c>
      <c r="X31" s="330">
        <v>125</v>
      </c>
      <c r="Y31" s="58"/>
    </row>
    <row r="32" spans="1:25">
      <c r="A32" s="54"/>
      <c r="B32" s="21"/>
      <c r="C32" s="21"/>
      <c r="D32" s="486"/>
      <c r="E32" s="495"/>
      <c r="F32" s="495"/>
      <c r="G32" s="495"/>
      <c r="H32" s="495"/>
      <c r="I32" s="495"/>
      <c r="J32" s="495"/>
      <c r="K32" s="495"/>
      <c r="L32" s="495"/>
      <c r="M32" s="495"/>
      <c r="N32" s="495"/>
      <c r="O32" s="495"/>
      <c r="P32" s="495"/>
      <c r="Q32" s="495"/>
      <c r="R32" s="495"/>
      <c r="S32" s="495"/>
      <c r="T32" s="495"/>
      <c r="U32" s="495"/>
      <c r="V32" s="495"/>
      <c r="W32" s="495"/>
      <c r="X32" s="495"/>
      <c r="Y32" s="32"/>
    </row>
    <row r="33" spans="1:24">
      <c r="A33" s="54" t="s">
        <v>206</v>
      </c>
      <c r="B33" s="21"/>
      <c r="C33" s="21"/>
      <c r="D33" s="486">
        <v>0</v>
      </c>
      <c r="E33" s="313">
        <v>0</v>
      </c>
      <c r="F33" s="313">
        <f t="shared" ref="F33:X33" si="2">F12/F28</f>
        <v>2467.6698113207549</v>
      </c>
      <c r="G33" s="313">
        <f t="shared" si="2"/>
        <v>2467.6698113207549</v>
      </c>
      <c r="H33" s="313">
        <f t="shared" si="2"/>
        <v>2467.6698113207549</v>
      </c>
      <c r="I33" s="313">
        <f t="shared" si="2"/>
        <v>2467.6698113207549</v>
      </c>
      <c r="J33" s="313">
        <f t="shared" si="2"/>
        <v>2467.6698113207549</v>
      </c>
      <c r="K33" s="313">
        <f t="shared" si="2"/>
        <v>2467.6698113207549</v>
      </c>
      <c r="L33" s="313">
        <f t="shared" si="2"/>
        <v>2467.6698113207549</v>
      </c>
      <c r="M33" s="313">
        <f t="shared" si="2"/>
        <v>2467.6698113207549</v>
      </c>
      <c r="N33" s="313">
        <f t="shared" si="2"/>
        <v>2467.6698113207549</v>
      </c>
      <c r="O33" s="313">
        <f t="shared" si="2"/>
        <v>2467.6698113207549</v>
      </c>
      <c r="P33" s="313">
        <f t="shared" si="2"/>
        <v>2467.6698113207549</v>
      </c>
      <c r="Q33" s="313">
        <f t="shared" si="2"/>
        <v>2467.6698113207549</v>
      </c>
      <c r="R33" s="313">
        <f t="shared" si="2"/>
        <v>2467.6698113207549</v>
      </c>
      <c r="S33" s="313">
        <f t="shared" si="2"/>
        <v>2467.6698113207549</v>
      </c>
      <c r="T33" s="313">
        <f t="shared" si="2"/>
        <v>2467.6698113207549</v>
      </c>
      <c r="U33" s="313">
        <f t="shared" si="2"/>
        <v>2467.6698113207549</v>
      </c>
      <c r="V33" s="313">
        <f t="shared" si="2"/>
        <v>2467.6698113207549</v>
      </c>
      <c r="W33" s="313">
        <f t="shared" si="2"/>
        <v>2467.6698113207549</v>
      </c>
      <c r="X33" s="313">
        <f t="shared" si="2"/>
        <v>2467.6698113207549</v>
      </c>
    </row>
    <row r="34" spans="1:24">
      <c r="A34" s="54" t="s">
        <v>207</v>
      </c>
      <c r="B34" s="21"/>
      <c r="C34" s="21"/>
      <c r="D34" s="486">
        <v>0</v>
      </c>
      <c r="E34" s="313">
        <v>0</v>
      </c>
      <c r="F34" s="313">
        <v>5500</v>
      </c>
      <c r="G34" s="313">
        <v>5500</v>
      </c>
      <c r="H34" s="313">
        <v>5500</v>
      </c>
      <c r="I34" s="313">
        <v>5500</v>
      </c>
      <c r="J34" s="313">
        <v>5500</v>
      </c>
      <c r="K34" s="313">
        <v>5500</v>
      </c>
      <c r="L34" s="313">
        <v>5500</v>
      </c>
      <c r="M34" s="313">
        <v>5500</v>
      </c>
      <c r="N34" s="313">
        <v>5500</v>
      </c>
      <c r="O34" s="313">
        <v>5500</v>
      </c>
      <c r="P34" s="313">
        <v>5500</v>
      </c>
      <c r="Q34" s="313">
        <v>5500</v>
      </c>
      <c r="R34" s="313">
        <v>5500</v>
      </c>
      <c r="S34" s="313">
        <v>5500</v>
      </c>
      <c r="T34" s="313">
        <v>5500</v>
      </c>
      <c r="U34" s="313">
        <v>5500</v>
      </c>
      <c r="V34" s="313">
        <v>5500</v>
      </c>
      <c r="W34" s="313">
        <v>5500</v>
      </c>
      <c r="X34" s="313">
        <v>5500</v>
      </c>
    </row>
    <row r="35" spans="1:24">
      <c r="A35" s="54" t="s">
        <v>221</v>
      </c>
      <c r="B35" s="21"/>
      <c r="C35" s="21"/>
      <c r="D35" s="486">
        <v>0</v>
      </c>
      <c r="E35" s="330">
        <f>E18/E29</f>
        <v>400</v>
      </c>
      <c r="F35" s="330">
        <f t="shared" ref="F35:X35" si="3">F18/F29</f>
        <v>466.66666666666669</v>
      </c>
      <c r="G35" s="330">
        <f t="shared" si="3"/>
        <v>533.33333333333337</v>
      </c>
      <c r="H35" s="330">
        <f t="shared" si="3"/>
        <v>533.33333333333337</v>
      </c>
      <c r="I35" s="330">
        <f t="shared" si="3"/>
        <v>533.33333333333337</v>
      </c>
      <c r="J35" s="330">
        <f t="shared" si="3"/>
        <v>533.33333333333337</v>
      </c>
      <c r="K35" s="330">
        <f t="shared" si="3"/>
        <v>533.33333333333337</v>
      </c>
      <c r="L35" s="330">
        <f t="shared" si="3"/>
        <v>533.33333333333337</v>
      </c>
      <c r="M35" s="330">
        <f t="shared" si="3"/>
        <v>533.33333333333337</v>
      </c>
      <c r="N35" s="330">
        <f t="shared" si="3"/>
        <v>533.33333333333337</v>
      </c>
      <c r="O35" s="330">
        <f t="shared" si="3"/>
        <v>533.33333333333337</v>
      </c>
      <c r="P35" s="330">
        <f t="shared" si="3"/>
        <v>533.33333333333337</v>
      </c>
      <c r="Q35" s="330">
        <f t="shared" si="3"/>
        <v>533.33333333333337</v>
      </c>
      <c r="R35" s="330">
        <f t="shared" si="3"/>
        <v>533.33333333333337</v>
      </c>
      <c r="S35" s="330">
        <f t="shared" si="3"/>
        <v>533.33333333333337</v>
      </c>
      <c r="T35" s="330">
        <f t="shared" si="3"/>
        <v>533.33333333333337</v>
      </c>
      <c r="U35" s="330">
        <f t="shared" si="3"/>
        <v>533.33333333333337</v>
      </c>
      <c r="V35" s="330">
        <f t="shared" si="3"/>
        <v>533.33333333333337</v>
      </c>
      <c r="W35" s="330">
        <f t="shared" si="3"/>
        <v>533.33333333333337</v>
      </c>
      <c r="X35" s="330">
        <f t="shared" si="3"/>
        <v>533.33333333333337</v>
      </c>
    </row>
    <row r="36" spans="1:24">
      <c r="A36" s="54" t="s">
        <v>222</v>
      </c>
      <c r="B36" s="21"/>
      <c r="C36" s="21"/>
      <c r="D36" s="486">
        <v>0</v>
      </c>
      <c r="E36" s="330">
        <v>800</v>
      </c>
      <c r="F36" s="330">
        <v>800</v>
      </c>
      <c r="G36" s="330">
        <v>800</v>
      </c>
      <c r="H36" s="330">
        <v>800</v>
      </c>
      <c r="I36" s="330">
        <v>800</v>
      </c>
      <c r="J36" s="330">
        <v>800</v>
      </c>
      <c r="K36" s="330">
        <v>800</v>
      </c>
      <c r="L36" s="330">
        <v>800</v>
      </c>
      <c r="M36" s="330">
        <v>800</v>
      </c>
      <c r="N36" s="330">
        <v>800</v>
      </c>
      <c r="O36" s="330">
        <v>800</v>
      </c>
      <c r="P36" s="330">
        <v>800</v>
      </c>
      <c r="Q36" s="330">
        <v>800</v>
      </c>
      <c r="R36" s="330">
        <v>800</v>
      </c>
      <c r="S36" s="330">
        <v>800</v>
      </c>
      <c r="T36" s="330">
        <v>800</v>
      </c>
      <c r="U36" s="330">
        <v>800</v>
      </c>
      <c r="V36" s="330">
        <v>800</v>
      </c>
      <c r="W36" s="330">
        <v>800</v>
      </c>
      <c r="X36" s="330">
        <v>800</v>
      </c>
    </row>
    <row r="37" spans="1:24">
      <c r="A37" s="54" t="s">
        <v>208</v>
      </c>
      <c r="B37" s="21"/>
      <c r="C37" s="21"/>
      <c r="D37" s="486">
        <v>0</v>
      </c>
      <c r="E37" s="330">
        <f>SUM(E34,E36)</f>
        <v>800</v>
      </c>
      <c r="F37" s="330">
        <f t="shared" ref="F37:X37" si="4">SUM(F34,F36)</f>
        <v>6300</v>
      </c>
      <c r="G37" s="330">
        <f t="shared" si="4"/>
        <v>6300</v>
      </c>
      <c r="H37" s="330">
        <f t="shared" si="4"/>
        <v>6300</v>
      </c>
      <c r="I37" s="330">
        <f t="shared" si="4"/>
        <v>6300</v>
      </c>
      <c r="J37" s="330">
        <f t="shared" si="4"/>
        <v>6300</v>
      </c>
      <c r="K37" s="330">
        <f t="shared" si="4"/>
        <v>6300</v>
      </c>
      <c r="L37" s="330">
        <f t="shared" si="4"/>
        <v>6300</v>
      </c>
      <c r="M37" s="330">
        <f t="shared" si="4"/>
        <v>6300</v>
      </c>
      <c r="N37" s="330">
        <f t="shared" si="4"/>
        <v>6300</v>
      </c>
      <c r="O37" s="330">
        <f t="shared" si="4"/>
        <v>6300</v>
      </c>
      <c r="P37" s="330">
        <f t="shared" si="4"/>
        <v>6300</v>
      </c>
      <c r="Q37" s="330">
        <f t="shared" si="4"/>
        <v>6300</v>
      </c>
      <c r="R37" s="330">
        <f t="shared" si="4"/>
        <v>6300</v>
      </c>
      <c r="S37" s="330">
        <f t="shared" si="4"/>
        <v>6300</v>
      </c>
      <c r="T37" s="330">
        <f t="shared" si="4"/>
        <v>6300</v>
      </c>
      <c r="U37" s="330">
        <f t="shared" si="4"/>
        <v>6300</v>
      </c>
      <c r="V37" s="330">
        <f t="shared" si="4"/>
        <v>6300</v>
      </c>
      <c r="W37" s="330">
        <f t="shared" si="4"/>
        <v>6300</v>
      </c>
      <c r="X37" s="330">
        <f t="shared" si="4"/>
        <v>6300</v>
      </c>
    </row>
    <row r="38" spans="1:24">
      <c r="A38" s="54"/>
      <c r="B38" s="21"/>
      <c r="C38" s="21"/>
      <c r="D38" s="486"/>
      <c r="E38" s="330"/>
      <c r="F38" s="330"/>
      <c r="G38" s="330"/>
      <c r="H38" s="330"/>
      <c r="I38" s="330"/>
      <c r="J38" s="330"/>
      <c r="K38" s="330"/>
      <c r="L38" s="330"/>
      <c r="M38" s="330"/>
      <c r="N38" s="330"/>
      <c r="O38" s="330"/>
      <c r="P38" s="330"/>
      <c r="Q38" s="330"/>
      <c r="R38" s="330"/>
      <c r="S38" s="330"/>
      <c r="T38" s="330"/>
      <c r="U38" s="330"/>
      <c r="V38" s="330"/>
      <c r="W38" s="330"/>
      <c r="X38" s="330"/>
    </row>
    <row r="39" spans="1:24">
      <c r="A39" s="54" t="s">
        <v>223</v>
      </c>
      <c r="B39" s="74"/>
      <c r="C39" s="74"/>
      <c r="D39" s="486">
        <v>0</v>
      </c>
      <c r="E39" s="313">
        <f>(E19+E20)/E29</f>
        <v>160.26666666666668</v>
      </c>
      <c r="F39" s="313">
        <f t="shared" ref="F39:X39" si="5">(F19+F20)/F29</f>
        <v>187</v>
      </c>
      <c r="G39" s="313">
        <f t="shared" si="5"/>
        <v>213.73333333333332</v>
      </c>
      <c r="H39" s="313">
        <f t="shared" si="5"/>
        <v>213.73333333333332</v>
      </c>
      <c r="I39" s="313">
        <f t="shared" si="5"/>
        <v>213.73333333333332</v>
      </c>
      <c r="J39" s="313">
        <f t="shared" si="5"/>
        <v>213.73333333333332</v>
      </c>
      <c r="K39" s="313">
        <f t="shared" si="5"/>
        <v>213.73333333333332</v>
      </c>
      <c r="L39" s="313">
        <f t="shared" si="5"/>
        <v>213.73333333333332</v>
      </c>
      <c r="M39" s="313">
        <f t="shared" si="5"/>
        <v>213.73333333333332</v>
      </c>
      <c r="N39" s="313">
        <f t="shared" si="5"/>
        <v>213.73333333333332</v>
      </c>
      <c r="O39" s="313">
        <f t="shared" si="5"/>
        <v>213.73333333333332</v>
      </c>
      <c r="P39" s="313">
        <f t="shared" si="5"/>
        <v>213.73333333333332</v>
      </c>
      <c r="Q39" s="313">
        <f t="shared" si="5"/>
        <v>213.73333333333332</v>
      </c>
      <c r="R39" s="313">
        <f t="shared" si="5"/>
        <v>213.73333333333332</v>
      </c>
      <c r="S39" s="313">
        <f t="shared" si="5"/>
        <v>213.73333333333332</v>
      </c>
      <c r="T39" s="313">
        <f t="shared" si="5"/>
        <v>213.73333333333332</v>
      </c>
      <c r="U39" s="313">
        <f t="shared" si="5"/>
        <v>213.73333333333332</v>
      </c>
      <c r="V39" s="313">
        <f t="shared" si="5"/>
        <v>213.73333333333332</v>
      </c>
      <c r="W39" s="313">
        <f t="shared" si="5"/>
        <v>213.73333333333332</v>
      </c>
      <c r="X39" s="313">
        <f t="shared" si="5"/>
        <v>213.73333333333332</v>
      </c>
    </row>
    <row r="40" spans="1:24">
      <c r="A40" s="54"/>
      <c r="B40" s="74"/>
      <c r="C40" s="74"/>
      <c r="D40" s="492"/>
      <c r="E40" s="308"/>
      <c r="F40" s="308"/>
      <c r="G40" s="308"/>
      <c r="H40" s="308"/>
      <c r="I40" s="308"/>
      <c r="J40" s="308"/>
      <c r="K40" s="308"/>
      <c r="L40" s="308"/>
      <c r="M40" s="308"/>
      <c r="N40" s="308"/>
      <c r="O40" s="308"/>
      <c r="P40" s="308"/>
      <c r="Q40" s="308"/>
      <c r="R40" s="308"/>
      <c r="S40" s="308"/>
      <c r="T40" s="308"/>
      <c r="U40" s="308"/>
      <c r="V40" s="308"/>
      <c r="W40" s="308"/>
      <c r="X40" s="308"/>
    </row>
    <row r="41" spans="1:24">
      <c r="A41" s="293" t="s">
        <v>26</v>
      </c>
      <c r="B41" s="74"/>
      <c r="C41" s="74"/>
      <c r="D41" s="492"/>
      <c r="E41" s="308"/>
      <c r="F41" s="308"/>
      <c r="G41" s="308"/>
      <c r="H41" s="308"/>
      <c r="I41" s="308"/>
      <c r="J41" s="308"/>
      <c r="K41" s="308"/>
      <c r="L41" s="308"/>
      <c r="M41" s="308"/>
      <c r="N41" s="308"/>
      <c r="O41" s="308"/>
      <c r="P41" s="308"/>
      <c r="Q41" s="308"/>
      <c r="R41" s="308"/>
      <c r="S41" s="308"/>
      <c r="T41" s="308"/>
      <c r="U41" s="308"/>
      <c r="V41" s="308"/>
      <c r="W41" s="308"/>
      <c r="X41" s="308"/>
    </row>
    <row r="42" spans="1:24">
      <c r="A42" s="54" t="s">
        <v>264</v>
      </c>
      <c r="B42" s="277"/>
      <c r="C42" s="74"/>
      <c r="D42" s="486">
        <v>0</v>
      </c>
      <c r="E42" s="313">
        <f>'Parking Projections'!C81</f>
        <v>13290.435763888891</v>
      </c>
      <c r="F42" s="313">
        <f>'Parking Projections'!D81</f>
        <v>13290.435763888891</v>
      </c>
      <c r="G42" s="313">
        <f>'Parking Projections'!E81</f>
        <v>13290.435763888891</v>
      </c>
      <c r="H42" s="313">
        <f>'Parking Projections'!F81</f>
        <v>13290.435763888891</v>
      </c>
      <c r="I42" s="313">
        <f>'Parking Projections'!G81</f>
        <v>13290.435763888891</v>
      </c>
      <c r="J42" s="313">
        <f>'Parking Projections'!H81</f>
        <v>13290.435763888891</v>
      </c>
      <c r="K42" s="313">
        <f>'Parking Projections'!I81</f>
        <v>13290.435763888891</v>
      </c>
      <c r="L42" s="313">
        <f>'Parking Projections'!J81</f>
        <v>13290.435763888891</v>
      </c>
      <c r="M42" s="313">
        <f>'Parking Projections'!K81</f>
        <v>13290.435763888891</v>
      </c>
      <c r="N42" s="313">
        <f>'Parking Projections'!L81</f>
        <v>13290.435763888891</v>
      </c>
      <c r="O42" s="313">
        <f>'Parking Projections'!M81</f>
        <v>13290.435763888891</v>
      </c>
      <c r="P42" s="313">
        <f>'Parking Projections'!N81</f>
        <v>13290.435763888891</v>
      </c>
      <c r="Q42" s="313">
        <f>'Parking Projections'!O81</f>
        <v>13290.435763888891</v>
      </c>
      <c r="R42" s="313">
        <f>'Parking Projections'!P81</f>
        <v>13290.435763888891</v>
      </c>
      <c r="S42" s="313">
        <f>'Parking Projections'!Q81</f>
        <v>13290.435763888891</v>
      </c>
      <c r="T42" s="313">
        <f>'Parking Projections'!R81</f>
        <v>13290.435763888891</v>
      </c>
      <c r="U42" s="313">
        <f>'Parking Projections'!S81</f>
        <v>13290.435763888891</v>
      </c>
      <c r="V42" s="313">
        <f>'Parking Projections'!T81</f>
        <v>13290.435763888891</v>
      </c>
      <c r="W42" s="313">
        <f>'Parking Projections'!U81</f>
        <v>13290.435763888891</v>
      </c>
      <c r="X42" s="313">
        <f>'Parking Projections'!V81</f>
        <v>13290.435763888891</v>
      </c>
    </row>
    <row r="43" spans="1:24">
      <c r="A43" s="54" t="s">
        <v>267</v>
      </c>
      <c r="B43" s="277"/>
      <c r="C43" s="74"/>
      <c r="D43" s="486">
        <v>0</v>
      </c>
      <c r="E43" s="313">
        <f>'Parking Projections'!C85</f>
        <v>13967.333333333327</v>
      </c>
      <c r="F43" s="313">
        <f>'Parking Projections'!D85</f>
        <v>13967.333333333327</v>
      </c>
      <c r="G43" s="313">
        <f>'Parking Projections'!E85</f>
        <v>13967.333333333327</v>
      </c>
      <c r="H43" s="313">
        <f>'Parking Projections'!F85</f>
        <v>13967.333333333327</v>
      </c>
      <c r="I43" s="313">
        <f>'Parking Projections'!G85</f>
        <v>13967.333333333327</v>
      </c>
      <c r="J43" s="313">
        <f>'Parking Projections'!H85</f>
        <v>13967.333333333327</v>
      </c>
      <c r="K43" s="313">
        <f>'Parking Projections'!I85</f>
        <v>13967.333333333327</v>
      </c>
      <c r="L43" s="313">
        <f>'Parking Projections'!J85</f>
        <v>13967.333333333327</v>
      </c>
      <c r="M43" s="313">
        <f>'Parking Projections'!K85</f>
        <v>13967.333333333327</v>
      </c>
      <c r="N43" s="313">
        <f>'Parking Projections'!L85</f>
        <v>13967.333333333327</v>
      </c>
      <c r="O43" s="313">
        <f>'Parking Projections'!M85</f>
        <v>13967.333333333327</v>
      </c>
      <c r="P43" s="313">
        <f>'Parking Projections'!N85</f>
        <v>13967.333333333327</v>
      </c>
      <c r="Q43" s="313">
        <f>'Parking Projections'!O85</f>
        <v>13967.333333333327</v>
      </c>
      <c r="R43" s="313">
        <f>'Parking Projections'!P85</f>
        <v>13967.333333333327</v>
      </c>
      <c r="S43" s="313">
        <f>'Parking Projections'!Q85</f>
        <v>13967.333333333327</v>
      </c>
      <c r="T43" s="313">
        <f>'Parking Projections'!R85</f>
        <v>13967.333333333327</v>
      </c>
      <c r="U43" s="313">
        <f>'Parking Projections'!S85</f>
        <v>13967.333333333327</v>
      </c>
      <c r="V43" s="313">
        <f>'Parking Projections'!T85</f>
        <v>13967.333333333327</v>
      </c>
      <c r="W43" s="313">
        <f>'Parking Projections'!U85</f>
        <v>13967.333333333327</v>
      </c>
      <c r="X43" s="313">
        <f>'Parking Projections'!V85</f>
        <v>13967.333333333327</v>
      </c>
    </row>
    <row r="44" spans="1:24" s="96" customFormat="1">
      <c r="A44" s="54" t="s">
        <v>274</v>
      </c>
      <c r="B44" s="435"/>
      <c r="C44" s="583"/>
      <c r="D44" s="486">
        <v>0</v>
      </c>
      <c r="E44" s="313">
        <f>SUM(E42:E43)</f>
        <v>27257.769097222219</v>
      </c>
      <c r="F44" s="313">
        <f t="shared" ref="F44:X44" si="6">SUM(F42:F43)</f>
        <v>27257.769097222219</v>
      </c>
      <c r="G44" s="313">
        <f t="shared" si="6"/>
        <v>27257.769097222219</v>
      </c>
      <c r="H44" s="313">
        <f t="shared" si="6"/>
        <v>27257.769097222219</v>
      </c>
      <c r="I44" s="313">
        <f t="shared" si="6"/>
        <v>27257.769097222219</v>
      </c>
      <c r="J44" s="313">
        <f t="shared" si="6"/>
        <v>27257.769097222219</v>
      </c>
      <c r="K44" s="313">
        <f t="shared" si="6"/>
        <v>27257.769097222219</v>
      </c>
      <c r="L44" s="313">
        <f t="shared" si="6"/>
        <v>27257.769097222219</v>
      </c>
      <c r="M44" s="313">
        <f t="shared" si="6"/>
        <v>27257.769097222219</v>
      </c>
      <c r="N44" s="313">
        <f t="shared" si="6"/>
        <v>27257.769097222219</v>
      </c>
      <c r="O44" s="313">
        <f t="shared" si="6"/>
        <v>27257.769097222219</v>
      </c>
      <c r="P44" s="313">
        <f t="shared" si="6"/>
        <v>27257.769097222219</v>
      </c>
      <c r="Q44" s="313">
        <f t="shared" si="6"/>
        <v>27257.769097222219</v>
      </c>
      <c r="R44" s="313">
        <f t="shared" si="6"/>
        <v>27257.769097222219</v>
      </c>
      <c r="S44" s="313">
        <f t="shared" si="6"/>
        <v>27257.769097222219</v>
      </c>
      <c r="T44" s="313">
        <f t="shared" si="6"/>
        <v>27257.769097222219</v>
      </c>
      <c r="U44" s="313">
        <f t="shared" si="6"/>
        <v>27257.769097222219</v>
      </c>
      <c r="V44" s="313">
        <f t="shared" si="6"/>
        <v>27257.769097222219</v>
      </c>
      <c r="W44" s="313">
        <f t="shared" si="6"/>
        <v>27257.769097222219</v>
      </c>
      <c r="X44" s="313">
        <f t="shared" si="6"/>
        <v>27257.769097222219</v>
      </c>
    </row>
    <row r="45" spans="1:24">
      <c r="A45" s="54"/>
      <c r="B45" s="277"/>
      <c r="C45" s="74"/>
      <c r="D45" s="499"/>
      <c r="E45" s="308"/>
      <c r="F45" s="308"/>
      <c r="G45" s="308"/>
      <c r="H45" s="308"/>
      <c r="I45" s="308"/>
      <c r="J45" s="308"/>
      <c r="K45" s="308"/>
      <c r="L45" s="308"/>
      <c r="M45" s="308"/>
      <c r="N45" s="308"/>
      <c r="O45" s="308"/>
      <c r="P45" s="308"/>
      <c r="Q45" s="308"/>
      <c r="R45" s="308"/>
      <c r="S45" s="308"/>
      <c r="T45" s="308"/>
      <c r="U45" s="308"/>
      <c r="V45" s="308"/>
      <c r="W45" s="308"/>
      <c r="X45" s="308"/>
    </row>
    <row r="46" spans="1:24" s="96" customFormat="1">
      <c r="A46" s="54" t="s">
        <v>224</v>
      </c>
      <c r="B46" s="435"/>
      <c r="C46" s="583"/>
      <c r="D46" s="486">
        <v>0</v>
      </c>
      <c r="E46" s="496">
        <v>3</v>
      </c>
      <c r="F46" s="496">
        <v>3</v>
      </c>
      <c r="G46" s="496">
        <v>3</v>
      </c>
      <c r="H46" s="496">
        <v>3</v>
      </c>
      <c r="I46" s="496">
        <v>3</v>
      </c>
      <c r="J46" s="496">
        <v>3</v>
      </c>
      <c r="K46" s="496">
        <v>3</v>
      </c>
      <c r="L46" s="496">
        <v>3</v>
      </c>
      <c r="M46" s="496">
        <v>3</v>
      </c>
      <c r="N46" s="496">
        <v>3</v>
      </c>
      <c r="O46" s="496">
        <v>3</v>
      </c>
      <c r="P46" s="496">
        <v>3</v>
      </c>
      <c r="Q46" s="496">
        <v>3</v>
      </c>
      <c r="R46" s="496">
        <v>3</v>
      </c>
      <c r="S46" s="496">
        <v>3</v>
      </c>
      <c r="T46" s="496">
        <v>3</v>
      </c>
      <c r="U46" s="496">
        <v>3</v>
      </c>
      <c r="V46" s="496">
        <v>3</v>
      </c>
      <c r="W46" s="496">
        <v>3</v>
      </c>
      <c r="X46" s="496">
        <v>3</v>
      </c>
    </row>
    <row r="47" spans="1:24" s="96" customFormat="1">
      <c r="A47" s="54" t="s">
        <v>225</v>
      </c>
      <c r="B47" s="435"/>
      <c r="C47" s="583"/>
      <c r="D47" s="486">
        <v>0</v>
      </c>
      <c r="E47" s="496">
        <v>1</v>
      </c>
      <c r="F47" s="496">
        <v>1</v>
      </c>
      <c r="G47" s="496">
        <v>1</v>
      </c>
      <c r="H47" s="496">
        <v>1</v>
      </c>
      <c r="I47" s="496">
        <v>1</v>
      </c>
      <c r="J47" s="496">
        <v>1</v>
      </c>
      <c r="K47" s="496">
        <v>1</v>
      </c>
      <c r="L47" s="496">
        <v>1</v>
      </c>
      <c r="M47" s="496">
        <v>1</v>
      </c>
      <c r="N47" s="496">
        <v>1</v>
      </c>
      <c r="O47" s="496">
        <v>1</v>
      </c>
      <c r="P47" s="496">
        <v>1</v>
      </c>
      <c r="Q47" s="496">
        <v>1</v>
      </c>
      <c r="R47" s="496">
        <v>1</v>
      </c>
      <c r="S47" s="496">
        <v>1</v>
      </c>
      <c r="T47" s="496">
        <v>1</v>
      </c>
      <c r="U47" s="496">
        <v>1</v>
      </c>
      <c r="V47" s="496">
        <v>1</v>
      </c>
      <c r="W47" s="496">
        <v>1</v>
      </c>
      <c r="X47" s="496">
        <v>1</v>
      </c>
    </row>
    <row r="48" spans="1:24">
      <c r="A48" s="54" t="s">
        <v>209</v>
      </c>
      <c r="B48" s="277"/>
      <c r="C48" s="74"/>
      <c r="D48" s="486">
        <v>0</v>
      </c>
      <c r="E48" s="496">
        <v>0.5</v>
      </c>
      <c r="F48" s="496">
        <v>0.5</v>
      </c>
      <c r="G48" s="496">
        <v>0.5</v>
      </c>
      <c r="H48" s="496">
        <v>0.5</v>
      </c>
      <c r="I48" s="496">
        <v>0.5</v>
      </c>
      <c r="J48" s="496">
        <v>0.5</v>
      </c>
      <c r="K48" s="496">
        <v>0.5</v>
      </c>
      <c r="L48" s="496">
        <v>0.5</v>
      </c>
      <c r="M48" s="496">
        <v>0.5</v>
      </c>
      <c r="N48" s="496">
        <v>0.5</v>
      </c>
      <c r="O48" s="496">
        <v>0.5</v>
      </c>
      <c r="P48" s="496">
        <v>0.5</v>
      </c>
      <c r="Q48" s="496">
        <v>0.5</v>
      </c>
      <c r="R48" s="496">
        <v>0.5</v>
      </c>
      <c r="S48" s="496">
        <v>0.5</v>
      </c>
      <c r="T48" s="496">
        <v>0.5</v>
      </c>
      <c r="U48" s="496">
        <v>0.5</v>
      </c>
      <c r="V48" s="496">
        <v>0.5</v>
      </c>
      <c r="W48" s="496">
        <v>0.5</v>
      </c>
      <c r="X48" s="496">
        <v>0.5</v>
      </c>
    </row>
    <row r="49" spans="1:25 16384:16384">
      <c r="A49" s="54" t="s">
        <v>289</v>
      </c>
      <c r="B49" s="277"/>
      <c r="C49" s="74"/>
      <c r="D49" s="486">
        <v>0</v>
      </c>
      <c r="E49" s="496">
        <f t="shared" ref="E49:X49" si="7">SUM(E46:E48)/3</f>
        <v>1.5</v>
      </c>
      <c r="F49" s="496">
        <f t="shared" si="7"/>
        <v>1.5</v>
      </c>
      <c r="G49" s="496">
        <f t="shared" si="7"/>
        <v>1.5</v>
      </c>
      <c r="H49" s="496">
        <f t="shared" si="7"/>
        <v>1.5</v>
      </c>
      <c r="I49" s="496">
        <f t="shared" si="7"/>
        <v>1.5</v>
      </c>
      <c r="J49" s="496">
        <f t="shared" si="7"/>
        <v>1.5</v>
      </c>
      <c r="K49" s="496">
        <f t="shared" si="7"/>
        <v>1.5</v>
      </c>
      <c r="L49" s="496">
        <f t="shared" si="7"/>
        <v>1.5</v>
      </c>
      <c r="M49" s="496">
        <f t="shared" si="7"/>
        <v>1.5</v>
      </c>
      <c r="N49" s="496">
        <f t="shared" si="7"/>
        <v>1.5</v>
      </c>
      <c r="O49" s="496">
        <f t="shared" si="7"/>
        <v>1.5</v>
      </c>
      <c r="P49" s="496">
        <f t="shared" si="7"/>
        <v>1.5</v>
      </c>
      <c r="Q49" s="496">
        <f t="shared" si="7"/>
        <v>1.5</v>
      </c>
      <c r="R49" s="496">
        <f t="shared" si="7"/>
        <v>1.5</v>
      </c>
      <c r="S49" s="496">
        <f t="shared" si="7"/>
        <v>1.5</v>
      </c>
      <c r="T49" s="496">
        <f t="shared" si="7"/>
        <v>1.5</v>
      </c>
      <c r="U49" s="496">
        <f t="shared" si="7"/>
        <v>1.5</v>
      </c>
      <c r="V49" s="496">
        <f t="shared" si="7"/>
        <v>1.5</v>
      </c>
      <c r="W49" s="496">
        <f t="shared" si="7"/>
        <v>1.5</v>
      </c>
      <c r="X49" s="496">
        <f t="shared" si="7"/>
        <v>1.5</v>
      </c>
    </row>
    <row r="50" spans="1:25 16384:16384">
      <c r="A50" s="54"/>
      <c r="B50" s="277"/>
      <c r="C50" s="74"/>
      <c r="D50" s="486"/>
      <c r="E50" s="496"/>
      <c r="F50" s="496"/>
      <c r="G50" s="496"/>
      <c r="H50" s="496"/>
      <c r="I50" s="496"/>
      <c r="J50" s="496"/>
      <c r="K50" s="496"/>
      <c r="L50" s="496"/>
      <c r="M50" s="496"/>
      <c r="N50" s="496"/>
      <c r="O50" s="496"/>
      <c r="P50" s="496"/>
      <c r="Q50" s="496"/>
      <c r="R50" s="496"/>
      <c r="S50" s="496"/>
      <c r="T50" s="496"/>
      <c r="U50" s="496"/>
      <c r="V50" s="496"/>
      <c r="W50" s="496"/>
      <c r="X50" s="496"/>
    </row>
    <row r="51" spans="1:25 16384:16384">
      <c r="A51" s="54" t="s">
        <v>312</v>
      </c>
      <c r="B51" s="277"/>
      <c r="C51" s="74"/>
      <c r="D51" s="486">
        <v>0</v>
      </c>
      <c r="E51" s="313">
        <f>'Shuttle Projections'!C33</f>
        <v>7190</v>
      </c>
      <c r="F51" s="313">
        <f>'Shuttle Projections'!D33</f>
        <v>7190</v>
      </c>
      <c r="G51" s="313">
        <f>'Shuttle Projections'!E33</f>
        <v>7190</v>
      </c>
      <c r="H51" s="313">
        <f>'Shuttle Projections'!F33</f>
        <v>7190</v>
      </c>
      <c r="I51" s="313">
        <f>'Shuttle Projections'!G33</f>
        <v>7190</v>
      </c>
      <c r="J51" s="313">
        <f>'Shuttle Projections'!H33</f>
        <v>7190</v>
      </c>
      <c r="K51" s="313">
        <f>'Shuttle Projections'!I33</f>
        <v>7190</v>
      </c>
      <c r="L51" s="313">
        <f>'Shuttle Projections'!J33</f>
        <v>7190</v>
      </c>
      <c r="M51" s="313">
        <f>'Shuttle Projections'!K33</f>
        <v>7190</v>
      </c>
      <c r="N51" s="313">
        <f>'Shuttle Projections'!L33</f>
        <v>7190</v>
      </c>
      <c r="O51" s="313">
        <f>'Shuttle Projections'!M33</f>
        <v>7190</v>
      </c>
      <c r="P51" s="313">
        <f>'Shuttle Projections'!N33</f>
        <v>7190</v>
      </c>
      <c r="Q51" s="313">
        <f>'Shuttle Projections'!O33</f>
        <v>7190</v>
      </c>
      <c r="R51" s="313">
        <f>'Shuttle Projections'!P33</f>
        <v>7190</v>
      </c>
      <c r="S51" s="313">
        <f>'Shuttle Projections'!Q33</f>
        <v>7190</v>
      </c>
      <c r="T51" s="313">
        <f>'Shuttle Projections'!R33</f>
        <v>7190</v>
      </c>
      <c r="U51" s="313">
        <f>'Shuttle Projections'!S33</f>
        <v>7190</v>
      </c>
      <c r="V51" s="313">
        <f>'Shuttle Projections'!T33</f>
        <v>7190</v>
      </c>
      <c r="W51" s="313">
        <f>'Shuttle Projections'!U33</f>
        <v>7190</v>
      </c>
      <c r="X51" s="313">
        <f>'Shuttle Projections'!V33</f>
        <v>7190</v>
      </c>
      <c r="XFD51" s="570"/>
    </row>
    <row r="52" spans="1:25 16384:16384">
      <c r="A52" s="54"/>
      <c r="B52" s="277"/>
      <c r="C52" s="74"/>
      <c r="D52" s="486"/>
      <c r="E52" s="308"/>
      <c r="F52" s="308"/>
      <c r="G52" s="308"/>
      <c r="H52" s="308"/>
      <c r="I52" s="308"/>
      <c r="J52" s="308"/>
      <c r="K52" s="308"/>
      <c r="L52" s="308"/>
      <c r="M52" s="308"/>
      <c r="N52" s="308"/>
      <c r="O52" s="308"/>
      <c r="P52" s="308"/>
      <c r="Q52" s="308"/>
      <c r="R52" s="308"/>
      <c r="S52" s="308"/>
      <c r="T52" s="308"/>
      <c r="U52" s="308"/>
      <c r="V52" s="308"/>
      <c r="W52" s="308"/>
      <c r="X52" s="308"/>
    </row>
    <row r="53" spans="1:25 16384:16384" s="612" customFormat="1">
      <c r="A53" s="613" t="s">
        <v>292</v>
      </c>
      <c r="B53" s="614"/>
      <c r="C53" s="615"/>
      <c r="D53" s="616">
        <v>0</v>
      </c>
      <c r="E53" s="617">
        <v>0</v>
      </c>
      <c r="F53" s="617">
        <v>0</v>
      </c>
      <c r="G53" s="617">
        <v>100000</v>
      </c>
      <c r="H53" s="617">
        <v>100000</v>
      </c>
      <c r="I53" s="617">
        <v>100000</v>
      </c>
      <c r="J53" s="617">
        <v>100000</v>
      </c>
      <c r="K53" s="617">
        <v>100000</v>
      </c>
      <c r="L53" s="617">
        <v>100000</v>
      </c>
      <c r="M53" s="617">
        <v>100000</v>
      </c>
      <c r="N53" s="617">
        <v>100000</v>
      </c>
      <c r="O53" s="617">
        <v>100000</v>
      </c>
      <c r="P53" s="617">
        <v>100000</v>
      </c>
      <c r="Q53" s="617">
        <v>100000</v>
      </c>
      <c r="R53" s="617">
        <v>100000</v>
      </c>
      <c r="S53" s="617">
        <v>100000</v>
      </c>
      <c r="T53" s="617">
        <v>100000</v>
      </c>
      <c r="U53" s="617">
        <v>100000</v>
      </c>
      <c r="V53" s="617">
        <v>100000</v>
      </c>
      <c r="W53" s="617">
        <v>100000</v>
      </c>
      <c r="X53" s="618">
        <v>100000</v>
      </c>
    </row>
    <row r="54" spans="1:25 16384:16384">
      <c r="A54" s="54"/>
      <c r="B54" s="277"/>
      <c r="C54" s="74"/>
      <c r="D54" s="486"/>
      <c r="E54" s="308"/>
      <c r="F54" s="308"/>
      <c r="G54" s="308"/>
      <c r="H54" s="308"/>
      <c r="I54" s="308"/>
      <c r="J54" s="308"/>
      <c r="K54" s="308"/>
      <c r="L54" s="308"/>
      <c r="M54" s="308"/>
      <c r="N54" s="308"/>
      <c r="O54" s="308"/>
      <c r="P54" s="308"/>
      <c r="Q54" s="308"/>
      <c r="R54" s="308"/>
      <c r="S54" s="308"/>
      <c r="T54" s="308"/>
      <c r="U54" s="308"/>
      <c r="V54" s="308"/>
      <c r="W54" s="308"/>
      <c r="X54" s="308"/>
    </row>
    <row r="55" spans="1:25 16384:16384" s="582" customFormat="1">
      <c r="A55" s="293" t="str">
        <f>'BH Tariffs'!A33</f>
        <v>Recreational/Commercial Marina</v>
      </c>
      <c r="B55" s="584"/>
      <c r="C55" s="585"/>
      <c r="D55" s="486"/>
      <c r="E55" s="586"/>
      <c r="F55" s="586"/>
      <c r="G55" s="586"/>
      <c r="H55" s="586"/>
      <c r="I55" s="586"/>
      <c r="J55" s="586"/>
      <c r="K55" s="586"/>
      <c r="L55" s="586"/>
      <c r="M55" s="586"/>
      <c r="N55" s="586"/>
      <c r="O55" s="586"/>
      <c r="P55" s="586"/>
      <c r="Q55" s="586"/>
      <c r="R55" s="586"/>
      <c r="S55" s="586"/>
      <c r="T55" s="586"/>
      <c r="U55" s="586"/>
      <c r="V55" s="586"/>
      <c r="W55" s="586"/>
      <c r="X55" s="586"/>
    </row>
    <row r="56" spans="1:25 16384:16384" s="96" customFormat="1">
      <c r="A56" s="54" t="s">
        <v>291</v>
      </c>
      <c r="B56" s="435"/>
      <c r="C56" s="583"/>
      <c r="D56" s="486">
        <v>0</v>
      </c>
      <c r="E56" s="313">
        <v>0</v>
      </c>
      <c r="F56" s="313">
        <f>'Marina Projections'!D103</f>
        <v>12</v>
      </c>
      <c r="G56" s="313">
        <f>'Marina Projections'!E103</f>
        <v>12</v>
      </c>
      <c r="H56" s="313">
        <f>'Marina Projections'!F103</f>
        <v>12</v>
      </c>
      <c r="I56" s="313">
        <f>'Marina Projections'!G103</f>
        <v>12</v>
      </c>
      <c r="J56" s="313">
        <f>'Marina Projections'!H103</f>
        <v>12</v>
      </c>
      <c r="K56" s="313">
        <f>'Marina Projections'!I103</f>
        <v>12</v>
      </c>
      <c r="L56" s="313">
        <f>'Marina Projections'!J103</f>
        <v>12</v>
      </c>
      <c r="M56" s="313">
        <f>'Marina Projections'!K103</f>
        <v>12</v>
      </c>
      <c r="N56" s="313">
        <f>'Marina Projections'!L103</f>
        <v>12</v>
      </c>
      <c r="O56" s="313">
        <f>'Marina Projections'!M103</f>
        <v>12</v>
      </c>
      <c r="P56" s="313">
        <f>'Marina Projections'!N103</f>
        <v>12</v>
      </c>
      <c r="Q56" s="313">
        <f>'Marina Projections'!O103</f>
        <v>12</v>
      </c>
      <c r="R56" s="313">
        <f>'Marina Projections'!P103</f>
        <v>12</v>
      </c>
      <c r="S56" s="313">
        <f>'Marina Projections'!Q103</f>
        <v>12</v>
      </c>
      <c r="T56" s="313">
        <f>'Marina Projections'!R103</f>
        <v>12</v>
      </c>
      <c r="U56" s="313">
        <f>'Marina Projections'!S103</f>
        <v>12</v>
      </c>
      <c r="V56" s="313">
        <f>'Marina Projections'!T103</f>
        <v>12</v>
      </c>
      <c r="W56" s="313">
        <f>'Marina Projections'!U103</f>
        <v>12</v>
      </c>
      <c r="X56" s="313">
        <f>'Marina Projections'!V103</f>
        <v>12</v>
      </c>
    </row>
    <row r="57" spans="1:25 16384:16384" s="96" customFormat="1">
      <c r="A57" s="54" t="s">
        <v>293</v>
      </c>
      <c r="B57" s="435"/>
      <c r="C57" s="583"/>
      <c r="D57" s="486">
        <v>0</v>
      </c>
      <c r="E57" s="313">
        <v>0</v>
      </c>
      <c r="F57" s="313">
        <f>'Marina Projections'!D110</f>
        <v>9557.1731249999993</v>
      </c>
      <c r="G57" s="313">
        <f>'Marina Projections'!E110</f>
        <v>9557.1731249999993</v>
      </c>
      <c r="H57" s="313">
        <f>'Marina Projections'!F110</f>
        <v>9557.1731249999993</v>
      </c>
      <c r="I57" s="313">
        <f>'Marina Projections'!G110</f>
        <v>9557.1731249999993</v>
      </c>
      <c r="J57" s="313">
        <f>'Marina Projections'!H110</f>
        <v>9557.1731249999993</v>
      </c>
      <c r="K57" s="313">
        <f>'Marina Projections'!I110</f>
        <v>9557.1731249999993</v>
      </c>
      <c r="L57" s="313">
        <f>'Marina Projections'!J110</f>
        <v>9557.1731249999993</v>
      </c>
      <c r="M57" s="313">
        <f>'Marina Projections'!K110</f>
        <v>9557.1731249999993</v>
      </c>
      <c r="N57" s="313">
        <f>'Marina Projections'!L110</f>
        <v>9557.1731249999993</v>
      </c>
      <c r="O57" s="313">
        <f>'Marina Projections'!M110</f>
        <v>9557.1731249999993</v>
      </c>
      <c r="P57" s="313">
        <f>'Marina Projections'!N110</f>
        <v>9557.1731249999993</v>
      </c>
      <c r="Q57" s="313">
        <f>'Marina Projections'!O110</f>
        <v>9557.1731249999993</v>
      </c>
      <c r="R57" s="313">
        <f>'Marina Projections'!P110</f>
        <v>9557.1731249999993</v>
      </c>
      <c r="S57" s="313">
        <f>'Marina Projections'!Q110</f>
        <v>9557.1731249999993</v>
      </c>
      <c r="T57" s="313">
        <f>'Marina Projections'!R110</f>
        <v>9557.1731249999993</v>
      </c>
      <c r="U57" s="313">
        <f>'Marina Projections'!S110</f>
        <v>9557.1731249999993</v>
      </c>
      <c r="V57" s="313">
        <f>'Marina Projections'!T110</f>
        <v>9557.1731249999993</v>
      </c>
      <c r="W57" s="313">
        <f>'Marina Projections'!U110</f>
        <v>9557.1731249999993</v>
      </c>
      <c r="X57" s="313">
        <f>'Marina Projections'!V110</f>
        <v>9557.1731249999993</v>
      </c>
    </row>
    <row r="58" spans="1:25 16384:16384" s="96" customFormat="1">
      <c r="A58" s="54" t="s">
        <v>294</v>
      </c>
      <c r="B58" s="435"/>
      <c r="C58" s="583"/>
      <c r="D58" s="486">
        <v>0</v>
      </c>
      <c r="E58" s="313">
        <v>0</v>
      </c>
      <c r="F58" s="313">
        <f>'Marina Projections'!D106</f>
        <v>359.1</v>
      </c>
      <c r="G58" s="313">
        <f>'Marina Projections'!E106</f>
        <v>359.1</v>
      </c>
      <c r="H58" s="313">
        <f>'Marina Projections'!F106</f>
        <v>359.1</v>
      </c>
      <c r="I58" s="313">
        <f>'Marina Projections'!G106</f>
        <v>359.1</v>
      </c>
      <c r="J58" s="313">
        <f>'Marina Projections'!H106</f>
        <v>359.1</v>
      </c>
      <c r="K58" s="313">
        <f>'Marina Projections'!I106</f>
        <v>359.1</v>
      </c>
      <c r="L58" s="313">
        <f>'Marina Projections'!J106</f>
        <v>359.1</v>
      </c>
      <c r="M58" s="313">
        <f>'Marina Projections'!K106</f>
        <v>359.1</v>
      </c>
      <c r="N58" s="313">
        <f>'Marina Projections'!L106</f>
        <v>359.1</v>
      </c>
      <c r="O58" s="313">
        <f>'Marina Projections'!M106</f>
        <v>359.1</v>
      </c>
      <c r="P58" s="313">
        <f>'Marina Projections'!N106</f>
        <v>359.1</v>
      </c>
      <c r="Q58" s="313">
        <f>'Marina Projections'!O106</f>
        <v>359.1</v>
      </c>
      <c r="R58" s="313">
        <f>'Marina Projections'!P106</f>
        <v>359.1</v>
      </c>
      <c r="S58" s="313">
        <f>'Marina Projections'!Q106</f>
        <v>359.1</v>
      </c>
      <c r="T58" s="313">
        <f>'Marina Projections'!R106</f>
        <v>359.1</v>
      </c>
      <c r="U58" s="313">
        <f>'Marina Projections'!S106</f>
        <v>359.1</v>
      </c>
      <c r="V58" s="313">
        <f>'Marina Projections'!T106</f>
        <v>359.1</v>
      </c>
      <c r="W58" s="313">
        <f>'Marina Projections'!U106</f>
        <v>359.1</v>
      </c>
      <c r="X58" s="313">
        <f>'Marina Projections'!V106</f>
        <v>359.1</v>
      </c>
    </row>
    <row r="59" spans="1:25 16384:16384" s="167" customFormat="1">
      <c r="A59" s="497" t="s">
        <v>170</v>
      </c>
      <c r="B59" s="450"/>
      <c r="C59" s="498"/>
      <c r="D59" s="499">
        <v>0</v>
      </c>
      <c r="E59" s="587">
        <v>0</v>
      </c>
      <c r="F59" s="587">
        <v>0</v>
      </c>
      <c r="G59" s="587">
        <v>0</v>
      </c>
      <c r="H59" s="587">
        <v>0</v>
      </c>
      <c r="I59" s="587">
        <v>0</v>
      </c>
      <c r="J59" s="587">
        <v>0</v>
      </c>
      <c r="K59" s="587">
        <v>0</v>
      </c>
      <c r="L59" s="587">
        <v>0</v>
      </c>
      <c r="M59" s="587">
        <v>0</v>
      </c>
      <c r="N59" s="587">
        <v>0</v>
      </c>
      <c r="O59" s="587">
        <v>0</v>
      </c>
      <c r="P59" s="587">
        <v>0</v>
      </c>
      <c r="Q59" s="587">
        <v>0</v>
      </c>
      <c r="R59" s="587">
        <v>0</v>
      </c>
      <c r="S59" s="587">
        <v>0</v>
      </c>
      <c r="T59" s="587">
        <v>0</v>
      </c>
      <c r="U59" s="587">
        <v>0</v>
      </c>
      <c r="V59" s="587">
        <v>0</v>
      </c>
      <c r="W59" s="587">
        <v>0</v>
      </c>
      <c r="X59" s="587">
        <v>0</v>
      </c>
      <c r="Y59" s="167" t="s">
        <v>282</v>
      </c>
    </row>
    <row r="60" spans="1:25 16384:16384" s="167" customFormat="1">
      <c r="A60" s="497" t="s">
        <v>16</v>
      </c>
      <c r="B60" s="450"/>
      <c r="C60" s="498"/>
      <c r="D60" s="499">
        <v>0</v>
      </c>
      <c r="E60" s="587">
        <v>0</v>
      </c>
      <c r="F60" s="587">
        <v>0</v>
      </c>
      <c r="G60" s="587">
        <v>0</v>
      </c>
      <c r="H60" s="587">
        <v>0</v>
      </c>
      <c r="I60" s="587">
        <v>0</v>
      </c>
      <c r="J60" s="587">
        <v>0</v>
      </c>
      <c r="K60" s="587">
        <v>0</v>
      </c>
      <c r="L60" s="587">
        <v>0</v>
      </c>
      <c r="M60" s="587">
        <v>0</v>
      </c>
      <c r="N60" s="587">
        <v>0</v>
      </c>
      <c r="O60" s="587">
        <v>0</v>
      </c>
      <c r="P60" s="587">
        <v>0</v>
      </c>
      <c r="Q60" s="587">
        <v>0</v>
      </c>
      <c r="R60" s="587">
        <v>0</v>
      </c>
      <c r="S60" s="587">
        <v>0</v>
      </c>
      <c r="T60" s="587">
        <v>0</v>
      </c>
      <c r="U60" s="587">
        <v>0</v>
      </c>
      <c r="V60" s="587">
        <v>0</v>
      </c>
      <c r="W60" s="587">
        <v>0</v>
      </c>
      <c r="X60" s="587">
        <v>0</v>
      </c>
      <c r="Y60" s="167" t="s">
        <v>282</v>
      </c>
    </row>
    <row r="61" spans="1:25 16384:16384">
      <c r="A61" s="54"/>
      <c r="B61" s="277"/>
      <c r="C61" s="74"/>
      <c r="D61" s="492"/>
      <c r="E61" s="308"/>
      <c r="F61" s="308"/>
      <c r="G61" s="308"/>
      <c r="H61" s="308"/>
      <c r="I61" s="308"/>
      <c r="J61" s="308"/>
      <c r="K61" s="308"/>
      <c r="L61" s="308"/>
      <c r="M61" s="308"/>
      <c r="N61" s="308"/>
      <c r="O61" s="308"/>
      <c r="P61" s="308"/>
      <c r="Q61" s="308"/>
      <c r="R61" s="308"/>
      <c r="S61" s="308"/>
      <c r="T61" s="308"/>
      <c r="U61" s="308"/>
      <c r="V61" s="308"/>
      <c r="W61" s="308"/>
      <c r="X61" s="308"/>
    </row>
    <row r="62" spans="1:25 16384:16384">
      <c r="A62" s="293" t="s">
        <v>2</v>
      </c>
      <c r="B62" s="277"/>
      <c r="C62" s="74"/>
      <c r="D62" s="492"/>
      <c r="E62" s="308"/>
      <c r="F62" s="308"/>
      <c r="G62" s="308"/>
      <c r="H62" s="308"/>
      <c r="I62" s="308"/>
      <c r="J62" s="308"/>
      <c r="K62" s="308"/>
      <c r="L62" s="308"/>
      <c r="M62" s="308"/>
      <c r="N62" s="308"/>
      <c r="O62" s="308"/>
      <c r="P62" s="308"/>
      <c r="Q62" s="308"/>
      <c r="R62" s="308"/>
      <c r="S62" s="308"/>
      <c r="T62" s="308"/>
      <c r="U62" s="308"/>
      <c r="V62" s="308"/>
      <c r="W62" s="308"/>
      <c r="X62" s="308"/>
    </row>
    <row r="63" spans="1:25 16384:16384" s="96" customFormat="1">
      <c r="A63" s="54" t="s">
        <v>290</v>
      </c>
      <c r="B63" s="435">
        <v>500</v>
      </c>
      <c r="C63" s="487"/>
      <c r="D63" s="486">
        <v>0</v>
      </c>
      <c r="E63" s="313">
        <v>0</v>
      </c>
      <c r="F63" s="313">
        <v>0</v>
      </c>
      <c r="G63" s="313">
        <f t="shared" ref="G63:X63" si="8">$B$63</f>
        <v>500</v>
      </c>
      <c r="H63" s="313">
        <f t="shared" si="8"/>
        <v>500</v>
      </c>
      <c r="I63" s="313">
        <f t="shared" si="8"/>
        <v>500</v>
      </c>
      <c r="J63" s="313">
        <f t="shared" si="8"/>
        <v>500</v>
      </c>
      <c r="K63" s="313">
        <f t="shared" si="8"/>
        <v>500</v>
      </c>
      <c r="L63" s="313">
        <f t="shared" si="8"/>
        <v>500</v>
      </c>
      <c r="M63" s="313">
        <f t="shared" si="8"/>
        <v>500</v>
      </c>
      <c r="N63" s="313">
        <f t="shared" si="8"/>
        <v>500</v>
      </c>
      <c r="O63" s="313">
        <f t="shared" si="8"/>
        <v>500</v>
      </c>
      <c r="P63" s="313">
        <f t="shared" si="8"/>
        <v>500</v>
      </c>
      <c r="Q63" s="313">
        <f t="shared" si="8"/>
        <v>500</v>
      </c>
      <c r="R63" s="313">
        <f t="shared" si="8"/>
        <v>500</v>
      </c>
      <c r="S63" s="313">
        <f t="shared" si="8"/>
        <v>500</v>
      </c>
      <c r="T63" s="313">
        <f t="shared" si="8"/>
        <v>500</v>
      </c>
      <c r="U63" s="313">
        <f t="shared" si="8"/>
        <v>500</v>
      </c>
      <c r="V63" s="313">
        <f t="shared" si="8"/>
        <v>500</v>
      </c>
      <c r="W63" s="313">
        <f t="shared" si="8"/>
        <v>500</v>
      </c>
      <c r="X63" s="313">
        <f t="shared" si="8"/>
        <v>500</v>
      </c>
    </row>
    <row r="64" spans="1:25 16384:16384" s="96" customFormat="1">
      <c r="A64" s="54" t="s">
        <v>540</v>
      </c>
      <c r="B64" s="435"/>
      <c r="C64" s="487"/>
      <c r="D64" s="1055">
        <v>0</v>
      </c>
      <c r="E64" s="1056">
        <v>0</v>
      </c>
      <c r="F64" s="1056">
        <v>0</v>
      </c>
      <c r="G64" s="1056">
        <v>200000</v>
      </c>
      <c r="H64" s="1056">
        <f>G64</f>
        <v>200000</v>
      </c>
      <c r="I64" s="1056">
        <f t="shared" ref="I64:X64" si="9">H64</f>
        <v>200000</v>
      </c>
      <c r="J64" s="1056">
        <f t="shared" si="9"/>
        <v>200000</v>
      </c>
      <c r="K64" s="1056">
        <f t="shared" si="9"/>
        <v>200000</v>
      </c>
      <c r="L64" s="1056">
        <f t="shared" si="9"/>
        <v>200000</v>
      </c>
      <c r="M64" s="1056">
        <f t="shared" si="9"/>
        <v>200000</v>
      </c>
      <c r="N64" s="1056">
        <f t="shared" si="9"/>
        <v>200000</v>
      </c>
      <c r="O64" s="1056">
        <f t="shared" si="9"/>
        <v>200000</v>
      </c>
      <c r="P64" s="1056">
        <f t="shared" si="9"/>
        <v>200000</v>
      </c>
      <c r="Q64" s="1056">
        <f t="shared" si="9"/>
        <v>200000</v>
      </c>
      <c r="R64" s="1056">
        <f t="shared" si="9"/>
        <v>200000</v>
      </c>
      <c r="S64" s="1056">
        <f t="shared" si="9"/>
        <v>200000</v>
      </c>
      <c r="T64" s="1056">
        <f t="shared" si="9"/>
        <v>200000</v>
      </c>
      <c r="U64" s="1056">
        <f t="shared" si="9"/>
        <v>200000</v>
      </c>
      <c r="V64" s="1056">
        <f t="shared" si="9"/>
        <v>200000</v>
      </c>
      <c r="W64" s="1056">
        <f t="shared" si="9"/>
        <v>200000</v>
      </c>
      <c r="X64" s="1056">
        <f t="shared" si="9"/>
        <v>200000</v>
      </c>
    </row>
    <row r="65" spans="1:25" s="96" customFormat="1">
      <c r="A65" s="54" t="s">
        <v>210</v>
      </c>
      <c r="B65" s="487"/>
      <c r="C65" s="487"/>
      <c r="D65" s="486">
        <v>0</v>
      </c>
      <c r="E65" s="313">
        <v>0</v>
      </c>
      <c r="F65" s="313">
        <v>1</v>
      </c>
      <c r="G65" s="313">
        <v>2</v>
      </c>
      <c r="H65" s="313">
        <v>2</v>
      </c>
      <c r="I65" s="313">
        <v>2</v>
      </c>
      <c r="J65" s="313">
        <v>3</v>
      </c>
      <c r="K65" s="313">
        <v>3</v>
      </c>
      <c r="L65" s="313">
        <v>3</v>
      </c>
      <c r="M65" s="313">
        <v>3</v>
      </c>
      <c r="N65" s="313">
        <v>3</v>
      </c>
      <c r="O65" s="313">
        <v>4</v>
      </c>
      <c r="P65" s="313">
        <v>4</v>
      </c>
      <c r="Q65" s="313">
        <v>4</v>
      </c>
      <c r="R65" s="313">
        <v>4</v>
      </c>
      <c r="S65" s="313">
        <v>4</v>
      </c>
      <c r="T65" s="313">
        <v>5</v>
      </c>
      <c r="U65" s="313">
        <v>5</v>
      </c>
      <c r="V65" s="313">
        <v>5</v>
      </c>
      <c r="W65" s="313">
        <v>5</v>
      </c>
      <c r="X65" s="313">
        <v>5</v>
      </c>
      <c r="Y65" s="313"/>
    </row>
    <row r="66" spans="1:25" s="96" customFormat="1">
      <c r="A66" s="96" t="s">
        <v>211</v>
      </c>
      <c r="D66" s="486">
        <v>0</v>
      </c>
      <c r="E66" s="435">
        <v>0</v>
      </c>
      <c r="F66" s="435">
        <v>3</v>
      </c>
      <c r="G66" s="435">
        <v>3</v>
      </c>
      <c r="H66" s="435">
        <v>3</v>
      </c>
      <c r="I66" s="435">
        <v>3</v>
      </c>
      <c r="J66" s="435">
        <v>3</v>
      </c>
      <c r="K66" s="435">
        <v>3</v>
      </c>
      <c r="L66" s="435">
        <v>3</v>
      </c>
      <c r="M66" s="435">
        <v>3</v>
      </c>
      <c r="N66" s="435">
        <v>3</v>
      </c>
      <c r="O66" s="435">
        <v>3</v>
      </c>
      <c r="P66" s="435">
        <v>3</v>
      </c>
      <c r="Q66" s="435">
        <v>3</v>
      </c>
      <c r="R66" s="435">
        <v>3</v>
      </c>
      <c r="S66" s="435">
        <v>3</v>
      </c>
      <c r="T66" s="435">
        <v>3</v>
      </c>
      <c r="U66" s="435">
        <v>3</v>
      </c>
      <c r="V66" s="435">
        <v>3</v>
      </c>
      <c r="W66" s="435">
        <v>3</v>
      </c>
      <c r="X66" s="435">
        <v>3</v>
      </c>
    </row>
    <row r="67" spans="1:25" s="167" customFormat="1">
      <c r="A67" s="497"/>
      <c r="B67" s="501"/>
      <c r="C67" s="501"/>
      <c r="D67" s="499"/>
      <c r="E67" s="500"/>
      <c r="F67" s="500"/>
      <c r="G67" s="500"/>
      <c r="H67" s="500"/>
      <c r="I67" s="500"/>
      <c r="J67" s="500"/>
      <c r="K67" s="500"/>
      <c r="L67" s="500"/>
      <c r="M67" s="500"/>
      <c r="N67" s="500"/>
      <c r="O67" s="500"/>
      <c r="P67" s="500"/>
      <c r="Q67" s="500"/>
      <c r="R67" s="500"/>
      <c r="S67" s="500"/>
      <c r="T67" s="500"/>
      <c r="U67" s="500"/>
      <c r="V67" s="500"/>
      <c r="W67" s="500"/>
      <c r="X67" s="500"/>
      <c r="Y67" s="500"/>
    </row>
    <row r="68" spans="1:25">
      <c r="A68" s="28"/>
      <c r="D68" s="486"/>
      <c r="E68" s="331"/>
      <c r="F68" s="333"/>
      <c r="G68" s="331"/>
      <c r="H68" s="331"/>
      <c r="I68" s="331"/>
      <c r="J68" s="331"/>
      <c r="K68" s="331"/>
      <c r="L68" s="331"/>
      <c r="M68" s="331"/>
      <c r="N68" s="331"/>
      <c r="O68" s="331"/>
      <c r="P68" s="331"/>
      <c r="Q68" s="331"/>
      <c r="R68" s="331"/>
      <c r="S68" s="331"/>
      <c r="T68" s="331"/>
      <c r="U68" s="331"/>
      <c r="V68" s="331"/>
      <c r="W68" s="331"/>
      <c r="X68" s="331"/>
    </row>
    <row r="69" spans="1:25">
      <c r="A69" s="266" t="s">
        <v>135</v>
      </c>
      <c r="B69" s="223"/>
      <c r="C69" s="267"/>
      <c r="D69" s="332"/>
      <c r="E69" s="332"/>
      <c r="F69" s="349"/>
      <c r="G69" s="332"/>
      <c r="H69" s="332"/>
      <c r="I69" s="332"/>
      <c r="J69" s="332"/>
      <c r="K69" s="332"/>
      <c r="L69" s="332"/>
      <c r="M69" s="332"/>
      <c r="N69" s="332"/>
      <c r="O69" s="332"/>
      <c r="P69" s="332"/>
      <c r="Q69" s="332"/>
      <c r="R69" s="332"/>
      <c r="S69" s="332"/>
      <c r="T69" s="332"/>
      <c r="U69" s="332"/>
      <c r="V69" s="332"/>
      <c r="W69" s="332"/>
      <c r="X69" s="332"/>
    </row>
    <row r="70" spans="1:25" s="341" customFormat="1">
      <c r="A70" s="353"/>
      <c r="B70" s="355"/>
      <c r="C70" s="355"/>
      <c r="D70" s="502"/>
      <c r="E70" s="503"/>
      <c r="F70" s="503"/>
      <c r="G70" s="503"/>
      <c r="H70" s="503"/>
      <c r="I70" s="503"/>
      <c r="J70" s="503"/>
      <c r="K70" s="503"/>
      <c r="L70" s="503"/>
      <c r="M70" s="503"/>
      <c r="N70" s="503"/>
      <c r="O70" s="503"/>
      <c r="P70" s="503"/>
      <c r="Q70" s="503"/>
      <c r="R70" s="503"/>
      <c r="S70" s="503"/>
      <c r="T70" s="503"/>
      <c r="U70" s="503"/>
      <c r="V70" s="503"/>
      <c r="W70" s="503"/>
      <c r="X70" s="503"/>
    </row>
    <row r="71" spans="1:25" s="341" customFormat="1">
      <c r="A71" s="691" t="s">
        <v>144</v>
      </c>
      <c r="B71" s="355"/>
      <c r="C71" s="355"/>
      <c r="D71" s="548"/>
      <c r="E71" s="503"/>
      <c r="F71" s="503"/>
      <c r="G71" s="503"/>
      <c r="H71" s="503"/>
      <c r="I71" s="503"/>
      <c r="J71" s="503"/>
      <c r="K71" s="503"/>
      <c r="L71" s="503"/>
      <c r="M71" s="503"/>
      <c r="N71" s="503"/>
      <c r="O71" s="503"/>
      <c r="P71" s="503"/>
      <c r="Q71" s="503"/>
      <c r="R71" s="503"/>
      <c r="S71" s="503"/>
      <c r="T71" s="503"/>
      <c r="U71" s="503"/>
      <c r="V71" s="503"/>
      <c r="W71" s="503"/>
      <c r="X71" s="503"/>
    </row>
    <row r="72" spans="1:25" s="561" customFormat="1">
      <c r="A72" s="353" t="str">
        <f>'BH Tariffs'!A11</f>
        <v>Port Fee</v>
      </c>
      <c r="B72" s="355"/>
      <c r="C72" s="355"/>
      <c r="D72" s="548">
        <v>0</v>
      </c>
      <c r="E72" s="503">
        <v>0</v>
      </c>
      <c r="F72" s="503">
        <v>0</v>
      </c>
      <c r="G72" s="503">
        <v>0</v>
      </c>
      <c r="H72" s="503">
        <v>0</v>
      </c>
      <c r="I72" s="503">
        <v>0</v>
      </c>
      <c r="J72" s="503">
        <v>0</v>
      </c>
      <c r="K72" s="503">
        <v>0</v>
      </c>
      <c r="L72" s="503">
        <v>0</v>
      </c>
      <c r="M72" s="503">
        <v>0</v>
      </c>
      <c r="N72" s="503">
        <v>0</v>
      </c>
      <c r="O72" s="503">
        <v>0</v>
      </c>
      <c r="P72" s="503">
        <v>0</v>
      </c>
      <c r="Q72" s="503">
        <v>0</v>
      </c>
      <c r="R72" s="503">
        <v>0</v>
      </c>
      <c r="S72" s="503">
        <v>0</v>
      </c>
      <c r="T72" s="503">
        <v>0</v>
      </c>
      <c r="U72" s="503">
        <v>0</v>
      </c>
      <c r="V72" s="503">
        <v>0</v>
      </c>
      <c r="W72" s="503">
        <v>0</v>
      </c>
      <c r="X72" s="503">
        <v>0</v>
      </c>
    </row>
    <row r="73" spans="1:25">
      <c r="A73" s="88"/>
      <c r="B73" s="89"/>
      <c r="C73" s="89"/>
      <c r="D73" s="502"/>
      <c r="E73" s="504"/>
      <c r="F73" s="504"/>
      <c r="G73" s="504"/>
      <c r="H73" s="504"/>
      <c r="I73" s="504"/>
      <c r="J73" s="504"/>
      <c r="K73" s="504"/>
      <c r="L73" s="504"/>
      <c r="M73" s="504"/>
      <c r="N73" s="504"/>
      <c r="O73" s="504"/>
      <c r="P73" s="504"/>
      <c r="Q73" s="504"/>
      <c r="R73" s="504"/>
      <c r="S73" s="504"/>
      <c r="T73" s="504"/>
      <c r="U73" s="504"/>
      <c r="V73" s="504"/>
      <c r="W73" s="504"/>
      <c r="X73" s="504"/>
    </row>
    <row r="74" spans="1:25" s="16" customFormat="1" ht="14.25">
      <c r="A74" s="280" t="s">
        <v>124</v>
      </c>
      <c r="B74" s="533"/>
      <c r="C74" s="533"/>
      <c r="D74" s="534"/>
      <c r="E74" s="535"/>
      <c r="F74" s="535"/>
      <c r="G74" s="535"/>
      <c r="H74" s="535"/>
      <c r="I74" s="535"/>
      <c r="J74" s="535"/>
      <c r="K74" s="535"/>
      <c r="L74" s="535"/>
      <c r="M74" s="535"/>
      <c r="N74" s="535"/>
      <c r="O74" s="535"/>
      <c r="P74" s="535"/>
      <c r="Q74" s="535"/>
      <c r="R74" s="535"/>
      <c r="S74" s="535"/>
      <c r="T74" s="535"/>
      <c r="U74" s="535"/>
      <c r="V74" s="535"/>
      <c r="W74" s="535"/>
      <c r="X74" s="535"/>
    </row>
    <row r="75" spans="1:25" s="279" customFormat="1" ht="14.25">
      <c r="A75" s="91" t="s">
        <v>83</v>
      </c>
      <c r="B75" s="536"/>
      <c r="C75" s="536"/>
      <c r="D75" s="537"/>
      <c r="E75" s="538"/>
      <c r="F75" s="538"/>
      <c r="G75" s="538"/>
      <c r="H75" s="538"/>
      <c r="I75" s="538"/>
      <c r="J75" s="538"/>
      <c r="K75" s="538"/>
      <c r="L75" s="538"/>
      <c r="M75" s="538"/>
      <c r="N75" s="538"/>
      <c r="O75" s="538"/>
      <c r="P75" s="538"/>
      <c r="Q75" s="538"/>
      <c r="R75" s="538"/>
      <c r="S75" s="538"/>
      <c r="T75" s="538"/>
      <c r="U75" s="538"/>
      <c r="V75" s="538"/>
      <c r="W75" s="538"/>
      <c r="X75" s="538"/>
    </row>
    <row r="76" spans="1:25">
      <c r="A76" s="90" t="str">
        <f>'BH Tariffs'!A20</f>
        <v>Town Wharfage (Non-Exclusive Use, Ferry Property Only)</v>
      </c>
      <c r="B76" s="89"/>
      <c r="C76" s="89"/>
      <c r="D76" s="502">
        <v>0</v>
      </c>
      <c r="E76" s="504">
        <f>'BH Tariffs'!D20*'P&amp;L - Concept C1 - All'!E12</f>
        <v>0</v>
      </c>
      <c r="F76" s="504">
        <f>'BH Tariffs'!E20*'P&amp;L - Concept C1 - All'!F12</f>
        <v>1176607.6686000002</v>
      </c>
      <c r="G76" s="504">
        <f>'BH Tariffs'!F20*'P&amp;L - Concept C1 - All'!G12</f>
        <v>1200139.8219719999</v>
      </c>
      <c r="H76" s="504">
        <f>'BH Tariffs'!G20*'P&amp;L - Concept C1 - All'!H12</f>
        <v>1224142.6184114402</v>
      </c>
      <c r="I76" s="504">
        <f>'BH Tariffs'!H20*'P&amp;L - Concept C1 - All'!I12</f>
        <v>1248625.4707796688</v>
      </c>
      <c r="J76" s="504">
        <f>'BH Tariffs'!I20*'P&amp;L - Concept C1 - All'!J12</f>
        <v>1273597.9801952622</v>
      </c>
      <c r="K76" s="504">
        <f>'BH Tariffs'!J20*'P&amp;L - Concept C1 - All'!K12</f>
        <v>1299069.9397991677</v>
      </c>
      <c r="L76" s="504">
        <f>'BH Tariffs'!K20*'P&amp;L - Concept C1 - All'!L12</f>
        <v>1325051.338595151</v>
      </c>
      <c r="M76" s="504">
        <f>'BH Tariffs'!L20*'P&amp;L - Concept C1 - All'!M12</f>
        <v>1351552.365367054</v>
      </c>
      <c r="N76" s="504">
        <f>'BH Tariffs'!M20*'P&amp;L - Concept C1 - All'!N12</f>
        <v>1378583.4126743951</v>
      </c>
      <c r="O76" s="504">
        <f>'BH Tariffs'!N20*'P&amp;L - Concept C1 - All'!O12</f>
        <v>1406155.080927883</v>
      </c>
      <c r="P76" s="504">
        <f>'BH Tariffs'!O20*'P&amp;L - Concept C1 - All'!P12</f>
        <v>1434278.1825464405</v>
      </c>
      <c r="Q76" s="504">
        <f>'BH Tariffs'!P20*'P&amp;L - Concept C1 - All'!Q12</f>
        <v>1462963.7461973694</v>
      </c>
      <c r="R76" s="504">
        <f>'BH Tariffs'!Q20*'P&amp;L - Concept C1 - All'!R12</f>
        <v>1492223.0211213168</v>
      </c>
      <c r="S76" s="504">
        <f>'BH Tariffs'!R20*'P&amp;L - Concept C1 - All'!S12</f>
        <v>1522067.4815437433</v>
      </c>
      <c r="T76" s="504">
        <f>'BH Tariffs'!S20*'P&amp;L - Concept C1 - All'!T12</f>
        <v>1552508.8311746181</v>
      </c>
      <c r="U76" s="504">
        <f>'BH Tariffs'!T20*'P&amp;L - Concept C1 - All'!U12</f>
        <v>1583559.0077981106</v>
      </c>
      <c r="V76" s="504">
        <f>'BH Tariffs'!U20*'P&amp;L - Concept C1 - All'!V12</f>
        <v>1615230.1879540728</v>
      </c>
      <c r="W76" s="504">
        <f>'BH Tariffs'!V20*'P&amp;L - Concept C1 - All'!W12</f>
        <v>1647534.7917131544</v>
      </c>
      <c r="X76" s="504">
        <f>'BH Tariffs'!W20*'P&amp;L - Concept C1 - All'!X12</f>
        <v>1680485.4875474174</v>
      </c>
    </row>
    <row r="77" spans="1:25" s="341" customFormat="1">
      <c r="A77" s="353" t="str">
        <f>'BH Tariffs'!A21</f>
        <v>CBP Infastructure Fee (Ferry Property Only)</v>
      </c>
      <c r="B77" s="355"/>
      <c r="C77" s="355"/>
      <c r="D77" s="548">
        <v>0</v>
      </c>
      <c r="E77" s="503">
        <v>0</v>
      </c>
      <c r="F77" s="503">
        <v>0</v>
      </c>
      <c r="G77" s="503">
        <v>0</v>
      </c>
      <c r="H77" s="503">
        <v>0</v>
      </c>
      <c r="I77" s="503">
        <v>0</v>
      </c>
      <c r="J77" s="503">
        <v>0</v>
      </c>
      <c r="K77" s="503">
        <v>0</v>
      </c>
      <c r="L77" s="503">
        <v>0</v>
      </c>
      <c r="M77" s="503">
        <v>0</v>
      </c>
      <c r="N77" s="503">
        <v>0</v>
      </c>
      <c r="O77" s="503">
        <v>0</v>
      </c>
      <c r="P77" s="503">
        <v>0</v>
      </c>
      <c r="Q77" s="503">
        <v>0</v>
      </c>
      <c r="R77" s="503">
        <v>0</v>
      </c>
      <c r="S77" s="503">
        <v>0</v>
      </c>
      <c r="T77" s="503">
        <v>0</v>
      </c>
      <c r="U77" s="503">
        <v>0</v>
      </c>
      <c r="V77" s="503">
        <v>0</v>
      </c>
      <c r="W77" s="503">
        <v>0</v>
      </c>
      <c r="X77" s="503">
        <v>0</v>
      </c>
    </row>
    <row r="78" spans="1:25" s="96" customFormat="1">
      <c r="A78" s="90" t="str">
        <f>'BH Tariffs'!A22</f>
        <v>Infrastructure Fee</v>
      </c>
      <c r="B78" s="356"/>
      <c r="C78" s="356"/>
      <c r="D78" s="502">
        <v>0</v>
      </c>
      <c r="E78" s="504">
        <v>0</v>
      </c>
      <c r="F78" s="504">
        <f>'BH Tariffs'!E22*'Cruise Projections'!V97</f>
        <v>522936.74160000001</v>
      </c>
      <c r="G78" s="504">
        <f>'BH Tariffs'!F22*'Cruise Projections'!W97</f>
        <v>533395.47643200005</v>
      </c>
      <c r="H78" s="504">
        <f>'BH Tariffs'!G22*'Cruise Projections'!X97</f>
        <v>544063.38596063992</v>
      </c>
      <c r="I78" s="504">
        <f>'BH Tariffs'!H22*'Cruise Projections'!Y97</f>
        <v>554944.65367985272</v>
      </c>
      <c r="J78" s="504">
        <f>'BH Tariffs'!I22*'Cruise Projections'!Z97</f>
        <v>566043.54675344983</v>
      </c>
      <c r="K78" s="504">
        <f>'BH Tariffs'!J22*'Cruise Projections'!AA97</f>
        <v>577364.41768851888</v>
      </c>
      <c r="L78" s="504">
        <f>'BH Tariffs'!K22*'Cruise Projections'!AB97</f>
        <v>588911.70604228915</v>
      </c>
      <c r="M78" s="504">
        <f>'BH Tariffs'!L22*'Cruise Projections'!AC97</f>
        <v>600689.94016313506</v>
      </c>
      <c r="N78" s="504">
        <f>'BH Tariffs'!M22*'Cruise Projections'!AD97</f>
        <v>612703.73896639771</v>
      </c>
      <c r="O78" s="504">
        <f>'BH Tariffs'!N22*'Cruise Projections'!AE97</f>
        <v>624957.81374572578</v>
      </c>
      <c r="P78" s="504">
        <f>'BH Tariffs'!O22*'Cruise Projections'!AF97</f>
        <v>637456.97002064029</v>
      </c>
      <c r="Q78" s="504">
        <f>'BH Tariffs'!P22*'Cruise Projections'!AG97</f>
        <v>650206.10942105309</v>
      </c>
      <c r="R78" s="504">
        <f>'BH Tariffs'!Q22*'Cruise Projections'!AH97</f>
        <v>663210.23160947405</v>
      </c>
      <c r="S78" s="504">
        <f>'BH Tariffs'!R22*'Cruise Projections'!AI97</f>
        <v>676474.43624166364</v>
      </c>
      <c r="T78" s="504">
        <f>'BH Tariffs'!S22*'Cruise Projections'!AJ97</f>
        <v>690003.924966497</v>
      </c>
      <c r="U78" s="504">
        <f>'BH Tariffs'!T22*'Cruise Projections'!AK97</f>
        <v>703804.00346582686</v>
      </c>
      <c r="V78" s="504">
        <f>'BH Tariffs'!U22*'Cruise Projections'!AL97</f>
        <v>717880.08353514341</v>
      </c>
      <c r="W78" s="504">
        <f>'BH Tariffs'!V22*'Cruise Projections'!AM97</f>
        <v>732237.68520584644</v>
      </c>
      <c r="X78" s="504">
        <f>'BH Tariffs'!W22*'Cruise Projections'!AN97</f>
        <v>746882.43890996324</v>
      </c>
    </row>
    <row r="79" spans="1:25">
      <c r="A79" s="90"/>
      <c r="B79" s="89"/>
      <c r="C79" s="89"/>
      <c r="D79" s="502"/>
      <c r="E79" s="504"/>
      <c r="F79" s="504"/>
      <c r="G79" s="504"/>
      <c r="H79" s="504"/>
      <c r="I79" s="504"/>
      <c r="J79" s="504"/>
      <c r="K79" s="504"/>
      <c r="L79" s="504"/>
      <c r="M79" s="504"/>
      <c r="N79" s="504"/>
      <c r="O79" s="504"/>
      <c r="P79" s="504"/>
      <c r="Q79" s="504"/>
      <c r="R79" s="504"/>
      <c r="S79" s="504"/>
      <c r="T79" s="504"/>
      <c r="U79" s="504"/>
      <c r="V79" s="504"/>
      <c r="W79" s="504"/>
      <c r="X79" s="504"/>
    </row>
    <row r="80" spans="1:25">
      <c r="A80" s="91" t="s">
        <v>163</v>
      </c>
      <c r="B80" s="30"/>
      <c r="C80" s="89"/>
      <c r="D80" s="502"/>
      <c r="E80" s="504"/>
      <c r="F80" s="504"/>
      <c r="G80" s="504"/>
      <c r="H80" s="504"/>
      <c r="I80" s="504"/>
      <c r="J80" s="504"/>
      <c r="K80" s="504"/>
      <c r="L80" s="504"/>
      <c r="M80" s="504"/>
      <c r="N80" s="504"/>
      <c r="O80" s="504"/>
      <c r="P80" s="504"/>
      <c r="Q80" s="504"/>
      <c r="R80" s="504"/>
      <c r="S80" s="504"/>
      <c r="T80" s="504"/>
      <c r="U80" s="504"/>
      <c r="V80" s="504"/>
      <c r="W80" s="504"/>
      <c r="X80" s="504"/>
    </row>
    <row r="81" spans="1:25">
      <c r="A81" s="88" t="str">
        <f>'BH Tariffs'!A25</f>
        <v>Dock Rent (12 months)</v>
      </c>
      <c r="B81" s="30"/>
      <c r="C81" s="89"/>
      <c r="D81" s="502">
        <v>0</v>
      </c>
      <c r="E81" s="504">
        <f>'BH Tariffs'!D25*12</f>
        <v>69000</v>
      </c>
      <c r="F81" s="504">
        <f>'BH Tariffs'!E25*12</f>
        <v>69000</v>
      </c>
      <c r="G81" s="504">
        <f>'BH Tariffs'!F25*12</f>
        <v>69000</v>
      </c>
      <c r="H81" s="504">
        <f>'BH Tariffs'!G25*12</f>
        <v>70380</v>
      </c>
      <c r="I81" s="504">
        <f>'BH Tariffs'!H25*12</f>
        <v>71787.600000000006</v>
      </c>
      <c r="J81" s="504">
        <f>'BH Tariffs'!I25*12</f>
        <v>73223.351999999999</v>
      </c>
      <c r="K81" s="504">
        <f>'BH Tariffs'!J25*12</f>
        <v>74687.819040000002</v>
      </c>
      <c r="L81" s="504">
        <f>'BH Tariffs'!K25*12</f>
        <v>76181.5754208</v>
      </c>
      <c r="M81" s="504">
        <f>'BH Tariffs'!L25*12</f>
        <v>77705.206929216016</v>
      </c>
      <c r="N81" s="504">
        <f>'BH Tariffs'!M25*12</f>
        <v>79259.311067800329</v>
      </c>
      <c r="O81" s="504">
        <f>'BH Tariffs'!N25*12</f>
        <v>80844.497289156338</v>
      </c>
      <c r="P81" s="504">
        <f>'BH Tariffs'!O25*12</f>
        <v>82461.387234939466</v>
      </c>
      <c r="Q81" s="504">
        <f>'BH Tariffs'!P25*12</f>
        <v>84110.614979638252</v>
      </c>
      <c r="R81" s="504">
        <f>'BH Tariffs'!Q25*12</f>
        <v>85792.827279231016</v>
      </c>
      <c r="S81" s="504">
        <f>'BH Tariffs'!R25*12</f>
        <v>87508.683824815642</v>
      </c>
      <c r="T81" s="504">
        <f>'BH Tariffs'!S25*12</f>
        <v>89258.857501311941</v>
      </c>
      <c r="U81" s="504">
        <f>'BH Tariffs'!T25*12</f>
        <v>91044.034651338196</v>
      </c>
      <c r="V81" s="504">
        <f>'BH Tariffs'!U25*12</f>
        <v>92864.91534436497</v>
      </c>
      <c r="W81" s="504">
        <f>'BH Tariffs'!V25*12</f>
        <v>94722.21365125227</v>
      </c>
      <c r="X81" s="504">
        <f>'BH Tariffs'!W25*12</f>
        <v>96616.657924277315</v>
      </c>
    </row>
    <row r="82" spans="1:25">
      <c r="A82" s="88" t="str">
        <f>'BH Tariffs'!A26</f>
        <v>Ferry Passenger Wharfage</v>
      </c>
      <c r="B82" s="30"/>
      <c r="C82" s="89"/>
      <c r="D82" s="502">
        <v>0</v>
      </c>
      <c r="E82" s="504">
        <f>'BH Tariffs'!D26*E18</f>
        <v>120000</v>
      </c>
      <c r="F82" s="504">
        <f>'BH Tariffs'!E26*F18</f>
        <v>140000</v>
      </c>
      <c r="G82" s="504">
        <f>'BH Tariffs'!F26*G18</f>
        <v>160000</v>
      </c>
      <c r="H82" s="504">
        <f>'BH Tariffs'!G26*H18</f>
        <v>163200</v>
      </c>
      <c r="I82" s="504">
        <f>'BH Tariffs'!H26*I18</f>
        <v>166464</v>
      </c>
      <c r="J82" s="504">
        <f>'BH Tariffs'!I26*J18</f>
        <v>169793.28</v>
      </c>
      <c r="K82" s="504">
        <f>'BH Tariffs'!J26*K18</f>
        <v>173189.14559999999</v>
      </c>
      <c r="L82" s="504">
        <f>'BH Tariffs'!K26*L18</f>
        <v>176652.92851200001</v>
      </c>
      <c r="M82" s="504">
        <f>'BH Tariffs'!L26*M18</f>
        <v>180185.98708224</v>
      </c>
      <c r="N82" s="504">
        <f>'BH Tariffs'!M26*N18</f>
        <v>183789.7068238848</v>
      </c>
      <c r="O82" s="504">
        <f>'BH Tariffs'!N26*O18</f>
        <v>187465.50096036252</v>
      </c>
      <c r="P82" s="504">
        <f>'BH Tariffs'!O26*P18</f>
        <v>191214.81097956977</v>
      </c>
      <c r="Q82" s="504">
        <f>'BH Tariffs'!P26*Q18</f>
        <v>195039.10719916117</v>
      </c>
      <c r="R82" s="504">
        <f>'BH Tariffs'!Q26*R18</f>
        <v>198939.8893431444</v>
      </c>
      <c r="S82" s="504">
        <f>'BH Tariffs'!R26*S18</f>
        <v>202918.68713000728</v>
      </c>
      <c r="T82" s="504">
        <f>'BH Tariffs'!S26*T18</f>
        <v>206977.0608726074</v>
      </c>
      <c r="U82" s="504">
        <f>'BH Tariffs'!T26*U18</f>
        <v>211116.60209005958</v>
      </c>
      <c r="V82" s="504">
        <f>'BH Tariffs'!U26*V18</f>
        <v>215338.93413186079</v>
      </c>
      <c r="W82" s="504">
        <f>'BH Tariffs'!V26*W18</f>
        <v>219645.71281449799</v>
      </c>
      <c r="X82" s="504">
        <f>'BH Tariffs'!W26*X18</f>
        <v>224038.62707078797</v>
      </c>
    </row>
    <row r="83" spans="1:25">
      <c r="A83" s="88" t="str">
        <f>'BH Tariffs'!A27</f>
        <v>Ferry Passenger Vehicle Wharfage</v>
      </c>
      <c r="B83" s="30"/>
      <c r="C83" s="89"/>
      <c r="D83" s="502">
        <v>0</v>
      </c>
      <c r="E83" s="504">
        <f>'BH Tariffs'!D27*E19</f>
        <v>72000</v>
      </c>
      <c r="F83" s="504">
        <f>'BH Tariffs'!E27*F19</f>
        <v>84000</v>
      </c>
      <c r="G83" s="504">
        <f>'BH Tariffs'!F27*G19</f>
        <v>96000</v>
      </c>
      <c r="H83" s="504">
        <f>'BH Tariffs'!G27*H19</f>
        <v>97920</v>
      </c>
      <c r="I83" s="504">
        <f>'BH Tariffs'!H27*I19</f>
        <v>99878.399999999994</v>
      </c>
      <c r="J83" s="504">
        <f>'BH Tariffs'!I27*J19</f>
        <v>101875.96799999999</v>
      </c>
      <c r="K83" s="504">
        <f>'BH Tariffs'!J27*K19</f>
        <v>103913.48736</v>
      </c>
      <c r="L83" s="504">
        <f>'BH Tariffs'!K27*L19</f>
        <v>105991.7571072</v>
      </c>
      <c r="M83" s="504">
        <f>'BH Tariffs'!L27*M19</f>
        <v>108111.592249344</v>
      </c>
      <c r="N83" s="504">
        <f>'BH Tariffs'!M27*N19</f>
        <v>110273.82409433088</v>
      </c>
      <c r="O83" s="504">
        <f>'BH Tariffs'!N27*O19</f>
        <v>112479.30057621752</v>
      </c>
      <c r="P83" s="504">
        <f>'BH Tariffs'!O27*P19</f>
        <v>114728.88658774187</v>
      </c>
      <c r="Q83" s="504">
        <f>'BH Tariffs'!P27*Q19</f>
        <v>117023.46431949669</v>
      </c>
      <c r="R83" s="504">
        <f>'BH Tariffs'!Q27*R19</f>
        <v>119363.93360588665</v>
      </c>
      <c r="S83" s="504">
        <f>'BH Tariffs'!R27*S19</f>
        <v>121751.21227800437</v>
      </c>
      <c r="T83" s="504">
        <f>'BH Tariffs'!S27*T19</f>
        <v>124186.23652356444</v>
      </c>
      <c r="U83" s="504">
        <f>'BH Tariffs'!T27*U19</f>
        <v>126669.96125403573</v>
      </c>
      <c r="V83" s="504">
        <f>'BH Tariffs'!U27*V19</f>
        <v>129203.36047911647</v>
      </c>
      <c r="W83" s="504">
        <f>'BH Tariffs'!V27*W19</f>
        <v>131787.42768869881</v>
      </c>
      <c r="X83" s="504">
        <f>'BH Tariffs'!W27*X19</f>
        <v>134423.17624247278</v>
      </c>
    </row>
    <row r="84" spans="1:25">
      <c r="A84" s="88" t="str">
        <f>'BH Tariffs'!A28</f>
        <v>Ferry Bus Wharfage</v>
      </c>
      <c r="B84" s="30"/>
      <c r="C84" s="89"/>
      <c r="D84" s="502">
        <v>0</v>
      </c>
      <c r="E84" s="504">
        <f>'BH Tariffs'!D28*'P&amp;L - Concept C1 - All'!E20</f>
        <v>800</v>
      </c>
      <c r="F84" s="504">
        <f>'BH Tariffs'!E28*'P&amp;L - Concept C1 - All'!F20</f>
        <v>1000</v>
      </c>
      <c r="G84" s="504">
        <f>'BH Tariffs'!F28*'P&amp;L - Concept C1 - All'!G20</f>
        <v>1200</v>
      </c>
      <c r="H84" s="504">
        <f>'BH Tariffs'!G28*'P&amp;L - Concept C1 - All'!H20</f>
        <v>1224</v>
      </c>
      <c r="I84" s="504">
        <f>'BH Tariffs'!H28*'P&amp;L - Concept C1 - All'!I20</f>
        <v>1248.48</v>
      </c>
      <c r="J84" s="504">
        <f>'BH Tariffs'!I28*'P&amp;L - Concept C1 - All'!J20</f>
        <v>1273.4495999999999</v>
      </c>
      <c r="K84" s="504">
        <f>'BH Tariffs'!J28*'P&amp;L - Concept C1 - All'!K20</f>
        <v>1298.918592</v>
      </c>
      <c r="L84" s="504">
        <f>'BH Tariffs'!K28*'P&amp;L - Concept C1 - All'!L20</f>
        <v>1324.8969638400001</v>
      </c>
      <c r="M84" s="504">
        <f>'BH Tariffs'!L28*'P&amp;L - Concept C1 - All'!M20</f>
        <v>1351.3949031168002</v>
      </c>
      <c r="N84" s="504">
        <f>'BH Tariffs'!M28*'P&amp;L - Concept C1 - All'!N20</f>
        <v>1378.4228011791361</v>
      </c>
      <c r="O84" s="504">
        <f>'BH Tariffs'!N28*'P&amp;L - Concept C1 - All'!O20</f>
        <v>1405.991257202719</v>
      </c>
      <c r="P84" s="504">
        <f>'BH Tariffs'!O28*'P&amp;L - Concept C1 - All'!P20</f>
        <v>1434.1110823467732</v>
      </c>
      <c r="Q84" s="504">
        <f>'BH Tariffs'!P28*'P&amp;L - Concept C1 - All'!Q20</f>
        <v>1462.7933039937088</v>
      </c>
      <c r="R84" s="504">
        <f>'BH Tariffs'!Q28*'P&amp;L - Concept C1 - All'!R20</f>
        <v>1492.0491700735829</v>
      </c>
      <c r="S84" s="504">
        <f>'BH Tariffs'!R28*'P&amp;L - Concept C1 - All'!S20</f>
        <v>1521.8901534750546</v>
      </c>
      <c r="T84" s="504">
        <f>'BH Tariffs'!S28*'P&amp;L - Concept C1 - All'!T20</f>
        <v>1552.3279565445555</v>
      </c>
      <c r="U84" s="504">
        <f>'BH Tariffs'!T28*'P&amp;L - Concept C1 - All'!U20</f>
        <v>1583.3745156754469</v>
      </c>
      <c r="V84" s="504">
        <f>'BH Tariffs'!U28*'P&amp;L - Concept C1 - All'!V20</f>
        <v>1615.0420059889559</v>
      </c>
      <c r="W84" s="504">
        <f>'BH Tariffs'!V28*'P&amp;L - Concept C1 - All'!W20</f>
        <v>1647.3428461087349</v>
      </c>
      <c r="X84" s="504">
        <f>'BH Tariffs'!W28*'P&amp;L - Concept C1 - All'!X20</f>
        <v>1680.2897030309098</v>
      </c>
    </row>
    <row r="85" spans="1:25" s="167" customFormat="1">
      <c r="A85" s="539" t="s">
        <v>592</v>
      </c>
      <c r="B85" s="609"/>
      <c r="C85" s="540"/>
      <c r="D85" s="541">
        <v>0</v>
      </c>
      <c r="E85" s="542">
        <v>-100000</v>
      </c>
      <c r="F85" s="542">
        <f>E85</f>
        <v>-100000</v>
      </c>
      <c r="G85" s="542">
        <f t="shared" ref="G85:X85" si="10">F85</f>
        <v>-100000</v>
      </c>
      <c r="H85" s="542">
        <f t="shared" si="10"/>
        <v>-100000</v>
      </c>
      <c r="I85" s="542">
        <f t="shared" si="10"/>
        <v>-100000</v>
      </c>
      <c r="J85" s="542">
        <f t="shared" si="10"/>
        <v>-100000</v>
      </c>
      <c r="K85" s="542">
        <f t="shared" si="10"/>
        <v>-100000</v>
      </c>
      <c r="L85" s="542">
        <f t="shared" si="10"/>
        <v>-100000</v>
      </c>
      <c r="M85" s="542">
        <f t="shared" si="10"/>
        <v>-100000</v>
      </c>
      <c r="N85" s="542">
        <f t="shared" si="10"/>
        <v>-100000</v>
      </c>
      <c r="O85" s="542">
        <f t="shared" si="10"/>
        <v>-100000</v>
      </c>
      <c r="P85" s="542">
        <f t="shared" si="10"/>
        <v>-100000</v>
      </c>
      <c r="Q85" s="542">
        <f t="shared" si="10"/>
        <v>-100000</v>
      </c>
      <c r="R85" s="542">
        <f t="shared" si="10"/>
        <v>-100000</v>
      </c>
      <c r="S85" s="542">
        <f t="shared" si="10"/>
        <v>-100000</v>
      </c>
      <c r="T85" s="542">
        <f t="shared" si="10"/>
        <v>-100000</v>
      </c>
      <c r="U85" s="542">
        <f t="shared" si="10"/>
        <v>-100000</v>
      </c>
      <c r="V85" s="542">
        <f t="shared" si="10"/>
        <v>-100000</v>
      </c>
      <c r="W85" s="542">
        <f t="shared" si="10"/>
        <v>-100000</v>
      </c>
      <c r="X85" s="542">
        <f t="shared" si="10"/>
        <v>-100000</v>
      </c>
    </row>
    <row r="86" spans="1:25">
      <c r="A86" s="88"/>
      <c r="B86" s="30"/>
      <c r="C86" s="89"/>
      <c r="D86" s="502"/>
      <c r="E86" s="504"/>
      <c r="F86" s="504"/>
      <c r="G86" s="504"/>
      <c r="H86" s="504"/>
      <c r="I86" s="504"/>
      <c r="J86" s="504"/>
      <c r="K86" s="504"/>
      <c r="L86" s="504"/>
      <c r="M86" s="504"/>
      <c r="N86" s="504"/>
      <c r="O86" s="504"/>
      <c r="P86" s="504"/>
      <c r="Q86" s="504"/>
      <c r="R86" s="504"/>
      <c r="S86" s="504"/>
      <c r="T86" s="504"/>
      <c r="U86" s="504"/>
      <c r="V86" s="504"/>
      <c r="W86" s="504"/>
      <c r="X86" s="504"/>
    </row>
    <row r="87" spans="1:25" s="96" customFormat="1">
      <c r="A87" s="605" t="s">
        <v>164</v>
      </c>
      <c r="B87" s="606"/>
      <c r="C87" s="356"/>
      <c r="D87" s="502"/>
      <c r="E87" s="504"/>
      <c r="F87" s="504"/>
      <c r="G87" s="504"/>
      <c r="H87" s="504"/>
      <c r="I87" s="504"/>
      <c r="J87" s="504"/>
      <c r="K87" s="504"/>
      <c r="L87" s="504"/>
      <c r="M87" s="504"/>
      <c r="N87" s="504"/>
      <c r="O87" s="504"/>
      <c r="P87" s="504"/>
      <c r="Q87" s="504"/>
      <c r="R87" s="504"/>
      <c r="S87" s="504"/>
      <c r="T87" s="504"/>
      <c r="U87" s="504"/>
      <c r="V87" s="504"/>
      <c r="W87" s="504"/>
      <c r="X87" s="504"/>
    </row>
    <row r="88" spans="1:25" s="96" customFormat="1">
      <c r="A88" s="90" t="str">
        <f>'BH Tariffs'!A31</f>
        <v>Dock Rent (6 Months Only)</v>
      </c>
      <c r="B88" s="606"/>
      <c r="C88" s="356"/>
      <c r="D88" s="502">
        <v>0</v>
      </c>
      <c r="E88" s="504">
        <v>0</v>
      </c>
      <c r="F88" s="504">
        <f>'BH Tariffs'!E31*6</f>
        <v>12240</v>
      </c>
      <c r="G88" s="504">
        <f>'BH Tariffs'!F31*6</f>
        <v>12484.800000000001</v>
      </c>
      <c r="H88" s="504">
        <f>'BH Tariffs'!G31*6</f>
        <v>12734.495999999999</v>
      </c>
      <c r="I88" s="504">
        <f>'BH Tariffs'!H31*6</f>
        <v>12989.18592</v>
      </c>
      <c r="J88" s="504">
        <f>'BH Tariffs'!I31*6</f>
        <v>13248.9696384</v>
      </c>
      <c r="K88" s="504">
        <f>'BH Tariffs'!J31*6</f>
        <v>13513.949031168002</v>
      </c>
      <c r="L88" s="504">
        <f>'BH Tariffs'!K31*6</f>
        <v>13784.228011791361</v>
      </c>
      <c r="M88" s="504">
        <f>'BH Tariffs'!L31*6</f>
        <v>14059.912572027188</v>
      </c>
      <c r="N88" s="504">
        <f>'BH Tariffs'!M31*6</f>
        <v>14341.110823467734</v>
      </c>
      <c r="O88" s="504">
        <f>'BH Tariffs'!N31*6</f>
        <v>14627.933039937088</v>
      </c>
      <c r="P88" s="504">
        <f>'BH Tariffs'!O31*6</f>
        <v>14920.491700735829</v>
      </c>
      <c r="Q88" s="504">
        <f>'BH Tariffs'!P31*6</f>
        <v>15218.901534750545</v>
      </c>
      <c r="R88" s="504">
        <f>'BH Tariffs'!Q31*6</f>
        <v>15523.279565445555</v>
      </c>
      <c r="S88" s="504">
        <f>'BH Tariffs'!R31*6</f>
        <v>15833.745156754467</v>
      </c>
      <c r="T88" s="504">
        <f>'BH Tariffs'!S31*6</f>
        <v>16150.420059889559</v>
      </c>
      <c r="U88" s="504">
        <f>'BH Tariffs'!T31*6</f>
        <v>16473.428461087351</v>
      </c>
      <c r="V88" s="504">
        <f>'BH Tariffs'!U31*6</f>
        <v>16802.897030309097</v>
      </c>
      <c r="W88" s="504">
        <f>'BH Tariffs'!V31*6</f>
        <v>17138.954970915282</v>
      </c>
      <c r="X88" s="504">
        <f>'BH Tariffs'!W31*6</f>
        <v>17481.734070333587</v>
      </c>
    </row>
    <row r="89" spans="1:25" s="96" customFormat="1">
      <c r="A89" s="90"/>
      <c r="B89" s="606"/>
      <c r="C89" s="356"/>
      <c r="D89" s="502"/>
      <c r="E89" s="504"/>
      <c r="F89" s="504"/>
      <c r="G89" s="504"/>
      <c r="H89" s="504"/>
      <c r="I89" s="504"/>
      <c r="J89" s="504"/>
      <c r="K89" s="504"/>
      <c r="L89" s="504"/>
      <c r="M89" s="504"/>
      <c r="N89" s="504"/>
      <c r="O89" s="504"/>
      <c r="P89" s="504"/>
      <c r="Q89" s="504"/>
      <c r="R89" s="504"/>
      <c r="S89" s="504"/>
      <c r="T89" s="504"/>
      <c r="U89" s="504"/>
      <c r="V89" s="504"/>
      <c r="W89" s="504"/>
      <c r="X89" s="504"/>
    </row>
    <row r="90" spans="1:25" s="582" customFormat="1" ht="14.25">
      <c r="A90" s="605" t="str">
        <f>'BH Tariffs'!A33</f>
        <v>Recreational/Commercial Marina</v>
      </c>
      <c r="B90" s="607"/>
      <c r="C90" s="608"/>
      <c r="D90" s="537"/>
      <c r="E90" s="538"/>
      <c r="F90" s="538"/>
      <c r="G90" s="538"/>
      <c r="H90" s="538"/>
      <c r="I90" s="538"/>
      <c r="J90" s="538"/>
      <c r="K90" s="538"/>
      <c r="L90" s="538"/>
      <c r="M90" s="538"/>
      <c r="N90" s="538"/>
      <c r="O90" s="538"/>
      <c r="P90" s="538"/>
      <c r="Q90" s="538"/>
      <c r="R90" s="538"/>
      <c r="S90" s="538"/>
      <c r="T90" s="538"/>
      <c r="U90" s="538"/>
      <c r="V90" s="538"/>
      <c r="W90" s="538"/>
      <c r="X90" s="538"/>
    </row>
    <row r="91" spans="1:25" s="96" customFormat="1">
      <c r="A91" s="90" t="str">
        <f>'BH Tariffs'!A34</f>
        <v>Transient Slip Rent</v>
      </c>
      <c r="B91" s="606"/>
      <c r="C91" s="356"/>
      <c r="D91" s="502">
        <v>0</v>
      </c>
      <c r="E91" s="504">
        <v>0</v>
      </c>
      <c r="F91" s="504">
        <f>'BH Tariffs'!E34*'P&amp;L - Concept C1 - All'!F57</f>
        <v>24370.791468749998</v>
      </c>
      <c r="G91" s="504">
        <f>'BH Tariffs'!F34*'P&amp;L - Concept C1 - All'!G57</f>
        <v>24858.207298124998</v>
      </c>
      <c r="H91" s="504">
        <f>'BH Tariffs'!G34*'P&amp;L - Concept C1 - All'!H57</f>
        <v>25355.371444087494</v>
      </c>
      <c r="I91" s="504">
        <f>'BH Tariffs'!H34*'P&amp;L - Concept C1 - All'!I57</f>
        <v>25862.478872969248</v>
      </c>
      <c r="J91" s="504">
        <f>'BH Tariffs'!I34*'P&amp;L - Concept C1 - All'!J57</f>
        <v>26379.728450428636</v>
      </c>
      <c r="K91" s="504">
        <f>'BH Tariffs'!J34*'P&amp;L - Concept C1 - All'!K57</f>
        <v>26907.323019437208</v>
      </c>
      <c r="L91" s="504">
        <f>'BH Tariffs'!K34*'P&amp;L - Concept C1 - All'!L57</f>
        <v>27445.469479825952</v>
      </c>
      <c r="M91" s="504">
        <f>'BH Tariffs'!L34*'P&amp;L - Concept C1 - All'!M57</f>
        <v>27994.378869422475</v>
      </c>
      <c r="N91" s="504">
        <f>'BH Tariffs'!M34*'P&amp;L - Concept C1 - All'!N57</f>
        <v>28554.266446810921</v>
      </c>
      <c r="O91" s="504">
        <f>'BH Tariffs'!N34*'P&amp;L - Concept C1 - All'!O57</f>
        <v>29125.351775747142</v>
      </c>
      <c r="P91" s="504">
        <f>'BH Tariffs'!O34*'P&amp;L - Concept C1 - All'!P57</f>
        <v>29707.858811262082</v>
      </c>
      <c r="Q91" s="504">
        <f>'BH Tariffs'!P34*'P&amp;L - Concept C1 - All'!Q57</f>
        <v>30302.015987487324</v>
      </c>
      <c r="R91" s="504">
        <f>'BH Tariffs'!Q34*'P&amp;L - Concept C1 - All'!R57</f>
        <v>30908.056307237068</v>
      </c>
      <c r="S91" s="504">
        <f>'BH Tariffs'!R34*'P&amp;L - Concept C1 - All'!S57</f>
        <v>31526.217433381815</v>
      </c>
      <c r="T91" s="504">
        <f>'BH Tariffs'!S34*'P&amp;L - Concept C1 - All'!T57</f>
        <v>32156.741782049452</v>
      </c>
      <c r="U91" s="504">
        <f>'BH Tariffs'!T34*'P&amp;L - Concept C1 - All'!U57</f>
        <v>32799.876617690439</v>
      </c>
      <c r="V91" s="504">
        <f>'BH Tariffs'!U34*'P&amp;L - Concept C1 - All'!V57</f>
        <v>33455.874150044256</v>
      </c>
      <c r="W91" s="504">
        <f>'BH Tariffs'!V34*'P&amp;L - Concept C1 - All'!W57</f>
        <v>34124.991633045138</v>
      </c>
      <c r="X91" s="504">
        <f>'BH Tariffs'!W34*'P&amp;L - Concept C1 - All'!X57</f>
        <v>34807.491465706036</v>
      </c>
    </row>
    <row r="92" spans="1:25" s="96" customFormat="1">
      <c r="A92" s="90" t="s">
        <v>280</v>
      </c>
      <c r="B92" s="606"/>
      <c r="C92" s="356"/>
      <c r="D92" s="502">
        <v>0</v>
      </c>
      <c r="E92" s="504">
        <v>0</v>
      </c>
      <c r="F92" s="504">
        <f>'BH Tariffs'!E35*'P&amp;L - Concept C1 - All'!F58</f>
        <v>38459.610000000008</v>
      </c>
      <c r="G92" s="504">
        <f>'BH Tariffs'!F35*'P&amp;L - Concept C1 - All'!G58</f>
        <v>39228.802200000006</v>
      </c>
      <c r="H92" s="504">
        <f>'BH Tariffs'!G35*'P&amp;L - Concept C1 - All'!H58</f>
        <v>40013.378244</v>
      </c>
      <c r="I92" s="504">
        <f>'BH Tariffs'!H35*'P&amp;L - Concept C1 - All'!I58</f>
        <v>40813.645808879999</v>
      </c>
      <c r="J92" s="504">
        <f>'BH Tariffs'!I35*'P&amp;L - Concept C1 - All'!J58</f>
        <v>41629.9187250576</v>
      </c>
      <c r="K92" s="504">
        <f>'BH Tariffs'!J35*'P&amp;L - Concept C1 - All'!K58</f>
        <v>42462.517099558754</v>
      </c>
      <c r="L92" s="504">
        <f>'BH Tariffs'!K35*'P&amp;L - Concept C1 - All'!L58</f>
        <v>43311.767441549935</v>
      </c>
      <c r="M92" s="504">
        <f>'BH Tariffs'!L35*'P&amp;L - Concept C1 - All'!M58</f>
        <v>44178.002790380931</v>
      </c>
      <c r="N92" s="504">
        <f>'BH Tariffs'!M35*'P&amp;L - Concept C1 - All'!N58</f>
        <v>45061.56284618855</v>
      </c>
      <c r="O92" s="504">
        <f>'BH Tariffs'!N35*'P&amp;L - Concept C1 - All'!O58</f>
        <v>45962.794103112326</v>
      </c>
      <c r="P92" s="504">
        <f>'BH Tariffs'!O35*'P&amp;L - Concept C1 - All'!P58</f>
        <v>46882.04998517457</v>
      </c>
      <c r="Q92" s="504">
        <f>'BH Tariffs'!P35*'P&amp;L - Concept C1 - All'!Q58</f>
        <v>47819.690984878056</v>
      </c>
      <c r="R92" s="504">
        <f>'BH Tariffs'!Q35*'P&amp;L - Concept C1 - All'!R58</f>
        <v>48776.084804575621</v>
      </c>
      <c r="S92" s="504">
        <f>'BH Tariffs'!R35*'P&amp;L - Concept C1 - All'!S58</f>
        <v>49751.606500667134</v>
      </c>
      <c r="T92" s="504">
        <f>'BH Tariffs'!S35*'P&amp;L - Concept C1 - All'!T58</f>
        <v>50746.638630680485</v>
      </c>
      <c r="U92" s="504">
        <f>'BH Tariffs'!T35*'P&amp;L - Concept C1 - All'!U58</f>
        <v>51761.571403294096</v>
      </c>
      <c r="V92" s="504">
        <f>'BH Tariffs'!U35*'P&amp;L - Concept C1 - All'!V58</f>
        <v>52796.802831359972</v>
      </c>
      <c r="W92" s="504">
        <f>'BH Tariffs'!V35*'P&amp;L - Concept C1 - All'!W58</f>
        <v>53852.738887987187</v>
      </c>
      <c r="X92" s="504">
        <f>'BH Tariffs'!W35*'P&amp;L - Concept C1 - All'!X58</f>
        <v>54929.793665746925</v>
      </c>
    </row>
    <row r="93" spans="1:25" s="167" customFormat="1">
      <c r="A93" s="539" t="str">
        <f>'BH Tariffs'!A36</f>
        <v>Water/Sewer</v>
      </c>
      <c r="B93" s="609"/>
      <c r="C93" s="540"/>
      <c r="D93" s="541">
        <v>0</v>
      </c>
      <c r="E93" s="542">
        <v>0</v>
      </c>
      <c r="F93" s="542">
        <v>0</v>
      </c>
      <c r="G93" s="542">
        <v>0</v>
      </c>
      <c r="H93" s="542">
        <v>0</v>
      </c>
      <c r="I93" s="542">
        <v>0</v>
      </c>
      <c r="J93" s="542">
        <v>0</v>
      </c>
      <c r="K93" s="542">
        <v>0</v>
      </c>
      <c r="L93" s="542">
        <v>0</v>
      </c>
      <c r="M93" s="542">
        <v>0</v>
      </c>
      <c r="N93" s="542">
        <v>0</v>
      </c>
      <c r="O93" s="542">
        <v>0</v>
      </c>
      <c r="P93" s="542">
        <v>0</v>
      </c>
      <c r="Q93" s="542">
        <v>0</v>
      </c>
      <c r="R93" s="542">
        <v>0</v>
      </c>
      <c r="S93" s="542">
        <v>0</v>
      </c>
      <c r="T93" s="542">
        <v>0</v>
      </c>
      <c r="U93" s="542">
        <v>0</v>
      </c>
      <c r="V93" s="542">
        <v>0</v>
      </c>
      <c r="W93" s="542">
        <v>0</v>
      </c>
      <c r="X93" s="542">
        <v>0</v>
      </c>
      <c r="Y93" s="167" t="s">
        <v>282</v>
      </c>
    </row>
    <row r="94" spans="1:25" s="167" customFormat="1">
      <c r="A94" s="539" t="str">
        <f>'BH Tariffs'!A37</f>
        <v xml:space="preserve">Power (Electricity) </v>
      </c>
      <c r="B94" s="609"/>
      <c r="C94" s="540"/>
      <c r="D94" s="541">
        <v>0</v>
      </c>
      <c r="E94" s="542">
        <v>0</v>
      </c>
      <c r="F94" s="542">
        <v>0</v>
      </c>
      <c r="G94" s="542">
        <v>0</v>
      </c>
      <c r="H94" s="542">
        <v>0</v>
      </c>
      <c r="I94" s="542">
        <v>0</v>
      </c>
      <c r="J94" s="542">
        <v>0</v>
      </c>
      <c r="K94" s="542">
        <v>0</v>
      </c>
      <c r="L94" s="542">
        <v>0</v>
      </c>
      <c r="M94" s="542">
        <v>0</v>
      </c>
      <c r="N94" s="542">
        <v>0</v>
      </c>
      <c r="O94" s="542">
        <v>0</v>
      </c>
      <c r="P94" s="542">
        <v>0</v>
      </c>
      <c r="Q94" s="542">
        <v>0</v>
      </c>
      <c r="R94" s="542">
        <v>0</v>
      </c>
      <c r="S94" s="542">
        <v>0</v>
      </c>
      <c r="T94" s="542">
        <v>0</v>
      </c>
      <c r="U94" s="542">
        <v>0</v>
      </c>
      <c r="V94" s="542">
        <v>0</v>
      </c>
      <c r="W94" s="542">
        <v>0</v>
      </c>
      <c r="X94" s="542">
        <v>0</v>
      </c>
      <c r="Y94" s="167" t="s">
        <v>282</v>
      </c>
    </row>
    <row r="95" spans="1:25" s="96" customFormat="1">
      <c r="A95" s="90" t="s">
        <v>526</v>
      </c>
      <c r="B95" s="606"/>
      <c r="C95" s="356"/>
      <c r="D95" s="502">
        <v>0</v>
      </c>
      <c r="E95" s="504">
        <v>0</v>
      </c>
      <c r="F95" s="504">
        <f>'BH Tariffs'!E38*'P&amp;L - Concept C1 - All'!F56</f>
        <v>7500</v>
      </c>
      <c r="G95" s="504">
        <f>'BH Tariffs'!F38*'P&amp;L - Concept C1 - All'!G56</f>
        <v>7650</v>
      </c>
      <c r="H95" s="504">
        <f>'BH Tariffs'!G38*'P&amp;L - Concept C1 - All'!H56</f>
        <v>7803</v>
      </c>
      <c r="I95" s="504">
        <f>'BH Tariffs'!H38*'P&amp;L - Concept C1 - All'!I56</f>
        <v>7959.0599999999995</v>
      </c>
      <c r="J95" s="504">
        <f>'BH Tariffs'!I38*'P&amp;L - Concept C1 - All'!J56</f>
        <v>8118.2411999999995</v>
      </c>
      <c r="K95" s="504">
        <f>'BH Tariffs'!J38*'P&amp;L - Concept C1 - All'!K56</f>
        <v>8280.6060240000006</v>
      </c>
      <c r="L95" s="504">
        <f>'BH Tariffs'!K38*'P&amp;L - Concept C1 - All'!L56</f>
        <v>8446.2181444800008</v>
      </c>
      <c r="M95" s="504">
        <f>'BH Tariffs'!L38*'P&amp;L - Concept C1 - All'!M56</f>
        <v>8615.1425073696009</v>
      </c>
      <c r="N95" s="504">
        <f>'BH Tariffs'!M38*'P&amp;L - Concept C1 - All'!N56</f>
        <v>8787.4453575169937</v>
      </c>
      <c r="O95" s="504">
        <f>'BH Tariffs'!N38*'P&amp;L - Concept C1 - All'!O56</f>
        <v>8963.1942646673324</v>
      </c>
      <c r="P95" s="504">
        <f>'BH Tariffs'!O38*'P&amp;L - Concept C1 - All'!P56</f>
        <v>9142.4581499606793</v>
      </c>
      <c r="Q95" s="504">
        <f>'BH Tariffs'!P38*'P&amp;L - Concept C1 - All'!Q56</f>
        <v>9325.3073129598943</v>
      </c>
      <c r="R95" s="504">
        <f>'BH Tariffs'!Q38*'P&amp;L - Concept C1 - All'!R56</f>
        <v>9511.8134592190909</v>
      </c>
      <c r="S95" s="504">
        <f>'BH Tariffs'!R38*'P&amp;L - Concept C1 - All'!S56</f>
        <v>9702.0497284034718</v>
      </c>
      <c r="T95" s="504">
        <f>'BH Tariffs'!S38*'P&amp;L - Concept C1 - All'!T56</f>
        <v>9896.0907229715431</v>
      </c>
      <c r="U95" s="504">
        <f>'BH Tariffs'!T38*'P&amp;L - Concept C1 - All'!U56</f>
        <v>10094.012537430975</v>
      </c>
      <c r="V95" s="504">
        <f>'BH Tariffs'!U38*'P&amp;L - Concept C1 - All'!V56</f>
        <v>10295.892788179593</v>
      </c>
      <c r="W95" s="504">
        <f>'BH Tariffs'!V38*'P&amp;L - Concept C1 - All'!W56</f>
        <v>10501.810643943187</v>
      </c>
      <c r="X95" s="504">
        <f>'BH Tariffs'!W38*'P&amp;L - Concept C1 - All'!X56</f>
        <v>10711.846856822051</v>
      </c>
    </row>
    <row r="96" spans="1:25">
      <c r="A96" s="88"/>
      <c r="B96" s="30"/>
      <c r="C96" s="89"/>
      <c r="D96" s="502"/>
      <c r="E96" s="504"/>
      <c r="F96" s="504"/>
      <c r="G96" s="504"/>
      <c r="H96" s="504"/>
      <c r="I96" s="504"/>
      <c r="J96" s="504"/>
      <c r="K96" s="504"/>
      <c r="L96" s="504"/>
      <c r="M96" s="504"/>
      <c r="N96" s="504"/>
      <c r="O96" s="504"/>
      <c r="P96" s="504"/>
      <c r="Q96" s="504"/>
      <c r="R96" s="504"/>
      <c r="S96" s="504"/>
      <c r="T96" s="504"/>
      <c r="U96" s="504"/>
      <c r="V96" s="504"/>
      <c r="W96" s="504"/>
      <c r="X96" s="504"/>
    </row>
    <row r="97" spans="1:24">
      <c r="A97" s="91" t="s">
        <v>26</v>
      </c>
      <c r="B97" s="30"/>
      <c r="C97" s="89"/>
      <c r="D97" s="502"/>
      <c r="E97" s="504"/>
      <c r="F97" s="504"/>
      <c r="G97" s="504"/>
      <c r="H97" s="504"/>
      <c r="I97" s="504"/>
      <c r="J97" s="504"/>
      <c r="K97" s="504"/>
      <c r="L97" s="504"/>
      <c r="M97" s="504"/>
      <c r="N97" s="504"/>
      <c r="O97" s="504"/>
      <c r="P97" s="504"/>
      <c r="Q97" s="504"/>
      <c r="R97" s="504"/>
      <c r="S97" s="504"/>
      <c r="T97" s="504"/>
      <c r="U97" s="504"/>
      <c r="V97" s="504"/>
      <c r="W97" s="504"/>
      <c r="X97" s="504"/>
    </row>
    <row r="98" spans="1:24" s="341" customFormat="1">
      <c r="A98" s="353" t="s">
        <v>214</v>
      </c>
      <c r="B98" s="354"/>
      <c r="C98" s="355"/>
      <c r="D98" s="548">
        <v>0</v>
      </c>
      <c r="E98" s="503">
        <v>0</v>
      </c>
      <c r="F98" s="503">
        <v>0</v>
      </c>
      <c r="G98" s="503">
        <v>0</v>
      </c>
      <c r="H98" s="503">
        <v>0</v>
      </c>
      <c r="I98" s="503">
        <v>0</v>
      </c>
      <c r="J98" s="503">
        <v>0</v>
      </c>
      <c r="K98" s="503">
        <v>0</v>
      </c>
      <c r="L98" s="503">
        <v>0</v>
      </c>
      <c r="M98" s="503">
        <v>0</v>
      </c>
      <c r="N98" s="503">
        <v>0</v>
      </c>
      <c r="O98" s="503">
        <v>0</v>
      </c>
      <c r="P98" s="503">
        <v>0</v>
      </c>
      <c r="Q98" s="503">
        <v>0</v>
      </c>
      <c r="R98" s="503">
        <v>0</v>
      </c>
      <c r="S98" s="503">
        <v>0</v>
      </c>
      <c r="T98" s="503">
        <v>0</v>
      </c>
      <c r="U98" s="503">
        <v>0</v>
      </c>
      <c r="V98" s="503">
        <v>0</v>
      </c>
      <c r="W98" s="503">
        <v>0</v>
      </c>
      <c r="X98" s="503">
        <v>0</v>
      </c>
    </row>
    <row r="99" spans="1:24">
      <c r="A99" s="88" t="s">
        <v>215</v>
      </c>
      <c r="B99" s="30"/>
      <c r="C99" s="89"/>
      <c r="D99" s="502">
        <v>0</v>
      </c>
      <c r="E99" s="504">
        <f>'BH Tariffs'!D43*'Parking Projections'!C90</f>
        <v>0</v>
      </c>
      <c r="F99" s="504">
        <f>'BH Tariffs'!E43*'Parking Projections'!D90</f>
        <v>0</v>
      </c>
      <c r="G99" s="504">
        <f>'BH Tariffs'!F43*'Parking Projections'!E90</f>
        <v>0</v>
      </c>
      <c r="H99" s="504">
        <f>'BH Tariffs'!G43*'Parking Projections'!F90</f>
        <v>0</v>
      </c>
      <c r="I99" s="504">
        <f>'BH Tariffs'!H43*'Parking Projections'!G90</f>
        <v>0</v>
      </c>
      <c r="J99" s="504">
        <f>'BH Tariffs'!I43*'Parking Projections'!H90</f>
        <v>216287.84722222219</v>
      </c>
      <c r="K99" s="504">
        <f>'BH Tariffs'!J43*'Parking Projections'!I90</f>
        <v>216287.84722222219</v>
      </c>
      <c r="L99" s="504">
        <f>'BH Tariffs'!K43*'Parking Projections'!J90</f>
        <v>216287.84722222219</v>
      </c>
      <c r="M99" s="504">
        <f>'BH Tariffs'!L43*'Parking Projections'!K90</f>
        <v>216287.84722222219</v>
      </c>
      <c r="N99" s="504">
        <f>'BH Tariffs'!M43*'Parking Projections'!L90</f>
        <v>216287.84722222219</v>
      </c>
      <c r="O99" s="504">
        <f>'BH Tariffs'!N43*'Parking Projections'!M90</f>
        <v>270359.80902777775</v>
      </c>
      <c r="P99" s="504">
        <f>'BH Tariffs'!O43*'Parking Projections'!N90</f>
        <v>270359.80902777775</v>
      </c>
      <c r="Q99" s="504">
        <f>'BH Tariffs'!P43*'Parking Projections'!O90</f>
        <v>270359.80902777775</v>
      </c>
      <c r="R99" s="504">
        <f>'BH Tariffs'!Q43*'Parking Projections'!P90</f>
        <v>270359.80902777775</v>
      </c>
      <c r="S99" s="504">
        <f>'BH Tariffs'!R43*'Parking Projections'!Q90</f>
        <v>270359.80902777775</v>
      </c>
      <c r="T99" s="504">
        <f>'BH Tariffs'!S43*'Parking Projections'!R90</f>
        <v>324431.77083333326</v>
      </c>
      <c r="U99" s="504">
        <f>'BH Tariffs'!T43*'Parking Projections'!S90</f>
        <v>324431.77083333326</v>
      </c>
      <c r="V99" s="504">
        <f>'BH Tariffs'!U43*'Parking Projections'!T90</f>
        <v>324431.77083333326</v>
      </c>
      <c r="W99" s="504">
        <f>'BH Tariffs'!V43*'Parking Projections'!U90</f>
        <v>324431.77083333326</v>
      </c>
      <c r="X99" s="504">
        <f>'BH Tariffs'!W43*'Parking Projections'!V90</f>
        <v>324431.77083333326</v>
      </c>
    </row>
    <row r="100" spans="1:24">
      <c r="A100" s="91"/>
      <c r="B100" s="30"/>
      <c r="C100" s="89"/>
      <c r="D100" s="502"/>
      <c r="E100" s="504"/>
      <c r="F100" s="504"/>
      <c r="G100" s="504"/>
      <c r="H100" s="504"/>
      <c r="I100" s="504"/>
      <c r="J100" s="504"/>
      <c r="K100" s="504"/>
      <c r="L100" s="504"/>
      <c r="M100" s="504"/>
      <c r="N100" s="504"/>
      <c r="O100" s="504"/>
      <c r="P100" s="504"/>
      <c r="Q100" s="504"/>
      <c r="R100" s="504"/>
      <c r="S100" s="504"/>
      <c r="T100" s="504"/>
      <c r="U100" s="504"/>
      <c r="V100" s="504"/>
      <c r="W100" s="504"/>
      <c r="X100" s="504"/>
    </row>
    <row r="101" spans="1:24">
      <c r="A101" s="91" t="s">
        <v>2</v>
      </c>
      <c r="B101" s="30"/>
      <c r="C101" s="89"/>
      <c r="D101" s="502"/>
      <c r="E101" s="504"/>
      <c r="F101" s="504"/>
      <c r="G101" s="504"/>
      <c r="H101" s="504"/>
      <c r="I101" s="504"/>
      <c r="J101" s="504"/>
      <c r="K101" s="504"/>
      <c r="L101" s="504"/>
      <c r="M101" s="504"/>
      <c r="N101" s="504"/>
      <c r="O101" s="504"/>
      <c r="P101" s="504"/>
      <c r="Q101" s="504"/>
      <c r="R101" s="504"/>
      <c r="S101" s="504"/>
      <c r="T101" s="504"/>
      <c r="U101" s="504"/>
      <c r="V101" s="504"/>
      <c r="W101" s="504"/>
      <c r="X101" s="504"/>
    </row>
    <row r="102" spans="1:24">
      <c r="A102" s="88" t="str">
        <f>'BH Tariffs'!A44</f>
        <v>Commerical Rent (Seasonal Kiosk(s)/Vendor(s))</v>
      </c>
      <c r="B102" s="30"/>
      <c r="C102" s="89"/>
      <c r="D102" s="502">
        <v>0</v>
      </c>
      <c r="E102" s="504">
        <f>'BH Tariffs'!D44*'P&amp;L - Concept C1 - All'!E63</f>
        <v>0</v>
      </c>
      <c r="F102" s="504">
        <f>'BH Tariffs'!E44*'P&amp;L - Concept C1 - All'!F63</f>
        <v>0</v>
      </c>
      <c r="G102" s="504">
        <f>'BH Tariffs'!F44*'P&amp;L - Concept C1 - All'!G63*6</f>
        <v>6242.4000000000005</v>
      </c>
      <c r="H102" s="504">
        <f>'BH Tariffs'!G44*'P&amp;L - Concept C1 - All'!H63*6</f>
        <v>6367.2479999999996</v>
      </c>
      <c r="I102" s="504">
        <f>'BH Tariffs'!H44*'P&amp;L - Concept C1 - All'!I63*6</f>
        <v>6494.5929599999999</v>
      </c>
      <c r="J102" s="504">
        <f>'BH Tariffs'!I44*'P&amp;L - Concept C1 - All'!J63*6</f>
        <v>6624.4848191999999</v>
      </c>
      <c r="K102" s="504">
        <f>'BH Tariffs'!J44*'P&amp;L - Concept C1 - All'!K63*6</f>
        <v>6756.974515584001</v>
      </c>
      <c r="L102" s="504">
        <f>'BH Tariffs'!K44*'P&amp;L - Concept C1 - All'!L63*6</f>
        <v>6892.1140058956807</v>
      </c>
      <c r="M102" s="504">
        <f>'BH Tariffs'!L44*'P&amp;L - Concept C1 - All'!M63*6</f>
        <v>7029.9562860135939</v>
      </c>
      <c r="N102" s="504">
        <f>'BH Tariffs'!M44*'P&amp;L - Concept C1 - All'!N63*6</f>
        <v>7170.555411733867</v>
      </c>
      <c r="O102" s="504">
        <f>'BH Tariffs'!N44*'P&amp;L - Concept C1 - All'!O63*6</f>
        <v>7313.9665199685442</v>
      </c>
      <c r="P102" s="504">
        <f>'BH Tariffs'!O44*'P&amp;L - Concept C1 - All'!P63*6</f>
        <v>7460.2458503679145</v>
      </c>
      <c r="Q102" s="504">
        <f>'BH Tariffs'!P44*'P&amp;L - Concept C1 - All'!Q63*6</f>
        <v>7609.4507673752723</v>
      </c>
      <c r="R102" s="504">
        <f>'BH Tariffs'!Q44*'P&amp;L - Concept C1 - All'!R63*6</f>
        <v>7761.6397827227775</v>
      </c>
      <c r="S102" s="504">
        <f>'BH Tariffs'!R44*'P&amp;L - Concept C1 - All'!S63*6</f>
        <v>7916.8725783772334</v>
      </c>
      <c r="T102" s="504">
        <f>'BH Tariffs'!S44*'P&amp;L - Concept C1 - All'!T63*6</f>
        <v>8075.2100299447793</v>
      </c>
      <c r="U102" s="504">
        <f>'BH Tariffs'!T44*'P&amp;L - Concept C1 - All'!U63*6</f>
        <v>8236.7142305436755</v>
      </c>
      <c r="V102" s="504">
        <f>'BH Tariffs'!U44*'P&amp;L - Concept C1 - All'!V63*6</f>
        <v>8401.4485151545487</v>
      </c>
      <c r="W102" s="504">
        <f>'BH Tariffs'!V44*'P&amp;L - Concept C1 - All'!W63*6</f>
        <v>8569.4774854576408</v>
      </c>
      <c r="X102" s="504">
        <f>'BH Tariffs'!W44*'P&amp;L - Concept C1 - All'!X63*6</f>
        <v>8740.8670351667934</v>
      </c>
    </row>
    <row r="103" spans="1:24" s="96" customFormat="1">
      <c r="A103" s="90" t="s">
        <v>541</v>
      </c>
      <c r="B103" s="606"/>
      <c r="C103" s="356"/>
      <c r="D103" s="502">
        <v>0</v>
      </c>
      <c r="E103" s="504">
        <v>0</v>
      </c>
      <c r="F103" s="504">
        <v>0</v>
      </c>
      <c r="G103" s="504">
        <f>G64*0.05</f>
        <v>10000</v>
      </c>
      <c r="H103" s="504">
        <f t="shared" ref="H103:X103" si="11">H64*0.05</f>
        <v>10000</v>
      </c>
      <c r="I103" s="504">
        <f t="shared" si="11"/>
        <v>10000</v>
      </c>
      <c r="J103" s="504">
        <f t="shared" si="11"/>
        <v>10000</v>
      </c>
      <c r="K103" s="504">
        <f t="shared" si="11"/>
        <v>10000</v>
      </c>
      <c r="L103" s="504">
        <f t="shared" si="11"/>
        <v>10000</v>
      </c>
      <c r="M103" s="504">
        <f t="shared" si="11"/>
        <v>10000</v>
      </c>
      <c r="N103" s="504">
        <f t="shared" si="11"/>
        <v>10000</v>
      </c>
      <c r="O103" s="504">
        <f t="shared" si="11"/>
        <v>10000</v>
      </c>
      <c r="P103" s="504">
        <f t="shared" si="11"/>
        <v>10000</v>
      </c>
      <c r="Q103" s="504">
        <f t="shared" si="11"/>
        <v>10000</v>
      </c>
      <c r="R103" s="504">
        <f t="shared" si="11"/>
        <v>10000</v>
      </c>
      <c r="S103" s="504">
        <f t="shared" si="11"/>
        <v>10000</v>
      </c>
      <c r="T103" s="504">
        <f t="shared" si="11"/>
        <v>10000</v>
      </c>
      <c r="U103" s="504">
        <f t="shared" si="11"/>
        <v>10000</v>
      </c>
      <c r="V103" s="504">
        <f t="shared" si="11"/>
        <v>10000</v>
      </c>
      <c r="W103" s="504">
        <f t="shared" si="11"/>
        <v>10000</v>
      </c>
      <c r="X103" s="504">
        <f t="shared" si="11"/>
        <v>10000</v>
      </c>
    </row>
    <row r="104" spans="1:24">
      <c r="A104" s="88" t="str">
        <f>'BH Tariffs'!A45</f>
        <v>Motorcoach Access/Tour Operator Licenses</v>
      </c>
      <c r="B104" s="30"/>
      <c r="C104" s="89"/>
      <c r="D104" s="502">
        <v>0</v>
      </c>
      <c r="E104" s="504">
        <v>0</v>
      </c>
      <c r="F104" s="504">
        <f>'BH Tariffs'!E45*'P&amp;L - Concept C1 - All'!F66</f>
        <v>3060</v>
      </c>
      <c r="G104" s="504">
        <f>'BH Tariffs'!F45*'P&amp;L - Concept C1 - All'!G66</f>
        <v>3121.2000000000003</v>
      </c>
      <c r="H104" s="504">
        <f>'BH Tariffs'!G45*'P&amp;L - Concept C1 - All'!H66</f>
        <v>3183.6239999999998</v>
      </c>
      <c r="I104" s="504">
        <f>'BH Tariffs'!H45*'P&amp;L - Concept C1 - All'!I66</f>
        <v>3247.29648</v>
      </c>
      <c r="J104" s="504">
        <f>'BH Tariffs'!I45*'P&amp;L - Concept C1 - All'!J66</f>
        <v>3312.2424096</v>
      </c>
      <c r="K104" s="504">
        <f>'BH Tariffs'!J45*'P&amp;L - Concept C1 - All'!K66</f>
        <v>3378.4872577920005</v>
      </c>
      <c r="L104" s="504">
        <f>'BH Tariffs'!K45*'P&amp;L - Concept C1 - All'!L66</f>
        <v>3446.0570029478404</v>
      </c>
      <c r="M104" s="504">
        <f>'BH Tariffs'!L45*'P&amp;L - Concept C1 - All'!M66</f>
        <v>3514.9781430067969</v>
      </c>
      <c r="N104" s="504">
        <f>'BH Tariffs'!M45*'P&amp;L - Concept C1 - All'!N66</f>
        <v>3585.2777058669335</v>
      </c>
      <c r="O104" s="504">
        <f>'BH Tariffs'!N45*'P&amp;L - Concept C1 - All'!O66</f>
        <v>3656.9832599842721</v>
      </c>
      <c r="P104" s="504">
        <f>'BH Tariffs'!O45*'P&amp;L - Concept C1 - All'!P66</f>
        <v>3730.1229251839572</v>
      </c>
      <c r="Q104" s="504">
        <f>'BH Tariffs'!P45*'P&amp;L - Concept C1 - All'!Q66</f>
        <v>3804.7253836876362</v>
      </c>
      <c r="R104" s="504">
        <f>'BH Tariffs'!Q45*'P&amp;L - Concept C1 - All'!R66</f>
        <v>3880.8198913613887</v>
      </c>
      <c r="S104" s="504">
        <f>'BH Tariffs'!R45*'P&amp;L - Concept C1 - All'!S66</f>
        <v>3958.4362891886167</v>
      </c>
      <c r="T104" s="504">
        <f>'BH Tariffs'!S45*'P&amp;L - Concept C1 - All'!T66</f>
        <v>4037.6050149723897</v>
      </c>
      <c r="U104" s="504">
        <f>'BH Tariffs'!T45*'P&amp;L - Concept C1 - All'!U66</f>
        <v>4118.3571152718378</v>
      </c>
      <c r="V104" s="504">
        <f>'BH Tariffs'!U45*'P&amp;L - Concept C1 - All'!V66</f>
        <v>4200.7242575772743</v>
      </c>
      <c r="W104" s="504">
        <f>'BH Tariffs'!V45*'P&amp;L - Concept C1 - All'!W66</f>
        <v>4284.7387427288204</v>
      </c>
      <c r="X104" s="504">
        <f>'BH Tariffs'!W45*'P&amp;L - Concept C1 - All'!X66</f>
        <v>4370.4335175833967</v>
      </c>
    </row>
    <row r="105" spans="1:24">
      <c r="A105" s="299" t="s">
        <v>217</v>
      </c>
      <c r="B105" s="299"/>
      <c r="C105" s="299"/>
      <c r="D105" s="505">
        <v>0</v>
      </c>
      <c r="E105" s="506">
        <v>0</v>
      </c>
      <c r="F105" s="506">
        <f>'BH Tariffs'!E46*'P&amp;L - Concept C1 - All'!F65</f>
        <v>500</v>
      </c>
      <c r="G105" s="506">
        <f>'BH Tariffs'!F46*'P&amp;L - Concept C1 - All'!G65</f>
        <v>1000</v>
      </c>
      <c r="H105" s="506">
        <f>'BH Tariffs'!G46*'P&amp;L - Concept C1 - All'!H65</f>
        <v>1000</v>
      </c>
      <c r="I105" s="506">
        <f>'BH Tariffs'!H46*'P&amp;L - Concept C1 - All'!I65</f>
        <v>1000</v>
      </c>
      <c r="J105" s="506">
        <f>'BH Tariffs'!I46*'P&amp;L - Concept C1 - All'!J65</f>
        <v>1650</v>
      </c>
      <c r="K105" s="506">
        <f>'BH Tariffs'!J46*'P&amp;L - Concept C1 - All'!K65</f>
        <v>1650</v>
      </c>
      <c r="L105" s="506">
        <f>'BH Tariffs'!K46*'P&amp;L - Concept C1 - All'!L65</f>
        <v>1650</v>
      </c>
      <c r="M105" s="506">
        <f>'BH Tariffs'!L46*'P&amp;L - Concept C1 - All'!M65</f>
        <v>1650</v>
      </c>
      <c r="N105" s="506">
        <f>'BH Tariffs'!M46*'P&amp;L - Concept C1 - All'!N65</f>
        <v>1650</v>
      </c>
      <c r="O105" s="506">
        <f>'BH Tariffs'!N46*'P&amp;L - Concept C1 - All'!O65</f>
        <v>2400</v>
      </c>
      <c r="P105" s="506">
        <f>'BH Tariffs'!O46*'P&amp;L - Concept C1 - All'!P65</f>
        <v>2400</v>
      </c>
      <c r="Q105" s="506">
        <f>'BH Tariffs'!P46*'P&amp;L - Concept C1 - All'!Q65</f>
        <v>2400</v>
      </c>
      <c r="R105" s="506">
        <f>'BH Tariffs'!Q46*'P&amp;L - Concept C1 - All'!R65</f>
        <v>2400</v>
      </c>
      <c r="S105" s="506">
        <f>'BH Tariffs'!R46*'P&amp;L - Concept C1 - All'!S65</f>
        <v>2400</v>
      </c>
      <c r="T105" s="506">
        <f>'BH Tariffs'!S46*'P&amp;L - Concept C1 - All'!T65</f>
        <v>3250</v>
      </c>
      <c r="U105" s="506">
        <f>'BH Tariffs'!T46*'P&amp;L - Concept C1 - All'!U65</f>
        <v>3250</v>
      </c>
      <c r="V105" s="506">
        <f>'BH Tariffs'!U46*'P&amp;L - Concept C1 - All'!V65</f>
        <v>3250</v>
      </c>
      <c r="W105" s="506">
        <f>'BH Tariffs'!V46*'P&amp;L - Concept C1 - All'!W65</f>
        <v>3250</v>
      </c>
      <c r="X105" s="506">
        <f>'BH Tariffs'!W46*'P&amp;L - Concept C1 - All'!X65</f>
        <v>3250</v>
      </c>
    </row>
    <row r="106" spans="1:24">
      <c r="A106" s="278" t="s">
        <v>145</v>
      </c>
      <c r="D106" s="507">
        <f>SUM(D71:D105)</f>
        <v>0</v>
      </c>
      <c r="E106" s="508">
        <f>SUM(E70:E105)</f>
        <v>161800</v>
      </c>
      <c r="F106" s="508">
        <f t="shared" ref="F106:X106" si="12">SUM(F70:F105)</f>
        <v>1979674.8116687504</v>
      </c>
      <c r="G106" s="508">
        <f t="shared" si="12"/>
        <v>2064320.7079021249</v>
      </c>
      <c r="H106" s="508">
        <f t="shared" si="12"/>
        <v>2107387.1220601671</v>
      </c>
      <c r="I106" s="508">
        <f t="shared" si="12"/>
        <v>2151314.864501371</v>
      </c>
      <c r="J106" s="508">
        <f t="shared" si="12"/>
        <v>2413059.0090136197</v>
      </c>
      <c r="K106" s="508">
        <f t="shared" si="12"/>
        <v>2458761.4322494483</v>
      </c>
      <c r="L106" s="508">
        <f t="shared" si="12"/>
        <v>2505377.9039499923</v>
      </c>
      <c r="M106" s="508">
        <f t="shared" si="12"/>
        <v>2552926.7050845483</v>
      </c>
      <c r="N106" s="508">
        <f t="shared" si="12"/>
        <v>2601426.4822417949</v>
      </c>
      <c r="O106" s="508">
        <f t="shared" si="12"/>
        <v>2705718.2167477431</v>
      </c>
      <c r="P106" s="508">
        <f t="shared" si="12"/>
        <v>2756177.3849021406</v>
      </c>
      <c r="Q106" s="508">
        <f t="shared" si="12"/>
        <v>2807645.7364196288</v>
      </c>
      <c r="R106" s="508">
        <f t="shared" si="12"/>
        <v>2860143.4549674657</v>
      </c>
      <c r="S106" s="508">
        <f t="shared" si="12"/>
        <v>2913691.1278862595</v>
      </c>
      <c r="T106" s="508">
        <f t="shared" si="12"/>
        <v>3023231.7160689849</v>
      </c>
      <c r="U106" s="508">
        <f t="shared" si="12"/>
        <v>3078942.7149736984</v>
      </c>
      <c r="V106" s="508">
        <f t="shared" si="12"/>
        <v>3135767.933856505</v>
      </c>
      <c r="W106" s="508">
        <f t="shared" si="12"/>
        <v>3193729.6571169691</v>
      </c>
      <c r="X106" s="508">
        <f t="shared" si="12"/>
        <v>3252850.6148426412</v>
      </c>
    </row>
    <row r="107" spans="1:24">
      <c r="D107" s="507"/>
      <c r="E107" s="413"/>
      <c r="F107" s="413"/>
      <c r="G107" s="413"/>
      <c r="H107" s="413"/>
      <c r="I107" s="413"/>
      <c r="J107" s="413"/>
      <c r="K107" s="413"/>
      <c r="L107" s="413"/>
      <c r="M107" s="413"/>
      <c r="N107" s="413"/>
      <c r="O107" s="413"/>
      <c r="P107" s="413"/>
      <c r="Q107" s="413"/>
      <c r="R107" s="413"/>
      <c r="S107" s="413"/>
      <c r="T107" s="413"/>
      <c r="U107" s="413"/>
      <c r="V107" s="413"/>
      <c r="W107" s="413"/>
      <c r="X107" s="413"/>
    </row>
    <row r="108" spans="1:24">
      <c r="A108" s="271" t="s">
        <v>146</v>
      </c>
      <c r="B108" s="149"/>
      <c r="C108" s="149"/>
      <c r="D108" s="509"/>
      <c r="E108" s="510"/>
      <c r="F108" s="510"/>
      <c r="G108" s="510"/>
      <c r="H108" s="510"/>
      <c r="I108" s="510"/>
      <c r="J108" s="510"/>
      <c r="K108" s="510"/>
      <c r="L108" s="510"/>
      <c r="M108" s="510"/>
      <c r="N108" s="510"/>
      <c r="O108" s="510"/>
      <c r="P108" s="510"/>
      <c r="Q108" s="510"/>
      <c r="R108" s="510"/>
      <c r="S108" s="510"/>
      <c r="T108" s="510"/>
      <c r="U108" s="510"/>
      <c r="V108" s="510"/>
      <c r="W108" s="510"/>
      <c r="X108" s="510"/>
    </row>
    <row r="109" spans="1:24">
      <c r="D109" s="507"/>
      <c r="E109" s="413"/>
      <c r="F109" s="413"/>
      <c r="G109" s="413"/>
      <c r="H109" s="413"/>
      <c r="I109" s="413"/>
      <c r="J109" s="413"/>
      <c r="K109" s="413"/>
      <c r="L109" s="413"/>
      <c r="M109" s="413"/>
      <c r="N109" s="413"/>
      <c r="O109" s="413"/>
      <c r="P109" s="413"/>
      <c r="Q109" s="413"/>
      <c r="R109" s="413"/>
      <c r="S109" s="413"/>
      <c r="T109" s="413"/>
      <c r="U109" s="413"/>
      <c r="V109" s="413"/>
      <c r="W109" s="413"/>
      <c r="X109" s="413"/>
    </row>
    <row r="110" spans="1:24">
      <c r="A110" s="91" t="s">
        <v>380</v>
      </c>
      <c r="B110" s="89"/>
      <c r="C110" s="89"/>
      <c r="D110" s="502"/>
      <c r="E110" s="504"/>
      <c r="F110" s="504"/>
      <c r="G110" s="504"/>
      <c r="H110" s="504"/>
      <c r="I110" s="504"/>
      <c r="J110" s="504"/>
      <c r="K110" s="504"/>
      <c r="L110" s="504"/>
      <c r="M110" s="504"/>
      <c r="N110" s="504"/>
      <c r="O110" s="504"/>
      <c r="P110" s="504"/>
      <c r="Q110" s="504"/>
      <c r="R110" s="504"/>
      <c r="S110" s="504"/>
      <c r="T110" s="504"/>
      <c r="U110" s="504"/>
      <c r="V110" s="504"/>
      <c r="W110" s="504"/>
      <c r="X110" s="504"/>
    </row>
    <row r="111" spans="1:24">
      <c r="A111" s="88" t="s">
        <v>432</v>
      </c>
      <c r="B111" s="89"/>
      <c r="C111" s="89"/>
      <c r="D111" s="502">
        <v>0</v>
      </c>
      <c r="E111" s="504">
        <v>0</v>
      </c>
      <c r="F111" s="504">
        <v>0</v>
      </c>
      <c r="G111" s="504">
        <v>0</v>
      </c>
      <c r="H111" s="504">
        <v>0</v>
      </c>
      <c r="I111" s="504">
        <v>0</v>
      </c>
      <c r="J111" s="504">
        <v>0</v>
      </c>
      <c r="K111" s="504">
        <v>0</v>
      </c>
      <c r="L111" s="504">
        <v>0</v>
      </c>
      <c r="M111" s="504">
        <v>0</v>
      </c>
      <c r="N111" s="504">
        <v>0</v>
      </c>
      <c r="O111" s="504">
        <v>0</v>
      </c>
      <c r="P111" s="504">
        <v>0</v>
      </c>
      <c r="Q111" s="504">
        <v>0</v>
      </c>
      <c r="R111" s="504">
        <v>0</v>
      </c>
      <c r="S111" s="504">
        <v>0</v>
      </c>
      <c r="T111" s="504">
        <v>0</v>
      </c>
      <c r="U111" s="504">
        <v>0</v>
      </c>
      <c r="V111" s="504">
        <v>0</v>
      </c>
      <c r="W111" s="504">
        <v>0</v>
      </c>
      <c r="X111" s="504">
        <v>0</v>
      </c>
    </row>
    <row r="112" spans="1:24">
      <c r="A112" s="88" t="s">
        <v>433</v>
      </c>
      <c r="B112" s="89"/>
      <c r="C112" s="89"/>
      <c r="D112" s="502">
        <v>0</v>
      </c>
      <c r="E112" s="504">
        <v>0</v>
      </c>
      <c r="F112" s="504">
        <v>0</v>
      </c>
      <c r="G112" s="504">
        <v>0</v>
      </c>
      <c r="H112" s="504">
        <v>0</v>
      </c>
      <c r="I112" s="504">
        <v>0</v>
      </c>
      <c r="J112" s="504">
        <v>0</v>
      </c>
      <c r="K112" s="504">
        <v>0</v>
      </c>
      <c r="L112" s="504">
        <v>0</v>
      </c>
      <c r="M112" s="504">
        <v>0</v>
      </c>
      <c r="N112" s="504">
        <v>0</v>
      </c>
      <c r="O112" s="504">
        <v>0</v>
      </c>
      <c r="P112" s="504">
        <v>0</v>
      </c>
      <c r="Q112" s="504">
        <v>0</v>
      </c>
      <c r="R112" s="504">
        <v>0</v>
      </c>
      <c r="S112" s="504">
        <v>0</v>
      </c>
      <c r="T112" s="504">
        <v>0</v>
      </c>
      <c r="U112" s="504">
        <v>0</v>
      </c>
      <c r="V112" s="504">
        <v>0</v>
      </c>
      <c r="W112" s="504">
        <v>0</v>
      </c>
      <c r="X112" s="504">
        <v>0</v>
      </c>
    </row>
    <row r="113" spans="1:25">
      <c r="A113" s="88" t="s">
        <v>434</v>
      </c>
      <c r="B113" s="89"/>
      <c r="C113" s="89"/>
      <c r="D113" s="502">
        <v>0</v>
      </c>
      <c r="E113" s="504">
        <v>0</v>
      </c>
      <c r="F113" s="504">
        <v>0</v>
      </c>
      <c r="G113" s="504">
        <v>0</v>
      </c>
      <c r="H113" s="504">
        <v>0</v>
      </c>
      <c r="I113" s="504">
        <v>0</v>
      </c>
      <c r="J113" s="504">
        <v>0</v>
      </c>
      <c r="K113" s="504">
        <v>0</v>
      </c>
      <c r="L113" s="504">
        <v>0</v>
      </c>
      <c r="M113" s="504">
        <v>0</v>
      </c>
      <c r="N113" s="504">
        <v>0</v>
      </c>
      <c r="O113" s="504">
        <v>0</v>
      </c>
      <c r="P113" s="504">
        <v>0</v>
      </c>
      <c r="Q113" s="504">
        <v>0</v>
      </c>
      <c r="R113" s="504">
        <v>0</v>
      </c>
      <c r="S113" s="504">
        <v>0</v>
      </c>
      <c r="T113" s="504">
        <v>0</v>
      </c>
      <c r="U113" s="504">
        <v>0</v>
      </c>
      <c r="V113" s="504">
        <v>0</v>
      </c>
      <c r="W113" s="504">
        <v>0</v>
      </c>
      <c r="X113" s="504">
        <v>0</v>
      </c>
    </row>
    <row r="114" spans="1:25">
      <c r="A114" s="88" t="s">
        <v>229</v>
      </c>
      <c r="B114" s="30"/>
      <c r="C114" s="89"/>
      <c r="D114" s="502">
        <v>0</v>
      </c>
      <c r="E114" s="504">
        <v>0</v>
      </c>
      <c r="F114" s="504">
        <v>0</v>
      </c>
      <c r="G114" s="504">
        <v>0</v>
      </c>
      <c r="H114" s="504">
        <v>0</v>
      </c>
      <c r="I114" s="504">
        <v>0</v>
      </c>
      <c r="J114" s="504">
        <v>0</v>
      </c>
      <c r="K114" s="504">
        <v>0</v>
      </c>
      <c r="L114" s="504">
        <v>0</v>
      </c>
      <c r="M114" s="504">
        <v>0</v>
      </c>
      <c r="N114" s="504">
        <v>0</v>
      </c>
      <c r="O114" s="504">
        <v>0</v>
      </c>
      <c r="P114" s="504">
        <v>0</v>
      </c>
      <c r="Q114" s="504">
        <v>0</v>
      </c>
      <c r="R114" s="504">
        <v>0</v>
      </c>
      <c r="S114" s="504">
        <v>0</v>
      </c>
      <c r="T114" s="504">
        <v>0</v>
      </c>
      <c r="U114" s="504">
        <v>0</v>
      </c>
      <c r="V114" s="504">
        <v>0</v>
      </c>
      <c r="W114" s="504">
        <v>0</v>
      </c>
      <c r="X114" s="504">
        <v>0</v>
      </c>
    </row>
    <row r="115" spans="1:25" s="32" customFormat="1">
      <c r="A115" s="299" t="s">
        <v>297</v>
      </c>
      <c r="B115" s="299"/>
      <c r="C115" s="299"/>
      <c r="D115" s="505">
        <v>0</v>
      </c>
      <c r="E115" s="506">
        <f>E53</f>
        <v>0</v>
      </c>
      <c r="F115" s="506">
        <f t="shared" ref="F115:X115" si="13">F53</f>
        <v>0</v>
      </c>
      <c r="G115" s="506">
        <f t="shared" si="13"/>
        <v>100000</v>
      </c>
      <c r="H115" s="506">
        <f t="shared" si="13"/>
        <v>100000</v>
      </c>
      <c r="I115" s="506">
        <f t="shared" si="13"/>
        <v>100000</v>
      </c>
      <c r="J115" s="506">
        <f t="shared" si="13"/>
        <v>100000</v>
      </c>
      <c r="K115" s="506">
        <f t="shared" si="13"/>
        <v>100000</v>
      </c>
      <c r="L115" s="506">
        <f t="shared" si="13"/>
        <v>100000</v>
      </c>
      <c r="M115" s="506">
        <f t="shared" si="13"/>
        <v>100000</v>
      </c>
      <c r="N115" s="506">
        <f t="shared" si="13"/>
        <v>100000</v>
      </c>
      <c r="O115" s="506">
        <f t="shared" si="13"/>
        <v>100000</v>
      </c>
      <c r="P115" s="506">
        <f t="shared" si="13"/>
        <v>100000</v>
      </c>
      <c r="Q115" s="506">
        <f t="shared" si="13"/>
        <v>100000</v>
      </c>
      <c r="R115" s="506">
        <f t="shared" si="13"/>
        <v>100000</v>
      </c>
      <c r="S115" s="506">
        <f t="shared" si="13"/>
        <v>100000</v>
      </c>
      <c r="T115" s="506">
        <f t="shared" si="13"/>
        <v>100000</v>
      </c>
      <c r="U115" s="506">
        <f t="shared" si="13"/>
        <v>100000</v>
      </c>
      <c r="V115" s="506">
        <f t="shared" si="13"/>
        <v>100000</v>
      </c>
      <c r="W115" s="506">
        <f t="shared" si="13"/>
        <v>100000</v>
      </c>
      <c r="X115" s="506">
        <f t="shared" si="13"/>
        <v>100000</v>
      </c>
    </row>
    <row r="116" spans="1:25">
      <c r="A116" s="278" t="s">
        <v>147</v>
      </c>
      <c r="D116" s="507">
        <f>SUM(D114:D115)</f>
        <v>0</v>
      </c>
      <c r="E116" s="508">
        <f>SUM(E111:E115)</f>
        <v>0</v>
      </c>
      <c r="F116" s="508">
        <f t="shared" ref="F116:X116" si="14">SUM(F111:F115)</f>
        <v>0</v>
      </c>
      <c r="G116" s="508">
        <f t="shared" si="14"/>
        <v>100000</v>
      </c>
      <c r="H116" s="508">
        <f t="shared" si="14"/>
        <v>100000</v>
      </c>
      <c r="I116" s="508">
        <f t="shared" si="14"/>
        <v>100000</v>
      </c>
      <c r="J116" s="508">
        <f t="shared" si="14"/>
        <v>100000</v>
      </c>
      <c r="K116" s="508">
        <f t="shared" si="14"/>
        <v>100000</v>
      </c>
      <c r="L116" s="508">
        <f t="shared" si="14"/>
        <v>100000</v>
      </c>
      <c r="M116" s="508">
        <f t="shared" si="14"/>
        <v>100000</v>
      </c>
      <c r="N116" s="508">
        <f t="shared" si="14"/>
        <v>100000</v>
      </c>
      <c r="O116" s="508">
        <f t="shared" si="14"/>
        <v>100000</v>
      </c>
      <c r="P116" s="508">
        <f t="shared" si="14"/>
        <v>100000</v>
      </c>
      <c r="Q116" s="508">
        <f t="shared" si="14"/>
        <v>100000</v>
      </c>
      <c r="R116" s="508">
        <f t="shared" si="14"/>
        <v>100000</v>
      </c>
      <c r="S116" s="508">
        <f t="shared" si="14"/>
        <v>100000</v>
      </c>
      <c r="T116" s="508">
        <f t="shared" si="14"/>
        <v>100000</v>
      </c>
      <c r="U116" s="508">
        <f t="shared" si="14"/>
        <v>100000</v>
      </c>
      <c r="V116" s="508">
        <f t="shared" si="14"/>
        <v>100000</v>
      </c>
      <c r="W116" s="508">
        <f t="shared" si="14"/>
        <v>100000</v>
      </c>
      <c r="X116" s="508">
        <f t="shared" si="14"/>
        <v>100000</v>
      </c>
    </row>
    <row r="117" spans="1:25">
      <c r="D117" s="507"/>
      <c r="E117" s="413"/>
      <c r="F117" s="413"/>
      <c r="G117" s="413"/>
      <c r="H117" s="413"/>
      <c r="I117" s="413"/>
      <c r="J117" s="413"/>
      <c r="K117" s="413"/>
      <c r="L117" s="413"/>
      <c r="M117" s="413"/>
      <c r="N117" s="413"/>
      <c r="O117" s="413"/>
      <c r="P117" s="413"/>
      <c r="Q117" s="413"/>
      <c r="R117" s="413"/>
      <c r="S117" s="413"/>
      <c r="T117" s="413"/>
      <c r="U117" s="413"/>
      <c r="V117" s="413"/>
      <c r="W117" s="413"/>
      <c r="X117" s="413"/>
    </row>
    <row r="118" spans="1:25">
      <c r="A118" s="88" t="s">
        <v>608</v>
      </c>
      <c r="D118" s="507">
        <f t="shared" ref="D118" si="15">SUM(D116:D117)</f>
        <v>0</v>
      </c>
      <c r="E118" s="413">
        <v>58025</v>
      </c>
      <c r="F118" s="413">
        <v>0</v>
      </c>
      <c r="G118" s="413">
        <v>0</v>
      </c>
      <c r="H118" s="413">
        <v>0</v>
      </c>
      <c r="I118" s="413">
        <v>0</v>
      </c>
      <c r="J118" s="413">
        <v>0</v>
      </c>
      <c r="K118" s="413">
        <v>0</v>
      </c>
      <c r="L118" s="413">
        <v>0</v>
      </c>
      <c r="M118" s="413">
        <v>0</v>
      </c>
      <c r="N118" s="413">
        <v>0</v>
      </c>
      <c r="O118" s="413">
        <v>0</v>
      </c>
      <c r="P118" s="413">
        <v>0</v>
      </c>
      <c r="Q118" s="413">
        <v>0</v>
      </c>
      <c r="R118" s="413">
        <v>0</v>
      </c>
      <c r="S118" s="413">
        <v>0</v>
      </c>
      <c r="T118" s="413">
        <v>0</v>
      </c>
      <c r="U118" s="413">
        <v>0</v>
      </c>
      <c r="V118" s="413">
        <v>0</v>
      </c>
      <c r="W118" s="413">
        <v>0</v>
      </c>
      <c r="X118" s="413">
        <v>0</v>
      </c>
    </row>
    <row r="119" spans="1:25">
      <c r="D119" s="507"/>
      <c r="E119" s="413"/>
      <c r="F119" s="413"/>
      <c r="G119" s="413"/>
      <c r="H119" s="413"/>
      <c r="I119" s="413"/>
      <c r="J119" s="413"/>
      <c r="K119" s="413"/>
      <c r="L119" s="413"/>
      <c r="M119" s="413"/>
      <c r="N119" s="413"/>
      <c r="O119" s="413"/>
      <c r="P119" s="413"/>
      <c r="Q119" s="413"/>
      <c r="R119" s="413"/>
      <c r="S119" s="413"/>
      <c r="T119" s="413"/>
      <c r="U119" s="413"/>
      <c r="V119" s="413"/>
      <c r="W119" s="413"/>
      <c r="X119" s="413"/>
    </row>
    <row r="120" spans="1:25" s="16" customFormat="1" ht="14.25">
      <c r="A120" s="295" t="s">
        <v>148</v>
      </c>
      <c r="B120" s="295"/>
      <c r="C120" s="295"/>
      <c r="D120" s="511">
        <f>SUM(D106,D116)</f>
        <v>0</v>
      </c>
      <c r="E120" s="511">
        <f>SUM(E106,E116,E118)</f>
        <v>219825</v>
      </c>
      <c r="F120" s="511">
        <f t="shared" ref="F120:X120" si="16">SUM(F106,F116,F118)</f>
        <v>1979674.8116687504</v>
      </c>
      <c r="G120" s="511">
        <f t="shared" si="16"/>
        <v>2164320.7079021251</v>
      </c>
      <c r="H120" s="511">
        <f t="shared" si="16"/>
        <v>2207387.1220601671</v>
      </c>
      <c r="I120" s="511">
        <f t="shared" si="16"/>
        <v>2251314.864501371</v>
      </c>
      <c r="J120" s="511">
        <f t="shared" si="16"/>
        <v>2513059.0090136197</v>
      </c>
      <c r="K120" s="511">
        <f t="shared" si="16"/>
        <v>2558761.4322494483</v>
      </c>
      <c r="L120" s="511">
        <f t="shared" si="16"/>
        <v>2605377.9039499923</v>
      </c>
      <c r="M120" s="511">
        <f t="shared" si="16"/>
        <v>2652926.7050845483</v>
      </c>
      <c r="N120" s="511">
        <f t="shared" si="16"/>
        <v>2701426.4822417949</v>
      </c>
      <c r="O120" s="511">
        <f t="shared" si="16"/>
        <v>2805718.2167477431</v>
      </c>
      <c r="P120" s="511">
        <f t="shared" si="16"/>
        <v>2856177.3849021406</v>
      </c>
      <c r="Q120" s="511">
        <f t="shared" si="16"/>
        <v>2907645.7364196288</v>
      </c>
      <c r="R120" s="511">
        <f t="shared" si="16"/>
        <v>2960143.4549674657</v>
      </c>
      <c r="S120" s="511">
        <f t="shared" si="16"/>
        <v>3013691.1278862595</v>
      </c>
      <c r="T120" s="511">
        <f t="shared" si="16"/>
        <v>3123231.7160689849</v>
      </c>
      <c r="U120" s="511">
        <f t="shared" si="16"/>
        <v>3178942.7149736984</v>
      </c>
      <c r="V120" s="511">
        <f t="shared" si="16"/>
        <v>3235767.933856505</v>
      </c>
      <c r="W120" s="511">
        <f t="shared" si="16"/>
        <v>3293729.6571169691</v>
      </c>
      <c r="X120" s="511">
        <f t="shared" si="16"/>
        <v>3352850.6148426412</v>
      </c>
      <c r="Y120" s="622">
        <f>SUM(D120:X120)</f>
        <v>52581972.596453846</v>
      </c>
    </row>
    <row r="121" spans="1:25">
      <c r="A121" s="30"/>
      <c r="B121" s="30"/>
      <c r="C121" s="30"/>
      <c r="D121" s="502"/>
      <c r="E121" s="512"/>
      <c r="F121" s="512"/>
      <c r="G121" s="512"/>
      <c r="H121" s="512"/>
      <c r="I121" s="512"/>
      <c r="J121" s="512"/>
      <c r="K121" s="512"/>
      <c r="L121" s="512"/>
      <c r="M121" s="512"/>
      <c r="N121" s="512"/>
      <c r="O121" s="512"/>
      <c r="P121" s="512"/>
      <c r="Q121" s="512"/>
      <c r="R121" s="512"/>
      <c r="S121" s="512"/>
      <c r="T121" s="512"/>
      <c r="U121" s="512"/>
      <c r="V121" s="512"/>
      <c r="W121" s="512"/>
      <c r="X121" s="512"/>
    </row>
    <row r="122" spans="1:25" s="33" customFormat="1">
      <c r="A122" s="47" t="s">
        <v>7</v>
      </c>
      <c r="B122" s="47" t="s">
        <v>7</v>
      </c>
      <c r="C122" s="78" t="s">
        <v>7</v>
      </c>
      <c r="D122" s="604" t="s">
        <v>7</v>
      </c>
      <c r="E122" s="78" t="s">
        <v>7</v>
      </c>
      <c r="F122" s="78" t="s">
        <v>7</v>
      </c>
      <c r="G122" s="78" t="s">
        <v>7</v>
      </c>
      <c r="H122" s="78" t="s">
        <v>7</v>
      </c>
      <c r="I122" s="78" t="s">
        <v>7</v>
      </c>
      <c r="J122" s="78" t="s">
        <v>7</v>
      </c>
      <c r="K122" s="78" t="s">
        <v>7</v>
      </c>
      <c r="L122" s="78" t="s">
        <v>7</v>
      </c>
      <c r="M122" s="78" t="s">
        <v>7</v>
      </c>
      <c r="N122" s="78" t="s">
        <v>7</v>
      </c>
      <c r="O122" s="78" t="s">
        <v>7</v>
      </c>
      <c r="P122" s="78" t="s">
        <v>7</v>
      </c>
      <c r="Q122" s="78" t="s">
        <v>7</v>
      </c>
      <c r="R122" s="78" t="s">
        <v>7</v>
      </c>
      <c r="S122" s="78" t="s">
        <v>7</v>
      </c>
      <c r="T122" s="78" t="s">
        <v>7</v>
      </c>
      <c r="U122" s="78" t="s">
        <v>7</v>
      </c>
      <c r="V122" s="78" t="s">
        <v>7</v>
      </c>
      <c r="W122" s="78" t="s">
        <v>7</v>
      </c>
      <c r="X122" s="78" t="s">
        <v>7</v>
      </c>
    </row>
    <row r="123" spans="1:25">
      <c r="A123" s="30"/>
      <c r="B123" s="30"/>
      <c r="C123" s="30"/>
      <c r="D123" s="502"/>
      <c r="E123" s="512"/>
      <c r="F123" s="512"/>
      <c r="G123" s="512"/>
      <c r="H123" s="512"/>
      <c r="I123" s="512"/>
      <c r="J123" s="512"/>
      <c r="K123" s="512"/>
      <c r="L123" s="512"/>
      <c r="M123" s="512"/>
      <c r="N123" s="512"/>
      <c r="O123" s="512"/>
      <c r="P123" s="512"/>
      <c r="Q123" s="512"/>
      <c r="R123" s="512"/>
      <c r="S123" s="512"/>
      <c r="T123" s="512"/>
      <c r="U123" s="512"/>
      <c r="V123" s="512"/>
      <c r="W123" s="512"/>
      <c r="X123" s="512"/>
    </row>
    <row r="124" spans="1:25">
      <c r="A124" s="269" t="s">
        <v>131</v>
      </c>
      <c r="B124" s="269"/>
      <c r="C124" s="270"/>
      <c r="D124" s="513"/>
      <c r="E124" s="513"/>
      <c r="F124" s="513"/>
      <c r="G124" s="513"/>
      <c r="H124" s="513"/>
      <c r="I124" s="513"/>
      <c r="J124" s="513"/>
      <c r="K124" s="513"/>
      <c r="L124" s="513"/>
      <c r="M124" s="513"/>
      <c r="N124" s="513"/>
      <c r="O124" s="513"/>
      <c r="P124" s="513"/>
      <c r="Q124" s="513"/>
      <c r="R124" s="513"/>
      <c r="S124" s="513"/>
      <c r="T124" s="513"/>
      <c r="U124" s="513"/>
      <c r="V124" s="513"/>
      <c r="W124" s="513"/>
      <c r="X124" s="513"/>
    </row>
    <row r="125" spans="1:25">
      <c r="A125" s="69"/>
      <c r="B125" s="69"/>
      <c r="C125" s="69"/>
      <c r="D125" s="502"/>
      <c r="E125" s="504"/>
      <c r="F125" s="504"/>
      <c r="G125" s="504"/>
      <c r="H125" s="504"/>
      <c r="I125" s="504"/>
      <c r="J125" s="504"/>
      <c r="K125" s="504"/>
      <c r="L125" s="504"/>
      <c r="M125" s="504"/>
      <c r="N125" s="504"/>
      <c r="O125" s="504"/>
      <c r="P125" s="504"/>
      <c r="Q125" s="504"/>
      <c r="R125" s="504"/>
      <c r="S125" s="504"/>
      <c r="T125" s="504"/>
      <c r="U125" s="504"/>
      <c r="V125" s="504"/>
      <c r="W125" s="504"/>
      <c r="X125" s="504"/>
    </row>
    <row r="126" spans="1:25" s="96" customFormat="1">
      <c r="A126" s="69" t="s">
        <v>13</v>
      </c>
      <c r="B126" s="69"/>
      <c r="C126" s="69"/>
      <c r="D126" s="514">
        <v>0</v>
      </c>
      <c r="E126" s="515">
        <f>'OPEX - Concept C1 - ALL'!L79</f>
        <v>12250</v>
      </c>
      <c r="F126" s="515">
        <f>'OPEX - Concept C1 - ALL'!M79</f>
        <v>150500</v>
      </c>
      <c r="G126" s="515">
        <f>'OPEX - Concept C1 - ALL'!N79</f>
        <v>153510</v>
      </c>
      <c r="H126" s="515">
        <f>'OPEX - Concept C1 - ALL'!O79</f>
        <v>156580.19999999998</v>
      </c>
      <c r="I126" s="515">
        <f>'OPEX - Concept C1 - ALL'!P79</f>
        <v>159711.80399999997</v>
      </c>
      <c r="J126" s="515">
        <f>'OPEX - Concept C1 - ALL'!Q79</f>
        <v>162906.04007999998</v>
      </c>
      <c r="K126" s="515">
        <f>'OPEX - Concept C1 - ALL'!R79</f>
        <v>166164.16088159999</v>
      </c>
      <c r="L126" s="515">
        <f>'OPEX - Concept C1 - ALL'!S79</f>
        <v>169487.444099232</v>
      </c>
      <c r="M126" s="515">
        <f>'OPEX - Concept C1 - ALL'!T79</f>
        <v>172877.19298121665</v>
      </c>
      <c r="N126" s="515">
        <f>'OPEX - Concept C1 - ALL'!U79</f>
        <v>176334.73684084098</v>
      </c>
      <c r="O126" s="515">
        <f>'OPEX - Concept C1 - ALL'!V79</f>
        <v>179861.43157765782</v>
      </c>
      <c r="P126" s="515">
        <f>'OPEX - Concept C1 - ALL'!W79</f>
        <v>183458.66020921097</v>
      </c>
      <c r="Q126" s="515">
        <f>'OPEX - Concept C1 - ALL'!X79</f>
        <v>187127.83341339519</v>
      </c>
      <c r="R126" s="515">
        <f>'OPEX - Concept C1 - ALL'!Y79</f>
        <v>190870.39008166309</v>
      </c>
      <c r="S126" s="515">
        <f>'OPEX - Concept C1 - ALL'!Z79</f>
        <v>194687.79788329633</v>
      </c>
      <c r="T126" s="515">
        <f>'OPEX - Concept C1 - ALL'!AA79</f>
        <v>198581.5538409623</v>
      </c>
      <c r="U126" s="515">
        <f>'OPEX - Concept C1 - ALL'!AB79</f>
        <v>202553.18491778153</v>
      </c>
      <c r="V126" s="515">
        <f>'OPEX - Concept C1 - ALL'!AC79</f>
        <v>206604.24861613716</v>
      </c>
      <c r="W126" s="515">
        <f>'OPEX - Concept C1 - ALL'!AD79</f>
        <v>210736.33358845994</v>
      </c>
      <c r="X126" s="515">
        <f>'OPEX - Concept C1 - ALL'!AE79</f>
        <v>214951.06026022913</v>
      </c>
    </row>
    <row r="127" spans="1:25" s="96" customFormat="1">
      <c r="A127" s="69" t="s">
        <v>41</v>
      </c>
      <c r="B127" s="69"/>
      <c r="C127" s="69"/>
      <c r="D127" s="514">
        <v>0</v>
      </c>
      <c r="E127" s="515">
        <f>'OPEX - Concept C1 - ALL'!L87</f>
        <v>25000</v>
      </c>
      <c r="F127" s="515">
        <f>'OPEX - Concept C1 - ALL'!M87</f>
        <v>25500</v>
      </c>
      <c r="G127" s="515">
        <f>'OPEX - Concept C1 - ALL'!N87</f>
        <v>26010</v>
      </c>
      <c r="H127" s="515">
        <f>'OPEX - Concept C1 - ALL'!O87</f>
        <v>26530.199999999997</v>
      </c>
      <c r="I127" s="515">
        <f>'OPEX - Concept C1 - ALL'!P87</f>
        <v>27060.804</v>
      </c>
      <c r="J127" s="515">
        <f>'OPEX - Concept C1 - ALL'!Q87</f>
        <v>27602.020080000002</v>
      </c>
      <c r="K127" s="515">
        <f>'OPEX - Concept C1 - ALL'!R87</f>
        <v>28154.060481600001</v>
      </c>
      <c r="L127" s="515">
        <f>'OPEX - Concept C1 - ALL'!S87</f>
        <v>28717.141691232002</v>
      </c>
      <c r="M127" s="515">
        <f>'OPEX - Concept C1 - ALL'!T87</f>
        <v>29291.484525056643</v>
      </c>
      <c r="N127" s="515">
        <f>'OPEX - Concept C1 - ALL'!U87</f>
        <v>29877.314215557777</v>
      </c>
      <c r="O127" s="515">
        <f>'OPEX - Concept C1 - ALL'!V87</f>
        <v>30474.860499868933</v>
      </c>
      <c r="P127" s="515">
        <f>'OPEX - Concept C1 - ALL'!W87</f>
        <v>31084.357709866312</v>
      </c>
      <c r="Q127" s="515">
        <f>'OPEX - Concept C1 - ALL'!X87</f>
        <v>31706.044864063639</v>
      </c>
      <c r="R127" s="515">
        <f>'OPEX - Concept C1 - ALL'!Y87</f>
        <v>32340.165761344906</v>
      </c>
      <c r="S127" s="515">
        <f>'OPEX - Concept C1 - ALL'!Z87</f>
        <v>32986.969076571811</v>
      </c>
      <c r="T127" s="515">
        <f>'OPEX - Concept C1 - ALL'!AA87</f>
        <v>33646.708458103247</v>
      </c>
      <c r="U127" s="515">
        <f>'OPEX - Concept C1 - ALL'!AB87</f>
        <v>34319.642627265312</v>
      </c>
      <c r="V127" s="515">
        <f>'OPEX - Concept C1 - ALL'!AC87</f>
        <v>35006.03547981062</v>
      </c>
      <c r="W127" s="515">
        <f>'OPEX - Concept C1 - ALL'!AD87</f>
        <v>35706.156189406836</v>
      </c>
      <c r="X127" s="515">
        <f>'OPEX - Concept C1 - ALL'!AE87</f>
        <v>36420.279313194973</v>
      </c>
    </row>
    <row r="128" spans="1:25" s="96" customFormat="1">
      <c r="A128" s="69" t="s">
        <v>424</v>
      </c>
      <c r="B128" s="69"/>
      <c r="C128" s="69"/>
      <c r="D128" s="514">
        <v>0</v>
      </c>
      <c r="E128" s="515">
        <f>'OPEX - Concept C1 - ALL'!L88</f>
        <v>10000</v>
      </c>
      <c r="F128" s="515">
        <f>'OPEX - Concept C1 - ALL'!M88</f>
        <v>500</v>
      </c>
      <c r="G128" s="515">
        <f>'OPEX - Concept C1 - ALL'!N88</f>
        <v>520.20000000000005</v>
      </c>
      <c r="H128" s="515">
        <f>'OPEX - Concept C1 - ALL'!O88</f>
        <v>530.60399999999993</v>
      </c>
      <c r="I128" s="515">
        <f>'OPEX - Concept C1 - ALL'!P88</f>
        <v>541.21608000000003</v>
      </c>
      <c r="J128" s="515">
        <f>'OPEX - Concept C1 - ALL'!Q88</f>
        <v>5000</v>
      </c>
      <c r="K128" s="515">
        <f>'OPEX - Concept C1 - ALL'!R88</f>
        <v>563.08120963200008</v>
      </c>
      <c r="L128" s="515">
        <f>'OPEX - Concept C1 - ALL'!S88</f>
        <v>574.34283382464002</v>
      </c>
      <c r="M128" s="515">
        <f>'OPEX - Concept C1 - ALL'!T88</f>
        <v>585.82969050113286</v>
      </c>
      <c r="N128" s="515">
        <f>'OPEX - Concept C1 - ALL'!U88</f>
        <v>597.54628431115555</v>
      </c>
      <c r="O128" s="515">
        <f>'OPEX - Concept C1 - ALL'!V88</f>
        <v>5000</v>
      </c>
      <c r="P128" s="515">
        <f>'OPEX - Concept C1 - ALL'!W88</f>
        <v>621.68715419732621</v>
      </c>
      <c r="Q128" s="515">
        <f>'OPEX - Concept C1 - ALL'!X88</f>
        <v>634.12089728127273</v>
      </c>
      <c r="R128" s="515">
        <f>'OPEX - Concept C1 - ALL'!Y88</f>
        <v>646.80331522689812</v>
      </c>
      <c r="S128" s="515">
        <f>'OPEX - Concept C1 - ALL'!Z88</f>
        <v>659.73938153143615</v>
      </c>
      <c r="T128" s="515">
        <f>'OPEX - Concept C1 - ALL'!AA88</f>
        <v>5000</v>
      </c>
      <c r="U128" s="515">
        <f>'OPEX - Concept C1 - ALL'!AB88</f>
        <v>686.39285254530625</v>
      </c>
      <c r="V128" s="515">
        <f>'OPEX - Concept C1 - ALL'!AC88</f>
        <v>700.12070959621246</v>
      </c>
      <c r="W128" s="515">
        <f>'OPEX - Concept C1 - ALL'!AD88</f>
        <v>714.1231237881367</v>
      </c>
      <c r="X128" s="515">
        <f>'OPEX - Concept C1 - ALL'!AE88</f>
        <v>728.40558626389941</v>
      </c>
    </row>
    <row r="129" spans="1:24" s="96" customFormat="1">
      <c r="A129" s="69" t="s">
        <v>42</v>
      </c>
      <c r="B129" s="69"/>
      <c r="C129" s="69"/>
      <c r="D129" s="514">
        <v>0</v>
      </c>
      <c r="E129" s="515">
        <f>'OPEX - Concept C1 - ALL'!L89</f>
        <v>50000</v>
      </c>
      <c r="F129" s="515">
        <f>'OPEX - Concept C1 - ALL'!M89</f>
        <v>51000</v>
      </c>
      <c r="G129" s="515">
        <f>'OPEX - Concept C1 - ALL'!N89</f>
        <v>52020</v>
      </c>
      <c r="H129" s="515">
        <f>'OPEX - Concept C1 - ALL'!O89</f>
        <v>53060.399999999994</v>
      </c>
      <c r="I129" s="515">
        <f>'OPEX - Concept C1 - ALL'!P89</f>
        <v>54121.608</v>
      </c>
      <c r="J129" s="515">
        <f>'OPEX - Concept C1 - ALL'!Q89</f>
        <v>55204.040160000004</v>
      </c>
      <c r="K129" s="515">
        <f>'OPEX - Concept C1 - ALL'!R89</f>
        <v>56308.120963200003</v>
      </c>
      <c r="L129" s="515">
        <f>'OPEX - Concept C1 - ALL'!S89</f>
        <v>57434.283382464004</v>
      </c>
      <c r="M129" s="515">
        <f>'OPEX - Concept C1 - ALL'!T89</f>
        <v>58582.969050113286</v>
      </c>
      <c r="N129" s="515">
        <f>'OPEX - Concept C1 - ALL'!U89</f>
        <v>59754.628431115554</v>
      </c>
      <c r="O129" s="515">
        <f>'OPEX - Concept C1 - ALL'!V89</f>
        <v>60949.720999737867</v>
      </c>
      <c r="P129" s="515">
        <f>'OPEX - Concept C1 - ALL'!W89</f>
        <v>62168.715419732624</v>
      </c>
      <c r="Q129" s="515">
        <f>'OPEX - Concept C1 - ALL'!X89</f>
        <v>63412.089728127277</v>
      </c>
      <c r="R129" s="515">
        <f>'OPEX - Concept C1 - ALL'!Y89</f>
        <v>64680.331522689812</v>
      </c>
      <c r="S129" s="515">
        <f>'OPEX - Concept C1 - ALL'!Z89</f>
        <v>65973.938153143623</v>
      </c>
      <c r="T129" s="515">
        <f>'OPEX - Concept C1 - ALL'!AA89</f>
        <v>67293.416916206494</v>
      </c>
      <c r="U129" s="515">
        <f>'OPEX - Concept C1 - ALL'!AB89</f>
        <v>68639.285254530623</v>
      </c>
      <c r="V129" s="515">
        <f>'OPEX - Concept C1 - ALL'!AC89</f>
        <v>70012.07095962124</v>
      </c>
      <c r="W129" s="515">
        <f>'OPEX - Concept C1 - ALL'!AD89</f>
        <v>71412.312378813673</v>
      </c>
      <c r="X129" s="515">
        <f>'OPEX - Concept C1 - ALL'!AE89</f>
        <v>72840.558626389946</v>
      </c>
    </row>
    <row r="130" spans="1:24" s="96" customFormat="1">
      <c r="A130" s="69" t="s">
        <v>43</v>
      </c>
      <c r="B130" s="69"/>
      <c r="C130" s="69"/>
      <c r="D130" s="514">
        <v>0</v>
      </c>
      <c r="E130" s="515">
        <f>'OPEX - Concept C1 - ALL'!L90</f>
        <v>500</v>
      </c>
      <c r="F130" s="515">
        <f>'OPEX - Concept C1 - ALL'!M90</f>
        <v>1530</v>
      </c>
      <c r="G130" s="515">
        <f>'OPEX - Concept C1 - ALL'!N90</f>
        <v>1560.6</v>
      </c>
      <c r="H130" s="515">
        <f>'OPEX - Concept C1 - ALL'!O90</f>
        <v>1591.8119999999999</v>
      </c>
      <c r="I130" s="515">
        <f>'OPEX - Concept C1 - ALL'!P90</f>
        <v>1623.64824</v>
      </c>
      <c r="J130" s="515">
        <f>'OPEX - Concept C1 - ALL'!Q90</f>
        <v>1656.1212048</v>
      </c>
      <c r="K130" s="515">
        <f>'OPEX - Concept C1 - ALL'!R90</f>
        <v>1689.243628896</v>
      </c>
      <c r="L130" s="515">
        <f>'OPEX - Concept C1 - ALL'!S90</f>
        <v>1723.02850147392</v>
      </c>
      <c r="M130" s="515">
        <f>'OPEX - Concept C1 - ALL'!T90</f>
        <v>1757.4890715033987</v>
      </c>
      <c r="N130" s="515">
        <f>'OPEX - Concept C1 - ALL'!U90</f>
        <v>1792.6388529334665</v>
      </c>
      <c r="O130" s="515">
        <f>'OPEX - Concept C1 - ALL'!V90</f>
        <v>1828.491629992136</v>
      </c>
      <c r="P130" s="515">
        <f>'OPEX - Concept C1 - ALL'!W90</f>
        <v>1865.0614625919786</v>
      </c>
      <c r="Q130" s="515">
        <f>'OPEX - Concept C1 - ALL'!X90</f>
        <v>1902.3626918438183</v>
      </c>
      <c r="R130" s="515">
        <f>'OPEX - Concept C1 - ALL'!Y90</f>
        <v>1940.4099456806944</v>
      </c>
      <c r="S130" s="515">
        <f>'OPEX - Concept C1 - ALL'!Z90</f>
        <v>1979.2181445943086</v>
      </c>
      <c r="T130" s="515">
        <f>'OPEX - Concept C1 - ALL'!AA90</f>
        <v>2018.8025074861948</v>
      </c>
      <c r="U130" s="515">
        <f>'OPEX - Concept C1 - ALL'!AB90</f>
        <v>2059.1785576359189</v>
      </c>
      <c r="V130" s="515">
        <f>'OPEX - Concept C1 - ALL'!AC90</f>
        <v>2100.3621287886372</v>
      </c>
      <c r="W130" s="515">
        <f>'OPEX - Concept C1 - ALL'!AD90</f>
        <v>2142.3693713644102</v>
      </c>
      <c r="X130" s="515">
        <f>'OPEX - Concept C1 - ALL'!AE90</f>
        <v>2185.2167587916983</v>
      </c>
    </row>
    <row r="131" spans="1:24" s="96" customFormat="1">
      <c r="A131" s="69" t="s">
        <v>44</v>
      </c>
      <c r="B131" s="69"/>
      <c r="C131" s="69"/>
      <c r="D131" s="514">
        <v>0</v>
      </c>
      <c r="E131" s="515">
        <f>'OPEX - Concept C1 - ALL'!L91</f>
        <v>250</v>
      </c>
      <c r="F131" s="515">
        <f>'OPEX - Concept C1 - ALL'!M91</f>
        <v>765</v>
      </c>
      <c r="G131" s="515">
        <f>'OPEX - Concept C1 - ALL'!N91</f>
        <v>780.3</v>
      </c>
      <c r="H131" s="515">
        <f>'OPEX - Concept C1 - ALL'!O91</f>
        <v>795.90599999999995</v>
      </c>
      <c r="I131" s="515">
        <f>'OPEX - Concept C1 - ALL'!P91</f>
        <v>811.82411999999999</v>
      </c>
      <c r="J131" s="515">
        <f>'OPEX - Concept C1 - ALL'!Q91</f>
        <v>828.06060239999999</v>
      </c>
      <c r="K131" s="515">
        <f>'OPEX - Concept C1 - ALL'!R91</f>
        <v>844.62181444800001</v>
      </c>
      <c r="L131" s="515">
        <f>'OPEX - Concept C1 - ALL'!S91</f>
        <v>861.51425073695998</v>
      </c>
      <c r="M131" s="515">
        <f>'OPEX - Concept C1 - ALL'!T91</f>
        <v>878.74453575169935</v>
      </c>
      <c r="N131" s="515">
        <f>'OPEX - Concept C1 - ALL'!U91</f>
        <v>896.31942646673326</v>
      </c>
      <c r="O131" s="515">
        <f>'OPEX - Concept C1 - ALL'!V91</f>
        <v>914.24581499606802</v>
      </c>
      <c r="P131" s="515">
        <f>'OPEX - Concept C1 - ALL'!W91</f>
        <v>932.53073129598931</v>
      </c>
      <c r="Q131" s="515">
        <f>'OPEX - Concept C1 - ALL'!X91</f>
        <v>951.18134592190916</v>
      </c>
      <c r="R131" s="515">
        <f>'OPEX - Concept C1 - ALL'!Y91</f>
        <v>970.20497284034718</v>
      </c>
      <c r="S131" s="515">
        <f>'OPEX - Concept C1 - ALL'!Z91</f>
        <v>989.60907229715428</v>
      </c>
      <c r="T131" s="515">
        <f>'OPEX - Concept C1 - ALL'!AA91</f>
        <v>1009.4012537430974</v>
      </c>
      <c r="U131" s="515">
        <f>'OPEX - Concept C1 - ALL'!AB91</f>
        <v>1029.5892788179594</v>
      </c>
      <c r="V131" s="515">
        <f>'OPEX - Concept C1 - ALL'!AC91</f>
        <v>1050.1810643943186</v>
      </c>
      <c r="W131" s="515">
        <f>'OPEX - Concept C1 - ALL'!AD91</f>
        <v>1071.1846856822051</v>
      </c>
      <c r="X131" s="515">
        <f>'OPEX - Concept C1 - ALL'!AE91</f>
        <v>1092.6083793958492</v>
      </c>
    </row>
    <row r="132" spans="1:24" s="96" customFormat="1">
      <c r="A132" s="69" t="s">
        <v>2</v>
      </c>
      <c r="B132" s="69"/>
      <c r="C132" s="69"/>
      <c r="D132" s="514">
        <v>0</v>
      </c>
      <c r="E132" s="515">
        <f>'OPEX - Concept C1 - ALL'!L92</f>
        <v>1000</v>
      </c>
      <c r="F132" s="515">
        <f>'OPEX - Concept C1 - ALL'!M92</f>
        <v>1020</v>
      </c>
      <c r="G132" s="515">
        <f>'OPEX - Concept C1 - ALL'!N92</f>
        <v>1040.4000000000001</v>
      </c>
      <c r="H132" s="515">
        <f>'OPEX - Concept C1 - ALL'!O92</f>
        <v>1061.2079999999999</v>
      </c>
      <c r="I132" s="515">
        <f>'OPEX - Concept C1 - ALL'!P92</f>
        <v>1082.4321600000001</v>
      </c>
      <c r="J132" s="515">
        <f>'OPEX - Concept C1 - ALL'!Q92</f>
        <v>1104.0808032</v>
      </c>
      <c r="K132" s="515">
        <f>'OPEX - Concept C1 - ALL'!R92</f>
        <v>1126.1624192640002</v>
      </c>
      <c r="L132" s="515">
        <f>'OPEX - Concept C1 - ALL'!S92</f>
        <v>1148.68566764928</v>
      </c>
      <c r="M132" s="515">
        <f>'OPEX - Concept C1 - ALL'!T92</f>
        <v>1171.6593810022657</v>
      </c>
      <c r="N132" s="515">
        <f>'OPEX - Concept C1 - ALL'!U92</f>
        <v>1195.0925686223111</v>
      </c>
      <c r="O132" s="515">
        <f>'OPEX - Concept C1 - ALL'!V92</f>
        <v>1218.9944199947574</v>
      </c>
      <c r="P132" s="515">
        <f>'OPEX - Concept C1 - ALL'!W92</f>
        <v>1243.3743083946524</v>
      </c>
      <c r="Q132" s="515">
        <f>'OPEX - Concept C1 - ALL'!X92</f>
        <v>1268.2417945625455</v>
      </c>
      <c r="R132" s="515">
        <f>'OPEX - Concept C1 - ALL'!Y92</f>
        <v>1293.6066304537962</v>
      </c>
      <c r="S132" s="515">
        <f>'OPEX - Concept C1 - ALL'!Z92</f>
        <v>1319.4787630628723</v>
      </c>
      <c r="T132" s="515">
        <f>'OPEX - Concept C1 - ALL'!AA92</f>
        <v>1345.8683383241298</v>
      </c>
      <c r="U132" s="515">
        <f>'OPEX - Concept C1 - ALL'!AB92</f>
        <v>1372.7857050906125</v>
      </c>
      <c r="V132" s="515">
        <f>'OPEX - Concept C1 - ALL'!AC92</f>
        <v>1400.2414191924249</v>
      </c>
      <c r="W132" s="515">
        <f>'OPEX - Concept C1 - ALL'!AD92</f>
        <v>1428.2462475762734</v>
      </c>
      <c r="X132" s="515">
        <f>'OPEX - Concept C1 - ALL'!AE92</f>
        <v>1456.8111725277988</v>
      </c>
    </row>
    <row r="133" spans="1:24" s="167" customFormat="1">
      <c r="A133" s="591"/>
      <c r="B133" s="591"/>
      <c r="C133" s="591"/>
      <c r="D133" s="592"/>
      <c r="E133" s="593"/>
      <c r="F133" s="593"/>
      <c r="G133" s="593"/>
      <c r="H133" s="593"/>
      <c r="I133" s="593"/>
      <c r="J133" s="593"/>
      <c r="K133" s="593"/>
      <c r="L133" s="593"/>
      <c r="M133" s="593"/>
      <c r="N133" s="593"/>
      <c r="O133" s="593"/>
      <c r="P133" s="593"/>
      <c r="Q133" s="593"/>
      <c r="R133" s="593"/>
      <c r="S133" s="593"/>
      <c r="T133" s="593"/>
      <c r="U133" s="593"/>
      <c r="V133" s="593"/>
      <c r="W133" s="593"/>
      <c r="X133" s="593"/>
    </row>
    <row r="134" spans="1:24" s="96" customFormat="1">
      <c r="A134" s="1012" t="s">
        <v>25</v>
      </c>
      <c r="B134" s="69"/>
      <c r="C134" s="69"/>
      <c r="D134" s="514">
        <v>0</v>
      </c>
      <c r="E134" s="515">
        <f>'OPEX - Concept C1 - ALL'!L108</f>
        <v>34183.333333333328</v>
      </c>
      <c r="F134" s="515">
        <f>'OPEX - Concept C1 - ALL'!M108</f>
        <v>34867</v>
      </c>
      <c r="G134" s="515">
        <f>'OPEX - Concept C1 - ALL'!N108</f>
        <v>35564.339999999997</v>
      </c>
      <c r="H134" s="515">
        <f>'OPEX - Concept C1 - ALL'!O108</f>
        <v>36275.626799999998</v>
      </c>
      <c r="I134" s="515">
        <f>'OPEX - Concept C1 - ALL'!P108</f>
        <v>37001.139335999993</v>
      </c>
      <c r="J134" s="515">
        <f>'OPEX - Concept C1 - ALL'!Q108</f>
        <v>37741.162122720001</v>
      </c>
      <c r="K134" s="515">
        <f>'OPEX - Concept C1 - ALL'!R108</f>
        <v>38495.985365174398</v>
      </c>
      <c r="L134" s="515">
        <f>'OPEX - Concept C1 - ALL'!S108</f>
        <v>39265.905072477886</v>
      </c>
      <c r="M134" s="515">
        <f>'OPEX - Concept C1 - ALL'!T108</f>
        <v>40051.22317392745</v>
      </c>
      <c r="N134" s="515">
        <f>'OPEX - Concept C1 - ALL'!U108</f>
        <v>40852.247637405999</v>
      </c>
      <c r="O134" s="515">
        <f>'OPEX - Concept C1 - ALL'!V108</f>
        <v>41669.292590154117</v>
      </c>
      <c r="P134" s="515">
        <f>'OPEX - Concept C1 - ALL'!W108</f>
        <v>42502.6784419572</v>
      </c>
      <c r="Q134" s="515">
        <f>'OPEX - Concept C1 - ALL'!X108</f>
        <v>43352.732010796346</v>
      </c>
      <c r="R134" s="515">
        <f>'OPEX - Concept C1 - ALL'!Y108</f>
        <v>44219.786651012269</v>
      </c>
      <c r="S134" s="515">
        <f>'OPEX - Concept C1 - ALL'!Z108</f>
        <v>45104.182384032523</v>
      </c>
      <c r="T134" s="515">
        <f>'OPEX - Concept C1 - ALL'!AA108</f>
        <v>46006.266031713167</v>
      </c>
      <c r="U134" s="515">
        <f>'OPEX - Concept C1 - ALL'!AB108</f>
        <v>46926.39135234744</v>
      </c>
      <c r="V134" s="515">
        <f>'OPEX - Concept C1 - ALL'!AC108</f>
        <v>47864.91917939439</v>
      </c>
      <c r="W134" s="515">
        <f>'OPEX - Concept C1 - ALL'!AD108</f>
        <v>48822.217562982281</v>
      </c>
      <c r="X134" s="515">
        <f>'OPEX - Concept C1 - ALL'!AE108</f>
        <v>49798.661914241922</v>
      </c>
    </row>
    <row r="135" spans="1:24" s="96" customFormat="1">
      <c r="A135" s="782" t="s">
        <v>426</v>
      </c>
      <c r="B135" s="69"/>
      <c r="C135" s="69"/>
      <c r="D135" s="514">
        <v>0</v>
      </c>
      <c r="E135" s="515">
        <f>'OPEX - Concept C1 - ALL'!L96</f>
        <v>1000</v>
      </c>
      <c r="F135" s="515">
        <f>'OPEX - Concept C1 - ALL'!M96</f>
        <v>1020</v>
      </c>
      <c r="G135" s="515">
        <f>'OPEX - Concept C1 - ALL'!N96</f>
        <v>1040.4000000000001</v>
      </c>
      <c r="H135" s="515">
        <f>'OPEX - Concept C1 - ALL'!O96</f>
        <v>1061.2079999999999</v>
      </c>
      <c r="I135" s="515">
        <f>'OPEX - Concept C1 - ALL'!P96</f>
        <v>1082.4321600000001</v>
      </c>
      <c r="J135" s="515">
        <f>'OPEX - Concept C1 - ALL'!Q96</f>
        <v>25000</v>
      </c>
      <c r="K135" s="515">
        <f>'OPEX - Concept C1 - ALL'!R96</f>
        <v>25500</v>
      </c>
      <c r="L135" s="515">
        <f>'OPEX - Concept C1 - ALL'!S96</f>
        <v>26010</v>
      </c>
      <c r="M135" s="515">
        <f>'OPEX - Concept C1 - ALL'!T96</f>
        <v>26530.199999999997</v>
      </c>
      <c r="N135" s="515">
        <f>'OPEX - Concept C1 - ALL'!U96</f>
        <v>27060.804</v>
      </c>
      <c r="O135" s="515">
        <f>'OPEX - Concept C1 - ALL'!V96</f>
        <v>27602.020080000002</v>
      </c>
      <c r="P135" s="515">
        <f>'OPEX - Concept C1 - ALL'!W96</f>
        <v>28154.060481600001</v>
      </c>
      <c r="Q135" s="515">
        <f>'OPEX - Concept C1 - ALL'!X96</f>
        <v>28717.141691232002</v>
      </c>
      <c r="R135" s="515">
        <f>'OPEX - Concept C1 - ALL'!Y96</f>
        <v>29291.484525056643</v>
      </c>
      <c r="S135" s="515">
        <f>'OPEX - Concept C1 - ALL'!Z96</f>
        <v>29877.314215557777</v>
      </c>
      <c r="T135" s="515">
        <f>'OPEX - Concept C1 - ALL'!AA96</f>
        <v>30474.860499868933</v>
      </c>
      <c r="U135" s="515">
        <f>'OPEX - Concept C1 - ALL'!AB96</f>
        <v>31084.357709866312</v>
      </c>
      <c r="V135" s="515">
        <f>'OPEX - Concept C1 - ALL'!AC96</f>
        <v>31706.044864063639</v>
      </c>
      <c r="W135" s="515">
        <f>'OPEX - Concept C1 - ALL'!AD96</f>
        <v>32340.165761344906</v>
      </c>
      <c r="X135" s="515">
        <f>'OPEX - Concept C1 - ALL'!AE96</f>
        <v>32986.969076571811</v>
      </c>
    </row>
    <row r="136" spans="1:24" s="96" customFormat="1">
      <c r="A136" s="644" t="s">
        <v>302</v>
      </c>
      <c r="B136" s="69"/>
      <c r="C136" s="69"/>
      <c r="D136" s="514">
        <v>0</v>
      </c>
      <c r="E136" s="515">
        <f>'Shuttle Projections'!C39/2</f>
        <v>233675</v>
      </c>
      <c r="F136" s="515">
        <f>'Shuttle Projections'!D39</f>
        <v>476697</v>
      </c>
      <c r="G136" s="515">
        <f>'Shuttle Projections'!E39</f>
        <v>486230.94000000006</v>
      </c>
      <c r="H136" s="515">
        <f>'Shuttle Projections'!F39</f>
        <v>495955.55879999994</v>
      </c>
      <c r="I136" s="515">
        <f>'Shuttle Projections'!G39</f>
        <v>505874.66997599998</v>
      </c>
      <c r="J136" s="515">
        <f>'Shuttle Projections'!H39</f>
        <v>515992.16337552003</v>
      </c>
      <c r="K136" s="515">
        <f>'Shuttle Projections'!I39</f>
        <v>526312.00664303044</v>
      </c>
      <c r="L136" s="515">
        <f>'Shuttle Projections'!J39</f>
        <v>536838.24677589093</v>
      </c>
      <c r="M136" s="515">
        <f>'Shuttle Projections'!K39</f>
        <v>547575.01171140897</v>
      </c>
      <c r="N136" s="515">
        <f>'Shuttle Projections'!L39</f>
        <v>558526.51194563706</v>
      </c>
      <c r="O136" s="515">
        <f>'Shuttle Projections'!M39</f>
        <v>569697.04218454985</v>
      </c>
      <c r="P136" s="515">
        <f>'Shuttle Projections'!N39</f>
        <v>581090.98302824085</v>
      </c>
      <c r="Q136" s="515">
        <f>'Shuttle Projections'!O39</f>
        <v>592712.80268880562</v>
      </c>
      <c r="R136" s="515">
        <f>'Shuttle Projections'!P39</f>
        <v>604567.05874258175</v>
      </c>
      <c r="S136" s="515">
        <f>'Shuttle Projections'!Q39</f>
        <v>616658.39991743339</v>
      </c>
      <c r="T136" s="515">
        <f>'Shuttle Projections'!R39</f>
        <v>628991.5679157821</v>
      </c>
      <c r="U136" s="515">
        <f>'Shuttle Projections'!S39</f>
        <v>641571.39927409776</v>
      </c>
      <c r="V136" s="515">
        <f>'Shuttle Projections'!T39</f>
        <v>654402.82725957979</v>
      </c>
      <c r="W136" s="515">
        <f>'Shuttle Projections'!U39</f>
        <v>667490.88380477135</v>
      </c>
      <c r="X136" s="515">
        <f>'Shuttle Projections'!V39</f>
        <v>680840.70148086676</v>
      </c>
    </row>
    <row r="137" spans="1:24" s="16" customFormat="1" ht="14.25">
      <c r="A137" s="282" t="s">
        <v>132</v>
      </c>
      <c r="B137" s="276"/>
      <c r="C137" s="276"/>
      <c r="D137" s="516">
        <f>SUM(D125:D136)</f>
        <v>0</v>
      </c>
      <c r="E137" s="517">
        <f t="shared" ref="E137:X137" si="17">SUM(E126:E136)</f>
        <v>367858.33333333331</v>
      </c>
      <c r="F137" s="517">
        <f t="shared" si="17"/>
        <v>743399</v>
      </c>
      <c r="G137" s="517">
        <f t="shared" si="17"/>
        <v>758277.18</v>
      </c>
      <c r="H137" s="517">
        <f t="shared" si="17"/>
        <v>773442.72359999991</v>
      </c>
      <c r="I137" s="517">
        <f t="shared" si="17"/>
        <v>788911.57807200006</v>
      </c>
      <c r="J137" s="517">
        <f t="shared" si="17"/>
        <v>833033.68842864002</v>
      </c>
      <c r="K137" s="517">
        <f t="shared" si="17"/>
        <v>845157.44340684474</v>
      </c>
      <c r="L137" s="517">
        <f t="shared" si="17"/>
        <v>862060.59227498155</v>
      </c>
      <c r="M137" s="517">
        <f t="shared" si="17"/>
        <v>879301.80412048148</v>
      </c>
      <c r="N137" s="517">
        <f t="shared" si="17"/>
        <v>896887.84020289104</v>
      </c>
      <c r="O137" s="517">
        <f t="shared" si="17"/>
        <v>919216.09979695152</v>
      </c>
      <c r="P137" s="517">
        <f t="shared" si="17"/>
        <v>933122.10894708801</v>
      </c>
      <c r="Q137" s="517">
        <f t="shared" si="17"/>
        <v>951784.55112602958</v>
      </c>
      <c r="R137" s="517">
        <f t="shared" si="17"/>
        <v>970820.24214855011</v>
      </c>
      <c r="S137" s="517">
        <f t="shared" si="17"/>
        <v>990236.64699152112</v>
      </c>
      <c r="T137" s="517">
        <f t="shared" si="17"/>
        <v>1014368.4457621896</v>
      </c>
      <c r="U137" s="517">
        <f t="shared" si="17"/>
        <v>1030242.2075299788</v>
      </c>
      <c r="V137" s="517">
        <f t="shared" si="17"/>
        <v>1050847.0516805784</v>
      </c>
      <c r="W137" s="517">
        <f t="shared" si="17"/>
        <v>1071863.9927141899</v>
      </c>
      <c r="X137" s="517">
        <f t="shared" si="17"/>
        <v>1093301.2725684738</v>
      </c>
    </row>
    <row r="138" spans="1:24">
      <c r="A138" s="92"/>
      <c r="B138" s="69"/>
      <c r="C138" s="69"/>
      <c r="D138" s="514"/>
      <c r="E138" s="515"/>
      <c r="F138" s="515"/>
      <c r="G138" s="515"/>
      <c r="H138" s="515"/>
      <c r="I138" s="515"/>
      <c r="J138" s="515"/>
      <c r="K138" s="515"/>
      <c r="L138" s="515"/>
      <c r="M138" s="515"/>
      <c r="N138" s="515"/>
      <c r="O138" s="515"/>
      <c r="P138" s="515"/>
      <c r="Q138" s="515"/>
      <c r="R138" s="515"/>
      <c r="S138" s="515"/>
      <c r="T138" s="515"/>
      <c r="U138" s="515"/>
      <c r="V138" s="515"/>
      <c r="W138" s="515"/>
      <c r="X138" s="515"/>
    </row>
    <row r="139" spans="1:24">
      <c r="A139" s="269" t="s">
        <v>85</v>
      </c>
      <c r="B139" s="269"/>
      <c r="C139" s="270"/>
      <c r="D139" s="513"/>
      <c r="E139" s="513"/>
      <c r="F139" s="513"/>
      <c r="G139" s="513"/>
      <c r="H139" s="513"/>
      <c r="I139" s="513"/>
      <c r="J139" s="513"/>
      <c r="K139" s="513"/>
      <c r="L139" s="513"/>
      <c r="M139" s="513"/>
      <c r="N139" s="513"/>
      <c r="O139" s="513"/>
      <c r="P139" s="513"/>
      <c r="Q139" s="513"/>
      <c r="R139" s="513"/>
      <c r="S139" s="513"/>
      <c r="T139" s="513"/>
      <c r="U139" s="513"/>
      <c r="V139" s="513"/>
      <c r="W139" s="513"/>
      <c r="X139" s="513"/>
    </row>
    <row r="140" spans="1:24" s="368" customFormat="1">
      <c r="A140" s="263"/>
      <c r="B140" s="263"/>
      <c r="C140" s="367"/>
      <c r="D140" s="514"/>
      <c r="E140" s="515"/>
      <c r="F140" s="515"/>
      <c r="G140" s="515"/>
      <c r="H140" s="515"/>
      <c r="I140" s="515"/>
      <c r="J140" s="515"/>
      <c r="K140" s="515"/>
      <c r="L140" s="515"/>
      <c r="M140" s="515"/>
      <c r="N140" s="515"/>
      <c r="O140" s="515"/>
      <c r="P140" s="515"/>
      <c r="Q140" s="515"/>
      <c r="R140" s="515"/>
      <c r="S140" s="515"/>
      <c r="T140" s="515"/>
      <c r="U140" s="515"/>
      <c r="V140" s="515"/>
      <c r="W140" s="515"/>
      <c r="X140" s="515"/>
    </row>
    <row r="141" spans="1:24" s="418" customFormat="1">
      <c r="A141" s="591" t="s">
        <v>0</v>
      </c>
      <c r="B141" s="595"/>
      <c r="C141" s="596"/>
      <c r="D141" s="592">
        <v>0</v>
      </c>
      <c r="E141" s="593">
        <f>'OPEX - Concept C1 - ALL'!L131</f>
        <v>0</v>
      </c>
      <c r="F141" s="593">
        <f>'OPEX - Concept C1 - ALL'!M131</f>
        <v>54570</v>
      </c>
      <c r="G141" s="593">
        <f>'OPEX - Concept C1 - ALL'!N131</f>
        <v>56774.628000000004</v>
      </c>
      <c r="H141" s="593">
        <f>'OPEX - Concept C1 - ALL'!O131</f>
        <v>57910.120559999996</v>
      </c>
      <c r="I141" s="593">
        <f>'OPEX - Concept C1 - ALL'!P131</f>
        <v>59068.322971199988</v>
      </c>
      <c r="J141" s="593">
        <f>'OPEX - Concept C1 - ALL'!Q131</f>
        <v>60249.689430623999</v>
      </c>
      <c r="K141" s="593">
        <f>'OPEX - Concept C1 - ALL'!R131</f>
        <v>61454.683219236475</v>
      </c>
      <c r="L141" s="593">
        <f>'OPEX - Concept C1 - ALL'!S131</f>
        <v>62683.776883621205</v>
      </c>
      <c r="M141" s="593">
        <f>'OPEX - Concept C1 - ALL'!T131</f>
        <v>63937.452421293638</v>
      </c>
      <c r="N141" s="593">
        <f>'OPEX - Concept C1 - ALL'!U131</f>
        <v>65216.201469719512</v>
      </c>
      <c r="O141" s="593">
        <f>'OPEX - Concept C1 - ALL'!V131</f>
        <v>66520.525499113894</v>
      </c>
      <c r="P141" s="593">
        <f>'OPEX - Concept C1 - ALL'!W131</f>
        <v>67850.936009096185</v>
      </c>
      <c r="Q141" s="593">
        <f>'OPEX - Concept C1 - ALL'!X131</f>
        <v>69207.954729278121</v>
      </c>
      <c r="R141" s="593">
        <f>'OPEX - Concept C1 - ALL'!Y131</f>
        <v>70592.113823863678</v>
      </c>
      <c r="S141" s="593">
        <f>'OPEX - Concept C1 - ALL'!Z131</f>
        <v>72003.956100340947</v>
      </c>
      <c r="T141" s="593">
        <f>'OPEX - Concept C1 - ALL'!AA131</f>
        <v>73444.035222347768</v>
      </c>
      <c r="U141" s="593">
        <f>'OPEX - Concept C1 - ALL'!AB131</f>
        <v>74912.915926794725</v>
      </c>
      <c r="V141" s="593">
        <f>'OPEX - Concept C1 - ALL'!AC131</f>
        <v>76411.174245330621</v>
      </c>
      <c r="W141" s="593">
        <f>'OPEX - Concept C1 - ALL'!AD131</f>
        <v>77939.397730237237</v>
      </c>
      <c r="X141" s="593">
        <f>'OPEX - Concept C1 - ALL'!AE131</f>
        <v>79498.18568484197</v>
      </c>
    </row>
    <row r="142" spans="1:24" s="418" customFormat="1">
      <c r="A142" s="591" t="s">
        <v>4</v>
      </c>
      <c r="B142" s="595"/>
      <c r="C142" s="596"/>
      <c r="D142" s="592">
        <v>0</v>
      </c>
      <c r="E142" s="593">
        <f>'OPEX - Concept C1 - ALL'!L154</f>
        <v>0</v>
      </c>
      <c r="F142" s="593">
        <f>'OPEX - Concept C1 - ALL'!M154</f>
        <v>85335.846153846156</v>
      </c>
      <c r="G142" s="593">
        <f>'OPEX - Concept C1 - ALL'!N154</f>
        <v>87042.563076923077</v>
      </c>
      <c r="H142" s="593">
        <f>'OPEX - Concept C1 - ALL'!O154</f>
        <v>88783.41433846156</v>
      </c>
      <c r="I142" s="593">
        <f>'OPEX - Concept C1 - ALL'!P154</f>
        <v>90559.082625230774</v>
      </c>
      <c r="J142" s="593">
        <f>'OPEX - Concept C1 - ALL'!Q154</f>
        <v>92370.264277735376</v>
      </c>
      <c r="K142" s="593">
        <f>'OPEX - Concept C1 - ALL'!R154</f>
        <v>94217.669563290081</v>
      </c>
      <c r="L142" s="593">
        <f>'OPEX - Concept C1 - ALL'!S154</f>
        <v>96102.022954555898</v>
      </c>
      <c r="M142" s="593">
        <f>'OPEX - Concept C1 - ALL'!T154</f>
        <v>98024.063413647003</v>
      </c>
      <c r="N142" s="593">
        <f>'OPEX - Concept C1 - ALL'!U154</f>
        <v>99984.544681919942</v>
      </c>
      <c r="O142" s="593">
        <f>'OPEX - Concept C1 - ALL'!V154</f>
        <v>101984.23557555837</v>
      </c>
      <c r="P142" s="593">
        <f>'OPEX - Concept C1 - ALL'!W154</f>
        <v>104023.92028706953</v>
      </c>
      <c r="Q142" s="593">
        <f>'OPEX - Concept C1 - ALL'!X154</f>
        <v>106104.39869281092</v>
      </c>
      <c r="R142" s="593">
        <f>'OPEX - Concept C1 - ALL'!Y154</f>
        <v>108226.48666666714</v>
      </c>
      <c r="S142" s="593">
        <f>'OPEX - Concept C1 - ALL'!Z154</f>
        <v>110391.01640000047</v>
      </c>
      <c r="T142" s="593">
        <f>'OPEX - Concept C1 - ALL'!AA154</f>
        <v>112598.8367280005</v>
      </c>
      <c r="U142" s="593">
        <f>'OPEX - Concept C1 - ALL'!AB154</f>
        <v>114850.8134625605</v>
      </c>
      <c r="V142" s="593">
        <f>'OPEX - Concept C1 - ALL'!AC154</f>
        <v>117147.82973181173</v>
      </c>
      <c r="W142" s="593">
        <f>'OPEX - Concept C1 - ALL'!AD154</f>
        <v>119490.78632644797</v>
      </c>
      <c r="X142" s="593">
        <f>'OPEX - Concept C1 - ALL'!AE154</f>
        <v>121880.60205297693</v>
      </c>
    </row>
    <row r="143" spans="1:24" s="16" customFormat="1" ht="14.25">
      <c r="A143" s="282" t="s">
        <v>133</v>
      </c>
      <c r="B143" s="276"/>
      <c r="C143" s="276"/>
      <c r="D143" s="516">
        <f>SUM(D141:D142)</f>
        <v>0</v>
      </c>
      <c r="E143" s="517">
        <f>SUM(E141:E142)</f>
        <v>0</v>
      </c>
      <c r="F143" s="517">
        <f t="shared" ref="F143:X143" si="18">SUM(F141:F142)</f>
        <v>139905.84615384616</v>
      </c>
      <c r="G143" s="517">
        <f t="shared" si="18"/>
        <v>143817.19107692307</v>
      </c>
      <c r="H143" s="517">
        <f t="shared" si="18"/>
        <v>146693.53489846154</v>
      </c>
      <c r="I143" s="517">
        <f t="shared" si="18"/>
        <v>149627.40559643076</v>
      </c>
      <c r="J143" s="517">
        <f t="shared" si="18"/>
        <v>152619.95370835939</v>
      </c>
      <c r="K143" s="517">
        <f t="shared" si="18"/>
        <v>155672.35278252655</v>
      </c>
      <c r="L143" s="517">
        <f t="shared" si="18"/>
        <v>158785.7998381771</v>
      </c>
      <c r="M143" s="517">
        <f t="shared" si="18"/>
        <v>161961.51583494066</v>
      </c>
      <c r="N143" s="517">
        <f t="shared" si="18"/>
        <v>165200.74615163944</v>
      </c>
      <c r="O143" s="517">
        <f t="shared" si="18"/>
        <v>168504.76107467228</v>
      </c>
      <c r="P143" s="517">
        <f t="shared" si="18"/>
        <v>171874.85629616573</v>
      </c>
      <c r="Q143" s="517">
        <f t="shared" si="18"/>
        <v>175312.35342208904</v>
      </c>
      <c r="R143" s="517">
        <f t="shared" si="18"/>
        <v>178818.60049053084</v>
      </c>
      <c r="S143" s="517">
        <f t="shared" si="18"/>
        <v>182394.97250034142</v>
      </c>
      <c r="T143" s="517">
        <f t="shared" si="18"/>
        <v>186042.87195034826</v>
      </c>
      <c r="U143" s="517">
        <f t="shared" si="18"/>
        <v>189763.72938935523</v>
      </c>
      <c r="V143" s="517">
        <f t="shared" si="18"/>
        <v>193559.00397714233</v>
      </c>
      <c r="W143" s="517">
        <f t="shared" si="18"/>
        <v>197430.18405668519</v>
      </c>
      <c r="X143" s="517">
        <f t="shared" si="18"/>
        <v>201378.7877378189</v>
      </c>
    </row>
    <row r="144" spans="1:24">
      <c r="A144" s="92"/>
      <c r="B144" s="92"/>
      <c r="C144" s="69"/>
      <c r="D144" s="514"/>
      <c r="E144" s="515"/>
      <c r="F144" s="515"/>
      <c r="G144" s="515"/>
      <c r="H144" s="515"/>
      <c r="I144" s="515"/>
      <c r="J144" s="515"/>
      <c r="K144" s="515"/>
      <c r="L144" s="515"/>
      <c r="M144" s="515"/>
      <c r="N144" s="515"/>
      <c r="O144" s="515"/>
      <c r="P144" s="515"/>
      <c r="Q144" s="515"/>
      <c r="R144" s="515"/>
      <c r="S144" s="515"/>
      <c r="T144" s="515"/>
      <c r="U144" s="515"/>
      <c r="V144" s="515"/>
      <c r="W144" s="515"/>
      <c r="X144" s="515"/>
    </row>
    <row r="145" spans="1:24" s="16" customFormat="1" ht="14.25">
      <c r="A145" s="350" t="s">
        <v>118</v>
      </c>
      <c r="B145" s="350"/>
      <c r="C145" s="351"/>
      <c r="D145" s="519">
        <f t="shared" ref="D145:X145" si="19">SUM(D137,D143)</f>
        <v>0</v>
      </c>
      <c r="E145" s="519">
        <f t="shared" si="19"/>
        <v>367858.33333333331</v>
      </c>
      <c r="F145" s="519">
        <f t="shared" si="19"/>
        <v>883304.84615384613</v>
      </c>
      <c r="G145" s="519">
        <f t="shared" si="19"/>
        <v>902094.3710769231</v>
      </c>
      <c r="H145" s="519">
        <f t="shared" si="19"/>
        <v>920136.25849846145</v>
      </c>
      <c r="I145" s="519">
        <f t="shared" si="19"/>
        <v>938538.98366843082</v>
      </c>
      <c r="J145" s="519">
        <f t="shared" si="19"/>
        <v>985653.64213699941</v>
      </c>
      <c r="K145" s="519">
        <f t="shared" si="19"/>
        <v>1000829.7961893713</v>
      </c>
      <c r="L145" s="519">
        <f t="shared" si="19"/>
        <v>1020846.3921131587</v>
      </c>
      <c r="M145" s="519">
        <f t="shared" si="19"/>
        <v>1041263.3199554221</v>
      </c>
      <c r="N145" s="519">
        <f t="shared" si="19"/>
        <v>1062088.5863545304</v>
      </c>
      <c r="O145" s="519">
        <f t="shared" si="19"/>
        <v>1087720.8608716237</v>
      </c>
      <c r="P145" s="519">
        <f t="shared" si="19"/>
        <v>1104996.9652432539</v>
      </c>
      <c r="Q145" s="519">
        <f t="shared" si="19"/>
        <v>1127096.9045481186</v>
      </c>
      <c r="R145" s="519">
        <f t="shared" si="19"/>
        <v>1149638.8426390809</v>
      </c>
      <c r="S145" s="519">
        <f t="shared" si="19"/>
        <v>1172631.6194918626</v>
      </c>
      <c r="T145" s="519">
        <f t="shared" si="19"/>
        <v>1200411.3177125379</v>
      </c>
      <c r="U145" s="519">
        <f t="shared" si="19"/>
        <v>1220005.9369193341</v>
      </c>
      <c r="V145" s="519">
        <f t="shared" si="19"/>
        <v>1244406.0556577207</v>
      </c>
      <c r="W145" s="519">
        <f t="shared" si="19"/>
        <v>1269294.1767708752</v>
      </c>
      <c r="X145" s="519">
        <f t="shared" si="19"/>
        <v>1294680.0603062927</v>
      </c>
    </row>
    <row r="146" spans="1:24" s="222" customFormat="1" ht="14.25">
      <c r="A146" s="280"/>
      <c r="B146" s="280"/>
      <c r="C146" s="263"/>
      <c r="D146" s="518"/>
      <c r="E146" s="520"/>
      <c r="F146" s="520"/>
      <c r="G146" s="520"/>
      <c r="H146" s="520"/>
      <c r="I146" s="520"/>
      <c r="J146" s="520"/>
      <c r="K146" s="520"/>
      <c r="L146" s="520"/>
      <c r="M146" s="520"/>
      <c r="N146" s="520"/>
      <c r="O146" s="520"/>
      <c r="P146" s="520"/>
      <c r="Q146" s="520"/>
      <c r="R146" s="520"/>
      <c r="S146" s="520"/>
      <c r="T146" s="520"/>
      <c r="U146" s="520"/>
      <c r="V146" s="520"/>
      <c r="W146" s="520"/>
      <c r="X146" s="520"/>
    </row>
    <row r="147" spans="1:24" s="222" customFormat="1" ht="14.25">
      <c r="A147" s="271" t="s">
        <v>295</v>
      </c>
      <c r="B147" s="271"/>
      <c r="C147" s="269"/>
      <c r="D147" s="521"/>
      <c r="E147" s="521"/>
      <c r="F147" s="521"/>
      <c r="G147" s="521"/>
      <c r="H147" s="521"/>
      <c r="I147" s="521"/>
      <c r="J147" s="521"/>
      <c r="K147" s="521"/>
      <c r="L147" s="521"/>
      <c r="M147" s="521"/>
      <c r="N147" s="521"/>
      <c r="O147" s="521"/>
      <c r="P147" s="521"/>
      <c r="Q147" s="521"/>
      <c r="R147" s="521"/>
      <c r="S147" s="521"/>
      <c r="T147" s="521"/>
      <c r="U147" s="521"/>
      <c r="V147" s="521"/>
      <c r="W147" s="521"/>
      <c r="X147" s="521"/>
    </row>
    <row r="148" spans="1:24" s="222" customFormat="1" ht="14.25">
      <c r="A148" s="280"/>
      <c r="B148" s="280"/>
      <c r="C148" s="263"/>
      <c r="D148" s="518"/>
      <c r="E148" s="520"/>
      <c r="F148" s="520"/>
      <c r="G148" s="520"/>
      <c r="H148" s="520"/>
      <c r="I148" s="520"/>
      <c r="J148" s="520"/>
      <c r="K148" s="520"/>
      <c r="L148" s="520"/>
      <c r="M148" s="520"/>
      <c r="N148" s="520"/>
      <c r="O148" s="520"/>
      <c r="P148" s="520"/>
      <c r="Q148" s="520"/>
      <c r="R148" s="520"/>
      <c r="S148" s="520"/>
      <c r="T148" s="520"/>
      <c r="U148" s="520"/>
      <c r="V148" s="520"/>
      <c r="W148" s="520"/>
      <c r="X148" s="520"/>
    </row>
    <row r="149" spans="1:24" s="725" customFormat="1">
      <c r="A149" s="353" t="s">
        <v>228</v>
      </c>
      <c r="B149" s="691"/>
      <c r="C149" s="724"/>
      <c r="D149" s="699">
        <v>0</v>
      </c>
      <c r="E149" s="700"/>
      <c r="F149" s="700"/>
      <c r="G149" s="700"/>
      <c r="H149" s="700"/>
      <c r="I149" s="700"/>
      <c r="J149" s="700"/>
      <c r="K149" s="700"/>
      <c r="L149" s="700"/>
      <c r="M149" s="700"/>
      <c r="N149" s="700"/>
      <c r="O149" s="700"/>
      <c r="P149" s="700"/>
      <c r="Q149" s="700"/>
      <c r="R149" s="700"/>
      <c r="S149" s="700"/>
      <c r="T149" s="700"/>
      <c r="U149" s="700"/>
      <c r="V149" s="700"/>
      <c r="W149" s="700"/>
      <c r="X149" s="700"/>
    </row>
    <row r="150" spans="1:24" s="725" customFormat="1">
      <c r="A150" s="726" t="s">
        <v>228</v>
      </c>
      <c r="B150" s="727"/>
      <c r="C150" s="728"/>
      <c r="D150" s="729">
        <v>0</v>
      </c>
      <c r="E150" s="730"/>
      <c r="F150" s="730"/>
      <c r="G150" s="730"/>
      <c r="H150" s="730"/>
      <c r="I150" s="730"/>
      <c r="J150" s="730"/>
      <c r="K150" s="730"/>
      <c r="L150" s="730"/>
      <c r="M150" s="730"/>
      <c r="N150" s="730"/>
      <c r="O150" s="730"/>
      <c r="P150" s="730"/>
      <c r="Q150" s="730"/>
      <c r="R150" s="730"/>
      <c r="S150" s="730"/>
      <c r="T150" s="730"/>
      <c r="U150" s="730"/>
      <c r="V150" s="730"/>
      <c r="W150" s="730"/>
      <c r="X150" s="730"/>
    </row>
    <row r="151" spans="1:24" s="725" customFormat="1" ht="14.25">
      <c r="A151" s="691" t="s">
        <v>296</v>
      </c>
      <c r="B151" s="691"/>
      <c r="C151" s="724"/>
      <c r="D151" s="731">
        <f t="shared" ref="D151:X151" si="20">SUM(D149:D150)</f>
        <v>0</v>
      </c>
      <c r="E151" s="732">
        <f t="shared" si="20"/>
        <v>0</v>
      </c>
      <c r="F151" s="732">
        <f t="shared" si="20"/>
        <v>0</v>
      </c>
      <c r="G151" s="732">
        <f t="shared" si="20"/>
        <v>0</v>
      </c>
      <c r="H151" s="732">
        <f t="shared" si="20"/>
        <v>0</v>
      </c>
      <c r="I151" s="732">
        <f t="shared" si="20"/>
        <v>0</v>
      </c>
      <c r="J151" s="732">
        <f t="shared" si="20"/>
        <v>0</v>
      </c>
      <c r="K151" s="732">
        <f t="shared" si="20"/>
        <v>0</v>
      </c>
      <c r="L151" s="732">
        <f t="shared" si="20"/>
        <v>0</v>
      </c>
      <c r="M151" s="732">
        <f t="shared" si="20"/>
        <v>0</v>
      </c>
      <c r="N151" s="732">
        <f t="shared" si="20"/>
        <v>0</v>
      </c>
      <c r="O151" s="732">
        <f t="shared" si="20"/>
        <v>0</v>
      </c>
      <c r="P151" s="732">
        <f t="shared" si="20"/>
        <v>0</v>
      </c>
      <c r="Q151" s="732">
        <f t="shared" si="20"/>
        <v>0</v>
      </c>
      <c r="R151" s="732">
        <f t="shared" si="20"/>
        <v>0</v>
      </c>
      <c r="S151" s="732">
        <f t="shared" si="20"/>
        <v>0</v>
      </c>
      <c r="T151" s="732">
        <f t="shared" si="20"/>
        <v>0</v>
      </c>
      <c r="U151" s="732">
        <f t="shared" si="20"/>
        <v>0</v>
      </c>
      <c r="V151" s="732">
        <f t="shared" si="20"/>
        <v>0</v>
      </c>
      <c r="W151" s="732">
        <f t="shared" si="20"/>
        <v>0</v>
      </c>
      <c r="X151" s="732">
        <f t="shared" si="20"/>
        <v>0</v>
      </c>
    </row>
    <row r="152" spans="1:24" s="222" customFormat="1">
      <c r="A152" s="280"/>
      <c r="B152" s="280"/>
      <c r="C152" s="263"/>
      <c r="D152" s="514"/>
      <c r="E152" s="515"/>
      <c r="F152" s="520"/>
      <c r="G152" s="520"/>
      <c r="H152" s="520"/>
      <c r="I152" s="520"/>
      <c r="J152" s="520"/>
      <c r="K152" s="520"/>
      <c r="L152" s="520"/>
      <c r="M152" s="520"/>
      <c r="N152" s="520"/>
      <c r="O152" s="520"/>
      <c r="P152" s="520"/>
      <c r="Q152" s="520"/>
      <c r="R152" s="520"/>
      <c r="S152" s="520"/>
      <c r="T152" s="520"/>
      <c r="U152" s="520"/>
      <c r="V152" s="520"/>
      <c r="W152" s="520"/>
      <c r="X152" s="520"/>
    </row>
    <row r="153" spans="1:24" s="222" customFormat="1" ht="14.25">
      <c r="A153" s="296" t="s">
        <v>140</v>
      </c>
      <c r="B153" s="296"/>
      <c r="C153" s="297"/>
      <c r="D153" s="522">
        <f t="shared" ref="D153:X153" si="21">SUM(D145,D151)</f>
        <v>0</v>
      </c>
      <c r="E153" s="522">
        <f t="shared" si="21"/>
        <v>367858.33333333331</v>
      </c>
      <c r="F153" s="522">
        <f t="shared" si="21"/>
        <v>883304.84615384613</v>
      </c>
      <c r="G153" s="522">
        <f t="shared" si="21"/>
        <v>902094.3710769231</v>
      </c>
      <c r="H153" s="522">
        <f t="shared" si="21"/>
        <v>920136.25849846145</v>
      </c>
      <c r="I153" s="522">
        <f t="shared" si="21"/>
        <v>938538.98366843082</v>
      </c>
      <c r="J153" s="522">
        <f t="shared" si="21"/>
        <v>985653.64213699941</v>
      </c>
      <c r="K153" s="522">
        <f t="shared" si="21"/>
        <v>1000829.7961893713</v>
      </c>
      <c r="L153" s="522">
        <f t="shared" si="21"/>
        <v>1020846.3921131587</v>
      </c>
      <c r="M153" s="522">
        <f t="shared" si="21"/>
        <v>1041263.3199554221</v>
      </c>
      <c r="N153" s="522">
        <f t="shared" si="21"/>
        <v>1062088.5863545304</v>
      </c>
      <c r="O153" s="522">
        <f t="shared" si="21"/>
        <v>1087720.8608716237</v>
      </c>
      <c r="P153" s="522">
        <f t="shared" si="21"/>
        <v>1104996.9652432539</v>
      </c>
      <c r="Q153" s="522">
        <f t="shared" si="21"/>
        <v>1127096.9045481186</v>
      </c>
      <c r="R153" s="522">
        <f t="shared" si="21"/>
        <v>1149638.8426390809</v>
      </c>
      <c r="S153" s="522">
        <f t="shared" si="21"/>
        <v>1172631.6194918626</v>
      </c>
      <c r="T153" s="522">
        <f t="shared" si="21"/>
        <v>1200411.3177125379</v>
      </c>
      <c r="U153" s="522">
        <f t="shared" si="21"/>
        <v>1220005.9369193341</v>
      </c>
      <c r="V153" s="522">
        <f t="shared" si="21"/>
        <v>1244406.0556577207</v>
      </c>
      <c r="W153" s="522">
        <f t="shared" si="21"/>
        <v>1269294.1767708752</v>
      </c>
      <c r="X153" s="522">
        <f t="shared" si="21"/>
        <v>1294680.0603062927</v>
      </c>
    </row>
    <row r="154" spans="1:24">
      <c r="A154" s="92"/>
      <c r="B154" s="92"/>
      <c r="C154" s="69"/>
      <c r="D154" s="514"/>
      <c r="E154" s="515"/>
      <c r="F154" s="515"/>
      <c r="G154" s="515"/>
      <c r="H154" s="515"/>
      <c r="I154" s="515"/>
      <c r="J154" s="515"/>
      <c r="K154" s="515"/>
      <c r="L154" s="515"/>
      <c r="M154" s="515"/>
      <c r="N154" s="515"/>
      <c r="O154" s="515"/>
      <c r="P154" s="515"/>
      <c r="Q154" s="515"/>
      <c r="R154" s="515"/>
      <c r="S154" s="515"/>
      <c r="T154" s="515"/>
      <c r="U154" s="515"/>
      <c r="V154" s="515"/>
      <c r="W154" s="515"/>
      <c r="X154" s="515"/>
    </row>
    <row r="155" spans="1:24" s="33" customFormat="1">
      <c r="A155" s="47" t="s">
        <v>7</v>
      </c>
      <c r="B155" s="47" t="s">
        <v>7</v>
      </c>
      <c r="C155" s="78" t="s">
        <v>7</v>
      </c>
      <c r="D155" s="604" t="s">
        <v>7</v>
      </c>
      <c r="E155" s="78" t="s">
        <v>7</v>
      </c>
      <c r="F155" s="78" t="s">
        <v>7</v>
      </c>
      <c r="G155" s="78" t="s">
        <v>7</v>
      </c>
      <c r="H155" s="78" t="s">
        <v>7</v>
      </c>
      <c r="I155" s="78" t="s">
        <v>7</v>
      </c>
      <c r="J155" s="78" t="s">
        <v>7</v>
      </c>
      <c r="K155" s="78" t="s">
        <v>7</v>
      </c>
      <c r="L155" s="78" t="s">
        <v>7</v>
      </c>
      <c r="M155" s="78" t="s">
        <v>7</v>
      </c>
      <c r="N155" s="78" t="s">
        <v>7</v>
      </c>
      <c r="O155" s="78" t="s">
        <v>7</v>
      </c>
      <c r="P155" s="78" t="s">
        <v>7</v>
      </c>
      <c r="Q155" s="78" t="s">
        <v>7</v>
      </c>
      <c r="R155" s="78" t="s">
        <v>7</v>
      </c>
      <c r="S155" s="78" t="s">
        <v>7</v>
      </c>
      <c r="T155" s="78" t="s">
        <v>7</v>
      </c>
      <c r="U155" s="78" t="s">
        <v>7</v>
      </c>
      <c r="V155" s="78" t="s">
        <v>7</v>
      </c>
      <c r="W155" s="78" t="s">
        <v>7</v>
      </c>
      <c r="X155" s="78" t="s">
        <v>7</v>
      </c>
    </row>
    <row r="156" spans="1:24">
      <c r="A156" s="92"/>
      <c r="B156" s="92"/>
      <c r="C156" s="69"/>
      <c r="D156" s="518"/>
      <c r="E156" s="515"/>
      <c r="F156" s="515"/>
      <c r="G156" s="515"/>
      <c r="H156" s="515"/>
      <c r="I156" s="515"/>
      <c r="J156" s="515"/>
      <c r="K156" s="515"/>
      <c r="L156" s="515"/>
      <c r="M156" s="515"/>
      <c r="N156" s="515"/>
      <c r="O156" s="515"/>
      <c r="P156" s="515"/>
      <c r="Q156" s="515"/>
      <c r="R156" s="515"/>
      <c r="S156" s="515"/>
      <c r="T156" s="515"/>
      <c r="U156" s="515"/>
      <c r="V156" s="515"/>
      <c r="W156" s="515"/>
      <c r="X156" s="515"/>
    </row>
    <row r="157" spans="1:24" s="16" customFormat="1" ht="14.25">
      <c r="A157" s="278" t="s">
        <v>116</v>
      </c>
      <c r="B157" s="263"/>
      <c r="C157" s="263"/>
      <c r="D157" s="518">
        <f>D120-(D137+D143)</f>
        <v>0</v>
      </c>
      <c r="E157" s="520">
        <f>E120-E153</f>
        <v>-148033.33333333331</v>
      </c>
      <c r="F157" s="520">
        <f t="shared" ref="F157:X157" si="22">F120-F153</f>
        <v>1096369.9655149044</v>
      </c>
      <c r="G157" s="520">
        <f t="shared" si="22"/>
        <v>1262226.336825202</v>
      </c>
      <c r="H157" s="520">
        <f t="shared" si="22"/>
        <v>1287250.8635617057</v>
      </c>
      <c r="I157" s="520">
        <f t="shared" si="22"/>
        <v>1312775.8808329403</v>
      </c>
      <c r="J157" s="520">
        <f t="shared" si="22"/>
        <v>1527405.3668766203</v>
      </c>
      <c r="K157" s="520">
        <f t="shared" si="22"/>
        <v>1557931.636060077</v>
      </c>
      <c r="L157" s="520">
        <f t="shared" si="22"/>
        <v>1584531.5118368336</v>
      </c>
      <c r="M157" s="520">
        <f t="shared" si="22"/>
        <v>1611663.3851291263</v>
      </c>
      <c r="N157" s="520">
        <f t="shared" si="22"/>
        <v>1639337.8958872645</v>
      </c>
      <c r="O157" s="520">
        <f t="shared" si="22"/>
        <v>1717997.3558761193</v>
      </c>
      <c r="P157" s="520">
        <f t="shared" si="22"/>
        <v>1751180.4196588867</v>
      </c>
      <c r="Q157" s="520">
        <f t="shared" si="22"/>
        <v>1780548.8318715103</v>
      </c>
      <c r="R157" s="520">
        <f t="shared" si="22"/>
        <v>1810504.6123283848</v>
      </c>
      <c r="S157" s="520">
        <f t="shared" si="22"/>
        <v>1841059.5083943969</v>
      </c>
      <c r="T157" s="520">
        <f t="shared" si="22"/>
        <v>1922820.398356447</v>
      </c>
      <c r="U157" s="520">
        <f t="shared" si="22"/>
        <v>1958936.7780543643</v>
      </c>
      <c r="V157" s="520">
        <f t="shared" si="22"/>
        <v>1991361.8781987843</v>
      </c>
      <c r="W157" s="520">
        <f t="shared" si="22"/>
        <v>2024435.4803460939</v>
      </c>
      <c r="X157" s="520">
        <f t="shared" si="22"/>
        <v>2058170.5545363484</v>
      </c>
    </row>
    <row r="158" spans="1:24">
      <c r="A158" s="30"/>
      <c r="B158" s="92"/>
      <c r="C158" s="69"/>
      <c r="D158" s="514"/>
      <c r="E158" s="515"/>
      <c r="F158" s="515"/>
      <c r="G158" s="515"/>
      <c r="H158" s="515"/>
      <c r="I158" s="515"/>
      <c r="J158" s="515"/>
      <c r="K158" s="515"/>
      <c r="L158" s="515"/>
      <c r="M158" s="515"/>
      <c r="N158" s="515"/>
      <c r="O158" s="515"/>
      <c r="P158" s="515"/>
      <c r="Q158" s="515"/>
      <c r="R158" s="515"/>
      <c r="S158" s="515"/>
      <c r="T158" s="515"/>
      <c r="U158" s="515"/>
      <c r="V158" s="515"/>
      <c r="W158" s="515"/>
      <c r="X158" s="515"/>
    </row>
    <row r="159" spans="1:24" s="594" customFormat="1">
      <c r="A159" s="589" t="s">
        <v>125</v>
      </c>
      <c r="B159" s="590"/>
      <c r="C159" s="591"/>
      <c r="D159" s="592">
        <v>0</v>
      </c>
      <c r="E159" s="593">
        <v>0</v>
      </c>
      <c r="F159" s="593">
        <v>0</v>
      </c>
      <c r="G159" s="593">
        <v>0</v>
      </c>
      <c r="H159" s="593">
        <v>0</v>
      </c>
      <c r="I159" s="593">
        <v>0</v>
      </c>
      <c r="J159" s="593">
        <v>0</v>
      </c>
      <c r="K159" s="593">
        <v>0</v>
      </c>
      <c r="L159" s="593">
        <v>0</v>
      </c>
      <c r="M159" s="593">
        <v>0</v>
      </c>
      <c r="N159" s="593">
        <v>0</v>
      </c>
      <c r="O159" s="593">
        <v>0</v>
      </c>
      <c r="P159" s="593">
        <v>0</v>
      </c>
      <c r="Q159" s="593">
        <v>0</v>
      </c>
      <c r="R159" s="593">
        <v>0</v>
      </c>
      <c r="S159" s="593">
        <v>0</v>
      </c>
      <c r="T159" s="593">
        <v>0</v>
      </c>
      <c r="U159" s="593">
        <v>0</v>
      </c>
      <c r="V159" s="593">
        <v>0</v>
      </c>
      <c r="W159" s="593">
        <v>0</v>
      </c>
      <c r="X159" s="593">
        <v>0</v>
      </c>
    </row>
    <row r="160" spans="1:24">
      <c r="A160" s="92"/>
      <c r="B160" s="92"/>
      <c r="C160" s="69"/>
      <c r="D160" s="514"/>
      <c r="E160" s="515"/>
      <c r="F160" s="515"/>
      <c r="G160" s="515"/>
      <c r="H160" s="515"/>
      <c r="I160" s="515"/>
      <c r="J160" s="515"/>
      <c r="K160" s="515"/>
      <c r="L160" s="515"/>
      <c r="M160" s="515"/>
      <c r="N160" s="515"/>
      <c r="O160" s="515"/>
      <c r="P160" s="515"/>
      <c r="Q160" s="515"/>
      <c r="R160" s="515"/>
      <c r="S160" s="515"/>
      <c r="T160" s="515"/>
      <c r="U160" s="515"/>
      <c r="V160" s="515"/>
      <c r="W160" s="515"/>
      <c r="X160" s="515"/>
    </row>
    <row r="161" spans="1:24" s="16" customFormat="1" ht="14.25">
      <c r="A161" s="278" t="s">
        <v>117</v>
      </c>
      <c r="B161" s="278"/>
      <c r="C161" s="263"/>
      <c r="D161" s="518">
        <v>0</v>
      </c>
      <c r="E161" s="520">
        <f>E157-E159</f>
        <v>-148033.33333333331</v>
      </c>
      <c r="F161" s="520">
        <f t="shared" ref="F161:X161" si="23">F157-F159</f>
        <v>1096369.9655149044</v>
      </c>
      <c r="G161" s="520">
        <f t="shared" si="23"/>
        <v>1262226.336825202</v>
      </c>
      <c r="H161" s="520">
        <f t="shared" si="23"/>
        <v>1287250.8635617057</v>
      </c>
      <c r="I161" s="520">
        <f t="shared" si="23"/>
        <v>1312775.8808329403</v>
      </c>
      <c r="J161" s="520">
        <f t="shared" si="23"/>
        <v>1527405.3668766203</v>
      </c>
      <c r="K161" s="520">
        <f t="shared" si="23"/>
        <v>1557931.636060077</v>
      </c>
      <c r="L161" s="520">
        <f t="shared" si="23"/>
        <v>1584531.5118368336</v>
      </c>
      <c r="M161" s="520">
        <f t="shared" si="23"/>
        <v>1611663.3851291263</v>
      </c>
      <c r="N161" s="520">
        <f t="shared" si="23"/>
        <v>1639337.8958872645</v>
      </c>
      <c r="O161" s="520">
        <f t="shared" si="23"/>
        <v>1717997.3558761193</v>
      </c>
      <c r="P161" s="520">
        <f t="shared" si="23"/>
        <v>1751180.4196588867</v>
      </c>
      <c r="Q161" s="520">
        <f t="shared" si="23"/>
        <v>1780548.8318715103</v>
      </c>
      <c r="R161" s="520">
        <f t="shared" si="23"/>
        <v>1810504.6123283848</v>
      </c>
      <c r="S161" s="520">
        <f t="shared" si="23"/>
        <v>1841059.5083943969</v>
      </c>
      <c r="T161" s="520">
        <f t="shared" si="23"/>
        <v>1922820.398356447</v>
      </c>
      <c r="U161" s="520">
        <f t="shared" si="23"/>
        <v>1958936.7780543643</v>
      </c>
      <c r="V161" s="520">
        <f t="shared" si="23"/>
        <v>1991361.8781987843</v>
      </c>
      <c r="W161" s="520">
        <f t="shared" si="23"/>
        <v>2024435.4803460939</v>
      </c>
      <c r="X161" s="520">
        <f t="shared" si="23"/>
        <v>2058170.5545363484</v>
      </c>
    </row>
    <row r="162" spans="1:24">
      <c r="A162" s="92"/>
      <c r="B162" s="92"/>
      <c r="C162" s="69"/>
      <c r="D162" s="514"/>
      <c r="E162" s="515"/>
      <c r="F162" s="515"/>
      <c r="G162" s="515"/>
      <c r="H162" s="515"/>
      <c r="I162" s="515"/>
      <c r="J162" s="515"/>
      <c r="K162" s="515"/>
      <c r="L162" s="515"/>
      <c r="M162" s="515"/>
      <c r="N162" s="515"/>
      <c r="O162" s="515"/>
      <c r="P162" s="515"/>
      <c r="Q162" s="515"/>
      <c r="R162" s="515"/>
      <c r="S162" s="515"/>
      <c r="T162" s="515"/>
      <c r="U162" s="515"/>
      <c r="V162" s="515"/>
      <c r="W162" s="515"/>
      <c r="X162" s="515"/>
    </row>
    <row r="163" spans="1:24">
      <c r="A163" s="271" t="s">
        <v>126</v>
      </c>
      <c r="B163" s="272"/>
      <c r="C163" s="273"/>
      <c r="D163" s="523"/>
      <c r="E163" s="523"/>
      <c r="F163" s="523"/>
      <c r="G163" s="523"/>
      <c r="H163" s="523"/>
      <c r="I163" s="523"/>
      <c r="J163" s="523"/>
      <c r="K163" s="523"/>
      <c r="L163" s="523"/>
      <c r="M163" s="523"/>
      <c r="N163" s="523"/>
      <c r="O163" s="523"/>
      <c r="P163" s="523"/>
      <c r="Q163" s="523"/>
      <c r="R163" s="523"/>
      <c r="S163" s="523"/>
      <c r="T163" s="523"/>
      <c r="U163" s="523"/>
      <c r="V163" s="523"/>
      <c r="W163" s="523"/>
      <c r="X163" s="523"/>
    </row>
    <row r="164" spans="1:24" s="32" customFormat="1">
      <c r="A164" s="280"/>
      <c r="B164" s="91"/>
      <c r="C164" s="69"/>
      <c r="D164" s="514"/>
      <c r="E164" s="515"/>
      <c r="F164" s="515"/>
      <c r="G164" s="515"/>
      <c r="H164" s="515"/>
      <c r="I164" s="515"/>
      <c r="J164" s="515"/>
      <c r="K164" s="515"/>
      <c r="L164" s="515"/>
      <c r="M164" s="515"/>
      <c r="N164" s="515"/>
      <c r="O164" s="515"/>
      <c r="P164" s="515"/>
      <c r="Q164" s="515"/>
      <c r="R164" s="515"/>
      <c r="S164" s="515"/>
      <c r="T164" s="515"/>
      <c r="U164" s="515"/>
      <c r="V164" s="515"/>
      <c r="W164" s="515"/>
      <c r="X164" s="515"/>
    </row>
    <row r="165" spans="1:24" s="96" customFormat="1">
      <c r="A165" s="885" t="s">
        <v>136</v>
      </c>
      <c r="B165" s="719"/>
      <c r="C165" s="69"/>
      <c r="D165" s="514">
        <v>0</v>
      </c>
      <c r="E165" s="515">
        <f>'OPEX - Concept C1 - ALL'!L169</f>
        <v>0</v>
      </c>
      <c r="F165" s="515">
        <f>'OPEX - Concept C1 - ALL'!M169</f>
        <v>85775</v>
      </c>
      <c r="G165" s="515">
        <f>'OPEX - Concept C1 - ALL'!N169</f>
        <v>87490.5</v>
      </c>
      <c r="H165" s="515">
        <f>'OPEX - Concept C1 - ALL'!O169</f>
        <v>89240.31</v>
      </c>
      <c r="I165" s="515">
        <f>'OPEX - Concept C1 - ALL'!P169</f>
        <v>91025.116199999989</v>
      </c>
      <c r="J165" s="515">
        <f>'OPEX - Concept C1 - ALL'!Q169</f>
        <v>92845.618524000005</v>
      </c>
      <c r="K165" s="515">
        <f>'OPEX - Concept C1 - ALL'!R169</f>
        <v>94702.530894480005</v>
      </c>
      <c r="L165" s="515">
        <f>'OPEX - Concept C1 - ALL'!S169</f>
        <v>96596.581512369608</v>
      </c>
      <c r="M165" s="515">
        <f>'OPEX - Concept C1 - ALL'!T169</f>
        <v>98528.513142616997</v>
      </c>
      <c r="N165" s="515">
        <f>'OPEX - Concept C1 - ALL'!U169</f>
        <v>100499.08340546934</v>
      </c>
      <c r="O165" s="515">
        <f>'OPEX - Concept C1 - ALL'!V169</f>
        <v>102509.06507357873</v>
      </c>
      <c r="P165" s="515">
        <f>'OPEX - Concept C1 - ALL'!W169</f>
        <v>104559.24637505031</v>
      </c>
      <c r="Q165" s="515">
        <f>'OPEX - Concept C1 - ALL'!X169</f>
        <v>106650.43130255131</v>
      </c>
      <c r="R165" s="515">
        <f>'OPEX - Concept C1 - ALL'!Y169</f>
        <v>108783.43992860234</v>
      </c>
      <c r="S165" s="515">
        <f>'OPEX - Concept C1 - ALL'!Z169</f>
        <v>110959.10872717437</v>
      </c>
      <c r="T165" s="515">
        <f>'OPEX - Concept C1 - ALL'!AA169</f>
        <v>113178.29090171788</v>
      </c>
      <c r="U165" s="515">
        <f>'OPEX - Concept C1 - ALL'!AB169</f>
        <v>115441.85671975224</v>
      </c>
      <c r="V165" s="515">
        <f>'OPEX - Concept C1 - ALL'!AC169</f>
        <v>117750.69385414729</v>
      </c>
      <c r="W165" s="515">
        <f>'OPEX - Concept C1 - ALL'!AD169</f>
        <v>120105.70773123024</v>
      </c>
      <c r="X165" s="515">
        <f>'OPEX - Concept C1 - ALL'!AE169</f>
        <v>122507.82188585485</v>
      </c>
    </row>
    <row r="166" spans="1:24" s="96" customFormat="1">
      <c r="A166" s="885" t="s">
        <v>458</v>
      </c>
      <c r="B166" s="719"/>
      <c r="C166" s="69"/>
      <c r="D166" s="514">
        <v>0</v>
      </c>
      <c r="E166" s="515">
        <f>'OPEX - Concept C1 - ALL'!L171</f>
        <v>635662.67999999993</v>
      </c>
      <c r="F166" s="515">
        <f>'OPEX - Concept C1 - ALL'!M171</f>
        <v>635662.67999999993</v>
      </c>
      <c r="G166" s="515">
        <f>'OPEX - Concept C1 - ALL'!N171</f>
        <v>635662.67999999993</v>
      </c>
      <c r="H166" s="515">
        <f>'OPEX - Concept C1 - ALL'!O171</f>
        <v>635662.67999999993</v>
      </c>
      <c r="I166" s="515">
        <f>'OPEX - Concept C1 - ALL'!P171</f>
        <v>635662.67999999993</v>
      </c>
      <c r="J166" s="515">
        <f>'OPEX - Concept C1 - ALL'!Q171</f>
        <v>635662.67999999993</v>
      </c>
      <c r="K166" s="515">
        <f>'OPEX - Concept C1 - ALL'!R171</f>
        <v>635662.67999999993</v>
      </c>
      <c r="L166" s="515">
        <f>'OPEX - Concept C1 - ALL'!S171</f>
        <v>635662.67999999993</v>
      </c>
      <c r="M166" s="515">
        <f>'OPEX - Concept C1 - ALL'!T171</f>
        <v>635662.67999999993</v>
      </c>
      <c r="N166" s="515">
        <f>'OPEX - Concept C1 - ALL'!U171</f>
        <v>635662.67999999993</v>
      </c>
      <c r="O166" s="515">
        <f>'OPEX - Concept C1 - ALL'!V171</f>
        <v>635662.67999999993</v>
      </c>
      <c r="P166" s="515">
        <f>'OPEX - Concept C1 - ALL'!W171</f>
        <v>635662.67999999993</v>
      </c>
      <c r="Q166" s="515">
        <f>'OPEX - Concept C1 - ALL'!X171</f>
        <v>635662.67999999993</v>
      </c>
      <c r="R166" s="515">
        <f>'OPEX - Concept C1 - ALL'!Y171</f>
        <v>635662.67999999993</v>
      </c>
      <c r="S166" s="515">
        <f>'OPEX - Concept C1 - ALL'!Z171</f>
        <v>635662.67999999993</v>
      </c>
      <c r="T166" s="515">
        <f>'OPEX - Concept C1 - ALL'!AA171</f>
        <v>635662.67999999993</v>
      </c>
      <c r="U166" s="515">
        <f>'OPEX - Concept C1 - ALL'!AB171</f>
        <v>635662.67999999993</v>
      </c>
      <c r="V166" s="515">
        <f>'OPEX - Concept C1 - ALL'!AC171</f>
        <v>635662.67999999993</v>
      </c>
      <c r="W166" s="515">
        <f>'OPEX - Concept C1 - ALL'!AD171</f>
        <v>635662.67999999993</v>
      </c>
      <c r="X166" s="515">
        <f>'OPEX - Concept C1 - ALL'!AE171</f>
        <v>635662.67999999993</v>
      </c>
    </row>
    <row r="167" spans="1:24" s="341" customFormat="1">
      <c r="A167" s="696" t="s">
        <v>315</v>
      </c>
      <c r="B167" s="697"/>
      <c r="C167" s="698"/>
      <c r="D167" s="699">
        <v>0</v>
      </c>
      <c r="E167" s="700">
        <v>0</v>
      </c>
      <c r="F167" s="700">
        <v>0</v>
      </c>
      <c r="G167" s="700">
        <v>0</v>
      </c>
      <c r="H167" s="700">
        <v>0</v>
      </c>
      <c r="I167" s="700">
        <v>0</v>
      </c>
      <c r="J167" s="700">
        <v>0</v>
      </c>
      <c r="K167" s="700">
        <v>0</v>
      </c>
      <c r="L167" s="700">
        <v>0</v>
      </c>
      <c r="M167" s="700">
        <v>0</v>
      </c>
      <c r="N167" s="700">
        <v>0</v>
      </c>
      <c r="O167" s="700">
        <v>0</v>
      </c>
      <c r="P167" s="700">
        <v>0</v>
      </c>
      <c r="Q167" s="700">
        <v>0</v>
      </c>
      <c r="R167" s="700">
        <v>0</v>
      </c>
      <c r="S167" s="700">
        <v>0</v>
      </c>
      <c r="T167" s="700">
        <v>0</v>
      </c>
      <c r="U167" s="700">
        <v>0</v>
      </c>
      <c r="V167" s="700">
        <v>0</v>
      </c>
      <c r="W167" s="700">
        <v>0</v>
      </c>
      <c r="X167" s="700">
        <v>0</v>
      </c>
    </row>
    <row r="168" spans="1:24" s="32" customFormat="1">
      <c r="A168" s="93" t="s">
        <v>316</v>
      </c>
      <c r="B168" s="298"/>
      <c r="C168" s="298"/>
      <c r="D168" s="505">
        <v>0</v>
      </c>
      <c r="E168" s="506">
        <v>246000</v>
      </c>
      <c r="F168" s="506">
        <v>246000</v>
      </c>
      <c r="G168" s="506">
        <v>246000</v>
      </c>
      <c r="H168" s="506">
        <v>246000</v>
      </c>
      <c r="I168" s="506">
        <v>246000</v>
      </c>
      <c r="J168" s="506">
        <v>246000</v>
      </c>
      <c r="K168" s="506">
        <v>246000</v>
      </c>
      <c r="L168" s="506">
        <v>246000</v>
      </c>
      <c r="M168" s="506">
        <v>246000</v>
      </c>
      <c r="N168" s="506">
        <v>246000</v>
      </c>
      <c r="O168" s="506">
        <v>246000</v>
      </c>
      <c r="P168" s="506">
        <v>246000</v>
      </c>
      <c r="Q168" s="506">
        <v>246000</v>
      </c>
      <c r="R168" s="506">
        <v>246000</v>
      </c>
      <c r="S168" s="506">
        <v>246000</v>
      </c>
      <c r="T168" s="506">
        <v>246000</v>
      </c>
      <c r="U168" s="506">
        <v>246000</v>
      </c>
      <c r="V168" s="506">
        <v>246000</v>
      </c>
      <c r="W168" s="506">
        <v>246000</v>
      </c>
      <c r="X168" s="506">
        <v>246000</v>
      </c>
    </row>
    <row r="169" spans="1:24" s="222" customFormat="1" ht="14.25">
      <c r="A169" s="263" t="s">
        <v>134</v>
      </c>
      <c r="B169" s="264"/>
      <c r="C169" s="264"/>
      <c r="D169" s="524">
        <f>SUM(D165:D168)</f>
        <v>0</v>
      </c>
      <c r="E169" s="525">
        <f t="shared" ref="E169:X169" si="24">SUM(E165:E168)</f>
        <v>881662.67999999993</v>
      </c>
      <c r="F169" s="525">
        <f t="shared" si="24"/>
        <v>967437.67999999993</v>
      </c>
      <c r="G169" s="525">
        <f t="shared" si="24"/>
        <v>969153.17999999993</v>
      </c>
      <c r="H169" s="525">
        <f t="shared" si="24"/>
        <v>970902.99</v>
      </c>
      <c r="I169" s="525">
        <f t="shared" si="24"/>
        <v>972687.79619999998</v>
      </c>
      <c r="J169" s="525">
        <f t="shared" si="24"/>
        <v>974508.29852399998</v>
      </c>
      <c r="K169" s="525">
        <f t="shared" si="24"/>
        <v>976365.21089447988</v>
      </c>
      <c r="L169" s="525">
        <f t="shared" si="24"/>
        <v>978259.2615123695</v>
      </c>
      <c r="M169" s="525">
        <f t="shared" si="24"/>
        <v>980191.19314261689</v>
      </c>
      <c r="N169" s="525">
        <f t="shared" si="24"/>
        <v>982161.76340546925</v>
      </c>
      <c r="O169" s="525">
        <f t="shared" si="24"/>
        <v>984171.74507357867</v>
      </c>
      <c r="P169" s="525">
        <f t="shared" si="24"/>
        <v>986221.92637505021</v>
      </c>
      <c r="Q169" s="525">
        <f t="shared" si="24"/>
        <v>988313.11130255123</v>
      </c>
      <c r="R169" s="525">
        <f t="shared" si="24"/>
        <v>990446.11992860225</v>
      </c>
      <c r="S169" s="525">
        <f t="shared" si="24"/>
        <v>992621.78872717428</v>
      </c>
      <c r="T169" s="525">
        <f t="shared" si="24"/>
        <v>994840.97090171778</v>
      </c>
      <c r="U169" s="525">
        <f t="shared" si="24"/>
        <v>997104.53671975213</v>
      </c>
      <c r="V169" s="525">
        <f t="shared" si="24"/>
        <v>999413.37385414727</v>
      </c>
      <c r="W169" s="525">
        <f t="shared" si="24"/>
        <v>1001768.3877312301</v>
      </c>
      <c r="X169" s="525">
        <f t="shared" si="24"/>
        <v>1004170.5018858548</v>
      </c>
    </row>
    <row r="170" spans="1:24" s="32" customFormat="1">
      <c r="A170" s="69"/>
      <c r="B170" s="90"/>
      <c r="C170" s="90"/>
      <c r="D170" s="526"/>
      <c r="E170" s="527"/>
      <c r="F170" s="527"/>
      <c r="G170" s="527"/>
      <c r="H170" s="527"/>
      <c r="I170" s="527"/>
      <c r="J170" s="527"/>
      <c r="K170" s="527"/>
      <c r="L170" s="527"/>
      <c r="M170" s="527"/>
      <c r="N170" s="527"/>
      <c r="O170" s="527"/>
      <c r="P170" s="527"/>
      <c r="Q170" s="527"/>
      <c r="R170" s="527"/>
      <c r="S170" s="527"/>
      <c r="T170" s="527"/>
      <c r="U170" s="527"/>
      <c r="V170" s="527"/>
      <c r="W170" s="527"/>
      <c r="X170" s="527"/>
    </row>
    <row r="171" spans="1:24" s="32" customFormat="1">
      <c r="A171" s="94" t="s">
        <v>137</v>
      </c>
      <c r="C171" s="69"/>
      <c r="D171" s="514">
        <v>0</v>
      </c>
      <c r="E171" s="515">
        <f>E161-E165</f>
        <v>-148033.33333333331</v>
      </c>
      <c r="F171" s="515">
        <f t="shared" ref="F171:X171" si="25">F157-F165</f>
        <v>1010594.9655149044</v>
      </c>
      <c r="G171" s="515">
        <f t="shared" si="25"/>
        <v>1174735.836825202</v>
      </c>
      <c r="H171" s="515">
        <f t="shared" si="25"/>
        <v>1198010.5535617056</v>
      </c>
      <c r="I171" s="515">
        <f t="shared" si="25"/>
        <v>1221750.7646329403</v>
      </c>
      <c r="J171" s="515">
        <f t="shared" si="25"/>
        <v>1434559.7483526203</v>
      </c>
      <c r="K171" s="515">
        <f t="shared" si="25"/>
        <v>1463229.1051655971</v>
      </c>
      <c r="L171" s="515">
        <f t="shared" si="25"/>
        <v>1487934.9303244639</v>
      </c>
      <c r="M171" s="515">
        <f t="shared" si="25"/>
        <v>1513134.8719865093</v>
      </c>
      <c r="N171" s="515">
        <f t="shared" si="25"/>
        <v>1538838.8124817952</v>
      </c>
      <c r="O171" s="515">
        <f t="shared" si="25"/>
        <v>1615488.2908025407</v>
      </c>
      <c r="P171" s="515">
        <f t="shared" si="25"/>
        <v>1646621.1732838363</v>
      </c>
      <c r="Q171" s="515">
        <f t="shared" si="25"/>
        <v>1673898.4005689588</v>
      </c>
      <c r="R171" s="515">
        <f t="shared" si="25"/>
        <v>1701721.1723997823</v>
      </c>
      <c r="S171" s="515">
        <f t="shared" si="25"/>
        <v>1730100.3996672225</v>
      </c>
      <c r="T171" s="515">
        <f t="shared" si="25"/>
        <v>1809642.107454729</v>
      </c>
      <c r="U171" s="515">
        <f t="shared" si="25"/>
        <v>1843494.921334612</v>
      </c>
      <c r="V171" s="515">
        <f t="shared" si="25"/>
        <v>1873611.184344637</v>
      </c>
      <c r="W171" s="515">
        <f t="shared" si="25"/>
        <v>1904329.7726148637</v>
      </c>
      <c r="X171" s="515">
        <f t="shared" si="25"/>
        <v>1935662.7326504935</v>
      </c>
    </row>
    <row r="172" spans="1:24" ht="16.5" customHeight="1">
      <c r="A172" s="88" t="s">
        <v>128</v>
      </c>
      <c r="B172" s="98"/>
      <c r="C172" s="98"/>
      <c r="D172" s="528">
        <v>0</v>
      </c>
      <c r="E172" s="529">
        <f>E161-E169</f>
        <v>-1029696.0133333332</v>
      </c>
      <c r="F172" s="529">
        <f t="shared" ref="F172:X172" si="26">F161-F169</f>
        <v>128932.28551490442</v>
      </c>
      <c r="G172" s="529">
        <f t="shared" si="26"/>
        <v>293073.15682520205</v>
      </c>
      <c r="H172" s="529">
        <f t="shared" si="26"/>
        <v>316347.8735617057</v>
      </c>
      <c r="I172" s="529">
        <f t="shared" si="26"/>
        <v>340088.08463294036</v>
      </c>
      <c r="J172" s="529">
        <f t="shared" si="26"/>
        <v>552897.06835262035</v>
      </c>
      <c r="K172" s="529">
        <f t="shared" si="26"/>
        <v>581566.42516559712</v>
      </c>
      <c r="L172" s="529">
        <f t="shared" si="26"/>
        <v>606272.25032446405</v>
      </c>
      <c r="M172" s="529">
        <f t="shared" si="26"/>
        <v>631472.19198650937</v>
      </c>
      <c r="N172" s="529">
        <f t="shared" si="26"/>
        <v>657176.13248179527</v>
      </c>
      <c r="O172" s="529">
        <f t="shared" si="26"/>
        <v>733825.61080254067</v>
      </c>
      <c r="P172" s="529">
        <f t="shared" si="26"/>
        <v>764958.49328383652</v>
      </c>
      <c r="Q172" s="529">
        <f t="shared" si="26"/>
        <v>792235.72056895902</v>
      </c>
      <c r="R172" s="529">
        <f t="shared" si="26"/>
        <v>820058.49239978252</v>
      </c>
      <c r="S172" s="529">
        <f t="shared" si="26"/>
        <v>848437.71966722258</v>
      </c>
      <c r="T172" s="529">
        <f t="shared" si="26"/>
        <v>927979.42745472922</v>
      </c>
      <c r="U172" s="529">
        <f t="shared" si="26"/>
        <v>961832.24133461213</v>
      </c>
      <c r="V172" s="529">
        <f t="shared" si="26"/>
        <v>991948.50434463704</v>
      </c>
      <c r="W172" s="529">
        <f t="shared" si="26"/>
        <v>1022667.0926148638</v>
      </c>
      <c r="X172" s="529">
        <f t="shared" si="26"/>
        <v>1054000.0526504936</v>
      </c>
    </row>
    <row r="173" spans="1:24" ht="16.5" customHeight="1">
      <c r="A173" s="88"/>
      <c r="B173" s="88"/>
      <c r="C173" s="88"/>
      <c r="D173" s="526"/>
      <c r="E173" s="527"/>
      <c r="F173" s="527"/>
      <c r="G173" s="527"/>
      <c r="H173" s="527"/>
      <c r="I173" s="527"/>
      <c r="J173" s="527"/>
      <c r="K173" s="527"/>
      <c r="L173" s="527"/>
      <c r="M173" s="527"/>
      <c r="N173" s="527"/>
      <c r="O173" s="527"/>
      <c r="P173" s="527"/>
      <c r="Q173" s="527"/>
      <c r="R173" s="527"/>
      <c r="S173" s="527"/>
      <c r="T173" s="527"/>
      <c r="U173" s="527"/>
      <c r="V173" s="527"/>
      <c r="W173" s="527"/>
      <c r="X173" s="527"/>
    </row>
    <row r="174" spans="1:24" ht="16.5" customHeight="1">
      <c r="A174" s="88" t="s">
        <v>129</v>
      </c>
      <c r="B174" s="632">
        <f>NPV(Cost_of_Money__DPC,E161:X161)</f>
        <v>31588475.326812677</v>
      </c>
      <c r="C174" s="88"/>
      <c r="D174" s="526"/>
      <c r="E174" s="527"/>
      <c r="F174" s="527"/>
      <c r="G174" s="527"/>
      <c r="H174" s="527"/>
      <c r="I174" s="527"/>
      <c r="J174" s="527"/>
      <c r="K174" s="527"/>
      <c r="L174" s="527"/>
      <c r="M174" s="527"/>
      <c r="N174" s="527"/>
      <c r="O174" s="527"/>
      <c r="P174" s="527"/>
      <c r="Q174" s="527"/>
      <c r="R174" s="527"/>
      <c r="S174" s="527"/>
      <c r="T174" s="527"/>
      <c r="U174" s="527"/>
      <c r="V174" s="527"/>
      <c r="W174" s="527"/>
      <c r="X174" s="527"/>
    </row>
    <row r="175" spans="1:24" ht="16.5" customHeight="1">
      <c r="A175" s="300" t="s">
        <v>130</v>
      </c>
      <c r="B175" s="733">
        <f>SUM(E172:X172)</f>
        <v>11996072.81063408</v>
      </c>
      <c r="C175" s="301"/>
      <c r="D175" s="530">
        <v>0</v>
      </c>
      <c r="E175" s="530">
        <f>E161-E169</f>
        <v>-1029696.0133333332</v>
      </c>
      <c r="F175" s="530">
        <f t="shared" ref="F175:X175" si="27">F161-F169</f>
        <v>128932.28551490442</v>
      </c>
      <c r="G175" s="530">
        <f t="shared" si="27"/>
        <v>293073.15682520205</v>
      </c>
      <c r="H175" s="530">
        <f t="shared" si="27"/>
        <v>316347.8735617057</v>
      </c>
      <c r="I175" s="530">
        <f t="shared" si="27"/>
        <v>340088.08463294036</v>
      </c>
      <c r="J175" s="530">
        <f t="shared" si="27"/>
        <v>552897.06835262035</v>
      </c>
      <c r="K175" s="530">
        <f t="shared" si="27"/>
        <v>581566.42516559712</v>
      </c>
      <c r="L175" s="530">
        <f t="shared" si="27"/>
        <v>606272.25032446405</v>
      </c>
      <c r="M175" s="530">
        <f t="shared" si="27"/>
        <v>631472.19198650937</v>
      </c>
      <c r="N175" s="530">
        <f t="shared" si="27"/>
        <v>657176.13248179527</v>
      </c>
      <c r="O175" s="530">
        <f t="shared" si="27"/>
        <v>733825.61080254067</v>
      </c>
      <c r="P175" s="530">
        <f t="shared" si="27"/>
        <v>764958.49328383652</v>
      </c>
      <c r="Q175" s="530">
        <f t="shared" si="27"/>
        <v>792235.72056895902</v>
      </c>
      <c r="R175" s="530">
        <f t="shared" si="27"/>
        <v>820058.49239978252</v>
      </c>
      <c r="S175" s="530">
        <f t="shared" si="27"/>
        <v>848437.71966722258</v>
      </c>
      <c r="T175" s="530">
        <f t="shared" si="27"/>
        <v>927979.42745472922</v>
      </c>
      <c r="U175" s="530">
        <f t="shared" si="27"/>
        <v>961832.24133461213</v>
      </c>
      <c r="V175" s="530">
        <f t="shared" si="27"/>
        <v>991948.50434463704</v>
      </c>
      <c r="W175" s="530">
        <f t="shared" si="27"/>
        <v>1022667.0926148638</v>
      </c>
      <c r="X175" s="530">
        <f t="shared" si="27"/>
        <v>1054000.0526504936</v>
      </c>
    </row>
    <row r="176" spans="1:24" s="58" customFormat="1" ht="16.5" customHeight="1">
      <c r="A176" s="90" t="s">
        <v>32</v>
      </c>
      <c r="B176" s="358">
        <f>IRR(E175:X175)</f>
        <v>0.35010802349635739</v>
      </c>
      <c r="C176" s="356"/>
      <c r="D176" s="502"/>
      <c r="E176" s="504"/>
      <c r="F176" s="504"/>
      <c r="G176" s="504"/>
      <c r="H176" s="504"/>
      <c r="I176" s="504"/>
      <c r="J176" s="504"/>
      <c r="K176" s="504"/>
      <c r="L176" s="504"/>
      <c r="M176" s="504"/>
      <c r="N176" s="504"/>
      <c r="O176" s="504"/>
      <c r="P176" s="504"/>
      <c r="Q176" s="504"/>
      <c r="R176" s="504"/>
      <c r="S176" s="504"/>
      <c r="T176" s="504"/>
      <c r="U176" s="504"/>
      <c r="V176" s="504"/>
      <c r="W176" s="504"/>
      <c r="X176" s="504"/>
    </row>
    <row r="177" spans="1:24">
      <c r="A177" s="30"/>
      <c r="B177" s="30"/>
      <c r="C177" s="30"/>
      <c r="D177" s="502"/>
      <c r="E177" s="512"/>
      <c r="F177" s="512"/>
      <c r="G177" s="512"/>
      <c r="H177" s="512"/>
      <c r="I177" s="512"/>
      <c r="J177" s="512"/>
      <c r="K177" s="512"/>
      <c r="L177" s="512"/>
      <c r="M177" s="512"/>
      <c r="N177" s="512"/>
      <c r="O177" s="512"/>
      <c r="P177" s="512"/>
      <c r="Q177" s="512"/>
      <c r="R177" s="512"/>
      <c r="S177" s="512"/>
      <c r="T177" s="512"/>
      <c r="U177" s="512"/>
      <c r="V177" s="512"/>
      <c r="W177" s="512"/>
      <c r="X177" s="512"/>
    </row>
    <row r="178" spans="1:24">
      <c r="A178" s="274" t="s">
        <v>28</v>
      </c>
      <c r="B178" s="275"/>
      <c r="C178" s="275"/>
      <c r="D178" s="531"/>
      <c r="E178" s="531"/>
      <c r="F178" s="531"/>
      <c r="G178" s="531"/>
      <c r="H178" s="531"/>
      <c r="I178" s="531"/>
      <c r="J178" s="531"/>
      <c r="K178" s="531"/>
      <c r="L178" s="531"/>
      <c r="M178" s="531"/>
      <c r="N178" s="531"/>
      <c r="O178" s="531"/>
      <c r="P178" s="531"/>
      <c r="Q178" s="531"/>
      <c r="R178" s="531"/>
      <c r="S178" s="531"/>
      <c r="T178" s="531"/>
      <c r="U178" s="531"/>
      <c r="V178" s="531"/>
      <c r="W178" s="531"/>
      <c r="X178" s="531"/>
    </row>
    <row r="179" spans="1:24">
      <c r="A179" s="30"/>
      <c r="B179" s="30"/>
      <c r="C179" s="30"/>
      <c r="D179" s="502"/>
      <c r="E179" s="512"/>
      <c r="F179" s="512"/>
      <c r="G179" s="512"/>
      <c r="H179" s="512"/>
      <c r="I179" s="512"/>
      <c r="J179" s="512"/>
      <c r="K179" s="512"/>
      <c r="L179" s="512"/>
      <c r="M179" s="512"/>
      <c r="N179" s="512"/>
      <c r="O179" s="512"/>
      <c r="P179" s="512"/>
      <c r="Q179" s="512"/>
      <c r="R179" s="512"/>
      <c r="S179" s="512"/>
      <c r="T179" s="512"/>
      <c r="U179" s="512"/>
      <c r="V179" s="512"/>
      <c r="W179" s="512"/>
      <c r="X179" s="512"/>
    </row>
    <row r="180" spans="1:24">
      <c r="A180" s="30" t="s">
        <v>300</v>
      </c>
      <c r="B180" s="30"/>
      <c r="C180" s="87"/>
      <c r="D180" s="502">
        <v>0</v>
      </c>
      <c r="E180" s="512"/>
      <c r="F180" s="512"/>
      <c r="G180" s="512"/>
      <c r="H180" s="512"/>
      <c r="I180" s="512"/>
      <c r="J180" s="512"/>
      <c r="K180" s="512"/>
      <c r="L180" s="512"/>
      <c r="M180" s="512"/>
      <c r="N180" s="512"/>
      <c r="O180" s="512"/>
      <c r="P180" s="512"/>
      <c r="Q180" s="512"/>
      <c r="R180" s="512"/>
      <c r="S180" s="512"/>
      <c r="T180" s="512"/>
      <c r="U180" s="512"/>
      <c r="V180" s="512"/>
      <c r="W180" s="512"/>
      <c r="X180" s="512"/>
    </row>
    <row r="181" spans="1:24">
      <c r="A181" s="30" t="s">
        <v>301</v>
      </c>
      <c r="B181" s="30"/>
      <c r="C181" s="30"/>
      <c r="D181" s="502">
        <v>0</v>
      </c>
      <c r="E181" s="512"/>
      <c r="F181" s="512"/>
      <c r="G181" s="512"/>
      <c r="H181" s="512"/>
      <c r="I181" s="512"/>
      <c r="J181" s="512"/>
      <c r="K181" s="512"/>
      <c r="L181" s="512"/>
      <c r="M181" s="512"/>
      <c r="N181" s="512"/>
      <c r="O181" s="512"/>
      <c r="P181" s="512"/>
      <c r="Q181" s="512"/>
      <c r="R181" s="512"/>
      <c r="S181" s="512"/>
      <c r="T181" s="512"/>
      <c r="U181" s="512"/>
      <c r="V181" s="512"/>
      <c r="W181" s="512"/>
      <c r="X181" s="512"/>
    </row>
    <row r="182" spans="1:24">
      <c r="A182" s="30"/>
      <c r="B182" s="30"/>
      <c r="C182" s="30"/>
      <c r="D182" s="502"/>
      <c r="E182" s="512"/>
      <c r="F182" s="512"/>
      <c r="G182" s="512"/>
      <c r="H182" s="512"/>
      <c r="I182" s="512"/>
      <c r="J182" s="512"/>
      <c r="K182" s="512"/>
      <c r="L182" s="512"/>
      <c r="M182" s="512"/>
      <c r="N182" s="512"/>
      <c r="O182" s="512"/>
      <c r="P182" s="512"/>
      <c r="Q182" s="512"/>
      <c r="R182" s="512"/>
      <c r="S182" s="512"/>
      <c r="T182" s="512"/>
      <c r="U182" s="512"/>
      <c r="V182" s="512"/>
      <c r="W182" s="512"/>
      <c r="X182" s="512"/>
    </row>
    <row r="183" spans="1:24">
      <c r="A183" s="30" t="s">
        <v>298</v>
      </c>
      <c r="B183" s="30"/>
      <c r="C183" s="30"/>
      <c r="D183" s="502">
        <v>0</v>
      </c>
      <c r="E183" s="512"/>
      <c r="F183" s="512"/>
      <c r="G183" s="512"/>
      <c r="H183" s="512"/>
      <c r="I183" s="512"/>
      <c r="J183" s="512"/>
      <c r="K183" s="512"/>
      <c r="L183" s="512"/>
      <c r="M183" s="512"/>
      <c r="N183" s="512"/>
      <c r="O183" s="512"/>
      <c r="P183" s="512"/>
      <c r="Q183" s="512"/>
      <c r="R183" s="512"/>
      <c r="S183" s="512"/>
      <c r="T183" s="512"/>
      <c r="U183" s="512"/>
      <c r="V183" s="512"/>
      <c r="W183" s="512"/>
      <c r="X183" s="512"/>
    </row>
    <row r="184" spans="1:24">
      <c r="A184" s="30" t="s">
        <v>299</v>
      </c>
      <c r="B184" s="30"/>
      <c r="C184" s="30"/>
      <c r="D184" s="502">
        <v>0</v>
      </c>
      <c r="E184" s="512"/>
      <c r="F184" s="512"/>
      <c r="G184" s="512"/>
      <c r="H184" s="512"/>
      <c r="I184" s="512"/>
      <c r="J184" s="512"/>
      <c r="K184" s="512"/>
      <c r="L184" s="512"/>
      <c r="M184" s="512"/>
      <c r="N184" s="512"/>
      <c r="O184" s="512"/>
      <c r="P184" s="512"/>
      <c r="Q184" s="512"/>
      <c r="R184" s="512"/>
      <c r="S184" s="512"/>
      <c r="T184" s="512"/>
      <c r="U184" s="512"/>
      <c r="V184" s="512"/>
      <c r="W184" s="512"/>
      <c r="X184" s="512"/>
    </row>
    <row r="185" spans="1:24">
      <c r="D185" s="502"/>
      <c r="E185" s="532"/>
      <c r="F185" s="532"/>
      <c r="G185" s="532"/>
      <c r="H185" s="532"/>
      <c r="I185" s="532"/>
      <c r="J185" s="532"/>
      <c r="K185" s="532"/>
      <c r="L185" s="532"/>
      <c r="M185" s="532"/>
      <c r="N185" s="532"/>
      <c r="O185" s="532"/>
      <c r="P185" s="532"/>
      <c r="Q185" s="532"/>
      <c r="R185" s="532"/>
      <c r="S185" s="532"/>
      <c r="T185" s="532"/>
      <c r="U185" s="532"/>
      <c r="V185" s="532"/>
      <c r="W185" s="532"/>
      <c r="X185" s="532"/>
    </row>
    <row r="186" spans="1:24">
      <c r="A186" s="131"/>
      <c r="B186" s="131"/>
      <c r="C186" s="131"/>
      <c r="D186" s="493"/>
      <c r="E186" s="334"/>
      <c r="F186" s="334"/>
      <c r="G186" s="334"/>
      <c r="H186" s="334"/>
      <c r="I186" s="334"/>
      <c r="J186" s="334"/>
      <c r="K186" s="334"/>
      <c r="L186" s="334"/>
      <c r="M186" s="334"/>
      <c r="N186" s="334"/>
      <c r="O186" s="334"/>
      <c r="P186" s="334"/>
      <c r="Q186" s="334"/>
      <c r="R186" s="334"/>
      <c r="S186" s="334"/>
      <c r="T186" s="334"/>
      <c r="U186" s="334"/>
      <c r="V186" s="334"/>
      <c r="W186" s="334"/>
      <c r="X186" s="334"/>
    </row>
    <row r="187" spans="1:24">
      <c r="D187" s="494"/>
      <c r="E187" s="327"/>
      <c r="F187" s="327"/>
      <c r="G187" s="327"/>
      <c r="H187" s="327"/>
      <c r="I187" s="327"/>
      <c r="J187" s="327"/>
      <c r="K187" s="327"/>
      <c r="L187" s="327"/>
      <c r="M187" s="327"/>
      <c r="N187" s="327"/>
      <c r="O187" s="327"/>
      <c r="P187" s="327"/>
      <c r="Q187" s="327"/>
      <c r="R187" s="327"/>
      <c r="S187" s="327"/>
      <c r="T187" s="327"/>
      <c r="U187" s="327"/>
      <c r="V187" s="327"/>
      <c r="W187" s="327"/>
      <c r="X187" s="327"/>
    </row>
    <row r="188" spans="1:24">
      <c r="A188"/>
      <c r="D188" s="494"/>
      <c r="E188" s="327"/>
      <c r="F188" s="327"/>
      <c r="G188" s="327"/>
      <c r="H188" s="327"/>
      <c r="I188" s="327"/>
      <c r="J188" s="327"/>
      <c r="K188" s="327"/>
      <c r="L188" s="327"/>
      <c r="M188" s="327"/>
      <c r="N188" s="327"/>
      <c r="O188" s="327"/>
      <c r="P188" s="327"/>
      <c r="Q188" s="327"/>
      <c r="R188" s="327"/>
      <c r="S188" s="327"/>
      <c r="T188" s="327"/>
      <c r="U188" s="327"/>
      <c r="V188" s="327"/>
      <c r="W188" s="327"/>
      <c r="X188" s="327"/>
    </row>
    <row r="189" spans="1:24">
      <c r="A189"/>
      <c r="D189" s="494"/>
      <c r="E189" s="327"/>
      <c r="F189" s="327"/>
      <c r="G189" s="327"/>
      <c r="H189" s="327"/>
      <c r="I189" s="327"/>
      <c r="J189" s="327"/>
      <c r="K189" s="327"/>
      <c r="L189" s="327"/>
      <c r="M189" s="327"/>
      <c r="N189" s="327"/>
      <c r="O189" s="327"/>
      <c r="P189" s="327"/>
      <c r="Q189" s="327"/>
      <c r="R189" s="327"/>
      <c r="S189" s="327"/>
      <c r="T189" s="327"/>
      <c r="U189" s="327"/>
      <c r="V189" s="327"/>
      <c r="W189" s="327"/>
      <c r="X189" s="327"/>
    </row>
    <row r="190" spans="1:24">
      <c r="D190" s="494"/>
      <c r="E190" s="327"/>
      <c r="F190" s="327"/>
      <c r="G190" s="327"/>
      <c r="H190" s="362"/>
      <c r="I190" s="327"/>
      <c r="J190" s="327"/>
      <c r="K190" s="327"/>
      <c r="L190" s="327"/>
      <c r="M190" s="327"/>
      <c r="N190" s="327"/>
      <c r="O190" s="327"/>
      <c r="P190" s="327"/>
      <c r="Q190" s="327"/>
      <c r="R190" s="327"/>
      <c r="S190" s="327"/>
      <c r="T190" s="327"/>
      <c r="U190" s="327"/>
      <c r="V190" s="327"/>
      <c r="W190" s="327"/>
      <c r="X190" s="327"/>
    </row>
    <row r="191" spans="1:24">
      <c r="D191" s="326"/>
      <c r="E191" s="327"/>
      <c r="F191" s="327"/>
      <c r="G191" s="327"/>
      <c r="H191" s="359"/>
      <c r="I191" s="327"/>
      <c r="J191" s="327"/>
      <c r="K191" s="327"/>
      <c r="L191" s="327"/>
      <c r="M191" s="327"/>
      <c r="N191" s="327"/>
      <c r="O191" s="327"/>
      <c r="P191" s="327"/>
      <c r="Q191" s="327"/>
      <c r="R191" s="327"/>
      <c r="S191" s="327"/>
      <c r="T191" s="327"/>
      <c r="U191" s="327"/>
      <c r="V191" s="327"/>
      <c r="W191" s="327"/>
      <c r="X191" s="327"/>
    </row>
    <row r="192" spans="1:24">
      <c r="H192" s="305"/>
    </row>
    <row r="193" spans="8:8">
      <c r="H193" s="30"/>
    </row>
    <row r="194" spans="8:8">
      <c r="H194" s="87"/>
    </row>
    <row r="196" spans="8:8">
      <c r="H196" s="360"/>
    </row>
    <row r="197" spans="8:8">
      <c r="H197" s="361"/>
    </row>
  </sheetData>
  <pageMargins left="0.7" right="0.7" top="0.75" bottom="0.75" header="0.3" footer="0.3"/>
  <pageSetup paperSize="9" scale="2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XFD197"/>
  <sheetViews>
    <sheetView topLeftCell="A70" zoomScale="64" zoomScaleNormal="55" workbookViewId="0">
      <selection activeCell="A118" sqref="A118:XFD118"/>
    </sheetView>
  </sheetViews>
  <sheetFormatPr defaultColWidth="9" defaultRowHeight="16.5"/>
  <cols>
    <col min="1" max="1" width="71.875" style="18" customWidth="1"/>
    <col min="2" max="2" width="51.5" style="18" bestFit="1" customWidth="1"/>
    <col min="3" max="3" width="8" style="18" bestFit="1" customWidth="1"/>
    <col min="4" max="4" width="7.75" style="262" bestFit="1" customWidth="1"/>
    <col min="5" max="5" width="17.125" style="18" bestFit="1" customWidth="1"/>
    <col min="6" max="7" width="16.75" style="18" bestFit="1" customWidth="1"/>
    <col min="8" max="8" width="17.125" style="18" bestFit="1" customWidth="1"/>
    <col min="9" max="11" width="16.75" style="18" bestFit="1" customWidth="1"/>
    <col min="12" max="12" width="17.125" style="18" bestFit="1" customWidth="1"/>
    <col min="13" max="13" width="16.75" style="18" bestFit="1" customWidth="1"/>
    <col min="14" max="14" width="17.125" style="18" bestFit="1" customWidth="1"/>
    <col min="15" max="17" width="16.75" style="18" bestFit="1" customWidth="1"/>
    <col min="18" max="18" width="17.125" style="18" bestFit="1" customWidth="1"/>
    <col min="19" max="19" width="16.75" style="18" bestFit="1" customWidth="1"/>
    <col min="20" max="24" width="17.125" style="18" bestFit="1" customWidth="1"/>
    <col min="25" max="25" width="22.625" style="18" bestFit="1" customWidth="1"/>
    <col min="26" max="26" width="9" style="18"/>
    <col min="27" max="27" width="14.625" style="18" bestFit="1" customWidth="1"/>
    <col min="28" max="16384" width="9" style="18"/>
  </cols>
  <sheetData>
    <row r="1" spans="1:25" ht="18.75" thickBot="1">
      <c r="A1" s="11" t="str">
        <f>Intro!A1</f>
        <v>Town of Bar Harbor</v>
      </c>
      <c r="B1" s="27"/>
      <c r="C1" s="17"/>
      <c r="D1" s="260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</row>
    <row r="2" spans="1:25" ht="17.25" thickBot="1">
      <c r="A2" s="380" t="str">
        <f>Intro!A2</f>
        <v>Ferry Property Business Plan</v>
      </c>
      <c r="B2" s="13"/>
      <c r="C2" s="17"/>
      <c r="D2" s="260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</row>
    <row r="3" spans="1:25" s="381" customFormat="1" ht="14.25" thickBot="1">
      <c r="A3" s="384" t="str">
        <f>Intro!A3</f>
        <v>05.23.2018</v>
      </c>
      <c r="B3" s="304"/>
      <c r="C3" s="387"/>
      <c r="D3" s="388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7"/>
      <c r="X3" s="387"/>
    </row>
    <row r="4" spans="1:25" s="381" customFormat="1" ht="13.5">
      <c r="A4" s="384" t="str">
        <f ca="1">Intro!A4</f>
        <v>Town of Bar Harbor</v>
      </c>
      <c r="B4" s="382"/>
      <c r="C4" s="383">
        <f ca="1">NOW()</f>
        <v>43242.835659143515</v>
      </c>
      <c r="D4" s="388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  <c r="Q4" s="387"/>
      <c r="R4" s="387"/>
      <c r="S4" s="387"/>
      <c r="T4" s="387"/>
      <c r="U4" s="387"/>
      <c r="V4" s="387"/>
      <c r="W4" s="387"/>
      <c r="X4" s="387"/>
    </row>
    <row r="5" spans="1:25">
      <c r="A5" s="244" t="s">
        <v>343</v>
      </c>
      <c r="B5" s="244"/>
      <c r="C5" s="245"/>
      <c r="D5" s="261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</row>
    <row r="6" spans="1:25">
      <c r="D6" s="485"/>
    </row>
    <row r="7" spans="1:25">
      <c r="A7" s="22"/>
      <c r="B7" s="71"/>
      <c r="C7" s="71"/>
      <c r="D7" s="72">
        <f>'Cruise Projections'!T7</f>
        <v>2018</v>
      </c>
      <c r="E7" s="72">
        <f>'Cruise Projections'!U7</f>
        <v>2019</v>
      </c>
      <c r="F7" s="72">
        <f>'Cruise Projections'!V7</f>
        <v>2020</v>
      </c>
      <c r="G7" s="72">
        <f>'Cruise Projections'!W7</f>
        <v>2021</v>
      </c>
      <c r="H7" s="72">
        <f>'Cruise Projections'!X7</f>
        <v>2022</v>
      </c>
      <c r="I7" s="72">
        <f>'Cruise Projections'!Y7</f>
        <v>2023</v>
      </c>
      <c r="J7" s="72">
        <f>'Cruise Projections'!Z7</f>
        <v>2024</v>
      </c>
      <c r="K7" s="72">
        <f>'Cruise Projections'!AA7</f>
        <v>2025</v>
      </c>
      <c r="L7" s="72">
        <f>'Cruise Projections'!AB7</f>
        <v>2026</v>
      </c>
      <c r="M7" s="72">
        <f>'Cruise Projections'!AC7</f>
        <v>2027</v>
      </c>
      <c r="N7" s="72">
        <f>'Cruise Projections'!AD7</f>
        <v>2028</v>
      </c>
      <c r="O7" s="72">
        <f>'Cruise Projections'!AE7</f>
        <v>2029</v>
      </c>
      <c r="P7" s="72">
        <f>'Cruise Projections'!AF7</f>
        <v>2030</v>
      </c>
      <c r="Q7" s="72">
        <f>'Cruise Projections'!AG7</f>
        <v>2031</v>
      </c>
      <c r="R7" s="72">
        <f>'Cruise Projections'!AH7</f>
        <v>2032</v>
      </c>
      <c r="S7" s="72">
        <f>'Cruise Projections'!AI7</f>
        <v>2033</v>
      </c>
      <c r="T7" s="72">
        <f>'Cruise Projections'!AJ7</f>
        <v>2034</v>
      </c>
      <c r="U7" s="72">
        <f>'Cruise Projections'!AK7</f>
        <v>2035</v>
      </c>
      <c r="V7" s="72">
        <f>'Cruise Projections'!AL7</f>
        <v>2036</v>
      </c>
      <c r="W7" s="72">
        <f>'Cruise Projections'!AM7</f>
        <v>2037</v>
      </c>
      <c r="X7" s="72">
        <f>'Cruise Projections'!AN7</f>
        <v>2038</v>
      </c>
    </row>
    <row r="8" spans="1:25" ht="17.25" thickBot="1">
      <c r="D8" s="488"/>
    </row>
    <row r="9" spans="1:25" ht="17.25" thickBot="1">
      <c r="A9" s="117" t="s">
        <v>34</v>
      </c>
      <c r="B9" s="484" t="str">
        <f>'Cruise Projections'!A77</f>
        <v>Scenario 3 - Percent of 2018 Business - Carnival</v>
      </c>
      <c r="D9" s="489"/>
      <c r="E9" s="327"/>
      <c r="F9" s="327"/>
      <c r="G9" s="327"/>
      <c r="H9" s="327"/>
      <c r="I9" s="327"/>
      <c r="J9" s="327"/>
      <c r="K9" s="327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</row>
    <row r="10" spans="1:25">
      <c r="D10" s="489"/>
      <c r="E10" s="327"/>
      <c r="F10" s="327"/>
      <c r="G10" s="327"/>
      <c r="H10" s="327"/>
      <c r="I10" s="327"/>
      <c r="J10" s="327"/>
      <c r="K10" s="327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</row>
    <row r="11" spans="1:25" s="279" customFormat="1" ht="14.25">
      <c r="A11" s="279" t="s">
        <v>83</v>
      </c>
      <c r="D11" s="490"/>
      <c r="E11" s="328"/>
      <c r="F11" s="328"/>
      <c r="G11" s="328"/>
      <c r="H11" s="328"/>
      <c r="I11" s="328"/>
      <c r="J11" s="328"/>
      <c r="K11" s="328"/>
      <c r="L11" s="328"/>
      <c r="M11" s="328"/>
      <c r="N11" s="328"/>
      <c r="O11" s="328"/>
      <c r="P11" s="328"/>
      <c r="Q11" s="328"/>
      <c r="R11" s="328"/>
      <c r="S11" s="328"/>
      <c r="T11" s="328"/>
      <c r="U11" s="328"/>
      <c r="V11" s="328"/>
      <c r="W11" s="328"/>
      <c r="X11" s="328"/>
    </row>
    <row r="12" spans="1:25">
      <c r="A12" s="53" t="str">
        <f>'Cruise Projections'!A67</f>
        <v>Passengers</v>
      </c>
      <c r="B12" s="21"/>
      <c r="C12" s="21"/>
      <c r="D12" s="486">
        <f>'Cruise Projections'!T67</f>
        <v>0</v>
      </c>
      <c r="E12" s="313">
        <v>0</v>
      </c>
      <c r="F12" s="313">
        <f>'Cruise Projections'!V79</f>
        <v>105331.33459735833</v>
      </c>
      <c r="G12" s="313">
        <f>'Cruise Projections'!W79</f>
        <v>105331.33459735833</v>
      </c>
      <c r="H12" s="313">
        <f>'Cruise Projections'!X79</f>
        <v>105331.33459735833</v>
      </c>
      <c r="I12" s="313">
        <f>'Cruise Projections'!Y79</f>
        <v>105331.33459735833</v>
      </c>
      <c r="J12" s="313">
        <f>'Cruise Projections'!Z79</f>
        <v>105331.33459735833</v>
      </c>
      <c r="K12" s="313">
        <f>'Cruise Projections'!AA79</f>
        <v>105331.33459735833</v>
      </c>
      <c r="L12" s="313">
        <f>'Cruise Projections'!AB79</f>
        <v>105331.33459735833</v>
      </c>
      <c r="M12" s="313">
        <f>'Cruise Projections'!AC79</f>
        <v>105331.33459735833</v>
      </c>
      <c r="N12" s="313">
        <f>'Cruise Projections'!AD79</f>
        <v>105331.33459735833</v>
      </c>
      <c r="O12" s="313">
        <f>'Cruise Projections'!AE79</f>
        <v>105331.33459735833</v>
      </c>
      <c r="P12" s="313">
        <f>'Cruise Projections'!AF79</f>
        <v>105331.33459735833</v>
      </c>
      <c r="Q12" s="313">
        <f>'Cruise Projections'!AG79</f>
        <v>105331.33459735833</v>
      </c>
      <c r="R12" s="313">
        <f>'Cruise Projections'!AH79</f>
        <v>105331.33459735833</v>
      </c>
      <c r="S12" s="313">
        <f>'Cruise Projections'!AI79</f>
        <v>105331.33459735833</v>
      </c>
      <c r="T12" s="313">
        <f>'Cruise Projections'!AJ79</f>
        <v>105331.33459735833</v>
      </c>
      <c r="U12" s="313">
        <f>'Cruise Projections'!AK79</f>
        <v>105331.33459735833</v>
      </c>
      <c r="V12" s="313">
        <f>'Cruise Projections'!AL79</f>
        <v>105331.33459735833</v>
      </c>
      <c r="W12" s="313">
        <f>'Cruise Projections'!AM79</f>
        <v>105331.33459735833</v>
      </c>
      <c r="X12" s="313">
        <f>'Cruise Projections'!AN79</f>
        <v>105331.33459735833</v>
      </c>
      <c r="Y12" s="312"/>
    </row>
    <row r="13" spans="1:25">
      <c r="A13" s="53" t="str">
        <f>'Cruise Projections'!A68</f>
        <v>Calls</v>
      </c>
      <c r="B13" s="21"/>
      <c r="C13" s="21"/>
      <c r="D13" s="486">
        <f>'Cruise Projections'!T68</f>
        <v>0</v>
      </c>
      <c r="E13" s="313">
        <v>0</v>
      </c>
      <c r="F13" s="313">
        <f>'Cruise Projections'!V80</f>
        <v>60.199999999999996</v>
      </c>
      <c r="G13" s="313">
        <f>'Cruise Projections'!W80</f>
        <v>60.199999999999996</v>
      </c>
      <c r="H13" s="313">
        <f>'Cruise Projections'!X80</f>
        <v>60.199999999999996</v>
      </c>
      <c r="I13" s="313">
        <f>'Cruise Projections'!Y80</f>
        <v>60.199999999999996</v>
      </c>
      <c r="J13" s="313">
        <f>'Cruise Projections'!Z80</f>
        <v>60.199999999999996</v>
      </c>
      <c r="K13" s="313">
        <f>'Cruise Projections'!AA80</f>
        <v>60.199999999999996</v>
      </c>
      <c r="L13" s="313">
        <f>'Cruise Projections'!AB80</f>
        <v>60.199999999999996</v>
      </c>
      <c r="M13" s="313">
        <f>'Cruise Projections'!AC80</f>
        <v>60.199999999999996</v>
      </c>
      <c r="N13" s="313">
        <f>'Cruise Projections'!AD80</f>
        <v>60.199999999999996</v>
      </c>
      <c r="O13" s="313">
        <f>'Cruise Projections'!AE80</f>
        <v>60.199999999999996</v>
      </c>
      <c r="P13" s="313">
        <f>'Cruise Projections'!AF80</f>
        <v>60.199999999999996</v>
      </c>
      <c r="Q13" s="313">
        <f>'Cruise Projections'!AG80</f>
        <v>60.199999999999996</v>
      </c>
      <c r="R13" s="313">
        <f>'Cruise Projections'!AH80</f>
        <v>60.199999999999996</v>
      </c>
      <c r="S13" s="313">
        <f>'Cruise Projections'!AI80</f>
        <v>60.199999999999996</v>
      </c>
      <c r="T13" s="313">
        <f>'Cruise Projections'!AJ80</f>
        <v>60.199999999999996</v>
      </c>
      <c r="U13" s="313">
        <f>'Cruise Projections'!AK80</f>
        <v>60.199999999999996</v>
      </c>
      <c r="V13" s="313">
        <f>'Cruise Projections'!AL80</f>
        <v>60.199999999999996</v>
      </c>
      <c r="W13" s="313">
        <f>'Cruise Projections'!AM80</f>
        <v>60.199999999999996</v>
      </c>
      <c r="X13" s="313">
        <f>'Cruise Projections'!AN80</f>
        <v>60.199999999999996</v>
      </c>
      <c r="Y13" s="312"/>
    </row>
    <row r="14" spans="1:25">
      <c r="A14" s="53" t="str">
        <f>'Cruise Projections'!A69</f>
        <v>Passengers per Call</v>
      </c>
      <c r="B14" s="21"/>
      <c r="C14" s="21"/>
      <c r="D14" s="486">
        <f>'Cruise Projections'!T69</f>
        <v>0</v>
      </c>
      <c r="E14" s="313">
        <v>0</v>
      </c>
      <c r="F14" s="313">
        <f>'Cruise Projections'!V81</f>
        <v>1749.6899434777133</v>
      </c>
      <c r="G14" s="313">
        <f>'Cruise Projections'!W81</f>
        <v>1749.6899434777133</v>
      </c>
      <c r="H14" s="313">
        <f>'Cruise Projections'!X81</f>
        <v>1749.6899434777133</v>
      </c>
      <c r="I14" s="313">
        <f>'Cruise Projections'!Y81</f>
        <v>1749.6899434777133</v>
      </c>
      <c r="J14" s="313">
        <f>'Cruise Projections'!Z81</f>
        <v>1749.6899434777133</v>
      </c>
      <c r="K14" s="313">
        <f>'Cruise Projections'!AA81</f>
        <v>1749.6899434777133</v>
      </c>
      <c r="L14" s="313">
        <f>'Cruise Projections'!AB81</f>
        <v>1749.6899434777133</v>
      </c>
      <c r="M14" s="313">
        <f>'Cruise Projections'!AC81</f>
        <v>1749.6899434777133</v>
      </c>
      <c r="N14" s="313">
        <f>'Cruise Projections'!AD81</f>
        <v>1749.6899434777133</v>
      </c>
      <c r="O14" s="313">
        <f>'Cruise Projections'!AE81</f>
        <v>1749.6899434777133</v>
      </c>
      <c r="P14" s="313">
        <f>'Cruise Projections'!AF81</f>
        <v>1749.6899434777133</v>
      </c>
      <c r="Q14" s="313">
        <f>'Cruise Projections'!AG81</f>
        <v>1749.6899434777133</v>
      </c>
      <c r="R14" s="313">
        <f>'Cruise Projections'!AH81</f>
        <v>1749.6899434777133</v>
      </c>
      <c r="S14" s="313">
        <f>'Cruise Projections'!AI81</f>
        <v>1749.6899434777133</v>
      </c>
      <c r="T14" s="313">
        <f>'Cruise Projections'!AJ81</f>
        <v>1749.6899434777133</v>
      </c>
      <c r="U14" s="313">
        <f>'Cruise Projections'!AK81</f>
        <v>1749.6899434777133</v>
      </c>
      <c r="V14" s="313">
        <f>'Cruise Projections'!AL81</f>
        <v>1749.6899434777133</v>
      </c>
      <c r="W14" s="313">
        <f>'Cruise Projections'!AM81</f>
        <v>1749.6899434777133</v>
      </c>
      <c r="X14" s="313">
        <f>'Cruise Projections'!AN81</f>
        <v>1749.6899434777133</v>
      </c>
      <c r="Y14" s="312"/>
    </row>
    <row r="15" spans="1:25" s="96" customFormat="1">
      <c r="A15" s="54" t="s">
        <v>313</v>
      </c>
      <c r="B15" s="487"/>
      <c r="C15" s="487"/>
      <c r="D15" s="486">
        <f>'Cruise Projections'!T70</f>
        <v>0</v>
      </c>
      <c r="E15" s="313">
        <v>0</v>
      </c>
      <c r="F15" s="313">
        <f>'Shuttle Projections'!D35</f>
        <v>4120</v>
      </c>
      <c r="G15" s="313">
        <f>'Shuttle Projections'!E35</f>
        <v>4120</v>
      </c>
      <c r="H15" s="313">
        <f>'Shuttle Projections'!F35</f>
        <v>4120</v>
      </c>
      <c r="I15" s="313">
        <f>'Shuttle Projections'!G35</f>
        <v>4120</v>
      </c>
      <c r="J15" s="313">
        <f>'Shuttle Projections'!H35</f>
        <v>4120</v>
      </c>
      <c r="K15" s="313">
        <f>'Shuttle Projections'!I35</f>
        <v>4120</v>
      </c>
      <c r="L15" s="313">
        <f>'Shuttle Projections'!J35</f>
        <v>4120</v>
      </c>
      <c r="M15" s="313">
        <f>'Shuttle Projections'!K35</f>
        <v>4120</v>
      </c>
      <c r="N15" s="313">
        <f>'Shuttle Projections'!L35</f>
        <v>4120</v>
      </c>
      <c r="O15" s="313">
        <f>'Shuttle Projections'!M35</f>
        <v>4120</v>
      </c>
      <c r="P15" s="313">
        <f>'Shuttle Projections'!N35</f>
        <v>4120</v>
      </c>
      <c r="Q15" s="313">
        <f>'Shuttle Projections'!O35</f>
        <v>4120</v>
      </c>
      <c r="R15" s="313">
        <f>'Shuttle Projections'!P35</f>
        <v>4120</v>
      </c>
      <c r="S15" s="313">
        <f>'Shuttle Projections'!Q35</f>
        <v>4120</v>
      </c>
      <c r="T15" s="313">
        <f>'Shuttle Projections'!R35</f>
        <v>4120</v>
      </c>
      <c r="U15" s="313">
        <f>'Shuttle Projections'!S35</f>
        <v>4120</v>
      </c>
      <c r="V15" s="313">
        <f>'Shuttle Projections'!T35</f>
        <v>4120</v>
      </c>
      <c r="W15" s="313">
        <f>'Shuttle Projections'!U35</f>
        <v>4120</v>
      </c>
      <c r="X15" s="313">
        <f>'Shuttle Projections'!V35</f>
        <v>4120</v>
      </c>
      <c r="Y15" s="313"/>
    </row>
    <row r="16" spans="1:25">
      <c r="A16" s="54"/>
      <c r="B16" s="21"/>
      <c r="C16" s="21"/>
      <c r="D16" s="486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</row>
    <row r="17" spans="1:25" s="279" customFormat="1" ht="14.25">
      <c r="A17" s="293" t="s">
        <v>163</v>
      </c>
      <c r="B17" s="294"/>
      <c r="C17" s="294"/>
      <c r="D17" s="491"/>
      <c r="E17" s="329"/>
      <c r="F17" s="329"/>
      <c r="G17" s="329"/>
      <c r="H17" s="329"/>
      <c r="I17" s="329"/>
      <c r="J17" s="329"/>
      <c r="K17" s="329"/>
      <c r="L17" s="329"/>
      <c r="M17" s="329"/>
      <c r="N17" s="329"/>
      <c r="O17" s="329"/>
      <c r="P17" s="329"/>
      <c r="Q17" s="329"/>
      <c r="R17" s="329"/>
      <c r="S17" s="329"/>
      <c r="T17" s="329"/>
      <c r="U17" s="329"/>
      <c r="V17" s="329"/>
      <c r="W17" s="329"/>
      <c r="X17" s="329"/>
    </row>
    <row r="18" spans="1:25" s="96" customFormat="1">
      <c r="A18" s="54" t="str">
        <f>'International Ferry Projections'!A11</f>
        <v>Passengers</v>
      </c>
      <c r="B18" s="487"/>
      <c r="C18" s="487"/>
      <c r="D18" s="486">
        <f>'International Ferry Projections'!B11</f>
        <v>0</v>
      </c>
      <c r="E18" s="313">
        <f>'International Ferry Projections'!C11</f>
        <v>60000</v>
      </c>
      <c r="F18" s="313">
        <f>'International Ferry Projections'!D11</f>
        <v>70000</v>
      </c>
      <c r="G18" s="313">
        <f>'International Ferry Projections'!E11</f>
        <v>80000</v>
      </c>
      <c r="H18" s="313">
        <f>'International Ferry Projections'!F11</f>
        <v>80000</v>
      </c>
      <c r="I18" s="313">
        <f>'International Ferry Projections'!G11</f>
        <v>80000</v>
      </c>
      <c r="J18" s="313">
        <f>'International Ferry Projections'!H11</f>
        <v>80000</v>
      </c>
      <c r="K18" s="313">
        <f>'International Ferry Projections'!I11</f>
        <v>80000</v>
      </c>
      <c r="L18" s="313">
        <f>'International Ferry Projections'!J11</f>
        <v>80000</v>
      </c>
      <c r="M18" s="313">
        <f>'International Ferry Projections'!K11</f>
        <v>80000</v>
      </c>
      <c r="N18" s="313">
        <f>'International Ferry Projections'!L11</f>
        <v>80000</v>
      </c>
      <c r="O18" s="313">
        <f>'International Ferry Projections'!M11</f>
        <v>80000</v>
      </c>
      <c r="P18" s="313">
        <f>'International Ferry Projections'!N11</f>
        <v>80000</v>
      </c>
      <c r="Q18" s="313">
        <f>'International Ferry Projections'!O11</f>
        <v>80000</v>
      </c>
      <c r="R18" s="313">
        <f>'International Ferry Projections'!P11</f>
        <v>80000</v>
      </c>
      <c r="S18" s="313">
        <f>'International Ferry Projections'!Q11</f>
        <v>80000</v>
      </c>
      <c r="T18" s="313">
        <f>'International Ferry Projections'!R11</f>
        <v>80000</v>
      </c>
      <c r="U18" s="313">
        <f>'International Ferry Projections'!S11</f>
        <v>80000</v>
      </c>
      <c r="V18" s="313">
        <f>'International Ferry Projections'!T11</f>
        <v>80000</v>
      </c>
      <c r="W18" s="313">
        <f>'International Ferry Projections'!U11</f>
        <v>80000</v>
      </c>
      <c r="X18" s="313">
        <f>'International Ferry Projections'!V11</f>
        <v>80000</v>
      </c>
    </row>
    <row r="19" spans="1:25" s="96" customFormat="1">
      <c r="A19" s="54" t="str">
        <f>'International Ferry Projections'!A12</f>
        <v>Cars</v>
      </c>
      <c r="B19" s="487"/>
      <c r="C19" s="487"/>
      <c r="D19" s="486">
        <f>'International Ferry Projections'!B12</f>
        <v>0</v>
      </c>
      <c r="E19" s="313">
        <f>'International Ferry Projections'!C12</f>
        <v>24000</v>
      </c>
      <c r="F19" s="313">
        <f>'International Ferry Projections'!D12</f>
        <v>28000</v>
      </c>
      <c r="G19" s="313">
        <f>'International Ferry Projections'!E12</f>
        <v>32000</v>
      </c>
      <c r="H19" s="313">
        <f>'International Ferry Projections'!F12</f>
        <v>32000</v>
      </c>
      <c r="I19" s="313">
        <f>'International Ferry Projections'!G12</f>
        <v>32000</v>
      </c>
      <c r="J19" s="313">
        <f>'International Ferry Projections'!H12</f>
        <v>32000</v>
      </c>
      <c r="K19" s="313">
        <f>'International Ferry Projections'!I12</f>
        <v>32000</v>
      </c>
      <c r="L19" s="313">
        <f>'International Ferry Projections'!J12</f>
        <v>32000</v>
      </c>
      <c r="M19" s="313">
        <f>'International Ferry Projections'!K12</f>
        <v>32000</v>
      </c>
      <c r="N19" s="313">
        <f>'International Ferry Projections'!L12</f>
        <v>32000</v>
      </c>
      <c r="O19" s="313">
        <f>'International Ferry Projections'!M12</f>
        <v>32000</v>
      </c>
      <c r="P19" s="313">
        <f>'International Ferry Projections'!N12</f>
        <v>32000</v>
      </c>
      <c r="Q19" s="313">
        <f>'International Ferry Projections'!O12</f>
        <v>32000</v>
      </c>
      <c r="R19" s="313">
        <f>'International Ferry Projections'!P12</f>
        <v>32000</v>
      </c>
      <c r="S19" s="313">
        <f>'International Ferry Projections'!Q12</f>
        <v>32000</v>
      </c>
      <c r="T19" s="313">
        <f>'International Ferry Projections'!R12</f>
        <v>32000</v>
      </c>
      <c r="U19" s="313">
        <f>'International Ferry Projections'!S12</f>
        <v>32000</v>
      </c>
      <c r="V19" s="313">
        <f>'International Ferry Projections'!T12</f>
        <v>32000</v>
      </c>
      <c r="W19" s="313">
        <f>'International Ferry Projections'!U12</f>
        <v>32000</v>
      </c>
      <c r="X19" s="313">
        <f>'International Ferry Projections'!V12</f>
        <v>32000</v>
      </c>
    </row>
    <row r="20" spans="1:25" s="96" customFormat="1">
      <c r="A20" s="54" t="str">
        <f>'International Ferry Projections'!A13</f>
        <v>Buses</v>
      </c>
      <c r="B20" s="487"/>
      <c r="C20" s="487"/>
      <c r="D20" s="486">
        <f>'International Ferry Projections'!B13</f>
        <v>0</v>
      </c>
      <c r="E20" s="313">
        <f>'International Ferry Projections'!C13</f>
        <v>40</v>
      </c>
      <c r="F20" s="313">
        <f>'International Ferry Projections'!D13</f>
        <v>50</v>
      </c>
      <c r="G20" s="313">
        <f>'International Ferry Projections'!E13</f>
        <v>60</v>
      </c>
      <c r="H20" s="313">
        <f>'International Ferry Projections'!F13</f>
        <v>60</v>
      </c>
      <c r="I20" s="313">
        <f>'International Ferry Projections'!G13</f>
        <v>60</v>
      </c>
      <c r="J20" s="313">
        <f>'International Ferry Projections'!H13</f>
        <v>60</v>
      </c>
      <c r="K20" s="313">
        <f>'International Ferry Projections'!I13</f>
        <v>60</v>
      </c>
      <c r="L20" s="313">
        <f>'International Ferry Projections'!J13</f>
        <v>60</v>
      </c>
      <c r="M20" s="313">
        <f>'International Ferry Projections'!K13</f>
        <v>60</v>
      </c>
      <c r="N20" s="313">
        <f>'International Ferry Projections'!L13</f>
        <v>60</v>
      </c>
      <c r="O20" s="313">
        <f>'International Ferry Projections'!M13</f>
        <v>60</v>
      </c>
      <c r="P20" s="313">
        <f>'International Ferry Projections'!N13</f>
        <v>60</v>
      </c>
      <c r="Q20" s="313">
        <f>'International Ferry Projections'!O13</f>
        <v>60</v>
      </c>
      <c r="R20" s="313">
        <f>'International Ferry Projections'!P13</f>
        <v>60</v>
      </c>
      <c r="S20" s="313">
        <f>'International Ferry Projections'!Q13</f>
        <v>60</v>
      </c>
      <c r="T20" s="313">
        <f>'International Ferry Projections'!R13</f>
        <v>60</v>
      </c>
      <c r="U20" s="313">
        <f>'International Ferry Projections'!S13</f>
        <v>60</v>
      </c>
      <c r="V20" s="313">
        <f>'International Ferry Projections'!T13</f>
        <v>60</v>
      </c>
      <c r="W20" s="313">
        <f>'International Ferry Projections'!U13</f>
        <v>60</v>
      </c>
      <c r="X20" s="313">
        <f>'International Ferry Projections'!V13</f>
        <v>60</v>
      </c>
    </row>
    <row r="21" spans="1:25">
      <c r="A21" s="54"/>
      <c r="B21" s="21"/>
      <c r="C21" s="21"/>
      <c r="D21" s="486"/>
      <c r="E21" s="313"/>
      <c r="F21" s="313"/>
      <c r="G21" s="313"/>
      <c r="H21" s="313"/>
      <c r="I21" s="313"/>
      <c r="J21" s="313"/>
      <c r="K21" s="313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</row>
    <row r="22" spans="1:25" s="582" customFormat="1">
      <c r="A22" s="293" t="str">
        <f>'BH Tariffs'!A30</f>
        <v>Local Ferry</v>
      </c>
      <c r="B22" s="581"/>
      <c r="C22" s="581"/>
      <c r="D22" s="486">
        <v>0</v>
      </c>
      <c r="E22" s="329"/>
      <c r="F22" s="329"/>
      <c r="G22" s="329"/>
      <c r="H22" s="329"/>
      <c r="I22" s="329"/>
      <c r="J22" s="329"/>
      <c r="K22" s="329"/>
      <c r="L22" s="329"/>
      <c r="M22" s="329"/>
      <c r="N22" s="329"/>
      <c r="O22" s="329"/>
      <c r="P22" s="329"/>
      <c r="Q22" s="329"/>
      <c r="R22" s="329"/>
      <c r="S22" s="329"/>
      <c r="T22" s="329"/>
      <c r="U22" s="329"/>
      <c r="V22" s="329"/>
      <c r="W22" s="329"/>
      <c r="X22" s="329"/>
    </row>
    <row r="23" spans="1:25" s="96" customFormat="1">
      <c r="A23" s="54" t="str">
        <f>'BH Tariffs'!A31</f>
        <v>Dock Rent (6 Months Only)</v>
      </c>
      <c r="B23" s="487"/>
      <c r="C23" s="487"/>
      <c r="D23" s="486">
        <v>0</v>
      </c>
      <c r="E23" s="623" t="s">
        <v>286</v>
      </c>
      <c r="F23" s="623" t="s">
        <v>286</v>
      </c>
      <c r="G23" s="623" t="s">
        <v>286</v>
      </c>
      <c r="H23" s="623" t="s">
        <v>286</v>
      </c>
      <c r="I23" s="623" t="s">
        <v>286</v>
      </c>
      <c r="J23" s="623" t="s">
        <v>286</v>
      </c>
      <c r="K23" s="623" t="s">
        <v>286</v>
      </c>
      <c r="L23" s="623" t="s">
        <v>286</v>
      </c>
      <c r="M23" s="623" t="s">
        <v>286</v>
      </c>
      <c r="N23" s="623" t="s">
        <v>286</v>
      </c>
      <c r="O23" s="623" t="s">
        <v>286</v>
      </c>
      <c r="P23" s="623" t="s">
        <v>286</v>
      </c>
      <c r="Q23" s="623" t="s">
        <v>286</v>
      </c>
      <c r="R23" s="623" t="s">
        <v>286</v>
      </c>
      <c r="S23" s="623" t="s">
        <v>286</v>
      </c>
      <c r="T23" s="623" t="s">
        <v>286</v>
      </c>
      <c r="U23" s="623" t="s">
        <v>286</v>
      </c>
      <c r="V23" s="623" t="s">
        <v>286</v>
      </c>
      <c r="W23" s="623" t="s">
        <v>286</v>
      </c>
      <c r="X23" s="623" t="s">
        <v>286</v>
      </c>
    </row>
    <row r="24" spans="1:25" s="341" customFormat="1">
      <c r="A24" s="552"/>
      <c r="B24" s="553"/>
      <c r="C24" s="553"/>
      <c r="D24" s="554"/>
      <c r="E24" s="555"/>
      <c r="F24" s="555"/>
      <c r="G24" s="555"/>
      <c r="H24" s="555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</row>
    <row r="25" spans="1:25" s="96" customFormat="1">
      <c r="A25" s="559" t="s">
        <v>227</v>
      </c>
      <c r="B25" s="487"/>
      <c r="C25" s="487"/>
      <c r="D25" s="486"/>
      <c r="E25" s="313"/>
      <c r="F25" s="313"/>
      <c r="G25" s="313"/>
      <c r="H25" s="313"/>
      <c r="I25" s="313"/>
      <c r="J25" s="313"/>
      <c r="K25" s="313"/>
      <c r="L25" s="313"/>
      <c r="M25" s="313"/>
      <c r="N25" s="313"/>
      <c r="O25" s="313"/>
      <c r="P25" s="313"/>
      <c r="Q25" s="313"/>
      <c r="R25" s="313"/>
      <c r="S25" s="313"/>
      <c r="T25" s="313"/>
      <c r="U25" s="313"/>
      <c r="V25" s="313"/>
      <c r="W25" s="313"/>
      <c r="X25" s="313"/>
    </row>
    <row r="26" spans="1:25">
      <c r="A26" s="54"/>
      <c r="B26" s="21"/>
      <c r="C26" s="21"/>
      <c r="D26" s="486"/>
      <c r="E26" s="313"/>
      <c r="F26" s="313"/>
      <c r="G26" s="313"/>
      <c r="H26" s="313"/>
      <c r="I26" s="313"/>
      <c r="J26" s="313"/>
      <c r="K26" s="313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</row>
    <row r="27" spans="1:25">
      <c r="A27" s="54" t="s">
        <v>420</v>
      </c>
      <c r="B27" s="21"/>
      <c r="C27" s="21"/>
      <c r="D27" s="486">
        <v>0</v>
      </c>
      <c r="E27" s="313">
        <f>'Marina Projections'!C9</f>
        <v>0</v>
      </c>
      <c r="F27" s="313">
        <f>'Marina Projections'!D9</f>
        <v>214</v>
      </c>
      <c r="G27" s="313">
        <f>'Marina Projections'!E9</f>
        <v>214</v>
      </c>
      <c r="H27" s="313">
        <f>'Marina Projections'!F9</f>
        <v>214</v>
      </c>
      <c r="I27" s="313">
        <f>'Marina Projections'!G9</f>
        <v>214</v>
      </c>
      <c r="J27" s="313">
        <f>'Marina Projections'!H9</f>
        <v>214</v>
      </c>
      <c r="K27" s="313">
        <f>'Marina Projections'!I9</f>
        <v>214</v>
      </c>
      <c r="L27" s="313">
        <f>'Marina Projections'!J9</f>
        <v>214</v>
      </c>
      <c r="M27" s="313">
        <f>'Marina Projections'!K9</f>
        <v>214</v>
      </c>
      <c r="N27" s="313">
        <f>'Marina Projections'!L9</f>
        <v>214</v>
      </c>
      <c r="O27" s="313">
        <f>'Marina Projections'!M9</f>
        <v>214</v>
      </c>
      <c r="P27" s="313">
        <f>'Marina Projections'!N9</f>
        <v>214</v>
      </c>
      <c r="Q27" s="313">
        <f>'Marina Projections'!O9</f>
        <v>214</v>
      </c>
      <c r="R27" s="313">
        <f>'Marina Projections'!P9</f>
        <v>214</v>
      </c>
      <c r="S27" s="313">
        <f>'Marina Projections'!Q9</f>
        <v>214</v>
      </c>
      <c r="T27" s="313">
        <f>'Marina Projections'!R9</f>
        <v>214</v>
      </c>
      <c r="U27" s="313">
        <f>'Marina Projections'!S9</f>
        <v>214</v>
      </c>
      <c r="V27" s="313">
        <f>'Marina Projections'!T9</f>
        <v>214</v>
      </c>
      <c r="W27" s="313">
        <f>'Marina Projections'!U9</f>
        <v>214</v>
      </c>
      <c r="X27" s="313">
        <f>'Marina Projections'!V9</f>
        <v>214</v>
      </c>
    </row>
    <row r="28" spans="1:25">
      <c r="A28" s="54" t="s">
        <v>205</v>
      </c>
      <c r="B28" s="21"/>
      <c r="C28" s="21"/>
      <c r="D28" s="486">
        <v>0</v>
      </c>
      <c r="E28" s="330">
        <v>0</v>
      </c>
      <c r="F28" s="330">
        <f>'Cruise Projections'!V80</f>
        <v>60.199999999999996</v>
      </c>
      <c r="G28" s="330">
        <f>'Cruise Projections'!W80</f>
        <v>60.199999999999996</v>
      </c>
      <c r="H28" s="330">
        <f>'Cruise Projections'!X80</f>
        <v>60.199999999999996</v>
      </c>
      <c r="I28" s="330">
        <f>'Cruise Projections'!Y80</f>
        <v>60.199999999999996</v>
      </c>
      <c r="J28" s="330">
        <f>'Cruise Projections'!Z80</f>
        <v>60.199999999999996</v>
      </c>
      <c r="K28" s="330">
        <f>'Cruise Projections'!AA80</f>
        <v>60.199999999999996</v>
      </c>
      <c r="L28" s="330">
        <f>'Cruise Projections'!AB80</f>
        <v>60.199999999999996</v>
      </c>
      <c r="M28" s="330">
        <f>'Cruise Projections'!AC80</f>
        <v>60.199999999999996</v>
      </c>
      <c r="N28" s="330">
        <f>'Cruise Projections'!AD80</f>
        <v>60.199999999999996</v>
      </c>
      <c r="O28" s="330">
        <f>'Cruise Projections'!AE80</f>
        <v>60.199999999999996</v>
      </c>
      <c r="P28" s="330">
        <f>'Cruise Projections'!AF80</f>
        <v>60.199999999999996</v>
      </c>
      <c r="Q28" s="330">
        <f>'Cruise Projections'!AG80</f>
        <v>60.199999999999996</v>
      </c>
      <c r="R28" s="330">
        <f>'Cruise Projections'!AH80</f>
        <v>60.199999999999996</v>
      </c>
      <c r="S28" s="330">
        <f>'Cruise Projections'!AI80</f>
        <v>60.199999999999996</v>
      </c>
      <c r="T28" s="330">
        <f>'Cruise Projections'!AJ80</f>
        <v>60.199999999999996</v>
      </c>
      <c r="U28" s="330">
        <f>'Cruise Projections'!AK80</f>
        <v>60.199999999999996</v>
      </c>
      <c r="V28" s="330">
        <f>'Cruise Projections'!AL80</f>
        <v>60.199999999999996</v>
      </c>
      <c r="W28" s="330">
        <f>'Cruise Projections'!AM80</f>
        <v>60.199999999999996</v>
      </c>
      <c r="X28" s="330">
        <f>'Cruise Projections'!AN80</f>
        <v>60.199999999999996</v>
      </c>
      <c r="Y28" s="32"/>
    </row>
    <row r="29" spans="1:25">
      <c r="A29" s="54" t="s">
        <v>219</v>
      </c>
      <c r="B29" s="21"/>
      <c r="C29" s="21"/>
      <c r="D29" s="486">
        <v>0</v>
      </c>
      <c r="E29" s="330">
        <v>150</v>
      </c>
      <c r="F29" s="330">
        <f>E29</f>
        <v>150</v>
      </c>
      <c r="G29" s="330">
        <f t="shared" ref="G29:X29" si="0">F29</f>
        <v>150</v>
      </c>
      <c r="H29" s="330">
        <f t="shared" si="0"/>
        <v>150</v>
      </c>
      <c r="I29" s="330">
        <f t="shared" si="0"/>
        <v>150</v>
      </c>
      <c r="J29" s="330">
        <f t="shared" si="0"/>
        <v>150</v>
      </c>
      <c r="K29" s="330">
        <f t="shared" si="0"/>
        <v>150</v>
      </c>
      <c r="L29" s="330">
        <f t="shared" si="0"/>
        <v>150</v>
      </c>
      <c r="M29" s="330">
        <f t="shared" si="0"/>
        <v>150</v>
      </c>
      <c r="N29" s="330">
        <f t="shared" si="0"/>
        <v>150</v>
      </c>
      <c r="O29" s="330">
        <f t="shared" si="0"/>
        <v>150</v>
      </c>
      <c r="P29" s="330">
        <f t="shared" si="0"/>
        <v>150</v>
      </c>
      <c r="Q29" s="330">
        <f t="shared" si="0"/>
        <v>150</v>
      </c>
      <c r="R29" s="330">
        <f t="shared" si="0"/>
        <v>150</v>
      </c>
      <c r="S29" s="330">
        <f t="shared" si="0"/>
        <v>150</v>
      </c>
      <c r="T29" s="330">
        <f t="shared" si="0"/>
        <v>150</v>
      </c>
      <c r="U29" s="330">
        <f t="shared" si="0"/>
        <v>150</v>
      </c>
      <c r="V29" s="330">
        <f t="shared" si="0"/>
        <v>150</v>
      </c>
      <c r="W29" s="330">
        <f t="shared" si="0"/>
        <v>150</v>
      </c>
      <c r="X29" s="330">
        <f t="shared" si="0"/>
        <v>150</v>
      </c>
      <c r="Y29" s="32"/>
    </row>
    <row r="30" spans="1:25">
      <c r="A30" s="54" t="s">
        <v>220</v>
      </c>
      <c r="B30" s="21"/>
      <c r="C30" s="21"/>
      <c r="D30" s="486">
        <v>0</v>
      </c>
      <c r="E30" s="495">
        <f>E28/E29</f>
        <v>0</v>
      </c>
      <c r="F30" s="495">
        <f t="shared" ref="F30:X30" si="1">F28/F29</f>
        <v>0.40133333333333332</v>
      </c>
      <c r="G30" s="495">
        <f t="shared" si="1"/>
        <v>0.40133333333333332</v>
      </c>
      <c r="H30" s="495">
        <f t="shared" si="1"/>
        <v>0.40133333333333332</v>
      </c>
      <c r="I30" s="495">
        <f t="shared" si="1"/>
        <v>0.40133333333333332</v>
      </c>
      <c r="J30" s="495">
        <f t="shared" si="1"/>
        <v>0.40133333333333332</v>
      </c>
      <c r="K30" s="495">
        <f t="shared" si="1"/>
        <v>0.40133333333333332</v>
      </c>
      <c r="L30" s="495">
        <f t="shared" si="1"/>
        <v>0.40133333333333332</v>
      </c>
      <c r="M30" s="495">
        <f t="shared" si="1"/>
        <v>0.40133333333333332</v>
      </c>
      <c r="N30" s="495">
        <f t="shared" si="1"/>
        <v>0.40133333333333332</v>
      </c>
      <c r="O30" s="495">
        <f t="shared" si="1"/>
        <v>0.40133333333333332</v>
      </c>
      <c r="P30" s="495">
        <f t="shared" si="1"/>
        <v>0.40133333333333332</v>
      </c>
      <c r="Q30" s="495">
        <f t="shared" si="1"/>
        <v>0.40133333333333332</v>
      </c>
      <c r="R30" s="495">
        <f t="shared" si="1"/>
        <v>0.40133333333333332</v>
      </c>
      <c r="S30" s="495">
        <f t="shared" si="1"/>
        <v>0.40133333333333332</v>
      </c>
      <c r="T30" s="495">
        <f t="shared" si="1"/>
        <v>0.40133333333333332</v>
      </c>
      <c r="U30" s="495">
        <f t="shared" si="1"/>
        <v>0.40133333333333332</v>
      </c>
      <c r="V30" s="495">
        <f t="shared" si="1"/>
        <v>0.40133333333333332</v>
      </c>
      <c r="W30" s="495">
        <f t="shared" si="1"/>
        <v>0.40133333333333332</v>
      </c>
      <c r="X30" s="495">
        <f t="shared" si="1"/>
        <v>0.40133333333333332</v>
      </c>
      <c r="Y30" s="32"/>
    </row>
    <row r="31" spans="1:25" s="96" customFormat="1">
      <c r="A31" s="54" t="s">
        <v>226</v>
      </c>
      <c r="B31" s="487"/>
      <c r="C31" s="487"/>
      <c r="D31" s="486">
        <v>0</v>
      </c>
      <c r="E31" s="330">
        <v>0</v>
      </c>
      <c r="F31" s="330">
        <v>125</v>
      </c>
      <c r="G31" s="330">
        <v>125</v>
      </c>
      <c r="H31" s="330">
        <v>125</v>
      </c>
      <c r="I31" s="330">
        <v>125</v>
      </c>
      <c r="J31" s="330">
        <v>125</v>
      </c>
      <c r="K31" s="330">
        <v>125</v>
      </c>
      <c r="L31" s="330">
        <v>125</v>
      </c>
      <c r="M31" s="330">
        <v>125</v>
      </c>
      <c r="N31" s="330">
        <v>125</v>
      </c>
      <c r="O31" s="330">
        <v>125</v>
      </c>
      <c r="P31" s="330">
        <v>125</v>
      </c>
      <c r="Q31" s="330">
        <v>125</v>
      </c>
      <c r="R31" s="330">
        <v>125</v>
      </c>
      <c r="S31" s="330">
        <v>125</v>
      </c>
      <c r="T31" s="330">
        <v>125</v>
      </c>
      <c r="U31" s="330">
        <v>125</v>
      </c>
      <c r="V31" s="330">
        <v>125</v>
      </c>
      <c r="W31" s="330">
        <v>125</v>
      </c>
      <c r="X31" s="330">
        <v>125</v>
      </c>
      <c r="Y31" s="58"/>
    </row>
    <row r="32" spans="1:25">
      <c r="A32" s="54"/>
      <c r="B32" s="21"/>
      <c r="C32" s="21"/>
      <c r="D32" s="486"/>
      <c r="E32" s="495"/>
      <c r="F32" s="495"/>
      <c r="G32" s="495"/>
      <c r="H32" s="495"/>
      <c r="I32" s="495"/>
      <c r="J32" s="495"/>
      <c r="K32" s="495"/>
      <c r="L32" s="495"/>
      <c r="M32" s="495"/>
      <c r="N32" s="495"/>
      <c r="O32" s="495"/>
      <c r="P32" s="495"/>
      <c r="Q32" s="495"/>
      <c r="R32" s="495"/>
      <c r="S32" s="495"/>
      <c r="T32" s="495"/>
      <c r="U32" s="495"/>
      <c r="V32" s="495"/>
      <c r="W32" s="495"/>
      <c r="X32" s="495"/>
      <c r="Y32" s="32"/>
    </row>
    <row r="33" spans="1:24">
      <c r="A33" s="54" t="s">
        <v>206</v>
      </c>
      <c r="B33" s="21"/>
      <c r="C33" s="21"/>
      <c r="D33" s="486">
        <v>0</v>
      </c>
      <c r="E33" s="313">
        <v>0</v>
      </c>
      <c r="F33" s="313">
        <f t="shared" ref="F33:X33" si="2">F12/F28</f>
        <v>1749.6899434777133</v>
      </c>
      <c r="G33" s="313">
        <f t="shared" si="2"/>
        <v>1749.6899434777133</v>
      </c>
      <c r="H33" s="313">
        <f t="shared" si="2"/>
        <v>1749.6899434777133</v>
      </c>
      <c r="I33" s="313">
        <f t="shared" si="2"/>
        <v>1749.6899434777133</v>
      </c>
      <c r="J33" s="313">
        <f t="shared" si="2"/>
        <v>1749.6899434777133</v>
      </c>
      <c r="K33" s="313">
        <f t="shared" si="2"/>
        <v>1749.6899434777133</v>
      </c>
      <c r="L33" s="313">
        <f t="shared" si="2"/>
        <v>1749.6899434777133</v>
      </c>
      <c r="M33" s="313">
        <f t="shared" si="2"/>
        <v>1749.6899434777133</v>
      </c>
      <c r="N33" s="313">
        <f t="shared" si="2"/>
        <v>1749.6899434777133</v>
      </c>
      <c r="O33" s="313">
        <f t="shared" si="2"/>
        <v>1749.6899434777133</v>
      </c>
      <c r="P33" s="313">
        <f t="shared" si="2"/>
        <v>1749.6899434777133</v>
      </c>
      <c r="Q33" s="313">
        <f t="shared" si="2"/>
        <v>1749.6899434777133</v>
      </c>
      <c r="R33" s="313">
        <f t="shared" si="2"/>
        <v>1749.6899434777133</v>
      </c>
      <c r="S33" s="313">
        <f t="shared" si="2"/>
        <v>1749.6899434777133</v>
      </c>
      <c r="T33" s="313">
        <f t="shared" si="2"/>
        <v>1749.6899434777133</v>
      </c>
      <c r="U33" s="313">
        <f t="shared" si="2"/>
        <v>1749.6899434777133</v>
      </c>
      <c r="V33" s="313">
        <f t="shared" si="2"/>
        <v>1749.6899434777133</v>
      </c>
      <c r="W33" s="313">
        <f t="shared" si="2"/>
        <v>1749.6899434777133</v>
      </c>
      <c r="X33" s="313">
        <f t="shared" si="2"/>
        <v>1749.6899434777133</v>
      </c>
    </row>
    <row r="34" spans="1:24">
      <c r="A34" s="54" t="s">
        <v>207</v>
      </c>
      <c r="B34" s="21"/>
      <c r="C34" s="21"/>
      <c r="D34" s="486">
        <v>0</v>
      </c>
      <c r="E34" s="313">
        <v>0</v>
      </c>
      <c r="F34" s="313">
        <v>5500</v>
      </c>
      <c r="G34" s="313">
        <v>5500</v>
      </c>
      <c r="H34" s="313">
        <v>5500</v>
      </c>
      <c r="I34" s="313">
        <v>5500</v>
      </c>
      <c r="J34" s="313">
        <v>5500</v>
      </c>
      <c r="K34" s="313">
        <v>5500</v>
      </c>
      <c r="L34" s="313">
        <v>5500</v>
      </c>
      <c r="M34" s="313">
        <v>5500</v>
      </c>
      <c r="N34" s="313">
        <v>5500</v>
      </c>
      <c r="O34" s="313">
        <v>5500</v>
      </c>
      <c r="P34" s="313">
        <v>5500</v>
      </c>
      <c r="Q34" s="313">
        <v>5500</v>
      </c>
      <c r="R34" s="313">
        <v>5500</v>
      </c>
      <c r="S34" s="313">
        <v>5500</v>
      </c>
      <c r="T34" s="313">
        <v>5500</v>
      </c>
      <c r="U34" s="313">
        <v>5500</v>
      </c>
      <c r="V34" s="313">
        <v>5500</v>
      </c>
      <c r="W34" s="313">
        <v>5500</v>
      </c>
      <c r="X34" s="313">
        <v>5500</v>
      </c>
    </row>
    <row r="35" spans="1:24">
      <c r="A35" s="54" t="s">
        <v>221</v>
      </c>
      <c r="B35" s="21"/>
      <c r="C35" s="21"/>
      <c r="D35" s="486">
        <v>0</v>
      </c>
      <c r="E35" s="330">
        <f>E18/E29</f>
        <v>400</v>
      </c>
      <c r="F35" s="330">
        <f t="shared" ref="F35:X35" si="3">F18/F29</f>
        <v>466.66666666666669</v>
      </c>
      <c r="G35" s="330">
        <f t="shared" si="3"/>
        <v>533.33333333333337</v>
      </c>
      <c r="H35" s="330">
        <f t="shared" si="3"/>
        <v>533.33333333333337</v>
      </c>
      <c r="I35" s="330">
        <f t="shared" si="3"/>
        <v>533.33333333333337</v>
      </c>
      <c r="J35" s="330">
        <f t="shared" si="3"/>
        <v>533.33333333333337</v>
      </c>
      <c r="K35" s="330">
        <f t="shared" si="3"/>
        <v>533.33333333333337</v>
      </c>
      <c r="L35" s="330">
        <f t="shared" si="3"/>
        <v>533.33333333333337</v>
      </c>
      <c r="M35" s="330">
        <f t="shared" si="3"/>
        <v>533.33333333333337</v>
      </c>
      <c r="N35" s="330">
        <f t="shared" si="3"/>
        <v>533.33333333333337</v>
      </c>
      <c r="O35" s="330">
        <f t="shared" si="3"/>
        <v>533.33333333333337</v>
      </c>
      <c r="P35" s="330">
        <f t="shared" si="3"/>
        <v>533.33333333333337</v>
      </c>
      <c r="Q35" s="330">
        <f t="shared" si="3"/>
        <v>533.33333333333337</v>
      </c>
      <c r="R35" s="330">
        <f t="shared" si="3"/>
        <v>533.33333333333337</v>
      </c>
      <c r="S35" s="330">
        <f t="shared" si="3"/>
        <v>533.33333333333337</v>
      </c>
      <c r="T35" s="330">
        <f t="shared" si="3"/>
        <v>533.33333333333337</v>
      </c>
      <c r="U35" s="330">
        <f t="shared" si="3"/>
        <v>533.33333333333337</v>
      </c>
      <c r="V35" s="330">
        <f t="shared" si="3"/>
        <v>533.33333333333337</v>
      </c>
      <c r="W35" s="330">
        <f t="shared" si="3"/>
        <v>533.33333333333337</v>
      </c>
      <c r="X35" s="330">
        <f t="shared" si="3"/>
        <v>533.33333333333337</v>
      </c>
    </row>
    <row r="36" spans="1:24">
      <c r="A36" s="54" t="s">
        <v>222</v>
      </c>
      <c r="B36" s="21"/>
      <c r="C36" s="21"/>
      <c r="D36" s="486">
        <v>0</v>
      </c>
      <c r="E36" s="330">
        <v>800</v>
      </c>
      <c r="F36" s="330">
        <v>800</v>
      </c>
      <c r="G36" s="330">
        <v>800</v>
      </c>
      <c r="H36" s="330">
        <v>800</v>
      </c>
      <c r="I36" s="330">
        <v>800</v>
      </c>
      <c r="J36" s="330">
        <v>800</v>
      </c>
      <c r="K36" s="330">
        <v>800</v>
      </c>
      <c r="L36" s="330">
        <v>800</v>
      </c>
      <c r="M36" s="330">
        <v>800</v>
      </c>
      <c r="N36" s="330">
        <v>800</v>
      </c>
      <c r="O36" s="330">
        <v>800</v>
      </c>
      <c r="P36" s="330">
        <v>800</v>
      </c>
      <c r="Q36" s="330">
        <v>800</v>
      </c>
      <c r="R36" s="330">
        <v>800</v>
      </c>
      <c r="S36" s="330">
        <v>800</v>
      </c>
      <c r="T36" s="330">
        <v>800</v>
      </c>
      <c r="U36" s="330">
        <v>800</v>
      </c>
      <c r="V36" s="330">
        <v>800</v>
      </c>
      <c r="W36" s="330">
        <v>800</v>
      </c>
      <c r="X36" s="330">
        <v>800</v>
      </c>
    </row>
    <row r="37" spans="1:24">
      <c r="A37" s="54" t="s">
        <v>208</v>
      </c>
      <c r="B37" s="21"/>
      <c r="C37" s="21"/>
      <c r="D37" s="486">
        <v>0</v>
      </c>
      <c r="E37" s="330">
        <f>SUM(E34,E36)</f>
        <v>800</v>
      </c>
      <c r="F37" s="330">
        <f t="shared" ref="F37:X37" si="4">SUM(F34,F36)</f>
        <v>6300</v>
      </c>
      <c r="G37" s="330">
        <f t="shared" si="4"/>
        <v>6300</v>
      </c>
      <c r="H37" s="330">
        <f t="shared" si="4"/>
        <v>6300</v>
      </c>
      <c r="I37" s="330">
        <f t="shared" si="4"/>
        <v>6300</v>
      </c>
      <c r="J37" s="330">
        <f t="shared" si="4"/>
        <v>6300</v>
      </c>
      <c r="K37" s="330">
        <f t="shared" si="4"/>
        <v>6300</v>
      </c>
      <c r="L37" s="330">
        <f t="shared" si="4"/>
        <v>6300</v>
      </c>
      <c r="M37" s="330">
        <f t="shared" si="4"/>
        <v>6300</v>
      </c>
      <c r="N37" s="330">
        <f t="shared" si="4"/>
        <v>6300</v>
      </c>
      <c r="O37" s="330">
        <f t="shared" si="4"/>
        <v>6300</v>
      </c>
      <c r="P37" s="330">
        <f t="shared" si="4"/>
        <v>6300</v>
      </c>
      <c r="Q37" s="330">
        <f t="shared" si="4"/>
        <v>6300</v>
      </c>
      <c r="R37" s="330">
        <f t="shared" si="4"/>
        <v>6300</v>
      </c>
      <c r="S37" s="330">
        <f t="shared" si="4"/>
        <v>6300</v>
      </c>
      <c r="T37" s="330">
        <f t="shared" si="4"/>
        <v>6300</v>
      </c>
      <c r="U37" s="330">
        <f t="shared" si="4"/>
        <v>6300</v>
      </c>
      <c r="V37" s="330">
        <f t="shared" si="4"/>
        <v>6300</v>
      </c>
      <c r="W37" s="330">
        <f t="shared" si="4"/>
        <v>6300</v>
      </c>
      <c r="X37" s="330">
        <f t="shared" si="4"/>
        <v>6300</v>
      </c>
    </row>
    <row r="38" spans="1:24">
      <c r="A38" s="54"/>
      <c r="B38" s="21"/>
      <c r="C38" s="21"/>
      <c r="D38" s="486"/>
      <c r="E38" s="330"/>
      <c r="F38" s="330"/>
      <c r="G38" s="330"/>
      <c r="H38" s="330"/>
      <c r="I38" s="330"/>
      <c r="J38" s="330"/>
      <c r="K38" s="330"/>
      <c r="L38" s="330"/>
      <c r="M38" s="330"/>
      <c r="N38" s="330"/>
      <c r="O38" s="330"/>
      <c r="P38" s="330"/>
      <c r="Q38" s="330"/>
      <c r="R38" s="330"/>
      <c r="S38" s="330"/>
      <c r="T38" s="330"/>
      <c r="U38" s="330"/>
      <c r="V38" s="330"/>
      <c r="W38" s="330"/>
      <c r="X38" s="330"/>
    </row>
    <row r="39" spans="1:24">
      <c r="A39" s="54" t="s">
        <v>223</v>
      </c>
      <c r="B39" s="74"/>
      <c r="C39" s="74"/>
      <c r="D39" s="486">
        <v>0</v>
      </c>
      <c r="E39" s="313">
        <f>(E19+E20)/E29</f>
        <v>160.26666666666668</v>
      </c>
      <c r="F39" s="313">
        <f t="shared" ref="F39:X39" si="5">(F19+F20)/F29</f>
        <v>187</v>
      </c>
      <c r="G39" s="313">
        <f t="shared" si="5"/>
        <v>213.73333333333332</v>
      </c>
      <c r="H39" s="313">
        <f t="shared" si="5"/>
        <v>213.73333333333332</v>
      </c>
      <c r="I39" s="313">
        <f t="shared" si="5"/>
        <v>213.73333333333332</v>
      </c>
      <c r="J39" s="313">
        <f t="shared" si="5"/>
        <v>213.73333333333332</v>
      </c>
      <c r="K39" s="313">
        <f t="shared" si="5"/>
        <v>213.73333333333332</v>
      </c>
      <c r="L39" s="313">
        <f t="shared" si="5"/>
        <v>213.73333333333332</v>
      </c>
      <c r="M39" s="313">
        <f t="shared" si="5"/>
        <v>213.73333333333332</v>
      </c>
      <c r="N39" s="313">
        <f t="shared" si="5"/>
        <v>213.73333333333332</v>
      </c>
      <c r="O39" s="313">
        <f t="shared" si="5"/>
        <v>213.73333333333332</v>
      </c>
      <c r="P39" s="313">
        <f t="shared" si="5"/>
        <v>213.73333333333332</v>
      </c>
      <c r="Q39" s="313">
        <f t="shared" si="5"/>
        <v>213.73333333333332</v>
      </c>
      <c r="R39" s="313">
        <f t="shared" si="5"/>
        <v>213.73333333333332</v>
      </c>
      <c r="S39" s="313">
        <f t="shared" si="5"/>
        <v>213.73333333333332</v>
      </c>
      <c r="T39" s="313">
        <f t="shared" si="5"/>
        <v>213.73333333333332</v>
      </c>
      <c r="U39" s="313">
        <f t="shared" si="5"/>
        <v>213.73333333333332</v>
      </c>
      <c r="V39" s="313">
        <f t="shared" si="5"/>
        <v>213.73333333333332</v>
      </c>
      <c r="W39" s="313">
        <f t="shared" si="5"/>
        <v>213.73333333333332</v>
      </c>
      <c r="X39" s="313">
        <f t="shared" si="5"/>
        <v>213.73333333333332</v>
      </c>
    </row>
    <row r="40" spans="1:24">
      <c r="A40" s="54"/>
      <c r="B40" s="74"/>
      <c r="C40" s="74"/>
      <c r="D40" s="492"/>
      <c r="E40" s="308"/>
      <c r="F40" s="308"/>
      <c r="G40" s="308"/>
      <c r="H40" s="308"/>
      <c r="I40" s="308"/>
      <c r="J40" s="308"/>
      <c r="K40" s="308"/>
      <c r="L40" s="308"/>
      <c r="M40" s="308"/>
      <c r="N40" s="308"/>
      <c r="O40" s="308"/>
      <c r="P40" s="308"/>
      <c r="Q40" s="308"/>
      <c r="R40" s="308"/>
      <c r="S40" s="308"/>
      <c r="T40" s="308"/>
      <c r="U40" s="308"/>
      <c r="V40" s="308"/>
      <c r="W40" s="308"/>
      <c r="X40" s="308"/>
    </row>
    <row r="41" spans="1:24">
      <c r="A41" s="293" t="s">
        <v>26</v>
      </c>
      <c r="B41" s="74"/>
      <c r="C41" s="74"/>
      <c r="D41" s="492"/>
      <c r="E41" s="308"/>
      <c r="F41" s="308"/>
      <c r="G41" s="308"/>
      <c r="H41" s="308"/>
      <c r="I41" s="308"/>
      <c r="J41" s="308"/>
      <c r="K41" s="308"/>
      <c r="L41" s="308"/>
      <c r="M41" s="308"/>
      <c r="N41" s="308"/>
      <c r="O41" s="308"/>
      <c r="P41" s="308"/>
      <c r="Q41" s="308"/>
      <c r="R41" s="308"/>
      <c r="S41" s="308"/>
      <c r="T41" s="308"/>
      <c r="U41" s="308"/>
      <c r="V41" s="308"/>
      <c r="W41" s="308"/>
      <c r="X41" s="308"/>
    </row>
    <row r="42" spans="1:24">
      <c r="A42" s="54" t="s">
        <v>264</v>
      </c>
      <c r="B42" s="277"/>
      <c r="C42" s="74"/>
      <c r="D42" s="486">
        <v>0</v>
      </c>
      <c r="E42" s="313">
        <f>'Parking Projections'!C94</f>
        <v>13920.314236111111</v>
      </c>
      <c r="F42" s="313">
        <f>'Parking Projections'!D94</f>
        <v>13920.314236111111</v>
      </c>
      <c r="G42" s="313">
        <f>'Parking Projections'!E94</f>
        <v>13920.314236111111</v>
      </c>
      <c r="H42" s="313">
        <f>'Parking Projections'!F94</f>
        <v>13920.314236111111</v>
      </c>
      <c r="I42" s="313">
        <f>'Parking Projections'!G94</f>
        <v>13920.314236111111</v>
      </c>
      <c r="J42" s="313">
        <f>'Parking Projections'!H94</f>
        <v>13920.314236111111</v>
      </c>
      <c r="K42" s="313">
        <f>'Parking Projections'!I94</f>
        <v>13920.314236111111</v>
      </c>
      <c r="L42" s="313">
        <f>'Parking Projections'!J94</f>
        <v>13920.314236111111</v>
      </c>
      <c r="M42" s="313">
        <f>'Parking Projections'!K94</f>
        <v>13920.314236111111</v>
      </c>
      <c r="N42" s="313">
        <f>'Parking Projections'!L94</f>
        <v>13920.314236111111</v>
      </c>
      <c r="O42" s="313">
        <f>'Parking Projections'!M94</f>
        <v>13920.314236111111</v>
      </c>
      <c r="P42" s="313">
        <f>'Parking Projections'!N94</f>
        <v>13920.314236111111</v>
      </c>
      <c r="Q42" s="313">
        <f>'Parking Projections'!O94</f>
        <v>13920.314236111111</v>
      </c>
      <c r="R42" s="313">
        <f>'Parking Projections'!P94</f>
        <v>13920.314236111111</v>
      </c>
      <c r="S42" s="313">
        <f>'Parking Projections'!Q94</f>
        <v>13920.314236111111</v>
      </c>
      <c r="T42" s="313">
        <f>'Parking Projections'!R94</f>
        <v>13920.314236111111</v>
      </c>
      <c r="U42" s="313">
        <f>'Parking Projections'!S94</f>
        <v>13920.314236111111</v>
      </c>
      <c r="V42" s="313">
        <f>'Parking Projections'!T94</f>
        <v>13920.314236111111</v>
      </c>
      <c r="W42" s="313">
        <f>'Parking Projections'!U94</f>
        <v>13920.314236111111</v>
      </c>
      <c r="X42" s="313">
        <f>'Parking Projections'!V94</f>
        <v>13920.314236111111</v>
      </c>
    </row>
    <row r="43" spans="1:24">
      <c r="A43" s="54" t="s">
        <v>267</v>
      </c>
      <c r="B43" s="277"/>
      <c r="C43" s="74"/>
      <c r="D43" s="486">
        <v>0</v>
      </c>
      <c r="E43" s="313">
        <f>'Parking Projections'!C98</f>
        <v>13115.666666666662</v>
      </c>
      <c r="F43" s="313">
        <f>'Parking Projections'!D98</f>
        <v>13115.666666666662</v>
      </c>
      <c r="G43" s="313">
        <f>'Parking Projections'!E98</f>
        <v>13115.666666666662</v>
      </c>
      <c r="H43" s="313">
        <f>'Parking Projections'!F98</f>
        <v>13115.666666666662</v>
      </c>
      <c r="I43" s="313">
        <f>'Parking Projections'!G98</f>
        <v>13115.666666666662</v>
      </c>
      <c r="J43" s="313">
        <f>'Parking Projections'!H98</f>
        <v>13115.666666666662</v>
      </c>
      <c r="K43" s="313">
        <f>'Parking Projections'!I98</f>
        <v>13115.666666666662</v>
      </c>
      <c r="L43" s="313">
        <f>'Parking Projections'!J98</f>
        <v>13115.666666666662</v>
      </c>
      <c r="M43" s="313">
        <f>'Parking Projections'!K98</f>
        <v>13115.666666666662</v>
      </c>
      <c r="N43" s="313">
        <f>'Parking Projections'!L98</f>
        <v>13115.666666666662</v>
      </c>
      <c r="O43" s="313">
        <f>'Parking Projections'!M98</f>
        <v>13115.666666666662</v>
      </c>
      <c r="P43" s="313">
        <f>'Parking Projections'!N98</f>
        <v>13115.666666666662</v>
      </c>
      <c r="Q43" s="313">
        <f>'Parking Projections'!O98</f>
        <v>13115.666666666662</v>
      </c>
      <c r="R43" s="313">
        <f>'Parking Projections'!P98</f>
        <v>13115.666666666662</v>
      </c>
      <c r="S43" s="313">
        <f>'Parking Projections'!Q98</f>
        <v>13115.666666666662</v>
      </c>
      <c r="T43" s="313">
        <f>'Parking Projections'!R98</f>
        <v>13115.666666666662</v>
      </c>
      <c r="U43" s="313">
        <f>'Parking Projections'!S98</f>
        <v>13115.666666666662</v>
      </c>
      <c r="V43" s="313">
        <f>'Parking Projections'!T98</f>
        <v>13115.666666666662</v>
      </c>
      <c r="W43" s="313">
        <f>'Parking Projections'!U98</f>
        <v>13115.666666666662</v>
      </c>
      <c r="X43" s="313">
        <f>'Parking Projections'!V98</f>
        <v>13115.666666666662</v>
      </c>
    </row>
    <row r="44" spans="1:24" s="96" customFormat="1">
      <c r="A44" s="54" t="s">
        <v>274</v>
      </c>
      <c r="B44" s="435"/>
      <c r="C44" s="583"/>
      <c r="D44" s="486">
        <v>0</v>
      </c>
      <c r="E44" s="313">
        <f>SUM(E42:E43)</f>
        <v>27035.980902777774</v>
      </c>
      <c r="F44" s="313">
        <f t="shared" ref="F44:X44" si="6">SUM(F42:F43)</f>
        <v>27035.980902777774</v>
      </c>
      <c r="G44" s="313">
        <f t="shared" si="6"/>
        <v>27035.980902777774</v>
      </c>
      <c r="H44" s="313">
        <f t="shared" si="6"/>
        <v>27035.980902777774</v>
      </c>
      <c r="I44" s="313">
        <f t="shared" si="6"/>
        <v>27035.980902777774</v>
      </c>
      <c r="J44" s="313">
        <f t="shared" si="6"/>
        <v>27035.980902777774</v>
      </c>
      <c r="K44" s="313">
        <f t="shared" si="6"/>
        <v>27035.980902777774</v>
      </c>
      <c r="L44" s="313">
        <f t="shared" si="6"/>
        <v>27035.980902777774</v>
      </c>
      <c r="M44" s="313">
        <f t="shared" si="6"/>
        <v>27035.980902777774</v>
      </c>
      <c r="N44" s="313">
        <f t="shared" si="6"/>
        <v>27035.980902777774</v>
      </c>
      <c r="O44" s="313">
        <f t="shared" si="6"/>
        <v>27035.980902777774</v>
      </c>
      <c r="P44" s="313">
        <f t="shared" si="6"/>
        <v>27035.980902777774</v>
      </c>
      <c r="Q44" s="313">
        <f t="shared" si="6"/>
        <v>27035.980902777774</v>
      </c>
      <c r="R44" s="313">
        <f t="shared" si="6"/>
        <v>27035.980902777774</v>
      </c>
      <c r="S44" s="313">
        <f t="shared" si="6"/>
        <v>27035.980902777774</v>
      </c>
      <c r="T44" s="313">
        <f t="shared" si="6"/>
        <v>27035.980902777774</v>
      </c>
      <c r="U44" s="313">
        <f t="shared" si="6"/>
        <v>27035.980902777774</v>
      </c>
      <c r="V44" s="313">
        <f t="shared" si="6"/>
        <v>27035.980902777774</v>
      </c>
      <c r="W44" s="313">
        <f t="shared" si="6"/>
        <v>27035.980902777774</v>
      </c>
      <c r="X44" s="313">
        <f t="shared" si="6"/>
        <v>27035.980902777774</v>
      </c>
    </row>
    <row r="45" spans="1:24">
      <c r="A45" s="54"/>
      <c r="B45" s="277"/>
      <c r="C45" s="74"/>
      <c r="D45" s="499"/>
      <c r="E45" s="308"/>
      <c r="F45" s="308"/>
      <c r="G45" s="308"/>
      <c r="H45" s="308"/>
      <c r="I45" s="308"/>
      <c r="J45" s="308"/>
      <c r="K45" s="308"/>
      <c r="L45" s="308"/>
      <c r="M45" s="308"/>
      <c r="N45" s="308"/>
      <c r="O45" s="308"/>
      <c r="P45" s="308"/>
      <c r="Q45" s="308"/>
      <c r="R45" s="308"/>
      <c r="S45" s="308"/>
      <c r="T45" s="308"/>
      <c r="U45" s="308"/>
      <c r="V45" s="308"/>
      <c r="W45" s="308"/>
      <c r="X45" s="308"/>
    </row>
    <row r="46" spans="1:24" s="96" customFormat="1">
      <c r="A46" s="54" t="s">
        <v>224</v>
      </c>
      <c r="B46" s="435"/>
      <c r="C46" s="583"/>
      <c r="D46" s="486">
        <v>0</v>
      </c>
      <c r="E46" s="496">
        <v>3</v>
      </c>
      <c r="F46" s="496">
        <v>3</v>
      </c>
      <c r="G46" s="496">
        <v>3</v>
      </c>
      <c r="H46" s="496">
        <v>3</v>
      </c>
      <c r="I46" s="496">
        <v>3</v>
      </c>
      <c r="J46" s="496">
        <v>3</v>
      </c>
      <c r="K46" s="496">
        <v>3</v>
      </c>
      <c r="L46" s="496">
        <v>3</v>
      </c>
      <c r="M46" s="496">
        <v>3</v>
      </c>
      <c r="N46" s="496">
        <v>3</v>
      </c>
      <c r="O46" s="496">
        <v>3</v>
      </c>
      <c r="P46" s="496">
        <v>3</v>
      </c>
      <c r="Q46" s="496">
        <v>3</v>
      </c>
      <c r="R46" s="496">
        <v>3</v>
      </c>
      <c r="S46" s="496">
        <v>3</v>
      </c>
      <c r="T46" s="496">
        <v>3</v>
      </c>
      <c r="U46" s="496">
        <v>3</v>
      </c>
      <c r="V46" s="496">
        <v>3</v>
      </c>
      <c r="W46" s="496">
        <v>3</v>
      </c>
      <c r="X46" s="496">
        <v>3</v>
      </c>
    </row>
    <row r="47" spans="1:24" s="96" customFormat="1">
      <c r="A47" s="54" t="s">
        <v>225</v>
      </c>
      <c r="B47" s="435"/>
      <c r="C47" s="583"/>
      <c r="D47" s="486">
        <v>0</v>
      </c>
      <c r="E47" s="496">
        <v>1</v>
      </c>
      <c r="F47" s="496">
        <v>1</v>
      </c>
      <c r="G47" s="496">
        <v>1</v>
      </c>
      <c r="H47" s="496">
        <v>1</v>
      </c>
      <c r="I47" s="496">
        <v>1</v>
      </c>
      <c r="J47" s="496">
        <v>1</v>
      </c>
      <c r="K47" s="496">
        <v>1</v>
      </c>
      <c r="L47" s="496">
        <v>1</v>
      </c>
      <c r="M47" s="496">
        <v>1</v>
      </c>
      <c r="N47" s="496">
        <v>1</v>
      </c>
      <c r="O47" s="496">
        <v>1</v>
      </c>
      <c r="P47" s="496">
        <v>1</v>
      </c>
      <c r="Q47" s="496">
        <v>1</v>
      </c>
      <c r="R47" s="496">
        <v>1</v>
      </c>
      <c r="S47" s="496">
        <v>1</v>
      </c>
      <c r="T47" s="496">
        <v>1</v>
      </c>
      <c r="U47" s="496">
        <v>1</v>
      </c>
      <c r="V47" s="496">
        <v>1</v>
      </c>
      <c r="W47" s="496">
        <v>1</v>
      </c>
      <c r="X47" s="496">
        <v>1</v>
      </c>
    </row>
    <row r="48" spans="1:24">
      <c r="A48" s="54" t="s">
        <v>209</v>
      </c>
      <c r="B48" s="277"/>
      <c r="C48" s="74"/>
      <c r="D48" s="486">
        <v>0</v>
      </c>
      <c r="E48" s="496">
        <v>0.5</v>
      </c>
      <c r="F48" s="496">
        <v>0.5</v>
      </c>
      <c r="G48" s="496">
        <v>0.5</v>
      </c>
      <c r="H48" s="496">
        <v>0.5</v>
      </c>
      <c r="I48" s="496">
        <v>0.5</v>
      </c>
      <c r="J48" s="496">
        <v>0.5</v>
      </c>
      <c r="K48" s="496">
        <v>0.5</v>
      </c>
      <c r="L48" s="496">
        <v>0.5</v>
      </c>
      <c r="M48" s="496">
        <v>0.5</v>
      </c>
      <c r="N48" s="496">
        <v>0.5</v>
      </c>
      <c r="O48" s="496">
        <v>0.5</v>
      </c>
      <c r="P48" s="496">
        <v>0.5</v>
      </c>
      <c r="Q48" s="496">
        <v>0.5</v>
      </c>
      <c r="R48" s="496">
        <v>0.5</v>
      </c>
      <c r="S48" s="496">
        <v>0.5</v>
      </c>
      <c r="T48" s="496">
        <v>0.5</v>
      </c>
      <c r="U48" s="496">
        <v>0.5</v>
      </c>
      <c r="V48" s="496">
        <v>0.5</v>
      </c>
      <c r="W48" s="496">
        <v>0.5</v>
      </c>
      <c r="X48" s="496">
        <v>0.5</v>
      </c>
    </row>
    <row r="49" spans="1:25 16384:16384">
      <c r="A49" s="54" t="s">
        <v>289</v>
      </c>
      <c r="B49" s="277"/>
      <c r="C49" s="74"/>
      <c r="D49" s="486">
        <v>0</v>
      </c>
      <c r="E49" s="496">
        <f t="shared" ref="E49:X49" si="7">SUM(E46:E48)/3</f>
        <v>1.5</v>
      </c>
      <c r="F49" s="496">
        <f t="shared" si="7"/>
        <v>1.5</v>
      </c>
      <c r="G49" s="496">
        <f t="shared" si="7"/>
        <v>1.5</v>
      </c>
      <c r="H49" s="496">
        <f t="shared" si="7"/>
        <v>1.5</v>
      </c>
      <c r="I49" s="496">
        <f t="shared" si="7"/>
        <v>1.5</v>
      </c>
      <c r="J49" s="496">
        <f t="shared" si="7"/>
        <v>1.5</v>
      </c>
      <c r="K49" s="496">
        <f t="shared" si="7"/>
        <v>1.5</v>
      </c>
      <c r="L49" s="496">
        <f t="shared" si="7"/>
        <v>1.5</v>
      </c>
      <c r="M49" s="496">
        <f t="shared" si="7"/>
        <v>1.5</v>
      </c>
      <c r="N49" s="496">
        <f t="shared" si="7"/>
        <v>1.5</v>
      </c>
      <c r="O49" s="496">
        <f t="shared" si="7"/>
        <v>1.5</v>
      </c>
      <c r="P49" s="496">
        <f t="shared" si="7"/>
        <v>1.5</v>
      </c>
      <c r="Q49" s="496">
        <f t="shared" si="7"/>
        <v>1.5</v>
      </c>
      <c r="R49" s="496">
        <f t="shared" si="7"/>
        <v>1.5</v>
      </c>
      <c r="S49" s="496">
        <f t="shared" si="7"/>
        <v>1.5</v>
      </c>
      <c r="T49" s="496">
        <f t="shared" si="7"/>
        <v>1.5</v>
      </c>
      <c r="U49" s="496">
        <f t="shared" si="7"/>
        <v>1.5</v>
      </c>
      <c r="V49" s="496">
        <f t="shared" si="7"/>
        <v>1.5</v>
      </c>
      <c r="W49" s="496">
        <f t="shared" si="7"/>
        <v>1.5</v>
      </c>
      <c r="X49" s="496">
        <f t="shared" si="7"/>
        <v>1.5</v>
      </c>
    </row>
    <row r="50" spans="1:25 16384:16384">
      <c r="A50" s="54"/>
      <c r="B50" s="277"/>
      <c r="C50" s="74"/>
      <c r="D50" s="486"/>
      <c r="E50" s="496"/>
      <c r="F50" s="496"/>
      <c r="G50" s="496"/>
      <c r="H50" s="496"/>
      <c r="I50" s="496"/>
      <c r="J50" s="496"/>
      <c r="K50" s="496"/>
      <c r="L50" s="496"/>
      <c r="M50" s="496"/>
      <c r="N50" s="496"/>
      <c r="O50" s="496"/>
      <c r="P50" s="496"/>
      <c r="Q50" s="496"/>
      <c r="R50" s="496"/>
      <c r="S50" s="496"/>
      <c r="T50" s="496"/>
      <c r="U50" s="496"/>
      <c r="V50" s="496"/>
      <c r="W50" s="496"/>
      <c r="X50" s="496"/>
    </row>
    <row r="51" spans="1:25 16384:16384">
      <c r="A51" s="54" t="s">
        <v>312</v>
      </c>
      <c r="B51" s="277"/>
      <c r="C51" s="74"/>
      <c r="D51" s="486">
        <v>0</v>
      </c>
      <c r="E51" s="313">
        <f>'Shuttle Projections'!C33</f>
        <v>7190</v>
      </c>
      <c r="F51" s="313">
        <f>'Shuttle Projections'!D33</f>
        <v>7190</v>
      </c>
      <c r="G51" s="313">
        <f>'Shuttle Projections'!E33</f>
        <v>7190</v>
      </c>
      <c r="H51" s="313">
        <f>'Shuttle Projections'!F33</f>
        <v>7190</v>
      </c>
      <c r="I51" s="313">
        <f>'Shuttle Projections'!G33</f>
        <v>7190</v>
      </c>
      <c r="J51" s="313">
        <f>'Shuttle Projections'!H33</f>
        <v>7190</v>
      </c>
      <c r="K51" s="313">
        <f>'Shuttle Projections'!I33</f>
        <v>7190</v>
      </c>
      <c r="L51" s="313">
        <f>'Shuttle Projections'!J33</f>
        <v>7190</v>
      </c>
      <c r="M51" s="313">
        <f>'Shuttle Projections'!K33</f>
        <v>7190</v>
      </c>
      <c r="N51" s="313">
        <f>'Shuttle Projections'!L33</f>
        <v>7190</v>
      </c>
      <c r="O51" s="313">
        <f>'Shuttle Projections'!M33</f>
        <v>7190</v>
      </c>
      <c r="P51" s="313">
        <f>'Shuttle Projections'!N33</f>
        <v>7190</v>
      </c>
      <c r="Q51" s="313">
        <f>'Shuttle Projections'!O33</f>
        <v>7190</v>
      </c>
      <c r="R51" s="313">
        <f>'Shuttle Projections'!P33</f>
        <v>7190</v>
      </c>
      <c r="S51" s="313">
        <f>'Shuttle Projections'!Q33</f>
        <v>7190</v>
      </c>
      <c r="T51" s="313">
        <f>'Shuttle Projections'!R33</f>
        <v>7190</v>
      </c>
      <c r="U51" s="313">
        <f>'Shuttle Projections'!S33</f>
        <v>7190</v>
      </c>
      <c r="V51" s="313">
        <f>'Shuttle Projections'!T33</f>
        <v>7190</v>
      </c>
      <c r="W51" s="313">
        <f>'Shuttle Projections'!U33</f>
        <v>7190</v>
      </c>
      <c r="X51" s="313">
        <f>'Shuttle Projections'!V33</f>
        <v>7190</v>
      </c>
      <c r="XFD51" s="570"/>
    </row>
    <row r="52" spans="1:25 16384:16384">
      <c r="A52" s="54"/>
      <c r="B52" s="277"/>
      <c r="C52" s="74"/>
      <c r="D52" s="486"/>
      <c r="E52" s="308"/>
      <c r="F52" s="308"/>
      <c r="G52" s="308"/>
      <c r="H52" s="308"/>
      <c r="I52" s="308"/>
      <c r="J52" s="308"/>
      <c r="K52" s="308"/>
      <c r="L52" s="308"/>
      <c r="M52" s="308"/>
      <c r="N52" s="308"/>
      <c r="O52" s="308"/>
      <c r="P52" s="308"/>
      <c r="Q52" s="308"/>
      <c r="R52" s="308"/>
      <c r="S52" s="308"/>
      <c r="T52" s="308"/>
      <c r="U52" s="308"/>
      <c r="V52" s="308"/>
      <c r="W52" s="308"/>
      <c r="X52" s="308"/>
    </row>
    <row r="53" spans="1:25 16384:16384" s="612" customFormat="1">
      <c r="A53" s="613" t="s">
        <v>292</v>
      </c>
      <c r="B53" s="614"/>
      <c r="C53" s="615"/>
      <c r="D53" s="616">
        <v>0</v>
      </c>
      <c r="E53" s="617">
        <v>0</v>
      </c>
      <c r="F53" s="617">
        <v>0</v>
      </c>
      <c r="G53" s="617">
        <v>100000</v>
      </c>
      <c r="H53" s="617">
        <v>100000</v>
      </c>
      <c r="I53" s="617">
        <v>100000</v>
      </c>
      <c r="J53" s="617">
        <v>100000</v>
      </c>
      <c r="K53" s="617">
        <v>100000</v>
      </c>
      <c r="L53" s="617">
        <v>100000</v>
      </c>
      <c r="M53" s="617">
        <v>100000</v>
      </c>
      <c r="N53" s="617">
        <v>100000</v>
      </c>
      <c r="O53" s="617">
        <v>100000</v>
      </c>
      <c r="P53" s="617">
        <v>100000</v>
      </c>
      <c r="Q53" s="617">
        <v>100000</v>
      </c>
      <c r="R53" s="617">
        <v>100000</v>
      </c>
      <c r="S53" s="617">
        <v>100000</v>
      </c>
      <c r="T53" s="617">
        <v>100000</v>
      </c>
      <c r="U53" s="617">
        <v>100000</v>
      </c>
      <c r="V53" s="617">
        <v>100000</v>
      </c>
      <c r="W53" s="617">
        <v>100000</v>
      </c>
      <c r="X53" s="618">
        <v>100000</v>
      </c>
    </row>
    <row r="54" spans="1:25 16384:16384">
      <c r="A54" s="54"/>
      <c r="B54" s="277"/>
      <c r="C54" s="74"/>
      <c r="D54" s="486"/>
      <c r="E54" s="308"/>
      <c r="F54" s="308"/>
      <c r="G54" s="308"/>
      <c r="H54" s="308"/>
      <c r="I54" s="308"/>
      <c r="J54" s="308"/>
      <c r="K54" s="308"/>
      <c r="L54" s="308"/>
      <c r="M54" s="308"/>
      <c r="N54" s="308"/>
      <c r="O54" s="308"/>
      <c r="P54" s="308"/>
      <c r="Q54" s="308"/>
      <c r="R54" s="308"/>
      <c r="S54" s="308"/>
      <c r="T54" s="308"/>
      <c r="U54" s="308"/>
      <c r="V54" s="308"/>
      <c r="W54" s="308"/>
      <c r="X54" s="308"/>
    </row>
    <row r="55" spans="1:25 16384:16384" s="582" customFormat="1">
      <c r="A55" s="293" t="str">
        <f>'BH Tariffs'!A33</f>
        <v>Recreational/Commercial Marina</v>
      </c>
      <c r="B55" s="584"/>
      <c r="C55" s="585"/>
      <c r="D55" s="486"/>
      <c r="E55" s="586"/>
      <c r="F55" s="586"/>
      <c r="G55" s="586"/>
      <c r="H55" s="586"/>
      <c r="I55" s="586"/>
      <c r="J55" s="586"/>
      <c r="K55" s="586"/>
      <c r="L55" s="586"/>
      <c r="M55" s="586"/>
      <c r="N55" s="586"/>
      <c r="O55" s="586"/>
      <c r="P55" s="586"/>
      <c r="Q55" s="586"/>
      <c r="R55" s="586"/>
      <c r="S55" s="586"/>
      <c r="T55" s="586"/>
      <c r="U55" s="586"/>
      <c r="V55" s="586"/>
      <c r="W55" s="586"/>
      <c r="X55" s="586"/>
    </row>
    <row r="56" spans="1:25 16384:16384" s="96" customFormat="1">
      <c r="A56" s="54" t="s">
        <v>291</v>
      </c>
      <c r="B56" s="435"/>
      <c r="C56" s="583"/>
      <c r="D56" s="486">
        <v>0</v>
      </c>
      <c r="E56" s="313">
        <v>0</v>
      </c>
      <c r="F56" s="313">
        <f>'Marina Projections'!D121</f>
        <v>32</v>
      </c>
      <c r="G56" s="313">
        <f>'Marina Projections'!E121</f>
        <v>32</v>
      </c>
      <c r="H56" s="313">
        <f>'Marina Projections'!F121</f>
        <v>32</v>
      </c>
      <c r="I56" s="313">
        <f>'Marina Projections'!G121</f>
        <v>32</v>
      </c>
      <c r="J56" s="313">
        <f>'Marina Projections'!H121</f>
        <v>32</v>
      </c>
      <c r="K56" s="313">
        <f>'Marina Projections'!I121</f>
        <v>32</v>
      </c>
      <c r="L56" s="313">
        <f>'Marina Projections'!J121</f>
        <v>32</v>
      </c>
      <c r="M56" s="313">
        <f>'Marina Projections'!K121</f>
        <v>32</v>
      </c>
      <c r="N56" s="313">
        <f>'Marina Projections'!L121</f>
        <v>32</v>
      </c>
      <c r="O56" s="313">
        <f>'Marina Projections'!M121</f>
        <v>32</v>
      </c>
      <c r="P56" s="313">
        <f>'Marina Projections'!N121</f>
        <v>32</v>
      </c>
      <c r="Q56" s="313">
        <f>'Marina Projections'!O121</f>
        <v>32</v>
      </c>
      <c r="R56" s="313">
        <f>'Marina Projections'!P121</f>
        <v>32</v>
      </c>
      <c r="S56" s="313">
        <f>'Marina Projections'!Q121</f>
        <v>32</v>
      </c>
      <c r="T56" s="313">
        <f>'Marina Projections'!R121</f>
        <v>32</v>
      </c>
      <c r="U56" s="313">
        <f>'Marina Projections'!S121</f>
        <v>32</v>
      </c>
      <c r="V56" s="313">
        <f>'Marina Projections'!T121</f>
        <v>32</v>
      </c>
      <c r="W56" s="313">
        <f>'Marina Projections'!U121</f>
        <v>32</v>
      </c>
      <c r="X56" s="313">
        <f>'Marina Projections'!V121</f>
        <v>32</v>
      </c>
    </row>
    <row r="57" spans="1:25 16384:16384" s="96" customFormat="1">
      <c r="A57" s="54" t="s">
        <v>293</v>
      </c>
      <c r="B57" s="435"/>
      <c r="C57" s="583"/>
      <c r="D57" s="486">
        <v>0</v>
      </c>
      <c r="E57" s="313">
        <v>0</v>
      </c>
      <c r="F57" s="313">
        <f>'Marina Projections'!D128</f>
        <v>30264.381562500002</v>
      </c>
      <c r="G57" s="313">
        <f>'Marina Projections'!E128</f>
        <v>30264.381562500002</v>
      </c>
      <c r="H57" s="313">
        <f>'Marina Projections'!F128</f>
        <v>30264.381562500002</v>
      </c>
      <c r="I57" s="313">
        <f>'Marina Projections'!G128</f>
        <v>30264.381562500002</v>
      </c>
      <c r="J57" s="313">
        <f>'Marina Projections'!H128</f>
        <v>30264.381562500002</v>
      </c>
      <c r="K57" s="313">
        <f>'Marina Projections'!I128</f>
        <v>30264.381562500002</v>
      </c>
      <c r="L57" s="313">
        <f>'Marina Projections'!J128</f>
        <v>30264.381562500002</v>
      </c>
      <c r="M57" s="313">
        <f>'Marina Projections'!K128</f>
        <v>30264.381562500002</v>
      </c>
      <c r="N57" s="313">
        <f>'Marina Projections'!L128</f>
        <v>30264.381562500002</v>
      </c>
      <c r="O57" s="313">
        <f>'Marina Projections'!M128</f>
        <v>30264.381562500002</v>
      </c>
      <c r="P57" s="313">
        <f>'Marina Projections'!N128</f>
        <v>30264.381562500002</v>
      </c>
      <c r="Q57" s="313">
        <f>'Marina Projections'!O128</f>
        <v>30264.381562500002</v>
      </c>
      <c r="R57" s="313">
        <f>'Marina Projections'!P128</f>
        <v>30264.381562500002</v>
      </c>
      <c r="S57" s="313">
        <f>'Marina Projections'!Q128</f>
        <v>30264.381562500002</v>
      </c>
      <c r="T57" s="313">
        <f>'Marina Projections'!R128</f>
        <v>30264.381562500002</v>
      </c>
      <c r="U57" s="313">
        <f>'Marina Projections'!S128</f>
        <v>30264.381562500002</v>
      </c>
      <c r="V57" s="313">
        <f>'Marina Projections'!T128</f>
        <v>30264.381562500002</v>
      </c>
      <c r="W57" s="313">
        <f>'Marina Projections'!U128</f>
        <v>30264.381562500002</v>
      </c>
      <c r="X57" s="313">
        <f>'Marina Projections'!V128</f>
        <v>30264.381562500002</v>
      </c>
    </row>
    <row r="58" spans="1:25 16384:16384" s="96" customFormat="1">
      <c r="A58" s="54" t="s">
        <v>294</v>
      </c>
      <c r="B58" s="435"/>
      <c r="C58" s="583"/>
      <c r="D58" s="486">
        <v>0</v>
      </c>
      <c r="E58" s="313">
        <v>0</v>
      </c>
      <c r="F58" s="313">
        <f>'Marina Projections'!D124</f>
        <v>1137.1500000000001</v>
      </c>
      <c r="G58" s="313">
        <f>'Marina Projections'!E124</f>
        <v>1137.1500000000001</v>
      </c>
      <c r="H58" s="313">
        <f>'Marina Projections'!F124</f>
        <v>1137.1500000000001</v>
      </c>
      <c r="I58" s="313">
        <f>'Marina Projections'!G124</f>
        <v>1137.1500000000001</v>
      </c>
      <c r="J58" s="313">
        <f>'Marina Projections'!H124</f>
        <v>1137.1500000000001</v>
      </c>
      <c r="K58" s="313">
        <f>'Marina Projections'!I124</f>
        <v>1137.1500000000001</v>
      </c>
      <c r="L58" s="313">
        <f>'Marina Projections'!J124</f>
        <v>1137.1500000000001</v>
      </c>
      <c r="M58" s="313">
        <f>'Marina Projections'!K124</f>
        <v>1137.1500000000001</v>
      </c>
      <c r="N58" s="313">
        <f>'Marina Projections'!L124</f>
        <v>1137.1500000000001</v>
      </c>
      <c r="O58" s="313">
        <f>'Marina Projections'!M124</f>
        <v>1137.1500000000001</v>
      </c>
      <c r="P58" s="313">
        <f>'Marina Projections'!N124</f>
        <v>1137.1500000000001</v>
      </c>
      <c r="Q58" s="313">
        <f>'Marina Projections'!O124</f>
        <v>1137.1500000000001</v>
      </c>
      <c r="R58" s="313">
        <f>'Marina Projections'!P124</f>
        <v>1137.1500000000001</v>
      </c>
      <c r="S58" s="313">
        <f>'Marina Projections'!Q124</f>
        <v>1137.1500000000001</v>
      </c>
      <c r="T58" s="313">
        <f>'Marina Projections'!R124</f>
        <v>1137.1500000000001</v>
      </c>
      <c r="U58" s="313">
        <f>'Marina Projections'!S124</f>
        <v>1137.1500000000001</v>
      </c>
      <c r="V58" s="313">
        <f>'Marina Projections'!T124</f>
        <v>1137.1500000000001</v>
      </c>
      <c r="W58" s="313">
        <f>'Marina Projections'!U124</f>
        <v>1137.1500000000001</v>
      </c>
      <c r="X58" s="313">
        <f>'Marina Projections'!V124</f>
        <v>1137.1500000000001</v>
      </c>
    </row>
    <row r="59" spans="1:25 16384:16384" s="167" customFormat="1">
      <c r="A59" s="497" t="s">
        <v>170</v>
      </c>
      <c r="B59" s="450"/>
      <c r="C59" s="498"/>
      <c r="D59" s="499">
        <v>0</v>
      </c>
      <c r="E59" s="587">
        <v>0</v>
      </c>
      <c r="F59" s="587">
        <v>0</v>
      </c>
      <c r="G59" s="587">
        <v>0</v>
      </c>
      <c r="H59" s="587">
        <v>0</v>
      </c>
      <c r="I59" s="587">
        <v>0</v>
      </c>
      <c r="J59" s="587">
        <v>0</v>
      </c>
      <c r="K59" s="587">
        <v>0</v>
      </c>
      <c r="L59" s="587">
        <v>0</v>
      </c>
      <c r="M59" s="587">
        <v>0</v>
      </c>
      <c r="N59" s="587">
        <v>0</v>
      </c>
      <c r="O59" s="587">
        <v>0</v>
      </c>
      <c r="P59" s="587">
        <v>0</v>
      </c>
      <c r="Q59" s="587">
        <v>0</v>
      </c>
      <c r="R59" s="587">
        <v>0</v>
      </c>
      <c r="S59" s="587">
        <v>0</v>
      </c>
      <c r="T59" s="587">
        <v>0</v>
      </c>
      <c r="U59" s="587">
        <v>0</v>
      </c>
      <c r="V59" s="587">
        <v>0</v>
      </c>
      <c r="W59" s="587">
        <v>0</v>
      </c>
      <c r="X59" s="587">
        <v>0</v>
      </c>
      <c r="Y59" s="167" t="s">
        <v>282</v>
      </c>
    </row>
    <row r="60" spans="1:25 16384:16384" s="167" customFormat="1">
      <c r="A60" s="497" t="s">
        <v>16</v>
      </c>
      <c r="B60" s="450"/>
      <c r="C60" s="498"/>
      <c r="D60" s="499">
        <v>0</v>
      </c>
      <c r="E60" s="587">
        <v>0</v>
      </c>
      <c r="F60" s="587">
        <v>0</v>
      </c>
      <c r="G60" s="587">
        <v>0</v>
      </c>
      <c r="H60" s="587">
        <v>0</v>
      </c>
      <c r="I60" s="587">
        <v>0</v>
      </c>
      <c r="J60" s="587">
        <v>0</v>
      </c>
      <c r="K60" s="587">
        <v>0</v>
      </c>
      <c r="L60" s="587">
        <v>0</v>
      </c>
      <c r="M60" s="587">
        <v>0</v>
      </c>
      <c r="N60" s="587">
        <v>0</v>
      </c>
      <c r="O60" s="587">
        <v>0</v>
      </c>
      <c r="P60" s="587">
        <v>0</v>
      </c>
      <c r="Q60" s="587">
        <v>0</v>
      </c>
      <c r="R60" s="587">
        <v>0</v>
      </c>
      <c r="S60" s="587">
        <v>0</v>
      </c>
      <c r="T60" s="587">
        <v>0</v>
      </c>
      <c r="U60" s="587">
        <v>0</v>
      </c>
      <c r="V60" s="587">
        <v>0</v>
      </c>
      <c r="W60" s="587">
        <v>0</v>
      </c>
      <c r="X60" s="587">
        <v>0</v>
      </c>
      <c r="Y60" s="167" t="s">
        <v>282</v>
      </c>
    </row>
    <row r="61" spans="1:25 16384:16384">
      <c r="A61" s="54"/>
      <c r="B61" s="277"/>
      <c r="C61" s="74"/>
      <c r="D61" s="492"/>
      <c r="E61" s="308"/>
      <c r="F61" s="308"/>
      <c r="G61" s="308"/>
      <c r="H61" s="308"/>
      <c r="I61" s="308"/>
      <c r="J61" s="308"/>
      <c r="K61" s="308"/>
      <c r="L61" s="308"/>
      <c r="M61" s="308"/>
      <c r="N61" s="308"/>
      <c r="O61" s="308"/>
      <c r="P61" s="308"/>
      <c r="Q61" s="308"/>
      <c r="R61" s="308"/>
      <c r="S61" s="308"/>
      <c r="T61" s="308"/>
      <c r="U61" s="308"/>
      <c r="V61" s="308"/>
      <c r="W61" s="308"/>
      <c r="X61" s="308"/>
    </row>
    <row r="62" spans="1:25 16384:16384">
      <c r="A62" s="293" t="s">
        <v>2</v>
      </c>
      <c r="B62" s="277"/>
      <c r="C62" s="74"/>
      <c r="D62" s="492"/>
      <c r="E62" s="308"/>
      <c r="F62" s="308"/>
      <c r="G62" s="308"/>
      <c r="H62" s="308"/>
      <c r="I62" s="308"/>
      <c r="J62" s="308"/>
      <c r="K62" s="308"/>
      <c r="L62" s="308"/>
      <c r="M62" s="308"/>
      <c r="N62" s="308"/>
      <c r="O62" s="308"/>
      <c r="P62" s="308"/>
      <c r="Q62" s="308"/>
      <c r="R62" s="308"/>
      <c r="S62" s="308"/>
      <c r="T62" s="308"/>
      <c r="U62" s="308"/>
      <c r="V62" s="308"/>
      <c r="W62" s="308"/>
      <c r="X62" s="308"/>
    </row>
    <row r="63" spans="1:25 16384:16384" s="96" customFormat="1">
      <c r="A63" s="54" t="s">
        <v>290</v>
      </c>
      <c r="B63" s="435">
        <v>500</v>
      </c>
      <c r="C63" s="487"/>
      <c r="D63" s="486">
        <v>0</v>
      </c>
      <c r="E63" s="313">
        <v>0</v>
      </c>
      <c r="F63" s="313">
        <v>0</v>
      </c>
      <c r="G63" s="313">
        <f t="shared" ref="G63:X63" si="8">$B$63</f>
        <v>500</v>
      </c>
      <c r="H63" s="313">
        <f t="shared" si="8"/>
        <v>500</v>
      </c>
      <c r="I63" s="313">
        <f t="shared" si="8"/>
        <v>500</v>
      </c>
      <c r="J63" s="313">
        <f t="shared" si="8"/>
        <v>500</v>
      </c>
      <c r="K63" s="313">
        <f t="shared" si="8"/>
        <v>500</v>
      </c>
      <c r="L63" s="313">
        <f t="shared" si="8"/>
        <v>500</v>
      </c>
      <c r="M63" s="313">
        <f t="shared" si="8"/>
        <v>500</v>
      </c>
      <c r="N63" s="313">
        <f t="shared" si="8"/>
        <v>500</v>
      </c>
      <c r="O63" s="313">
        <f t="shared" si="8"/>
        <v>500</v>
      </c>
      <c r="P63" s="313">
        <f t="shared" si="8"/>
        <v>500</v>
      </c>
      <c r="Q63" s="313">
        <f t="shared" si="8"/>
        <v>500</v>
      </c>
      <c r="R63" s="313">
        <f t="shared" si="8"/>
        <v>500</v>
      </c>
      <c r="S63" s="313">
        <f t="shared" si="8"/>
        <v>500</v>
      </c>
      <c r="T63" s="313">
        <f t="shared" si="8"/>
        <v>500</v>
      </c>
      <c r="U63" s="313">
        <f t="shared" si="8"/>
        <v>500</v>
      </c>
      <c r="V63" s="313">
        <f t="shared" si="8"/>
        <v>500</v>
      </c>
      <c r="W63" s="313">
        <f t="shared" si="8"/>
        <v>500</v>
      </c>
      <c r="X63" s="313">
        <f t="shared" si="8"/>
        <v>500</v>
      </c>
    </row>
    <row r="64" spans="1:25 16384:16384" s="96" customFormat="1">
      <c r="A64" s="54" t="s">
        <v>540</v>
      </c>
      <c r="B64" s="435"/>
      <c r="C64" s="487"/>
      <c r="D64" s="1055">
        <v>0</v>
      </c>
      <c r="E64" s="1056">
        <v>0</v>
      </c>
      <c r="F64" s="1056">
        <v>0</v>
      </c>
      <c r="G64" s="1056">
        <v>200000</v>
      </c>
      <c r="H64" s="1056">
        <f>G64</f>
        <v>200000</v>
      </c>
      <c r="I64" s="1056">
        <f t="shared" ref="I64:X64" si="9">H64</f>
        <v>200000</v>
      </c>
      <c r="J64" s="1056">
        <f t="shared" si="9"/>
        <v>200000</v>
      </c>
      <c r="K64" s="1056">
        <f t="shared" si="9"/>
        <v>200000</v>
      </c>
      <c r="L64" s="1056">
        <f t="shared" si="9"/>
        <v>200000</v>
      </c>
      <c r="M64" s="1056">
        <f t="shared" si="9"/>
        <v>200000</v>
      </c>
      <c r="N64" s="1056">
        <f t="shared" si="9"/>
        <v>200000</v>
      </c>
      <c r="O64" s="1056">
        <f t="shared" si="9"/>
        <v>200000</v>
      </c>
      <c r="P64" s="1056">
        <f t="shared" si="9"/>
        <v>200000</v>
      </c>
      <c r="Q64" s="1056">
        <f t="shared" si="9"/>
        <v>200000</v>
      </c>
      <c r="R64" s="1056">
        <f t="shared" si="9"/>
        <v>200000</v>
      </c>
      <c r="S64" s="1056">
        <f t="shared" si="9"/>
        <v>200000</v>
      </c>
      <c r="T64" s="1056">
        <f t="shared" si="9"/>
        <v>200000</v>
      </c>
      <c r="U64" s="1056">
        <f t="shared" si="9"/>
        <v>200000</v>
      </c>
      <c r="V64" s="1056">
        <f t="shared" si="9"/>
        <v>200000</v>
      </c>
      <c r="W64" s="1056">
        <f t="shared" si="9"/>
        <v>200000</v>
      </c>
      <c r="X64" s="1056">
        <f t="shared" si="9"/>
        <v>200000</v>
      </c>
    </row>
    <row r="65" spans="1:25" s="96" customFormat="1">
      <c r="A65" s="54" t="s">
        <v>210</v>
      </c>
      <c r="B65" s="487"/>
      <c r="C65" s="487"/>
      <c r="D65" s="486">
        <v>0</v>
      </c>
      <c r="E65" s="313">
        <v>0</v>
      </c>
      <c r="F65" s="313">
        <v>1</v>
      </c>
      <c r="G65" s="313">
        <v>2</v>
      </c>
      <c r="H65" s="313">
        <v>2</v>
      </c>
      <c r="I65" s="313">
        <v>2</v>
      </c>
      <c r="J65" s="313">
        <v>3</v>
      </c>
      <c r="K65" s="313">
        <v>3</v>
      </c>
      <c r="L65" s="313">
        <v>3</v>
      </c>
      <c r="M65" s="313">
        <v>3</v>
      </c>
      <c r="N65" s="313">
        <v>3</v>
      </c>
      <c r="O65" s="313">
        <v>4</v>
      </c>
      <c r="P65" s="313">
        <v>4</v>
      </c>
      <c r="Q65" s="313">
        <v>4</v>
      </c>
      <c r="R65" s="313">
        <v>4</v>
      </c>
      <c r="S65" s="313">
        <v>4</v>
      </c>
      <c r="T65" s="313">
        <v>5</v>
      </c>
      <c r="U65" s="313">
        <v>5</v>
      </c>
      <c r="V65" s="313">
        <v>5</v>
      </c>
      <c r="W65" s="313">
        <v>5</v>
      </c>
      <c r="X65" s="313">
        <v>5</v>
      </c>
      <c r="Y65" s="313"/>
    </row>
    <row r="66" spans="1:25" s="96" customFormat="1">
      <c r="A66" s="96" t="s">
        <v>211</v>
      </c>
      <c r="D66" s="486">
        <v>0</v>
      </c>
      <c r="E66" s="435">
        <v>0</v>
      </c>
      <c r="F66" s="435">
        <v>3</v>
      </c>
      <c r="G66" s="435">
        <v>3</v>
      </c>
      <c r="H66" s="435">
        <v>3</v>
      </c>
      <c r="I66" s="435">
        <v>3</v>
      </c>
      <c r="J66" s="435">
        <v>3</v>
      </c>
      <c r="K66" s="435">
        <v>3</v>
      </c>
      <c r="L66" s="435">
        <v>3</v>
      </c>
      <c r="M66" s="435">
        <v>3</v>
      </c>
      <c r="N66" s="435">
        <v>3</v>
      </c>
      <c r="O66" s="435">
        <v>3</v>
      </c>
      <c r="P66" s="435">
        <v>3</v>
      </c>
      <c r="Q66" s="435">
        <v>3</v>
      </c>
      <c r="R66" s="435">
        <v>3</v>
      </c>
      <c r="S66" s="435">
        <v>3</v>
      </c>
      <c r="T66" s="435">
        <v>3</v>
      </c>
      <c r="U66" s="435">
        <v>3</v>
      </c>
      <c r="V66" s="435">
        <v>3</v>
      </c>
      <c r="W66" s="435">
        <v>3</v>
      </c>
      <c r="X66" s="435">
        <v>3</v>
      </c>
    </row>
    <row r="67" spans="1:25" s="167" customFormat="1">
      <c r="A67" s="497"/>
      <c r="B67" s="501"/>
      <c r="C67" s="501"/>
      <c r="D67" s="499"/>
      <c r="E67" s="500"/>
      <c r="F67" s="500"/>
      <c r="G67" s="500"/>
      <c r="H67" s="500"/>
      <c r="I67" s="500"/>
      <c r="J67" s="500"/>
      <c r="K67" s="500"/>
      <c r="L67" s="500"/>
      <c r="M67" s="500"/>
      <c r="N67" s="500"/>
      <c r="O67" s="500"/>
      <c r="P67" s="500"/>
      <c r="Q67" s="500"/>
      <c r="R67" s="500"/>
      <c r="S67" s="500"/>
      <c r="T67" s="500"/>
      <c r="U67" s="500"/>
      <c r="V67" s="500"/>
      <c r="W67" s="500"/>
      <c r="X67" s="500"/>
      <c r="Y67" s="500"/>
    </row>
    <row r="68" spans="1:25">
      <c r="A68" s="28"/>
      <c r="D68" s="486"/>
      <c r="E68" s="331"/>
      <c r="F68" s="333"/>
      <c r="G68" s="331"/>
      <c r="H68" s="331"/>
      <c r="I68" s="331"/>
      <c r="J68" s="331"/>
      <c r="K68" s="331"/>
      <c r="L68" s="331"/>
      <c r="M68" s="331"/>
      <c r="N68" s="331"/>
      <c r="O68" s="331"/>
      <c r="P68" s="331"/>
      <c r="Q68" s="331"/>
      <c r="R68" s="331"/>
      <c r="S68" s="331"/>
      <c r="T68" s="331"/>
      <c r="U68" s="331"/>
      <c r="V68" s="331"/>
      <c r="W68" s="331"/>
      <c r="X68" s="331"/>
    </row>
    <row r="69" spans="1:25">
      <c r="A69" s="266" t="s">
        <v>135</v>
      </c>
      <c r="B69" s="223"/>
      <c r="C69" s="267"/>
      <c r="D69" s="332"/>
      <c r="E69" s="332"/>
      <c r="F69" s="349"/>
      <c r="G69" s="332"/>
      <c r="H69" s="332"/>
      <c r="I69" s="332"/>
      <c r="J69" s="332"/>
      <c r="K69" s="332"/>
      <c r="L69" s="332"/>
      <c r="M69" s="332"/>
      <c r="N69" s="332"/>
      <c r="O69" s="332"/>
      <c r="P69" s="332"/>
      <c r="Q69" s="332"/>
      <c r="R69" s="332"/>
      <c r="S69" s="332"/>
      <c r="T69" s="332"/>
      <c r="U69" s="332"/>
      <c r="V69" s="332"/>
      <c r="W69" s="332"/>
      <c r="X69" s="332"/>
    </row>
    <row r="70" spans="1:25" s="341" customFormat="1">
      <c r="A70" s="353"/>
      <c r="B70" s="355"/>
      <c r="C70" s="355"/>
      <c r="D70" s="502"/>
      <c r="E70" s="503"/>
      <c r="F70" s="503"/>
      <c r="G70" s="503"/>
      <c r="H70" s="503"/>
      <c r="I70" s="503"/>
      <c r="J70" s="503"/>
      <c r="K70" s="503"/>
      <c r="L70" s="503"/>
      <c r="M70" s="503"/>
      <c r="N70" s="503"/>
      <c r="O70" s="503"/>
      <c r="P70" s="503"/>
      <c r="Q70" s="503"/>
      <c r="R70" s="503"/>
      <c r="S70" s="503"/>
      <c r="T70" s="503"/>
      <c r="U70" s="503"/>
      <c r="V70" s="503"/>
      <c r="W70" s="503"/>
      <c r="X70" s="503"/>
    </row>
    <row r="71" spans="1:25" s="341" customFormat="1">
      <c r="A71" s="691" t="s">
        <v>144</v>
      </c>
      <c r="B71" s="355"/>
      <c r="C71" s="355"/>
      <c r="D71" s="548"/>
      <c r="E71" s="503"/>
      <c r="F71" s="503"/>
      <c r="G71" s="503"/>
      <c r="H71" s="503"/>
      <c r="I71" s="503"/>
      <c r="J71" s="503"/>
      <c r="K71" s="503"/>
      <c r="L71" s="503"/>
      <c r="M71" s="503"/>
      <c r="N71" s="503"/>
      <c r="O71" s="503"/>
      <c r="P71" s="503"/>
      <c r="Q71" s="503"/>
      <c r="R71" s="503"/>
      <c r="S71" s="503"/>
      <c r="T71" s="503"/>
      <c r="U71" s="503"/>
      <c r="V71" s="503"/>
      <c r="W71" s="503"/>
      <c r="X71" s="503"/>
    </row>
    <row r="72" spans="1:25" s="561" customFormat="1">
      <c r="A72" s="353" t="str">
        <f>'BH Tariffs'!A11</f>
        <v>Port Fee</v>
      </c>
      <c r="B72" s="355"/>
      <c r="C72" s="355"/>
      <c r="D72" s="548">
        <v>0</v>
      </c>
      <c r="E72" s="503">
        <v>0</v>
      </c>
      <c r="F72" s="503">
        <v>0</v>
      </c>
      <c r="G72" s="503">
        <v>0</v>
      </c>
      <c r="H72" s="503">
        <v>0</v>
      </c>
      <c r="I72" s="503">
        <v>0</v>
      </c>
      <c r="J72" s="503">
        <v>0</v>
      </c>
      <c r="K72" s="503">
        <v>0</v>
      </c>
      <c r="L72" s="503">
        <v>0</v>
      </c>
      <c r="M72" s="503">
        <v>0</v>
      </c>
      <c r="N72" s="503">
        <v>0</v>
      </c>
      <c r="O72" s="503">
        <v>0</v>
      </c>
      <c r="P72" s="503">
        <v>0</v>
      </c>
      <c r="Q72" s="503">
        <v>0</v>
      </c>
      <c r="R72" s="503">
        <v>0</v>
      </c>
      <c r="S72" s="503">
        <v>0</v>
      </c>
      <c r="T72" s="503">
        <v>0</v>
      </c>
      <c r="U72" s="503">
        <v>0</v>
      </c>
      <c r="V72" s="503">
        <v>0</v>
      </c>
      <c r="W72" s="503">
        <v>0</v>
      </c>
      <c r="X72" s="503">
        <v>0</v>
      </c>
    </row>
    <row r="73" spans="1:25">
      <c r="A73" s="88"/>
      <c r="B73" s="89"/>
      <c r="C73" s="89"/>
      <c r="D73" s="502"/>
      <c r="E73" s="504"/>
      <c r="F73" s="504"/>
      <c r="G73" s="504"/>
      <c r="H73" s="504"/>
      <c r="I73" s="504"/>
      <c r="J73" s="504"/>
      <c r="K73" s="504"/>
      <c r="L73" s="504"/>
      <c r="M73" s="504"/>
      <c r="N73" s="504"/>
      <c r="O73" s="504"/>
      <c r="P73" s="504"/>
      <c r="Q73" s="504"/>
      <c r="R73" s="504"/>
      <c r="S73" s="504"/>
      <c r="T73" s="504"/>
      <c r="U73" s="504"/>
      <c r="V73" s="504"/>
      <c r="W73" s="504"/>
      <c r="X73" s="504"/>
    </row>
    <row r="74" spans="1:25" s="16" customFormat="1" ht="14.25">
      <c r="A74" s="280" t="s">
        <v>124</v>
      </c>
      <c r="B74" s="533"/>
      <c r="C74" s="533"/>
      <c r="D74" s="534"/>
      <c r="E74" s="535"/>
      <c r="F74" s="535"/>
      <c r="G74" s="535"/>
      <c r="H74" s="535"/>
      <c r="I74" s="535"/>
      <c r="J74" s="535"/>
      <c r="K74" s="535"/>
      <c r="L74" s="535"/>
      <c r="M74" s="535"/>
      <c r="N74" s="535"/>
      <c r="O74" s="535"/>
      <c r="P74" s="535"/>
      <c r="Q74" s="535"/>
      <c r="R74" s="535"/>
      <c r="S74" s="535"/>
      <c r="T74" s="535"/>
      <c r="U74" s="535"/>
      <c r="V74" s="535"/>
      <c r="W74" s="535"/>
      <c r="X74" s="535"/>
    </row>
    <row r="75" spans="1:25" s="279" customFormat="1" ht="14.25">
      <c r="A75" s="91" t="s">
        <v>83</v>
      </c>
      <c r="B75" s="536"/>
      <c r="C75" s="536"/>
      <c r="D75" s="537"/>
      <c r="E75" s="538"/>
      <c r="F75" s="538"/>
      <c r="G75" s="538"/>
      <c r="H75" s="538"/>
      <c r="I75" s="538"/>
      <c r="J75" s="538"/>
      <c r="K75" s="538"/>
      <c r="L75" s="538"/>
      <c r="M75" s="538"/>
      <c r="N75" s="538"/>
      <c r="O75" s="538"/>
      <c r="P75" s="538"/>
      <c r="Q75" s="538"/>
      <c r="R75" s="538"/>
      <c r="S75" s="538"/>
      <c r="T75" s="538"/>
      <c r="U75" s="538"/>
      <c r="V75" s="538"/>
      <c r="W75" s="538"/>
      <c r="X75" s="538"/>
    </row>
    <row r="76" spans="1:25">
      <c r="A76" s="90" t="str">
        <f>'BH Tariffs'!A19</f>
        <v>Town Wharfage (Exclusive Use, Ferry Property Only)</v>
      </c>
      <c r="B76" s="89"/>
      <c r="C76" s="89"/>
      <c r="D76" s="502">
        <v>0</v>
      </c>
      <c r="E76" s="504">
        <f>'BH Tariffs'!D19*'P&amp;L - Concept C2 - Carnival'!E12</f>
        <v>0</v>
      </c>
      <c r="F76" s="504">
        <f>'BH Tariffs'!E19*'P&amp;L - Concept C2 - Carnival'!F12</f>
        <v>737024.41444463574</v>
      </c>
      <c r="G76" s="504">
        <f>'BH Tariffs'!F19*'P&amp;L - Concept C2 - Carnival'!G12</f>
        <v>751764.90273352852</v>
      </c>
      <c r="H76" s="504">
        <f>'BH Tariffs'!G19*'P&amp;L - Concept C2 - Carnival'!H12</f>
        <v>766800.20078819909</v>
      </c>
      <c r="I76" s="504">
        <f>'BH Tariffs'!H19*'P&amp;L - Concept C2 - Carnival'!I12</f>
        <v>782136.20480396308</v>
      </c>
      <c r="J76" s="504">
        <f>'BH Tariffs'!I19*'P&amp;L - Concept C2 - Carnival'!J12</f>
        <v>797778.92890004232</v>
      </c>
      <c r="K76" s="504">
        <f>'BH Tariffs'!J19*'P&amp;L - Concept C2 - Carnival'!K12</f>
        <v>813734.5074780432</v>
      </c>
      <c r="L76" s="504">
        <f>'BH Tariffs'!K19*'P&amp;L - Concept C2 - Carnival'!L12</f>
        <v>830009.19762760401</v>
      </c>
      <c r="M76" s="504">
        <f>'BH Tariffs'!L19*'P&amp;L - Concept C2 - Carnival'!M12</f>
        <v>846609.38158015627</v>
      </c>
      <c r="N76" s="504">
        <f>'BH Tariffs'!M19*'P&amp;L - Concept C2 - Carnival'!N12</f>
        <v>863541.56921175926</v>
      </c>
      <c r="O76" s="504">
        <f>'BH Tariffs'!N19*'P&amp;L - Concept C2 - Carnival'!O12</f>
        <v>880812.40059599455</v>
      </c>
      <c r="P76" s="504">
        <f>'BH Tariffs'!O19*'P&amp;L - Concept C2 - Carnival'!P12</f>
        <v>898428.64860791445</v>
      </c>
      <c r="Q76" s="504">
        <f>'BH Tariffs'!P19*'P&amp;L - Concept C2 - Carnival'!Q12</f>
        <v>916397.22158007277</v>
      </c>
      <c r="R76" s="504">
        <f>'BH Tariffs'!Q19*'P&amp;L - Concept C2 - Carnival'!R12</f>
        <v>934725.1660116741</v>
      </c>
      <c r="S76" s="504">
        <f>'BH Tariffs'!R19*'P&amp;L - Concept C2 - Carnival'!S12</f>
        <v>953419.66933190764</v>
      </c>
      <c r="T76" s="504">
        <f>'BH Tariffs'!S19*'P&amp;L - Concept C2 - Carnival'!T12</f>
        <v>972488.06271854579</v>
      </c>
      <c r="U76" s="504">
        <f>'BH Tariffs'!T19*'P&amp;L - Concept C2 - Carnival'!U12</f>
        <v>991937.82397291681</v>
      </c>
      <c r="V76" s="504">
        <f>'BH Tariffs'!U19*'P&amp;L - Concept C2 - Carnival'!V12</f>
        <v>1011776.5804523751</v>
      </c>
      <c r="W76" s="504">
        <f>'BH Tariffs'!V19*'P&amp;L - Concept C2 - Carnival'!W12</f>
        <v>1032012.1120614228</v>
      </c>
      <c r="X76" s="504">
        <f>'BH Tariffs'!W19*'P&amp;L - Concept C2 - Carnival'!X12</f>
        <v>1052652.3543026512</v>
      </c>
      <c r="Y76" s="413">
        <f>SUM(D76:X76)</f>
        <v>16834049.347203407</v>
      </c>
    </row>
    <row r="77" spans="1:25" s="341" customFormat="1">
      <c r="A77" s="353" t="str">
        <f>'BH Tariffs'!A21</f>
        <v>CBP Infastructure Fee (Ferry Property Only)</v>
      </c>
      <c r="B77" s="355"/>
      <c r="C77" s="355"/>
      <c r="D77" s="548">
        <v>0</v>
      </c>
      <c r="E77" s="503">
        <v>0</v>
      </c>
      <c r="F77" s="503">
        <v>0</v>
      </c>
      <c r="G77" s="503">
        <v>0</v>
      </c>
      <c r="H77" s="503">
        <v>0</v>
      </c>
      <c r="I77" s="503">
        <v>0</v>
      </c>
      <c r="J77" s="503">
        <v>0</v>
      </c>
      <c r="K77" s="503">
        <v>0</v>
      </c>
      <c r="L77" s="503">
        <v>0</v>
      </c>
      <c r="M77" s="503">
        <v>0</v>
      </c>
      <c r="N77" s="503">
        <v>0</v>
      </c>
      <c r="O77" s="503">
        <v>0</v>
      </c>
      <c r="P77" s="503">
        <v>0</v>
      </c>
      <c r="Q77" s="503">
        <v>0</v>
      </c>
      <c r="R77" s="503">
        <v>0</v>
      </c>
      <c r="S77" s="503">
        <v>0</v>
      </c>
      <c r="T77" s="503">
        <v>0</v>
      </c>
      <c r="U77" s="503">
        <v>0</v>
      </c>
      <c r="V77" s="503">
        <v>0</v>
      </c>
      <c r="W77" s="503">
        <v>0</v>
      </c>
      <c r="X77" s="503">
        <v>0</v>
      </c>
      <c r="Y77" s="413"/>
    </row>
    <row r="78" spans="1:25" s="96" customFormat="1">
      <c r="A78" s="90" t="str">
        <f>'BH Tariffs'!A22</f>
        <v>Infrastructure Fee</v>
      </c>
      <c r="B78" s="356"/>
      <c r="C78" s="356"/>
      <c r="D78" s="502">
        <v>0</v>
      </c>
      <c r="E78" s="504">
        <v>0</v>
      </c>
      <c r="F78" s="504">
        <f>'BH Tariffs'!E22*'Cruise Projections'!V97</f>
        <v>522936.74160000001</v>
      </c>
      <c r="G78" s="504">
        <f>'BH Tariffs'!F22*'Cruise Projections'!W97</f>
        <v>533395.47643200005</v>
      </c>
      <c r="H78" s="504">
        <f>'BH Tariffs'!G22*'Cruise Projections'!X97</f>
        <v>544063.38596063992</v>
      </c>
      <c r="I78" s="504">
        <f>'BH Tariffs'!H22*'Cruise Projections'!Y97</f>
        <v>554944.65367985272</v>
      </c>
      <c r="J78" s="504">
        <f>'BH Tariffs'!I22*'Cruise Projections'!Z97</f>
        <v>566043.54675344983</v>
      </c>
      <c r="K78" s="504">
        <f>'BH Tariffs'!J22*'Cruise Projections'!AA97</f>
        <v>577364.41768851888</v>
      </c>
      <c r="L78" s="504">
        <f>'BH Tariffs'!K22*'Cruise Projections'!AB97</f>
        <v>588911.70604228915</v>
      </c>
      <c r="M78" s="504">
        <f>'BH Tariffs'!L22*'Cruise Projections'!AC97</f>
        <v>600689.94016313506</v>
      </c>
      <c r="N78" s="504">
        <f>'BH Tariffs'!M22*'Cruise Projections'!AD97</f>
        <v>612703.73896639771</v>
      </c>
      <c r="O78" s="504">
        <f>'BH Tariffs'!N22*'Cruise Projections'!AE97</f>
        <v>624957.81374572578</v>
      </c>
      <c r="P78" s="504">
        <f>'BH Tariffs'!O22*'Cruise Projections'!AF97</f>
        <v>637456.97002064029</v>
      </c>
      <c r="Q78" s="504">
        <f>'BH Tariffs'!P22*'Cruise Projections'!AG97</f>
        <v>650206.10942105309</v>
      </c>
      <c r="R78" s="504">
        <f>'BH Tariffs'!Q22*'Cruise Projections'!AH97</f>
        <v>663210.23160947405</v>
      </c>
      <c r="S78" s="504">
        <f>'BH Tariffs'!R22*'Cruise Projections'!AI97</f>
        <v>676474.43624166364</v>
      </c>
      <c r="T78" s="504">
        <f>'BH Tariffs'!S22*'Cruise Projections'!AJ97</f>
        <v>690003.924966497</v>
      </c>
      <c r="U78" s="504">
        <f>'BH Tariffs'!T22*'Cruise Projections'!AK97</f>
        <v>703804.00346582686</v>
      </c>
      <c r="V78" s="504">
        <f>'BH Tariffs'!U22*'Cruise Projections'!AL97</f>
        <v>717880.08353514341</v>
      </c>
      <c r="W78" s="504">
        <f>'BH Tariffs'!V22*'Cruise Projections'!AM97</f>
        <v>732237.68520584644</v>
      </c>
      <c r="X78" s="504">
        <f>'BH Tariffs'!W22*'Cruise Projections'!AN97</f>
        <v>746882.43890996324</v>
      </c>
      <c r="Y78" s="413">
        <f t="shared" ref="Y78" si="10">SUM(D78:X78)</f>
        <v>11944167.30440812</v>
      </c>
    </row>
    <row r="79" spans="1:25">
      <c r="A79" s="90"/>
      <c r="B79" s="89"/>
      <c r="C79" s="89"/>
      <c r="D79" s="502"/>
      <c r="E79" s="504"/>
      <c r="F79" s="504"/>
      <c r="G79" s="504"/>
      <c r="H79" s="504"/>
      <c r="I79" s="504"/>
      <c r="J79" s="504"/>
      <c r="K79" s="504"/>
      <c r="L79" s="504"/>
      <c r="M79" s="504"/>
      <c r="N79" s="504"/>
      <c r="O79" s="504"/>
      <c r="P79" s="504"/>
      <c r="Q79" s="504"/>
      <c r="R79" s="504"/>
      <c r="S79" s="504"/>
      <c r="T79" s="504"/>
      <c r="U79" s="504"/>
      <c r="V79" s="504"/>
      <c r="W79" s="504"/>
      <c r="X79" s="504"/>
    </row>
    <row r="80" spans="1:25">
      <c r="A80" s="91" t="s">
        <v>163</v>
      </c>
      <c r="B80" s="30"/>
      <c r="C80" s="89"/>
      <c r="D80" s="502"/>
      <c r="E80" s="504"/>
      <c r="F80" s="504"/>
      <c r="G80" s="504"/>
      <c r="H80" s="504"/>
      <c r="I80" s="504"/>
      <c r="J80" s="504"/>
      <c r="K80" s="504"/>
      <c r="L80" s="504"/>
      <c r="M80" s="504"/>
      <c r="N80" s="504"/>
      <c r="O80" s="504"/>
      <c r="P80" s="504"/>
      <c r="Q80" s="504"/>
      <c r="R80" s="504"/>
      <c r="S80" s="504"/>
      <c r="T80" s="504"/>
      <c r="U80" s="504"/>
      <c r="V80" s="504"/>
      <c r="W80" s="504"/>
      <c r="X80" s="504"/>
    </row>
    <row r="81" spans="1:25">
      <c r="A81" s="88" t="str">
        <f>'BH Tariffs'!A25</f>
        <v>Dock Rent (12 months)</v>
      </c>
      <c r="B81" s="30"/>
      <c r="C81" s="89"/>
      <c r="D81" s="502">
        <v>0</v>
      </c>
      <c r="E81" s="504">
        <f>'BH Tariffs'!D25*12</f>
        <v>69000</v>
      </c>
      <c r="F81" s="504">
        <f>'BH Tariffs'!E25*12</f>
        <v>69000</v>
      </c>
      <c r="G81" s="504">
        <f>'BH Tariffs'!F25*12</f>
        <v>69000</v>
      </c>
      <c r="H81" s="504">
        <f>'BH Tariffs'!G25*12</f>
        <v>70380</v>
      </c>
      <c r="I81" s="504">
        <f>'BH Tariffs'!H25*12</f>
        <v>71787.600000000006</v>
      </c>
      <c r="J81" s="504">
        <f>'BH Tariffs'!I25*12</f>
        <v>73223.351999999999</v>
      </c>
      <c r="K81" s="504">
        <f>'BH Tariffs'!J25*12</f>
        <v>74687.819040000002</v>
      </c>
      <c r="L81" s="504">
        <f>'BH Tariffs'!K25*12</f>
        <v>76181.5754208</v>
      </c>
      <c r="M81" s="504">
        <f>'BH Tariffs'!L25*12</f>
        <v>77705.206929216016</v>
      </c>
      <c r="N81" s="504">
        <f>'BH Tariffs'!M25*12</f>
        <v>79259.311067800329</v>
      </c>
      <c r="O81" s="504">
        <f>'BH Tariffs'!N25*12</f>
        <v>80844.497289156338</v>
      </c>
      <c r="P81" s="504">
        <f>'BH Tariffs'!O25*12</f>
        <v>82461.387234939466</v>
      </c>
      <c r="Q81" s="504">
        <f>'BH Tariffs'!P25*12</f>
        <v>84110.614979638252</v>
      </c>
      <c r="R81" s="504">
        <f>'BH Tariffs'!Q25*12</f>
        <v>85792.827279231016</v>
      </c>
      <c r="S81" s="504">
        <f>'BH Tariffs'!R25*12</f>
        <v>87508.683824815642</v>
      </c>
      <c r="T81" s="504">
        <f>'BH Tariffs'!S25*12</f>
        <v>89258.857501311941</v>
      </c>
      <c r="U81" s="504">
        <f>'BH Tariffs'!T25*12</f>
        <v>91044.034651338196</v>
      </c>
      <c r="V81" s="504">
        <f>'BH Tariffs'!U25*12</f>
        <v>92864.91534436497</v>
      </c>
      <c r="W81" s="504">
        <f>'BH Tariffs'!V25*12</f>
        <v>94722.21365125227</v>
      </c>
      <c r="X81" s="504">
        <f>'BH Tariffs'!W25*12</f>
        <v>96616.657924277315</v>
      </c>
    </row>
    <row r="82" spans="1:25">
      <c r="A82" s="88" t="str">
        <f>'BH Tariffs'!A26</f>
        <v>Ferry Passenger Wharfage</v>
      </c>
      <c r="B82" s="30"/>
      <c r="C82" s="89"/>
      <c r="D82" s="502">
        <v>0</v>
      </c>
      <c r="E82" s="504">
        <f>'BH Tariffs'!D26*E18</f>
        <v>120000</v>
      </c>
      <c r="F82" s="504">
        <f>'BH Tariffs'!E26*F18</f>
        <v>140000</v>
      </c>
      <c r="G82" s="504">
        <f>'BH Tariffs'!F26*G18</f>
        <v>160000</v>
      </c>
      <c r="H82" s="504">
        <f>'BH Tariffs'!G26*H18</f>
        <v>163200</v>
      </c>
      <c r="I82" s="504">
        <f>'BH Tariffs'!H26*I18</f>
        <v>166464</v>
      </c>
      <c r="J82" s="504">
        <f>'BH Tariffs'!I26*J18</f>
        <v>169793.28</v>
      </c>
      <c r="K82" s="504">
        <f>'BH Tariffs'!J26*K18</f>
        <v>173189.14559999999</v>
      </c>
      <c r="L82" s="504">
        <f>'BH Tariffs'!K26*L18</f>
        <v>176652.92851200001</v>
      </c>
      <c r="M82" s="504">
        <f>'BH Tariffs'!L26*M18</f>
        <v>180185.98708224</v>
      </c>
      <c r="N82" s="504">
        <f>'BH Tariffs'!M26*N18</f>
        <v>183789.7068238848</v>
      </c>
      <c r="O82" s="504">
        <f>'BH Tariffs'!N26*O18</f>
        <v>187465.50096036252</v>
      </c>
      <c r="P82" s="504">
        <f>'BH Tariffs'!O26*P18</f>
        <v>191214.81097956977</v>
      </c>
      <c r="Q82" s="504">
        <f>'BH Tariffs'!P26*Q18</f>
        <v>195039.10719916117</v>
      </c>
      <c r="R82" s="504">
        <f>'BH Tariffs'!Q26*R18</f>
        <v>198939.8893431444</v>
      </c>
      <c r="S82" s="504">
        <f>'BH Tariffs'!R26*S18</f>
        <v>202918.68713000728</v>
      </c>
      <c r="T82" s="504">
        <f>'BH Tariffs'!S26*T18</f>
        <v>206977.0608726074</v>
      </c>
      <c r="U82" s="504">
        <f>'BH Tariffs'!T26*U18</f>
        <v>211116.60209005958</v>
      </c>
      <c r="V82" s="504">
        <f>'BH Tariffs'!U26*V18</f>
        <v>215338.93413186079</v>
      </c>
      <c r="W82" s="504">
        <f>'BH Tariffs'!V26*W18</f>
        <v>219645.71281449799</v>
      </c>
      <c r="X82" s="504">
        <f>'BH Tariffs'!W26*X18</f>
        <v>224038.62707078797</v>
      </c>
    </row>
    <row r="83" spans="1:25">
      <c r="A83" s="88" t="str">
        <f>'BH Tariffs'!A27</f>
        <v>Ferry Passenger Vehicle Wharfage</v>
      </c>
      <c r="B83" s="30"/>
      <c r="C83" s="89"/>
      <c r="D83" s="502">
        <v>0</v>
      </c>
      <c r="E83" s="504">
        <f>'BH Tariffs'!D27*E19</f>
        <v>72000</v>
      </c>
      <c r="F83" s="504">
        <f>'BH Tariffs'!E27*F19</f>
        <v>84000</v>
      </c>
      <c r="G83" s="504">
        <f>'BH Tariffs'!F27*G19</f>
        <v>96000</v>
      </c>
      <c r="H83" s="504">
        <f>'BH Tariffs'!G27*H19</f>
        <v>97920</v>
      </c>
      <c r="I83" s="504">
        <f>'BH Tariffs'!H27*I19</f>
        <v>99878.399999999994</v>
      </c>
      <c r="J83" s="504">
        <f>'BH Tariffs'!I27*J19</f>
        <v>101875.96799999999</v>
      </c>
      <c r="K83" s="504">
        <f>'BH Tariffs'!J27*K19</f>
        <v>103913.48736</v>
      </c>
      <c r="L83" s="504">
        <f>'BH Tariffs'!K27*L19</f>
        <v>105991.7571072</v>
      </c>
      <c r="M83" s="504">
        <f>'BH Tariffs'!L27*M19</f>
        <v>108111.592249344</v>
      </c>
      <c r="N83" s="504">
        <f>'BH Tariffs'!M27*N19</f>
        <v>110273.82409433088</v>
      </c>
      <c r="O83" s="504">
        <f>'BH Tariffs'!N27*O19</f>
        <v>112479.30057621752</v>
      </c>
      <c r="P83" s="504">
        <f>'BH Tariffs'!O27*P19</f>
        <v>114728.88658774187</v>
      </c>
      <c r="Q83" s="504">
        <f>'BH Tariffs'!P27*Q19</f>
        <v>117023.46431949669</v>
      </c>
      <c r="R83" s="504">
        <f>'BH Tariffs'!Q27*R19</f>
        <v>119363.93360588665</v>
      </c>
      <c r="S83" s="504">
        <f>'BH Tariffs'!R27*S19</f>
        <v>121751.21227800437</v>
      </c>
      <c r="T83" s="504">
        <f>'BH Tariffs'!S27*T19</f>
        <v>124186.23652356444</v>
      </c>
      <c r="U83" s="504">
        <f>'BH Tariffs'!T27*U19</f>
        <v>126669.96125403573</v>
      </c>
      <c r="V83" s="504">
        <f>'BH Tariffs'!U27*V19</f>
        <v>129203.36047911647</v>
      </c>
      <c r="W83" s="504">
        <f>'BH Tariffs'!V27*W19</f>
        <v>131787.42768869881</v>
      </c>
      <c r="X83" s="504">
        <f>'BH Tariffs'!W27*X19</f>
        <v>134423.17624247278</v>
      </c>
    </row>
    <row r="84" spans="1:25">
      <c r="A84" s="88" t="str">
        <f>'BH Tariffs'!A28</f>
        <v>Ferry Bus Wharfage</v>
      </c>
      <c r="B84" s="30"/>
      <c r="C84" s="89"/>
      <c r="D84" s="502">
        <v>0</v>
      </c>
      <c r="E84" s="504">
        <f>'BH Tariffs'!D28*'P&amp;L - Concept C2 - Carnival'!E20</f>
        <v>800</v>
      </c>
      <c r="F84" s="504">
        <f>'BH Tariffs'!E28*'P&amp;L - Concept C2 - Carnival'!F20</f>
        <v>1000</v>
      </c>
      <c r="G84" s="504">
        <f>'BH Tariffs'!F28*'P&amp;L - Concept C2 - Carnival'!G20</f>
        <v>1200</v>
      </c>
      <c r="H84" s="504">
        <f>'BH Tariffs'!G28*'P&amp;L - Concept C2 - Carnival'!H20</f>
        <v>1224</v>
      </c>
      <c r="I84" s="504">
        <f>'BH Tariffs'!H28*'P&amp;L - Concept C2 - Carnival'!I20</f>
        <v>1248.48</v>
      </c>
      <c r="J84" s="504">
        <f>'BH Tariffs'!I28*'P&amp;L - Concept C2 - Carnival'!J20</f>
        <v>1273.4495999999999</v>
      </c>
      <c r="K84" s="504">
        <f>'BH Tariffs'!J28*'P&amp;L - Concept C2 - Carnival'!K20</f>
        <v>1298.918592</v>
      </c>
      <c r="L84" s="504">
        <f>'BH Tariffs'!K28*'P&amp;L - Concept C2 - Carnival'!L20</f>
        <v>1324.8969638400001</v>
      </c>
      <c r="M84" s="504">
        <f>'BH Tariffs'!L28*'P&amp;L - Concept C2 - Carnival'!M20</f>
        <v>1351.3949031168002</v>
      </c>
      <c r="N84" s="504">
        <f>'BH Tariffs'!M28*'P&amp;L - Concept C2 - Carnival'!N20</f>
        <v>1378.4228011791361</v>
      </c>
      <c r="O84" s="504">
        <f>'BH Tariffs'!N28*'P&amp;L - Concept C2 - Carnival'!O20</f>
        <v>1405.991257202719</v>
      </c>
      <c r="P84" s="504">
        <f>'BH Tariffs'!O28*'P&amp;L - Concept C2 - Carnival'!P20</f>
        <v>1434.1110823467732</v>
      </c>
      <c r="Q84" s="504">
        <f>'BH Tariffs'!P28*'P&amp;L - Concept C2 - Carnival'!Q20</f>
        <v>1462.7933039937088</v>
      </c>
      <c r="R84" s="504">
        <f>'BH Tariffs'!Q28*'P&amp;L - Concept C2 - Carnival'!R20</f>
        <v>1492.0491700735829</v>
      </c>
      <c r="S84" s="504">
        <f>'BH Tariffs'!R28*'P&amp;L - Concept C2 - Carnival'!S20</f>
        <v>1521.8901534750546</v>
      </c>
      <c r="T84" s="504">
        <f>'BH Tariffs'!S28*'P&amp;L - Concept C2 - Carnival'!T20</f>
        <v>1552.3279565445555</v>
      </c>
      <c r="U84" s="504">
        <f>'BH Tariffs'!T28*'P&amp;L - Concept C2 - Carnival'!U20</f>
        <v>1583.3745156754469</v>
      </c>
      <c r="V84" s="504">
        <f>'BH Tariffs'!U28*'P&amp;L - Concept C2 - Carnival'!V20</f>
        <v>1615.0420059889559</v>
      </c>
      <c r="W84" s="504">
        <f>'BH Tariffs'!V28*'P&amp;L - Concept C2 - Carnival'!W20</f>
        <v>1647.3428461087349</v>
      </c>
      <c r="X84" s="504">
        <f>'BH Tariffs'!W28*'P&amp;L - Concept C2 - Carnival'!X20</f>
        <v>1680.2897030309098</v>
      </c>
    </row>
    <row r="85" spans="1:25" s="167" customFormat="1">
      <c r="A85" s="539" t="s">
        <v>592</v>
      </c>
      <c r="B85" s="609"/>
      <c r="C85" s="540"/>
      <c r="D85" s="541">
        <v>0</v>
      </c>
      <c r="E85" s="542">
        <v>-100000</v>
      </c>
      <c r="F85" s="542">
        <f>E85</f>
        <v>-100000</v>
      </c>
      <c r="G85" s="542">
        <f t="shared" ref="G85:X85" si="11">F85</f>
        <v>-100000</v>
      </c>
      <c r="H85" s="542">
        <f t="shared" si="11"/>
        <v>-100000</v>
      </c>
      <c r="I85" s="542">
        <f t="shared" si="11"/>
        <v>-100000</v>
      </c>
      <c r="J85" s="542">
        <f t="shared" si="11"/>
        <v>-100000</v>
      </c>
      <c r="K85" s="542">
        <f t="shared" si="11"/>
        <v>-100000</v>
      </c>
      <c r="L85" s="542">
        <f t="shared" si="11"/>
        <v>-100000</v>
      </c>
      <c r="M85" s="542">
        <f t="shared" si="11"/>
        <v>-100000</v>
      </c>
      <c r="N85" s="542">
        <f t="shared" si="11"/>
        <v>-100000</v>
      </c>
      <c r="O85" s="542">
        <f t="shared" si="11"/>
        <v>-100000</v>
      </c>
      <c r="P85" s="542">
        <f t="shared" si="11"/>
        <v>-100000</v>
      </c>
      <c r="Q85" s="542">
        <f t="shared" si="11"/>
        <v>-100000</v>
      </c>
      <c r="R85" s="542">
        <f t="shared" si="11"/>
        <v>-100000</v>
      </c>
      <c r="S85" s="542">
        <f t="shared" si="11"/>
        <v>-100000</v>
      </c>
      <c r="T85" s="542">
        <f t="shared" si="11"/>
        <v>-100000</v>
      </c>
      <c r="U85" s="542">
        <f t="shared" si="11"/>
        <v>-100000</v>
      </c>
      <c r="V85" s="542">
        <f t="shared" si="11"/>
        <v>-100000</v>
      </c>
      <c r="W85" s="542">
        <f t="shared" si="11"/>
        <v>-100000</v>
      </c>
      <c r="X85" s="542">
        <f t="shared" si="11"/>
        <v>-100000</v>
      </c>
    </row>
    <row r="86" spans="1:25">
      <c r="A86" s="88"/>
      <c r="B86" s="30"/>
      <c r="C86" s="89"/>
      <c r="D86" s="502"/>
      <c r="E86" s="504"/>
      <c r="F86" s="504"/>
      <c r="G86" s="504"/>
      <c r="H86" s="504"/>
      <c r="I86" s="504"/>
      <c r="J86" s="504"/>
      <c r="K86" s="504"/>
      <c r="L86" s="504"/>
      <c r="M86" s="504"/>
      <c r="N86" s="504"/>
      <c r="O86" s="504"/>
      <c r="P86" s="504"/>
      <c r="Q86" s="504"/>
      <c r="R86" s="504"/>
      <c r="S86" s="504"/>
      <c r="T86" s="504"/>
      <c r="U86" s="504"/>
      <c r="V86" s="504"/>
      <c r="W86" s="504"/>
      <c r="X86" s="504"/>
    </row>
    <row r="87" spans="1:25" s="96" customFormat="1">
      <c r="A87" s="605" t="s">
        <v>164</v>
      </c>
      <c r="B87" s="606"/>
      <c r="C87" s="356"/>
      <c r="D87" s="502"/>
      <c r="E87" s="504"/>
      <c r="F87" s="504"/>
      <c r="G87" s="504"/>
      <c r="H87" s="504"/>
      <c r="I87" s="504"/>
      <c r="J87" s="504"/>
      <c r="K87" s="504"/>
      <c r="L87" s="504"/>
      <c r="M87" s="504"/>
      <c r="N87" s="504"/>
      <c r="O87" s="504"/>
      <c r="P87" s="504"/>
      <c r="Q87" s="504"/>
      <c r="R87" s="504"/>
      <c r="S87" s="504"/>
      <c r="T87" s="504"/>
      <c r="U87" s="504"/>
      <c r="V87" s="504"/>
      <c r="W87" s="504"/>
      <c r="X87" s="504"/>
    </row>
    <row r="88" spans="1:25" s="96" customFormat="1">
      <c r="A88" s="90" t="str">
        <f>'BH Tariffs'!A31</f>
        <v>Dock Rent (6 Months Only)</v>
      </c>
      <c r="B88" s="606"/>
      <c r="C88" s="356"/>
      <c r="D88" s="502">
        <v>0</v>
      </c>
      <c r="E88" s="504">
        <v>0</v>
      </c>
      <c r="F88" s="504">
        <f>'BH Tariffs'!E31*6</f>
        <v>12240</v>
      </c>
      <c r="G88" s="504">
        <f>'BH Tariffs'!F31*6</f>
        <v>12484.800000000001</v>
      </c>
      <c r="H88" s="504">
        <f>'BH Tariffs'!G31*6</f>
        <v>12734.495999999999</v>
      </c>
      <c r="I88" s="504">
        <f>'BH Tariffs'!H31*6</f>
        <v>12989.18592</v>
      </c>
      <c r="J88" s="504">
        <f>'BH Tariffs'!I31*6</f>
        <v>13248.9696384</v>
      </c>
      <c r="K88" s="504">
        <f>'BH Tariffs'!J31*6</f>
        <v>13513.949031168002</v>
      </c>
      <c r="L88" s="504">
        <f>'BH Tariffs'!K31*6</f>
        <v>13784.228011791361</v>
      </c>
      <c r="M88" s="504">
        <f>'BH Tariffs'!L31*6</f>
        <v>14059.912572027188</v>
      </c>
      <c r="N88" s="504">
        <f>'BH Tariffs'!M31*6</f>
        <v>14341.110823467734</v>
      </c>
      <c r="O88" s="504">
        <f>'BH Tariffs'!N31*6</f>
        <v>14627.933039937088</v>
      </c>
      <c r="P88" s="504">
        <f>'BH Tariffs'!O31*6</f>
        <v>14920.491700735829</v>
      </c>
      <c r="Q88" s="504">
        <f>'BH Tariffs'!P31*6</f>
        <v>15218.901534750545</v>
      </c>
      <c r="R88" s="504">
        <f>'BH Tariffs'!Q31*6</f>
        <v>15523.279565445555</v>
      </c>
      <c r="S88" s="504">
        <f>'BH Tariffs'!R31*6</f>
        <v>15833.745156754467</v>
      </c>
      <c r="T88" s="504">
        <f>'BH Tariffs'!S31*6</f>
        <v>16150.420059889559</v>
      </c>
      <c r="U88" s="504">
        <f>'BH Tariffs'!T31*6</f>
        <v>16473.428461087351</v>
      </c>
      <c r="V88" s="504">
        <f>'BH Tariffs'!U31*6</f>
        <v>16802.897030309097</v>
      </c>
      <c r="W88" s="504">
        <f>'BH Tariffs'!V31*6</f>
        <v>17138.954970915282</v>
      </c>
      <c r="X88" s="504">
        <f>'BH Tariffs'!W31*6</f>
        <v>17481.734070333587</v>
      </c>
    </row>
    <row r="89" spans="1:25" s="96" customFormat="1">
      <c r="A89" s="90"/>
      <c r="B89" s="606"/>
      <c r="C89" s="356"/>
      <c r="D89" s="502"/>
      <c r="E89" s="504"/>
      <c r="F89" s="504"/>
      <c r="G89" s="504"/>
      <c r="H89" s="504"/>
      <c r="I89" s="504"/>
      <c r="J89" s="504"/>
      <c r="K89" s="504"/>
      <c r="L89" s="504"/>
      <c r="M89" s="504"/>
      <c r="N89" s="504"/>
      <c r="O89" s="504"/>
      <c r="P89" s="504"/>
      <c r="Q89" s="504"/>
      <c r="R89" s="504"/>
      <c r="S89" s="504"/>
      <c r="T89" s="504"/>
      <c r="U89" s="504"/>
      <c r="V89" s="504"/>
      <c r="W89" s="504"/>
      <c r="X89" s="504"/>
    </row>
    <row r="90" spans="1:25" s="582" customFormat="1" ht="14.25">
      <c r="A90" s="605" t="str">
        <f>'BH Tariffs'!A33</f>
        <v>Recreational/Commercial Marina</v>
      </c>
      <c r="B90" s="607"/>
      <c r="C90" s="608"/>
      <c r="D90" s="537"/>
      <c r="E90" s="538"/>
      <c r="F90" s="538"/>
      <c r="G90" s="538"/>
      <c r="H90" s="538"/>
      <c r="I90" s="538"/>
      <c r="J90" s="538"/>
      <c r="K90" s="538"/>
      <c r="L90" s="538"/>
      <c r="M90" s="538"/>
      <c r="N90" s="538"/>
      <c r="O90" s="538"/>
      <c r="P90" s="538"/>
      <c r="Q90" s="538"/>
      <c r="R90" s="538"/>
      <c r="S90" s="538"/>
      <c r="T90" s="538"/>
      <c r="U90" s="538"/>
      <c r="V90" s="538"/>
      <c r="W90" s="538"/>
      <c r="X90" s="538"/>
    </row>
    <row r="91" spans="1:25" s="96" customFormat="1">
      <c r="A91" s="90" t="str">
        <f>'BH Tariffs'!A34</f>
        <v>Transient Slip Rent</v>
      </c>
      <c r="B91" s="606"/>
      <c r="C91" s="356"/>
      <c r="D91" s="502">
        <v>0</v>
      </c>
      <c r="E91" s="504">
        <v>0</v>
      </c>
      <c r="F91" s="504">
        <f>'BH Tariffs'!E34*'P&amp;L - Concept C2 - Carnival'!F57</f>
        <v>77174.172984375007</v>
      </c>
      <c r="G91" s="504">
        <f>'BH Tariffs'!F34*'P&amp;L - Concept C2 - Carnival'!G57</f>
        <v>78717.656444062508</v>
      </c>
      <c r="H91" s="504">
        <f>'BH Tariffs'!G34*'P&amp;L - Concept C2 - Carnival'!H57</f>
        <v>80292.009572943745</v>
      </c>
      <c r="I91" s="504">
        <f>'BH Tariffs'!H34*'P&amp;L - Concept C2 - Carnival'!I57</f>
        <v>81897.849764402621</v>
      </c>
      <c r="J91" s="504">
        <f>'BH Tariffs'!I34*'P&amp;L - Concept C2 - Carnival'!J57</f>
        <v>83535.806759690691</v>
      </c>
      <c r="K91" s="504">
        <f>'BH Tariffs'!J34*'P&amp;L - Concept C2 - Carnival'!K57</f>
        <v>85206.522894884503</v>
      </c>
      <c r="L91" s="504">
        <f>'BH Tariffs'!K34*'P&amp;L - Concept C2 - Carnival'!L57</f>
        <v>86910.653352782188</v>
      </c>
      <c r="M91" s="504">
        <f>'BH Tariffs'!L34*'P&amp;L - Concept C2 - Carnival'!M57</f>
        <v>88648.866419837854</v>
      </c>
      <c r="N91" s="504">
        <f>'BH Tariffs'!M34*'P&amp;L - Concept C2 - Carnival'!N57</f>
        <v>90421.843748234591</v>
      </c>
      <c r="O91" s="504">
        <f>'BH Tariffs'!N34*'P&amp;L - Concept C2 - Carnival'!O57</f>
        <v>92230.280623199302</v>
      </c>
      <c r="P91" s="504">
        <f>'BH Tariffs'!O34*'P&amp;L - Concept C2 - Carnival'!P57</f>
        <v>94074.886235663274</v>
      </c>
      <c r="Q91" s="504">
        <f>'BH Tariffs'!P34*'P&amp;L - Concept C2 - Carnival'!Q57</f>
        <v>95956.383960376537</v>
      </c>
      <c r="R91" s="504">
        <f>'BH Tariffs'!Q34*'P&amp;L - Concept C2 - Carnival'!R57</f>
        <v>97875.511639584074</v>
      </c>
      <c r="S91" s="504">
        <f>'BH Tariffs'!R34*'P&amp;L - Concept C2 - Carnival'!S57</f>
        <v>99833.021872375757</v>
      </c>
      <c r="T91" s="504">
        <f>'BH Tariffs'!S34*'P&amp;L - Concept C2 - Carnival'!T57</f>
        <v>101829.68230982329</v>
      </c>
      <c r="U91" s="504">
        <f>'BH Tariffs'!T34*'P&amp;L - Concept C2 - Carnival'!U57</f>
        <v>103866.27595601974</v>
      </c>
      <c r="V91" s="504">
        <f>'BH Tariffs'!U34*'P&amp;L - Concept C2 - Carnival'!V57</f>
        <v>105943.60147514015</v>
      </c>
      <c r="W91" s="504">
        <f>'BH Tariffs'!V34*'P&amp;L - Concept C2 - Carnival'!W57</f>
        <v>108062.47350464296</v>
      </c>
      <c r="X91" s="504">
        <f>'BH Tariffs'!W34*'P&amp;L - Concept C2 - Carnival'!X57</f>
        <v>110223.72297473581</v>
      </c>
    </row>
    <row r="92" spans="1:25" s="96" customFormat="1">
      <c r="A92" s="90" t="s">
        <v>280</v>
      </c>
      <c r="B92" s="606"/>
      <c r="C92" s="356"/>
      <c r="D92" s="502">
        <v>0</v>
      </c>
      <c r="E92" s="504">
        <v>0</v>
      </c>
      <c r="F92" s="504">
        <f>'BH Tariffs'!E35*'P&amp;L - Concept C2 - Carnival'!F58</f>
        <v>121788.76500000001</v>
      </c>
      <c r="G92" s="504">
        <f>'BH Tariffs'!F35*'P&amp;L - Concept C2 - Carnival'!G58</f>
        <v>124224.54030000001</v>
      </c>
      <c r="H92" s="504">
        <f>'BH Tariffs'!G35*'P&amp;L - Concept C2 - Carnival'!H58</f>
        <v>126709.03110600001</v>
      </c>
      <c r="I92" s="504">
        <f>'BH Tariffs'!H35*'P&amp;L - Concept C2 - Carnival'!I58</f>
        <v>129243.21172812</v>
      </c>
      <c r="J92" s="504">
        <f>'BH Tariffs'!I35*'P&amp;L - Concept C2 - Carnival'!J58</f>
        <v>131828.0759626824</v>
      </c>
      <c r="K92" s="504">
        <f>'BH Tariffs'!J35*'P&amp;L - Concept C2 - Carnival'!K58</f>
        <v>134464.63748193608</v>
      </c>
      <c r="L92" s="504">
        <f>'BH Tariffs'!K35*'P&amp;L - Concept C2 - Carnival'!L58</f>
        <v>137153.93023157478</v>
      </c>
      <c r="M92" s="504">
        <f>'BH Tariffs'!L35*'P&amp;L - Concept C2 - Carnival'!M58</f>
        <v>139897.00883620628</v>
      </c>
      <c r="N92" s="504">
        <f>'BH Tariffs'!M35*'P&amp;L - Concept C2 - Carnival'!N58</f>
        <v>142694.94901293042</v>
      </c>
      <c r="O92" s="504">
        <f>'BH Tariffs'!N35*'P&amp;L - Concept C2 - Carnival'!O58</f>
        <v>145548.84799318903</v>
      </c>
      <c r="P92" s="504">
        <f>'BH Tariffs'!O35*'P&amp;L - Concept C2 - Carnival'!P58</f>
        <v>148459.8249530528</v>
      </c>
      <c r="Q92" s="504">
        <f>'BH Tariffs'!P35*'P&amp;L - Concept C2 - Carnival'!Q58</f>
        <v>151429.02145211384</v>
      </c>
      <c r="R92" s="504">
        <f>'BH Tariffs'!Q35*'P&amp;L - Concept C2 - Carnival'!R58</f>
        <v>154457.60188115612</v>
      </c>
      <c r="S92" s="504">
        <f>'BH Tariffs'!R35*'P&amp;L - Concept C2 - Carnival'!S58</f>
        <v>157546.75391877926</v>
      </c>
      <c r="T92" s="504">
        <f>'BH Tariffs'!S35*'P&amp;L - Concept C2 - Carnival'!T58</f>
        <v>160697.68899715485</v>
      </c>
      <c r="U92" s="504">
        <f>'BH Tariffs'!T35*'P&amp;L - Concept C2 - Carnival'!U58</f>
        <v>163911.64277709796</v>
      </c>
      <c r="V92" s="504">
        <f>'BH Tariffs'!U35*'P&amp;L - Concept C2 - Carnival'!V58</f>
        <v>167189.87563263992</v>
      </c>
      <c r="W92" s="504">
        <f>'BH Tariffs'!V35*'P&amp;L - Concept C2 - Carnival'!W58</f>
        <v>170533.67314529276</v>
      </c>
      <c r="X92" s="504">
        <f>'BH Tariffs'!W35*'P&amp;L - Concept C2 - Carnival'!X58</f>
        <v>173944.3466081986</v>
      </c>
    </row>
    <row r="93" spans="1:25" s="167" customFormat="1">
      <c r="A93" s="539" t="str">
        <f>'BH Tariffs'!A36</f>
        <v>Water/Sewer</v>
      </c>
      <c r="B93" s="609"/>
      <c r="C93" s="540"/>
      <c r="D93" s="541">
        <v>0</v>
      </c>
      <c r="E93" s="542">
        <v>0</v>
      </c>
      <c r="F93" s="542">
        <v>0</v>
      </c>
      <c r="G93" s="542">
        <v>0</v>
      </c>
      <c r="H93" s="542">
        <v>0</v>
      </c>
      <c r="I93" s="542">
        <v>0</v>
      </c>
      <c r="J93" s="542">
        <v>0</v>
      </c>
      <c r="K93" s="542">
        <v>0</v>
      </c>
      <c r="L93" s="542">
        <v>0</v>
      </c>
      <c r="M93" s="542">
        <v>0</v>
      </c>
      <c r="N93" s="542">
        <v>0</v>
      </c>
      <c r="O93" s="542">
        <v>0</v>
      </c>
      <c r="P93" s="542">
        <v>0</v>
      </c>
      <c r="Q93" s="542">
        <v>0</v>
      </c>
      <c r="R93" s="542">
        <v>0</v>
      </c>
      <c r="S93" s="542">
        <v>0</v>
      </c>
      <c r="T93" s="542">
        <v>0</v>
      </c>
      <c r="U93" s="542">
        <v>0</v>
      </c>
      <c r="V93" s="542">
        <v>0</v>
      </c>
      <c r="W93" s="542">
        <v>0</v>
      </c>
      <c r="X93" s="542">
        <v>0</v>
      </c>
      <c r="Y93" s="167" t="s">
        <v>282</v>
      </c>
    </row>
    <row r="94" spans="1:25" s="167" customFormat="1">
      <c r="A94" s="539" t="str">
        <f>'BH Tariffs'!A37</f>
        <v xml:space="preserve">Power (Electricity) </v>
      </c>
      <c r="B94" s="609"/>
      <c r="C94" s="540"/>
      <c r="D94" s="541">
        <v>0</v>
      </c>
      <c r="E94" s="542">
        <v>0</v>
      </c>
      <c r="F94" s="542">
        <v>0</v>
      </c>
      <c r="G94" s="542">
        <v>0</v>
      </c>
      <c r="H94" s="542">
        <v>0</v>
      </c>
      <c r="I94" s="542">
        <v>0</v>
      </c>
      <c r="J94" s="542">
        <v>0</v>
      </c>
      <c r="K94" s="542">
        <v>0</v>
      </c>
      <c r="L94" s="542">
        <v>0</v>
      </c>
      <c r="M94" s="542">
        <v>0</v>
      </c>
      <c r="N94" s="542">
        <v>0</v>
      </c>
      <c r="O94" s="542">
        <v>0</v>
      </c>
      <c r="P94" s="542">
        <v>0</v>
      </c>
      <c r="Q94" s="542">
        <v>0</v>
      </c>
      <c r="R94" s="542">
        <v>0</v>
      </c>
      <c r="S94" s="542">
        <v>0</v>
      </c>
      <c r="T94" s="542">
        <v>0</v>
      </c>
      <c r="U94" s="542">
        <v>0</v>
      </c>
      <c r="V94" s="542">
        <v>0</v>
      </c>
      <c r="W94" s="542">
        <v>0</v>
      </c>
      <c r="X94" s="542">
        <v>0</v>
      </c>
      <c r="Y94" s="167" t="s">
        <v>282</v>
      </c>
    </row>
    <row r="95" spans="1:25" s="96" customFormat="1">
      <c r="A95" s="90" t="s">
        <v>526</v>
      </c>
      <c r="B95" s="606"/>
      <c r="C95" s="356"/>
      <c r="D95" s="502">
        <v>0</v>
      </c>
      <c r="E95" s="504">
        <v>0</v>
      </c>
      <c r="F95" s="504">
        <f>'BH Tariffs'!E38*'P&amp;L - Concept C2 - Carnival'!F56</f>
        <v>20000</v>
      </c>
      <c r="G95" s="504">
        <f>'BH Tariffs'!F38*'P&amp;L - Concept C2 - Carnival'!G56</f>
        <v>20400</v>
      </c>
      <c r="H95" s="504">
        <f>'BH Tariffs'!G38*'P&amp;L - Concept C2 - Carnival'!H56</f>
        <v>20808</v>
      </c>
      <c r="I95" s="504">
        <f>'BH Tariffs'!H38*'P&amp;L - Concept C2 - Carnival'!I56</f>
        <v>21224.16</v>
      </c>
      <c r="J95" s="504">
        <f>'BH Tariffs'!I38*'P&amp;L - Concept C2 - Carnival'!J56</f>
        <v>21648.643199999999</v>
      </c>
      <c r="K95" s="504">
        <f>'BH Tariffs'!J38*'P&amp;L - Concept C2 - Carnival'!K56</f>
        <v>22081.616064000002</v>
      </c>
      <c r="L95" s="504">
        <f>'BH Tariffs'!K38*'P&amp;L - Concept C2 - Carnival'!L56</f>
        <v>22523.24838528</v>
      </c>
      <c r="M95" s="504">
        <f>'BH Tariffs'!L38*'P&amp;L - Concept C2 - Carnival'!M56</f>
        <v>22973.7133529856</v>
      </c>
      <c r="N95" s="504">
        <f>'BH Tariffs'!M38*'P&amp;L - Concept C2 - Carnival'!N56</f>
        <v>23433.187620045315</v>
      </c>
      <c r="O95" s="504">
        <f>'BH Tariffs'!N38*'P&amp;L - Concept C2 - Carnival'!O56</f>
        <v>23901.851372446221</v>
      </c>
      <c r="P95" s="504">
        <f>'BH Tariffs'!O38*'P&amp;L - Concept C2 - Carnival'!P56</f>
        <v>24379.888399895146</v>
      </c>
      <c r="Q95" s="504">
        <f>'BH Tariffs'!P38*'P&amp;L - Concept C2 - Carnival'!Q56</f>
        <v>24867.48616789305</v>
      </c>
      <c r="R95" s="504">
        <f>'BH Tariffs'!Q38*'P&amp;L - Concept C2 - Carnival'!R56</f>
        <v>25364.83589125091</v>
      </c>
      <c r="S95" s="504">
        <f>'BH Tariffs'!R38*'P&amp;L - Concept C2 - Carnival'!S56</f>
        <v>25872.132609075925</v>
      </c>
      <c r="T95" s="504">
        <f>'BH Tariffs'!S38*'P&amp;L - Concept C2 - Carnival'!T56</f>
        <v>26389.575261257447</v>
      </c>
      <c r="U95" s="504">
        <f>'BH Tariffs'!T38*'P&amp;L - Concept C2 - Carnival'!U56</f>
        <v>26917.366766482599</v>
      </c>
      <c r="V95" s="504">
        <f>'BH Tariffs'!U38*'P&amp;L - Concept C2 - Carnival'!V56</f>
        <v>27455.714101812249</v>
      </c>
      <c r="W95" s="504">
        <f>'BH Tariffs'!V38*'P&amp;L - Concept C2 - Carnival'!W56</f>
        <v>28004.828383848497</v>
      </c>
      <c r="X95" s="504">
        <f>'BH Tariffs'!W38*'P&amp;L - Concept C2 - Carnival'!X56</f>
        <v>28564.924951525467</v>
      </c>
    </row>
    <row r="96" spans="1:25">
      <c r="A96" s="88"/>
      <c r="B96" s="30"/>
      <c r="C96" s="89"/>
      <c r="D96" s="502"/>
      <c r="E96" s="504"/>
      <c r="F96" s="504"/>
      <c r="G96" s="504"/>
      <c r="H96" s="504"/>
      <c r="I96" s="504"/>
      <c r="J96" s="504"/>
      <c r="K96" s="504"/>
      <c r="L96" s="504"/>
      <c r="M96" s="504"/>
      <c r="N96" s="504"/>
      <c r="O96" s="504"/>
      <c r="P96" s="504"/>
      <c r="Q96" s="504"/>
      <c r="R96" s="504"/>
      <c r="S96" s="504"/>
      <c r="T96" s="504"/>
      <c r="U96" s="504"/>
      <c r="V96" s="504"/>
      <c r="W96" s="504"/>
      <c r="X96" s="504"/>
    </row>
    <row r="97" spans="1:24">
      <c r="A97" s="91" t="s">
        <v>26</v>
      </c>
      <c r="B97" s="30"/>
      <c r="C97" s="89"/>
      <c r="D97" s="502"/>
      <c r="E97" s="504"/>
      <c r="F97" s="504"/>
      <c r="G97" s="504"/>
      <c r="H97" s="504"/>
      <c r="I97" s="504"/>
      <c r="J97" s="504"/>
      <c r="K97" s="504"/>
      <c r="L97" s="504"/>
      <c r="M97" s="504"/>
      <c r="N97" s="504"/>
      <c r="O97" s="504"/>
      <c r="P97" s="504"/>
      <c r="Q97" s="504"/>
      <c r="R97" s="504"/>
      <c r="S97" s="504"/>
      <c r="T97" s="504"/>
      <c r="U97" s="504"/>
      <c r="V97" s="504"/>
      <c r="W97" s="504"/>
      <c r="X97" s="504"/>
    </row>
    <row r="98" spans="1:24" s="341" customFormat="1">
      <c r="A98" s="353" t="s">
        <v>214</v>
      </c>
      <c r="B98" s="354"/>
      <c r="C98" s="355"/>
      <c r="D98" s="548">
        <v>0</v>
      </c>
      <c r="E98" s="503">
        <v>0</v>
      </c>
      <c r="F98" s="503">
        <v>0</v>
      </c>
      <c r="G98" s="503">
        <v>0</v>
      </c>
      <c r="H98" s="503">
        <v>0</v>
      </c>
      <c r="I98" s="503">
        <v>0</v>
      </c>
      <c r="J98" s="503">
        <v>0</v>
      </c>
      <c r="K98" s="503">
        <v>0</v>
      </c>
      <c r="L98" s="503">
        <v>0</v>
      </c>
      <c r="M98" s="503">
        <v>0</v>
      </c>
      <c r="N98" s="503">
        <v>0</v>
      </c>
      <c r="O98" s="503">
        <v>0</v>
      </c>
      <c r="P98" s="503">
        <v>0</v>
      </c>
      <c r="Q98" s="503">
        <v>0</v>
      </c>
      <c r="R98" s="503">
        <v>0</v>
      </c>
      <c r="S98" s="503">
        <v>0</v>
      </c>
      <c r="T98" s="503">
        <v>0</v>
      </c>
      <c r="U98" s="503">
        <v>0</v>
      </c>
      <c r="V98" s="503">
        <v>0</v>
      </c>
      <c r="W98" s="503">
        <v>0</v>
      </c>
      <c r="X98" s="503">
        <v>0</v>
      </c>
    </row>
    <row r="99" spans="1:24">
      <c r="A99" s="88" t="s">
        <v>215</v>
      </c>
      <c r="B99" s="30"/>
      <c r="C99" s="89"/>
      <c r="D99" s="502">
        <v>0</v>
      </c>
      <c r="E99" s="504">
        <f>'BH Tariffs'!D43*'Parking Projections'!C90</f>
        <v>0</v>
      </c>
      <c r="F99" s="504">
        <f>'BH Tariffs'!E43*'Parking Projections'!D90</f>
        <v>0</v>
      </c>
      <c r="G99" s="504">
        <f>'BH Tariffs'!F43*'Parking Projections'!E90</f>
        <v>0</v>
      </c>
      <c r="H99" s="504">
        <f>'BH Tariffs'!G43*'Parking Projections'!F90</f>
        <v>0</v>
      </c>
      <c r="I99" s="504">
        <f>'BH Tariffs'!H43*'Parking Projections'!G90</f>
        <v>0</v>
      </c>
      <c r="J99" s="504">
        <f>'BH Tariffs'!I43*'Parking Projections'!H90</f>
        <v>216287.84722222219</v>
      </c>
      <c r="K99" s="504">
        <f>'BH Tariffs'!J43*'Parking Projections'!I90</f>
        <v>216287.84722222219</v>
      </c>
      <c r="L99" s="504">
        <f>'BH Tariffs'!K43*'Parking Projections'!J90</f>
        <v>216287.84722222219</v>
      </c>
      <c r="M99" s="504">
        <f>'BH Tariffs'!L43*'Parking Projections'!K90</f>
        <v>216287.84722222219</v>
      </c>
      <c r="N99" s="504">
        <f>'BH Tariffs'!M43*'Parking Projections'!L90</f>
        <v>216287.84722222219</v>
      </c>
      <c r="O99" s="504">
        <f>'BH Tariffs'!N43*'Parking Projections'!M90</f>
        <v>270359.80902777775</v>
      </c>
      <c r="P99" s="504">
        <f>'BH Tariffs'!O43*'Parking Projections'!N90</f>
        <v>270359.80902777775</v>
      </c>
      <c r="Q99" s="504">
        <f>'BH Tariffs'!P43*'Parking Projections'!O90</f>
        <v>270359.80902777775</v>
      </c>
      <c r="R99" s="504">
        <f>'BH Tariffs'!Q43*'Parking Projections'!P90</f>
        <v>270359.80902777775</v>
      </c>
      <c r="S99" s="504">
        <f>'BH Tariffs'!R43*'Parking Projections'!Q90</f>
        <v>270359.80902777775</v>
      </c>
      <c r="T99" s="504">
        <f>'BH Tariffs'!S43*'Parking Projections'!R90</f>
        <v>324431.77083333326</v>
      </c>
      <c r="U99" s="504">
        <f>'BH Tariffs'!T43*'Parking Projections'!S90</f>
        <v>324431.77083333326</v>
      </c>
      <c r="V99" s="504">
        <f>'BH Tariffs'!U43*'Parking Projections'!T90</f>
        <v>324431.77083333326</v>
      </c>
      <c r="W99" s="504">
        <f>'BH Tariffs'!V43*'Parking Projections'!U90</f>
        <v>324431.77083333326</v>
      </c>
      <c r="X99" s="504">
        <f>'BH Tariffs'!W43*'Parking Projections'!V90</f>
        <v>324431.77083333326</v>
      </c>
    </row>
    <row r="100" spans="1:24">
      <c r="A100" s="91"/>
      <c r="B100" s="30"/>
      <c r="C100" s="89"/>
      <c r="D100" s="502"/>
      <c r="E100" s="504"/>
      <c r="F100" s="504"/>
      <c r="G100" s="504"/>
      <c r="H100" s="504"/>
      <c r="I100" s="504"/>
      <c r="J100" s="504"/>
      <c r="K100" s="504"/>
      <c r="L100" s="504"/>
      <c r="M100" s="504"/>
      <c r="N100" s="504"/>
      <c r="O100" s="504"/>
      <c r="P100" s="504"/>
      <c r="Q100" s="504"/>
      <c r="R100" s="504"/>
      <c r="S100" s="504"/>
      <c r="T100" s="504"/>
      <c r="U100" s="504"/>
      <c r="V100" s="504"/>
      <c r="W100" s="504"/>
      <c r="X100" s="504"/>
    </row>
    <row r="101" spans="1:24">
      <c r="A101" s="91" t="s">
        <v>2</v>
      </c>
      <c r="B101" s="30"/>
      <c r="C101" s="89"/>
      <c r="D101" s="502"/>
      <c r="E101" s="504"/>
      <c r="F101" s="504"/>
      <c r="G101" s="504"/>
      <c r="H101" s="504"/>
      <c r="I101" s="504"/>
      <c r="J101" s="504"/>
      <c r="K101" s="504"/>
      <c r="L101" s="504"/>
      <c r="M101" s="504"/>
      <c r="N101" s="504"/>
      <c r="O101" s="504"/>
      <c r="P101" s="504"/>
      <c r="Q101" s="504"/>
      <c r="R101" s="504"/>
      <c r="S101" s="504"/>
      <c r="T101" s="504"/>
      <c r="U101" s="504"/>
      <c r="V101" s="504"/>
      <c r="W101" s="504"/>
      <c r="X101" s="504"/>
    </row>
    <row r="102" spans="1:24">
      <c r="A102" s="88" t="str">
        <f>'BH Tariffs'!A44</f>
        <v>Commerical Rent (Seasonal Kiosk(s)/Vendor(s))</v>
      </c>
      <c r="B102" s="30"/>
      <c r="C102" s="89"/>
      <c r="D102" s="502">
        <v>0</v>
      </c>
      <c r="E102" s="504">
        <f>'BH Tariffs'!D44*'P&amp;L - Concept C2 - Carnival'!E63</f>
        <v>0</v>
      </c>
      <c r="F102" s="504">
        <f>'BH Tariffs'!E44*'P&amp;L - Concept C2 - Carnival'!F63</f>
        <v>0</v>
      </c>
      <c r="G102" s="504">
        <f>'BH Tariffs'!F44*'P&amp;L - Concept C2 - Carnival'!G63*6</f>
        <v>6242.4000000000005</v>
      </c>
      <c r="H102" s="504">
        <f>'BH Tariffs'!G44*'P&amp;L - Concept C2 - Carnival'!H63*6</f>
        <v>6367.2479999999996</v>
      </c>
      <c r="I102" s="504">
        <f>'BH Tariffs'!H44*'P&amp;L - Concept C2 - Carnival'!I63*6</f>
        <v>6494.5929599999999</v>
      </c>
      <c r="J102" s="504">
        <f>'BH Tariffs'!I44*'P&amp;L - Concept C2 - Carnival'!J63*6</f>
        <v>6624.4848191999999</v>
      </c>
      <c r="K102" s="504">
        <f>'BH Tariffs'!J44*'P&amp;L - Concept C2 - Carnival'!K63*6</f>
        <v>6756.974515584001</v>
      </c>
      <c r="L102" s="504">
        <f>'BH Tariffs'!K44*'P&amp;L - Concept C2 - Carnival'!L63*6</f>
        <v>6892.1140058956807</v>
      </c>
      <c r="M102" s="504">
        <f>'BH Tariffs'!L44*'P&amp;L - Concept C2 - Carnival'!M63*6</f>
        <v>7029.9562860135939</v>
      </c>
      <c r="N102" s="504">
        <f>'BH Tariffs'!M44*'P&amp;L - Concept C2 - Carnival'!N63*6</f>
        <v>7170.555411733867</v>
      </c>
      <c r="O102" s="504">
        <f>'BH Tariffs'!N44*'P&amp;L - Concept C2 - Carnival'!O63*6</f>
        <v>7313.9665199685442</v>
      </c>
      <c r="P102" s="504">
        <f>'BH Tariffs'!O44*'P&amp;L - Concept C2 - Carnival'!P63*6</f>
        <v>7460.2458503679145</v>
      </c>
      <c r="Q102" s="504">
        <f>'BH Tariffs'!P44*'P&amp;L - Concept C2 - Carnival'!Q63*6</f>
        <v>7609.4507673752723</v>
      </c>
      <c r="R102" s="504">
        <f>'BH Tariffs'!Q44*'P&amp;L - Concept C2 - Carnival'!R63*6</f>
        <v>7761.6397827227775</v>
      </c>
      <c r="S102" s="504">
        <f>'BH Tariffs'!R44*'P&amp;L - Concept C2 - Carnival'!S63*6</f>
        <v>7916.8725783772334</v>
      </c>
      <c r="T102" s="504">
        <f>'BH Tariffs'!S44*'P&amp;L - Concept C2 - Carnival'!T63*6</f>
        <v>8075.2100299447793</v>
      </c>
      <c r="U102" s="504">
        <f>'BH Tariffs'!T44*'P&amp;L - Concept C2 - Carnival'!U63*6</f>
        <v>8236.7142305436755</v>
      </c>
      <c r="V102" s="504">
        <f>'BH Tariffs'!U44*'P&amp;L - Concept C2 - Carnival'!V63*6</f>
        <v>8401.4485151545487</v>
      </c>
      <c r="W102" s="504">
        <f>'BH Tariffs'!V44*'P&amp;L - Concept C2 - Carnival'!W63*6</f>
        <v>8569.4774854576408</v>
      </c>
      <c r="X102" s="504">
        <f>'BH Tariffs'!W44*'P&amp;L - Concept C2 - Carnival'!X63*6</f>
        <v>8740.8670351667934</v>
      </c>
    </row>
    <row r="103" spans="1:24" s="96" customFormat="1">
      <c r="A103" s="90" t="s">
        <v>541</v>
      </c>
      <c r="B103" s="606"/>
      <c r="C103" s="356"/>
      <c r="D103" s="502">
        <v>0</v>
      </c>
      <c r="E103" s="504">
        <v>0</v>
      </c>
      <c r="F103" s="504">
        <v>0</v>
      </c>
      <c r="G103" s="504">
        <f>G64*0.05</f>
        <v>10000</v>
      </c>
      <c r="H103" s="504">
        <f t="shared" ref="H103:X103" si="12">H64*0.05</f>
        <v>10000</v>
      </c>
      <c r="I103" s="504">
        <f t="shared" si="12"/>
        <v>10000</v>
      </c>
      <c r="J103" s="504">
        <f t="shared" si="12"/>
        <v>10000</v>
      </c>
      <c r="K103" s="504">
        <f t="shared" si="12"/>
        <v>10000</v>
      </c>
      <c r="L103" s="504">
        <f t="shared" si="12"/>
        <v>10000</v>
      </c>
      <c r="M103" s="504">
        <f t="shared" si="12"/>
        <v>10000</v>
      </c>
      <c r="N103" s="504">
        <f t="shared" si="12"/>
        <v>10000</v>
      </c>
      <c r="O103" s="504">
        <f t="shared" si="12"/>
        <v>10000</v>
      </c>
      <c r="P103" s="504">
        <f t="shared" si="12"/>
        <v>10000</v>
      </c>
      <c r="Q103" s="504">
        <f t="shared" si="12"/>
        <v>10000</v>
      </c>
      <c r="R103" s="504">
        <f t="shared" si="12"/>
        <v>10000</v>
      </c>
      <c r="S103" s="504">
        <f t="shared" si="12"/>
        <v>10000</v>
      </c>
      <c r="T103" s="504">
        <f t="shared" si="12"/>
        <v>10000</v>
      </c>
      <c r="U103" s="504">
        <f t="shared" si="12"/>
        <v>10000</v>
      </c>
      <c r="V103" s="504">
        <f t="shared" si="12"/>
        <v>10000</v>
      </c>
      <c r="W103" s="504">
        <f t="shared" si="12"/>
        <v>10000</v>
      </c>
      <c r="X103" s="504">
        <f t="shared" si="12"/>
        <v>10000</v>
      </c>
    </row>
    <row r="104" spans="1:24">
      <c r="A104" s="88" t="str">
        <f>'BH Tariffs'!A45</f>
        <v>Motorcoach Access/Tour Operator Licenses</v>
      </c>
      <c r="B104" s="30"/>
      <c r="C104" s="89"/>
      <c r="D104" s="502">
        <v>0</v>
      </c>
      <c r="E104" s="504">
        <v>0</v>
      </c>
      <c r="F104" s="504">
        <f>'BH Tariffs'!E45*'P&amp;L - Concept C2 - Carnival'!F66</f>
        <v>3060</v>
      </c>
      <c r="G104" s="504">
        <f>'BH Tariffs'!F45*'P&amp;L - Concept C2 - Carnival'!G66</f>
        <v>3121.2000000000003</v>
      </c>
      <c r="H104" s="504">
        <f>'BH Tariffs'!G45*'P&amp;L - Concept C2 - Carnival'!H66</f>
        <v>3183.6239999999998</v>
      </c>
      <c r="I104" s="504">
        <f>'BH Tariffs'!H45*'P&amp;L - Concept C2 - Carnival'!I66</f>
        <v>3247.29648</v>
      </c>
      <c r="J104" s="504">
        <f>'BH Tariffs'!I45*'P&amp;L - Concept C2 - Carnival'!J66</f>
        <v>3312.2424096</v>
      </c>
      <c r="K104" s="504">
        <f>'BH Tariffs'!J45*'P&amp;L - Concept C2 - Carnival'!K66</f>
        <v>3378.4872577920005</v>
      </c>
      <c r="L104" s="504">
        <f>'BH Tariffs'!K45*'P&amp;L - Concept C2 - Carnival'!L66</f>
        <v>3446.0570029478404</v>
      </c>
      <c r="M104" s="504">
        <f>'BH Tariffs'!L45*'P&amp;L - Concept C2 - Carnival'!M66</f>
        <v>3514.9781430067969</v>
      </c>
      <c r="N104" s="504">
        <f>'BH Tariffs'!M45*'P&amp;L - Concept C2 - Carnival'!N66</f>
        <v>3585.2777058669335</v>
      </c>
      <c r="O104" s="504">
        <f>'BH Tariffs'!N45*'P&amp;L - Concept C2 - Carnival'!O66</f>
        <v>3656.9832599842721</v>
      </c>
      <c r="P104" s="504">
        <f>'BH Tariffs'!O45*'P&amp;L - Concept C2 - Carnival'!P66</f>
        <v>3730.1229251839572</v>
      </c>
      <c r="Q104" s="504">
        <f>'BH Tariffs'!P45*'P&amp;L - Concept C2 - Carnival'!Q66</f>
        <v>3804.7253836876362</v>
      </c>
      <c r="R104" s="504">
        <f>'BH Tariffs'!Q45*'P&amp;L - Concept C2 - Carnival'!R66</f>
        <v>3880.8198913613887</v>
      </c>
      <c r="S104" s="504">
        <f>'BH Tariffs'!R45*'P&amp;L - Concept C2 - Carnival'!S66</f>
        <v>3958.4362891886167</v>
      </c>
      <c r="T104" s="504">
        <f>'BH Tariffs'!S45*'P&amp;L - Concept C2 - Carnival'!T66</f>
        <v>4037.6050149723897</v>
      </c>
      <c r="U104" s="504">
        <f>'BH Tariffs'!T45*'P&amp;L - Concept C2 - Carnival'!U66</f>
        <v>4118.3571152718378</v>
      </c>
      <c r="V104" s="504">
        <f>'BH Tariffs'!U45*'P&amp;L - Concept C2 - Carnival'!V66</f>
        <v>4200.7242575772743</v>
      </c>
      <c r="W104" s="504">
        <f>'BH Tariffs'!V45*'P&amp;L - Concept C2 - Carnival'!W66</f>
        <v>4284.7387427288204</v>
      </c>
      <c r="X104" s="504">
        <f>'BH Tariffs'!W45*'P&amp;L - Concept C2 - Carnival'!X66</f>
        <v>4370.4335175833967</v>
      </c>
    </row>
    <row r="105" spans="1:24">
      <c r="A105" s="299" t="s">
        <v>217</v>
      </c>
      <c r="B105" s="299"/>
      <c r="C105" s="299"/>
      <c r="D105" s="505">
        <v>0</v>
      </c>
      <c r="E105" s="506">
        <v>0</v>
      </c>
      <c r="F105" s="506">
        <f>'BH Tariffs'!E46*'P&amp;L - Concept C2 - Carnival'!F65</f>
        <v>500</v>
      </c>
      <c r="G105" s="506">
        <f>'BH Tariffs'!F46*'P&amp;L - Concept C2 - Carnival'!G65</f>
        <v>1000</v>
      </c>
      <c r="H105" s="506">
        <f>'BH Tariffs'!G46*'P&amp;L - Concept C2 - Carnival'!H65</f>
        <v>1000</v>
      </c>
      <c r="I105" s="506">
        <f>'BH Tariffs'!H46*'P&amp;L - Concept C2 - Carnival'!I65</f>
        <v>1000</v>
      </c>
      <c r="J105" s="506">
        <f>'BH Tariffs'!I46*'P&amp;L - Concept C2 - Carnival'!J65</f>
        <v>1650</v>
      </c>
      <c r="K105" s="506">
        <f>'BH Tariffs'!J46*'P&amp;L - Concept C2 - Carnival'!K65</f>
        <v>1650</v>
      </c>
      <c r="L105" s="506">
        <f>'BH Tariffs'!K46*'P&amp;L - Concept C2 - Carnival'!L65</f>
        <v>1650</v>
      </c>
      <c r="M105" s="506">
        <f>'BH Tariffs'!L46*'P&amp;L - Concept C2 - Carnival'!M65</f>
        <v>1650</v>
      </c>
      <c r="N105" s="506">
        <f>'BH Tariffs'!M46*'P&amp;L - Concept C2 - Carnival'!N65</f>
        <v>1650</v>
      </c>
      <c r="O105" s="506">
        <f>'BH Tariffs'!N46*'P&amp;L - Concept C2 - Carnival'!O65</f>
        <v>2400</v>
      </c>
      <c r="P105" s="506">
        <f>'BH Tariffs'!O46*'P&amp;L - Concept C2 - Carnival'!P65</f>
        <v>2400</v>
      </c>
      <c r="Q105" s="506">
        <f>'BH Tariffs'!P46*'P&amp;L - Concept C2 - Carnival'!Q65</f>
        <v>2400</v>
      </c>
      <c r="R105" s="506">
        <f>'BH Tariffs'!Q46*'P&amp;L - Concept C2 - Carnival'!R65</f>
        <v>2400</v>
      </c>
      <c r="S105" s="506">
        <f>'BH Tariffs'!R46*'P&amp;L - Concept C2 - Carnival'!S65</f>
        <v>2400</v>
      </c>
      <c r="T105" s="506">
        <f>'BH Tariffs'!S46*'P&amp;L - Concept C2 - Carnival'!T65</f>
        <v>3250</v>
      </c>
      <c r="U105" s="506">
        <f>'BH Tariffs'!T46*'P&amp;L - Concept C2 - Carnival'!U65</f>
        <v>3250</v>
      </c>
      <c r="V105" s="506">
        <f>'BH Tariffs'!U46*'P&amp;L - Concept C2 - Carnival'!V65</f>
        <v>3250</v>
      </c>
      <c r="W105" s="506">
        <f>'BH Tariffs'!V46*'P&amp;L - Concept C2 - Carnival'!W65</f>
        <v>3250</v>
      </c>
      <c r="X105" s="506">
        <f>'BH Tariffs'!W46*'P&amp;L - Concept C2 - Carnival'!X65</f>
        <v>3250</v>
      </c>
    </row>
    <row r="106" spans="1:24">
      <c r="A106" s="278" t="s">
        <v>145</v>
      </c>
      <c r="D106" s="507">
        <f>SUM(D71:D105)</f>
        <v>0</v>
      </c>
      <c r="E106" s="508">
        <f>SUM(E70:E105)</f>
        <v>161800</v>
      </c>
      <c r="F106" s="508">
        <f t="shared" ref="F106:X106" si="13">SUM(F70:F105)</f>
        <v>1688724.0940290107</v>
      </c>
      <c r="G106" s="508">
        <f t="shared" si="13"/>
        <v>1767550.975909591</v>
      </c>
      <c r="H106" s="508">
        <f t="shared" si="13"/>
        <v>1804681.9954277826</v>
      </c>
      <c r="I106" s="508">
        <f t="shared" si="13"/>
        <v>1842555.6353363385</v>
      </c>
      <c r="J106" s="508">
        <f t="shared" si="13"/>
        <v>2098124.595265287</v>
      </c>
      <c r="K106" s="508">
        <f t="shared" si="13"/>
        <v>2137528.3302261485</v>
      </c>
      <c r="L106" s="508">
        <f t="shared" si="13"/>
        <v>2177720.139886227</v>
      </c>
      <c r="M106" s="508">
        <f t="shared" si="13"/>
        <v>2218715.785739508</v>
      </c>
      <c r="N106" s="508">
        <f t="shared" si="13"/>
        <v>2260531.3445098531</v>
      </c>
      <c r="O106" s="508">
        <f t="shared" si="13"/>
        <v>2358005.1762611619</v>
      </c>
      <c r="P106" s="508">
        <f t="shared" si="13"/>
        <v>2401510.0836058292</v>
      </c>
      <c r="Q106" s="508">
        <f t="shared" si="13"/>
        <v>2445885.0890973904</v>
      </c>
      <c r="R106" s="508">
        <f t="shared" si="13"/>
        <v>2491147.5946987825</v>
      </c>
      <c r="S106" s="508">
        <f t="shared" si="13"/>
        <v>2537315.3504122025</v>
      </c>
      <c r="T106" s="508">
        <f t="shared" si="13"/>
        <v>2639328.4230454471</v>
      </c>
      <c r="U106" s="508">
        <f t="shared" si="13"/>
        <v>2687361.3560896888</v>
      </c>
      <c r="V106" s="508">
        <f t="shared" si="13"/>
        <v>2736354.9477948165</v>
      </c>
      <c r="W106" s="508">
        <f t="shared" si="13"/>
        <v>2786328.4113340462</v>
      </c>
      <c r="X106" s="508">
        <f t="shared" si="13"/>
        <v>2837301.3441440603</v>
      </c>
    </row>
    <row r="107" spans="1:24">
      <c r="D107" s="507"/>
      <c r="E107" s="413"/>
      <c r="F107" s="413"/>
      <c r="G107" s="413"/>
      <c r="H107" s="413"/>
      <c r="I107" s="413"/>
      <c r="J107" s="413"/>
      <c r="K107" s="413"/>
      <c r="L107" s="413"/>
      <c r="M107" s="413"/>
      <c r="N107" s="413"/>
      <c r="O107" s="413"/>
      <c r="P107" s="413"/>
      <c r="Q107" s="413"/>
      <c r="R107" s="413"/>
      <c r="S107" s="413"/>
      <c r="T107" s="413"/>
      <c r="U107" s="413"/>
      <c r="V107" s="413"/>
      <c r="W107" s="413"/>
      <c r="X107" s="413"/>
    </row>
    <row r="108" spans="1:24">
      <c r="A108" s="271" t="s">
        <v>146</v>
      </c>
      <c r="B108" s="149"/>
      <c r="C108" s="149"/>
      <c r="D108" s="509"/>
      <c r="E108" s="510"/>
      <c r="F108" s="510"/>
      <c r="G108" s="510"/>
      <c r="H108" s="510"/>
      <c r="I108" s="510"/>
      <c r="J108" s="510"/>
      <c r="K108" s="510"/>
      <c r="L108" s="510"/>
      <c r="M108" s="510"/>
      <c r="N108" s="510"/>
      <c r="O108" s="510"/>
      <c r="P108" s="510"/>
      <c r="Q108" s="510"/>
      <c r="R108" s="510"/>
      <c r="S108" s="510"/>
      <c r="T108" s="510"/>
      <c r="U108" s="510"/>
      <c r="V108" s="510"/>
      <c r="W108" s="510"/>
      <c r="X108" s="510"/>
    </row>
    <row r="109" spans="1:24">
      <c r="D109" s="507"/>
      <c r="E109" s="413"/>
      <c r="F109" s="413"/>
      <c r="G109" s="413"/>
      <c r="H109" s="413"/>
      <c r="I109" s="413"/>
      <c r="J109" s="413"/>
      <c r="K109" s="413"/>
      <c r="L109" s="413"/>
      <c r="M109" s="413"/>
      <c r="N109" s="413"/>
      <c r="O109" s="413"/>
      <c r="P109" s="413"/>
      <c r="Q109" s="413"/>
      <c r="R109" s="413"/>
      <c r="S109" s="413"/>
      <c r="T109" s="413"/>
      <c r="U109" s="413"/>
      <c r="V109" s="413"/>
      <c r="W109" s="413"/>
      <c r="X109" s="413"/>
    </row>
    <row r="110" spans="1:24">
      <c r="A110" s="91" t="s">
        <v>380</v>
      </c>
      <c r="B110" s="89"/>
      <c r="C110" s="89"/>
      <c r="D110" s="502"/>
      <c r="E110" s="504"/>
      <c r="F110" s="504"/>
      <c r="G110" s="504"/>
      <c r="H110" s="504"/>
      <c r="I110" s="504"/>
      <c r="J110" s="504"/>
      <c r="K110" s="504"/>
      <c r="L110" s="504"/>
      <c r="M110" s="504"/>
      <c r="N110" s="504"/>
      <c r="O110" s="504"/>
      <c r="P110" s="504"/>
      <c r="Q110" s="504"/>
      <c r="R110" s="504"/>
      <c r="S110" s="504"/>
      <c r="T110" s="504"/>
      <c r="U110" s="504"/>
      <c r="V110" s="504"/>
      <c r="W110" s="504"/>
      <c r="X110" s="504"/>
    </row>
    <row r="111" spans="1:24">
      <c r="A111" s="88" t="s">
        <v>432</v>
      </c>
      <c r="B111" s="89"/>
      <c r="C111" s="89"/>
      <c r="D111" s="502">
        <v>0</v>
      </c>
      <c r="E111" s="504">
        <v>0</v>
      </c>
      <c r="F111" s="504">
        <v>0</v>
      </c>
      <c r="G111" s="504">
        <v>0</v>
      </c>
      <c r="H111" s="504">
        <v>0</v>
      </c>
      <c r="I111" s="504">
        <v>0</v>
      </c>
      <c r="J111" s="504">
        <v>0</v>
      </c>
      <c r="K111" s="504">
        <v>0</v>
      </c>
      <c r="L111" s="504">
        <v>0</v>
      </c>
      <c r="M111" s="504">
        <v>0</v>
      </c>
      <c r="N111" s="504">
        <v>0</v>
      </c>
      <c r="O111" s="504">
        <v>0</v>
      </c>
      <c r="P111" s="504">
        <v>0</v>
      </c>
      <c r="Q111" s="504">
        <v>0</v>
      </c>
      <c r="R111" s="504">
        <v>0</v>
      </c>
      <c r="S111" s="504">
        <v>0</v>
      </c>
      <c r="T111" s="504">
        <v>0</v>
      </c>
      <c r="U111" s="504">
        <v>0</v>
      </c>
      <c r="V111" s="504">
        <v>0</v>
      </c>
      <c r="W111" s="504">
        <v>0</v>
      </c>
      <c r="X111" s="504">
        <v>0</v>
      </c>
    </row>
    <row r="112" spans="1:24">
      <c r="A112" s="88" t="s">
        <v>433</v>
      </c>
      <c r="B112" s="89"/>
      <c r="C112" s="89"/>
      <c r="D112" s="502">
        <v>0</v>
      </c>
      <c r="E112" s="504">
        <v>0</v>
      </c>
      <c r="F112" s="504">
        <v>0</v>
      </c>
      <c r="G112" s="504">
        <v>0</v>
      </c>
      <c r="H112" s="504">
        <v>0</v>
      </c>
      <c r="I112" s="504">
        <v>0</v>
      </c>
      <c r="J112" s="504">
        <v>0</v>
      </c>
      <c r="K112" s="504">
        <v>0</v>
      </c>
      <c r="L112" s="504">
        <v>0</v>
      </c>
      <c r="M112" s="504">
        <v>0</v>
      </c>
      <c r="N112" s="504">
        <v>0</v>
      </c>
      <c r="O112" s="504">
        <v>0</v>
      </c>
      <c r="P112" s="504">
        <v>0</v>
      </c>
      <c r="Q112" s="504">
        <v>0</v>
      </c>
      <c r="R112" s="504">
        <v>0</v>
      </c>
      <c r="S112" s="504">
        <v>0</v>
      </c>
      <c r="T112" s="504">
        <v>0</v>
      </c>
      <c r="U112" s="504">
        <v>0</v>
      </c>
      <c r="V112" s="504">
        <v>0</v>
      </c>
      <c r="W112" s="504">
        <v>0</v>
      </c>
      <c r="X112" s="504">
        <v>0</v>
      </c>
    </row>
    <row r="113" spans="1:27">
      <c r="A113" s="88" t="s">
        <v>434</v>
      </c>
      <c r="B113" s="89"/>
      <c r="C113" s="89"/>
      <c r="D113" s="502">
        <v>0</v>
      </c>
      <c r="E113" s="504">
        <v>0</v>
      </c>
      <c r="F113" s="504">
        <v>0</v>
      </c>
      <c r="G113" s="504">
        <v>0</v>
      </c>
      <c r="H113" s="504">
        <v>0</v>
      </c>
      <c r="I113" s="504">
        <v>0</v>
      </c>
      <c r="J113" s="504">
        <v>0</v>
      </c>
      <c r="K113" s="504">
        <v>0</v>
      </c>
      <c r="L113" s="504">
        <v>0</v>
      </c>
      <c r="M113" s="504">
        <v>0</v>
      </c>
      <c r="N113" s="504">
        <v>0</v>
      </c>
      <c r="O113" s="504">
        <v>0</v>
      </c>
      <c r="P113" s="504">
        <v>0</v>
      </c>
      <c r="Q113" s="504">
        <v>0</v>
      </c>
      <c r="R113" s="504">
        <v>0</v>
      </c>
      <c r="S113" s="504">
        <v>0</v>
      </c>
      <c r="T113" s="504">
        <v>0</v>
      </c>
      <c r="U113" s="504">
        <v>0</v>
      </c>
      <c r="V113" s="504">
        <v>0</v>
      </c>
      <c r="W113" s="504">
        <v>0</v>
      </c>
      <c r="X113" s="504">
        <v>0</v>
      </c>
    </row>
    <row r="114" spans="1:27">
      <c r="A114" s="88" t="s">
        <v>229</v>
      </c>
      <c r="B114" s="30"/>
      <c r="C114" s="89"/>
      <c r="D114" s="502">
        <v>0</v>
      </c>
      <c r="E114" s="504">
        <v>0</v>
      </c>
      <c r="F114" s="504">
        <v>0</v>
      </c>
      <c r="G114" s="504">
        <v>0</v>
      </c>
      <c r="H114" s="504">
        <v>0</v>
      </c>
      <c r="I114" s="504">
        <v>0</v>
      </c>
      <c r="J114" s="504">
        <v>0</v>
      </c>
      <c r="K114" s="504">
        <v>0</v>
      </c>
      <c r="L114" s="504">
        <v>0</v>
      </c>
      <c r="M114" s="504">
        <v>0</v>
      </c>
      <c r="N114" s="504">
        <v>0</v>
      </c>
      <c r="O114" s="504">
        <v>0</v>
      </c>
      <c r="P114" s="504">
        <v>0</v>
      </c>
      <c r="Q114" s="504">
        <v>0</v>
      </c>
      <c r="R114" s="504">
        <v>0</v>
      </c>
      <c r="S114" s="504">
        <v>0</v>
      </c>
      <c r="T114" s="504">
        <v>0</v>
      </c>
      <c r="U114" s="504">
        <v>0</v>
      </c>
      <c r="V114" s="504">
        <v>0</v>
      </c>
      <c r="W114" s="504">
        <v>0</v>
      </c>
      <c r="X114" s="504">
        <v>0</v>
      </c>
    </row>
    <row r="115" spans="1:27" s="32" customFormat="1">
      <c r="A115" s="299" t="s">
        <v>297</v>
      </c>
      <c r="B115" s="299"/>
      <c r="C115" s="299"/>
      <c r="D115" s="505">
        <v>0</v>
      </c>
      <c r="E115" s="506">
        <f>E53</f>
        <v>0</v>
      </c>
      <c r="F115" s="506">
        <f t="shared" ref="F115:X115" si="14">F53</f>
        <v>0</v>
      </c>
      <c r="G115" s="506">
        <f t="shared" si="14"/>
        <v>100000</v>
      </c>
      <c r="H115" s="506">
        <f t="shared" si="14"/>
        <v>100000</v>
      </c>
      <c r="I115" s="506">
        <f t="shared" si="14"/>
        <v>100000</v>
      </c>
      <c r="J115" s="506">
        <f t="shared" si="14"/>
        <v>100000</v>
      </c>
      <c r="K115" s="506">
        <f t="shared" si="14"/>
        <v>100000</v>
      </c>
      <c r="L115" s="506">
        <f t="shared" si="14"/>
        <v>100000</v>
      </c>
      <c r="M115" s="506">
        <f t="shared" si="14"/>
        <v>100000</v>
      </c>
      <c r="N115" s="506">
        <f t="shared" si="14"/>
        <v>100000</v>
      </c>
      <c r="O115" s="506">
        <f t="shared" si="14"/>
        <v>100000</v>
      </c>
      <c r="P115" s="506">
        <f t="shared" si="14"/>
        <v>100000</v>
      </c>
      <c r="Q115" s="506">
        <f t="shared" si="14"/>
        <v>100000</v>
      </c>
      <c r="R115" s="506">
        <f t="shared" si="14"/>
        <v>100000</v>
      </c>
      <c r="S115" s="506">
        <f t="shared" si="14"/>
        <v>100000</v>
      </c>
      <c r="T115" s="506">
        <f t="shared" si="14"/>
        <v>100000</v>
      </c>
      <c r="U115" s="506">
        <f t="shared" si="14"/>
        <v>100000</v>
      </c>
      <c r="V115" s="506">
        <f t="shared" si="14"/>
        <v>100000</v>
      </c>
      <c r="W115" s="506">
        <f t="shared" si="14"/>
        <v>100000</v>
      </c>
      <c r="X115" s="506">
        <f t="shared" si="14"/>
        <v>100000</v>
      </c>
    </row>
    <row r="116" spans="1:27">
      <c r="A116" s="278" t="s">
        <v>147</v>
      </c>
      <c r="D116" s="507">
        <f>SUM(D114:D115)</f>
        <v>0</v>
      </c>
      <c r="E116" s="508">
        <f>SUM(E111:E115)</f>
        <v>0</v>
      </c>
      <c r="F116" s="508">
        <f t="shared" ref="F116:X116" si="15">SUM(F111:F115)</f>
        <v>0</v>
      </c>
      <c r="G116" s="508">
        <f t="shared" si="15"/>
        <v>100000</v>
      </c>
      <c r="H116" s="508">
        <f t="shared" si="15"/>
        <v>100000</v>
      </c>
      <c r="I116" s="508">
        <f t="shared" si="15"/>
        <v>100000</v>
      </c>
      <c r="J116" s="508">
        <f t="shared" si="15"/>
        <v>100000</v>
      </c>
      <c r="K116" s="508">
        <f t="shared" si="15"/>
        <v>100000</v>
      </c>
      <c r="L116" s="508">
        <f t="shared" si="15"/>
        <v>100000</v>
      </c>
      <c r="M116" s="508">
        <f t="shared" si="15"/>
        <v>100000</v>
      </c>
      <c r="N116" s="508">
        <f t="shared" si="15"/>
        <v>100000</v>
      </c>
      <c r="O116" s="508">
        <f t="shared" si="15"/>
        <v>100000</v>
      </c>
      <c r="P116" s="508">
        <f t="shared" si="15"/>
        <v>100000</v>
      </c>
      <c r="Q116" s="508">
        <f t="shared" si="15"/>
        <v>100000</v>
      </c>
      <c r="R116" s="508">
        <f t="shared" si="15"/>
        <v>100000</v>
      </c>
      <c r="S116" s="508">
        <f t="shared" si="15"/>
        <v>100000</v>
      </c>
      <c r="T116" s="508">
        <f t="shared" si="15"/>
        <v>100000</v>
      </c>
      <c r="U116" s="508">
        <f t="shared" si="15"/>
        <v>100000</v>
      </c>
      <c r="V116" s="508">
        <f t="shared" si="15"/>
        <v>100000</v>
      </c>
      <c r="W116" s="508">
        <f t="shared" si="15"/>
        <v>100000</v>
      </c>
      <c r="X116" s="508">
        <f t="shared" si="15"/>
        <v>100000</v>
      </c>
    </row>
    <row r="117" spans="1:27">
      <c r="D117" s="507"/>
      <c r="E117" s="413"/>
      <c r="F117" s="413"/>
      <c r="G117" s="413"/>
      <c r="H117" s="413"/>
      <c r="I117" s="413"/>
      <c r="J117" s="413"/>
      <c r="K117" s="413"/>
      <c r="L117" s="413"/>
      <c r="M117" s="413"/>
      <c r="N117" s="413"/>
      <c r="O117" s="413"/>
      <c r="P117" s="413"/>
      <c r="Q117" s="413"/>
      <c r="R117" s="413"/>
      <c r="S117" s="413"/>
      <c r="T117" s="413"/>
      <c r="U117" s="413"/>
      <c r="V117" s="413"/>
      <c r="W117" s="413"/>
      <c r="X117" s="413"/>
    </row>
    <row r="118" spans="1:27">
      <c r="A118" s="88" t="s">
        <v>608</v>
      </c>
      <c r="D118" s="507">
        <f t="shared" ref="D118" si="16">SUM(D116:D117)</f>
        <v>0</v>
      </c>
      <c r="E118" s="413">
        <v>58025</v>
      </c>
      <c r="F118" s="413">
        <v>0</v>
      </c>
      <c r="G118" s="413">
        <v>0</v>
      </c>
      <c r="H118" s="413">
        <v>0</v>
      </c>
      <c r="I118" s="413">
        <v>0</v>
      </c>
      <c r="J118" s="413">
        <v>0</v>
      </c>
      <c r="K118" s="413">
        <v>0</v>
      </c>
      <c r="L118" s="413">
        <v>0</v>
      </c>
      <c r="M118" s="413">
        <v>0</v>
      </c>
      <c r="N118" s="413">
        <v>0</v>
      </c>
      <c r="O118" s="413">
        <v>0</v>
      </c>
      <c r="P118" s="413">
        <v>0</v>
      </c>
      <c r="Q118" s="413">
        <v>0</v>
      </c>
      <c r="R118" s="413">
        <v>0</v>
      </c>
      <c r="S118" s="413">
        <v>0</v>
      </c>
      <c r="T118" s="413">
        <v>0</v>
      </c>
      <c r="U118" s="413">
        <v>0</v>
      </c>
      <c r="V118" s="413">
        <v>0</v>
      </c>
      <c r="W118" s="413">
        <v>0</v>
      </c>
      <c r="X118" s="413">
        <v>0</v>
      </c>
    </row>
    <row r="119" spans="1:27">
      <c r="D119" s="507"/>
      <c r="E119" s="413"/>
      <c r="F119" s="413"/>
      <c r="G119" s="413"/>
      <c r="H119" s="413"/>
      <c r="I119" s="413"/>
      <c r="J119" s="413"/>
      <c r="K119" s="413"/>
      <c r="L119" s="413"/>
      <c r="M119" s="413"/>
      <c r="N119" s="413"/>
      <c r="O119" s="413"/>
      <c r="P119" s="413"/>
      <c r="Q119" s="413"/>
      <c r="R119" s="413"/>
      <c r="S119" s="413"/>
      <c r="T119" s="413"/>
      <c r="U119" s="413"/>
      <c r="V119" s="413"/>
      <c r="W119" s="413"/>
      <c r="X119" s="413"/>
    </row>
    <row r="120" spans="1:27" s="16" customFormat="1" ht="14.25">
      <c r="A120" s="295" t="s">
        <v>148</v>
      </c>
      <c r="B120" s="295"/>
      <c r="C120" s="295"/>
      <c r="D120" s="511">
        <f>SUM(D106,D116)</f>
        <v>0</v>
      </c>
      <c r="E120" s="511">
        <f>SUM(E106,E116,E118)</f>
        <v>219825</v>
      </c>
      <c r="F120" s="511">
        <f t="shared" ref="F120:X120" si="17">SUM(F106,F116,F118)</f>
        <v>1688724.0940290107</v>
      </c>
      <c r="G120" s="511">
        <f t="shared" si="17"/>
        <v>1867550.975909591</v>
      </c>
      <c r="H120" s="511">
        <f t="shared" si="17"/>
        <v>1904681.9954277826</v>
      </c>
      <c r="I120" s="511">
        <f t="shared" si="17"/>
        <v>1942555.6353363385</v>
      </c>
      <c r="J120" s="511">
        <f t="shared" si="17"/>
        <v>2198124.595265287</v>
      </c>
      <c r="K120" s="511">
        <f t="shared" si="17"/>
        <v>2237528.3302261485</v>
      </c>
      <c r="L120" s="511">
        <f t="shared" si="17"/>
        <v>2277720.139886227</v>
      </c>
      <c r="M120" s="511">
        <f t="shared" si="17"/>
        <v>2318715.785739508</v>
      </c>
      <c r="N120" s="511">
        <f t="shared" si="17"/>
        <v>2360531.3445098531</v>
      </c>
      <c r="O120" s="511">
        <f t="shared" si="17"/>
        <v>2458005.1762611619</v>
      </c>
      <c r="P120" s="511">
        <f t="shared" si="17"/>
        <v>2501510.0836058292</v>
      </c>
      <c r="Q120" s="511">
        <f t="shared" si="17"/>
        <v>2545885.0890973904</v>
      </c>
      <c r="R120" s="511">
        <f t="shared" si="17"/>
        <v>2591147.5946987825</v>
      </c>
      <c r="S120" s="511">
        <f t="shared" si="17"/>
        <v>2637315.3504122025</v>
      </c>
      <c r="T120" s="511">
        <f t="shared" si="17"/>
        <v>2739328.4230454471</v>
      </c>
      <c r="U120" s="511">
        <f t="shared" si="17"/>
        <v>2787361.3560896888</v>
      </c>
      <c r="V120" s="511">
        <f t="shared" si="17"/>
        <v>2836354.9477948165</v>
      </c>
      <c r="W120" s="511">
        <f t="shared" si="17"/>
        <v>2886328.4113340462</v>
      </c>
      <c r="X120" s="511">
        <f t="shared" si="17"/>
        <v>2937301.3441440603</v>
      </c>
      <c r="Y120" s="622">
        <f>SUM(D120:X120)</f>
        <v>45936495.67281317</v>
      </c>
      <c r="AA120" s="370">
        <f>(Y76+Y78)/Y120</f>
        <v>0.62647827680602741</v>
      </c>
    </row>
    <row r="121" spans="1:27">
      <c r="A121" s="30"/>
      <c r="B121" s="30"/>
      <c r="C121" s="30"/>
      <c r="D121" s="502"/>
      <c r="E121" s="512"/>
      <c r="F121" s="512"/>
      <c r="G121" s="512"/>
      <c r="H121" s="512"/>
      <c r="I121" s="512"/>
      <c r="J121" s="512"/>
      <c r="K121" s="512"/>
      <c r="L121" s="512"/>
      <c r="M121" s="512"/>
      <c r="N121" s="512"/>
      <c r="O121" s="512"/>
      <c r="P121" s="512"/>
      <c r="Q121" s="512"/>
      <c r="R121" s="512"/>
      <c r="S121" s="512"/>
      <c r="T121" s="512"/>
      <c r="U121" s="512"/>
      <c r="V121" s="512"/>
      <c r="W121" s="512"/>
      <c r="X121" s="512"/>
    </row>
    <row r="122" spans="1:27" s="33" customFormat="1">
      <c r="A122" s="47" t="s">
        <v>7</v>
      </c>
      <c r="B122" s="47" t="s">
        <v>7</v>
      </c>
      <c r="C122" s="78" t="s">
        <v>7</v>
      </c>
      <c r="D122" s="604" t="s">
        <v>7</v>
      </c>
      <c r="E122" s="78" t="s">
        <v>7</v>
      </c>
      <c r="F122" s="78" t="s">
        <v>7</v>
      </c>
      <c r="G122" s="78" t="s">
        <v>7</v>
      </c>
      <c r="H122" s="78" t="s">
        <v>7</v>
      </c>
      <c r="I122" s="78" t="s">
        <v>7</v>
      </c>
      <c r="J122" s="78" t="s">
        <v>7</v>
      </c>
      <c r="K122" s="78" t="s">
        <v>7</v>
      </c>
      <c r="L122" s="78" t="s">
        <v>7</v>
      </c>
      <c r="M122" s="78" t="s">
        <v>7</v>
      </c>
      <c r="N122" s="78" t="s">
        <v>7</v>
      </c>
      <c r="O122" s="78" t="s">
        <v>7</v>
      </c>
      <c r="P122" s="78" t="s">
        <v>7</v>
      </c>
      <c r="Q122" s="78" t="s">
        <v>7</v>
      </c>
      <c r="R122" s="78" t="s">
        <v>7</v>
      </c>
      <c r="S122" s="78" t="s">
        <v>7</v>
      </c>
      <c r="T122" s="78" t="s">
        <v>7</v>
      </c>
      <c r="U122" s="78" t="s">
        <v>7</v>
      </c>
      <c r="V122" s="78" t="s">
        <v>7</v>
      </c>
      <c r="W122" s="78" t="s">
        <v>7</v>
      </c>
      <c r="X122" s="78" t="s">
        <v>7</v>
      </c>
    </row>
    <row r="123" spans="1:27">
      <c r="A123" s="30"/>
      <c r="B123" s="30"/>
      <c r="C123" s="30"/>
      <c r="D123" s="502"/>
      <c r="E123" s="512"/>
      <c r="F123" s="512"/>
      <c r="G123" s="512"/>
      <c r="H123" s="512"/>
      <c r="I123" s="512"/>
      <c r="J123" s="512"/>
      <c r="K123" s="512"/>
      <c r="L123" s="512"/>
      <c r="M123" s="512"/>
      <c r="N123" s="512"/>
      <c r="O123" s="512"/>
      <c r="P123" s="512"/>
      <c r="Q123" s="512"/>
      <c r="R123" s="512"/>
      <c r="S123" s="512"/>
      <c r="T123" s="512"/>
      <c r="U123" s="512"/>
      <c r="V123" s="512"/>
      <c r="W123" s="512"/>
      <c r="X123" s="512"/>
    </row>
    <row r="124" spans="1:27">
      <c r="A124" s="269" t="s">
        <v>131</v>
      </c>
      <c r="B124" s="269"/>
      <c r="C124" s="270"/>
      <c r="D124" s="513"/>
      <c r="E124" s="513"/>
      <c r="F124" s="513"/>
      <c r="G124" s="513"/>
      <c r="H124" s="513"/>
      <c r="I124" s="513"/>
      <c r="J124" s="513"/>
      <c r="K124" s="513"/>
      <c r="L124" s="513"/>
      <c r="M124" s="513"/>
      <c r="N124" s="513"/>
      <c r="O124" s="513"/>
      <c r="P124" s="513"/>
      <c r="Q124" s="513"/>
      <c r="R124" s="513"/>
      <c r="S124" s="513"/>
      <c r="T124" s="513"/>
      <c r="U124" s="513"/>
      <c r="V124" s="513"/>
      <c r="W124" s="513"/>
      <c r="X124" s="513"/>
    </row>
    <row r="125" spans="1:27">
      <c r="A125" s="69"/>
      <c r="B125" s="69"/>
      <c r="C125" s="69"/>
      <c r="D125" s="502"/>
      <c r="E125" s="504"/>
      <c r="F125" s="504"/>
      <c r="G125" s="504"/>
      <c r="H125" s="504"/>
      <c r="I125" s="504"/>
      <c r="J125" s="504"/>
      <c r="K125" s="504"/>
      <c r="L125" s="504"/>
      <c r="M125" s="504"/>
      <c r="N125" s="504"/>
      <c r="O125" s="504"/>
      <c r="P125" s="504"/>
      <c r="Q125" s="504"/>
      <c r="R125" s="504"/>
      <c r="S125" s="504"/>
      <c r="T125" s="504"/>
      <c r="U125" s="504"/>
      <c r="V125" s="504"/>
      <c r="W125" s="504"/>
      <c r="X125" s="504"/>
    </row>
    <row r="126" spans="1:27" s="96" customFormat="1">
      <c r="A126" s="69" t="s">
        <v>13</v>
      </c>
      <c r="B126" s="69"/>
      <c r="C126" s="69"/>
      <c r="D126" s="514">
        <v>0</v>
      </c>
      <c r="E126" s="515">
        <f>'OPEX - Concept C2 - Carnival'!L80</f>
        <v>12250</v>
      </c>
      <c r="F126" s="515">
        <f>'OPEX - Concept C2 - Carnival'!M80</f>
        <v>171500</v>
      </c>
      <c r="G126" s="515">
        <f>'OPEX - Concept C2 - Carnival'!N80</f>
        <v>174930</v>
      </c>
      <c r="H126" s="515">
        <f>'OPEX - Concept C2 - Carnival'!O80</f>
        <v>178428.59999999998</v>
      </c>
      <c r="I126" s="515">
        <f>'OPEX - Concept C2 - Carnival'!P80</f>
        <v>181997.17199999996</v>
      </c>
      <c r="J126" s="515">
        <f>'OPEX - Concept C2 - Carnival'!Q80</f>
        <v>185637.11543999997</v>
      </c>
      <c r="K126" s="515">
        <f>'OPEX - Concept C2 - Carnival'!R80</f>
        <v>189349.85774879999</v>
      </c>
      <c r="L126" s="515">
        <f>'OPEX - Concept C2 - Carnival'!S80</f>
        <v>193136.85490377599</v>
      </c>
      <c r="M126" s="515">
        <f>'OPEX - Concept C2 - Carnival'!T80</f>
        <v>196999.59200185153</v>
      </c>
      <c r="N126" s="515">
        <f>'OPEX - Concept C2 - Carnival'!U80</f>
        <v>200939.58384188855</v>
      </c>
      <c r="O126" s="515">
        <f>'OPEX - Concept C2 - Carnival'!V80</f>
        <v>204958.37551872636</v>
      </c>
      <c r="P126" s="515">
        <f>'OPEX - Concept C2 - Carnival'!W80</f>
        <v>209057.54302910087</v>
      </c>
      <c r="Q126" s="515">
        <f>'OPEX - Concept C2 - Carnival'!X80</f>
        <v>213238.69388968288</v>
      </c>
      <c r="R126" s="515">
        <f>'OPEX - Concept C2 - Carnival'!Y80</f>
        <v>217503.46776747654</v>
      </c>
      <c r="S126" s="515">
        <f>'OPEX - Concept C2 - Carnival'!Z80</f>
        <v>221853.53712282603</v>
      </c>
      <c r="T126" s="515">
        <f>'OPEX - Concept C2 - Carnival'!AA80</f>
        <v>226290.60786528263</v>
      </c>
      <c r="U126" s="515">
        <f>'OPEX - Concept C2 - Carnival'!AB80</f>
        <v>230816.42002258825</v>
      </c>
      <c r="V126" s="515">
        <f>'OPEX - Concept C2 - Carnival'!AC80</f>
        <v>235432.74842304003</v>
      </c>
      <c r="W126" s="515">
        <f>'OPEX - Concept C2 - Carnival'!AD80</f>
        <v>240141.40339150085</v>
      </c>
      <c r="X126" s="515">
        <f>'OPEX - Concept C2 - Carnival'!AE80</f>
        <v>244944.23145933088</v>
      </c>
    </row>
    <row r="127" spans="1:27" s="96" customFormat="1">
      <c r="A127" s="69" t="s">
        <v>41</v>
      </c>
      <c r="B127" s="69"/>
      <c r="C127" s="69"/>
      <c r="D127" s="514">
        <v>0</v>
      </c>
      <c r="E127" s="515">
        <f>'OPEX - Concept C2 - Carnival'!L88</f>
        <v>25000</v>
      </c>
      <c r="F127" s="515">
        <f>'OPEX - Concept C2 - Carnival'!M88</f>
        <v>25500</v>
      </c>
      <c r="G127" s="515">
        <f>'OPEX - Concept C2 - Carnival'!N88</f>
        <v>26010</v>
      </c>
      <c r="H127" s="515">
        <f>'OPEX - Concept C2 - Carnival'!O88</f>
        <v>26530.199999999997</v>
      </c>
      <c r="I127" s="515">
        <f>'OPEX - Concept C2 - Carnival'!P88</f>
        <v>27060.804</v>
      </c>
      <c r="J127" s="515">
        <f>'OPEX - Concept C2 - Carnival'!Q88</f>
        <v>27602.020080000002</v>
      </c>
      <c r="K127" s="515">
        <f>'OPEX - Concept C2 - Carnival'!R88</f>
        <v>28154.060481600001</v>
      </c>
      <c r="L127" s="515">
        <f>'OPEX - Concept C2 - Carnival'!S88</f>
        <v>28717.141691232002</v>
      </c>
      <c r="M127" s="515">
        <f>'OPEX - Concept C2 - Carnival'!T88</f>
        <v>29291.484525056643</v>
      </c>
      <c r="N127" s="515">
        <f>'OPEX - Concept C2 - Carnival'!U88</f>
        <v>29877.314215557777</v>
      </c>
      <c r="O127" s="515">
        <f>'OPEX - Concept C2 - Carnival'!V88</f>
        <v>30474.860499868933</v>
      </c>
      <c r="P127" s="515">
        <f>'OPEX - Concept C2 - Carnival'!W88</f>
        <v>31084.357709866312</v>
      </c>
      <c r="Q127" s="515">
        <f>'OPEX - Concept C2 - Carnival'!X88</f>
        <v>31706.044864063639</v>
      </c>
      <c r="R127" s="515">
        <f>'OPEX - Concept C2 - Carnival'!Y88</f>
        <v>32340.165761344906</v>
      </c>
      <c r="S127" s="515">
        <f>'OPEX - Concept C2 - Carnival'!Z88</f>
        <v>32986.969076571811</v>
      </c>
      <c r="T127" s="515">
        <f>'OPEX - Concept C2 - Carnival'!AA88</f>
        <v>33646.708458103247</v>
      </c>
      <c r="U127" s="515">
        <f>'OPEX - Concept C2 - Carnival'!AB88</f>
        <v>34319.642627265312</v>
      </c>
      <c r="V127" s="515">
        <f>'OPEX - Concept C2 - Carnival'!AC88</f>
        <v>35006.03547981062</v>
      </c>
      <c r="W127" s="515">
        <f>'OPEX - Concept C2 - Carnival'!AD88</f>
        <v>35706.156189406836</v>
      </c>
      <c r="X127" s="515">
        <f>'OPEX - Concept C2 - Carnival'!AE88</f>
        <v>36420.279313194973</v>
      </c>
    </row>
    <row r="128" spans="1:27" s="96" customFormat="1">
      <c r="A128" s="69" t="s">
        <v>424</v>
      </c>
      <c r="B128" s="69"/>
      <c r="C128" s="69"/>
      <c r="D128" s="514">
        <v>0</v>
      </c>
      <c r="E128" s="515">
        <f>'OPEX - Concept C2 - Carnival'!L89</f>
        <v>10000</v>
      </c>
      <c r="F128" s="515">
        <f>'OPEX - Concept C2 - Carnival'!M89</f>
        <v>500</v>
      </c>
      <c r="G128" s="515">
        <f>'OPEX - Concept C2 - Carnival'!N89</f>
        <v>520.20000000000005</v>
      </c>
      <c r="H128" s="515">
        <f>'OPEX - Concept C2 - Carnival'!O89</f>
        <v>530.60399999999993</v>
      </c>
      <c r="I128" s="515">
        <f>'OPEX - Concept C2 - Carnival'!P89</f>
        <v>541.21608000000003</v>
      </c>
      <c r="J128" s="515">
        <f>'OPEX - Concept C2 - Carnival'!Q89</f>
        <v>5000</v>
      </c>
      <c r="K128" s="515">
        <f>'OPEX - Concept C2 - Carnival'!R89</f>
        <v>563.08120963200008</v>
      </c>
      <c r="L128" s="515">
        <f>'OPEX - Concept C2 - Carnival'!S89</f>
        <v>574.34283382464002</v>
      </c>
      <c r="M128" s="515">
        <f>'OPEX - Concept C2 - Carnival'!T89</f>
        <v>585.82969050113286</v>
      </c>
      <c r="N128" s="515">
        <f>'OPEX - Concept C2 - Carnival'!U89</f>
        <v>597.54628431115555</v>
      </c>
      <c r="O128" s="515">
        <f>'OPEX - Concept C2 - Carnival'!V89</f>
        <v>5000</v>
      </c>
      <c r="P128" s="515">
        <f>'OPEX - Concept C2 - Carnival'!W89</f>
        <v>621.68715419732621</v>
      </c>
      <c r="Q128" s="515">
        <f>'OPEX - Concept C2 - Carnival'!X89</f>
        <v>634.12089728127273</v>
      </c>
      <c r="R128" s="515">
        <f>'OPEX - Concept C2 - Carnival'!Y89</f>
        <v>646.80331522689812</v>
      </c>
      <c r="S128" s="515">
        <f>'OPEX - Concept C2 - Carnival'!Z89</f>
        <v>659.73938153143615</v>
      </c>
      <c r="T128" s="515">
        <f>'OPEX - Concept C2 - Carnival'!AA89</f>
        <v>5000</v>
      </c>
      <c r="U128" s="515">
        <f>'OPEX - Concept C2 - Carnival'!AB89</f>
        <v>686.39285254530625</v>
      </c>
      <c r="V128" s="515">
        <f>'OPEX - Concept C2 - Carnival'!AC89</f>
        <v>700.12070959621246</v>
      </c>
      <c r="W128" s="515">
        <f>'OPEX - Concept C2 - Carnival'!AD89</f>
        <v>714.1231237881367</v>
      </c>
      <c r="X128" s="515">
        <f>'OPEX - Concept C2 - Carnival'!AE89</f>
        <v>728.40558626389941</v>
      </c>
    </row>
    <row r="129" spans="1:24" s="96" customFormat="1">
      <c r="A129" s="69" t="s">
        <v>42</v>
      </c>
      <c r="B129" s="69"/>
      <c r="C129" s="69"/>
      <c r="D129" s="514">
        <v>0</v>
      </c>
      <c r="E129" s="515">
        <f>'OPEX - Concept C2 - Carnival'!L90</f>
        <v>50000</v>
      </c>
      <c r="F129" s="515">
        <f>'OPEX - Concept C2 - Carnival'!M90</f>
        <v>51000</v>
      </c>
      <c r="G129" s="515">
        <f>'OPEX - Concept C2 - Carnival'!N90</f>
        <v>52020</v>
      </c>
      <c r="H129" s="515">
        <f>'OPEX - Concept C2 - Carnival'!O90</f>
        <v>53060.399999999994</v>
      </c>
      <c r="I129" s="515">
        <f>'OPEX - Concept C2 - Carnival'!P90</f>
        <v>54121.608</v>
      </c>
      <c r="J129" s="515">
        <f>'OPEX - Concept C2 - Carnival'!Q90</f>
        <v>55204.040160000004</v>
      </c>
      <c r="K129" s="515">
        <f>'OPEX - Concept C2 - Carnival'!R90</f>
        <v>56308.120963200003</v>
      </c>
      <c r="L129" s="515">
        <f>'OPEX - Concept C2 - Carnival'!S90</f>
        <v>57434.283382464004</v>
      </c>
      <c r="M129" s="515">
        <f>'OPEX - Concept C2 - Carnival'!T90</f>
        <v>58582.969050113286</v>
      </c>
      <c r="N129" s="515">
        <f>'OPEX - Concept C2 - Carnival'!U90</f>
        <v>59754.628431115554</v>
      </c>
      <c r="O129" s="515">
        <f>'OPEX - Concept C2 - Carnival'!V90</f>
        <v>60949.720999737867</v>
      </c>
      <c r="P129" s="515">
        <f>'OPEX - Concept C2 - Carnival'!W90</f>
        <v>62168.715419732624</v>
      </c>
      <c r="Q129" s="515">
        <f>'OPEX - Concept C2 - Carnival'!X90</f>
        <v>63412.089728127277</v>
      </c>
      <c r="R129" s="515">
        <f>'OPEX - Concept C2 - Carnival'!Y90</f>
        <v>64680.331522689812</v>
      </c>
      <c r="S129" s="515">
        <f>'OPEX - Concept C2 - Carnival'!Z90</f>
        <v>65973.938153143623</v>
      </c>
      <c r="T129" s="515">
        <f>'OPEX - Concept C2 - Carnival'!AA90</f>
        <v>67293.416916206494</v>
      </c>
      <c r="U129" s="515">
        <f>'OPEX - Concept C2 - Carnival'!AB90</f>
        <v>68639.285254530623</v>
      </c>
      <c r="V129" s="515">
        <f>'OPEX - Concept C2 - Carnival'!AC90</f>
        <v>70012.07095962124</v>
      </c>
      <c r="W129" s="515">
        <f>'OPEX - Concept C2 - Carnival'!AD90</f>
        <v>71412.312378813673</v>
      </c>
      <c r="X129" s="515">
        <f>'OPEX - Concept C2 - Carnival'!AE90</f>
        <v>72840.558626389946</v>
      </c>
    </row>
    <row r="130" spans="1:24" s="96" customFormat="1">
      <c r="A130" s="69" t="s">
        <v>43</v>
      </c>
      <c r="B130" s="69"/>
      <c r="C130" s="69"/>
      <c r="D130" s="514">
        <v>0</v>
      </c>
      <c r="E130" s="515">
        <f>'OPEX - Concept C2 - Carnival'!L91</f>
        <v>500</v>
      </c>
      <c r="F130" s="515">
        <f>'OPEX - Concept C2 - Carnival'!M91</f>
        <v>2040</v>
      </c>
      <c r="G130" s="515">
        <f>'OPEX - Concept C2 - Carnival'!N91</f>
        <v>2080.8000000000002</v>
      </c>
      <c r="H130" s="515">
        <f>'OPEX - Concept C2 - Carnival'!O91</f>
        <v>2122.4159999999997</v>
      </c>
      <c r="I130" s="515">
        <f>'OPEX - Concept C2 - Carnival'!P91</f>
        <v>2164.8643200000001</v>
      </c>
      <c r="J130" s="515">
        <f>'OPEX - Concept C2 - Carnival'!Q91</f>
        <v>2208.1616064</v>
      </c>
      <c r="K130" s="515">
        <f>'OPEX - Concept C2 - Carnival'!R91</f>
        <v>2252.3248385280003</v>
      </c>
      <c r="L130" s="515">
        <f>'OPEX - Concept C2 - Carnival'!S91</f>
        <v>2297.3713352985601</v>
      </c>
      <c r="M130" s="515">
        <f>'OPEX - Concept C2 - Carnival'!T91</f>
        <v>2343.3187620045314</v>
      </c>
      <c r="N130" s="515">
        <f>'OPEX - Concept C2 - Carnival'!U91</f>
        <v>2390.1851372446222</v>
      </c>
      <c r="O130" s="515">
        <f>'OPEX - Concept C2 - Carnival'!V91</f>
        <v>2437.9888399895149</v>
      </c>
      <c r="P130" s="515">
        <f>'OPEX - Concept C2 - Carnival'!W91</f>
        <v>2486.7486167893048</v>
      </c>
      <c r="Q130" s="515">
        <f>'OPEX - Concept C2 - Carnival'!X91</f>
        <v>2536.4835891250909</v>
      </c>
      <c r="R130" s="515">
        <f>'OPEX - Concept C2 - Carnival'!Y91</f>
        <v>2587.2132609075925</v>
      </c>
      <c r="S130" s="515">
        <f>'OPEX - Concept C2 - Carnival'!Z91</f>
        <v>2638.9575261257446</v>
      </c>
      <c r="T130" s="515">
        <f>'OPEX - Concept C2 - Carnival'!AA91</f>
        <v>2691.7366766482596</v>
      </c>
      <c r="U130" s="515">
        <f>'OPEX - Concept C2 - Carnival'!AB91</f>
        <v>2745.571410181225</v>
      </c>
      <c r="V130" s="515">
        <f>'OPEX - Concept C2 - Carnival'!AC91</f>
        <v>2800.4828383848499</v>
      </c>
      <c r="W130" s="515">
        <f>'OPEX - Concept C2 - Carnival'!AD91</f>
        <v>2856.4924951525468</v>
      </c>
      <c r="X130" s="515">
        <f>'OPEX - Concept C2 - Carnival'!AE91</f>
        <v>2913.6223450555976</v>
      </c>
    </row>
    <row r="131" spans="1:24" s="96" customFormat="1">
      <c r="A131" s="69" t="s">
        <v>44</v>
      </c>
      <c r="B131" s="69"/>
      <c r="C131" s="69"/>
      <c r="D131" s="514">
        <v>0</v>
      </c>
      <c r="E131" s="515">
        <f>'OPEX - Concept C2 - Carnival'!L92</f>
        <v>250</v>
      </c>
      <c r="F131" s="515">
        <f>'OPEX - Concept C2 - Carnival'!M92</f>
        <v>1020</v>
      </c>
      <c r="G131" s="515">
        <f>'OPEX - Concept C2 - Carnival'!N92</f>
        <v>1040.4000000000001</v>
      </c>
      <c r="H131" s="515">
        <f>'OPEX - Concept C2 - Carnival'!O92</f>
        <v>1061.2079999999999</v>
      </c>
      <c r="I131" s="515">
        <f>'OPEX - Concept C2 - Carnival'!P92</f>
        <v>1082.4321600000001</v>
      </c>
      <c r="J131" s="515">
        <f>'OPEX - Concept C2 - Carnival'!Q92</f>
        <v>1104.0808032</v>
      </c>
      <c r="K131" s="515">
        <f>'OPEX - Concept C2 - Carnival'!R92</f>
        <v>1126.1624192640002</v>
      </c>
      <c r="L131" s="515">
        <f>'OPEX - Concept C2 - Carnival'!S92</f>
        <v>1148.68566764928</v>
      </c>
      <c r="M131" s="515">
        <f>'OPEX - Concept C2 - Carnival'!T92</f>
        <v>1171.6593810022657</v>
      </c>
      <c r="N131" s="515">
        <f>'OPEX - Concept C2 - Carnival'!U92</f>
        <v>1195.0925686223111</v>
      </c>
      <c r="O131" s="515">
        <f>'OPEX - Concept C2 - Carnival'!V92</f>
        <v>1218.9944199947574</v>
      </c>
      <c r="P131" s="515">
        <f>'OPEX - Concept C2 - Carnival'!W92</f>
        <v>1243.3743083946524</v>
      </c>
      <c r="Q131" s="515">
        <f>'OPEX - Concept C2 - Carnival'!X92</f>
        <v>1268.2417945625455</v>
      </c>
      <c r="R131" s="515">
        <f>'OPEX - Concept C2 - Carnival'!Y92</f>
        <v>1293.6066304537962</v>
      </c>
      <c r="S131" s="515">
        <f>'OPEX - Concept C2 - Carnival'!Z92</f>
        <v>1319.4787630628723</v>
      </c>
      <c r="T131" s="515">
        <f>'OPEX - Concept C2 - Carnival'!AA92</f>
        <v>1345.8683383241298</v>
      </c>
      <c r="U131" s="515">
        <f>'OPEX - Concept C2 - Carnival'!AB92</f>
        <v>1372.7857050906125</v>
      </c>
      <c r="V131" s="515">
        <f>'OPEX - Concept C2 - Carnival'!AC92</f>
        <v>1400.2414191924249</v>
      </c>
      <c r="W131" s="515">
        <f>'OPEX - Concept C2 - Carnival'!AD92</f>
        <v>1428.2462475762734</v>
      </c>
      <c r="X131" s="515">
        <f>'OPEX - Concept C2 - Carnival'!AE92</f>
        <v>1456.8111725277988</v>
      </c>
    </row>
    <row r="132" spans="1:24" s="96" customFormat="1">
      <c r="A132" s="69" t="s">
        <v>2</v>
      </c>
      <c r="B132" s="69"/>
      <c r="C132" s="69"/>
      <c r="D132" s="514">
        <v>0</v>
      </c>
      <c r="E132" s="515">
        <f>'OPEX - Concept C2 - Carnival'!L93</f>
        <v>1000</v>
      </c>
      <c r="F132" s="515">
        <f>'OPEX - Concept C2 - Carnival'!M93</f>
        <v>1020</v>
      </c>
      <c r="G132" s="515">
        <f>'OPEX - Concept C2 - Carnival'!N93</f>
        <v>1040.4000000000001</v>
      </c>
      <c r="H132" s="515">
        <f>'OPEX - Concept C2 - Carnival'!O93</f>
        <v>1061.2079999999999</v>
      </c>
      <c r="I132" s="515">
        <f>'OPEX - Concept C2 - Carnival'!P93</f>
        <v>1082.4321600000001</v>
      </c>
      <c r="J132" s="515">
        <f>'OPEX - Concept C2 - Carnival'!Q93</f>
        <v>1104.0808032</v>
      </c>
      <c r="K132" s="515">
        <f>'OPEX - Concept C2 - Carnival'!R93</f>
        <v>1126.1624192640002</v>
      </c>
      <c r="L132" s="515">
        <f>'OPEX - Concept C2 - Carnival'!S93</f>
        <v>1148.68566764928</v>
      </c>
      <c r="M132" s="515">
        <f>'OPEX - Concept C2 - Carnival'!T93</f>
        <v>1171.6593810022657</v>
      </c>
      <c r="N132" s="515">
        <f>'OPEX - Concept C2 - Carnival'!U93</f>
        <v>1195.0925686223111</v>
      </c>
      <c r="O132" s="515">
        <f>'OPEX - Concept C2 - Carnival'!V93</f>
        <v>1218.9944199947574</v>
      </c>
      <c r="P132" s="515">
        <f>'OPEX - Concept C2 - Carnival'!W93</f>
        <v>1243.3743083946524</v>
      </c>
      <c r="Q132" s="515">
        <f>'OPEX - Concept C2 - Carnival'!X93</f>
        <v>1268.2417945625455</v>
      </c>
      <c r="R132" s="515">
        <f>'OPEX - Concept C2 - Carnival'!Y93</f>
        <v>1293.6066304537962</v>
      </c>
      <c r="S132" s="515">
        <f>'OPEX - Concept C2 - Carnival'!Z93</f>
        <v>1319.4787630628723</v>
      </c>
      <c r="T132" s="515">
        <f>'OPEX - Concept C2 - Carnival'!AA93</f>
        <v>1345.8683383241298</v>
      </c>
      <c r="U132" s="515">
        <f>'OPEX - Concept C2 - Carnival'!AB93</f>
        <v>1372.7857050906125</v>
      </c>
      <c r="V132" s="515">
        <f>'OPEX - Concept C2 - Carnival'!AC93</f>
        <v>1400.2414191924249</v>
      </c>
      <c r="W132" s="515">
        <f>'OPEX - Concept C2 - Carnival'!AD93</f>
        <v>1428.2462475762734</v>
      </c>
      <c r="X132" s="515">
        <f>'OPEX - Concept C2 - Carnival'!AE93</f>
        <v>1456.8111725277988</v>
      </c>
    </row>
    <row r="133" spans="1:24" s="167" customFormat="1">
      <c r="A133" s="591"/>
      <c r="B133" s="591"/>
      <c r="C133" s="591"/>
      <c r="D133" s="592"/>
      <c r="E133" s="593"/>
      <c r="F133" s="593"/>
      <c r="G133" s="593"/>
      <c r="H133" s="593"/>
      <c r="I133" s="593"/>
      <c r="J133" s="593"/>
      <c r="K133" s="593"/>
      <c r="L133" s="593"/>
      <c r="M133" s="593"/>
      <c r="N133" s="593"/>
      <c r="O133" s="593"/>
      <c r="P133" s="593"/>
      <c r="Q133" s="593"/>
      <c r="R133" s="593"/>
      <c r="S133" s="593"/>
      <c r="T133" s="593"/>
      <c r="U133" s="593"/>
      <c r="V133" s="593"/>
      <c r="W133" s="593"/>
      <c r="X133" s="593"/>
    </row>
    <row r="134" spans="1:24" s="96" customFormat="1">
      <c r="A134" s="1012" t="s">
        <v>25</v>
      </c>
      <c r="B134" s="69"/>
      <c r="C134" s="69"/>
      <c r="D134" s="514">
        <v>0</v>
      </c>
      <c r="E134" s="515">
        <f>'OPEX - Concept C2 - Carnival'!L109</f>
        <v>34183.333333333328</v>
      </c>
      <c r="F134" s="515">
        <f>'OPEX - Concept C2 - Carnival'!M109</f>
        <v>34867</v>
      </c>
      <c r="G134" s="515">
        <f>'OPEX - Concept C2 - Carnival'!N109</f>
        <v>35564.339999999997</v>
      </c>
      <c r="H134" s="515">
        <f>'OPEX - Concept C2 - Carnival'!O109</f>
        <v>36275.626799999998</v>
      </c>
      <c r="I134" s="515">
        <f>'OPEX - Concept C2 - Carnival'!P109</f>
        <v>37001.139335999993</v>
      </c>
      <c r="J134" s="515">
        <f>'OPEX - Concept C2 - Carnival'!Q109</f>
        <v>37741.162122720001</v>
      </c>
      <c r="K134" s="515">
        <f>'OPEX - Concept C2 - Carnival'!R109</f>
        <v>38495.985365174398</v>
      </c>
      <c r="L134" s="515">
        <f>'OPEX - Concept C2 - Carnival'!S109</f>
        <v>39265.905072477886</v>
      </c>
      <c r="M134" s="515">
        <f>'OPEX - Concept C2 - Carnival'!T109</f>
        <v>40051.22317392745</v>
      </c>
      <c r="N134" s="515">
        <f>'OPEX - Concept C2 - Carnival'!U109</f>
        <v>40852.247637405999</v>
      </c>
      <c r="O134" s="515">
        <f>'OPEX - Concept C2 - Carnival'!V109</f>
        <v>41669.292590154117</v>
      </c>
      <c r="P134" s="515">
        <f>'OPEX - Concept C2 - Carnival'!W109</f>
        <v>42502.6784419572</v>
      </c>
      <c r="Q134" s="515">
        <f>'OPEX - Concept C2 - Carnival'!X109</f>
        <v>43352.732010796346</v>
      </c>
      <c r="R134" s="515">
        <f>'OPEX - Concept C2 - Carnival'!Y109</f>
        <v>44219.786651012269</v>
      </c>
      <c r="S134" s="515">
        <f>'OPEX - Concept C2 - Carnival'!Z109</f>
        <v>45104.182384032523</v>
      </c>
      <c r="T134" s="515">
        <f>'OPEX - Concept C2 - Carnival'!AA109</f>
        <v>46006.266031713167</v>
      </c>
      <c r="U134" s="515">
        <f>'OPEX - Concept C2 - Carnival'!AB109</f>
        <v>46926.39135234744</v>
      </c>
      <c r="V134" s="515">
        <f>'OPEX - Concept C2 - Carnival'!AC109</f>
        <v>47864.91917939439</v>
      </c>
      <c r="W134" s="515">
        <f>'OPEX - Concept C2 - Carnival'!AD109</f>
        <v>48822.217562982281</v>
      </c>
      <c r="X134" s="515">
        <f>'OPEX - Concept C2 - Carnival'!AE109</f>
        <v>49798.661914241922</v>
      </c>
    </row>
    <row r="135" spans="1:24" s="96" customFormat="1">
      <c r="A135" s="782" t="s">
        <v>426</v>
      </c>
      <c r="B135" s="69"/>
      <c r="C135" s="69"/>
      <c r="D135" s="514">
        <v>0</v>
      </c>
      <c r="E135" s="515">
        <f>'OPEX - Concept C2 - Carnival'!L97</f>
        <v>1000</v>
      </c>
      <c r="F135" s="515">
        <f>'OPEX - Concept C2 - Carnival'!M97</f>
        <v>1020</v>
      </c>
      <c r="G135" s="515">
        <f>'OPEX - Concept C2 - Carnival'!N97</f>
        <v>1040.4000000000001</v>
      </c>
      <c r="H135" s="515">
        <f>'OPEX - Concept C2 - Carnival'!O97</f>
        <v>1061.2079999999999</v>
      </c>
      <c r="I135" s="515">
        <f>'OPEX - Concept C2 - Carnival'!P97</f>
        <v>1082.4321600000001</v>
      </c>
      <c r="J135" s="515">
        <f>'OPEX - Concept C2 - Carnival'!Q97</f>
        <v>25000</v>
      </c>
      <c r="K135" s="515">
        <f>'OPEX - Concept C2 - Carnival'!R97</f>
        <v>25500</v>
      </c>
      <c r="L135" s="515">
        <f>'OPEX - Concept C2 - Carnival'!S97</f>
        <v>26010</v>
      </c>
      <c r="M135" s="515">
        <f>'OPEX - Concept C2 - Carnival'!T97</f>
        <v>26530.199999999997</v>
      </c>
      <c r="N135" s="515">
        <f>'OPEX - Concept C2 - Carnival'!U97</f>
        <v>27060.804</v>
      </c>
      <c r="O135" s="515">
        <f>'OPEX - Concept C2 - Carnival'!V97</f>
        <v>27602.020080000002</v>
      </c>
      <c r="P135" s="515">
        <f>'OPEX - Concept C2 - Carnival'!W97</f>
        <v>28154.060481600001</v>
      </c>
      <c r="Q135" s="515">
        <f>'OPEX - Concept C2 - Carnival'!X97</f>
        <v>28717.141691232002</v>
      </c>
      <c r="R135" s="515">
        <f>'OPEX - Concept C2 - Carnival'!Y97</f>
        <v>29291.484525056643</v>
      </c>
      <c r="S135" s="515">
        <f>'OPEX - Concept C2 - Carnival'!Z97</f>
        <v>29877.314215557777</v>
      </c>
      <c r="T135" s="515">
        <f>'OPEX - Concept C2 - Carnival'!AA97</f>
        <v>30474.860499868933</v>
      </c>
      <c r="U135" s="515">
        <f>'OPEX - Concept C2 - Carnival'!AB97</f>
        <v>31084.357709866312</v>
      </c>
      <c r="V135" s="515">
        <f>'OPEX - Concept C2 - Carnival'!AC97</f>
        <v>31706.044864063639</v>
      </c>
      <c r="W135" s="515">
        <f>'OPEX - Concept C2 - Carnival'!AD97</f>
        <v>32340.165761344906</v>
      </c>
      <c r="X135" s="515">
        <f>'OPEX - Concept C2 - Carnival'!AE97</f>
        <v>32986.969076571811</v>
      </c>
    </row>
    <row r="136" spans="1:24" s="96" customFormat="1">
      <c r="A136" s="644" t="s">
        <v>302</v>
      </c>
      <c r="B136" s="69"/>
      <c r="C136" s="69"/>
      <c r="D136" s="514">
        <v>0</v>
      </c>
      <c r="E136" s="515">
        <f>'Shuttle Projections'!C39/2</f>
        <v>233675</v>
      </c>
      <c r="F136" s="515">
        <f>'Shuttle Projections'!D39</f>
        <v>476697</v>
      </c>
      <c r="G136" s="515">
        <f>'Shuttle Projections'!E39</f>
        <v>486230.94000000006</v>
      </c>
      <c r="H136" s="515">
        <f>'Shuttle Projections'!F39</f>
        <v>495955.55879999994</v>
      </c>
      <c r="I136" s="515">
        <f>'Shuttle Projections'!G39</f>
        <v>505874.66997599998</v>
      </c>
      <c r="J136" s="515">
        <f>'Shuttle Projections'!H39</f>
        <v>515992.16337552003</v>
      </c>
      <c r="K136" s="515">
        <f>'Shuttle Projections'!I39</f>
        <v>526312.00664303044</v>
      </c>
      <c r="L136" s="515">
        <f>'Shuttle Projections'!J39</f>
        <v>536838.24677589093</v>
      </c>
      <c r="M136" s="515">
        <f>'Shuttle Projections'!K39</f>
        <v>547575.01171140897</v>
      </c>
      <c r="N136" s="515">
        <f>'Shuttle Projections'!L39</f>
        <v>558526.51194563706</v>
      </c>
      <c r="O136" s="515">
        <f>'Shuttle Projections'!M39</f>
        <v>569697.04218454985</v>
      </c>
      <c r="P136" s="515">
        <f>'Shuttle Projections'!N39</f>
        <v>581090.98302824085</v>
      </c>
      <c r="Q136" s="515">
        <f>'Shuttle Projections'!O39</f>
        <v>592712.80268880562</v>
      </c>
      <c r="R136" s="515">
        <f>'Shuttle Projections'!P39</f>
        <v>604567.05874258175</v>
      </c>
      <c r="S136" s="515">
        <f>'Shuttle Projections'!Q39</f>
        <v>616658.39991743339</v>
      </c>
      <c r="T136" s="515">
        <f>'Shuttle Projections'!R39</f>
        <v>628991.5679157821</v>
      </c>
      <c r="U136" s="515">
        <f>'Shuttle Projections'!S39</f>
        <v>641571.39927409776</v>
      </c>
      <c r="V136" s="515">
        <f>'Shuttle Projections'!T39</f>
        <v>654402.82725957979</v>
      </c>
      <c r="W136" s="515">
        <f>'Shuttle Projections'!U39</f>
        <v>667490.88380477135</v>
      </c>
      <c r="X136" s="515">
        <f>'Shuttle Projections'!V39</f>
        <v>680840.70148086676</v>
      </c>
    </row>
    <row r="137" spans="1:24" s="16" customFormat="1" ht="14.25">
      <c r="A137" s="282" t="s">
        <v>132</v>
      </c>
      <c r="B137" s="276"/>
      <c r="C137" s="276"/>
      <c r="D137" s="516">
        <f>SUM(D125:D136)</f>
        <v>0</v>
      </c>
      <c r="E137" s="517">
        <f t="shared" ref="E137:X137" si="18">SUM(E126:E136)</f>
        <v>367858.33333333331</v>
      </c>
      <c r="F137" s="517">
        <f t="shared" si="18"/>
        <v>765164</v>
      </c>
      <c r="G137" s="517">
        <f t="shared" si="18"/>
        <v>780477.4800000001</v>
      </c>
      <c r="H137" s="517">
        <f t="shared" si="18"/>
        <v>796087.02960000001</v>
      </c>
      <c r="I137" s="517">
        <f t="shared" si="18"/>
        <v>812008.77019200008</v>
      </c>
      <c r="J137" s="517">
        <f t="shared" si="18"/>
        <v>856592.82439104002</v>
      </c>
      <c r="K137" s="517">
        <f t="shared" si="18"/>
        <v>869187.76208849275</v>
      </c>
      <c r="L137" s="517">
        <f t="shared" si="18"/>
        <v>886571.51733026258</v>
      </c>
      <c r="M137" s="517">
        <f t="shared" si="18"/>
        <v>904302.94767686806</v>
      </c>
      <c r="N137" s="517">
        <f t="shared" si="18"/>
        <v>922389.00663040532</v>
      </c>
      <c r="O137" s="517">
        <f t="shared" si="18"/>
        <v>945227.28955301619</v>
      </c>
      <c r="P137" s="517">
        <f t="shared" si="18"/>
        <v>959653.52249827387</v>
      </c>
      <c r="Q137" s="517">
        <f t="shared" si="18"/>
        <v>978846.59294823918</v>
      </c>
      <c r="R137" s="517">
        <f t="shared" si="18"/>
        <v>998423.52480720403</v>
      </c>
      <c r="S137" s="517">
        <f t="shared" si="18"/>
        <v>1018391.9953033481</v>
      </c>
      <c r="T137" s="517">
        <f t="shared" si="18"/>
        <v>1043086.901040253</v>
      </c>
      <c r="U137" s="517">
        <f t="shared" si="18"/>
        <v>1059535.0319136034</v>
      </c>
      <c r="V137" s="517">
        <f t="shared" si="18"/>
        <v>1080725.7325518755</v>
      </c>
      <c r="W137" s="517">
        <f t="shared" si="18"/>
        <v>1102340.2472029133</v>
      </c>
      <c r="X137" s="517">
        <f t="shared" si="18"/>
        <v>1124387.0521469712</v>
      </c>
    </row>
    <row r="138" spans="1:24">
      <c r="A138" s="92"/>
      <c r="B138" s="69"/>
      <c r="C138" s="69"/>
      <c r="D138" s="514"/>
      <c r="E138" s="515"/>
      <c r="F138" s="515"/>
      <c r="G138" s="515"/>
      <c r="H138" s="515"/>
      <c r="I138" s="515"/>
      <c r="J138" s="515"/>
      <c r="K138" s="515"/>
      <c r="L138" s="515"/>
      <c r="M138" s="515"/>
      <c r="N138" s="515"/>
      <c r="O138" s="515"/>
      <c r="P138" s="515"/>
      <c r="Q138" s="515"/>
      <c r="R138" s="515"/>
      <c r="S138" s="515"/>
      <c r="T138" s="515"/>
      <c r="U138" s="515"/>
      <c r="V138" s="515"/>
      <c r="W138" s="515"/>
      <c r="X138" s="515"/>
    </row>
    <row r="139" spans="1:24">
      <c r="A139" s="269" t="s">
        <v>85</v>
      </c>
      <c r="B139" s="269"/>
      <c r="C139" s="270"/>
      <c r="D139" s="513"/>
      <c r="E139" s="513"/>
      <c r="F139" s="513"/>
      <c r="G139" s="513"/>
      <c r="H139" s="513"/>
      <c r="I139" s="513"/>
      <c r="J139" s="513"/>
      <c r="K139" s="513"/>
      <c r="L139" s="513"/>
      <c r="M139" s="513"/>
      <c r="N139" s="513"/>
      <c r="O139" s="513"/>
      <c r="P139" s="513"/>
      <c r="Q139" s="513"/>
      <c r="R139" s="513"/>
      <c r="S139" s="513"/>
      <c r="T139" s="513"/>
      <c r="U139" s="513"/>
      <c r="V139" s="513"/>
      <c r="W139" s="513"/>
      <c r="X139" s="513"/>
    </row>
    <row r="140" spans="1:24" s="368" customFormat="1">
      <c r="A140" s="263"/>
      <c r="B140" s="263"/>
      <c r="C140" s="367"/>
      <c r="D140" s="514"/>
      <c r="E140" s="515"/>
      <c r="F140" s="515"/>
      <c r="G140" s="515"/>
      <c r="H140" s="515"/>
      <c r="I140" s="515"/>
      <c r="J140" s="515"/>
      <c r="K140" s="515"/>
      <c r="L140" s="515"/>
      <c r="M140" s="515"/>
      <c r="N140" s="515"/>
      <c r="O140" s="515"/>
      <c r="P140" s="515"/>
      <c r="Q140" s="515"/>
      <c r="R140" s="515"/>
      <c r="S140" s="515"/>
      <c r="T140" s="515"/>
      <c r="U140" s="515"/>
      <c r="V140" s="515"/>
      <c r="W140" s="515"/>
      <c r="X140" s="515"/>
    </row>
    <row r="141" spans="1:24" s="58" customFormat="1">
      <c r="A141" s="69" t="s">
        <v>0</v>
      </c>
      <c r="B141" s="263"/>
      <c r="C141" s="783"/>
      <c r="D141" s="514">
        <v>0</v>
      </c>
      <c r="E141" s="515">
        <f>'OPEX - Concept C2 - Carnival'!L132</f>
        <v>0</v>
      </c>
      <c r="F141" s="515">
        <f>'OPEX - Concept C2 - Carnival'!M132</f>
        <v>54570</v>
      </c>
      <c r="G141" s="515">
        <f>'OPEX - Concept C2 - Carnival'!N132</f>
        <v>56774.628000000004</v>
      </c>
      <c r="H141" s="515">
        <f>'OPEX - Concept C2 - Carnival'!O132</f>
        <v>57910.120559999996</v>
      </c>
      <c r="I141" s="515">
        <f>'OPEX - Concept C2 - Carnival'!P132</f>
        <v>59068.322971199988</v>
      </c>
      <c r="J141" s="515">
        <f>'OPEX - Concept C2 - Carnival'!Q132</f>
        <v>60249.689430623999</v>
      </c>
      <c r="K141" s="515">
        <f>'OPEX - Concept C2 - Carnival'!R132</f>
        <v>61454.683219236475</v>
      </c>
      <c r="L141" s="515">
        <f>'OPEX - Concept C2 - Carnival'!S132</f>
        <v>62683.776883621205</v>
      </c>
      <c r="M141" s="515">
        <f>'OPEX - Concept C2 - Carnival'!T132</f>
        <v>63937.452421293638</v>
      </c>
      <c r="N141" s="515">
        <f>'OPEX - Concept C2 - Carnival'!U132</f>
        <v>65216.201469719512</v>
      </c>
      <c r="O141" s="515">
        <f>'OPEX - Concept C2 - Carnival'!V132</f>
        <v>66520.525499113894</v>
      </c>
      <c r="P141" s="515">
        <f>'OPEX - Concept C2 - Carnival'!W132</f>
        <v>67850.936009096185</v>
      </c>
      <c r="Q141" s="515">
        <f>'OPEX - Concept C2 - Carnival'!X132</f>
        <v>69207.954729278121</v>
      </c>
      <c r="R141" s="515">
        <f>'OPEX - Concept C2 - Carnival'!Y132</f>
        <v>70592.113823863678</v>
      </c>
      <c r="S141" s="515">
        <f>'OPEX - Concept C2 - Carnival'!Z132</f>
        <v>72003.956100340947</v>
      </c>
      <c r="T141" s="515">
        <f>'OPEX - Concept C2 - Carnival'!AA132</f>
        <v>73444.035222347768</v>
      </c>
      <c r="U141" s="515">
        <f>'OPEX - Concept C2 - Carnival'!AB132</f>
        <v>74912.915926794725</v>
      </c>
      <c r="V141" s="515">
        <f>'OPEX - Concept C2 - Carnival'!AC132</f>
        <v>76411.174245330621</v>
      </c>
      <c r="W141" s="515">
        <f>'OPEX - Concept C2 - Carnival'!AD132</f>
        <v>77939.397730237237</v>
      </c>
      <c r="X141" s="515">
        <f>'OPEX - Concept C2 - Carnival'!AE132</f>
        <v>79498.18568484197</v>
      </c>
    </row>
    <row r="142" spans="1:24" s="58" customFormat="1">
      <c r="A142" s="69" t="s">
        <v>4</v>
      </c>
      <c r="B142" s="263"/>
      <c r="C142" s="783"/>
      <c r="D142" s="514">
        <v>0</v>
      </c>
      <c r="E142" s="515">
        <f>'OPEX - Concept C2 - Carnival'!L155</f>
        <v>0</v>
      </c>
      <c r="F142" s="515">
        <f>'OPEX - Concept C2 - Carnival'!M155</f>
        <v>85335.846153846156</v>
      </c>
      <c r="G142" s="515">
        <f>'OPEX - Concept C2 - Carnival'!N155</f>
        <v>87042.563076923077</v>
      </c>
      <c r="H142" s="515">
        <f>'OPEX - Concept C2 - Carnival'!O155</f>
        <v>88783.41433846156</v>
      </c>
      <c r="I142" s="515">
        <f>'OPEX - Concept C2 - Carnival'!P155</f>
        <v>90559.082625230774</v>
      </c>
      <c r="J142" s="515">
        <f>'OPEX - Concept C2 - Carnival'!Q155</f>
        <v>92370.264277735376</v>
      </c>
      <c r="K142" s="515">
        <f>'OPEX - Concept C2 - Carnival'!R155</f>
        <v>94217.669563290081</v>
      </c>
      <c r="L142" s="515">
        <f>'OPEX - Concept C2 - Carnival'!S155</f>
        <v>96102.022954555898</v>
      </c>
      <c r="M142" s="515">
        <f>'OPEX - Concept C2 - Carnival'!T155</f>
        <v>98024.063413647003</v>
      </c>
      <c r="N142" s="515">
        <f>'OPEX - Concept C2 - Carnival'!U155</f>
        <v>99984.544681919942</v>
      </c>
      <c r="O142" s="515">
        <f>'OPEX - Concept C2 - Carnival'!V155</f>
        <v>101984.23557555837</v>
      </c>
      <c r="P142" s="515">
        <f>'OPEX - Concept C2 - Carnival'!W155</f>
        <v>104023.92028706953</v>
      </c>
      <c r="Q142" s="515">
        <f>'OPEX - Concept C2 - Carnival'!X155</f>
        <v>106104.39869281092</v>
      </c>
      <c r="R142" s="515">
        <f>'OPEX - Concept C2 - Carnival'!Y155</f>
        <v>108226.48666666714</v>
      </c>
      <c r="S142" s="515">
        <f>'OPEX - Concept C2 - Carnival'!Z155</f>
        <v>110391.01640000047</v>
      </c>
      <c r="T142" s="515">
        <f>'OPEX - Concept C2 - Carnival'!AA155</f>
        <v>112598.8367280005</v>
      </c>
      <c r="U142" s="515">
        <f>'OPEX - Concept C2 - Carnival'!AB155</f>
        <v>114850.8134625605</v>
      </c>
      <c r="V142" s="515">
        <f>'OPEX - Concept C2 - Carnival'!AC155</f>
        <v>117147.82973181173</v>
      </c>
      <c r="W142" s="515">
        <f>'OPEX - Concept C2 - Carnival'!AD155</f>
        <v>119490.78632644797</v>
      </c>
      <c r="X142" s="515">
        <f>'OPEX - Concept C2 - Carnival'!AE155</f>
        <v>121880.60205297693</v>
      </c>
    </row>
    <row r="143" spans="1:24" s="16" customFormat="1" ht="14.25">
      <c r="A143" s="282" t="s">
        <v>133</v>
      </c>
      <c r="B143" s="276"/>
      <c r="C143" s="276"/>
      <c r="D143" s="516">
        <f>SUM(D141:D142)</f>
        <v>0</v>
      </c>
      <c r="E143" s="517">
        <f>SUM(E141:E142)</f>
        <v>0</v>
      </c>
      <c r="F143" s="517">
        <f t="shared" ref="F143:X143" si="19">SUM(F141:F142)</f>
        <v>139905.84615384616</v>
      </c>
      <c r="G143" s="517">
        <f t="shared" si="19"/>
        <v>143817.19107692307</v>
      </c>
      <c r="H143" s="517">
        <f t="shared" si="19"/>
        <v>146693.53489846154</v>
      </c>
      <c r="I143" s="517">
        <f t="shared" si="19"/>
        <v>149627.40559643076</v>
      </c>
      <c r="J143" s="517">
        <f t="shared" si="19"/>
        <v>152619.95370835939</v>
      </c>
      <c r="K143" s="517">
        <f t="shared" si="19"/>
        <v>155672.35278252655</v>
      </c>
      <c r="L143" s="517">
        <f t="shared" si="19"/>
        <v>158785.7998381771</v>
      </c>
      <c r="M143" s="517">
        <f t="shared" si="19"/>
        <v>161961.51583494066</v>
      </c>
      <c r="N143" s="517">
        <f t="shared" si="19"/>
        <v>165200.74615163944</v>
      </c>
      <c r="O143" s="517">
        <f t="shared" si="19"/>
        <v>168504.76107467228</v>
      </c>
      <c r="P143" s="517">
        <f t="shared" si="19"/>
        <v>171874.85629616573</v>
      </c>
      <c r="Q143" s="517">
        <f t="shared" si="19"/>
        <v>175312.35342208904</v>
      </c>
      <c r="R143" s="517">
        <f t="shared" si="19"/>
        <v>178818.60049053084</v>
      </c>
      <c r="S143" s="517">
        <f t="shared" si="19"/>
        <v>182394.97250034142</v>
      </c>
      <c r="T143" s="517">
        <f t="shared" si="19"/>
        <v>186042.87195034826</v>
      </c>
      <c r="U143" s="517">
        <f t="shared" si="19"/>
        <v>189763.72938935523</v>
      </c>
      <c r="V143" s="517">
        <f t="shared" si="19"/>
        <v>193559.00397714233</v>
      </c>
      <c r="W143" s="517">
        <f t="shared" si="19"/>
        <v>197430.18405668519</v>
      </c>
      <c r="X143" s="517">
        <f t="shared" si="19"/>
        <v>201378.7877378189</v>
      </c>
    </row>
    <row r="144" spans="1:24">
      <c r="A144" s="92"/>
      <c r="B144" s="92"/>
      <c r="C144" s="69"/>
      <c r="D144" s="514"/>
      <c r="E144" s="515"/>
      <c r="F144" s="515"/>
      <c r="G144" s="515"/>
      <c r="H144" s="515"/>
      <c r="I144" s="515"/>
      <c r="J144" s="515"/>
      <c r="K144" s="515"/>
      <c r="L144" s="515"/>
      <c r="M144" s="515"/>
      <c r="N144" s="515"/>
      <c r="O144" s="515"/>
      <c r="P144" s="515"/>
      <c r="Q144" s="515"/>
      <c r="R144" s="515"/>
      <c r="S144" s="515"/>
      <c r="T144" s="515"/>
      <c r="U144" s="515"/>
      <c r="V144" s="515"/>
      <c r="W144" s="515"/>
      <c r="X144" s="515"/>
    </row>
    <row r="145" spans="1:24" s="16" customFormat="1" ht="14.25">
      <c r="A145" s="350" t="s">
        <v>118</v>
      </c>
      <c r="B145" s="350"/>
      <c r="C145" s="351"/>
      <c r="D145" s="519">
        <f t="shared" ref="D145:X145" si="20">SUM(D137,D143)</f>
        <v>0</v>
      </c>
      <c r="E145" s="519">
        <f t="shared" si="20"/>
        <v>367858.33333333331</v>
      </c>
      <c r="F145" s="519">
        <f t="shared" si="20"/>
        <v>905069.84615384613</v>
      </c>
      <c r="G145" s="519">
        <f t="shared" si="20"/>
        <v>924294.67107692314</v>
      </c>
      <c r="H145" s="519">
        <f t="shared" si="20"/>
        <v>942780.56449846155</v>
      </c>
      <c r="I145" s="519">
        <f t="shared" si="20"/>
        <v>961636.17578843085</v>
      </c>
      <c r="J145" s="519">
        <f t="shared" si="20"/>
        <v>1009212.7780993994</v>
      </c>
      <c r="K145" s="519">
        <f t="shared" si="20"/>
        <v>1024860.1148710193</v>
      </c>
      <c r="L145" s="519">
        <f t="shared" si="20"/>
        <v>1045357.3171684397</v>
      </c>
      <c r="M145" s="519">
        <f t="shared" si="20"/>
        <v>1066264.4635118088</v>
      </c>
      <c r="N145" s="519">
        <f t="shared" si="20"/>
        <v>1087589.7527820447</v>
      </c>
      <c r="O145" s="519">
        <f t="shared" si="20"/>
        <v>1113732.0506276884</v>
      </c>
      <c r="P145" s="519">
        <f t="shared" si="20"/>
        <v>1131528.3787944396</v>
      </c>
      <c r="Q145" s="519">
        <f t="shared" si="20"/>
        <v>1154158.9463703283</v>
      </c>
      <c r="R145" s="519">
        <f t="shared" si="20"/>
        <v>1177242.125297735</v>
      </c>
      <c r="S145" s="519">
        <f t="shared" si="20"/>
        <v>1200786.9678036894</v>
      </c>
      <c r="T145" s="519">
        <f t="shared" si="20"/>
        <v>1229129.7729906011</v>
      </c>
      <c r="U145" s="519">
        <f t="shared" si="20"/>
        <v>1249298.7613029587</v>
      </c>
      <c r="V145" s="519">
        <f t="shared" si="20"/>
        <v>1274284.7365290178</v>
      </c>
      <c r="W145" s="519">
        <f t="shared" si="20"/>
        <v>1299770.4312595986</v>
      </c>
      <c r="X145" s="519">
        <f t="shared" si="20"/>
        <v>1325765.8398847901</v>
      </c>
    </row>
    <row r="146" spans="1:24" s="222" customFormat="1" ht="14.25">
      <c r="A146" s="280"/>
      <c r="B146" s="280"/>
      <c r="C146" s="263"/>
      <c r="D146" s="518"/>
      <c r="E146" s="520"/>
      <c r="F146" s="520"/>
      <c r="G146" s="520"/>
      <c r="H146" s="520"/>
      <c r="I146" s="520"/>
      <c r="J146" s="520"/>
      <c r="K146" s="520"/>
      <c r="L146" s="520"/>
      <c r="M146" s="520"/>
      <c r="N146" s="520"/>
      <c r="O146" s="520"/>
      <c r="P146" s="520"/>
      <c r="Q146" s="520"/>
      <c r="R146" s="520"/>
      <c r="S146" s="520"/>
      <c r="T146" s="520"/>
      <c r="U146" s="520"/>
      <c r="V146" s="520"/>
      <c r="W146" s="520"/>
      <c r="X146" s="520"/>
    </row>
    <row r="147" spans="1:24" s="222" customFormat="1" ht="14.25">
      <c r="A147" s="271" t="s">
        <v>295</v>
      </c>
      <c r="B147" s="271"/>
      <c r="C147" s="269"/>
      <c r="D147" s="521"/>
      <c r="E147" s="521"/>
      <c r="F147" s="521"/>
      <c r="G147" s="521"/>
      <c r="H147" s="521"/>
      <c r="I147" s="521"/>
      <c r="J147" s="521"/>
      <c r="K147" s="521"/>
      <c r="L147" s="521"/>
      <c r="M147" s="521"/>
      <c r="N147" s="521"/>
      <c r="O147" s="521"/>
      <c r="P147" s="521"/>
      <c r="Q147" s="521"/>
      <c r="R147" s="521"/>
      <c r="S147" s="521"/>
      <c r="T147" s="521"/>
      <c r="U147" s="521"/>
      <c r="V147" s="521"/>
      <c r="W147" s="521"/>
      <c r="X147" s="521"/>
    </row>
    <row r="148" spans="1:24" s="222" customFormat="1" ht="14.25">
      <c r="A148" s="280"/>
      <c r="B148" s="280"/>
      <c r="C148" s="263"/>
      <c r="D148" s="518"/>
      <c r="E148" s="520"/>
      <c r="F148" s="520"/>
      <c r="G148" s="520"/>
      <c r="H148" s="520"/>
      <c r="I148" s="520"/>
      <c r="J148" s="520"/>
      <c r="K148" s="520"/>
      <c r="L148" s="520"/>
      <c r="M148" s="520"/>
      <c r="N148" s="520"/>
      <c r="O148" s="520"/>
      <c r="P148" s="520"/>
      <c r="Q148" s="520"/>
      <c r="R148" s="520"/>
      <c r="S148" s="520"/>
      <c r="T148" s="520"/>
      <c r="U148" s="520"/>
      <c r="V148" s="520"/>
      <c r="W148" s="520"/>
      <c r="X148" s="520"/>
    </row>
    <row r="149" spans="1:24" s="725" customFormat="1">
      <c r="A149" s="353" t="s">
        <v>228</v>
      </c>
      <c r="B149" s="691"/>
      <c r="C149" s="724"/>
      <c r="D149" s="699">
        <v>0</v>
      </c>
      <c r="E149" s="700"/>
      <c r="F149" s="700"/>
      <c r="G149" s="700"/>
      <c r="H149" s="700"/>
      <c r="I149" s="700"/>
      <c r="J149" s="700"/>
      <c r="K149" s="700"/>
      <c r="L149" s="700"/>
      <c r="M149" s="700"/>
      <c r="N149" s="700"/>
      <c r="O149" s="700"/>
      <c r="P149" s="700"/>
      <c r="Q149" s="700"/>
      <c r="R149" s="700"/>
      <c r="S149" s="700"/>
      <c r="T149" s="700"/>
      <c r="U149" s="700"/>
      <c r="V149" s="700"/>
      <c r="W149" s="700"/>
      <c r="X149" s="700"/>
    </row>
    <row r="150" spans="1:24" s="725" customFormat="1">
      <c r="A150" s="726" t="s">
        <v>228</v>
      </c>
      <c r="B150" s="727"/>
      <c r="C150" s="728"/>
      <c r="D150" s="729">
        <v>0</v>
      </c>
      <c r="E150" s="730"/>
      <c r="F150" s="730"/>
      <c r="G150" s="730"/>
      <c r="H150" s="730"/>
      <c r="I150" s="730"/>
      <c r="J150" s="730"/>
      <c r="K150" s="730"/>
      <c r="L150" s="730"/>
      <c r="M150" s="730"/>
      <c r="N150" s="730"/>
      <c r="O150" s="730"/>
      <c r="P150" s="730"/>
      <c r="Q150" s="730"/>
      <c r="R150" s="730"/>
      <c r="S150" s="730"/>
      <c r="T150" s="730"/>
      <c r="U150" s="730"/>
      <c r="V150" s="730"/>
      <c r="W150" s="730"/>
      <c r="X150" s="730"/>
    </row>
    <row r="151" spans="1:24" s="725" customFormat="1" ht="14.25">
      <c r="A151" s="691" t="s">
        <v>296</v>
      </c>
      <c r="B151" s="691"/>
      <c r="C151" s="724"/>
      <c r="D151" s="731">
        <f t="shared" ref="D151:X151" si="21">SUM(D149:D150)</f>
        <v>0</v>
      </c>
      <c r="E151" s="732">
        <f t="shared" si="21"/>
        <v>0</v>
      </c>
      <c r="F151" s="732">
        <f t="shared" si="21"/>
        <v>0</v>
      </c>
      <c r="G151" s="732">
        <f t="shared" si="21"/>
        <v>0</v>
      </c>
      <c r="H151" s="732">
        <f t="shared" si="21"/>
        <v>0</v>
      </c>
      <c r="I151" s="732">
        <f t="shared" si="21"/>
        <v>0</v>
      </c>
      <c r="J151" s="732">
        <f t="shared" si="21"/>
        <v>0</v>
      </c>
      <c r="K151" s="732">
        <f t="shared" si="21"/>
        <v>0</v>
      </c>
      <c r="L151" s="732">
        <f t="shared" si="21"/>
        <v>0</v>
      </c>
      <c r="M151" s="732">
        <f t="shared" si="21"/>
        <v>0</v>
      </c>
      <c r="N151" s="732">
        <f t="shared" si="21"/>
        <v>0</v>
      </c>
      <c r="O151" s="732">
        <f t="shared" si="21"/>
        <v>0</v>
      </c>
      <c r="P151" s="732">
        <f t="shared" si="21"/>
        <v>0</v>
      </c>
      <c r="Q151" s="732">
        <f t="shared" si="21"/>
        <v>0</v>
      </c>
      <c r="R151" s="732">
        <f t="shared" si="21"/>
        <v>0</v>
      </c>
      <c r="S151" s="732">
        <f t="shared" si="21"/>
        <v>0</v>
      </c>
      <c r="T151" s="732">
        <f t="shared" si="21"/>
        <v>0</v>
      </c>
      <c r="U151" s="732">
        <f t="shared" si="21"/>
        <v>0</v>
      </c>
      <c r="V151" s="732">
        <f t="shared" si="21"/>
        <v>0</v>
      </c>
      <c r="W151" s="732">
        <f t="shared" si="21"/>
        <v>0</v>
      </c>
      <c r="X151" s="732">
        <f t="shared" si="21"/>
        <v>0</v>
      </c>
    </row>
    <row r="152" spans="1:24" s="222" customFormat="1">
      <c r="A152" s="280"/>
      <c r="B152" s="280"/>
      <c r="C152" s="263"/>
      <c r="D152" s="514"/>
      <c r="E152" s="515"/>
      <c r="F152" s="520"/>
      <c r="G152" s="520"/>
      <c r="H152" s="520"/>
      <c r="I152" s="520"/>
      <c r="J152" s="520"/>
      <c r="K152" s="520"/>
      <c r="L152" s="520"/>
      <c r="M152" s="520"/>
      <c r="N152" s="520"/>
      <c r="O152" s="520"/>
      <c r="P152" s="520"/>
      <c r="Q152" s="520"/>
      <c r="R152" s="520"/>
      <c r="S152" s="520"/>
      <c r="T152" s="520"/>
      <c r="U152" s="520"/>
      <c r="V152" s="520"/>
      <c r="W152" s="520"/>
      <c r="X152" s="520"/>
    </row>
    <row r="153" spans="1:24" s="222" customFormat="1" ht="14.25">
      <c r="A153" s="296" t="s">
        <v>140</v>
      </c>
      <c r="B153" s="296"/>
      <c r="C153" s="297"/>
      <c r="D153" s="522">
        <f t="shared" ref="D153:X153" si="22">SUM(D145,D151)</f>
        <v>0</v>
      </c>
      <c r="E153" s="522">
        <f t="shared" si="22"/>
        <v>367858.33333333331</v>
      </c>
      <c r="F153" s="522">
        <f t="shared" si="22"/>
        <v>905069.84615384613</v>
      </c>
      <c r="G153" s="522">
        <f t="shared" si="22"/>
        <v>924294.67107692314</v>
      </c>
      <c r="H153" s="522">
        <f t="shared" si="22"/>
        <v>942780.56449846155</v>
      </c>
      <c r="I153" s="522">
        <f t="shared" si="22"/>
        <v>961636.17578843085</v>
      </c>
      <c r="J153" s="522">
        <f t="shared" si="22"/>
        <v>1009212.7780993994</v>
      </c>
      <c r="K153" s="522">
        <f t="shared" si="22"/>
        <v>1024860.1148710193</v>
      </c>
      <c r="L153" s="522">
        <f t="shared" si="22"/>
        <v>1045357.3171684397</v>
      </c>
      <c r="M153" s="522">
        <f t="shared" si="22"/>
        <v>1066264.4635118088</v>
      </c>
      <c r="N153" s="522">
        <f t="shared" si="22"/>
        <v>1087589.7527820447</v>
      </c>
      <c r="O153" s="522">
        <f t="shared" si="22"/>
        <v>1113732.0506276884</v>
      </c>
      <c r="P153" s="522">
        <f t="shared" si="22"/>
        <v>1131528.3787944396</v>
      </c>
      <c r="Q153" s="522">
        <f t="shared" si="22"/>
        <v>1154158.9463703283</v>
      </c>
      <c r="R153" s="522">
        <f t="shared" si="22"/>
        <v>1177242.125297735</v>
      </c>
      <c r="S153" s="522">
        <f t="shared" si="22"/>
        <v>1200786.9678036894</v>
      </c>
      <c r="T153" s="522">
        <f t="shared" si="22"/>
        <v>1229129.7729906011</v>
      </c>
      <c r="U153" s="522">
        <f t="shared" si="22"/>
        <v>1249298.7613029587</v>
      </c>
      <c r="V153" s="522">
        <f t="shared" si="22"/>
        <v>1274284.7365290178</v>
      </c>
      <c r="W153" s="522">
        <f t="shared" si="22"/>
        <v>1299770.4312595986</v>
      </c>
      <c r="X153" s="522">
        <f t="shared" si="22"/>
        <v>1325765.8398847901</v>
      </c>
    </row>
    <row r="154" spans="1:24">
      <c r="A154" s="92"/>
      <c r="B154" s="92"/>
      <c r="C154" s="69"/>
      <c r="D154" s="514"/>
      <c r="E154" s="515"/>
      <c r="F154" s="515"/>
      <c r="G154" s="515"/>
      <c r="H154" s="515"/>
      <c r="I154" s="515"/>
      <c r="J154" s="515"/>
      <c r="K154" s="515"/>
      <c r="L154" s="515"/>
      <c r="M154" s="515"/>
      <c r="N154" s="515"/>
      <c r="O154" s="515"/>
      <c r="P154" s="515"/>
      <c r="Q154" s="515"/>
      <c r="R154" s="515"/>
      <c r="S154" s="515"/>
      <c r="T154" s="515"/>
      <c r="U154" s="515"/>
      <c r="V154" s="515"/>
      <c r="W154" s="515"/>
      <c r="X154" s="515"/>
    </row>
    <row r="155" spans="1:24" s="33" customFormat="1">
      <c r="A155" s="47" t="s">
        <v>7</v>
      </c>
      <c r="B155" s="47" t="s">
        <v>7</v>
      </c>
      <c r="C155" s="78" t="s">
        <v>7</v>
      </c>
      <c r="D155" s="604" t="s">
        <v>7</v>
      </c>
      <c r="E155" s="78" t="s">
        <v>7</v>
      </c>
      <c r="F155" s="78" t="s">
        <v>7</v>
      </c>
      <c r="G155" s="78" t="s">
        <v>7</v>
      </c>
      <c r="H155" s="78" t="s">
        <v>7</v>
      </c>
      <c r="I155" s="78" t="s">
        <v>7</v>
      </c>
      <c r="J155" s="78" t="s">
        <v>7</v>
      </c>
      <c r="K155" s="78" t="s">
        <v>7</v>
      </c>
      <c r="L155" s="78" t="s">
        <v>7</v>
      </c>
      <c r="M155" s="78" t="s">
        <v>7</v>
      </c>
      <c r="N155" s="78" t="s">
        <v>7</v>
      </c>
      <c r="O155" s="78" t="s">
        <v>7</v>
      </c>
      <c r="P155" s="78" t="s">
        <v>7</v>
      </c>
      <c r="Q155" s="78" t="s">
        <v>7</v>
      </c>
      <c r="R155" s="78" t="s">
        <v>7</v>
      </c>
      <c r="S155" s="78" t="s">
        <v>7</v>
      </c>
      <c r="T155" s="78" t="s">
        <v>7</v>
      </c>
      <c r="U155" s="78" t="s">
        <v>7</v>
      </c>
      <c r="V155" s="78" t="s">
        <v>7</v>
      </c>
      <c r="W155" s="78" t="s">
        <v>7</v>
      </c>
      <c r="X155" s="78" t="s">
        <v>7</v>
      </c>
    </row>
    <row r="156" spans="1:24">
      <c r="A156" s="92"/>
      <c r="B156" s="92"/>
      <c r="C156" s="69"/>
      <c r="D156" s="518"/>
      <c r="E156" s="515"/>
      <c r="F156" s="515"/>
      <c r="G156" s="515"/>
      <c r="H156" s="515"/>
      <c r="I156" s="515"/>
      <c r="J156" s="515"/>
      <c r="K156" s="515"/>
      <c r="L156" s="515"/>
      <c r="M156" s="515"/>
      <c r="N156" s="515"/>
      <c r="O156" s="515"/>
      <c r="P156" s="515"/>
      <c r="Q156" s="515"/>
      <c r="R156" s="515"/>
      <c r="S156" s="515"/>
      <c r="T156" s="515"/>
      <c r="U156" s="515"/>
      <c r="V156" s="515"/>
      <c r="W156" s="515"/>
      <c r="X156" s="515"/>
    </row>
    <row r="157" spans="1:24" s="16" customFormat="1" ht="14.25">
      <c r="A157" s="278" t="s">
        <v>116</v>
      </c>
      <c r="B157" s="263"/>
      <c r="C157" s="263"/>
      <c r="D157" s="518">
        <f>D120-(D137+D143)</f>
        <v>0</v>
      </c>
      <c r="E157" s="520">
        <f>E120-E153</f>
        <v>-148033.33333333331</v>
      </c>
      <c r="F157" s="520">
        <f t="shared" ref="F157:X157" si="23">F120-F153</f>
        <v>783654.24787516461</v>
      </c>
      <c r="G157" s="520">
        <f t="shared" si="23"/>
        <v>943256.30483266781</v>
      </c>
      <c r="H157" s="520">
        <f t="shared" si="23"/>
        <v>961901.4309293211</v>
      </c>
      <c r="I157" s="520">
        <f t="shared" si="23"/>
        <v>980919.4595479077</v>
      </c>
      <c r="J157" s="520">
        <f t="shared" si="23"/>
        <v>1188911.8171658874</v>
      </c>
      <c r="K157" s="520">
        <f t="shared" si="23"/>
        <v>1212668.2153551292</v>
      </c>
      <c r="L157" s="520">
        <f t="shared" si="23"/>
        <v>1232362.8227177872</v>
      </c>
      <c r="M157" s="520">
        <f t="shared" si="23"/>
        <v>1252451.3222276992</v>
      </c>
      <c r="N157" s="520">
        <f t="shared" si="23"/>
        <v>1272941.5917278084</v>
      </c>
      <c r="O157" s="520">
        <f t="shared" si="23"/>
        <v>1344273.1256334735</v>
      </c>
      <c r="P157" s="520">
        <f t="shared" si="23"/>
        <v>1369981.7048113896</v>
      </c>
      <c r="Q157" s="520">
        <f t="shared" si="23"/>
        <v>1391726.1427270621</v>
      </c>
      <c r="R157" s="520">
        <f t="shared" si="23"/>
        <v>1413905.4694010476</v>
      </c>
      <c r="S157" s="520">
        <f t="shared" si="23"/>
        <v>1436528.3826085131</v>
      </c>
      <c r="T157" s="520">
        <f t="shared" si="23"/>
        <v>1510198.650054846</v>
      </c>
      <c r="U157" s="520">
        <f t="shared" si="23"/>
        <v>1538062.5947867301</v>
      </c>
      <c r="V157" s="520">
        <f t="shared" si="23"/>
        <v>1562070.2112657987</v>
      </c>
      <c r="W157" s="520">
        <f t="shared" si="23"/>
        <v>1586557.9800744476</v>
      </c>
      <c r="X157" s="520">
        <f t="shared" si="23"/>
        <v>1611535.5042592702</v>
      </c>
    </row>
    <row r="158" spans="1:24">
      <c r="A158" s="30"/>
      <c r="B158" s="92"/>
      <c r="C158" s="69"/>
      <c r="D158" s="514"/>
      <c r="E158" s="515"/>
      <c r="F158" s="515"/>
      <c r="G158" s="515"/>
      <c r="H158" s="515"/>
      <c r="I158" s="515"/>
      <c r="J158" s="515"/>
      <c r="K158" s="515"/>
      <c r="L158" s="515"/>
      <c r="M158" s="515"/>
      <c r="N158" s="515"/>
      <c r="O158" s="515"/>
      <c r="P158" s="515"/>
      <c r="Q158" s="515"/>
      <c r="R158" s="515"/>
      <c r="S158" s="515"/>
      <c r="T158" s="515"/>
      <c r="U158" s="515"/>
      <c r="V158" s="515"/>
      <c r="W158" s="515"/>
      <c r="X158" s="515"/>
    </row>
    <row r="159" spans="1:24" s="594" customFormat="1">
      <c r="A159" s="589" t="s">
        <v>125</v>
      </c>
      <c r="B159" s="590"/>
      <c r="C159" s="591"/>
      <c r="D159" s="592">
        <v>0</v>
      </c>
      <c r="E159" s="593">
        <v>0</v>
      </c>
      <c r="F159" s="593">
        <v>0</v>
      </c>
      <c r="G159" s="593">
        <v>0</v>
      </c>
      <c r="H159" s="593">
        <v>0</v>
      </c>
      <c r="I159" s="593">
        <v>0</v>
      </c>
      <c r="J159" s="593">
        <v>0</v>
      </c>
      <c r="K159" s="593">
        <v>0</v>
      </c>
      <c r="L159" s="593">
        <v>0</v>
      </c>
      <c r="M159" s="593">
        <v>0</v>
      </c>
      <c r="N159" s="593">
        <v>0</v>
      </c>
      <c r="O159" s="593">
        <v>0</v>
      </c>
      <c r="P159" s="593">
        <v>0</v>
      </c>
      <c r="Q159" s="593">
        <v>0</v>
      </c>
      <c r="R159" s="593">
        <v>0</v>
      </c>
      <c r="S159" s="593">
        <v>0</v>
      </c>
      <c r="T159" s="593">
        <v>0</v>
      </c>
      <c r="U159" s="593">
        <v>0</v>
      </c>
      <c r="V159" s="593">
        <v>0</v>
      </c>
      <c r="W159" s="593">
        <v>0</v>
      </c>
      <c r="X159" s="593">
        <v>0</v>
      </c>
    </row>
    <row r="160" spans="1:24">
      <c r="A160" s="92"/>
      <c r="B160" s="92"/>
      <c r="C160" s="69"/>
      <c r="D160" s="514"/>
      <c r="E160" s="515"/>
      <c r="F160" s="515"/>
      <c r="G160" s="515"/>
      <c r="H160" s="515"/>
      <c r="I160" s="515"/>
      <c r="J160" s="515"/>
      <c r="K160" s="515"/>
      <c r="L160" s="515"/>
      <c r="M160" s="515"/>
      <c r="N160" s="515"/>
      <c r="O160" s="515"/>
      <c r="P160" s="515"/>
      <c r="Q160" s="515"/>
      <c r="R160" s="515"/>
      <c r="S160" s="515"/>
      <c r="T160" s="515"/>
      <c r="U160" s="515"/>
      <c r="V160" s="515"/>
      <c r="W160" s="515"/>
      <c r="X160" s="515"/>
    </row>
    <row r="161" spans="1:24" s="16" customFormat="1" ht="14.25">
      <c r="A161" s="278" t="s">
        <v>117</v>
      </c>
      <c r="B161" s="278"/>
      <c r="C161" s="263"/>
      <c r="D161" s="518">
        <v>0</v>
      </c>
      <c r="E161" s="520">
        <f>E157-E159</f>
        <v>-148033.33333333331</v>
      </c>
      <c r="F161" s="520">
        <f t="shared" ref="F161:X161" si="24">F157-F159</f>
        <v>783654.24787516461</v>
      </c>
      <c r="G161" s="520">
        <f t="shared" si="24"/>
        <v>943256.30483266781</v>
      </c>
      <c r="H161" s="520">
        <f t="shared" si="24"/>
        <v>961901.4309293211</v>
      </c>
      <c r="I161" s="520">
        <f t="shared" si="24"/>
        <v>980919.4595479077</v>
      </c>
      <c r="J161" s="520">
        <f t="shared" si="24"/>
        <v>1188911.8171658874</v>
      </c>
      <c r="K161" s="520">
        <f t="shared" si="24"/>
        <v>1212668.2153551292</v>
      </c>
      <c r="L161" s="520">
        <f t="shared" si="24"/>
        <v>1232362.8227177872</v>
      </c>
      <c r="M161" s="520">
        <f t="shared" si="24"/>
        <v>1252451.3222276992</v>
      </c>
      <c r="N161" s="520">
        <f t="shared" si="24"/>
        <v>1272941.5917278084</v>
      </c>
      <c r="O161" s="520">
        <f t="shared" si="24"/>
        <v>1344273.1256334735</v>
      </c>
      <c r="P161" s="520">
        <f t="shared" si="24"/>
        <v>1369981.7048113896</v>
      </c>
      <c r="Q161" s="520">
        <f t="shared" si="24"/>
        <v>1391726.1427270621</v>
      </c>
      <c r="R161" s="520">
        <f t="shared" si="24"/>
        <v>1413905.4694010476</v>
      </c>
      <c r="S161" s="520">
        <f t="shared" si="24"/>
        <v>1436528.3826085131</v>
      </c>
      <c r="T161" s="520">
        <f t="shared" si="24"/>
        <v>1510198.650054846</v>
      </c>
      <c r="U161" s="520">
        <f t="shared" si="24"/>
        <v>1538062.5947867301</v>
      </c>
      <c r="V161" s="520">
        <f t="shared" si="24"/>
        <v>1562070.2112657987</v>
      </c>
      <c r="W161" s="520">
        <f t="shared" si="24"/>
        <v>1586557.9800744476</v>
      </c>
      <c r="X161" s="520">
        <f t="shared" si="24"/>
        <v>1611535.5042592702</v>
      </c>
    </row>
    <row r="162" spans="1:24">
      <c r="A162" s="92"/>
      <c r="B162" s="92"/>
      <c r="C162" s="69"/>
      <c r="D162" s="514"/>
      <c r="E162" s="515"/>
      <c r="F162" s="515"/>
      <c r="G162" s="515"/>
      <c r="H162" s="515"/>
      <c r="I162" s="515"/>
      <c r="J162" s="515"/>
      <c r="K162" s="515"/>
      <c r="L162" s="515"/>
      <c r="M162" s="515"/>
      <c r="N162" s="515"/>
      <c r="O162" s="515"/>
      <c r="P162" s="515"/>
      <c r="Q162" s="515"/>
      <c r="R162" s="515"/>
      <c r="S162" s="515"/>
      <c r="T162" s="515"/>
      <c r="U162" s="515"/>
      <c r="V162" s="515"/>
      <c r="W162" s="515"/>
      <c r="X162" s="515"/>
    </row>
    <row r="163" spans="1:24">
      <c r="A163" s="271" t="s">
        <v>126</v>
      </c>
      <c r="B163" s="272"/>
      <c r="C163" s="273"/>
      <c r="D163" s="523"/>
      <c r="E163" s="523"/>
      <c r="F163" s="523"/>
      <c r="G163" s="523"/>
      <c r="H163" s="523"/>
      <c r="I163" s="523"/>
      <c r="J163" s="523"/>
      <c r="K163" s="523"/>
      <c r="L163" s="523"/>
      <c r="M163" s="523"/>
      <c r="N163" s="523"/>
      <c r="O163" s="523"/>
      <c r="P163" s="523"/>
      <c r="Q163" s="523"/>
      <c r="R163" s="523"/>
      <c r="S163" s="523"/>
      <c r="T163" s="523"/>
      <c r="U163" s="523"/>
      <c r="V163" s="523"/>
      <c r="W163" s="523"/>
      <c r="X163" s="523"/>
    </row>
    <row r="164" spans="1:24" s="32" customFormat="1">
      <c r="A164" s="280"/>
      <c r="B164" s="91"/>
      <c r="C164" s="69"/>
      <c r="D164" s="514"/>
      <c r="E164" s="515"/>
      <c r="F164" s="515"/>
      <c r="G164" s="515"/>
      <c r="H164" s="515"/>
      <c r="I164" s="515"/>
      <c r="J164" s="515"/>
      <c r="K164" s="515"/>
      <c r="L164" s="515"/>
      <c r="M164" s="515"/>
      <c r="N164" s="515"/>
      <c r="O164" s="515"/>
      <c r="P164" s="515"/>
      <c r="Q164" s="515"/>
      <c r="R164" s="515"/>
      <c r="S164" s="515"/>
      <c r="T164" s="515"/>
      <c r="U164" s="515"/>
      <c r="V164" s="515"/>
      <c r="W164" s="515"/>
      <c r="X164" s="515"/>
    </row>
    <row r="165" spans="1:24" s="96" customFormat="1">
      <c r="A165" s="885" t="s">
        <v>136</v>
      </c>
      <c r="B165" s="719"/>
      <c r="C165" s="69"/>
      <c r="D165" s="514">
        <v>0</v>
      </c>
      <c r="E165" s="515">
        <f>'OPEX - Concept C2 - Carnival'!L170</f>
        <v>0</v>
      </c>
      <c r="F165" s="515">
        <f>'OPEX - Concept C2 - Carnival'!M170</f>
        <v>96205</v>
      </c>
      <c r="G165" s="515">
        <f>'OPEX - Concept C2 - Carnival'!N170</f>
        <v>98129.1</v>
      </c>
      <c r="H165" s="515">
        <f>'OPEX - Concept C2 - Carnival'!O170</f>
        <v>100091.682</v>
      </c>
      <c r="I165" s="515">
        <f>'OPEX - Concept C2 - Carnival'!P170</f>
        <v>102093.51564</v>
      </c>
      <c r="J165" s="515">
        <f>'OPEX - Concept C2 - Carnival'!Q170</f>
        <v>104135.3859528</v>
      </c>
      <c r="K165" s="515">
        <f>'OPEX - Concept C2 - Carnival'!R170</f>
        <v>106218.093671856</v>
      </c>
      <c r="L165" s="515">
        <f>'OPEX - Concept C2 - Carnival'!S170</f>
        <v>108342.45554529312</v>
      </c>
      <c r="M165" s="515">
        <f>'OPEX - Concept C2 - Carnival'!T170</f>
        <v>110509.30465619899</v>
      </c>
      <c r="N165" s="515">
        <f>'OPEX - Concept C2 - Carnival'!U170</f>
        <v>112719.49074932297</v>
      </c>
      <c r="O165" s="515">
        <f>'OPEX - Concept C2 - Carnival'!V170</f>
        <v>114973.88056430944</v>
      </c>
      <c r="P165" s="515">
        <f>'OPEX - Concept C2 - Carnival'!W170</f>
        <v>117273.35817559563</v>
      </c>
      <c r="Q165" s="515">
        <f>'OPEX - Concept C2 - Carnival'!X170</f>
        <v>119618.82533910754</v>
      </c>
      <c r="R165" s="515">
        <f>'OPEX - Concept C2 - Carnival'!Y170</f>
        <v>122011.20184588969</v>
      </c>
      <c r="S165" s="515">
        <f>'OPEX - Concept C2 - Carnival'!Z170</f>
        <v>124451.42588280747</v>
      </c>
      <c r="T165" s="515">
        <f>'OPEX - Concept C2 - Carnival'!AA170</f>
        <v>126940.45440046364</v>
      </c>
      <c r="U165" s="515">
        <f>'OPEX - Concept C2 - Carnival'!AB170</f>
        <v>129479.26348847292</v>
      </c>
      <c r="V165" s="515">
        <f>'OPEX - Concept C2 - Carnival'!AC170</f>
        <v>132068.84875824238</v>
      </c>
      <c r="W165" s="515">
        <f>'OPEX - Concept C2 - Carnival'!AD170</f>
        <v>134710.22573340722</v>
      </c>
      <c r="X165" s="515">
        <f>'OPEX - Concept C2 - Carnival'!AE170</f>
        <v>137404.43024807537</v>
      </c>
    </row>
    <row r="166" spans="1:24" s="96" customFormat="1">
      <c r="A166" s="885" t="s">
        <v>458</v>
      </c>
      <c r="B166" s="719"/>
      <c r="C166" s="69"/>
      <c r="D166" s="514">
        <v>0</v>
      </c>
      <c r="E166" s="515">
        <f>'OPEX - Concept C2 - Carnival'!L172</f>
        <v>676285.92</v>
      </c>
      <c r="F166" s="515">
        <f>'OPEX - Concept C2 - Carnival'!M172</f>
        <v>676285.92</v>
      </c>
      <c r="G166" s="515">
        <f>'OPEX - Concept C2 - Carnival'!N172</f>
        <v>676285.92</v>
      </c>
      <c r="H166" s="515">
        <f>'OPEX - Concept C2 - Carnival'!O172</f>
        <v>676285.92</v>
      </c>
      <c r="I166" s="515">
        <f>'OPEX - Concept C2 - Carnival'!P172</f>
        <v>676285.92</v>
      </c>
      <c r="J166" s="515">
        <f>'OPEX - Concept C2 - Carnival'!Q172</f>
        <v>676285.92</v>
      </c>
      <c r="K166" s="515">
        <f>'OPEX - Concept C2 - Carnival'!R172</f>
        <v>676285.92</v>
      </c>
      <c r="L166" s="515">
        <f>'OPEX - Concept C2 - Carnival'!S172</f>
        <v>676285.92</v>
      </c>
      <c r="M166" s="515">
        <f>'OPEX - Concept C2 - Carnival'!T172</f>
        <v>676285.92</v>
      </c>
      <c r="N166" s="515">
        <f>'OPEX - Concept C2 - Carnival'!U172</f>
        <v>676285.92</v>
      </c>
      <c r="O166" s="515">
        <f>'OPEX - Concept C2 - Carnival'!V172</f>
        <v>676285.92</v>
      </c>
      <c r="P166" s="515">
        <f>'OPEX - Concept C2 - Carnival'!W172</f>
        <v>676285.92</v>
      </c>
      <c r="Q166" s="515">
        <f>'OPEX - Concept C2 - Carnival'!X172</f>
        <v>676285.92</v>
      </c>
      <c r="R166" s="515">
        <f>'OPEX - Concept C2 - Carnival'!Y172</f>
        <v>676285.92</v>
      </c>
      <c r="S166" s="515">
        <f>'OPEX - Concept C2 - Carnival'!Z172</f>
        <v>676285.92</v>
      </c>
      <c r="T166" s="515">
        <f>'OPEX - Concept C2 - Carnival'!AA172</f>
        <v>676285.92</v>
      </c>
      <c r="U166" s="515">
        <f>'OPEX - Concept C2 - Carnival'!AB172</f>
        <v>676285.92</v>
      </c>
      <c r="V166" s="515">
        <f>'OPEX - Concept C2 - Carnival'!AC172</f>
        <v>676285.92</v>
      </c>
      <c r="W166" s="515">
        <f>'OPEX - Concept C2 - Carnival'!AD172</f>
        <v>676285.92</v>
      </c>
      <c r="X166" s="515">
        <f>'OPEX - Concept C2 - Carnival'!AE172</f>
        <v>676285.92</v>
      </c>
    </row>
    <row r="167" spans="1:24" s="341" customFormat="1">
      <c r="A167" s="696" t="s">
        <v>315</v>
      </c>
      <c r="B167" s="697"/>
      <c r="C167" s="698"/>
      <c r="D167" s="699">
        <v>0</v>
      </c>
      <c r="E167" s="700">
        <v>0</v>
      </c>
      <c r="F167" s="700">
        <v>0</v>
      </c>
      <c r="G167" s="700">
        <v>0</v>
      </c>
      <c r="H167" s="700">
        <v>0</v>
      </c>
      <c r="I167" s="700">
        <v>0</v>
      </c>
      <c r="J167" s="700">
        <v>0</v>
      </c>
      <c r="K167" s="700">
        <v>0</v>
      </c>
      <c r="L167" s="700">
        <v>0</v>
      </c>
      <c r="M167" s="700">
        <v>0</v>
      </c>
      <c r="N167" s="700">
        <v>0</v>
      </c>
      <c r="O167" s="700">
        <v>0</v>
      </c>
      <c r="P167" s="700">
        <v>0</v>
      </c>
      <c r="Q167" s="700">
        <v>0</v>
      </c>
      <c r="R167" s="700">
        <v>0</v>
      </c>
      <c r="S167" s="700">
        <v>0</v>
      </c>
      <c r="T167" s="700">
        <v>0</v>
      </c>
      <c r="U167" s="700">
        <v>0</v>
      </c>
      <c r="V167" s="700">
        <v>0</v>
      </c>
      <c r="W167" s="700">
        <v>0</v>
      </c>
      <c r="X167" s="700">
        <v>0</v>
      </c>
    </row>
    <row r="168" spans="1:24" s="32" customFormat="1">
      <c r="A168" s="93" t="s">
        <v>316</v>
      </c>
      <c r="B168" s="298"/>
      <c r="C168" s="298"/>
      <c r="D168" s="505">
        <v>0</v>
      </c>
      <c r="E168" s="506">
        <v>246000</v>
      </c>
      <c r="F168" s="506">
        <v>246000</v>
      </c>
      <c r="G168" s="506">
        <v>246000</v>
      </c>
      <c r="H168" s="506">
        <v>246000</v>
      </c>
      <c r="I168" s="506">
        <v>246000</v>
      </c>
      <c r="J168" s="506">
        <v>246000</v>
      </c>
      <c r="K168" s="506">
        <v>246000</v>
      </c>
      <c r="L168" s="506">
        <v>246000</v>
      </c>
      <c r="M168" s="506">
        <v>246000</v>
      </c>
      <c r="N168" s="506">
        <v>246000</v>
      </c>
      <c r="O168" s="506">
        <v>246000</v>
      </c>
      <c r="P168" s="506">
        <v>246000</v>
      </c>
      <c r="Q168" s="506">
        <v>246000</v>
      </c>
      <c r="R168" s="506">
        <v>246000</v>
      </c>
      <c r="S168" s="506">
        <v>246000</v>
      </c>
      <c r="T168" s="506">
        <v>246000</v>
      </c>
      <c r="U168" s="506">
        <v>246000</v>
      </c>
      <c r="V168" s="506">
        <v>246000</v>
      </c>
      <c r="W168" s="506">
        <v>246000</v>
      </c>
      <c r="X168" s="506">
        <v>246000</v>
      </c>
    </row>
    <row r="169" spans="1:24" s="222" customFormat="1" ht="14.25">
      <c r="A169" s="263" t="s">
        <v>134</v>
      </c>
      <c r="B169" s="264"/>
      <c r="C169" s="264"/>
      <c r="D169" s="524">
        <f>SUM(D165:D168)</f>
        <v>0</v>
      </c>
      <c r="E169" s="525">
        <f t="shared" ref="E169:X169" si="25">SUM(E165:E168)</f>
        <v>922285.92</v>
      </c>
      <c r="F169" s="525">
        <f t="shared" si="25"/>
        <v>1018490.92</v>
      </c>
      <c r="G169" s="525">
        <f t="shared" si="25"/>
        <v>1020415.02</v>
      </c>
      <c r="H169" s="525">
        <f t="shared" si="25"/>
        <v>1022377.6020000001</v>
      </c>
      <c r="I169" s="525">
        <f t="shared" si="25"/>
        <v>1024379.43564</v>
      </c>
      <c r="J169" s="525">
        <f t="shared" si="25"/>
        <v>1026421.3059528001</v>
      </c>
      <c r="K169" s="525">
        <f t="shared" si="25"/>
        <v>1028504.013671856</v>
      </c>
      <c r="L169" s="525">
        <f t="shared" si="25"/>
        <v>1030628.3755452932</v>
      </c>
      <c r="M169" s="525">
        <f t="shared" si="25"/>
        <v>1032795.224656199</v>
      </c>
      <c r="N169" s="525">
        <f t="shared" si="25"/>
        <v>1035005.410749323</v>
      </c>
      <c r="O169" s="525">
        <f t="shared" si="25"/>
        <v>1037259.8005643095</v>
      </c>
      <c r="P169" s="525">
        <f t="shared" si="25"/>
        <v>1039559.2781755957</v>
      </c>
      <c r="Q169" s="525">
        <f t="shared" si="25"/>
        <v>1041904.7453391076</v>
      </c>
      <c r="R169" s="525">
        <f t="shared" si="25"/>
        <v>1044297.1218458897</v>
      </c>
      <c r="S169" s="525">
        <f t="shared" si="25"/>
        <v>1046737.3458828075</v>
      </c>
      <c r="T169" s="525">
        <f t="shared" si="25"/>
        <v>1049226.3744004637</v>
      </c>
      <c r="U169" s="525">
        <f t="shared" si="25"/>
        <v>1051765.1834884728</v>
      </c>
      <c r="V169" s="525">
        <f t="shared" si="25"/>
        <v>1054354.7687582425</v>
      </c>
      <c r="W169" s="525">
        <f t="shared" si="25"/>
        <v>1056996.1457334072</v>
      </c>
      <c r="X169" s="525">
        <f t="shared" si="25"/>
        <v>1059690.3502480756</v>
      </c>
    </row>
    <row r="170" spans="1:24" s="32" customFormat="1">
      <c r="A170" s="69"/>
      <c r="B170" s="90"/>
      <c r="C170" s="90"/>
      <c r="D170" s="526"/>
      <c r="E170" s="527"/>
      <c r="F170" s="527"/>
      <c r="G170" s="527"/>
      <c r="H170" s="527"/>
      <c r="I170" s="527"/>
      <c r="J170" s="527"/>
      <c r="K170" s="527"/>
      <c r="L170" s="527"/>
      <c r="M170" s="527"/>
      <c r="N170" s="527"/>
      <c r="O170" s="527"/>
      <c r="P170" s="527"/>
      <c r="Q170" s="527"/>
      <c r="R170" s="527"/>
      <c r="S170" s="527"/>
      <c r="T170" s="527"/>
      <c r="U170" s="527"/>
      <c r="V170" s="527"/>
      <c r="W170" s="527"/>
      <c r="X170" s="527"/>
    </row>
    <row r="171" spans="1:24" s="32" customFormat="1">
      <c r="A171" s="94" t="s">
        <v>137</v>
      </c>
      <c r="C171" s="69"/>
      <c r="D171" s="514">
        <v>0</v>
      </c>
      <c r="E171" s="515">
        <f>E161-E165</f>
        <v>-148033.33333333331</v>
      </c>
      <c r="F171" s="515">
        <f t="shared" ref="F171:X171" si="26">F157-F165</f>
        <v>687449.24787516461</v>
      </c>
      <c r="G171" s="515">
        <f t="shared" si="26"/>
        <v>845127.20483266783</v>
      </c>
      <c r="H171" s="515">
        <f t="shared" si="26"/>
        <v>861809.74892932107</v>
      </c>
      <c r="I171" s="515">
        <f t="shared" si="26"/>
        <v>878825.9439079077</v>
      </c>
      <c r="J171" s="515">
        <f t="shared" si="26"/>
        <v>1084776.4312130874</v>
      </c>
      <c r="K171" s="515">
        <f t="shared" si="26"/>
        <v>1106450.1216832732</v>
      </c>
      <c r="L171" s="515">
        <f t="shared" si="26"/>
        <v>1124020.3671724941</v>
      </c>
      <c r="M171" s="515">
        <f t="shared" si="26"/>
        <v>1141942.0175715003</v>
      </c>
      <c r="N171" s="515">
        <f t="shared" si="26"/>
        <v>1160222.1009784853</v>
      </c>
      <c r="O171" s="515">
        <f t="shared" si="26"/>
        <v>1229299.2450691641</v>
      </c>
      <c r="P171" s="515">
        <f t="shared" si="26"/>
        <v>1252708.346635794</v>
      </c>
      <c r="Q171" s="515">
        <f t="shared" si="26"/>
        <v>1272107.3173879546</v>
      </c>
      <c r="R171" s="515">
        <f t="shared" si="26"/>
        <v>1291894.2675551579</v>
      </c>
      <c r="S171" s="515">
        <f t="shared" si="26"/>
        <v>1312076.9567257056</v>
      </c>
      <c r="T171" s="515">
        <f t="shared" si="26"/>
        <v>1383258.1956543822</v>
      </c>
      <c r="U171" s="515">
        <f t="shared" si="26"/>
        <v>1408583.3312982572</v>
      </c>
      <c r="V171" s="515">
        <f t="shared" si="26"/>
        <v>1430001.3625075563</v>
      </c>
      <c r="W171" s="515">
        <f t="shared" si="26"/>
        <v>1451847.7543410403</v>
      </c>
      <c r="X171" s="515">
        <f t="shared" si="26"/>
        <v>1474131.0740111948</v>
      </c>
    </row>
    <row r="172" spans="1:24" ht="16.5" customHeight="1">
      <c r="A172" s="88" t="s">
        <v>128</v>
      </c>
      <c r="B172" s="98"/>
      <c r="C172" s="98"/>
      <c r="D172" s="528">
        <v>0</v>
      </c>
      <c r="E172" s="529">
        <f>E161-E169</f>
        <v>-1070319.2533333334</v>
      </c>
      <c r="F172" s="529">
        <f t="shared" ref="F172:X172" si="27">F161-F169</f>
        <v>-234836.67212483543</v>
      </c>
      <c r="G172" s="529">
        <f t="shared" si="27"/>
        <v>-77158.715167332208</v>
      </c>
      <c r="H172" s="529">
        <f t="shared" si="27"/>
        <v>-60476.171070678975</v>
      </c>
      <c r="I172" s="529">
        <f t="shared" si="27"/>
        <v>-43459.976092092344</v>
      </c>
      <c r="J172" s="529">
        <f t="shared" si="27"/>
        <v>162490.51121308736</v>
      </c>
      <c r="K172" s="529">
        <f t="shared" si="27"/>
        <v>184164.20168327319</v>
      </c>
      <c r="L172" s="529">
        <f t="shared" si="27"/>
        <v>201734.44717249402</v>
      </c>
      <c r="M172" s="529">
        <f t="shared" si="27"/>
        <v>219656.09757150023</v>
      </c>
      <c r="N172" s="529">
        <f t="shared" si="27"/>
        <v>237936.18097848538</v>
      </c>
      <c r="O172" s="529">
        <f t="shared" si="27"/>
        <v>307013.32506916404</v>
      </c>
      <c r="P172" s="529">
        <f t="shared" si="27"/>
        <v>330422.42663579388</v>
      </c>
      <c r="Q172" s="529">
        <f t="shared" si="27"/>
        <v>349821.39738795452</v>
      </c>
      <c r="R172" s="529">
        <f t="shared" si="27"/>
        <v>369608.34755515784</v>
      </c>
      <c r="S172" s="529">
        <f t="shared" si="27"/>
        <v>389791.03672570561</v>
      </c>
      <c r="T172" s="529">
        <f t="shared" si="27"/>
        <v>460972.27565438231</v>
      </c>
      <c r="U172" s="529">
        <f t="shared" si="27"/>
        <v>486297.4112982573</v>
      </c>
      <c r="V172" s="529">
        <f t="shared" si="27"/>
        <v>507715.44250755617</v>
      </c>
      <c r="W172" s="529">
        <f t="shared" si="27"/>
        <v>529561.83434104035</v>
      </c>
      <c r="X172" s="529">
        <f t="shared" si="27"/>
        <v>551845.15401119459</v>
      </c>
    </row>
    <row r="173" spans="1:24" ht="16.5" customHeight="1">
      <c r="A173" s="88"/>
      <c r="B173" s="88"/>
      <c r="C173" s="88"/>
      <c r="D173" s="526"/>
      <c r="E173" s="527"/>
      <c r="F173" s="527"/>
      <c r="G173" s="527"/>
      <c r="H173" s="527"/>
      <c r="I173" s="527"/>
      <c r="J173" s="527"/>
      <c r="K173" s="527"/>
      <c r="L173" s="527"/>
      <c r="M173" s="527"/>
      <c r="N173" s="527"/>
      <c r="O173" s="527"/>
      <c r="P173" s="527"/>
      <c r="Q173" s="527"/>
      <c r="R173" s="527"/>
      <c r="S173" s="527"/>
      <c r="T173" s="527"/>
      <c r="U173" s="527"/>
      <c r="V173" s="527"/>
      <c r="W173" s="527"/>
      <c r="X173" s="527"/>
    </row>
    <row r="174" spans="1:24" ht="16.5" customHeight="1">
      <c r="A174" s="88" t="s">
        <v>129</v>
      </c>
      <c r="B174" s="632">
        <f>NPV(Cost_of_Money__DPC,E161:X161)</f>
        <v>24445873.644668616</v>
      </c>
      <c r="C174" s="88"/>
      <c r="D174" s="526"/>
      <c r="E174" s="527"/>
      <c r="F174" s="527"/>
      <c r="G174" s="527"/>
      <c r="H174" s="527"/>
      <c r="I174" s="527"/>
      <c r="J174" s="527"/>
      <c r="K174" s="527"/>
      <c r="L174" s="527"/>
      <c r="M174" s="527"/>
      <c r="N174" s="527"/>
      <c r="O174" s="527"/>
      <c r="P174" s="527"/>
      <c r="Q174" s="527"/>
      <c r="R174" s="527"/>
      <c r="S174" s="527"/>
      <c r="T174" s="527"/>
      <c r="U174" s="527"/>
      <c r="V174" s="527"/>
      <c r="W174" s="527"/>
      <c r="X174" s="527"/>
    </row>
    <row r="175" spans="1:24" ht="16.5" customHeight="1">
      <c r="A175" s="300" t="s">
        <v>130</v>
      </c>
      <c r="B175" s="733">
        <f>SUM(E172:X172)</f>
        <v>3802779.3020167742</v>
      </c>
      <c r="C175" s="301"/>
      <c r="D175" s="530">
        <v>0</v>
      </c>
      <c r="E175" s="530">
        <f>E161-E169</f>
        <v>-1070319.2533333334</v>
      </c>
      <c r="F175" s="530">
        <f t="shared" ref="F175:X175" si="28">F161-F169</f>
        <v>-234836.67212483543</v>
      </c>
      <c r="G175" s="530">
        <f t="shared" si="28"/>
        <v>-77158.715167332208</v>
      </c>
      <c r="H175" s="530">
        <f t="shared" si="28"/>
        <v>-60476.171070678975</v>
      </c>
      <c r="I175" s="530">
        <f t="shared" si="28"/>
        <v>-43459.976092092344</v>
      </c>
      <c r="J175" s="530">
        <f t="shared" si="28"/>
        <v>162490.51121308736</v>
      </c>
      <c r="K175" s="530">
        <f t="shared" si="28"/>
        <v>184164.20168327319</v>
      </c>
      <c r="L175" s="530">
        <f t="shared" si="28"/>
        <v>201734.44717249402</v>
      </c>
      <c r="M175" s="530">
        <f t="shared" si="28"/>
        <v>219656.09757150023</v>
      </c>
      <c r="N175" s="530">
        <f t="shared" si="28"/>
        <v>237936.18097848538</v>
      </c>
      <c r="O175" s="530">
        <f t="shared" si="28"/>
        <v>307013.32506916404</v>
      </c>
      <c r="P175" s="530">
        <f t="shared" si="28"/>
        <v>330422.42663579388</v>
      </c>
      <c r="Q175" s="530">
        <f t="shared" si="28"/>
        <v>349821.39738795452</v>
      </c>
      <c r="R175" s="530">
        <f t="shared" si="28"/>
        <v>369608.34755515784</v>
      </c>
      <c r="S175" s="530">
        <f t="shared" si="28"/>
        <v>389791.03672570561</v>
      </c>
      <c r="T175" s="530">
        <f t="shared" si="28"/>
        <v>460972.27565438231</v>
      </c>
      <c r="U175" s="530">
        <f t="shared" si="28"/>
        <v>486297.4112982573</v>
      </c>
      <c r="V175" s="530">
        <f t="shared" si="28"/>
        <v>507715.44250755617</v>
      </c>
      <c r="W175" s="530">
        <f t="shared" si="28"/>
        <v>529561.83434104035</v>
      </c>
      <c r="X175" s="530">
        <f t="shared" si="28"/>
        <v>551845.15401119459</v>
      </c>
    </row>
    <row r="176" spans="1:24" s="58" customFormat="1" ht="16.5" customHeight="1">
      <c r="A176" s="90" t="s">
        <v>32</v>
      </c>
      <c r="B176" s="358">
        <f>IRR(E175:X175)</f>
        <v>0.10948361438386733</v>
      </c>
      <c r="C176" s="356"/>
      <c r="D176" s="502"/>
      <c r="E176" s="504"/>
      <c r="F176" s="504"/>
      <c r="G176" s="504"/>
      <c r="H176" s="504"/>
      <c r="I176" s="504"/>
      <c r="J176" s="504"/>
      <c r="K176" s="504"/>
      <c r="L176" s="504"/>
      <c r="M176" s="504"/>
      <c r="N176" s="504"/>
      <c r="O176" s="504"/>
      <c r="P176" s="504"/>
      <c r="Q176" s="504"/>
      <c r="R176" s="504"/>
      <c r="S176" s="504"/>
      <c r="T176" s="504"/>
      <c r="U176" s="504"/>
      <c r="V176" s="504"/>
      <c r="W176" s="504"/>
      <c r="X176" s="504"/>
    </row>
    <row r="177" spans="1:24">
      <c r="A177" s="30"/>
      <c r="B177" s="30"/>
      <c r="C177" s="30"/>
      <c r="D177" s="502"/>
      <c r="E177" s="512"/>
      <c r="F177" s="512"/>
      <c r="G177" s="512"/>
      <c r="H177" s="512"/>
      <c r="I177" s="512"/>
      <c r="J177" s="512"/>
      <c r="K177" s="512"/>
      <c r="L177" s="512"/>
      <c r="M177" s="512"/>
      <c r="N177" s="512"/>
      <c r="O177" s="512"/>
      <c r="P177" s="512"/>
      <c r="Q177" s="512"/>
      <c r="R177" s="512"/>
      <c r="S177" s="512"/>
      <c r="T177" s="512"/>
      <c r="U177" s="512"/>
      <c r="V177" s="512"/>
      <c r="W177" s="512"/>
      <c r="X177" s="512"/>
    </row>
    <row r="178" spans="1:24">
      <c r="A178" s="274" t="s">
        <v>28</v>
      </c>
      <c r="B178" s="275"/>
      <c r="C178" s="275"/>
      <c r="D178" s="531"/>
      <c r="E178" s="531"/>
      <c r="F178" s="531"/>
      <c r="G178" s="531"/>
      <c r="H178" s="531"/>
      <c r="I178" s="531"/>
      <c r="J178" s="531"/>
      <c r="K178" s="531"/>
      <c r="L178" s="531"/>
      <c r="M178" s="531"/>
      <c r="N178" s="531"/>
      <c r="O178" s="531"/>
      <c r="P178" s="531"/>
      <c r="Q178" s="531"/>
      <c r="R178" s="531"/>
      <c r="S178" s="531"/>
      <c r="T178" s="531"/>
      <c r="U178" s="531"/>
      <c r="V178" s="531"/>
      <c r="W178" s="531"/>
      <c r="X178" s="531"/>
    </row>
    <row r="179" spans="1:24">
      <c r="A179" s="30"/>
      <c r="B179" s="30"/>
      <c r="C179" s="30"/>
      <c r="D179" s="502"/>
      <c r="E179" s="512"/>
      <c r="F179" s="512"/>
      <c r="G179" s="512"/>
      <c r="H179" s="512"/>
      <c r="I179" s="512"/>
      <c r="J179" s="512"/>
      <c r="K179" s="512"/>
      <c r="L179" s="512"/>
      <c r="M179" s="512"/>
      <c r="N179" s="512"/>
      <c r="O179" s="512"/>
      <c r="P179" s="512"/>
      <c r="Q179" s="512"/>
      <c r="R179" s="512"/>
      <c r="S179" s="512"/>
      <c r="T179" s="512"/>
      <c r="U179" s="512"/>
      <c r="V179" s="512"/>
      <c r="W179" s="512"/>
      <c r="X179" s="512"/>
    </row>
    <row r="180" spans="1:24">
      <c r="A180" s="30" t="s">
        <v>300</v>
      </c>
      <c r="B180" s="30"/>
      <c r="C180" s="87"/>
      <c r="D180" s="502">
        <v>0</v>
      </c>
      <c r="E180" s="512"/>
      <c r="F180" s="512"/>
      <c r="G180" s="512"/>
      <c r="H180" s="512"/>
      <c r="I180" s="512"/>
      <c r="J180" s="512"/>
      <c r="K180" s="512"/>
      <c r="L180" s="512"/>
      <c r="M180" s="512"/>
      <c r="N180" s="512"/>
      <c r="O180" s="512"/>
      <c r="P180" s="512"/>
      <c r="Q180" s="512"/>
      <c r="R180" s="512"/>
      <c r="S180" s="512"/>
      <c r="T180" s="512"/>
      <c r="U180" s="512"/>
      <c r="V180" s="512"/>
      <c r="W180" s="512"/>
      <c r="X180" s="512"/>
    </row>
    <row r="181" spans="1:24">
      <c r="A181" s="30" t="s">
        <v>301</v>
      </c>
      <c r="B181" s="30"/>
      <c r="C181" s="30"/>
      <c r="D181" s="502">
        <v>0</v>
      </c>
      <c r="E181" s="512"/>
      <c r="F181" s="512"/>
      <c r="G181" s="512"/>
      <c r="H181" s="512"/>
      <c r="I181" s="512"/>
      <c r="J181" s="512"/>
      <c r="K181" s="512"/>
      <c r="L181" s="512"/>
      <c r="M181" s="512"/>
      <c r="N181" s="512"/>
      <c r="O181" s="512"/>
      <c r="P181" s="512"/>
      <c r="Q181" s="512"/>
      <c r="R181" s="512"/>
      <c r="S181" s="512"/>
      <c r="T181" s="512"/>
      <c r="U181" s="512"/>
      <c r="V181" s="512"/>
      <c r="W181" s="512"/>
      <c r="X181" s="512"/>
    </row>
    <row r="182" spans="1:24">
      <c r="A182" s="30"/>
      <c r="B182" s="30"/>
      <c r="C182" s="30"/>
      <c r="D182" s="502"/>
      <c r="E182" s="512"/>
      <c r="F182" s="512"/>
      <c r="G182" s="512"/>
      <c r="H182" s="512"/>
      <c r="I182" s="512"/>
      <c r="J182" s="512"/>
      <c r="K182" s="512"/>
      <c r="L182" s="512"/>
      <c r="M182" s="512"/>
      <c r="N182" s="512"/>
      <c r="O182" s="512"/>
      <c r="P182" s="512"/>
      <c r="Q182" s="512"/>
      <c r="R182" s="512"/>
      <c r="S182" s="512"/>
      <c r="T182" s="512"/>
      <c r="U182" s="512"/>
      <c r="V182" s="512"/>
      <c r="W182" s="512"/>
      <c r="X182" s="512"/>
    </row>
    <row r="183" spans="1:24">
      <c r="A183" s="30" t="s">
        <v>298</v>
      </c>
      <c r="B183" s="30"/>
      <c r="C183" s="30"/>
      <c r="D183" s="502">
        <v>0</v>
      </c>
      <c r="E183" s="512"/>
      <c r="F183" s="512"/>
      <c r="G183" s="512"/>
      <c r="H183" s="512"/>
      <c r="I183" s="512"/>
      <c r="J183" s="512"/>
      <c r="K183" s="512"/>
      <c r="L183" s="512"/>
      <c r="M183" s="512"/>
      <c r="N183" s="512"/>
      <c r="O183" s="512"/>
      <c r="P183" s="512"/>
      <c r="Q183" s="512"/>
      <c r="R183" s="512"/>
      <c r="S183" s="512"/>
      <c r="T183" s="512"/>
      <c r="U183" s="512"/>
      <c r="V183" s="512"/>
      <c r="W183" s="512"/>
      <c r="X183" s="512"/>
    </row>
    <row r="184" spans="1:24">
      <c r="A184" s="30" t="s">
        <v>299</v>
      </c>
      <c r="B184" s="30"/>
      <c r="C184" s="30"/>
      <c r="D184" s="502">
        <v>0</v>
      </c>
      <c r="E184" s="512"/>
      <c r="F184" s="512"/>
      <c r="G184" s="512"/>
      <c r="H184" s="512"/>
      <c r="I184" s="512"/>
      <c r="J184" s="512"/>
      <c r="K184" s="512"/>
      <c r="L184" s="512"/>
      <c r="M184" s="512"/>
      <c r="N184" s="512"/>
      <c r="O184" s="512"/>
      <c r="P184" s="512"/>
      <c r="Q184" s="512"/>
      <c r="R184" s="512"/>
      <c r="S184" s="512"/>
      <c r="T184" s="512"/>
      <c r="U184" s="512"/>
      <c r="V184" s="512"/>
      <c r="W184" s="512"/>
      <c r="X184" s="512"/>
    </row>
    <row r="185" spans="1:24">
      <c r="D185" s="502"/>
      <c r="E185" s="532"/>
      <c r="F185" s="532"/>
      <c r="G185" s="532"/>
      <c r="H185" s="532"/>
      <c r="I185" s="532"/>
      <c r="J185" s="532"/>
      <c r="K185" s="532"/>
      <c r="L185" s="532"/>
      <c r="M185" s="532"/>
      <c r="N185" s="532"/>
      <c r="O185" s="532"/>
      <c r="P185" s="532"/>
      <c r="Q185" s="532"/>
      <c r="R185" s="532"/>
      <c r="S185" s="532"/>
      <c r="T185" s="532"/>
      <c r="U185" s="532"/>
      <c r="V185" s="532"/>
      <c r="W185" s="532"/>
      <c r="X185" s="532"/>
    </row>
    <row r="186" spans="1:24">
      <c r="A186" s="131"/>
      <c r="B186" s="131"/>
      <c r="C186" s="131"/>
      <c r="D186" s="493"/>
      <c r="E186" s="334"/>
      <c r="F186" s="334"/>
      <c r="G186" s="334"/>
      <c r="H186" s="334"/>
      <c r="I186" s="334"/>
      <c r="J186" s="334"/>
      <c r="K186" s="334"/>
      <c r="L186" s="334"/>
      <c r="M186" s="334"/>
      <c r="N186" s="334"/>
      <c r="O186" s="334"/>
      <c r="P186" s="334"/>
      <c r="Q186" s="334"/>
      <c r="R186" s="334"/>
      <c r="S186" s="334"/>
      <c r="T186" s="334"/>
      <c r="U186" s="334"/>
      <c r="V186" s="334"/>
      <c r="W186" s="334"/>
      <c r="X186" s="334"/>
    </row>
    <row r="187" spans="1:24">
      <c r="D187" s="494"/>
      <c r="E187" s="327"/>
      <c r="F187" s="327"/>
      <c r="G187" s="327"/>
      <c r="H187" s="327"/>
      <c r="I187" s="327"/>
      <c r="J187" s="327"/>
      <c r="K187" s="327"/>
      <c r="L187" s="327"/>
      <c r="M187" s="327"/>
      <c r="N187" s="327"/>
      <c r="O187" s="327"/>
      <c r="P187" s="327"/>
      <c r="Q187" s="327"/>
      <c r="R187" s="327"/>
      <c r="S187" s="327"/>
      <c r="T187" s="327"/>
      <c r="U187" s="327"/>
      <c r="V187" s="327"/>
      <c r="W187" s="327"/>
      <c r="X187" s="327"/>
    </row>
    <row r="188" spans="1:24">
      <c r="A188"/>
      <c r="D188" s="494"/>
      <c r="E188" s="327"/>
      <c r="F188" s="327"/>
      <c r="G188" s="327"/>
      <c r="H188" s="327"/>
      <c r="I188" s="327"/>
      <c r="J188" s="327"/>
      <c r="K188" s="327"/>
      <c r="L188" s="327"/>
      <c r="M188" s="327"/>
      <c r="N188" s="327"/>
      <c r="O188" s="327"/>
      <c r="P188" s="327"/>
      <c r="Q188" s="327"/>
      <c r="R188" s="327"/>
      <c r="S188" s="327"/>
      <c r="T188" s="327"/>
      <c r="U188" s="327"/>
      <c r="V188" s="327"/>
      <c r="W188" s="327"/>
      <c r="X188" s="327"/>
    </row>
    <row r="189" spans="1:24">
      <c r="A189"/>
      <c r="D189" s="494"/>
      <c r="E189" s="327"/>
      <c r="F189" s="327"/>
      <c r="G189" s="327"/>
      <c r="H189" s="327"/>
      <c r="I189" s="327"/>
      <c r="J189" s="327"/>
      <c r="K189" s="327"/>
      <c r="L189" s="327"/>
      <c r="M189" s="327"/>
      <c r="N189" s="327"/>
      <c r="O189" s="327"/>
      <c r="P189" s="327"/>
      <c r="Q189" s="327"/>
      <c r="R189" s="327"/>
      <c r="S189" s="327"/>
      <c r="T189" s="327"/>
      <c r="U189" s="327"/>
      <c r="V189" s="327"/>
      <c r="W189" s="327"/>
      <c r="X189" s="327"/>
    </row>
    <row r="190" spans="1:24">
      <c r="D190" s="494"/>
      <c r="E190" s="327"/>
      <c r="F190" s="327"/>
      <c r="G190" s="327"/>
      <c r="H190" s="362"/>
      <c r="I190" s="327"/>
      <c r="J190" s="327"/>
      <c r="K190" s="327"/>
      <c r="L190" s="327"/>
      <c r="M190" s="327"/>
      <c r="N190" s="327"/>
      <c r="O190" s="327"/>
      <c r="P190" s="327"/>
      <c r="Q190" s="327"/>
      <c r="R190" s="327"/>
      <c r="S190" s="327"/>
      <c r="T190" s="327"/>
      <c r="U190" s="327"/>
      <c r="V190" s="327"/>
      <c r="W190" s="327"/>
      <c r="X190" s="327"/>
    </row>
    <row r="191" spans="1:24">
      <c r="D191" s="326"/>
      <c r="E191" s="327"/>
      <c r="F191" s="327"/>
      <c r="G191" s="327"/>
      <c r="H191" s="359"/>
      <c r="I191" s="327"/>
      <c r="J191" s="327"/>
      <c r="K191" s="327"/>
      <c r="L191" s="327"/>
      <c r="M191" s="327"/>
      <c r="N191" s="327"/>
      <c r="O191" s="327"/>
      <c r="P191" s="327"/>
      <c r="Q191" s="327"/>
      <c r="R191" s="327"/>
      <c r="S191" s="327"/>
      <c r="T191" s="327"/>
      <c r="U191" s="327"/>
      <c r="V191" s="327"/>
      <c r="W191" s="327"/>
      <c r="X191" s="327"/>
    </row>
    <row r="192" spans="1:24">
      <c r="H192" s="305"/>
    </row>
    <row r="193" spans="8:8">
      <c r="H193" s="30"/>
    </row>
    <row r="194" spans="8:8">
      <c r="H194" s="87"/>
    </row>
    <row r="196" spans="8:8">
      <c r="H196" s="360"/>
    </row>
    <row r="197" spans="8:8">
      <c r="H197" s="361"/>
    </row>
  </sheetData>
  <pageMargins left="0.7" right="0.7" top="0.75" bottom="0.75" header="0.3" footer="0.3"/>
  <pageSetup paperSize="9" scale="2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XFD197"/>
  <sheetViews>
    <sheetView topLeftCell="A70" zoomScale="64" zoomScaleNormal="55" workbookViewId="0">
      <selection activeCell="A118" sqref="A118:XFD118"/>
    </sheetView>
  </sheetViews>
  <sheetFormatPr defaultColWidth="9" defaultRowHeight="16.5"/>
  <cols>
    <col min="1" max="1" width="71.875" style="18" customWidth="1"/>
    <col min="2" max="2" width="49" style="18" bestFit="1" customWidth="1"/>
    <col min="3" max="3" width="8" style="18" bestFit="1" customWidth="1"/>
    <col min="4" max="4" width="7.75" style="262" bestFit="1" customWidth="1"/>
    <col min="5" max="5" width="17.125" style="18" bestFit="1" customWidth="1"/>
    <col min="6" max="11" width="16.75" style="18" bestFit="1" customWidth="1"/>
    <col min="12" max="12" width="17.125" style="18" bestFit="1" customWidth="1"/>
    <col min="13" max="13" width="16.75" style="18" bestFit="1" customWidth="1"/>
    <col min="14" max="14" width="17.125" style="18" bestFit="1" customWidth="1"/>
    <col min="15" max="15" width="16.75" style="18" bestFit="1" customWidth="1"/>
    <col min="16" max="16" width="17.125" style="18" bestFit="1" customWidth="1"/>
    <col min="17" max="17" width="16.75" style="18" bestFit="1" customWidth="1"/>
    <col min="18" max="18" width="17.125" style="18" bestFit="1" customWidth="1"/>
    <col min="19" max="21" width="16.75" style="18" bestFit="1" customWidth="1"/>
    <col min="22" max="23" width="17.125" style="18" bestFit="1" customWidth="1"/>
    <col min="24" max="24" width="16.75" style="18" bestFit="1" customWidth="1"/>
    <col min="25" max="25" width="22.625" style="18" bestFit="1" customWidth="1"/>
    <col min="26" max="16384" width="9" style="18"/>
  </cols>
  <sheetData>
    <row r="1" spans="1:25" ht="18.75" thickBot="1">
      <c r="A1" s="11" t="str">
        <f>Intro!A1</f>
        <v>Town of Bar Harbor</v>
      </c>
      <c r="B1" s="27"/>
      <c r="C1" s="17"/>
      <c r="D1" s="260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</row>
    <row r="2" spans="1:25" ht="17.25" thickBot="1">
      <c r="A2" s="380" t="str">
        <f>Intro!A2</f>
        <v>Ferry Property Business Plan</v>
      </c>
      <c r="B2" s="13"/>
      <c r="C2" s="17"/>
      <c r="D2" s="260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</row>
    <row r="3" spans="1:25" s="381" customFormat="1" ht="14.25" thickBot="1">
      <c r="A3" s="384" t="str">
        <f>Intro!A3</f>
        <v>05.23.2018</v>
      </c>
      <c r="B3" s="304"/>
      <c r="C3" s="387"/>
      <c r="D3" s="388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7"/>
      <c r="X3" s="387"/>
    </row>
    <row r="4" spans="1:25" s="381" customFormat="1" ht="13.5">
      <c r="A4" s="384" t="str">
        <f ca="1">Intro!A4</f>
        <v>Town of Bar Harbor</v>
      </c>
      <c r="B4" s="382"/>
      <c r="C4" s="383">
        <f ca="1">NOW()</f>
        <v>43242.835659143515</v>
      </c>
      <c r="D4" s="388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  <c r="Q4" s="387"/>
      <c r="R4" s="387"/>
      <c r="S4" s="387"/>
      <c r="T4" s="387"/>
      <c r="U4" s="387"/>
      <c r="V4" s="387"/>
      <c r="W4" s="387"/>
      <c r="X4" s="387"/>
    </row>
    <row r="5" spans="1:25">
      <c r="A5" s="244" t="s">
        <v>343</v>
      </c>
      <c r="B5" s="244"/>
      <c r="C5" s="245"/>
      <c r="D5" s="261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</row>
    <row r="6" spans="1:25">
      <c r="D6" s="485"/>
    </row>
    <row r="7" spans="1:25">
      <c r="A7" s="22"/>
      <c r="B7" s="71"/>
      <c r="C7" s="71"/>
      <c r="D7" s="72">
        <f>'Cruise Projections'!T7</f>
        <v>2018</v>
      </c>
      <c r="E7" s="72">
        <f>'Cruise Projections'!U7</f>
        <v>2019</v>
      </c>
      <c r="F7" s="72">
        <f>'Cruise Projections'!V7</f>
        <v>2020</v>
      </c>
      <c r="G7" s="72">
        <f>'Cruise Projections'!W7</f>
        <v>2021</v>
      </c>
      <c r="H7" s="72">
        <f>'Cruise Projections'!X7</f>
        <v>2022</v>
      </c>
      <c r="I7" s="72">
        <f>'Cruise Projections'!Y7</f>
        <v>2023</v>
      </c>
      <c r="J7" s="72">
        <f>'Cruise Projections'!Z7</f>
        <v>2024</v>
      </c>
      <c r="K7" s="72">
        <f>'Cruise Projections'!AA7</f>
        <v>2025</v>
      </c>
      <c r="L7" s="72">
        <f>'Cruise Projections'!AB7</f>
        <v>2026</v>
      </c>
      <c r="M7" s="72">
        <f>'Cruise Projections'!AC7</f>
        <v>2027</v>
      </c>
      <c r="N7" s="72">
        <f>'Cruise Projections'!AD7</f>
        <v>2028</v>
      </c>
      <c r="O7" s="72">
        <f>'Cruise Projections'!AE7</f>
        <v>2029</v>
      </c>
      <c r="P7" s="72">
        <f>'Cruise Projections'!AF7</f>
        <v>2030</v>
      </c>
      <c r="Q7" s="72">
        <f>'Cruise Projections'!AG7</f>
        <v>2031</v>
      </c>
      <c r="R7" s="72">
        <f>'Cruise Projections'!AH7</f>
        <v>2032</v>
      </c>
      <c r="S7" s="72">
        <f>'Cruise Projections'!AI7</f>
        <v>2033</v>
      </c>
      <c r="T7" s="72">
        <f>'Cruise Projections'!AJ7</f>
        <v>2034</v>
      </c>
      <c r="U7" s="72">
        <f>'Cruise Projections'!AK7</f>
        <v>2035</v>
      </c>
      <c r="V7" s="72">
        <f>'Cruise Projections'!AL7</f>
        <v>2036</v>
      </c>
      <c r="W7" s="72">
        <f>'Cruise Projections'!AM7</f>
        <v>2037</v>
      </c>
      <c r="X7" s="72">
        <f>'Cruise Projections'!AN7</f>
        <v>2038</v>
      </c>
    </row>
    <row r="8" spans="1:25" ht="17.25" thickBot="1">
      <c r="D8" s="488"/>
    </row>
    <row r="9" spans="1:25" ht="17.25" thickBot="1">
      <c r="A9" s="117" t="s">
        <v>34</v>
      </c>
      <c r="B9" s="484" t="str">
        <f>'Cruise Projections'!A83</f>
        <v>Scenario 4 - Percent of 2018 Business - RCCL</v>
      </c>
      <c r="D9" s="489"/>
      <c r="E9" s="327"/>
      <c r="F9" s="327"/>
      <c r="G9" s="327"/>
      <c r="H9" s="327"/>
      <c r="I9" s="327"/>
      <c r="J9" s="327"/>
      <c r="K9" s="327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</row>
    <row r="10" spans="1:25">
      <c r="D10" s="489"/>
      <c r="E10" s="327"/>
      <c r="F10" s="327"/>
      <c r="G10" s="327"/>
      <c r="H10" s="327"/>
      <c r="I10" s="327"/>
      <c r="J10" s="327"/>
      <c r="K10" s="327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</row>
    <row r="11" spans="1:25" s="279" customFormat="1" ht="14.25">
      <c r="A11" s="279" t="s">
        <v>83</v>
      </c>
      <c r="D11" s="490"/>
      <c r="E11" s="328"/>
      <c r="F11" s="328"/>
      <c r="G11" s="328"/>
      <c r="H11" s="328"/>
      <c r="I11" s="328"/>
      <c r="J11" s="328"/>
      <c r="K11" s="328"/>
      <c r="L11" s="328"/>
      <c r="M11" s="328"/>
      <c r="N11" s="328"/>
      <c r="O11" s="328"/>
      <c r="P11" s="328"/>
      <c r="Q11" s="328"/>
      <c r="R11" s="328"/>
      <c r="S11" s="328"/>
      <c r="T11" s="328"/>
      <c r="U11" s="328"/>
      <c r="V11" s="328"/>
      <c r="W11" s="328"/>
      <c r="X11" s="328"/>
    </row>
    <row r="12" spans="1:25">
      <c r="A12" s="53" t="str">
        <f>'Cruise Projections'!A67</f>
        <v>Passengers</v>
      </c>
      <c r="B12" s="21"/>
      <c r="C12" s="21"/>
      <c r="D12" s="486">
        <f>'Cruise Projections'!T67</f>
        <v>0</v>
      </c>
      <c r="E12" s="313">
        <v>0</v>
      </c>
      <c r="F12" s="313">
        <f>'Cruise Projections'!V85</f>
        <v>89162.177869620791</v>
      </c>
      <c r="G12" s="313">
        <f>'Cruise Projections'!W85</f>
        <v>89162.177869620791</v>
      </c>
      <c r="H12" s="313">
        <f>'Cruise Projections'!X85</f>
        <v>89162.177869620791</v>
      </c>
      <c r="I12" s="313">
        <f>'Cruise Projections'!Y85</f>
        <v>89162.177869620791</v>
      </c>
      <c r="J12" s="313">
        <f>'Cruise Projections'!Z85</f>
        <v>89162.177869620791</v>
      </c>
      <c r="K12" s="313">
        <f>'Cruise Projections'!AA85</f>
        <v>89162.177869620791</v>
      </c>
      <c r="L12" s="313">
        <f>'Cruise Projections'!AB85</f>
        <v>89162.177869620791</v>
      </c>
      <c r="M12" s="313">
        <f>'Cruise Projections'!AC85</f>
        <v>89162.177869620791</v>
      </c>
      <c r="N12" s="313">
        <f>'Cruise Projections'!AD85</f>
        <v>89162.177869620791</v>
      </c>
      <c r="O12" s="313">
        <f>'Cruise Projections'!AE85</f>
        <v>89162.177869620791</v>
      </c>
      <c r="P12" s="313">
        <f>'Cruise Projections'!AF85</f>
        <v>89162.177869620791</v>
      </c>
      <c r="Q12" s="313">
        <f>'Cruise Projections'!AG85</f>
        <v>89162.177869620791</v>
      </c>
      <c r="R12" s="313">
        <f>'Cruise Projections'!AH85</f>
        <v>89162.177869620791</v>
      </c>
      <c r="S12" s="313">
        <f>'Cruise Projections'!AI85</f>
        <v>89162.177869620791</v>
      </c>
      <c r="T12" s="313">
        <f>'Cruise Projections'!AJ85</f>
        <v>89162.177869620791</v>
      </c>
      <c r="U12" s="313">
        <f>'Cruise Projections'!AK85</f>
        <v>89162.177869620791</v>
      </c>
      <c r="V12" s="313">
        <f>'Cruise Projections'!AL85</f>
        <v>89162.177869620791</v>
      </c>
      <c r="W12" s="313">
        <f>'Cruise Projections'!AM85</f>
        <v>89162.177869620791</v>
      </c>
      <c r="X12" s="313">
        <f>'Cruise Projections'!AN85</f>
        <v>89162.177869620791</v>
      </c>
      <c r="Y12" s="312"/>
    </row>
    <row r="13" spans="1:25">
      <c r="A13" s="53" t="str">
        <f>'Cruise Projections'!A68</f>
        <v>Calls</v>
      </c>
      <c r="B13" s="21"/>
      <c r="C13" s="21"/>
      <c r="D13" s="486">
        <f>'Cruise Projections'!T68</f>
        <v>0</v>
      </c>
      <c r="E13" s="313">
        <v>0</v>
      </c>
      <c r="F13" s="313">
        <f>'Cruise Projections'!V86</f>
        <v>28.666666666666664</v>
      </c>
      <c r="G13" s="313">
        <f>'Cruise Projections'!W86</f>
        <v>28.666666666666664</v>
      </c>
      <c r="H13" s="313">
        <f>'Cruise Projections'!X86</f>
        <v>28.666666666666664</v>
      </c>
      <c r="I13" s="313">
        <f>'Cruise Projections'!Y86</f>
        <v>28.666666666666664</v>
      </c>
      <c r="J13" s="313">
        <f>'Cruise Projections'!Z86</f>
        <v>28.666666666666664</v>
      </c>
      <c r="K13" s="313">
        <f>'Cruise Projections'!AA86</f>
        <v>28.666666666666664</v>
      </c>
      <c r="L13" s="313">
        <f>'Cruise Projections'!AB86</f>
        <v>28.666666666666664</v>
      </c>
      <c r="M13" s="313">
        <f>'Cruise Projections'!AC86</f>
        <v>28.666666666666664</v>
      </c>
      <c r="N13" s="313">
        <f>'Cruise Projections'!AD86</f>
        <v>28.666666666666664</v>
      </c>
      <c r="O13" s="313">
        <f>'Cruise Projections'!AE86</f>
        <v>28.666666666666664</v>
      </c>
      <c r="P13" s="313">
        <f>'Cruise Projections'!AF86</f>
        <v>28.666666666666664</v>
      </c>
      <c r="Q13" s="313">
        <f>'Cruise Projections'!AG86</f>
        <v>28.666666666666664</v>
      </c>
      <c r="R13" s="313">
        <f>'Cruise Projections'!AH86</f>
        <v>28.666666666666664</v>
      </c>
      <c r="S13" s="313">
        <f>'Cruise Projections'!AI86</f>
        <v>28.666666666666664</v>
      </c>
      <c r="T13" s="313">
        <f>'Cruise Projections'!AJ86</f>
        <v>28.666666666666664</v>
      </c>
      <c r="U13" s="313">
        <f>'Cruise Projections'!AK86</f>
        <v>28.666666666666664</v>
      </c>
      <c r="V13" s="313">
        <f>'Cruise Projections'!AL86</f>
        <v>28.666666666666664</v>
      </c>
      <c r="W13" s="313">
        <f>'Cruise Projections'!AM86</f>
        <v>28.666666666666664</v>
      </c>
      <c r="X13" s="313">
        <f>'Cruise Projections'!AN86</f>
        <v>28.666666666666664</v>
      </c>
      <c r="Y13" s="312"/>
    </row>
    <row r="14" spans="1:25">
      <c r="A14" s="53" t="str">
        <f>'Cruise Projections'!A69</f>
        <v>Passengers per Call</v>
      </c>
      <c r="B14" s="21"/>
      <c r="C14" s="21"/>
      <c r="D14" s="486">
        <f>'Cruise Projections'!T69</f>
        <v>0</v>
      </c>
      <c r="E14" s="313">
        <v>0</v>
      </c>
      <c r="F14" s="313">
        <f>'Cruise Projections'!V87</f>
        <v>3110.3085303356092</v>
      </c>
      <c r="G14" s="313">
        <f>'Cruise Projections'!W87</f>
        <v>3110.3085303356092</v>
      </c>
      <c r="H14" s="313">
        <f>'Cruise Projections'!X87</f>
        <v>3110.3085303356092</v>
      </c>
      <c r="I14" s="313">
        <f>'Cruise Projections'!Y87</f>
        <v>3110.3085303356092</v>
      </c>
      <c r="J14" s="313">
        <f>'Cruise Projections'!Z87</f>
        <v>3110.3085303356092</v>
      </c>
      <c r="K14" s="313">
        <f>'Cruise Projections'!AA87</f>
        <v>3110.3085303356092</v>
      </c>
      <c r="L14" s="313">
        <f>'Cruise Projections'!AB87</f>
        <v>3110.3085303356092</v>
      </c>
      <c r="M14" s="313">
        <f>'Cruise Projections'!AC87</f>
        <v>3110.3085303356092</v>
      </c>
      <c r="N14" s="313">
        <f>'Cruise Projections'!AD87</f>
        <v>3110.3085303356092</v>
      </c>
      <c r="O14" s="313">
        <f>'Cruise Projections'!AE87</f>
        <v>3110.3085303356092</v>
      </c>
      <c r="P14" s="313">
        <f>'Cruise Projections'!AF87</f>
        <v>3110.3085303356092</v>
      </c>
      <c r="Q14" s="313">
        <f>'Cruise Projections'!AG87</f>
        <v>3110.3085303356092</v>
      </c>
      <c r="R14" s="313">
        <f>'Cruise Projections'!AH87</f>
        <v>3110.3085303356092</v>
      </c>
      <c r="S14" s="313">
        <f>'Cruise Projections'!AI87</f>
        <v>3110.3085303356092</v>
      </c>
      <c r="T14" s="313">
        <f>'Cruise Projections'!AJ87</f>
        <v>3110.3085303356092</v>
      </c>
      <c r="U14" s="313">
        <f>'Cruise Projections'!AK87</f>
        <v>3110.3085303356092</v>
      </c>
      <c r="V14" s="313">
        <f>'Cruise Projections'!AL87</f>
        <v>3110.3085303356092</v>
      </c>
      <c r="W14" s="313">
        <f>'Cruise Projections'!AM87</f>
        <v>3110.3085303356092</v>
      </c>
      <c r="X14" s="313">
        <f>'Cruise Projections'!AN87</f>
        <v>3110.3085303356092</v>
      </c>
      <c r="Y14" s="312"/>
    </row>
    <row r="15" spans="1:25" s="96" customFormat="1">
      <c r="A15" s="54" t="s">
        <v>313</v>
      </c>
      <c r="B15" s="487"/>
      <c r="C15" s="487"/>
      <c r="D15" s="486">
        <f>'Cruise Projections'!T70</f>
        <v>0</v>
      </c>
      <c r="E15" s="313">
        <v>0</v>
      </c>
      <c r="F15" s="313">
        <f>'Shuttle Projections'!D35</f>
        <v>4120</v>
      </c>
      <c r="G15" s="313">
        <f>'Shuttle Projections'!E35</f>
        <v>4120</v>
      </c>
      <c r="H15" s="313">
        <f>'Shuttle Projections'!F35</f>
        <v>4120</v>
      </c>
      <c r="I15" s="313">
        <f>'Shuttle Projections'!G35</f>
        <v>4120</v>
      </c>
      <c r="J15" s="313">
        <f>'Shuttle Projections'!H35</f>
        <v>4120</v>
      </c>
      <c r="K15" s="313">
        <f>'Shuttle Projections'!I35</f>
        <v>4120</v>
      </c>
      <c r="L15" s="313">
        <f>'Shuttle Projections'!J35</f>
        <v>4120</v>
      </c>
      <c r="M15" s="313">
        <f>'Shuttle Projections'!K35</f>
        <v>4120</v>
      </c>
      <c r="N15" s="313">
        <f>'Shuttle Projections'!L35</f>
        <v>4120</v>
      </c>
      <c r="O15" s="313">
        <f>'Shuttle Projections'!M35</f>
        <v>4120</v>
      </c>
      <c r="P15" s="313">
        <f>'Shuttle Projections'!N35</f>
        <v>4120</v>
      </c>
      <c r="Q15" s="313">
        <f>'Shuttle Projections'!O35</f>
        <v>4120</v>
      </c>
      <c r="R15" s="313">
        <f>'Shuttle Projections'!P35</f>
        <v>4120</v>
      </c>
      <c r="S15" s="313">
        <f>'Shuttle Projections'!Q35</f>
        <v>4120</v>
      </c>
      <c r="T15" s="313">
        <f>'Shuttle Projections'!R35</f>
        <v>4120</v>
      </c>
      <c r="U15" s="313">
        <f>'Shuttle Projections'!S35</f>
        <v>4120</v>
      </c>
      <c r="V15" s="313">
        <f>'Shuttle Projections'!T35</f>
        <v>4120</v>
      </c>
      <c r="W15" s="313">
        <f>'Shuttle Projections'!U35</f>
        <v>4120</v>
      </c>
      <c r="X15" s="313">
        <f>'Shuttle Projections'!V35</f>
        <v>4120</v>
      </c>
      <c r="Y15" s="313"/>
    </row>
    <row r="16" spans="1:25">
      <c r="A16" s="54"/>
      <c r="B16" s="21"/>
      <c r="C16" s="21"/>
      <c r="D16" s="486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</row>
    <row r="17" spans="1:25" s="279" customFormat="1" ht="14.25">
      <c r="A17" s="293" t="s">
        <v>163</v>
      </c>
      <c r="B17" s="294"/>
      <c r="C17" s="294"/>
      <c r="D17" s="491"/>
      <c r="E17" s="329"/>
      <c r="F17" s="329"/>
      <c r="G17" s="329"/>
      <c r="H17" s="329"/>
      <c r="I17" s="329"/>
      <c r="J17" s="329"/>
      <c r="K17" s="329"/>
      <c r="L17" s="329"/>
      <c r="M17" s="329"/>
      <c r="N17" s="329"/>
      <c r="O17" s="329"/>
      <c r="P17" s="329"/>
      <c r="Q17" s="329"/>
      <c r="R17" s="329"/>
      <c r="S17" s="329"/>
      <c r="T17" s="329"/>
      <c r="U17" s="329"/>
      <c r="V17" s="329"/>
      <c r="W17" s="329"/>
      <c r="X17" s="329"/>
    </row>
    <row r="18" spans="1:25" s="96" customFormat="1">
      <c r="A18" s="54" t="str">
        <f>'International Ferry Projections'!A11</f>
        <v>Passengers</v>
      </c>
      <c r="B18" s="487"/>
      <c r="C18" s="487"/>
      <c r="D18" s="486">
        <f>'International Ferry Projections'!B11</f>
        <v>0</v>
      </c>
      <c r="E18" s="313">
        <f>'International Ferry Projections'!C11</f>
        <v>60000</v>
      </c>
      <c r="F18" s="313">
        <f>'International Ferry Projections'!D11</f>
        <v>70000</v>
      </c>
      <c r="G18" s="313">
        <f>'International Ferry Projections'!E11</f>
        <v>80000</v>
      </c>
      <c r="H18" s="313">
        <f>'International Ferry Projections'!F11</f>
        <v>80000</v>
      </c>
      <c r="I18" s="313">
        <f>'International Ferry Projections'!G11</f>
        <v>80000</v>
      </c>
      <c r="J18" s="313">
        <f>'International Ferry Projections'!H11</f>
        <v>80000</v>
      </c>
      <c r="K18" s="313">
        <f>'International Ferry Projections'!I11</f>
        <v>80000</v>
      </c>
      <c r="L18" s="313">
        <f>'International Ferry Projections'!J11</f>
        <v>80000</v>
      </c>
      <c r="M18" s="313">
        <f>'International Ferry Projections'!K11</f>
        <v>80000</v>
      </c>
      <c r="N18" s="313">
        <f>'International Ferry Projections'!L11</f>
        <v>80000</v>
      </c>
      <c r="O18" s="313">
        <f>'International Ferry Projections'!M11</f>
        <v>80000</v>
      </c>
      <c r="P18" s="313">
        <f>'International Ferry Projections'!N11</f>
        <v>80000</v>
      </c>
      <c r="Q18" s="313">
        <f>'International Ferry Projections'!O11</f>
        <v>80000</v>
      </c>
      <c r="R18" s="313">
        <f>'International Ferry Projections'!P11</f>
        <v>80000</v>
      </c>
      <c r="S18" s="313">
        <f>'International Ferry Projections'!Q11</f>
        <v>80000</v>
      </c>
      <c r="T18" s="313">
        <f>'International Ferry Projections'!R11</f>
        <v>80000</v>
      </c>
      <c r="U18" s="313">
        <f>'International Ferry Projections'!S11</f>
        <v>80000</v>
      </c>
      <c r="V18" s="313">
        <f>'International Ferry Projections'!T11</f>
        <v>80000</v>
      </c>
      <c r="W18" s="313">
        <f>'International Ferry Projections'!U11</f>
        <v>80000</v>
      </c>
      <c r="X18" s="313">
        <f>'International Ferry Projections'!V11</f>
        <v>80000</v>
      </c>
    </row>
    <row r="19" spans="1:25" s="96" customFormat="1">
      <c r="A19" s="54" t="str">
        <f>'International Ferry Projections'!A12</f>
        <v>Cars</v>
      </c>
      <c r="B19" s="487"/>
      <c r="C19" s="487"/>
      <c r="D19" s="486">
        <f>'International Ferry Projections'!B12</f>
        <v>0</v>
      </c>
      <c r="E19" s="313">
        <f>'International Ferry Projections'!C12</f>
        <v>24000</v>
      </c>
      <c r="F19" s="313">
        <f>'International Ferry Projections'!D12</f>
        <v>28000</v>
      </c>
      <c r="G19" s="313">
        <f>'International Ferry Projections'!E12</f>
        <v>32000</v>
      </c>
      <c r="H19" s="313">
        <f>'International Ferry Projections'!F12</f>
        <v>32000</v>
      </c>
      <c r="I19" s="313">
        <f>'International Ferry Projections'!G12</f>
        <v>32000</v>
      </c>
      <c r="J19" s="313">
        <f>'International Ferry Projections'!H12</f>
        <v>32000</v>
      </c>
      <c r="K19" s="313">
        <f>'International Ferry Projections'!I12</f>
        <v>32000</v>
      </c>
      <c r="L19" s="313">
        <f>'International Ferry Projections'!J12</f>
        <v>32000</v>
      </c>
      <c r="M19" s="313">
        <f>'International Ferry Projections'!K12</f>
        <v>32000</v>
      </c>
      <c r="N19" s="313">
        <f>'International Ferry Projections'!L12</f>
        <v>32000</v>
      </c>
      <c r="O19" s="313">
        <f>'International Ferry Projections'!M12</f>
        <v>32000</v>
      </c>
      <c r="P19" s="313">
        <f>'International Ferry Projections'!N12</f>
        <v>32000</v>
      </c>
      <c r="Q19" s="313">
        <f>'International Ferry Projections'!O12</f>
        <v>32000</v>
      </c>
      <c r="R19" s="313">
        <f>'International Ferry Projections'!P12</f>
        <v>32000</v>
      </c>
      <c r="S19" s="313">
        <f>'International Ferry Projections'!Q12</f>
        <v>32000</v>
      </c>
      <c r="T19" s="313">
        <f>'International Ferry Projections'!R12</f>
        <v>32000</v>
      </c>
      <c r="U19" s="313">
        <f>'International Ferry Projections'!S12</f>
        <v>32000</v>
      </c>
      <c r="V19" s="313">
        <f>'International Ferry Projections'!T12</f>
        <v>32000</v>
      </c>
      <c r="W19" s="313">
        <f>'International Ferry Projections'!U12</f>
        <v>32000</v>
      </c>
      <c r="X19" s="313">
        <f>'International Ferry Projections'!V12</f>
        <v>32000</v>
      </c>
    </row>
    <row r="20" spans="1:25" s="96" customFormat="1">
      <c r="A20" s="54" t="str">
        <f>'International Ferry Projections'!A13</f>
        <v>Buses</v>
      </c>
      <c r="B20" s="487"/>
      <c r="C20" s="487"/>
      <c r="D20" s="486">
        <f>'International Ferry Projections'!B13</f>
        <v>0</v>
      </c>
      <c r="E20" s="313">
        <f>'International Ferry Projections'!C13</f>
        <v>40</v>
      </c>
      <c r="F20" s="313">
        <f>'International Ferry Projections'!D13</f>
        <v>50</v>
      </c>
      <c r="G20" s="313">
        <f>'International Ferry Projections'!E13</f>
        <v>60</v>
      </c>
      <c r="H20" s="313">
        <f>'International Ferry Projections'!F13</f>
        <v>60</v>
      </c>
      <c r="I20" s="313">
        <f>'International Ferry Projections'!G13</f>
        <v>60</v>
      </c>
      <c r="J20" s="313">
        <f>'International Ferry Projections'!H13</f>
        <v>60</v>
      </c>
      <c r="K20" s="313">
        <f>'International Ferry Projections'!I13</f>
        <v>60</v>
      </c>
      <c r="L20" s="313">
        <f>'International Ferry Projections'!J13</f>
        <v>60</v>
      </c>
      <c r="M20" s="313">
        <f>'International Ferry Projections'!K13</f>
        <v>60</v>
      </c>
      <c r="N20" s="313">
        <f>'International Ferry Projections'!L13</f>
        <v>60</v>
      </c>
      <c r="O20" s="313">
        <f>'International Ferry Projections'!M13</f>
        <v>60</v>
      </c>
      <c r="P20" s="313">
        <f>'International Ferry Projections'!N13</f>
        <v>60</v>
      </c>
      <c r="Q20" s="313">
        <f>'International Ferry Projections'!O13</f>
        <v>60</v>
      </c>
      <c r="R20" s="313">
        <f>'International Ferry Projections'!P13</f>
        <v>60</v>
      </c>
      <c r="S20" s="313">
        <f>'International Ferry Projections'!Q13</f>
        <v>60</v>
      </c>
      <c r="T20" s="313">
        <f>'International Ferry Projections'!R13</f>
        <v>60</v>
      </c>
      <c r="U20" s="313">
        <f>'International Ferry Projections'!S13</f>
        <v>60</v>
      </c>
      <c r="V20" s="313">
        <f>'International Ferry Projections'!T13</f>
        <v>60</v>
      </c>
      <c r="W20" s="313">
        <f>'International Ferry Projections'!U13</f>
        <v>60</v>
      </c>
      <c r="X20" s="313">
        <f>'International Ferry Projections'!V13</f>
        <v>60</v>
      </c>
    </row>
    <row r="21" spans="1:25">
      <c r="A21" s="54"/>
      <c r="B21" s="21"/>
      <c r="C21" s="21"/>
      <c r="D21" s="486"/>
      <c r="E21" s="313"/>
      <c r="F21" s="313"/>
      <c r="G21" s="313"/>
      <c r="H21" s="313"/>
      <c r="I21" s="313"/>
      <c r="J21" s="313"/>
      <c r="K21" s="313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</row>
    <row r="22" spans="1:25" s="582" customFormat="1">
      <c r="A22" s="293" t="str">
        <f>'BH Tariffs'!A30</f>
        <v>Local Ferry</v>
      </c>
      <c r="B22" s="581"/>
      <c r="C22" s="581"/>
      <c r="D22" s="486">
        <v>0</v>
      </c>
      <c r="E22" s="329"/>
      <c r="F22" s="329"/>
      <c r="G22" s="329"/>
      <c r="H22" s="329"/>
      <c r="I22" s="329"/>
      <c r="J22" s="329"/>
      <c r="K22" s="329"/>
      <c r="L22" s="329"/>
      <c r="M22" s="329"/>
      <c r="N22" s="329"/>
      <c r="O22" s="329"/>
      <c r="P22" s="329"/>
      <c r="Q22" s="329"/>
      <c r="R22" s="329"/>
      <c r="S22" s="329"/>
      <c r="T22" s="329"/>
      <c r="U22" s="329"/>
      <c r="V22" s="329"/>
      <c r="W22" s="329"/>
      <c r="X22" s="329"/>
    </row>
    <row r="23" spans="1:25" s="96" customFormat="1">
      <c r="A23" s="54" t="str">
        <f>'BH Tariffs'!A31</f>
        <v>Dock Rent (6 Months Only)</v>
      </c>
      <c r="B23" s="487"/>
      <c r="C23" s="487"/>
      <c r="D23" s="486">
        <v>0</v>
      </c>
      <c r="E23" s="623" t="s">
        <v>286</v>
      </c>
      <c r="F23" s="623" t="s">
        <v>286</v>
      </c>
      <c r="G23" s="623" t="s">
        <v>286</v>
      </c>
      <c r="H23" s="623" t="s">
        <v>286</v>
      </c>
      <c r="I23" s="623" t="s">
        <v>286</v>
      </c>
      <c r="J23" s="623" t="s">
        <v>286</v>
      </c>
      <c r="K23" s="623" t="s">
        <v>286</v>
      </c>
      <c r="L23" s="623" t="s">
        <v>286</v>
      </c>
      <c r="M23" s="623" t="s">
        <v>286</v>
      </c>
      <c r="N23" s="623" t="s">
        <v>286</v>
      </c>
      <c r="O23" s="623" t="s">
        <v>286</v>
      </c>
      <c r="P23" s="623" t="s">
        <v>286</v>
      </c>
      <c r="Q23" s="623" t="s">
        <v>286</v>
      </c>
      <c r="R23" s="623" t="s">
        <v>286</v>
      </c>
      <c r="S23" s="623" t="s">
        <v>286</v>
      </c>
      <c r="T23" s="623" t="s">
        <v>286</v>
      </c>
      <c r="U23" s="623" t="s">
        <v>286</v>
      </c>
      <c r="V23" s="623" t="s">
        <v>286</v>
      </c>
      <c r="W23" s="623" t="s">
        <v>286</v>
      </c>
      <c r="X23" s="623" t="s">
        <v>286</v>
      </c>
    </row>
    <row r="24" spans="1:25" s="341" customFormat="1">
      <c r="A24" s="552"/>
      <c r="B24" s="553"/>
      <c r="C24" s="553"/>
      <c r="D24" s="554"/>
      <c r="E24" s="555"/>
      <c r="F24" s="555"/>
      <c r="G24" s="555"/>
      <c r="H24" s="555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</row>
    <row r="25" spans="1:25" s="96" customFormat="1">
      <c r="A25" s="559" t="s">
        <v>227</v>
      </c>
      <c r="B25" s="487"/>
      <c r="C25" s="487"/>
      <c r="D25" s="486"/>
      <c r="E25" s="313"/>
      <c r="F25" s="313"/>
      <c r="G25" s="313"/>
      <c r="H25" s="313"/>
      <c r="I25" s="313"/>
      <c r="J25" s="313"/>
      <c r="K25" s="313"/>
      <c r="L25" s="313"/>
      <c r="M25" s="313"/>
      <c r="N25" s="313"/>
      <c r="O25" s="313"/>
      <c r="P25" s="313"/>
      <c r="Q25" s="313"/>
      <c r="R25" s="313"/>
      <c r="S25" s="313"/>
      <c r="T25" s="313"/>
      <c r="U25" s="313"/>
      <c r="V25" s="313"/>
      <c r="W25" s="313"/>
      <c r="X25" s="313"/>
    </row>
    <row r="26" spans="1:25">
      <c r="A26" s="54"/>
      <c r="B26" s="21"/>
      <c r="C26" s="21"/>
      <c r="D26" s="486"/>
      <c r="E26" s="313"/>
      <c r="F26" s="313"/>
      <c r="G26" s="313"/>
      <c r="H26" s="313"/>
      <c r="I26" s="313"/>
      <c r="J26" s="313"/>
      <c r="K26" s="313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</row>
    <row r="27" spans="1:25">
      <c r="A27" s="54" t="s">
        <v>420</v>
      </c>
      <c r="B27" s="21"/>
      <c r="C27" s="21"/>
      <c r="D27" s="486">
        <v>0</v>
      </c>
      <c r="E27" s="313">
        <f>'Marina Projections'!C9</f>
        <v>0</v>
      </c>
      <c r="F27" s="313">
        <f>'Marina Projections'!D9</f>
        <v>214</v>
      </c>
      <c r="G27" s="313">
        <f>'Marina Projections'!E9</f>
        <v>214</v>
      </c>
      <c r="H27" s="313">
        <f>'Marina Projections'!F9</f>
        <v>214</v>
      </c>
      <c r="I27" s="313">
        <f>'Marina Projections'!G9</f>
        <v>214</v>
      </c>
      <c r="J27" s="313">
        <f>'Marina Projections'!H9</f>
        <v>214</v>
      </c>
      <c r="K27" s="313">
        <f>'Marina Projections'!I9</f>
        <v>214</v>
      </c>
      <c r="L27" s="313">
        <f>'Marina Projections'!J9</f>
        <v>214</v>
      </c>
      <c r="M27" s="313">
        <f>'Marina Projections'!K9</f>
        <v>214</v>
      </c>
      <c r="N27" s="313">
        <f>'Marina Projections'!L9</f>
        <v>214</v>
      </c>
      <c r="O27" s="313">
        <f>'Marina Projections'!M9</f>
        <v>214</v>
      </c>
      <c r="P27" s="313">
        <f>'Marina Projections'!N9</f>
        <v>214</v>
      </c>
      <c r="Q27" s="313">
        <f>'Marina Projections'!O9</f>
        <v>214</v>
      </c>
      <c r="R27" s="313">
        <f>'Marina Projections'!P9</f>
        <v>214</v>
      </c>
      <c r="S27" s="313">
        <f>'Marina Projections'!Q9</f>
        <v>214</v>
      </c>
      <c r="T27" s="313">
        <f>'Marina Projections'!R9</f>
        <v>214</v>
      </c>
      <c r="U27" s="313">
        <f>'Marina Projections'!S9</f>
        <v>214</v>
      </c>
      <c r="V27" s="313">
        <f>'Marina Projections'!T9</f>
        <v>214</v>
      </c>
      <c r="W27" s="313">
        <f>'Marina Projections'!U9</f>
        <v>214</v>
      </c>
      <c r="X27" s="313">
        <f>'Marina Projections'!V9</f>
        <v>214</v>
      </c>
    </row>
    <row r="28" spans="1:25">
      <c r="A28" s="54" t="s">
        <v>205</v>
      </c>
      <c r="B28" s="21"/>
      <c r="C28" s="21"/>
      <c r="D28" s="486">
        <v>0</v>
      </c>
      <c r="E28" s="330">
        <v>0</v>
      </c>
      <c r="F28" s="330">
        <f>'Cruise Projections'!V86</f>
        <v>28.666666666666664</v>
      </c>
      <c r="G28" s="330">
        <f>'Cruise Projections'!W86</f>
        <v>28.666666666666664</v>
      </c>
      <c r="H28" s="330">
        <f>'Cruise Projections'!X86</f>
        <v>28.666666666666664</v>
      </c>
      <c r="I28" s="330">
        <f>'Cruise Projections'!Y86</f>
        <v>28.666666666666664</v>
      </c>
      <c r="J28" s="330">
        <f>'Cruise Projections'!Z86</f>
        <v>28.666666666666664</v>
      </c>
      <c r="K28" s="330">
        <f>'Cruise Projections'!AA86</f>
        <v>28.666666666666664</v>
      </c>
      <c r="L28" s="330">
        <f>'Cruise Projections'!AB86</f>
        <v>28.666666666666664</v>
      </c>
      <c r="M28" s="330">
        <f>'Cruise Projections'!AC86</f>
        <v>28.666666666666664</v>
      </c>
      <c r="N28" s="330">
        <f>'Cruise Projections'!AD86</f>
        <v>28.666666666666664</v>
      </c>
      <c r="O28" s="330">
        <f>'Cruise Projections'!AE86</f>
        <v>28.666666666666664</v>
      </c>
      <c r="P28" s="330">
        <f>'Cruise Projections'!AF86</f>
        <v>28.666666666666664</v>
      </c>
      <c r="Q28" s="330">
        <f>'Cruise Projections'!AG86</f>
        <v>28.666666666666664</v>
      </c>
      <c r="R28" s="330">
        <f>'Cruise Projections'!AH86</f>
        <v>28.666666666666664</v>
      </c>
      <c r="S28" s="330">
        <f>'Cruise Projections'!AI86</f>
        <v>28.666666666666664</v>
      </c>
      <c r="T28" s="330">
        <f>'Cruise Projections'!AJ86</f>
        <v>28.666666666666664</v>
      </c>
      <c r="U28" s="330">
        <f>'Cruise Projections'!AK86</f>
        <v>28.666666666666664</v>
      </c>
      <c r="V28" s="330">
        <f>'Cruise Projections'!AL86</f>
        <v>28.666666666666664</v>
      </c>
      <c r="W28" s="330">
        <f>'Cruise Projections'!AM86</f>
        <v>28.666666666666664</v>
      </c>
      <c r="X28" s="330">
        <f>'Cruise Projections'!AN86</f>
        <v>28.666666666666664</v>
      </c>
      <c r="Y28" s="32"/>
    </row>
    <row r="29" spans="1:25">
      <c r="A29" s="54" t="s">
        <v>219</v>
      </c>
      <c r="B29" s="21"/>
      <c r="C29" s="21"/>
      <c r="D29" s="486">
        <v>0</v>
      </c>
      <c r="E29" s="330">
        <v>150</v>
      </c>
      <c r="F29" s="330">
        <f>E29</f>
        <v>150</v>
      </c>
      <c r="G29" s="330">
        <f t="shared" ref="G29:X29" si="0">F29</f>
        <v>150</v>
      </c>
      <c r="H29" s="330">
        <f t="shared" si="0"/>
        <v>150</v>
      </c>
      <c r="I29" s="330">
        <f t="shared" si="0"/>
        <v>150</v>
      </c>
      <c r="J29" s="330">
        <f t="shared" si="0"/>
        <v>150</v>
      </c>
      <c r="K29" s="330">
        <f t="shared" si="0"/>
        <v>150</v>
      </c>
      <c r="L29" s="330">
        <f t="shared" si="0"/>
        <v>150</v>
      </c>
      <c r="M29" s="330">
        <f t="shared" si="0"/>
        <v>150</v>
      </c>
      <c r="N29" s="330">
        <f t="shared" si="0"/>
        <v>150</v>
      </c>
      <c r="O29" s="330">
        <f t="shared" si="0"/>
        <v>150</v>
      </c>
      <c r="P29" s="330">
        <f t="shared" si="0"/>
        <v>150</v>
      </c>
      <c r="Q29" s="330">
        <f t="shared" si="0"/>
        <v>150</v>
      </c>
      <c r="R29" s="330">
        <f t="shared" si="0"/>
        <v>150</v>
      </c>
      <c r="S29" s="330">
        <f t="shared" si="0"/>
        <v>150</v>
      </c>
      <c r="T29" s="330">
        <f t="shared" si="0"/>
        <v>150</v>
      </c>
      <c r="U29" s="330">
        <f t="shared" si="0"/>
        <v>150</v>
      </c>
      <c r="V29" s="330">
        <f t="shared" si="0"/>
        <v>150</v>
      </c>
      <c r="W29" s="330">
        <f t="shared" si="0"/>
        <v>150</v>
      </c>
      <c r="X29" s="330">
        <f t="shared" si="0"/>
        <v>150</v>
      </c>
      <c r="Y29" s="32"/>
    </row>
    <row r="30" spans="1:25">
      <c r="A30" s="54" t="s">
        <v>220</v>
      </c>
      <c r="B30" s="21"/>
      <c r="C30" s="21"/>
      <c r="D30" s="486">
        <v>0</v>
      </c>
      <c r="E30" s="495">
        <f>E28/E29</f>
        <v>0</v>
      </c>
      <c r="F30" s="495">
        <f t="shared" ref="F30:X30" si="1">F28/F29</f>
        <v>0.19111111111111109</v>
      </c>
      <c r="G30" s="495">
        <f t="shared" si="1"/>
        <v>0.19111111111111109</v>
      </c>
      <c r="H30" s="495">
        <f t="shared" si="1"/>
        <v>0.19111111111111109</v>
      </c>
      <c r="I30" s="495">
        <f t="shared" si="1"/>
        <v>0.19111111111111109</v>
      </c>
      <c r="J30" s="495">
        <f t="shared" si="1"/>
        <v>0.19111111111111109</v>
      </c>
      <c r="K30" s="495">
        <f t="shared" si="1"/>
        <v>0.19111111111111109</v>
      </c>
      <c r="L30" s="495">
        <f t="shared" si="1"/>
        <v>0.19111111111111109</v>
      </c>
      <c r="M30" s="495">
        <f t="shared" si="1"/>
        <v>0.19111111111111109</v>
      </c>
      <c r="N30" s="495">
        <f t="shared" si="1"/>
        <v>0.19111111111111109</v>
      </c>
      <c r="O30" s="495">
        <f t="shared" si="1"/>
        <v>0.19111111111111109</v>
      </c>
      <c r="P30" s="495">
        <f t="shared" si="1"/>
        <v>0.19111111111111109</v>
      </c>
      <c r="Q30" s="495">
        <f t="shared" si="1"/>
        <v>0.19111111111111109</v>
      </c>
      <c r="R30" s="495">
        <f t="shared" si="1"/>
        <v>0.19111111111111109</v>
      </c>
      <c r="S30" s="495">
        <f t="shared" si="1"/>
        <v>0.19111111111111109</v>
      </c>
      <c r="T30" s="495">
        <f t="shared" si="1"/>
        <v>0.19111111111111109</v>
      </c>
      <c r="U30" s="495">
        <f t="shared" si="1"/>
        <v>0.19111111111111109</v>
      </c>
      <c r="V30" s="495">
        <f t="shared" si="1"/>
        <v>0.19111111111111109</v>
      </c>
      <c r="W30" s="495">
        <f t="shared" si="1"/>
        <v>0.19111111111111109</v>
      </c>
      <c r="X30" s="495">
        <f t="shared" si="1"/>
        <v>0.19111111111111109</v>
      </c>
      <c r="Y30" s="32"/>
    </row>
    <row r="31" spans="1:25" s="96" customFormat="1">
      <c r="A31" s="54" t="s">
        <v>226</v>
      </c>
      <c r="B31" s="487"/>
      <c r="C31" s="487"/>
      <c r="D31" s="486">
        <v>0</v>
      </c>
      <c r="E31" s="330">
        <v>0</v>
      </c>
      <c r="F31" s="330">
        <v>125</v>
      </c>
      <c r="G31" s="330">
        <v>125</v>
      </c>
      <c r="H31" s="330">
        <v>125</v>
      </c>
      <c r="I31" s="330">
        <v>125</v>
      </c>
      <c r="J31" s="330">
        <v>125</v>
      </c>
      <c r="K31" s="330">
        <v>125</v>
      </c>
      <c r="L31" s="330">
        <v>125</v>
      </c>
      <c r="M31" s="330">
        <v>125</v>
      </c>
      <c r="N31" s="330">
        <v>125</v>
      </c>
      <c r="O31" s="330">
        <v>125</v>
      </c>
      <c r="P31" s="330">
        <v>125</v>
      </c>
      <c r="Q31" s="330">
        <v>125</v>
      </c>
      <c r="R31" s="330">
        <v>125</v>
      </c>
      <c r="S31" s="330">
        <v>125</v>
      </c>
      <c r="T31" s="330">
        <v>125</v>
      </c>
      <c r="U31" s="330">
        <v>125</v>
      </c>
      <c r="V31" s="330">
        <v>125</v>
      </c>
      <c r="W31" s="330">
        <v>125</v>
      </c>
      <c r="X31" s="330">
        <v>125</v>
      </c>
      <c r="Y31" s="58"/>
    </row>
    <row r="32" spans="1:25">
      <c r="A32" s="54"/>
      <c r="B32" s="21"/>
      <c r="C32" s="21"/>
      <c r="D32" s="486"/>
      <c r="E32" s="495"/>
      <c r="F32" s="495"/>
      <c r="G32" s="495"/>
      <c r="H32" s="495"/>
      <c r="I32" s="495"/>
      <c r="J32" s="495"/>
      <c r="K32" s="495"/>
      <c r="L32" s="495"/>
      <c r="M32" s="495"/>
      <c r="N32" s="495"/>
      <c r="O32" s="495"/>
      <c r="P32" s="495"/>
      <c r="Q32" s="495"/>
      <c r="R32" s="495"/>
      <c r="S32" s="495"/>
      <c r="T32" s="495"/>
      <c r="U32" s="495"/>
      <c r="V32" s="495"/>
      <c r="W32" s="495"/>
      <c r="X32" s="495"/>
      <c r="Y32" s="32"/>
    </row>
    <row r="33" spans="1:24">
      <c r="A33" s="54" t="s">
        <v>206</v>
      </c>
      <c r="B33" s="21"/>
      <c r="C33" s="21"/>
      <c r="D33" s="486">
        <v>0</v>
      </c>
      <c r="E33" s="313">
        <v>0</v>
      </c>
      <c r="F33" s="313">
        <f t="shared" ref="F33:X33" si="2">F12/F28</f>
        <v>3110.3085303356092</v>
      </c>
      <c r="G33" s="313">
        <f t="shared" si="2"/>
        <v>3110.3085303356092</v>
      </c>
      <c r="H33" s="313">
        <f t="shared" si="2"/>
        <v>3110.3085303356092</v>
      </c>
      <c r="I33" s="313">
        <f t="shared" si="2"/>
        <v>3110.3085303356092</v>
      </c>
      <c r="J33" s="313">
        <f t="shared" si="2"/>
        <v>3110.3085303356092</v>
      </c>
      <c r="K33" s="313">
        <f t="shared" si="2"/>
        <v>3110.3085303356092</v>
      </c>
      <c r="L33" s="313">
        <f t="shared" si="2"/>
        <v>3110.3085303356092</v>
      </c>
      <c r="M33" s="313">
        <f t="shared" si="2"/>
        <v>3110.3085303356092</v>
      </c>
      <c r="N33" s="313">
        <f t="shared" si="2"/>
        <v>3110.3085303356092</v>
      </c>
      <c r="O33" s="313">
        <f t="shared" si="2"/>
        <v>3110.3085303356092</v>
      </c>
      <c r="P33" s="313">
        <f t="shared" si="2"/>
        <v>3110.3085303356092</v>
      </c>
      <c r="Q33" s="313">
        <f t="shared" si="2"/>
        <v>3110.3085303356092</v>
      </c>
      <c r="R33" s="313">
        <f t="shared" si="2"/>
        <v>3110.3085303356092</v>
      </c>
      <c r="S33" s="313">
        <f t="shared" si="2"/>
        <v>3110.3085303356092</v>
      </c>
      <c r="T33" s="313">
        <f t="shared" si="2"/>
        <v>3110.3085303356092</v>
      </c>
      <c r="U33" s="313">
        <f t="shared" si="2"/>
        <v>3110.3085303356092</v>
      </c>
      <c r="V33" s="313">
        <f t="shared" si="2"/>
        <v>3110.3085303356092</v>
      </c>
      <c r="W33" s="313">
        <f t="shared" si="2"/>
        <v>3110.3085303356092</v>
      </c>
      <c r="X33" s="313">
        <f t="shared" si="2"/>
        <v>3110.3085303356092</v>
      </c>
    </row>
    <row r="34" spans="1:24">
      <c r="A34" s="54" t="s">
        <v>207</v>
      </c>
      <c r="B34" s="21"/>
      <c r="C34" s="21"/>
      <c r="D34" s="486">
        <v>0</v>
      </c>
      <c r="E34" s="313">
        <v>0</v>
      </c>
      <c r="F34" s="313">
        <v>5500</v>
      </c>
      <c r="G34" s="313">
        <v>5500</v>
      </c>
      <c r="H34" s="313">
        <v>5500</v>
      </c>
      <c r="I34" s="313">
        <v>5500</v>
      </c>
      <c r="J34" s="313">
        <v>5500</v>
      </c>
      <c r="K34" s="313">
        <v>5500</v>
      </c>
      <c r="L34" s="313">
        <v>5500</v>
      </c>
      <c r="M34" s="313">
        <v>5500</v>
      </c>
      <c r="N34" s="313">
        <v>5500</v>
      </c>
      <c r="O34" s="313">
        <v>5500</v>
      </c>
      <c r="P34" s="313">
        <v>5500</v>
      </c>
      <c r="Q34" s="313">
        <v>5500</v>
      </c>
      <c r="R34" s="313">
        <v>5500</v>
      </c>
      <c r="S34" s="313">
        <v>5500</v>
      </c>
      <c r="T34" s="313">
        <v>5500</v>
      </c>
      <c r="U34" s="313">
        <v>5500</v>
      </c>
      <c r="V34" s="313">
        <v>5500</v>
      </c>
      <c r="W34" s="313">
        <v>5500</v>
      </c>
      <c r="X34" s="313">
        <v>5500</v>
      </c>
    </row>
    <row r="35" spans="1:24">
      <c r="A35" s="54" t="s">
        <v>221</v>
      </c>
      <c r="B35" s="21"/>
      <c r="C35" s="21"/>
      <c r="D35" s="486">
        <v>0</v>
      </c>
      <c r="E35" s="330">
        <f>E18/E29</f>
        <v>400</v>
      </c>
      <c r="F35" s="330">
        <f t="shared" ref="F35:X35" si="3">F18/F29</f>
        <v>466.66666666666669</v>
      </c>
      <c r="G35" s="330">
        <f t="shared" si="3"/>
        <v>533.33333333333337</v>
      </c>
      <c r="H35" s="330">
        <f t="shared" si="3"/>
        <v>533.33333333333337</v>
      </c>
      <c r="I35" s="330">
        <f t="shared" si="3"/>
        <v>533.33333333333337</v>
      </c>
      <c r="J35" s="330">
        <f t="shared" si="3"/>
        <v>533.33333333333337</v>
      </c>
      <c r="K35" s="330">
        <f t="shared" si="3"/>
        <v>533.33333333333337</v>
      </c>
      <c r="L35" s="330">
        <f t="shared" si="3"/>
        <v>533.33333333333337</v>
      </c>
      <c r="M35" s="330">
        <f t="shared" si="3"/>
        <v>533.33333333333337</v>
      </c>
      <c r="N35" s="330">
        <f t="shared" si="3"/>
        <v>533.33333333333337</v>
      </c>
      <c r="O35" s="330">
        <f t="shared" si="3"/>
        <v>533.33333333333337</v>
      </c>
      <c r="P35" s="330">
        <f t="shared" si="3"/>
        <v>533.33333333333337</v>
      </c>
      <c r="Q35" s="330">
        <f t="shared" si="3"/>
        <v>533.33333333333337</v>
      </c>
      <c r="R35" s="330">
        <f t="shared" si="3"/>
        <v>533.33333333333337</v>
      </c>
      <c r="S35" s="330">
        <f t="shared" si="3"/>
        <v>533.33333333333337</v>
      </c>
      <c r="T35" s="330">
        <f t="shared" si="3"/>
        <v>533.33333333333337</v>
      </c>
      <c r="U35" s="330">
        <f t="shared" si="3"/>
        <v>533.33333333333337</v>
      </c>
      <c r="V35" s="330">
        <f t="shared" si="3"/>
        <v>533.33333333333337</v>
      </c>
      <c r="W35" s="330">
        <f t="shared" si="3"/>
        <v>533.33333333333337</v>
      </c>
      <c r="X35" s="330">
        <f t="shared" si="3"/>
        <v>533.33333333333337</v>
      </c>
    </row>
    <row r="36" spans="1:24">
      <c r="A36" s="54" t="s">
        <v>222</v>
      </c>
      <c r="B36" s="21"/>
      <c r="C36" s="21"/>
      <c r="D36" s="486">
        <v>0</v>
      </c>
      <c r="E36" s="330">
        <v>800</v>
      </c>
      <c r="F36" s="330">
        <v>800</v>
      </c>
      <c r="G36" s="330">
        <v>800</v>
      </c>
      <c r="H36" s="330">
        <v>800</v>
      </c>
      <c r="I36" s="330">
        <v>800</v>
      </c>
      <c r="J36" s="330">
        <v>800</v>
      </c>
      <c r="K36" s="330">
        <v>800</v>
      </c>
      <c r="L36" s="330">
        <v>800</v>
      </c>
      <c r="M36" s="330">
        <v>800</v>
      </c>
      <c r="N36" s="330">
        <v>800</v>
      </c>
      <c r="O36" s="330">
        <v>800</v>
      </c>
      <c r="P36" s="330">
        <v>800</v>
      </c>
      <c r="Q36" s="330">
        <v>800</v>
      </c>
      <c r="R36" s="330">
        <v>800</v>
      </c>
      <c r="S36" s="330">
        <v>800</v>
      </c>
      <c r="T36" s="330">
        <v>800</v>
      </c>
      <c r="U36" s="330">
        <v>800</v>
      </c>
      <c r="V36" s="330">
        <v>800</v>
      </c>
      <c r="W36" s="330">
        <v>800</v>
      </c>
      <c r="X36" s="330">
        <v>800</v>
      </c>
    </row>
    <row r="37" spans="1:24">
      <c r="A37" s="54" t="s">
        <v>208</v>
      </c>
      <c r="B37" s="21"/>
      <c r="C37" s="21"/>
      <c r="D37" s="486">
        <v>0</v>
      </c>
      <c r="E37" s="330">
        <f>SUM(E34,E36)</f>
        <v>800</v>
      </c>
      <c r="F37" s="330">
        <f t="shared" ref="F37:X37" si="4">SUM(F34,F36)</f>
        <v>6300</v>
      </c>
      <c r="G37" s="330">
        <f t="shared" si="4"/>
        <v>6300</v>
      </c>
      <c r="H37" s="330">
        <f t="shared" si="4"/>
        <v>6300</v>
      </c>
      <c r="I37" s="330">
        <f t="shared" si="4"/>
        <v>6300</v>
      </c>
      <c r="J37" s="330">
        <f t="shared" si="4"/>
        <v>6300</v>
      </c>
      <c r="K37" s="330">
        <f t="shared" si="4"/>
        <v>6300</v>
      </c>
      <c r="L37" s="330">
        <f t="shared" si="4"/>
        <v>6300</v>
      </c>
      <c r="M37" s="330">
        <f t="shared" si="4"/>
        <v>6300</v>
      </c>
      <c r="N37" s="330">
        <f t="shared" si="4"/>
        <v>6300</v>
      </c>
      <c r="O37" s="330">
        <f t="shared" si="4"/>
        <v>6300</v>
      </c>
      <c r="P37" s="330">
        <f t="shared" si="4"/>
        <v>6300</v>
      </c>
      <c r="Q37" s="330">
        <f t="shared" si="4"/>
        <v>6300</v>
      </c>
      <c r="R37" s="330">
        <f t="shared" si="4"/>
        <v>6300</v>
      </c>
      <c r="S37" s="330">
        <f t="shared" si="4"/>
        <v>6300</v>
      </c>
      <c r="T37" s="330">
        <f t="shared" si="4"/>
        <v>6300</v>
      </c>
      <c r="U37" s="330">
        <f t="shared" si="4"/>
        <v>6300</v>
      </c>
      <c r="V37" s="330">
        <f t="shared" si="4"/>
        <v>6300</v>
      </c>
      <c r="W37" s="330">
        <f t="shared" si="4"/>
        <v>6300</v>
      </c>
      <c r="X37" s="330">
        <f t="shared" si="4"/>
        <v>6300</v>
      </c>
    </row>
    <row r="38" spans="1:24">
      <c r="A38" s="54"/>
      <c r="B38" s="21"/>
      <c r="C38" s="21"/>
      <c r="D38" s="486"/>
      <c r="E38" s="330"/>
      <c r="F38" s="330"/>
      <c r="G38" s="330"/>
      <c r="H38" s="330"/>
      <c r="I38" s="330"/>
      <c r="J38" s="330"/>
      <c r="K38" s="330"/>
      <c r="L38" s="330"/>
      <c r="M38" s="330"/>
      <c r="N38" s="330"/>
      <c r="O38" s="330"/>
      <c r="P38" s="330"/>
      <c r="Q38" s="330"/>
      <c r="R38" s="330"/>
      <c r="S38" s="330"/>
      <c r="T38" s="330"/>
      <c r="U38" s="330"/>
      <c r="V38" s="330"/>
      <c r="W38" s="330"/>
      <c r="X38" s="330"/>
    </row>
    <row r="39" spans="1:24">
      <c r="A39" s="54" t="s">
        <v>223</v>
      </c>
      <c r="B39" s="74"/>
      <c r="C39" s="74"/>
      <c r="D39" s="486">
        <v>0</v>
      </c>
      <c r="E39" s="313">
        <f>(E19+E20)/E29</f>
        <v>160.26666666666668</v>
      </c>
      <c r="F39" s="313">
        <f t="shared" ref="F39:X39" si="5">(F19+F20)/F29</f>
        <v>187</v>
      </c>
      <c r="G39" s="313">
        <f t="shared" si="5"/>
        <v>213.73333333333332</v>
      </c>
      <c r="H39" s="313">
        <f t="shared" si="5"/>
        <v>213.73333333333332</v>
      </c>
      <c r="I39" s="313">
        <f t="shared" si="5"/>
        <v>213.73333333333332</v>
      </c>
      <c r="J39" s="313">
        <f t="shared" si="5"/>
        <v>213.73333333333332</v>
      </c>
      <c r="K39" s="313">
        <f t="shared" si="5"/>
        <v>213.73333333333332</v>
      </c>
      <c r="L39" s="313">
        <f t="shared" si="5"/>
        <v>213.73333333333332</v>
      </c>
      <c r="M39" s="313">
        <f t="shared" si="5"/>
        <v>213.73333333333332</v>
      </c>
      <c r="N39" s="313">
        <f t="shared" si="5"/>
        <v>213.73333333333332</v>
      </c>
      <c r="O39" s="313">
        <f t="shared" si="5"/>
        <v>213.73333333333332</v>
      </c>
      <c r="P39" s="313">
        <f t="shared" si="5"/>
        <v>213.73333333333332</v>
      </c>
      <c r="Q39" s="313">
        <f t="shared" si="5"/>
        <v>213.73333333333332</v>
      </c>
      <c r="R39" s="313">
        <f t="shared" si="5"/>
        <v>213.73333333333332</v>
      </c>
      <c r="S39" s="313">
        <f t="shared" si="5"/>
        <v>213.73333333333332</v>
      </c>
      <c r="T39" s="313">
        <f t="shared" si="5"/>
        <v>213.73333333333332</v>
      </c>
      <c r="U39" s="313">
        <f t="shared" si="5"/>
        <v>213.73333333333332</v>
      </c>
      <c r="V39" s="313">
        <f t="shared" si="5"/>
        <v>213.73333333333332</v>
      </c>
      <c r="W39" s="313">
        <f t="shared" si="5"/>
        <v>213.73333333333332</v>
      </c>
      <c r="X39" s="313">
        <f t="shared" si="5"/>
        <v>213.73333333333332</v>
      </c>
    </row>
    <row r="40" spans="1:24">
      <c r="A40" s="54"/>
      <c r="B40" s="74"/>
      <c r="C40" s="74"/>
      <c r="D40" s="492"/>
      <c r="E40" s="308"/>
      <c r="F40" s="308"/>
      <c r="G40" s="308"/>
      <c r="H40" s="308"/>
      <c r="I40" s="308"/>
      <c r="J40" s="308"/>
      <c r="K40" s="308"/>
      <c r="L40" s="308"/>
      <c r="M40" s="308"/>
      <c r="N40" s="308"/>
      <c r="O40" s="308"/>
      <c r="P40" s="308"/>
      <c r="Q40" s="308"/>
      <c r="R40" s="308"/>
      <c r="S40" s="308"/>
      <c r="T40" s="308"/>
      <c r="U40" s="308"/>
      <c r="V40" s="308"/>
      <c r="W40" s="308"/>
      <c r="X40" s="308"/>
    </row>
    <row r="41" spans="1:24">
      <c r="A41" s="293" t="s">
        <v>26</v>
      </c>
      <c r="B41" s="74"/>
      <c r="C41" s="74"/>
      <c r="D41" s="492"/>
      <c r="E41" s="308"/>
      <c r="F41" s="308"/>
      <c r="G41" s="308"/>
      <c r="H41" s="308"/>
      <c r="I41" s="308"/>
      <c r="J41" s="308"/>
      <c r="K41" s="308"/>
      <c r="L41" s="308"/>
      <c r="M41" s="308"/>
      <c r="N41" s="308"/>
      <c r="O41" s="308"/>
      <c r="P41" s="308"/>
      <c r="Q41" s="308"/>
      <c r="R41" s="308"/>
      <c r="S41" s="308"/>
      <c r="T41" s="308"/>
      <c r="U41" s="308"/>
      <c r="V41" s="308"/>
      <c r="W41" s="308"/>
      <c r="X41" s="308"/>
    </row>
    <row r="42" spans="1:24">
      <c r="A42" s="54" t="s">
        <v>264</v>
      </c>
      <c r="B42" s="277"/>
      <c r="C42" s="74"/>
      <c r="D42" s="486">
        <v>0</v>
      </c>
      <c r="E42" s="313">
        <f>'Parking Projections'!C94</f>
        <v>13920.314236111111</v>
      </c>
      <c r="F42" s="313">
        <f>'Parking Projections'!D94</f>
        <v>13920.314236111111</v>
      </c>
      <c r="G42" s="313">
        <f>'Parking Projections'!E94</f>
        <v>13920.314236111111</v>
      </c>
      <c r="H42" s="313">
        <f>'Parking Projections'!F94</f>
        <v>13920.314236111111</v>
      </c>
      <c r="I42" s="313">
        <f>'Parking Projections'!G94</f>
        <v>13920.314236111111</v>
      </c>
      <c r="J42" s="313">
        <f>'Parking Projections'!H94</f>
        <v>13920.314236111111</v>
      </c>
      <c r="K42" s="313">
        <f>'Parking Projections'!I94</f>
        <v>13920.314236111111</v>
      </c>
      <c r="L42" s="313">
        <f>'Parking Projections'!J94</f>
        <v>13920.314236111111</v>
      </c>
      <c r="M42" s="313">
        <f>'Parking Projections'!K94</f>
        <v>13920.314236111111</v>
      </c>
      <c r="N42" s="313">
        <f>'Parking Projections'!L94</f>
        <v>13920.314236111111</v>
      </c>
      <c r="O42" s="313">
        <f>'Parking Projections'!M94</f>
        <v>13920.314236111111</v>
      </c>
      <c r="P42" s="313">
        <f>'Parking Projections'!N94</f>
        <v>13920.314236111111</v>
      </c>
      <c r="Q42" s="313">
        <f>'Parking Projections'!O94</f>
        <v>13920.314236111111</v>
      </c>
      <c r="R42" s="313">
        <f>'Parking Projections'!P94</f>
        <v>13920.314236111111</v>
      </c>
      <c r="S42" s="313">
        <f>'Parking Projections'!Q94</f>
        <v>13920.314236111111</v>
      </c>
      <c r="T42" s="313">
        <f>'Parking Projections'!R94</f>
        <v>13920.314236111111</v>
      </c>
      <c r="U42" s="313">
        <f>'Parking Projections'!S94</f>
        <v>13920.314236111111</v>
      </c>
      <c r="V42" s="313">
        <f>'Parking Projections'!T94</f>
        <v>13920.314236111111</v>
      </c>
      <c r="W42" s="313">
        <f>'Parking Projections'!U94</f>
        <v>13920.314236111111</v>
      </c>
      <c r="X42" s="313">
        <f>'Parking Projections'!V94</f>
        <v>13920.314236111111</v>
      </c>
    </row>
    <row r="43" spans="1:24">
      <c r="A43" s="54" t="s">
        <v>267</v>
      </c>
      <c r="B43" s="277"/>
      <c r="C43" s="74"/>
      <c r="D43" s="486">
        <v>0</v>
      </c>
      <c r="E43" s="313">
        <f>'Parking Projections'!C98</f>
        <v>13115.666666666662</v>
      </c>
      <c r="F43" s="313">
        <f>'Parking Projections'!D98</f>
        <v>13115.666666666662</v>
      </c>
      <c r="G43" s="313">
        <f>'Parking Projections'!E98</f>
        <v>13115.666666666662</v>
      </c>
      <c r="H43" s="313">
        <f>'Parking Projections'!F98</f>
        <v>13115.666666666662</v>
      </c>
      <c r="I43" s="313">
        <f>'Parking Projections'!G98</f>
        <v>13115.666666666662</v>
      </c>
      <c r="J43" s="313">
        <f>'Parking Projections'!H98</f>
        <v>13115.666666666662</v>
      </c>
      <c r="K43" s="313">
        <f>'Parking Projections'!I98</f>
        <v>13115.666666666662</v>
      </c>
      <c r="L43" s="313">
        <f>'Parking Projections'!J98</f>
        <v>13115.666666666662</v>
      </c>
      <c r="M43" s="313">
        <f>'Parking Projections'!K98</f>
        <v>13115.666666666662</v>
      </c>
      <c r="N43" s="313">
        <f>'Parking Projections'!L98</f>
        <v>13115.666666666662</v>
      </c>
      <c r="O43" s="313">
        <f>'Parking Projections'!M98</f>
        <v>13115.666666666662</v>
      </c>
      <c r="P43" s="313">
        <f>'Parking Projections'!N98</f>
        <v>13115.666666666662</v>
      </c>
      <c r="Q43" s="313">
        <f>'Parking Projections'!O98</f>
        <v>13115.666666666662</v>
      </c>
      <c r="R43" s="313">
        <f>'Parking Projections'!P98</f>
        <v>13115.666666666662</v>
      </c>
      <c r="S43" s="313">
        <f>'Parking Projections'!Q98</f>
        <v>13115.666666666662</v>
      </c>
      <c r="T43" s="313">
        <f>'Parking Projections'!R98</f>
        <v>13115.666666666662</v>
      </c>
      <c r="U43" s="313">
        <f>'Parking Projections'!S98</f>
        <v>13115.666666666662</v>
      </c>
      <c r="V43" s="313">
        <f>'Parking Projections'!T98</f>
        <v>13115.666666666662</v>
      </c>
      <c r="W43" s="313">
        <f>'Parking Projections'!U98</f>
        <v>13115.666666666662</v>
      </c>
      <c r="X43" s="313">
        <f>'Parking Projections'!V98</f>
        <v>13115.666666666662</v>
      </c>
    </row>
    <row r="44" spans="1:24" s="96" customFormat="1">
      <c r="A44" s="54" t="s">
        <v>274</v>
      </c>
      <c r="B44" s="435"/>
      <c r="C44" s="583"/>
      <c r="D44" s="486">
        <v>0</v>
      </c>
      <c r="E44" s="313">
        <f>SUM(E42:E43)</f>
        <v>27035.980902777774</v>
      </c>
      <c r="F44" s="313">
        <f t="shared" ref="F44:X44" si="6">SUM(F42:F43)</f>
        <v>27035.980902777774</v>
      </c>
      <c r="G44" s="313">
        <f t="shared" si="6"/>
        <v>27035.980902777774</v>
      </c>
      <c r="H44" s="313">
        <f t="shared" si="6"/>
        <v>27035.980902777774</v>
      </c>
      <c r="I44" s="313">
        <f t="shared" si="6"/>
        <v>27035.980902777774</v>
      </c>
      <c r="J44" s="313">
        <f t="shared" si="6"/>
        <v>27035.980902777774</v>
      </c>
      <c r="K44" s="313">
        <f t="shared" si="6"/>
        <v>27035.980902777774</v>
      </c>
      <c r="L44" s="313">
        <f t="shared" si="6"/>
        <v>27035.980902777774</v>
      </c>
      <c r="M44" s="313">
        <f t="shared" si="6"/>
        <v>27035.980902777774</v>
      </c>
      <c r="N44" s="313">
        <f t="shared" si="6"/>
        <v>27035.980902777774</v>
      </c>
      <c r="O44" s="313">
        <f t="shared" si="6"/>
        <v>27035.980902777774</v>
      </c>
      <c r="P44" s="313">
        <f t="shared" si="6"/>
        <v>27035.980902777774</v>
      </c>
      <c r="Q44" s="313">
        <f t="shared" si="6"/>
        <v>27035.980902777774</v>
      </c>
      <c r="R44" s="313">
        <f t="shared" si="6"/>
        <v>27035.980902777774</v>
      </c>
      <c r="S44" s="313">
        <f t="shared" si="6"/>
        <v>27035.980902777774</v>
      </c>
      <c r="T44" s="313">
        <f t="shared" si="6"/>
        <v>27035.980902777774</v>
      </c>
      <c r="U44" s="313">
        <f t="shared" si="6"/>
        <v>27035.980902777774</v>
      </c>
      <c r="V44" s="313">
        <f t="shared" si="6"/>
        <v>27035.980902777774</v>
      </c>
      <c r="W44" s="313">
        <f t="shared" si="6"/>
        <v>27035.980902777774</v>
      </c>
      <c r="X44" s="313">
        <f t="shared" si="6"/>
        <v>27035.980902777774</v>
      </c>
    </row>
    <row r="45" spans="1:24">
      <c r="A45" s="54"/>
      <c r="B45" s="277"/>
      <c r="C45" s="74"/>
      <c r="D45" s="499"/>
      <c r="E45" s="308"/>
      <c r="F45" s="308"/>
      <c r="G45" s="308"/>
      <c r="H45" s="308"/>
      <c r="I45" s="308"/>
      <c r="J45" s="308"/>
      <c r="K45" s="308"/>
      <c r="L45" s="308"/>
      <c r="M45" s="308"/>
      <c r="N45" s="308"/>
      <c r="O45" s="308"/>
      <c r="P45" s="308"/>
      <c r="Q45" s="308"/>
      <c r="R45" s="308"/>
      <c r="S45" s="308"/>
      <c r="T45" s="308"/>
      <c r="U45" s="308"/>
      <c r="V45" s="308"/>
      <c r="W45" s="308"/>
      <c r="X45" s="308"/>
    </row>
    <row r="46" spans="1:24" s="96" customFormat="1">
      <c r="A46" s="54" t="s">
        <v>224</v>
      </c>
      <c r="B46" s="435"/>
      <c r="C46" s="583"/>
      <c r="D46" s="486">
        <v>0</v>
      </c>
      <c r="E46" s="496">
        <v>3</v>
      </c>
      <c r="F46" s="496">
        <v>3</v>
      </c>
      <c r="G46" s="496">
        <v>3</v>
      </c>
      <c r="H46" s="496">
        <v>3</v>
      </c>
      <c r="I46" s="496">
        <v>3</v>
      </c>
      <c r="J46" s="496">
        <v>3</v>
      </c>
      <c r="K46" s="496">
        <v>3</v>
      </c>
      <c r="L46" s="496">
        <v>3</v>
      </c>
      <c r="M46" s="496">
        <v>3</v>
      </c>
      <c r="N46" s="496">
        <v>3</v>
      </c>
      <c r="O46" s="496">
        <v>3</v>
      </c>
      <c r="P46" s="496">
        <v>3</v>
      </c>
      <c r="Q46" s="496">
        <v>3</v>
      </c>
      <c r="R46" s="496">
        <v>3</v>
      </c>
      <c r="S46" s="496">
        <v>3</v>
      </c>
      <c r="T46" s="496">
        <v>3</v>
      </c>
      <c r="U46" s="496">
        <v>3</v>
      </c>
      <c r="V46" s="496">
        <v>3</v>
      </c>
      <c r="W46" s="496">
        <v>3</v>
      </c>
      <c r="X46" s="496">
        <v>3</v>
      </c>
    </row>
    <row r="47" spans="1:24" s="96" customFormat="1">
      <c r="A47" s="54" t="s">
        <v>225</v>
      </c>
      <c r="B47" s="435"/>
      <c r="C47" s="583"/>
      <c r="D47" s="486">
        <v>0</v>
      </c>
      <c r="E47" s="496">
        <v>1</v>
      </c>
      <c r="F47" s="496">
        <v>1</v>
      </c>
      <c r="G47" s="496">
        <v>1</v>
      </c>
      <c r="H47" s="496">
        <v>1</v>
      </c>
      <c r="I47" s="496">
        <v>1</v>
      </c>
      <c r="J47" s="496">
        <v>1</v>
      </c>
      <c r="K47" s="496">
        <v>1</v>
      </c>
      <c r="L47" s="496">
        <v>1</v>
      </c>
      <c r="M47" s="496">
        <v>1</v>
      </c>
      <c r="N47" s="496">
        <v>1</v>
      </c>
      <c r="O47" s="496">
        <v>1</v>
      </c>
      <c r="P47" s="496">
        <v>1</v>
      </c>
      <c r="Q47" s="496">
        <v>1</v>
      </c>
      <c r="R47" s="496">
        <v>1</v>
      </c>
      <c r="S47" s="496">
        <v>1</v>
      </c>
      <c r="T47" s="496">
        <v>1</v>
      </c>
      <c r="U47" s="496">
        <v>1</v>
      </c>
      <c r="V47" s="496">
        <v>1</v>
      </c>
      <c r="W47" s="496">
        <v>1</v>
      </c>
      <c r="X47" s="496">
        <v>1</v>
      </c>
    </row>
    <row r="48" spans="1:24">
      <c r="A48" s="54" t="s">
        <v>209</v>
      </c>
      <c r="B48" s="277"/>
      <c r="C48" s="74"/>
      <c r="D48" s="486">
        <v>0</v>
      </c>
      <c r="E48" s="496">
        <v>0.5</v>
      </c>
      <c r="F48" s="496">
        <v>0.5</v>
      </c>
      <c r="G48" s="496">
        <v>0.5</v>
      </c>
      <c r="H48" s="496">
        <v>0.5</v>
      </c>
      <c r="I48" s="496">
        <v>0.5</v>
      </c>
      <c r="J48" s="496">
        <v>0.5</v>
      </c>
      <c r="K48" s="496">
        <v>0.5</v>
      </c>
      <c r="L48" s="496">
        <v>0.5</v>
      </c>
      <c r="M48" s="496">
        <v>0.5</v>
      </c>
      <c r="N48" s="496">
        <v>0.5</v>
      </c>
      <c r="O48" s="496">
        <v>0.5</v>
      </c>
      <c r="P48" s="496">
        <v>0.5</v>
      </c>
      <c r="Q48" s="496">
        <v>0.5</v>
      </c>
      <c r="R48" s="496">
        <v>0.5</v>
      </c>
      <c r="S48" s="496">
        <v>0.5</v>
      </c>
      <c r="T48" s="496">
        <v>0.5</v>
      </c>
      <c r="U48" s="496">
        <v>0.5</v>
      </c>
      <c r="V48" s="496">
        <v>0.5</v>
      </c>
      <c r="W48" s="496">
        <v>0.5</v>
      </c>
      <c r="X48" s="496">
        <v>0.5</v>
      </c>
    </row>
    <row r="49" spans="1:25 16384:16384">
      <c r="A49" s="54" t="s">
        <v>289</v>
      </c>
      <c r="B49" s="277"/>
      <c r="C49" s="74"/>
      <c r="D49" s="486">
        <v>0</v>
      </c>
      <c r="E49" s="496">
        <f t="shared" ref="E49:X49" si="7">SUM(E46:E48)/3</f>
        <v>1.5</v>
      </c>
      <c r="F49" s="496">
        <f t="shared" si="7"/>
        <v>1.5</v>
      </c>
      <c r="G49" s="496">
        <f t="shared" si="7"/>
        <v>1.5</v>
      </c>
      <c r="H49" s="496">
        <f t="shared" si="7"/>
        <v>1.5</v>
      </c>
      <c r="I49" s="496">
        <f t="shared" si="7"/>
        <v>1.5</v>
      </c>
      <c r="J49" s="496">
        <f t="shared" si="7"/>
        <v>1.5</v>
      </c>
      <c r="K49" s="496">
        <f t="shared" si="7"/>
        <v>1.5</v>
      </c>
      <c r="L49" s="496">
        <f t="shared" si="7"/>
        <v>1.5</v>
      </c>
      <c r="M49" s="496">
        <f t="shared" si="7"/>
        <v>1.5</v>
      </c>
      <c r="N49" s="496">
        <f t="shared" si="7"/>
        <v>1.5</v>
      </c>
      <c r="O49" s="496">
        <f t="shared" si="7"/>
        <v>1.5</v>
      </c>
      <c r="P49" s="496">
        <f t="shared" si="7"/>
        <v>1.5</v>
      </c>
      <c r="Q49" s="496">
        <f t="shared" si="7"/>
        <v>1.5</v>
      </c>
      <c r="R49" s="496">
        <f t="shared" si="7"/>
        <v>1.5</v>
      </c>
      <c r="S49" s="496">
        <f t="shared" si="7"/>
        <v>1.5</v>
      </c>
      <c r="T49" s="496">
        <f t="shared" si="7"/>
        <v>1.5</v>
      </c>
      <c r="U49" s="496">
        <f t="shared" si="7"/>
        <v>1.5</v>
      </c>
      <c r="V49" s="496">
        <f t="shared" si="7"/>
        <v>1.5</v>
      </c>
      <c r="W49" s="496">
        <f t="shared" si="7"/>
        <v>1.5</v>
      </c>
      <c r="X49" s="496">
        <f t="shared" si="7"/>
        <v>1.5</v>
      </c>
    </row>
    <row r="50" spans="1:25 16384:16384">
      <c r="A50" s="54"/>
      <c r="B50" s="277"/>
      <c r="C50" s="74"/>
      <c r="D50" s="486"/>
      <c r="E50" s="496"/>
      <c r="F50" s="496"/>
      <c r="G50" s="496"/>
      <c r="H50" s="496"/>
      <c r="I50" s="496"/>
      <c r="J50" s="496"/>
      <c r="K50" s="496"/>
      <c r="L50" s="496"/>
      <c r="M50" s="496"/>
      <c r="N50" s="496"/>
      <c r="O50" s="496"/>
      <c r="P50" s="496"/>
      <c r="Q50" s="496"/>
      <c r="R50" s="496"/>
      <c r="S50" s="496"/>
      <c r="T50" s="496"/>
      <c r="U50" s="496"/>
      <c r="V50" s="496"/>
      <c r="W50" s="496"/>
      <c r="X50" s="496"/>
    </row>
    <row r="51" spans="1:25 16384:16384">
      <c r="A51" s="54" t="s">
        <v>312</v>
      </c>
      <c r="B51" s="277"/>
      <c r="C51" s="74"/>
      <c r="D51" s="486">
        <v>0</v>
      </c>
      <c r="E51" s="313">
        <f>'Shuttle Projections'!C33</f>
        <v>7190</v>
      </c>
      <c r="F51" s="313">
        <f>'Shuttle Projections'!D33</f>
        <v>7190</v>
      </c>
      <c r="G51" s="313">
        <f>'Shuttle Projections'!E33</f>
        <v>7190</v>
      </c>
      <c r="H51" s="313">
        <f>'Shuttle Projections'!F33</f>
        <v>7190</v>
      </c>
      <c r="I51" s="313">
        <f>'Shuttle Projections'!G33</f>
        <v>7190</v>
      </c>
      <c r="J51" s="313">
        <f>'Shuttle Projections'!H33</f>
        <v>7190</v>
      </c>
      <c r="K51" s="313">
        <f>'Shuttle Projections'!I33</f>
        <v>7190</v>
      </c>
      <c r="L51" s="313">
        <f>'Shuttle Projections'!J33</f>
        <v>7190</v>
      </c>
      <c r="M51" s="313">
        <f>'Shuttle Projections'!K33</f>
        <v>7190</v>
      </c>
      <c r="N51" s="313">
        <f>'Shuttle Projections'!L33</f>
        <v>7190</v>
      </c>
      <c r="O51" s="313">
        <f>'Shuttle Projections'!M33</f>
        <v>7190</v>
      </c>
      <c r="P51" s="313">
        <f>'Shuttle Projections'!N33</f>
        <v>7190</v>
      </c>
      <c r="Q51" s="313">
        <f>'Shuttle Projections'!O33</f>
        <v>7190</v>
      </c>
      <c r="R51" s="313">
        <f>'Shuttle Projections'!P33</f>
        <v>7190</v>
      </c>
      <c r="S51" s="313">
        <f>'Shuttle Projections'!Q33</f>
        <v>7190</v>
      </c>
      <c r="T51" s="313">
        <f>'Shuttle Projections'!R33</f>
        <v>7190</v>
      </c>
      <c r="U51" s="313">
        <f>'Shuttle Projections'!S33</f>
        <v>7190</v>
      </c>
      <c r="V51" s="313">
        <f>'Shuttle Projections'!T33</f>
        <v>7190</v>
      </c>
      <c r="W51" s="313">
        <f>'Shuttle Projections'!U33</f>
        <v>7190</v>
      </c>
      <c r="X51" s="313">
        <f>'Shuttle Projections'!V33</f>
        <v>7190</v>
      </c>
      <c r="XFD51" s="570"/>
    </row>
    <row r="52" spans="1:25 16384:16384">
      <c r="A52" s="54"/>
      <c r="B52" s="277"/>
      <c r="C52" s="74"/>
      <c r="D52" s="486"/>
      <c r="E52" s="308"/>
      <c r="F52" s="308"/>
      <c r="G52" s="308"/>
      <c r="H52" s="308"/>
      <c r="I52" s="308"/>
      <c r="J52" s="308"/>
      <c r="K52" s="308"/>
      <c r="L52" s="308"/>
      <c r="M52" s="308"/>
      <c r="N52" s="308"/>
      <c r="O52" s="308"/>
      <c r="P52" s="308"/>
      <c r="Q52" s="308"/>
      <c r="R52" s="308"/>
      <c r="S52" s="308"/>
      <c r="T52" s="308"/>
      <c r="U52" s="308"/>
      <c r="V52" s="308"/>
      <c r="W52" s="308"/>
      <c r="X52" s="308"/>
    </row>
    <row r="53" spans="1:25 16384:16384" s="612" customFormat="1">
      <c r="A53" s="613" t="s">
        <v>292</v>
      </c>
      <c r="B53" s="614"/>
      <c r="C53" s="615"/>
      <c r="D53" s="616">
        <v>0</v>
      </c>
      <c r="E53" s="617">
        <v>0</v>
      </c>
      <c r="F53" s="617">
        <v>0</v>
      </c>
      <c r="G53" s="617">
        <v>100000</v>
      </c>
      <c r="H53" s="617">
        <v>100000</v>
      </c>
      <c r="I53" s="617">
        <v>100000</v>
      </c>
      <c r="J53" s="617">
        <v>100000</v>
      </c>
      <c r="K53" s="617">
        <v>100000</v>
      </c>
      <c r="L53" s="617">
        <v>100000</v>
      </c>
      <c r="M53" s="617">
        <v>100000</v>
      </c>
      <c r="N53" s="617">
        <v>100000</v>
      </c>
      <c r="O53" s="617">
        <v>100000</v>
      </c>
      <c r="P53" s="617">
        <v>100000</v>
      </c>
      <c r="Q53" s="617">
        <v>100000</v>
      </c>
      <c r="R53" s="617">
        <v>100000</v>
      </c>
      <c r="S53" s="617">
        <v>100000</v>
      </c>
      <c r="T53" s="617">
        <v>100000</v>
      </c>
      <c r="U53" s="617">
        <v>100000</v>
      </c>
      <c r="V53" s="617">
        <v>100000</v>
      </c>
      <c r="W53" s="617">
        <v>100000</v>
      </c>
      <c r="X53" s="618">
        <v>100000</v>
      </c>
    </row>
    <row r="54" spans="1:25 16384:16384">
      <c r="A54" s="54"/>
      <c r="B54" s="277"/>
      <c r="C54" s="74"/>
      <c r="D54" s="486"/>
      <c r="E54" s="308"/>
      <c r="F54" s="308"/>
      <c r="G54" s="308"/>
      <c r="H54" s="308"/>
      <c r="I54" s="308"/>
      <c r="J54" s="308"/>
      <c r="K54" s="308"/>
      <c r="L54" s="308"/>
      <c r="M54" s="308"/>
      <c r="N54" s="308"/>
      <c r="O54" s="308"/>
      <c r="P54" s="308"/>
      <c r="Q54" s="308"/>
      <c r="R54" s="308"/>
      <c r="S54" s="308"/>
      <c r="T54" s="308"/>
      <c r="U54" s="308"/>
      <c r="V54" s="308"/>
      <c r="W54" s="308"/>
      <c r="X54" s="308"/>
    </row>
    <row r="55" spans="1:25 16384:16384" s="582" customFormat="1">
      <c r="A55" s="293" t="str">
        <f>'BH Tariffs'!A33</f>
        <v>Recreational/Commercial Marina</v>
      </c>
      <c r="B55" s="584"/>
      <c r="C55" s="585"/>
      <c r="D55" s="486"/>
      <c r="E55" s="586"/>
      <c r="F55" s="586"/>
      <c r="G55" s="586"/>
      <c r="H55" s="586"/>
      <c r="I55" s="586"/>
      <c r="J55" s="586"/>
      <c r="K55" s="586"/>
      <c r="L55" s="586"/>
      <c r="M55" s="586"/>
      <c r="N55" s="586"/>
      <c r="O55" s="586"/>
      <c r="P55" s="586"/>
      <c r="Q55" s="586"/>
      <c r="R55" s="586"/>
      <c r="S55" s="586"/>
      <c r="T55" s="586"/>
      <c r="U55" s="586"/>
      <c r="V55" s="586"/>
      <c r="W55" s="586"/>
      <c r="X55" s="586"/>
    </row>
    <row r="56" spans="1:25 16384:16384" s="96" customFormat="1">
      <c r="A56" s="54" t="s">
        <v>291</v>
      </c>
      <c r="B56" s="435"/>
      <c r="C56" s="583"/>
      <c r="D56" s="486">
        <v>0</v>
      </c>
      <c r="E56" s="313">
        <v>0</v>
      </c>
      <c r="F56" s="313">
        <f>'Marina Projections'!D121</f>
        <v>32</v>
      </c>
      <c r="G56" s="313">
        <f>'Marina Projections'!E121</f>
        <v>32</v>
      </c>
      <c r="H56" s="313">
        <f>'Marina Projections'!F121</f>
        <v>32</v>
      </c>
      <c r="I56" s="313">
        <f>'Marina Projections'!G121</f>
        <v>32</v>
      </c>
      <c r="J56" s="313">
        <f>'Marina Projections'!H121</f>
        <v>32</v>
      </c>
      <c r="K56" s="313">
        <f>'Marina Projections'!I121</f>
        <v>32</v>
      </c>
      <c r="L56" s="313">
        <f>'Marina Projections'!J121</f>
        <v>32</v>
      </c>
      <c r="M56" s="313">
        <f>'Marina Projections'!K121</f>
        <v>32</v>
      </c>
      <c r="N56" s="313">
        <f>'Marina Projections'!L121</f>
        <v>32</v>
      </c>
      <c r="O56" s="313">
        <f>'Marina Projections'!M121</f>
        <v>32</v>
      </c>
      <c r="P56" s="313">
        <f>'Marina Projections'!N121</f>
        <v>32</v>
      </c>
      <c r="Q56" s="313">
        <f>'Marina Projections'!O121</f>
        <v>32</v>
      </c>
      <c r="R56" s="313">
        <f>'Marina Projections'!P121</f>
        <v>32</v>
      </c>
      <c r="S56" s="313">
        <f>'Marina Projections'!Q121</f>
        <v>32</v>
      </c>
      <c r="T56" s="313">
        <f>'Marina Projections'!R121</f>
        <v>32</v>
      </c>
      <c r="U56" s="313">
        <f>'Marina Projections'!S121</f>
        <v>32</v>
      </c>
      <c r="V56" s="313">
        <f>'Marina Projections'!T121</f>
        <v>32</v>
      </c>
      <c r="W56" s="313">
        <f>'Marina Projections'!U121</f>
        <v>32</v>
      </c>
      <c r="X56" s="313">
        <f>'Marina Projections'!V121</f>
        <v>32</v>
      </c>
    </row>
    <row r="57" spans="1:25 16384:16384" s="96" customFormat="1">
      <c r="A57" s="54" t="s">
        <v>293</v>
      </c>
      <c r="B57" s="435"/>
      <c r="C57" s="583"/>
      <c r="D57" s="486">
        <v>0</v>
      </c>
      <c r="E57" s="313">
        <v>0</v>
      </c>
      <c r="F57" s="313">
        <f>'Marina Projections'!D128</f>
        <v>30264.381562500002</v>
      </c>
      <c r="G57" s="313">
        <f>'Marina Projections'!E128</f>
        <v>30264.381562500002</v>
      </c>
      <c r="H57" s="313">
        <f>'Marina Projections'!F128</f>
        <v>30264.381562500002</v>
      </c>
      <c r="I57" s="313">
        <f>'Marina Projections'!G128</f>
        <v>30264.381562500002</v>
      </c>
      <c r="J57" s="313">
        <f>'Marina Projections'!H128</f>
        <v>30264.381562500002</v>
      </c>
      <c r="K57" s="313">
        <f>'Marina Projections'!I128</f>
        <v>30264.381562500002</v>
      </c>
      <c r="L57" s="313">
        <f>'Marina Projections'!J128</f>
        <v>30264.381562500002</v>
      </c>
      <c r="M57" s="313">
        <f>'Marina Projections'!K128</f>
        <v>30264.381562500002</v>
      </c>
      <c r="N57" s="313">
        <f>'Marina Projections'!L128</f>
        <v>30264.381562500002</v>
      </c>
      <c r="O57" s="313">
        <f>'Marina Projections'!M128</f>
        <v>30264.381562500002</v>
      </c>
      <c r="P57" s="313">
        <f>'Marina Projections'!N128</f>
        <v>30264.381562500002</v>
      </c>
      <c r="Q57" s="313">
        <f>'Marina Projections'!O128</f>
        <v>30264.381562500002</v>
      </c>
      <c r="R57" s="313">
        <f>'Marina Projections'!P128</f>
        <v>30264.381562500002</v>
      </c>
      <c r="S57" s="313">
        <f>'Marina Projections'!Q128</f>
        <v>30264.381562500002</v>
      </c>
      <c r="T57" s="313">
        <f>'Marina Projections'!R128</f>
        <v>30264.381562500002</v>
      </c>
      <c r="U57" s="313">
        <f>'Marina Projections'!S128</f>
        <v>30264.381562500002</v>
      </c>
      <c r="V57" s="313">
        <f>'Marina Projections'!T128</f>
        <v>30264.381562500002</v>
      </c>
      <c r="W57" s="313">
        <f>'Marina Projections'!U128</f>
        <v>30264.381562500002</v>
      </c>
      <c r="X57" s="313">
        <f>'Marina Projections'!V128</f>
        <v>30264.381562500002</v>
      </c>
    </row>
    <row r="58" spans="1:25 16384:16384" s="96" customFormat="1">
      <c r="A58" s="54" t="s">
        <v>294</v>
      </c>
      <c r="B58" s="435"/>
      <c r="C58" s="583"/>
      <c r="D58" s="486">
        <v>0</v>
      </c>
      <c r="E58" s="313">
        <v>0</v>
      </c>
      <c r="F58" s="313">
        <f>'Marina Projections'!D124</f>
        <v>1137.1500000000001</v>
      </c>
      <c r="G58" s="313">
        <f>'Marina Projections'!E124</f>
        <v>1137.1500000000001</v>
      </c>
      <c r="H58" s="313">
        <f>'Marina Projections'!F124</f>
        <v>1137.1500000000001</v>
      </c>
      <c r="I58" s="313">
        <f>'Marina Projections'!G124</f>
        <v>1137.1500000000001</v>
      </c>
      <c r="J58" s="313">
        <f>'Marina Projections'!H124</f>
        <v>1137.1500000000001</v>
      </c>
      <c r="K58" s="313">
        <f>'Marina Projections'!I124</f>
        <v>1137.1500000000001</v>
      </c>
      <c r="L58" s="313">
        <f>'Marina Projections'!J124</f>
        <v>1137.1500000000001</v>
      </c>
      <c r="M58" s="313">
        <f>'Marina Projections'!K124</f>
        <v>1137.1500000000001</v>
      </c>
      <c r="N58" s="313">
        <f>'Marina Projections'!L124</f>
        <v>1137.1500000000001</v>
      </c>
      <c r="O58" s="313">
        <f>'Marina Projections'!M124</f>
        <v>1137.1500000000001</v>
      </c>
      <c r="P58" s="313">
        <f>'Marina Projections'!N124</f>
        <v>1137.1500000000001</v>
      </c>
      <c r="Q58" s="313">
        <f>'Marina Projections'!O124</f>
        <v>1137.1500000000001</v>
      </c>
      <c r="R58" s="313">
        <f>'Marina Projections'!P124</f>
        <v>1137.1500000000001</v>
      </c>
      <c r="S58" s="313">
        <f>'Marina Projections'!Q124</f>
        <v>1137.1500000000001</v>
      </c>
      <c r="T58" s="313">
        <f>'Marina Projections'!R124</f>
        <v>1137.1500000000001</v>
      </c>
      <c r="U58" s="313">
        <f>'Marina Projections'!S124</f>
        <v>1137.1500000000001</v>
      </c>
      <c r="V58" s="313">
        <f>'Marina Projections'!T124</f>
        <v>1137.1500000000001</v>
      </c>
      <c r="W58" s="313">
        <f>'Marina Projections'!U124</f>
        <v>1137.1500000000001</v>
      </c>
      <c r="X58" s="313">
        <f>'Marina Projections'!V124</f>
        <v>1137.1500000000001</v>
      </c>
    </row>
    <row r="59" spans="1:25 16384:16384" s="167" customFormat="1">
      <c r="A59" s="497" t="s">
        <v>170</v>
      </c>
      <c r="B59" s="450"/>
      <c r="C59" s="498"/>
      <c r="D59" s="499">
        <v>0</v>
      </c>
      <c r="E59" s="587">
        <v>0</v>
      </c>
      <c r="F59" s="587">
        <v>0</v>
      </c>
      <c r="G59" s="587">
        <v>0</v>
      </c>
      <c r="H59" s="587">
        <v>0</v>
      </c>
      <c r="I59" s="587">
        <v>0</v>
      </c>
      <c r="J59" s="587">
        <v>0</v>
      </c>
      <c r="K59" s="587">
        <v>0</v>
      </c>
      <c r="L59" s="587">
        <v>0</v>
      </c>
      <c r="M59" s="587">
        <v>0</v>
      </c>
      <c r="N59" s="587">
        <v>0</v>
      </c>
      <c r="O59" s="587">
        <v>0</v>
      </c>
      <c r="P59" s="587">
        <v>0</v>
      </c>
      <c r="Q59" s="587">
        <v>0</v>
      </c>
      <c r="R59" s="587">
        <v>0</v>
      </c>
      <c r="S59" s="587">
        <v>0</v>
      </c>
      <c r="T59" s="587">
        <v>0</v>
      </c>
      <c r="U59" s="587">
        <v>0</v>
      </c>
      <c r="V59" s="587">
        <v>0</v>
      </c>
      <c r="W59" s="587">
        <v>0</v>
      </c>
      <c r="X59" s="587">
        <v>0</v>
      </c>
      <c r="Y59" s="167" t="s">
        <v>282</v>
      </c>
    </row>
    <row r="60" spans="1:25 16384:16384" s="167" customFormat="1">
      <c r="A60" s="497" t="s">
        <v>16</v>
      </c>
      <c r="B60" s="450"/>
      <c r="C60" s="498"/>
      <c r="D60" s="499">
        <v>0</v>
      </c>
      <c r="E60" s="587">
        <v>0</v>
      </c>
      <c r="F60" s="587">
        <v>0</v>
      </c>
      <c r="G60" s="587">
        <v>0</v>
      </c>
      <c r="H60" s="587">
        <v>0</v>
      </c>
      <c r="I60" s="587">
        <v>0</v>
      </c>
      <c r="J60" s="587">
        <v>0</v>
      </c>
      <c r="K60" s="587">
        <v>0</v>
      </c>
      <c r="L60" s="587">
        <v>0</v>
      </c>
      <c r="M60" s="587">
        <v>0</v>
      </c>
      <c r="N60" s="587">
        <v>0</v>
      </c>
      <c r="O60" s="587">
        <v>0</v>
      </c>
      <c r="P60" s="587">
        <v>0</v>
      </c>
      <c r="Q60" s="587">
        <v>0</v>
      </c>
      <c r="R60" s="587">
        <v>0</v>
      </c>
      <c r="S60" s="587">
        <v>0</v>
      </c>
      <c r="T60" s="587">
        <v>0</v>
      </c>
      <c r="U60" s="587">
        <v>0</v>
      </c>
      <c r="V60" s="587">
        <v>0</v>
      </c>
      <c r="W60" s="587">
        <v>0</v>
      </c>
      <c r="X60" s="587">
        <v>0</v>
      </c>
      <c r="Y60" s="167" t="s">
        <v>282</v>
      </c>
    </row>
    <row r="61" spans="1:25 16384:16384">
      <c r="A61" s="54"/>
      <c r="B61" s="277"/>
      <c r="C61" s="74"/>
      <c r="D61" s="492"/>
      <c r="E61" s="308"/>
      <c r="F61" s="308"/>
      <c r="G61" s="308"/>
      <c r="H61" s="308"/>
      <c r="I61" s="308"/>
      <c r="J61" s="308"/>
      <c r="K61" s="308"/>
      <c r="L61" s="308"/>
      <c r="M61" s="308"/>
      <c r="N61" s="308"/>
      <c r="O61" s="308"/>
      <c r="P61" s="308"/>
      <c r="Q61" s="308"/>
      <c r="R61" s="308"/>
      <c r="S61" s="308"/>
      <c r="T61" s="308"/>
      <c r="U61" s="308"/>
      <c r="V61" s="308"/>
      <c r="W61" s="308"/>
      <c r="X61" s="308"/>
    </row>
    <row r="62" spans="1:25 16384:16384">
      <c r="A62" s="293" t="s">
        <v>2</v>
      </c>
      <c r="B62" s="277"/>
      <c r="C62" s="74"/>
      <c r="D62" s="492"/>
      <c r="E62" s="308"/>
      <c r="F62" s="308"/>
      <c r="G62" s="308"/>
      <c r="H62" s="308"/>
      <c r="I62" s="308"/>
      <c r="J62" s="308"/>
      <c r="K62" s="308"/>
      <c r="L62" s="308"/>
      <c r="M62" s="308"/>
      <c r="N62" s="308"/>
      <c r="O62" s="308"/>
      <c r="P62" s="308"/>
      <c r="Q62" s="308"/>
      <c r="R62" s="308"/>
      <c r="S62" s="308"/>
      <c r="T62" s="308"/>
      <c r="U62" s="308"/>
      <c r="V62" s="308"/>
      <c r="W62" s="308"/>
      <c r="X62" s="308"/>
    </row>
    <row r="63" spans="1:25 16384:16384" s="96" customFormat="1">
      <c r="A63" s="54" t="s">
        <v>290</v>
      </c>
      <c r="B63" s="435">
        <v>500</v>
      </c>
      <c r="C63" s="487"/>
      <c r="D63" s="486">
        <v>0</v>
      </c>
      <c r="E63" s="313">
        <v>0</v>
      </c>
      <c r="F63" s="313">
        <v>0</v>
      </c>
      <c r="G63" s="313">
        <f t="shared" ref="G63:X63" si="8">$B$63</f>
        <v>500</v>
      </c>
      <c r="H63" s="313">
        <f t="shared" si="8"/>
        <v>500</v>
      </c>
      <c r="I63" s="313">
        <f t="shared" si="8"/>
        <v>500</v>
      </c>
      <c r="J63" s="313">
        <f t="shared" si="8"/>
        <v>500</v>
      </c>
      <c r="K63" s="313">
        <f t="shared" si="8"/>
        <v>500</v>
      </c>
      <c r="L63" s="313">
        <f t="shared" si="8"/>
        <v>500</v>
      </c>
      <c r="M63" s="313">
        <f t="shared" si="8"/>
        <v>500</v>
      </c>
      <c r="N63" s="313">
        <f t="shared" si="8"/>
        <v>500</v>
      </c>
      <c r="O63" s="313">
        <f t="shared" si="8"/>
        <v>500</v>
      </c>
      <c r="P63" s="313">
        <f t="shared" si="8"/>
        <v>500</v>
      </c>
      <c r="Q63" s="313">
        <f t="shared" si="8"/>
        <v>500</v>
      </c>
      <c r="R63" s="313">
        <f t="shared" si="8"/>
        <v>500</v>
      </c>
      <c r="S63" s="313">
        <f t="shared" si="8"/>
        <v>500</v>
      </c>
      <c r="T63" s="313">
        <f t="shared" si="8"/>
        <v>500</v>
      </c>
      <c r="U63" s="313">
        <f t="shared" si="8"/>
        <v>500</v>
      </c>
      <c r="V63" s="313">
        <f t="shared" si="8"/>
        <v>500</v>
      </c>
      <c r="W63" s="313">
        <f t="shared" si="8"/>
        <v>500</v>
      </c>
      <c r="X63" s="313">
        <f t="shared" si="8"/>
        <v>500</v>
      </c>
    </row>
    <row r="64" spans="1:25 16384:16384" s="96" customFormat="1">
      <c r="A64" s="54" t="s">
        <v>540</v>
      </c>
      <c r="B64" s="435"/>
      <c r="C64" s="487"/>
      <c r="D64" s="1055">
        <v>0</v>
      </c>
      <c r="E64" s="1056">
        <v>0</v>
      </c>
      <c r="F64" s="1056">
        <v>0</v>
      </c>
      <c r="G64" s="1056">
        <v>200000</v>
      </c>
      <c r="H64" s="1056">
        <f>G64</f>
        <v>200000</v>
      </c>
      <c r="I64" s="1056">
        <f t="shared" ref="I64:X64" si="9">H64</f>
        <v>200000</v>
      </c>
      <c r="J64" s="1056">
        <f t="shared" si="9"/>
        <v>200000</v>
      </c>
      <c r="K64" s="1056">
        <f t="shared" si="9"/>
        <v>200000</v>
      </c>
      <c r="L64" s="1056">
        <f t="shared" si="9"/>
        <v>200000</v>
      </c>
      <c r="M64" s="1056">
        <f t="shared" si="9"/>
        <v>200000</v>
      </c>
      <c r="N64" s="1056">
        <f t="shared" si="9"/>
        <v>200000</v>
      </c>
      <c r="O64" s="1056">
        <f t="shared" si="9"/>
        <v>200000</v>
      </c>
      <c r="P64" s="1056">
        <f t="shared" si="9"/>
        <v>200000</v>
      </c>
      <c r="Q64" s="1056">
        <f t="shared" si="9"/>
        <v>200000</v>
      </c>
      <c r="R64" s="1056">
        <f t="shared" si="9"/>
        <v>200000</v>
      </c>
      <c r="S64" s="1056">
        <f t="shared" si="9"/>
        <v>200000</v>
      </c>
      <c r="T64" s="1056">
        <f t="shared" si="9"/>
        <v>200000</v>
      </c>
      <c r="U64" s="1056">
        <f t="shared" si="9"/>
        <v>200000</v>
      </c>
      <c r="V64" s="1056">
        <f t="shared" si="9"/>
        <v>200000</v>
      </c>
      <c r="W64" s="1056">
        <f t="shared" si="9"/>
        <v>200000</v>
      </c>
      <c r="X64" s="1056">
        <f t="shared" si="9"/>
        <v>200000</v>
      </c>
    </row>
    <row r="65" spans="1:25" s="96" customFormat="1">
      <c r="A65" s="54" t="s">
        <v>210</v>
      </c>
      <c r="B65" s="487"/>
      <c r="C65" s="487"/>
      <c r="D65" s="486">
        <v>0</v>
      </c>
      <c r="E65" s="313">
        <v>0</v>
      </c>
      <c r="F65" s="313">
        <v>1</v>
      </c>
      <c r="G65" s="313">
        <v>2</v>
      </c>
      <c r="H65" s="313">
        <v>2</v>
      </c>
      <c r="I65" s="313">
        <v>2</v>
      </c>
      <c r="J65" s="313">
        <v>3</v>
      </c>
      <c r="K65" s="313">
        <v>3</v>
      </c>
      <c r="L65" s="313">
        <v>3</v>
      </c>
      <c r="M65" s="313">
        <v>3</v>
      </c>
      <c r="N65" s="313">
        <v>3</v>
      </c>
      <c r="O65" s="313">
        <v>4</v>
      </c>
      <c r="P65" s="313">
        <v>4</v>
      </c>
      <c r="Q65" s="313">
        <v>4</v>
      </c>
      <c r="R65" s="313">
        <v>4</v>
      </c>
      <c r="S65" s="313">
        <v>4</v>
      </c>
      <c r="T65" s="313">
        <v>5</v>
      </c>
      <c r="U65" s="313">
        <v>5</v>
      </c>
      <c r="V65" s="313">
        <v>5</v>
      </c>
      <c r="W65" s="313">
        <v>5</v>
      </c>
      <c r="X65" s="313">
        <v>5</v>
      </c>
      <c r="Y65" s="313"/>
    </row>
    <row r="66" spans="1:25" s="96" customFormat="1">
      <c r="A66" s="96" t="s">
        <v>211</v>
      </c>
      <c r="D66" s="486">
        <v>0</v>
      </c>
      <c r="E66" s="435">
        <v>0</v>
      </c>
      <c r="F66" s="435">
        <v>3</v>
      </c>
      <c r="G66" s="435">
        <v>3</v>
      </c>
      <c r="H66" s="435">
        <v>3</v>
      </c>
      <c r="I66" s="435">
        <v>3</v>
      </c>
      <c r="J66" s="435">
        <v>3</v>
      </c>
      <c r="K66" s="435">
        <v>3</v>
      </c>
      <c r="L66" s="435">
        <v>3</v>
      </c>
      <c r="M66" s="435">
        <v>3</v>
      </c>
      <c r="N66" s="435">
        <v>3</v>
      </c>
      <c r="O66" s="435">
        <v>3</v>
      </c>
      <c r="P66" s="435">
        <v>3</v>
      </c>
      <c r="Q66" s="435">
        <v>3</v>
      </c>
      <c r="R66" s="435">
        <v>3</v>
      </c>
      <c r="S66" s="435">
        <v>3</v>
      </c>
      <c r="T66" s="435">
        <v>3</v>
      </c>
      <c r="U66" s="435">
        <v>3</v>
      </c>
      <c r="V66" s="435">
        <v>3</v>
      </c>
      <c r="W66" s="435">
        <v>3</v>
      </c>
      <c r="X66" s="435">
        <v>3</v>
      </c>
    </row>
    <row r="67" spans="1:25" s="167" customFormat="1">
      <c r="A67" s="497"/>
      <c r="B67" s="501"/>
      <c r="C67" s="501"/>
      <c r="D67" s="499"/>
      <c r="E67" s="500"/>
      <c r="F67" s="500"/>
      <c r="G67" s="500"/>
      <c r="H67" s="500"/>
      <c r="I67" s="500"/>
      <c r="J67" s="500"/>
      <c r="K67" s="500"/>
      <c r="L67" s="500"/>
      <c r="M67" s="500"/>
      <c r="N67" s="500"/>
      <c r="O67" s="500"/>
      <c r="P67" s="500"/>
      <c r="Q67" s="500"/>
      <c r="R67" s="500"/>
      <c r="S67" s="500"/>
      <c r="T67" s="500"/>
      <c r="U67" s="500"/>
      <c r="V67" s="500"/>
      <c r="W67" s="500"/>
      <c r="X67" s="500"/>
      <c r="Y67" s="500"/>
    </row>
    <row r="68" spans="1:25">
      <c r="A68" s="28"/>
      <c r="D68" s="486"/>
      <c r="E68" s="331"/>
      <c r="F68" s="333"/>
      <c r="G68" s="331"/>
      <c r="H68" s="331"/>
      <c r="I68" s="331"/>
      <c r="J68" s="331"/>
      <c r="K68" s="331"/>
      <c r="L68" s="331"/>
      <c r="M68" s="331"/>
      <c r="N68" s="331"/>
      <c r="O68" s="331"/>
      <c r="P68" s="331"/>
      <c r="Q68" s="331"/>
      <c r="R68" s="331"/>
      <c r="S68" s="331"/>
      <c r="T68" s="331"/>
      <c r="U68" s="331"/>
      <c r="V68" s="331"/>
      <c r="W68" s="331"/>
      <c r="X68" s="331"/>
    </row>
    <row r="69" spans="1:25">
      <c r="A69" s="266" t="s">
        <v>135</v>
      </c>
      <c r="B69" s="223"/>
      <c r="C69" s="267"/>
      <c r="D69" s="332"/>
      <c r="E69" s="332"/>
      <c r="F69" s="349"/>
      <c r="G69" s="332"/>
      <c r="H69" s="332"/>
      <c r="I69" s="332"/>
      <c r="J69" s="332"/>
      <c r="K69" s="332"/>
      <c r="L69" s="332"/>
      <c r="M69" s="332"/>
      <c r="N69" s="332"/>
      <c r="O69" s="332"/>
      <c r="P69" s="332"/>
      <c r="Q69" s="332"/>
      <c r="R69" s="332"/>
      <c r="S69" s="332"/>
      <c r="T69" s="332"/>
      <c r="U69" s="332"/>
      <c r="V69" s="332"/>
      <c r="W69" s="332"/>
      <c r="X69" s="332"/>
    </row>
    <row r="70" spans="1:25" s="341" customFormat="1">
      <c r="A70" s="353"/>
      <c r="B70" s="355"/>
      <c r="C70" s="355"/>
      <c r="D70" s="502"/>
      <c r="E70" s="503"/>
      <c r="F70" s="503"/>
      <c r="G70" s="503"/>
      <c r="H70" s="503"/>
      <c r="I70" s="503"/>
      <c r="J70" s="503"/>
      <c r="K70" s="503"/>
      <c r="L70" s="503"/>
      <c r="M70" s="503"/>
      <c r="N70" s="503"/>
      <c r="O70" s="503"/>
      <c r="P70" s="503"/>
      <c r="Q70" s="503"/>
      <c r="R70" s="503"/>
      <c r="S70" s="503"/>
      <c r="T70" s="503"/>
      <c r="U70" s="503"/>
      <c r="V70" s="503"/>
      <c r="W70" s="503"/>
      <c r="X70" s="503"/>
    </row>
    <row r="71" spans="1:25" s="341" customFormat="1">
      <c r="A71" s="691" t="s">
        <v>144</v>
      </c>
      <c r="B71" s="355"/>
      <c r="C71" s="355"/>
      <c r="D71" s="548"/>
      <c r="E71" s="503"/>
      <c r="F71" s="503"/>
      <c r="G71" s="503"/>
      <c r="H71" s="503"/>
      <c r="I71" s="503"/>
      <c r="J71" s="503"/>
      <c r="K71" s="503"/>
      <c r="L71" s="503"/>
      <c r="M71" s="503"/>
      <c r="N71" s="503"/>
      <c r="O71" s="503"/>
      <c r="P71" s="503"/>
      <c r="Q71" s="503"/>
      <c r="R71" s="503"/>
      <c r="S71" s="503"/>
      <c r="T71" s="503"/>
      <c r="U71" s="503"/>
      <c r="V71" s="503"/>
      <c r="W71" s="503"/>
      <c r="X71" s="503"/>
    </row>
    <row r="72" spans="1:25" s="561" customFormat="1">
      <c r="A72" s="353" t="str">
        <f>'BH Tariffs'!A11</f>
        <v>Port Fee</v>
      </c>
      <c r="B72" s="355"/>
      <c r="C72" s="355"/>
      <c r="D72" s="548">
        <v>0</v>
      </c>
      <c r="E72" s="503">
        <v>0</v>
      </c>
      <c r="F72" s="503">
        <v>0</v>
      </c>
      <c r="G72" s="503">
        <v>0</v>
      </c>
      <c r="H72" s="503">
        <v>0</v>
      </c>
      <c r="I72" s="503">
        <v>0</v>
      </c>
      <c r="J72" s="503">
        <v>0</v>
      </c>
      <c r="K72" s="503">
        <v>0</v>
      </c>
      <c r="L72" s="503">
        <v>0</v>
      </c>
      <c r="M72" s="503">
        <v>0</v>
      </c>
      <c r="N72" s="503">
        <v>0</v>
      </c>
      <c r="O72" s="503">
        <v>0</v>
      </c>
      <c r="P72" s="503">
        <v>0</v>
      </c>
      <c r="Q72" s="503">
        <v>0</v>
      </c>
      <c r="R72" s="503">
        <v>0</v>
      </c>
      <c r="S72" s="503">
        <v>0</v>
      </c>
      <c r="T72" s="503">
        <v>0</v>
      </c>
      <c r="U72" s="503">
        <v>0</v>
      </c>
      <c r="V72" s="503">
        <v>0</v>
      </c>
      <c r="W72" s="503">
        <v>0</v>
      </c>
      <c r="X72" s="503">
        <v>0</v>
      </c>
    </row>
    <row r="73" spans="1:25">
      <c r="A73" s="88"/>
      <c r="B73" s="89"/>
      <c r="C73" s="89"/>
      <c r="D73" s="502"/>
      <c r="E73" s="504"/>
      <c r="F73" s="504"/>
      <c r="G73" s="504"/>
      <c r="H73" s="504"/>
      <c r="I73" s="504"/>
      <c r="J73" s="504"/>
      <c r="K73" s="504"/>
      <c r="L73" s="504"/>
      <c r="M73" s="504"/>
      <c r="N73" s="504"/>
      <c r="O73" s="504"/>
      <c r="P73" s="504"/>
      <c r="Q73" s="504"/>
      <c r="R73" s="504"/>
      <c r="S73" s="504"/>
      <c r="T73" s="504"/>
      <c r="U73" s="504"/>
      <c r="V73" s="504"/>
      <c r="W73" s="504"/>
      <c r="X73" s="504"/>
    </row>
    <row r="74" spans="1:25" s="16" customFormat="1" ht="14.25">
      <c r="A74" s="280" t="s">
        <v>124</v>
      </c>
      <c r="B74" s="533"/>
      <c r="C74" s="533"/>
      <c r="D74" s="534"/>
      <c r="E74" s="535"/>
      <c r="F74" s="535"/>
      <c r="G74" s="535"/>
      <c r="H74" s="535"/>
      <c r="I74" s="535"/>
      <c r="J74" s="535"/>
      <c r="K74" s="535"/>
      <c r="L74" s="535"/>
      <c r="M74" s="535"/>
      <c r="N74" s="535"/>
      <c r="O74" s="535"/>
      <c r="P74" s="535"/>
      <c r="Q74" s="535"/>
      <c r="R74" s="535"/>
      <c r="S74" s="535"/>
      <c r="T74" s="535"/>
      <c r="U74" s="535"/>
      <c r="V74" s="535"/>
      <c r="W74" s="535"/>
      <c r="X74" s="535"/>
    </row>
    <row r="75" spans="1:25" s="279" customFormat="1" ht="14.25">
      <c r="A75" s="91" t="s">
        <v>83</v>
      </c>
      <c r="B75" s="536"/>
      <c r="C75" s="536"/>
      <c r="D75" s="537"/>
      <c r="E75" s="538"/>
      <c r="F75" s="538"/>
      <c r="G75" s="538"/>
      <c r="H75" s="538"/>
      <c r="I75" s="538"/>
      <c r="J75" s="538"/>
      <c r="K75" s="538"/>
      <c r="L75" s="538"/>
      <c r="M75" s="538"/>
      <c r="N75" s="538"/>
      <c r="O75" s="538"/>
      <c r="P75" s="538"/>
      <c r="Q75" s="538"/>
      <c r="R75" s="538"/>
      <c r="S75" s="538"/>
      <c r="T75" s="538"/>
      <c r="U75" s="538"/>
      <c r="V75" s="538"/>
      <c r="W75" s="538"/>
      <c r="X75" s="538"/>
    </row>
    <row r="76" spans="1:25">
      <c r="A76" s="90" t="str">
        <f>'BH Tariffs'!A19</f>
        <v>Town Wharfage (Exclusive Use, Ferry Property Only)</v>
      </c>
      <c r="B76" s="89"/>
      <c r="C76" s="89"/>
      <c r="D76" s="502">
        <v>0</v>
      </c>
      <c r="E76" s="504">
        <f>'BH Tariffs'!D19*'P&amp;L - Concept C2 - RCCL'!E12</f>
        <v>0</v>
      </c>
      <c r="F76" s="504">
        <f>'BH Tariffs'!E19*'P&amp;L - Concept C2 - RCCL'!F12</f>
        <v>623885.59098931064</v>
      </c>
      <c r="G76" s="504">
        <f>'BH Tariffs'!F19*'P&amp;L - Concept C2 - RCCL'!G12</f>
        <v>636363.30280909687</v>
      </c>
      <c r="H76" s="504">
        <f>'BH Tariffs'!G19*'P&amp;L - Concept C2 - RCCL'!H12</f>
        <v>649090.56886527874</v>
      </c>
      <c r="I76" s="504">
        <f>'BH Tariffs'!H19*'P&amp;L - Concept C2 - RCCL'!I12</f>
        <v>662072.38024258439</v>
      </c>
      <c r="J76" s="504">
        <f>'BH Tariffs'!I19*'P&amp;L - Concept C2 - RCCL'!J12</f>
        <v>675313.82784743607</v>
      </c>
      <c r="K76" s="504">
        <f>'BH Tariffs'!J19*'P&amp;L - Concept C2 - RCCL'!K12</f>
        <v>688820.10440438474</v>
      </c>
      <c r="L76" s="504">
        <f>'BH Tariffs'!K19*'P&amp;L - Concept C2 - RCCL'!L12</f>
        <v>702596.50649247249</v>
      </c>
      <c r="M76" s="504">
        <f>'BH Tariffs'!L19*'P&amp;L - Concept C2 - RCCL'!M12</f>
        <v>716648.43662232207</v>
      </c>
      <c r="N76" s="504">
        <f>'BH Tariffs'!M19*'P&amp;L - Concept C2 - RCCL'!N12</f>
        <v>730981.40535476839</v>
      </c>
      <c r="O76" s="504">
        <f>'BH Tariffs'!N19*'P&amp;L - Concept C2 - RCCL'!O12</f>
        <v>745601.03346186387</v>
      </c>
      <c r="P76" s="504">
        <f>'BH Tariffs'!O19*'P&amp;L - Concept C2 - RCCL'!P12</f>
        <v>760513.05413110112</v>
      </c>
      <c r="Q76" s="504">
        <f>'BH Tariffs'!P19*'P&amp;L - Concept C2 - RCCL'!Q12</f>
        <v>775723.31521372311</v>
      </c>
      <c r="R76" s="504">
        <f>'BH Tariffs'!Q19*'P&amp;L - Concept C2 - RCCL'!R12</f>
        <v>791237.7815179975</v>
      </c>
      <c r="S76" s="504">
        <f>'BH Tariffs'!R19*'P&amp;L - Concept C2 - RCCL'!S12</f>
        <v>807062.53714835749</v>
      </c>
      <c r="T76" s="504">
        <f>'BH Tariffs'!S19*'P&amp;L - Concept C2 - RCCL'!T12</f>
        <v>823203.78789132461</v>
      </c>
      <c r="U76" s="504">
        <f>'BH Tariffs'!T19*'P&amp;L - Concept C2 - RCCL'!U12</f>
        <v>839667.86364915129</v>
      </c>
      <c r="V76" s="504">
        <f>'BH Tariffs'!U19*'P&amp;L - Concept C2 - RCCL'!V12</f>
        <v>856461.22092213423</v>
      </c>
      <c r="W76" s="504">
        <f>'BH Tariffs'!V19*'P&amp;L - Concept C2 - RCCL'!W12</f>
        <v>873590.44534057705</v>
      </c>
      <c r="X76" s="504">
        <f>'BH Tariffs'!W19*'P&amp;L - Concept C2 - RCCL'!X12</f>
        <v>891062.25424738857</v>
      </c>
      <c r="Y76" s="413">
        <f>SUM(D76:X76)</f>
        <v>14249895.417151274</v>
      </c>
    </row>
    <row r="77" spans="1:25" s="341" customFormat="1">
      <c r="A77" s="353" t="str">
        <f>'BH Tariffs'!A21</f>
        <v>CBP Infastructure Fee (Ferry Property Only)</v>
      </c>
      <c r="B77" s="355"/>
      <c r="C77" s="355"/>
      <c r="D77" s="548">
        <v>0</v>
      </c>
      <c r="E77" s="503">
        <v>0</v>
      </c>
      <c r="F77" s="503">
        <v>0</v>
      </c>
      <c r="G77" s="503">
        <v>0</v>
      </c>
      <c r="H77" s="503">
        <v>0</v>
      </c>
      <c r="I77" s="503">
        <v>0</v>
      </c>
      <c r="J77" s="503">
        <v>0</v>
      </c>
      <c r="K77" s="503">
        <v>0</v>
      </c>
      <c r="L77" s="503">
        <v>0</v>
      </c>
      <c r="M77" s="503">
        <v>0</v>
      </c>
      <c r="N77" s="503">
        <v>0</v>
      </c>
      <c r="O77" s="503">
        <v>0</v>
      </c>
      <c r="P77" s="503">
        <v>0</v>
      </c>
      <c r="Q77" s="503">
        <v>0</v>
      </c>
      <c r="R77" s="503">
        <v>0</v>
      </c>
      <c r="S77" s="503">
        <v>0</v>
      </c>
      <c r="T77" s="503">
        <v>0</v>
      </c>
      <c r="U77" s="503">
        <v>0</v>
      </c>
      <c r="V77" s="503">
        <v>0</v>
      </c>
      <c r="W77" s="503">
        <v>0</v>
      </c>
      <c r="X77" s="503">
        <v>0</v>
      </c>
      <c r="Y77" s="413"/>
    </row>
    <row r="78" spans="1:25" s="96" customFormat="1">
      <c r="A78" s="90" t="str">
        <f>'BH Tariffs'!A22</f>
        <v>Infrastructure Fee</v>
      </c>
      <c r="B78" s="356"/>
      <c r="C78" s="356"/>
      <c r="D78" s="502">
        <v>0</v>
      </c>
      <c r="E78" s="504">
        <v>0</v>
      </c>
      <c r="F78" s="504">
        <f>'BH Tariffs'!E22*'Cruise Projections'!V97</f>
        <v>522936.74160000001</v>
      </c>
      <c r="G78" s="504">
        <f>'BH Tariffs'!F22*'Cruise Projections'!W97</f>
        <v>533395.47643200005</v>
      </c>
      <c r="H78" s="504">
        <f>'BH Tariffs'!G22*'Cruise Projections'!X97</f>
        <v>544063.38596063992</v>
      </c>
      <c r="I78" s="504">
        <f>'BH Tariffs'!H22*'Cruise Projections'!Y97</f>
        <v>554944.65367985272</v>
      </c>
      <c r="J78" s="504">
        <f>'BH Tariffs'!I22*'Cruise Projections'!Z97</f>
        <v>566043.54675344983</v>
      </c>
      <c r="K78" s="504">
        <f>'BH Tariffs'!J22*'Cruise Projections'!AA97</f>
        <v>577364.41768851888</v>
      </c>
      <c r="L78" s="504">
        <f>'BH Tariffs'!K22*'Cruise Projections'!AB97</f>
        <v>588911.70604228915</v>
      </c>
      <c r="M78" s="504">
        <f>'BH Tariffs'!L22*'Cruise Projections'!AC97</f>
        <v>600689.94016313506</v>
      </c>
      <c r="N78" s="504">
        <f>'BH Tariffs'!M22*'Cruise Projections'!AD97</f>
        <v>612703.73896639771</v>
      </c>
      <c r="O78" s="504">
        <f>'BH Tariffs'!N22*'Cruise Projections'!AE97</f>
        <v>624957.81374572578</v>
      </c>
      <c r="P78" s="504">
        <f>'BH Tariffs'!O22*'Cruise Projections'!AF97</f>
        <v>637456.97002064029</v>
      </c>
      <c r="Q78" s="504">
        <f>'BH Tariffs'!P22*'Cruise Projections'!AG97</f>
        <v>650206.10942105309</v>
      </c>
      <c r="R78" s="504">
        <f>'BH Tariffs'!Q22*'Cruise Projections'!AH97</f>
        <v>663210.23160947405</v>
      </c>
      <c r="S78" s="504">
        <f>'BH Tariffs'!R22*'Cruise Projections'!AI97</f>
        <v>676474.43624166364</v>
      </c>
      <c r="T78" s="504">
        <f>'BH Tariffs'!S22*'Cruise Projections'!AJ97</f>
        <v>690003.924966497</v>
      </c>
      <c r="U78" s="504">
        <f>'BH Tariffs'!T22*'Cruise Projections'!AK97</f>
        <v>703804.00346582686</v>
      </c>
      <c r="V78" s="504">
        <f>'BH Tariffs'!U22*'Cruise Projections'!AL97</f>
        <v>717880.08353514341</v>
      </c>
      <c r="W78" s="504">
        <f>'BH Tariffs'!V22*'Cruise Projections'!AM97</f>
        <v>732237.68520584644</v>
      </c>
      <c r="X78" s="504">
        <f>'BH Tariffs'!W22*'Cruise Projections'!AN97</f>
        <v>746882.43890996324</v>
      </c>
      <c r="Y78" s="413">
        <f t="shared" ref="Y78" si="10">SUM(D78:X78)</f>
        <v>11944167.30440812</v>
      </c>
    </row>
    <row r="79" spans="1:25">
      <c r="A79" s="90"/>
      <c r="B79" s="89"/>
      <c r="C79" s="89"/>
      <c r="D79" s="502"/>
      <c r="E79" s="504"/>
      <c r="F79" s="504"/>
      <c r="G79" s="504"/>
      <c r="H79" s="504"/>
      <c r="I79" s="504"/>
      <c r="J79" s="504"/>
      <c r="K79" s="504"/>
      <c r="L79" s="504"/>
      <c r="M79" s="504"/>
      <c r="N79" s="504"/>
      <c r="O79" s="504"/>
      <c r="P79" s="504"/>
      <c r="Q79" s="504"/>
      <c r="R79" s="504"/>
      <c r="S79" s="504"/>
      <c r="T79" s="504"/>
      <c r="U79" s="504"/>
      <c r="V79" s="504"/>
      <c r="W79" s="504"/>
      <c r="X79" s="504"/>
    </row>
    <row r="80" spans="1:25">
      <c r="A80" s="91" t="s">
        <v>163</v>
      </c>
      <c r="B80" s="30"/>
      <c r="C80" s="89"/>
      <c r="D80" s="502"/>
      <c r="E80" s="504"/>
      <c r="F80" s="504"/>
      <c r="G80" s="504"/>
      <c r="H80" s="504"/>
      <c r="I80" s="504"/>
      <c r="J80" s="504"/>
      <c r="K80" s="504"/>
      <c r="L80" s="504"/>
      <c r="M80" s="504"/>
      <c r="N80" s="504"/>
      <c r="O80" s="504"/>
      <c r="P80" s="504"/>
      <c r="Q80" s="504"/>
      <c r="R80" s="504"/>
      <c r="S80" s="504"/>
      <c r="T80" s="504"/>
      <c r="U80" s="504"/>
      <c r="V80" s="504"/>
      <c r="W80" s="504"/>
      <c r="X80" s="504"/>
    </row>
    <row r="81" spans="1:25">
      <c r="A81" s="88" t="str">
        <f>'BH Tariffs'!A25</f>
        <v>Dock Rent (12 months)</v>
      </c>
      <c r="B81" s="30"/>
      <c r="C81" s="89"/>
      <c r="D81" s="502">
        <v>0</v>
      </c>
      <c r="E81" s="504">
        <f>'BH Tariffs'!D25*12</f>
        <v>69000</v>
      </c>
      <c r="F81" s="504">
        <f>'BH Tariffs'!E25*12</f>
        <v>69000</v>
      </c>
      <c r="G81" s="504">
        <f>'BH Tariffs'!F25*12</f>
        <v>69000</v>
      </c>
      <c r="H81" s="504">
        <f>'BH Tariffs'!G25*12</f>
        <v>70380</v>
      </c>
      <c r="I81" s="504">
        <f>'BH Tariffs'!H25*12</f>
        <v>71787.600000000006</v>
      </c>
      <c r="J81" s="504">
        <f>'BH Tariffs'!I25*12</f>
        <v>73223.351999999999</v>
      </c>
      <c r="K81" s="504">
        <f>'BH Tariffs'!J25*12</f>
        <v>74687.819040000002</v>
      </c>
      <c r="L81" s="504">
        <f>'BH Tariffs'!K25*12</f>
        <v>76181.5754208</v>
      </c>
      <c r="M81" s="504">
        <f>'BH Tariffs'!L25*12</f>
        <v>77705.206929216016</v>
      </c>
      <c r="N81" s="504">
        <f>'BH Tariffs'!M25*12</f>
        <v>79259.311067800329</v>
      </c>
      <c r="O81" s="504">
        <f>'BH Tariffs'!N25*12</f>
        <v>80844.497289156338</v>
      </c>
      <c r="P81" s="504">
        <f>'BH Tariffs'!O25*12</f>
        <v>82461.387234939466</v>
      </c>
      <c r="Q81" s="504">
        <f>'BH Tariffs'!P25*12</f>
        <v>84110.614979638252</v>
      </c>
      <c r="R81" s="504">
        <f>'BH Tariffs'!Q25*12</f>
        <v>85792.827279231016</v>
      </c>
      <c r="S81" s="504">
        <f>'BH Tariffs'!R25*12</f>
        <v>87508.683824815642</v>
      </c>
      <c r="T81" s="504">
        <f>'BH Tariffs'!S25*12</f>
        <v>89258.857501311941</v>
      </c>
      <c r="U81" s="504">
        <f>'BH Tariffs'!T25*12</f>
        <v>91044.034651338196</v>
      </c>
      <c r="V81" s="504">
        <f>'BH Tariffs'!U25*12</f>
        <v>92864.91534436497</v>
      </c>
      <c r="W81" s="504">
        <f>'BH Tariffs'!V25*12</f>
        <v>94722.21365125227</v>
      </c>
      <c r="X81" s="504">
        <f>'BH Tariffs'!W25*12</f>
        <v>96616.657924277315</v>
      </c>
    </row>
    <row r="82" spans="1:25">
      <c r="A82" s="88" t="str">
        <f>'BH Tariffs'!A26</f>
        <v>Ferry Passenger Wharfage</v>
      </c>
      <c r="B82" s="30"/>
      <c r="C82" s="89"/>
      <c r="D82" s="502">
        <v>0</v>
      </c>
      <c r="E82" s="504">
        <f>'BH Tariffs'!D26*E18</f>
        <v>120000</v>
      </c>
      <c r="F82" s="504">
        <f>'BH Tariffs'!E26*F18</f>
        <v>140000</v>
      </c>
      <c r="G82" s="504">
        <f>'BH Tariffs'!F26*G18</f>
        <v>160000</v>
      </c>
      <c r="H82" s="504">
        <f>'BH Tariffs'!G26*H18</f>
        <v>163200</v>
      </c>
      <c r="I82" s="504">
        <f>'BH Tariffs'!H26*I18</f>
        <v>166464</v>
      </c>
      <c r="J82" s="504">
        <f>'BH Tariffs'!I26*J18</f>
        <v>169793.28</v>
      </c>
      <c r="K82" s="504">
        <f>'BH Tariffs'!J26*K18</f>
        <v>173189.14559999999</v>
      </c>
      <c r="L82" s="504">
        <f>'BH Tariffs'!K26*L18</f>
        <v>176652.92851200001</v>
      </c>
      <c r="M82" s="504">
        <f>'BH Tariffs'!L26*M18</f>
        <v>180185.98708224</v>
      </c>
      <c r="N82" s="504">
        <f>'BH Tariffs'!M26*N18</f>
        <v>183789.7068238848</v>
      </c>
      <c r="O82" s="504">
        <f>'BH Tariffs'!N26*O18</f>
        <v>187465.50096036252</v>
      </c>
      <c r="P82" s="504">
        <f>'BH Tariffs'!O26*P18</f>
        <v>191214.81097956977</v>
      </c>
      <c r="Q82" s="504">
        <f>'BH Tariffs'!P26*Q18</f>
        <v>195039.10719916117</v>
      </c>
      <c r="R82" s="504">
        <f>'BH Tariffs'!Q26*R18</f>
        <v>198939.8893431444</v>
      </c>
      <c r="S82" s="504">
        <f>'BH Tariffs'!R26*S18</f>
        <v>202918.68713000728</v>
      </c>
      <c r="T82" s="504">
        <f>'BH Tariffs'!S26*T18</f>
        <v>206977.0608726074</v>
      </c>
      <c r="U82" s="504">
        <f>'BH Tariffs'!T26*U18</f>
        <v>211116.60209005958</v>
      </c>
      <c r="V82" s="504">
        <f>'BH Tariffs'!U26*V18</f>
        <v>215338.93413186079</v>
      </c>
      <c r="W82" s="504">
        <f>'BH Tariffs'!V26*W18</f>
        <v>219645.71281449799</v>
      </c>
      <c r="X82" s="504">
        <f>'BH Tariffs'!W26*X18</f>
        <v>224038.62707078797</v>
      </c>
    </row>
    <row r="83" spans="1:25">
      <c r="A83" s="88" t="str">
        <f>'BH Tariffs'!A27</f>
        <v>Ferry Passenger Vehicle Wharfage</v>
      </c>
      <c r="B83" s="30"/>
      <c r="C83" s="89"/>
      <c r="D83" s="502">
        <v>0</v>
      </c>
      <c r="E83" s="504">
        <f>'BH Tariffs'!D27*E19</f>
        <v>72000</v>
      </c>
      <c r="F83" s="504">
        <f>'BH Tariffs'!E27*F19</f>
        <v>84000</v>
      </c>
      <c r="G83" s="504">
        <f>'BH Tariffs'!F27*G19</f>
        <v>96000</v>
      </c>
      <c r="H83" s="504">
        <f>'BH Tariffs'!G27*H19</f>
        <v>97920</v>
      </c>
      <c r="I83" s="504">
        <f>'BH Tariffs'!H27*I19</f>
        <v>99878.399999999994</v>
      </c>
      <c r="J83" s="504">
        <f>'BH Tariffs'!I27*J19</f>
        <v>101875.96799999999</v>
      </c>
      <c r="K83" s="504">
        <f>'BH Tariffs'!J27*K19</f>
        <v>103913.48736</v>
      </c>
      <c r="L83" s="504">
        <f>'BH Tariffs'!K27*L19</f>
        <v>105991.7571072</v>
      </c>
      <c r="M83" s="504">
        <f>'BH Tariffs'!L27*M19</f>
        <v>108111.592249344</v>
      </c>
      <c r="N83" s="504">
        <f>'BH Tariffs'!M27*N19</f>
        <v>110273.82409433088</v>
      </c>
      <c r="O83" s="504">
        <f>'BH Tariffs'!N27*O19</f>
        <v>112479.30057621752</v>
      </c>
      <c r="P83" s="504">
        <f>'BH Tariffs'!O27*P19</f>
        <v>114728.88658774187</v>
      </c>
      <c r="Q83" s="504">
        <f>'BH Tariffs'!P27*Q19</f>
        <v>117023.46431949669</v>
      </c>
      <c r="R83" s="504">
        <f>'BH Tariffs'!Q27*R19</f>
        <v>119363.93360588665</v>
      </c>
      <c r="S83" s="504">
        <f>'BH Tariffs'!R27*S19</f>
        <v>121751.21227800437</v>
      </c>
      <c r="T83" s="504">
        <f>'BH Tariffs'!S27*T19</f>
        <v>124186.23652356444</v>
      </c>
      <c r="U83" s="504">
        <f>'BH Tariffs'!T27*U19</f>
        <v>126669.96125403573</v>
      </c>
      <c r="V83" s="504">
        <f>'BH Tariffs'!U27*V19</f>
        <v>129203.36047911647</v>
      </c>
      <c r="W83" s="504">
        <f>'BH Tariffs'!V27*W19</f>
        <v>131787.42768869881</v>
      </c>
      <c r="X83" s="504">
        <f>'BH Tariffs'!W27*X19</f>
        <v>134423.17624247278</v>
      </c>
    </row>
    <row r="84" spans="1:25">
      <c r="A84" s="88" t="str">
        <f>'BH Tariffs'!A28</f>
        <v>Ferry Bus Wharfage</v>
      </c>
      <c r="B84" s="30"/>
      <c r="C84" s="89"/>
      <c r="D84" s="502">
        <v>0</v>
      </c>
      <c r="E84" s="504">
        <f>'BH Tariffs'!D28*'P&amp;L - Concept C2 - RCCL'!E20</f>
        <v>800</v>
      </c>
      <c r="F84" s="504">
        <f>'BH Tariffs'!E28*'P&amp;L - Concept C2 - RCCL'!F20</f>
        <v>1000</v>
      </c>
      <c r="G84" s="504">
        <f>'BH Tariffs'!F28*'P&amp;L - Concept C2 - RCCL'!G20</f>
        <v>1200</v>
      </c>
      <c r="H84" s="504">
        <f>'BH Tariffs'!G28*'P&amp;L - Concept C2 - RCCL'!H20</f>
        <v>1224</v>
      </c>
      <c r="I84" s="504">
        <f>'BH Tariffs'!H28*'P&amp;L - Concept C2 - RCCL'!I20</f>
        <v>1248.48</v>
      </c>
      <c r="J84" s="504">
        <f>'BH Tariffs'!I28*'P&amp;L - Concept C2 - RCCL'!J20</f>
        <v>1273.4495999999999</v>
      </c>
      <c r="K84" s="504">
        <f>'BH Tariffs'!J28*'P&amp;L - Concept C2 - RCCL'!K20</f>
        <v>1298.918592</v>
      </c>
      <c r="L84" s="504">
        <f>'BH Tariffs'!K28*'P&amp;L - Concept C2 - RCCL'!L20</f>
        <v>1324.8969638400001</v>
      </c>
      <c r="M84" s="504">
        <f>'BH Tariffs'!L28*'P&amp;L - Concept C2 - RCCL'!M20</f>
        <v>1351.3949031168002</v>
      </c>
      <c r="N84" s="504">
        <f>'BH Tariffs'!M28*'P&amp;L - Concept C2 - RCCL'!N20</f>
        <v>1378.4228011791361</v>
      </c>
      <c r="O84" s="504">
        <f>'BH Tariffs'!N28*'P&amp;L - Concept C2 - RCCL'!O20</f>
        <v>1405.991257202719</v>
      </c>
      <c r="P84" s="504">
        <f>'BH Tariffs'!O28*'P&amp;L - Concept C2 - RCCL'!P20</f>
        <v>1434.1110823467732</v>
      </c>
      <c r="Q84" s="504">
        <f>'BH Tariffs'!P28*'P&amp;L - Concept C2 - RCCL'!Q20</f>
        <v>1462.7933039937088</v>
      </c>
      <c r="R84" s="504">
        <f>'BH Tariffs'!Q28*'P&amp;L - Concept C2 - RCCL'!R20</f>
        <v>1492.0491700735829</v>
      </c>
      <c r="S84" s="504">
        <f>'BH Tariffs'!R28*'P&amp;L - Concept C2 - RCCL'!S20</f>
        <v>1521.8901534750546</v>
      </c>
      <c r="T84" s="504">
        <f>'BH Tariffs'!S28*'P&amp;L - Concept C2 - RCCL'!T20</f>
        <v>1552.3279565445555</v>
      </c>
      <c r="U84" s="504">
        <f>'BH Tariffs'!T28*'P&amp;L - Concept C2 - RCCL'!U20</f>
        <v>1583.3745156754469</v>
      </c>
      <c r="V84" s="504">
        <f>'BH Tariffs'!U28*'P&amp;L - Concept C2 - RCCL'!V20</f>
        <v>1615.0420059889559</v>
      </c>
      <c r="W84" s="504">
        <f>'BH Tariffs'!V28*'P&amp;L - Concept C2 - RCCL'!W20</f>
        <v>1647.3428461087349</v>
      </c>
      <c r="X84" s="504">
        <f>'BH Tariffs'!W28*'P&amp;L - Concept C2 - RCCL'!X20</f>
        <v>1680.2897030309098</v>
      </c>
    </row>
    <row r="85" spans="1:25" s="167" customFormat="1">
      <c r="A85" s="539" t="s">
        <v>592</v>
      </c>
      <c r="B85" s="609"/>
      <c r="C85" s="540"/>
      <c r="D85" s="541">
        <v>0</v>
      </c>
      <c r="E85" s="542">
        <v>-100000</v>
      </c>
      <c r="F85" s="542">
        <f>E85</f>
        <v>-100000</v>
      </c>
      <c r="G85" s="542">
        <f t="shared" ref="G85:X85" si="11">F85</f>
        <v>-100000</v>
      </c>
      <c r="H85" s="542">
        <f t="shared" si="11"/>
        <v>-100000</v>
      </c>
      <c r="I85" s="542">
        <f t="shared" si="11"/>
        <v>-100000</v>
      </c>
      <c r="J85" s="542">
        <f t="shared" si="11"/>
        <v>-100000</v>
      </c>
      <c r="K85" s="542">
        <f t="shared" si="11"/>
        <v>-100000</v>
      </c>
      <c r="L85" s="542">
        <f t="shared" si="11"/>
        <v>-100000</v>
      </c>
      <c r="M85" s="542">
        <f t="shared" si="11"/>
        <v>-100000</v>
      </c>
      <c r="N85" s="542">
        <f t="shared" si="11"/>
        <v>-100000</v>
      </c>
      <c r="O85" s="542">
        <f t="shared" si="11"/>
        <v>-100000</v>
      </c>
      <c r="P85" s="542">
        <f t="shared" si="11"/>
        <v>-100000</v>
      </c>
      <c r="Q85" s="542">
        <f t="shared" si="11"/>
        <v>-100000</v>
      </c>
      <c r="R85" s="542">
        <f t="shared" si="11"/>
        <v>-100000</v>
      </c>
      <c r="S85" s="542">
        <f t="shared" si="11"/>
        <v>-100000</v>
      </c>
      <c r="T85" s="542">
        <f t="shared" si="11"/>
        <v>-100000</v>
      </c>
      <c r="U85" s="542">
        <f t="shared" si="11"/>
        <v>-100000</v>
      </c>
      <c r="V85" s="542">
        <f t="shared" si="11"/>
        <v>-100000</v>
      </c>
      <c r="W85" s="542">
        <f t="shared" si="11"/>
        <v>-100000</v>
      </c>
      <c r="X85" s="542">
        <f t="shared" si="11"/>
        <v>-100000</v>
      </c>
    </row>
    <row r="86" spans="1:25">
      <c r="A86" s="88"/>
      <c r="B86" s="30"/>
      <c r="C86" s="89"/>
      <c r="D86" s="502"/>
      <c r="E86" s="504"/>
      <c r="F86" s="504"/>
      <c r="G86" s="504"/>
      <c r="H86" s="504"/>
      <c r="I86" s="504"/>
      <c r="J86" s="504"/>
      <c r="K86" s="504"/>
      <c r="L86" s="504"/>
      <c r="M86" s="504"/>
      <c r="N86" s="504"/>
      <c r="O86" s="504"/>
      <c r="P86" s="504"/>
      <c r="Q86" s="504"/>
      <c r="R86" s="504"/>
      <c r="S86" s="504"/>
      <c r="T86" s="504"/>
      <c r="U86" s="504"/>
      <c r="V86" s="504"/>
      <c r="W86" s="504"/>
      <c r="X86" s="504"/>
    </row>
    <row r="87" spans="1:25" s="96" customFormat="1">
      <c r="A87" s="605" t="s">
        <v>164</v>
      </c>
      <c r="B87" s="606"/>
      <c r="C87" s="356"/>
      <c r="D87" s="502"/>
      <c r="E87" s="504"/>
      <c r="F87" s="504"/>
      <c r="G87" s="504"/>
      <c r="H87" s="504"/>
      <c r="I87" s="504"/>
      <c r="J87" s="504"/>
      <c r="K87" s="504"/>
      <c r="L87" s="504"/>
      <c r="M87" s="504"/>
      <c r="N87" s="504"/>
      <c r="O87" s="504"/>
      <c r="P87" s="504"/>
      <c r="Q87" s="504"/>
      <c r="R87" s="504"/>
      <c r="S87" s="504"/>
      <c r="T87" s="504"/>
      <c r="U87" s="504"/>
      <c r="V87" s="504"/>
      <c r="W87" s="504"/>
      <c r="X87" s="504"/>
    </row>
    <row r="88" spans="1:25" s="96" customFormat="1">
      <c r="A88" s="90" t="str">
        <f>'BH Tariffs'!A31</f>
        <v>Dock Rent (6 Months Only)</v>
      </c>
      <c r="B88" s="606"/>
      <c r="C88" s="356"/>
      <c r="D88" s="502">
        <v>0</v>
      </c>
      <c r="E88" s="504">
        <v>0</v>
      </c>
      <c r="F88" s="504">
        <f>'BH Tariffs'!E31*6</f>
        <v>12240</v>
      </c>
      <c r="G88" s="504">
        <f>'BH Tariffs'!F31*6</f>
        <v>12484.800000000001</v>
      </c>
      <c r="H88" s="504">
        <f>'BH Tariffs'!G31*6</f>
        <v>12734.495999999999</v>
      </c>
      <c r="I88" s="504">
        <f>'BH Tariffs'!H31*6</f>
        <v>12989.18592</v>
      </c>
      <c r="J88" s="504">
        <f>'BH Tariffs'!I31*6</f>
        <v>13248.9696384</v>
      </c>
      <c r="K88" s="504">
        <f>'BH Tariffs'!J31*6</f>
        <v>13513.949031168002</v>
      </c>
      <c r="L88" s="504">
        <f>'BH Tariffs'!K31*6</f>
        <v>13784.228011791361</v>
      </c>
      <c r="M88" s="504">
        <f>'BH Tariffs'!L31*6</f>
        <v>14059.912572027188</v>
      </c>
      <c r="N88" s="504">
        <f>'BH Tariffs'!M31*6</f>
        <v>14341.110823467734</v>
      </c>
      <c r="O88" s="504">
        <f>'BH Tariffs'!N31*6</f>
        <v>14627.933039937088</v>
      </c>
      <c r="P88" s="504">
        <f>'BH Tariffs'!O31*6</f>
        <v>14920.491700735829</v>
      </c>
      <c r="Q88" s="504">
        <f>'BH Tariffs'!P31*6</f>
        <v>15218.901534750545</v>
      </c>
      <c r="R88" s="504">
        <f>'BH Tariffs'!Q31*6</f>
        <v>15523.279565445555</v>
      </c>
      <c r="S88" s="504">
        <f>'BH Tariffs'!R31*6</f>
        <v>15833.745156754467</v>
      </c>
      <c r="T88" s="504">
        <f>'BH Tariffs'!S31*6</f>
        <v>16150.420059889559</v>
      </c>
      <c r="U88" s="504">
        <f>'BH Tariffs'!T31*6</f>
        <v>16473.428461087351</v>
      </c>
      <c r="V88" s="504">
        <f>'BH Tariffs'!U31*6</f>
        <v>16802.897030309097</v>
      </c>
      <c r="W88" s="504">
        <f>'BH Tariffs'!V31*6</f>
        <v>17138.954970915282</v>
      </c>
      <c r="X88" s="504">
        <f>'BH Tariffs'!W31*6</f>
        <v>17481.734070333587</v>
      </c>
    </row>
    <row r="89" spans="1:25" s="96" customFormat="1">
      <c r="A89" s="90"/>
      <c r="B89" s="606"/>
      <c r="C89" s="356"/>
      <c r="D89" s="502"/>
      <c r="E89" s="504"/>
      <c r="F89" s="504"/>
      <c r="G89" s="504"/>
      <c r="H89" s="504"/>
      <c r="I89" s="504"/>
      <c r="J89" s="504"/>
      <c r="K89" s="504"/>
      <c r="L89" s="504"/>
      <c r="M89" s="504"/>
      <c r="N89" s="504"/>
      <c r="O89" s="504"/>
      <c r="P89" s="504"/>
      <c r="Q89" s="504"/>
      <c r="R89" s="504"/>
      <c r="S89" s="504"/>
      <c r="T89" s="504"/>
      <c r="U89" s="504"/>
      <c r="V89" s="504"/>
      <c r="W89" s="504"/>
      <c r="X89" s="504"/>
    </row>
    <row r="90" spans="1:25" s="582" customFormat="1" ht="14.25">
      <c r="A90" s="605" t="str">
        <f>'BH Tariffs'!A33</f>
        <v>Recreational/Commercial Marina</v>
      </c>
      <c r="B90" s="607"/>
      <c r="C90" s="608"/>
      <c r="D90" s="537"/>
      <c r="E90" s="538"/>
      <c r="F90" s="538"/>
      <c r="G90" s="538"/>
      <c r="H90" s="538"/>
      <c r="I90" s="538"/>
      <c r="J90" s="538"/>
      <c r="K90" s="538"/>
      <c r="L90" s="538"/>
      <c r="M90" s="538"/>
      <c r="N90" s="538"/>
      <c r="O90" s="538"/>
      <c r="P90" s="538"/>
      <c r="Q90" s="538"/>
      <c r="R90" s="538"/>
      <c r="S90" s="538"/>
      <c r="T90" s="538"/>
      <c r="U90" s="538"/>
      <c r="V90" s="538"/>
      <c r="W90" s="538"/>
      <c r="X90" s="538"/>
    </row>
    <row r="91" spans="1:25" s="96" customFormat="1">
      <c r="A91" s="90" t="str">
        <f>'BH Tariffs'!A34</f>
        <v>Transient Slip Rent</v>
      </c>
      <c r="B91" s="606"/>
      <c r="C91" s="356"/>
      <c r="D91" s="502">
        <v>0</v>
      </c>
      <c r="E91" s="504">
        <v>0</v>
      </c>
      <c r="F91" s="504">
        <f>'BH Tariffs'!E34*'P&amp;L - Concept C2 - RCCL'!F57</f>
        <v>77174.172984375007</v>
      </c>
      <c r="G91" s="504">
        <f>'BH Tariffs'!F34*'P&amp;L - Concept C2 - RCCL'!G57</f>
        <v>78717.656444062508</v>
      </c>
      <c r="H91" s="504">
        <f>'BH Tariffs'!G34*'P&amp;L - Concept C2 - RCCL'!H57</f>
        <v>80292.009572943745</v>
      </c>
      <c r="I91" s="504">
        <f>'BH Tariffs'!H34*'P&amp;L - Concept C2 - RCCL'!I57</f>
        <v>81897.849764402621</v>
      </c>
      <c r="J91" s="504">
        <f>'BH Tariffs'!I34*'P&amp;L - Concept C2 - RCCL'!J57</f>
        <v>83535.806759690691</v>
      </c>
      <c r="K91" s="504">
        <f>'BH Tariffs'!J34*'P&amp;L - Concept C2 - RCCL'!K57</f>
        <v>85206.522894884503</v>
      </c>
      <c r="L91" s="504">
        <f>'BH Tariffs'!K34*'P&amp;L - Concept C2 - RCCL'!L57</f>
        <v>86910.653352782188</v>
      </c>
      <c r="M91" s="504">
        <f>'BH Tariffs'!L34*'P&amp;L - Concept C2 - RCCL'!M57</f>
        <v>88648.866419837854</v>
      </c>
      <c r="N91" s="504">
        <f>'BH Tariffs'!M34*'P&amp;L - Concept C2 - RCCL'!N57</f>
        <v>90421.843748234591</v>
      </c>
      <c r="O91" s="504">
        <f>'BH Tariffs'!N34*'P&amp;L - Concept C2 - RCCL'!O57</f>
        <v>92230.280623199302</v>
      </c>
      <c r="P91" s="504">
        <f>'BH Tariffs'!O34*'P&amp;L - Concept C2 - RCCL'!P57</f>
        <v>94074.886235663274</v>
      </c>
      <c r="Q91" s="504">
        <f>'BH Tariffs'!P34*'P&amp;L - Concept C2 - RCCL'!Q57</f>
        <v>95956.383960376537</v>
      </c>
      <c r="R91" s="504">
        <f>'BH Tariffs'!Q34*'P&amp;L - Concept C2 - RCCL'!R57</f>
        <v>97875.511639584074</v>
      </c>
      <c r="S91" s="504">
        <f>'BH Tariffs'!R34*'P&amp;L - Concept C2 - RCCL'!S57</f>
        <v>99833.021872375757</v>
      </c>
      <c r="T91" s="504">
        <f>'BH Tariffs'!S34*'P&amp;L - Concept C2 - RCCL'!T57</f>
        <v>101829.68230982329</v>
      </c>
      <c r="U91" s="504">
        <f>'BH Tariffs'!T34*'P&amp;L - Concept C2 - RCCL'!U57</f>
        <v>103866.27595601974</v>
      </c>
      <c r="V91" s="504">
        <f>'BH Tariffs'!U34*'P&amp;L - Concept C2 - RCCL'!V57</f>
        <v>105943.60147514015</v>
      </c>
      <c r="W91" s="504">
        <f>'BH Tariffs'!V34*'P&amp;L - Concept C2 - RCCL'!W57</f>
        <v>108062.47350464296</v>
      </c>
      <c r="X91" s="504">
        <f>'BH Tariffs'!W34*'P&amp;L - Concept C2 - RCCL'!X57</f>
        <v>110223.72297473581</v>
      </c>
    </row>
    <row r="92" spans="1:25" s="96" customFormat="1">
      <c r="A92" s="90" t="s">
        <v>280</v>
      </c>
      <c r="B92" s="606"/>
      <c r="C92" s="356"/>
      <c r="D92" s="502">
        <v>0</v>
      </c>
      <c r="E92" s="504">
        <v>0</v>
      </c>
      <c r="F92" s="504">
        <f>'BH Tariffs'!E35*'P&amp;L - Concept C2 - RCCL'!F58</f>
        <v>121788.76500000001</v>
      </c>
      <c r="G92" s="504">
        <f>'BH Tariffs'!F35*'P&amp;L - Concept C2 - RCCL'!G58</f>
        <v>124224.54030000001</v>
      </c>
      <c r="H92" s="504">
        <f>'BH Tariffs'!G35*'P&amp;L - Concept C2 - RCCL'!H58</f>
        <v>126709.03110600001</v>
      </c>
      <c r="I92" s="504">
        <f>'BH Tariffs'!H35*'P&amp;L - Concept C2 - RCCL'!I58</f>
        <v>129243.21172812</v>
      </c>
      <c r="J92" s="504">
        <f>'BH Tariffs'!I35*'P&amp;L - Concept C2 - RCCL'!J58</f>
        <v>131828.0759626824</v>
      </c>
      <c r="K92" s="504">
        <f>'BH Tariffs'!J35*'P&amp;L - Concept C2 - RCCL'!K58</f>
        <v>134464.63748193608</v>
      </c>
      <c r="L92" s="504">
        <f>'BH Tariffs'!K35*'P&amp;L - Concept C2 - RCCL'!L58</f>
        <v>137153.93023157478</v>
      </c>
      <c r="M92" s="504">
        <f>'BH Tariffs'!L35*'P&amp;L - Concept C2 - RCCL'!M58</f>
        <v>139897.00883620628</v>
      </c>
      <c r="N92" s="504">
        <f>'BH Tariffs'!M35*'P&amp;L - Concept C2 - RCCL'!N58</f>
        <v>142694.94901293042</v>
      </c>
      <c r="O92" s="504">
        <f>'BH Tariffs'!N35*'P&amp;L - Concept C2 - RCCL'!O58</f>
        <v>145548.84799318903</v>
      </c>
      <c r="P92" s="504">
        <f>'BH Tariffs'!O35*'P&amp;L - Concept C2 - RCCL'!P58</f>
        <v>148459.8249530528</v>
      </c>
      <c r="Q92" s="504">
        <f>'BH Tariffs'!P35*'P&amp;L - Concept C2 - RCCL'!Q58</f>
        <v>151429.02145211384</v>
      </c>
      <c r="R92" s="504">
        <f>'BH Tariffs'!Q35*'P&amp;L - Concept C2 - RCCL'!R58</f>
        <v>154457.60188115612</v>
      </c>
      <c r="S92" s="504">
        <f>'BH Tariffs'!R35*'P&amp;L - Concept C2 - RCCL'!S58</f>
        <v>157546.75391877926</v>
      </c>
      <c r="T92" s="504">
        <f>'BH Tariffs'!S35*'P&amp;L - Concept C2 - RCCL'!T58</f>
        <v>160697.68899715485</v>
      </c>
      <c r="U92" s="504">
        <f>'BH Tariffs'!T35*'P&amp;L - Concept C2 - RCCL'!U58</f>
        <v>163911.64277709796</v>
      </c>
      <c r="V92" s="504">
        <f>'BH Tariffs'!U35*'P&amp;L - Concept C2 - RCCL'!V58</f>
        <v>167189.87563263992</v>
      </c>
      <c r="W92" s="504">
        <f>'BH Tariffs'!V35*'P&amp;L - Concept C2 - RCCL'!W58</f>
        <v>170533.67314529276</v>
      </c>
      <c r="X92" s="504">
        <f>'BH Tariffs'!W35*'P&amp;L - Concept C2 - RCCL'!X58</f>
        <v>173944.3466081986</v>
      </c>
    </row>
    <row r="93" spans="1:25" s="167" customFormat="1">
      <c r="A93" s="539" t="str">
        <f>'BH Tariffs'!A36</f>
        <v>Water/Sewer</v>
      </c>
      <c r="B93" s="609"/>
      <c r="C93" s="540"/>
      <c r="D93" s="541">
        <v>0</v>
      </c>
      <c r="E93" s="542">
        <v>0</v>
      </c>
      <c r="F93" s="542">
        <v>0</v>
      </c>
      <c r="G93" s="542">
        <v>0</v>
      </c>
      <c r="H93" s="542">
        <v>0</v>
      </c>
      <c r="I93" s="542">
        <v>0</v>
      </c>
      <c r="J93" s="542">
        <v>0</v>
      </c>
      <c r="K93" s="542">
        <v>0</v>
      </c>
      <c r="L93" s="542">
        <v>0</v>
      </c>
      <c r="M93" s="542">
        <v>0</v>
      </c>
      <c r="N93" s="542">
        <v>0</v>
      </c>
      <c r="O93" s="542">
        <v>0</v>
      </c>
      <c r="P93" s="542">
        <v>0</v>
      </c>
      <c r="Q93" s="542">
        <v>0</v>
      </c>
      <c r="R93" s="542">
        <v>0</v>
      </c>
      <c r="S93" s="542">
        <v>0</v>
      </c>
      <c r="T93" s="542">
        <v>0</v>
      </c>
      <c r="U93" s="542">
        <v>0</v>
      </c>
      <c r="V93" s="542">
        <v>0</v>
      </c>
      <c r="W93" s="542">
        <v>0</v>
      </c>
      <c r="X93" s="542">
        <v>0</v>
      </c>
      <c r="Y93" s="167" t="s">
        <v>282</v>
      </c>
    </row>
    <row r="94" spans="1:25" s="167" customFormat="1">
      <c r="A94" s="539" t="str">
        <f>'BH Tariffs'!A37</f>
        <v xml:space="preserve">Power (Electricity) </v>
      </c>
      <c r="B94" s="609"/>
      <c r="C94" s="540"/>
      <c r="D94" s="541">
        <v>0</v>
      </c>
      <c r="E94" s="542">
        <v>0</v>
      </c>
      <c r="F94" s="542">
        <v>0</v>
      </c>
      <c r="G94" s="542">
        <v>0</v>
      </c>
      <c r="H94" s="542">
        <v>0</v>
      </c>
      <c r="I94" s="542">
        <v>0</v>
      </c>
      <c r="J94" s="542">
        <v>0</v>
      </c>
      <c r="K94" s="542">
        <v>0</v>
      </c>
      <c r="L94" s="542">
        <v>0</v>
      </c>
      <c r="M94" s="542">
        <v>0</v>
      </c>
      <c r="N94" s="542">
        <v>0</v>
      </c>
      <c r="O94" s="542">
        <v>0</v>
      </c>
      <c r="P94" s="542">
        <v>0</v>
      </c>
      <c r="Q94" s="542">
        <v>0</v>
      </c>
      <c r="R94" s="542">
        <v>0</v>
      </c>
      <c r="S94" s="542">
        <v>0</v>
      </c>
      <c r="T94" s="542">
        <v>0</v>
      </c>
      <c r="U94" s="542">
        <v>0</v>
      </c>
      <c r="V94" s="542">
        <v>0</v>
      </c>
      <c r="W94" s="542">
        <v>0</v>
      </c>
      <c r="X94" s="542">
        <v>0</v>
      </c>
      <c r="Y94" s="167" t="s">
        <v>282</v>
      </c>
    </row>
    <row r="95" spans="1:25" s="96" customFormat="1">
      <c r="A95" s="90" t="s">
        <v>526</v>
      </c>
      <c r="B95" s="606"/>
      <c r="C95" s="356"/>
      <c r="D95" s="502">
        <v>0</v>
      </c>
      <c r="E95" s="504">
        <v>0</v>
      </c>
      <c r="F95" s="504">
        <f>'BH Tariffs'!E38*'P&amp;L - Concept C2 - RCCL'!F56</f>
        <v>20000</v>
      </c>
      <c r="G95" s="504">
        <f>'BH Tariffs'!F38*'P&amp;L - Concept C2 - RCCL'!G56</f>
        <v>20400</v>
      </c>
      <c r="H95" s="504">
        <f>'BH Tariffs'!G38*'P&amp;L - Concept C2 - RCCL'!H56</f>
        <v>20808</v>
      </c>
      <c r="I95" s="504">
        <f>'BH Tariffs'!H38*'P&amp;L - Concept C2 - RCCL'!I56</f>
        <v>21224.16</v>
      </c>
      <c r="J95" s="504">
        <f>'BH Tariffs'!I38*'P&amp;L - Concept C2 - RCCL'!J56</f>
        <v>21648.643199999999</v>
      </c>
      <c r="K95" s="504">
        <f>'BH Tariffs'!J38*'P&amp;L - Concept C2 - RCCL'!K56</f>
        <v>22081.616064000002</v>
      </c>
      <c r="L95" s="504">
        <f>'BH Tariffs'!K38*'P&amp;L - Concept C2 - RCCL'!L56</f>
        <v>22523.24838528</v>
      </c>
      <c r="M95" s="504">
        <f>'BH Tariffs'!L38*'P&amp;L - Concept C2 - RCCL'!M56</f>
        <v>22973.7133529856</v>
      </c>
      <c r="N95" s="504">
        <f>'BH Tariffs'!M38*'P&amp;L - Concept C2 - RCCL'!N56</f>
        <v>23433.187620045315</v>
      </c>
      <c r="O95" s="504">
        <f>'BH Tariffs'!N38*'P&amp;L - Concept C2 - RCCL'!O56</f>
        <v>23901.851372446221</v>
      </c>
      <c r="P95" s="504">
        <f>'BH Tariffs'!O38*'P&amp;L - Concept C2 - RCCL'!P56</f>
        <v>24379.888399895146</v>
      </c>
      <c r="Q95" s="504">
        <f>'BH Tariffs'!P38*'P&amp;L - Concept C2 - RCCL'!Q56</f>
        <v>24867.48616789305</v>
      </c>
      <c r="R95" s="504">
        <f>'BH Tariffs'!Q38*'P&amp;L - Concept C2 - RCCL'!R56</f>
        <v>25364.83589125091</v>
      </c>
      <c r="S95" s="504">
        <f>'BH Tariffs'!R38*'P&amp;L - Concept C2 - RCCL'!S56</f>
        <v>25872.132609075925</v>
      </c>
      <c r="T95" s="504">
        <f>'BH Tariffs'!S38*'P&amp;L - Concept C2 - RCCL'!T56</f>
        <v>26389.575261257447</v>
      </c>
      <c r="U95" s="504">
        <f>'BH Tariffs'!T38*'P&amp;L - Concept C2 - RCCL'!U56</f>
        <v>26917.366766482599</v>
      </c>
      <c r="V95" s="504">
        <f>'BH Tariffs'!U38*'P&amp;L - Concept C2 - RCCL'!V56</f>
        <v>27455.714101812249</v>
      </c>
      <c r="W95" s="504">
        <f>'BH Tariffs'!V38*'P&amp;L - Concept C2 - RCCL'!W56</f>
        <v>28004.828383848497</v>
      </c>
      <c r="X95" s="504">
        <f>'BH Tariffs'!W38*'P&amp;L - Concept C2 - RCCL'!X56</f>
        <v>28564.924951525467</v>
      </c>
    </row>
    <row r="96" spans="1:25">
      <c r="A96" s="88"/>
      <c r="B96" s="30"/>
      <c r="C96" s="89"/>
      <c r="D96" s="502"/>
      <c r="E96" s="504"/>
      <c r="F96" s="504"/>
      <c r="G96" s="504"/>
      <c r="H96" s="504"/>
      <c r="I96" s="504"/>
      <c r="J96" s="504"/>
      <c r="K96" s="504"/>
      <c r="L96" s="504"/>
      <c r="M96" s="504"/>
      <c r="N96" s="504"/>
      <c r="O96" s="504"/>
      <c r="P96" s="504"/>
      <c r="Q96" s="504"/>
      <c r="R96" s="504"/>
      <c r="S96" s="504"/>
      <c r="T96" s="504"/>
      <c r="U96" s="504"/>
      <c r="V96" s="504"/>
      <c r="W96" s="504"/>
      <c r="X96" s="504"/>
    </row>
    <row r="97" spans="1:24">
      <c r="A97" s="91" t="s">
        <v>26</v>
      </c>
      <c r="B97" s="30"/>
      <c r="C97" s="89"/>
      <c r="D97" s="502"/>
      <c r="E97" s="504"/>
      <c r="F97" s="504"/>
      <c r="G97" s="504"/>
      <c r="H97" s="504"/>
      <c r="I97" s="504"/>
      <c r="J97" s="504"/>
      <c r="K97" s="504"/>
      <c r="L97" s="504"/>
      <c r="M97" s="504"/>
      <c r="N97" s="504"/>
      <c r="O97" s="504"/>
      <c r="P97" s="504"/>
      <c r="Q97" s="504"/>
      <c r="R97" s="504"/>
      <c r="S97" s="504"/>
      <c r="T97" s="504"/>
      <c r="U97" s="504"/>
      <c r="V97" s="504"/>
      <c r="W97" s="504"/>
      <c r="X97" s="504"/>
    </row>
    <row r="98" spans="1:24" s="341" customFormat="1">
      <c r="A98" s="353" t="s">
        <v>214</v>
      </c>
      <c r="B98" s="354"/>
      <c r="C98" s="355"/>
      <c r="D98" s="548">
        <v>0</v>
      </c>
      <c r="E98" s="503">
        <v>0</v>
      </c>
      <c r="F98" s="503">
        <v>0</v>
      </c>
      <c r="G98" s="503">
        <v>0</v>
      </c>
      <c r="H98" s="503">
        <v>0</v>
      </c>
      <c r="I98" s="503">
        <v>0</v>
      </c>
      <c r="J98" s="503">
        <v>0</v>
      </c>
      <c r="K98" s="503">
        <v>0</v>
      </c>
      <c r="L98" s="503">
        <v>0</v>
      </c>
      <c r="M98" s="503">
        <v>0</v>
      </c>
      <c r="N98" s="503">
        <v>0</v>
      </c>
      <c r="O98" s="503">
        <v>0</v>
      </c>
      <c r="P98" s="503">
        <v>0</v>
      </c>
      <c r="Q98" s="503">
        <v>0</v>
      </c>
      <c r="R98" s="503">
        <v>0</v>
      </c>
      <c r="S98" s="503">
        <v>0</v>
      </c>
      <c r="T98" s="503">
        <v>0</v>
      </c>
      <c r="U98" s="503">
        <v>0</v>
      </c>
      <c r="V98" s="503">
        <v>0</v>
      </c>
      <c r="W98" s="503">
        <v>0</v>
      </c>
      <c r="X98" s="503">
        <v>0</v>
      </c>
    </row>
    <row r="99" spans="1:24">
      <c r="A99" s="88" t="s">
        <v>215</v>
      </c>
      <c r="B99" s="30"/>
      <c r="C99" s="89"/>
      <c r="D99" s="502">
        <v>0</v>
      </c>
      <c r="E99" s="504">
        <f>'BH Tariffs'!D43*'Parking Projections'!C90</f>
        <v>0</v>
      </c>
      <c r="F99" s="504">
        <f>'BH Tariffs'!E43*'Parking Projections'!D90</f>
        <v>0</v>
      </c>
      <c r="G99" s="504">
        <f>'BH Tariffs'!F43*'Parking Projections'!E90</f>
        <v>0</v>
      </c>
      <c r="H99" s="504">
        <f>'BH Tariffs'!G43*'Parking Projections'!F90</f>
        <v>0</v>
      </c>
      <c r="I99" s="504">
        <f>'BH Tariffs'!H43*'Parking Projections'!G90</f>
        <v>0</v>
      </c>
      <c r="J99" s="504">
        <f>'BH Tariffs'!I43*'Parking Projections'!H90</f>
        <v>216287.84722222219</v>
      </c>
      <c r="K99" s="504">
        <f>'BH Tariffs'!J43*'Parking Projections'!I90</f>
        <v>216287.84722222219</v>
      </c>
      <c r="L99" s="504">
        <f>'BH Tariffs'!K43*'Parking Projections'!J90</f>
        <v>216287.84722222219</v>
      </c>
      <c r="M99" s="504">
        <f>'BH Tariffs'!L43*'Parking Projections'!K90</f>
        <v>216287.84722222219</v>
      </c>
      <c r="N99" s="504">
        <f>'BH Tariffs'!M43*'Parking Projections'!L90</f>
        <v>216287.84722222219</v>
      </c>
      <c r="O99" s="504">
        <f>'BH Tariffs'!N43*'Parking Projections'!M90</f>
        <v>270359.80902777775</v>
      </c>
      <c r="P99" s="504">
        <f>'BH Tariffs'!O43*'Parking Projections'!N90</f>
        <v>270359.80902777775</v>
      </c>
      <c r="Q99" s="504">
        <f>'BH Tariffs'!P43*'Parking Projections'!O90</f>
        <v>270359.80902777775</v>
      </c>
      <c r="R99" s="504">
        <f>'BH Tariffs'!Q43*'Parking Projections'!P90</f>
        <v>270359.80902777775</v>
      </c>
      <c r="S99" s="504">
        <f>'BH Tariffs'!R43*'Parking Projections'!Q90</f>
        <v>270359.80902777775</v>
      </c>
      <c r="T99" s="504">
        <f>'BH Tariffs'!S43*'Parking Projections'!R90</f>
        <v>324431.77083333326</v>
      </c>
      <c r="U99" s="504">
        <f>'BH Tariffs'!T43*'Parking Projections'!S90</f>
        <v>324431.77083333326</v>
      </c>
      <c r="V99" s="504">
        <f>'BH Tariffs'!U43*'Parking Projections'!T90</f>
        <v>324431.77083333326</v>
      </c>
      <c r="W99" s="504">
        <f>'BH Tariffs'!V43*'Parking Projections'!U90</f>
        <v>324431.77083333326</v>
      </c>
      <c r="X99" s="504">
        <f>'BH Tariffs'!W43*'Parking Projections'!V90</f>
        <v>324431.77083333326</v>
      </c>
    </row>
    <row r="100" spans="1:24">
      <c r="A100" s="91"/>
      <c r="B100" s="30"/>
      <c r="C100" s="89"/>
      <c r="D100" s="502"/>
      <c r="E100" s="504"/>
      <c r="F100" s="504"/>
      <c r="G100" s="504"/>
      <c r="H100" s="504"/>
      <c r="I100" s="504"/>
      <c r="J100" s="504"/>
      <c r="K100" s="504"/>
      <c r="L100" s="504"/>
      <c r="M100" s="504"/>
      <c r="N100" s="504"/>
      <c r="O100" s="504"/>
      <c r="P100" s="504"/>
      <c r="Q100" s="504"/>
      <c r="R100" s="504"/>
      <c r="S100" s="504"/>
      <c r="T100" s="504"/>
      <c r="U100" s="504"/>
      <c r="V100" s="504"/>
      <c r="W100" s="504"/>
      <c r="X100" s="504"/>
    </row>
    <row r="101" spans="1:24">
      <c r="A101" s="91" t="s">
        <v>2</v>
      </c>
      <c r="B101" s="30"/>
      <c r="C101" s="89"/>
      <c r="D101" s="502"/>
      <c r="E101" s="504"/>
      <c r="F101" s="504"/>
      <c r="G101" s="504"/>
      <c r="H101" s="504"/>
      <c r="I101" s="504"/>
      <c r="J101" s="504"/>
      <c r="K101" s="504"/>
      <c r="L101" s="504"/>
      <c r="M101" s="504"/>
      <c r="N101" s="504"/>
      <c r="O101" s="504"/>
      <c r="P101" s="504"/>
      <c r="Q101" s="504"/>
      <c r="R101" s="504"/>
      <c r="S101" s="504"/>
      <c r="T101" s="504"/>
      <c r="U101" s="504"/>
      <c r="V101" s="504"/>
      <c r="W101" s="504"/>
      <c r="X101" s="504"/>
    </row>
    <row r="102" spans="1:24">
      <c r="A102" s="88" t="str">
        <f>'BH Tariffs'!A44</f>
        <v>Commerical Rent (Seasonal Kiosk(s)/Vendor(s))</v>
      </c>
      <c r="B102" s="30"/>
      <c r="C102" s="89"/>
      <c r="D102" s="502">
        <v>0</v>
      </c>
      <c r="E102" s="504">
        <f>'BH Tariffs'!D44*'P&amp;L - Concept C2 - RCCL'!E63</f>
        <v>0</v>
      </c>
      <c r="F102" s="504">
        <f>'BH Tariffs'!E44*'P&amp;L - Concept C2 - RCCL'!F63</f>
        <v>0</v>
      </c>
      <c r="G102" s="504">
        <f>'BH Tariffs'!F44*'P&amp;L - Concept C2 - RCCL'!G63*6</f>
        <v>6242.4000000000005</v>
      </c>
      <c r="H102" s="504">
        <f>'BH Tariffs'!G44*'P&amp;L - Concept C2 - RCCL'!H63*6</f>
        <v>6367.2479999999996</v>
      </c>
      <c r="I102" s="504">
        <f>'BH Tariffs'!H44*'P&amp;L - Concept C2 - RCCL'!I63*6</f>
        <v>6494.5929599999999</v>
      </c>
      <c r="J102" s="504">
        <f>'BH Tariffs'!I44*'P&amp;L - Concept C2 - RCCL'!J63*6</f>
        <v>6624.4848191999999</v>
      </c>
      <c r="K102" s="504">
        <f>'BH Tariffs'!J44*'P&amp;L - Concept C2 - RCCL'!K63*6</f>
        <v>6756.974515584001</v>
      </c>
      <c r="L102" s="504">
        <f>'BH Tariffs'!K44*'P&amp;L - Concept C2 - RCCL'!L63*6</f>
        <v>6892.1140058956807</v>
      </c>
      <c r="M102" s="504">
        <f>'BH Tariffs'!L44*'P&amp;L - Concept C2 - RCCL'!M63*6</f>
        <v>7029.9562860135939</v>
      </c>
      <c r="N102" s="504">
        <f>'BH Tariffs'!M44*'P&amp;L - Concept C2 - RCCL'!N63*6</f>
        <v>7170.555411733867</v>
      </c>
      <c r="O102" s="504">
        <f>'BH Tariffs'!N44*'P&amp;L - Concept C2 - RCCL'!O63*6</f>
        <v>7313.9665199685442</v>
      </c>
      <c r="P102" s="504">
        <f>'BH Tariffs'!O44*'P&amp;L - Concept C2 - RCCL'!P63*6</f>
        <v>7460.2458503679145</v>
      </c>
      <c r="Q102" s="504">
        <f>'BH Tariffs'!P44*'P&amp;L - Concept C2 - RCCL'!Q63*6</f>
        <v>7609.4507673752723</v>
      </c>
      <c r="R102" s="504">
        <f>'BH Tariffs'!Q44*'P&amp;L - Concept C2 - RCCL'!R63*6</f>
        <v>7761.6397827227775</v>
      </c>
      <c r="S102" s="504">
        <f>'BH Tariffs'!R44*'P&amp;L - Concept C2 - RCCL'!S63*6</f>
        <v>7916.8725783772334</v>
      </c>
      <c r="T102" s="504">
        <f>'BH Tariffs'!S44*'P&amp;L - Concept C2 - RCCL'!T63*6</f>
        <v>8075.2100299447793</v>
      </c>
      <c r="U102" s="504">
        <f>'BH Tariffs'!T44*'P&amp;L - Concept C2 - RCCL'!U63*6</f>
        <v>8236.7142305436755</v>
      </c>
      <c r="V102" s="504">
        <f>'BH Tariffs'!U44*'P&amp;L - Concept C2 - RCCL'!V63*6</f>
        <v>8401.4485151545487</v>
      </c>
      <c r="W102" s="504">
        <f>'BH Tariffs'!V44*'P&amp;L - Concept C2 - RCCL'!W63*6</f>
        <v>8569.4774854576408</v>
      </c>
      <c r="X102" s="504">
        <f>'BH Tariffs'!W44*'P&amp;L - Concept C2 - RCCL'!X63*6</f>
        <v>8740.8670351667934</v>
      </c>
    </row>
    <row r="103" spans="1:24" s="96" customFormat="1">
      <c r="A103" s="90" t="s">
        <v>541</v>
      </c>
      <c r="B103" s="606"/>
      <c r="C103" s="356"/>
      <c r="D103" s="502">
        <v>0</v>
      </c>
      <c r="E103" s="504">
        <v>0</v>
      </c>
      <c r="F103" s="504">
        <v>0</v>
      </c>
      <c r="G103" s="504">
        <f>G64*0.05</f>
        <v>10000</v>
      </c>
      <c r="H103" s="504">
        <f t="shared" ref="H103:X103" si="12">H64*0.05</f>
        <v>10000</v>
      </c>
      <c r="I103" s="504">
        <f t="shared" si="12"/>
        <v>10000</v>
      </c>
      <c r="J103" s="504">
        <f t="shared" si="12"/>
        <v>10000</v>
      </c>
      <c r="K103" s="504">
        <f t="shared" si="12"/>
        <v>10000</v>
      </c>
      <c r="L103" s="504">
        <f t="shared" si="12"/>
        <v>10000</v>
      </c>
      <c r="M103" s="504">
        <f t="shared" si="12"/>
        <v>10000</v>
      </c>
      <c r="N103" s="504">
        <f t="shared" si="12"/>
        <v>10000</v>
      </c>
      <c r="O103" s="504">
        <f t="shared" si="12"/>
        <v>10000</v>
      </c>
      <c r="P103" s="504">
        <f t="shared" si="12"/>
        <v>10000</v>
      </c>
      <c r="Q103" s="504">
        <f t="shared" si="12"/>
        <v>10000</v>
      </c>
      <c r="R103" s="504">
        <f t="shared" si="12"/>
        <v>10000</v>
      </c>
      <c r="S103" s="504">
        <f t="shared" si="12"/>
        <v>10000</v>
      </c>
      <c r="T103" s="504">
        <f t="shared" si="12"/>
        <v>10000</v>
      </c>
      <c r="U103" s="504">
        <f t="shared" si="12"/>
        <v>10000</v>
      </c>
      <c r="V103" s="504">
        <f t="shared" si="12"/>
        <v>10000</v>
      </c>
      <c r="W103" s="504">
        <f t="shared" si="12"/>
        <v>10000</v>
      </c>
      <c r="X103" s="504">
        <f t="shared" si="12"/>
        <v>10000</v>
      </c>
    </row>
    <row r="104" spans="1:24">
      <c r="A104" s="88" t="str">
        <f>'BH Tariffs'!A45</f>
        <v>Motorcoach Access/Tour Operator Licenses</v>
      </c>
      <c r="B104" s="30"/>
      <c r="C104" s="89"/>
      <c r="D104" s="502">
        <v>0</v>
      </c>
      <c r="E104" s="504">
        <v>0</v>
      </c>
      <c r="F104" s="504">
        <f>'BH Tariffs'!E45*'P&amp;L - Concept C2 - RCCL'!F66</f>
        <v>3060</v>
      </c>
      <c r="G104" s="504">
        <f>'BH Tariffs'!F45*'P&amp;L - Concept C2 - RCCL'!G66</f>
        <v>3121.2000000000003</v>
      </c>
      <c r="H104" s="504">
        <f>'BH Tariffs'!G45*'P&amp;L - Concept C2 - RCCL'!H66</f>
        <v>3183.6239999999998</v>
      </c>
      <c r="I104" s="504">
        <f>'BH Tariffs'!H45*'P&amp;L - Concept C2 - RCCL'!I66</f>
        <v>3247.29648</v>
      </c>
      <c r="J104" s="504">
        <f>'BH Tariffs'!I45*'P&amp;L - Concept C2 - RCCL'!J66</f>
        <v>3312.2424096</v>
      </c>
      <c r="K104" s="504">
        <f>'BH Tariffs'!J45*'P&amp;L - Concept C2 - RCCL'!K66</f>
        <v>3378.4872577920005</v>
      </c>
      <c r="L104" s="504">
        <f>'BH Tariffs'!K45*'P&amp;L - Concept C2 - RCCL'!L66</f>
        <v>3446.0570029478404</v>
      </c>
      <c r="M104" s="504">
        <f>'BH Tariffs'!L45*'P&amp;L - Concept C2 - RCCL'!M66</f>
        <v>3514.9781430067969</v>
      </c>
      <c r="N104" s="504">
        <f>'BH Tariffs'!M45*'P&amp;L - Concept C2 - RCCL'!N66</f>
        <v>3585.2777058669335</v>
      </c>
      <c r="O104" s="504">
        <f>'BH Tariffs'!N45*'P&amp;L - Concept C2 - RCCL'!O66</f>
        <v>3656.9832599842721</v>
      </c>
      <c r="P104" s="504">
        <f>'BH Tariffs'!O45*'P&amp;L - Concept C2 - RCCL'!P66</f>
        <v>3730.1229251839572</v>
      </c>
      <c r="Q104" s="504">
        <f>'BH Tariffs'!P45*'P&amp;L - Concept C2 - RCCL'!Q66</f>
        <v>3804.7253836876362</v>
      </c>
      <c r="R104" s="504">
        <f>'BH Tariffs'!Q45*'P&amp;L - Concept C2 - RCCL'!R66</f>
        <v>3880.8198913613887</v>
      </c>
      <c r="S104" s="504">
        <f>'BH Tariffs'!R45*'P&amp;L - Concept C2 - RCCL'!S66</f>
        <v>3958.4362891886167</v>
      </c>
      <c r="T104" s="504">
        <f>'BH Tariffs'!S45*'P&amp;L - Concept C2 - RCCL'!T66</f>
        <v>4037.6050149723897</v>
      </c>
      <c r="U104" s="504">
        <f>'BH Tariffs'!T45*'P&amp;L - Concept C2 - RCCL'!U66</f>
        <v>4118.3571152718378</v>
      </c>
      <c r="V104" s="504">
        <f>'BH Tariffs'!U45*'P&amp;L - Concept C2 - RCCL'!V66</f>
        <v>4200.7242575772743</v>
      </c>
      <c r="W104" s="504">
        <f>'BH Tariffs'!V45*'P&amp;L - Concept C2 - RCCL'!W66</f>
        <v>4284.7387427288204</v>
      </c>
      <c r="X104" s="504">
        <f>'BH Tariffs'!W45*'P&amp;L - Concept C2 - RCCL'!X66</f>
        <v>4370.4335175833967</v>
      </c>
    </row>
    <row r="105" spans="1:24">
      <c r="A105" s="299" t="s">
        <v>217</v>
      </c>
      <c r="B105" s="299"/>
      <c r="C105" s="299"/>
      <c r="D105" s="505">
        <v>0</v>
      </c>
      <c r="E105" s="506">
        <v>0</v>
      </c>
      <c r="F105" s="506">
        <f>'BH Tariffs'!E46*'P&amp;L - Concept C2 - RCCL'!F65</f>
        <v>500</v>
      </c>
      <c r="G105" s="506">
        <f>'BH Tariffs'!F46*'P&amp;L - Concept C2 - RCCL'!G65</f>
        <v>1000</v>
      </c>
      <c r="H105" s="506">
        <f>'BH Tariffs'!G46*'P&amp;L - Concept C2 - RCCL'!H65</f>
        <v>1000</v>
      </c>
      <c r="I105" s="506">
        <f>'BH Tariffs'!H46*'P&amp;L - Concept C2 - RCCL'!I65</f>
        <v>1000</v>
      </c>
      <c r="J105" s="506">
        <f>'BH Tariffs'!I46*'P&amp;L - Concept C2 - RCCL'!J65</f>
        <v>1650</v>
      </c>
      <c r="K105" s="506">
        <f>'BH Tariffs'!J46*'P&amp;L - Concept C2 - RCCL'!K65</f>
        <v>1650</v>
      </c>
      <c r="L105" s="506">
        <f>'BH Tariffs'!K46*'P&amp;L - Concept C2 - RCCL'!L65</f>
        <v>1650</v>
      </c>
      <c r="M105" s="506">
        <f>'BH Tariffs'!L46*'P&amp;L - Concept C2 - RCCL'!M65</f>
        <v>1650</v>
      </c>
      <c r="N105" s="506">
        <f>'BH Tariffs'!M46*'P&amp;L - Concept C2 - RCCL'!N65</f>
        <v>1650</v>
      </c>
      <c r="O105" s="506">
        <f>'BH Tariffs'!N46*'P&amp;L - Concept C2 - RCCL'!O65</f>
        <v>2400</v>
      </c>
      <c r="P105" s="506">
        <f>'BH Tariffs'!O46*'P&amp;L - Concept C2 - RCCL'!P65</f>
        <v>2400</v>
      </c>
      <c r="Q105" s="506">
        <f>'BH Tariffs'!P46*'P&amp;L - Concept C2 - RCCL'!Q65</f>
        <v>2400</v>
      </c>
      <c r="R105" s="506">
        <f>'BH Tariffs'!Q46*'P&amp;L - Concept C2 - RCCL'!R65</f>
        <v>2400</v>
      </c>
      <c r="S105" s="506">
        <f>'BH Tariffs'!R46*'P&amp;L - Concept C2 - RCCL'!S65</f>
        <v>2400</v>
      </c>
      <c r="T105" s="506">
        <f>'BH Tariffs'!S46*'P&amp;L - Concept C2 - RCCL'!T65</f>
        <v>3250</v>
      </c>
      <c r="U105" s="506">
        <f>'BH Tariffs'!T46*'P&amp;L - Concept C2 - RCCL'!U65</f>
        <v>3250</v>
      </c>
      <c r="V105" s="506">
        <f>'BH Tariffs'!U46*'P&amp;L - Concept C2 - RCCL'!V65</f>
        <v>3250</v>
      </c>
      <c r="W105" s="506">
        <f>'BH Tariffs'!V46*'P&amp;L - Concept C2 - RCCL'!W65</f>
        <v>3250</v>
      </c>
      <c r="X105" s="506">
        <f>'BH Tariffs'!W46*'P&amp;L - Concept C2 - RCCL'!X65</f>
        <v>3250</v>
      </c>
    </row>
    <row r="106" spans="1:24">
      <c r="A106" s="278" t="s">
        <v>145</v>
      </c>
      <c r="D106" s="507">
        <f>SUM(D71:D105)</f>
        <v>0</v>
      </c>
      <c r="E106" s="508">
        <f t="shared" ref="E106:X106" si="13">SUM(E70:E105)</f>
        <v>161800</v>
      </c>
      <c r="F106" s="508">
        <f t="shared" si="13"/>
        <v>1575585.2705736854</v>
      </c>
      <c r="G106" s="508">
        <f t="shared" si="13"/>
        <v>1652149.3759851593</v>
      </c>
      <c r="H106" s="508">
        <f t="shared" si="13"/>
        <v>1686972.3635048624</v>
      </c>
      <c r="I106" s="508">
        <f t="shared" si="13"/>
        <v>1722491.8107749599</v>
      </c>
      <c r="J106" s="508">
        <f t="shared" si="13"/>
        <v>1975659.4942126812</v>
      </c>
      <c r="K106" s="508">
        <f t="shared" si="13"/>
        <v>2012613.9271524898</v>
      </c>
      <c r="L106" s="508">
        <f t="shared" si="13"/>
        <v>2050307.4487510954</v>
      </c>
      <c r="M106" s="508">
        <f t="shared" si="13"/>
        <v>2088754.8407816736</v>
      </c>
      <c r="N106" s="508">
        <f t="shared" si="13"/>
        <v>2127971.1806528619</v>
      </c>
      <c r="O106" s="508">
        <f t="shared" si="13"/>
        <v>2222793.8091270309</v>
      </c>
      <c r="P106" s="508">
        <f t="shared" si="13"/>
        <v>2263594.4891290157</v>
      </c>
      <c r="Q106" s="508">
        <f t="shared" si="13"/>
        <v>2305211.1827310403</v>
      </c>
      <c r="R106" s="508">
        <f t="shared" si="13"/>
        <v>2347660.2102051061</v>
      </c>
      <c r="S106" s="508">
        <f t="shared" si="13"/>
        <v>2390958.2182286526</v>
      </c>
      <c r="T106" s="508">
        <f t="shared" si="13"/>
        <v>2490044.1482182257</v>
      </c>
      <c r="U106" s="508">
        <f t="shared" si="13"/>
        <v>2535091.3957659239</v>
      </c>
      <c r="V106" s="508">
        <f t="shared" si="13"/>
        <v>2581039.5882645752</v>
      </c>
      <c r="W106" s="508">
        <f t="shared" si="13"/>
        <v>2627906.7446132004</v>
      </c>
      <c r="X106" s="508">
        <f t="shared" si="13"/>
        <v>2675711.2440887978</v>
      </c>
    </row>
    <row r="107" spans="1:24">
      <c r="D107" s="507"/>
      <c r="E107" s="413"/>
      <c r="F107" s="413"/>
      <c r="G107" s="413"/>
      <c r="H107" s="413"/>
      <c r="I107" s="413"/>
      <c r="J107" s="413"/>
      <c r="K107" s="413"/>
      <c r="L107" s="413"/>
      <c r="M107" s="413"/>
      <c r="N107" s="413"/>
      <c r="O107" s="413"/>
      <c r="P107" s="413"/>
      <c r="Q107" s="413"/>
      <c r="R107" s="413"/>
      <c r="S107" s="413"/>
      <c r="T107" s="413"/>
      <c r="U107" s="413"/>
      <c r="V107" s="413"/>
      <c r="W107" s="413"/>
      <c r="X107" s="413"/>
    </row>
    <row r="108" spans="1:24">
      <c r="A108" s="271" t="s">
        <v>146</v>
      </c>
      <c r="B108" s="149"/>
      <c r="C108" s="149"/>
      <c r="D108" s="509"/>
      <c r="E108" s="510"/>
      <c r="F108" s="510"/>
      <c r="G108" s="510"/>
      <c r="H108" s="510"/>
      <c r="I108" s="510"/>
      <c r="J108" s="510"/>
      <c r="K108" s="510"/>
      <c r="L108" s="510"/>
      <c r="M108" s="510"/>
      <c r="N108" s="510"/>
      <c r="O108" s="510"/>
      <c r="P108" s="510"/>
      <c r="Q108" s="510"/>
      <c r="R108" s="510"/>
      <c r="S108" s="510"/>
      <c r="T108" s="510"/>
      <c r="U108" s="510"/>
      <c r="V108" s="510"/>
      <c r="W108" s="510"/>
      <c r="X108" s="510"/>
    </row>
    <row r="109" spans="1:24">
      <c r="D109" s="507"/>
      <c r="E109" s="413"/>
      <c r="F109" s="413"/>
      <c r="G109" s="413"/>
      <c r="H109" s="413"/>
      <c r="I109" s="413"/>
      <c r="J109" s="413"/>
      <c r="K109" s="413"/>
      <c r="L109" s="413"/>
      <c r="M109" s="413"/>
      <c r="N109" s="413"/>
      <c r="O109" s="413"/>
      <c r="P109" s="413"/>
      <c r="Q109" s="413"/>
      <c r="R109" s="413"/>
      <c r="S109" s="413"/>
      <c r="T109" s="413"/>
      <c r="U109" s="413"/>
      <c r="V109" s="413"/>
      <c r="W109" s="413"/>
      <c r="X109" s="413"/>
    </row>
    <row r="110" spans="1:24">
      <c r="A110" s="91" t="s">
        <v>380</v>
      </c>
      <c r="B110" s="89"/>
      <c r="C110" s="89"/>
      <c r="D110" s="502"/>
      <c r="E110" s="504"/>
      <c r="F110" s="504"/>
      <c r="G110" s="504"/>
      <c r="H110" s="504"/>
      <c r="I110" s="504"/>
      <c r="J110" s="504"/>
      <c r="K110" s="504"/>
      <c r="L110" s="504"/>
      <c r="M110" s="504"/>
      <c r="N110" s="504"/>
      <c r="O110" s="504"/>
      <c r="P110" s="504"/>
      <c r="Q110" s="504"/>
      <c r="R110" s="504"/>
      <c r="S110" s="504"/>
      <c r="T110" s="504"/>
      <c r="U110" s="504"/>
      <c r="V110" s="504"/>
      <c r="W110" s="504"/>
      <c r="X110" s="504"/>
    </row>
    <row r="111" spans="1:24">
      <c r="A111" s="88" t="s">
        <v>432</v>
      </c>
      <c r="B111" s="89"/>
      <c r="C111" s="89"/>
      <c r="D111" s="502">
        <v>0</v>
      </c>
      <c r="E111" s="504">
        <v>0</v>
      </c>
      <c r="F111" s="504">
        <v>0</v>
      </c>
      <c r="G111" s="504">
        <v>0</v>
      </c>
      <c r="H111" s="504">
        <v>0</v>
      </c>
      <c r="I111" s="504">
        <v>0</v>
      </c>
      <c r="J111" s="504">
        <v>0</v>
      </c>
      <c r="K111" s="504">
        <v>0</v>
      </c>
      <c r="L111" s="504">
        <v>0</v>
      </c>
      <c r="M111" s="504">
        <v>0</v>
      </c>
      <c r="N111" s="504">
        <v>0</v>
      </c>
      <c r="O111" s="504">
        <v>0</v>
      </c>
      <c r="P111" s="504">
        <v>0</v>
      </c>
      <c r="Q111" s="504">
        <v>0</v>
      </c>
      <c r="R111" s="504">
        <v>0</v>
      </c>
      <c r="S111" s="504">
        <v>0</v>
      </c>
      <c r="T111" s="504">
        <v>0</v>
      </c>
      <c r="U111" s="504">
        <v>0</v>
      </c>
      <c r="V111" s="504">
        <v>0</v>
      </c>
      <c r="W111" s="504">
        <v>0</v>
      </c>
      <c r="X111" s="504">
        <v>0</v>
      </c>
    </row>
    <row r="112" spans="1:24">
      <c r="A112" s="88" t="s">
        <v>433</v>
      </c>
      <c r="B112" s="89"/>
      <c r="C112" s="89"/>
      <c r="D112" s="502">
        <v>0</v>
      </c>
      <c r="E112" s="504">
        <v>0</v>
      </c>
      <c r="F112" s="504">
        <v>0</v>
      </c>
      <c r="G112" s="504">
        <v>0</v>
      </c>
      <c r="H112" s="504">
        <v>0</v>
      </c>
      <c r="I112" s="504">
        <v>0</v>
      </c>
      <c r="J112" s="504">
        <v>0</v>
      </c>
      <c r="K112" s="504">
        <v>0</v>
      </c>
      <c r="L112" s="504">
        <v>0</v>
      </c>
      <c r="M112" s="504">
        <v>0</v>
      </c>
      <c r="N112" s="504">
        <v>0</v>
      </c>
      <c r="O112" s="504">
        <v>0</v>
      </c>
      <c r="P112" s="504">
        <v>0</v>
      </c>
      <c r="Q112" s="504">
        <v>0</v>
      </c>
      <c r="R112" s="504">
        <v>0</v>
      </c>
      <c r="S112" s="504">
        <v>0</v>
      </c>
      <c r="T112" s="504">
        <v>0</v>
      </c>
      <c r="U112" s="504">
        <v>0</v>
      </c>
      <c r="V112" s="504">
        <v>0</v>
      </c>
      <c r="W112" s="504">
        <v>0</v>
      </c>
      <c r="X112" s="504">
        <v>0</v>
      </c>
    </row>
    <row r="113" spans="1:27">
      <c r="A113" s="88" t="s">
        <v>434</v>
      </c>
      <c r="B113" s="89"/>
      <c r="C113" s="89"/>
      <c r="D113" s="502">
        <v>0</v>
      </c>
      <c r="E113" s="504">
        <v>0</v>
      </c>
      <c r="F113" s="504">
        <v>0</v>
      </c>
      <c r="G113" s="504">
        <v>0</v>
      </c>
      <c r="H113" s="504">
        <v>0</v>
      </c>
      <c r="I113" s="504">
        <v>0</v>
      </c>
      <c r="J113" s="504">
        <v>0</v>
      </c>
      <c r="K113" s="504">
        <v>0</v>
      </c>
      <c r="L113" s="504">
        <v>0</v>
      </c>
      <c r="M113" s="504">
        <v>0</v>
      </c>
      <c r="N113" s="504">
        <v>0</v>
      </c>
      <c r="O113" s="504">
        <v>0</v>
      </c>
      <c r="P113" s="504">
        <v>0</v>
      </c>
      <c r="Q113" s="504">
        <v>0</v>
      </c>
      <c r="R113" s="504">
        <v>0</v>
      </c>
      <c r="S113" s="504">
        <v>0</v>
      </c>
      <c r="T113" s="504">
        <v>0</v>
      </c>
      <c r="U113" s="504">
        <v>0</v>
      </c>
      <c r="V113" s="504">
        <v>0</v>
      </c>
      <c r="W113" s="504">
        <v>0</v>
      </c>
      <c r="X113" s="504">
        <v>0</v>
      </c>
    </row>
    <row r="114" spans="1:27">
      <c r="A114" s="88" t="s">
        <v>229</v>
      </c>
      <c r="B114" s="30"/>
      <c r="C114" s="89"/>
      <c r="D114" s="502">
        <v>0</v>
      </c>
      <c r="E114" s="504">
        <v>0</v>
      </c>
      <c r="F114" s="504">
        <v>0</v>
      </c>
      <c r="G114" s="504">
        <v>0</v>
      </c>
      <c r="H114" s="504">
        <v>0</v>
      </c>
      <c r="I114" s="504">
        <v>0</v>
      </c>
      <c r="J114" s="504">
        <v>0</v>
      </c>
      <c r="K114" s="504">
        <v>0</v>
      </c>
      <c r="L114" s="504">
        <v>0</v>
      </c>
      <c r="M114" s="504">
        <v>0</v>
      </c>
      <c r="N114" s="504">
        <v>0</v>
      </c>
      <c r="O114" s="504">
        <v>0</v>
      </c>
      <c r="P114" s="504">
        <v>0</v>
      </c>
      <c r="Q114" s="504">
        <v>0</v>
      </c>
      <c r="R114" s="504">
        <v>0</v>
      </c>
      <c r="S114" s="504">
        <v>0</v>
      </c>
      <c r="T114" s="504">
        <v>0</v>
      </c>
      <c r="U114" s="504">
        <v>0</v>
      </c>
      <c r="V114" s="504">
        <v>0</v>
      </c>
      <c r="W114" s="504">
        <v>0</v>
      </c>
      <c r="X114" s="504">
        <v>0</v>
      </c>
    </row>
    <row r="115" spans="1:27" s="32" customFormat="1">
      <c r="A115" s="299" t="s">
        <v>297</v>
      </c>
      <c r="B115" s="299"/>
      <c r="C115" s="299"/>
      <c r="D115" s="505">
        <v>0</v>
      </c>
      <c r="E115" s="506">
        <f t="shared" ref="E115:X115" si="14">E53</f>
        <v>0</v>
      </c>
      <c r="F115" s="506">
        <f t="shared" si="14"/>
        <v>0</v>
      </c>
      <c r="G115" s="506">
        <f t="shared" si="14"/>
        <v>100000</v>
      </c>
      <c r="H115" s="506">
        <f t="shared" si="14"/>
        <v>100000</v>
      </c>
      <c r="I115" s="506">
        <f t="shared" si="14"/>
        <v>100000</v>
      </c>
      <c r="J115" s="506">
        <f t="shared" si="14"/>
        <v>100000</v>
      </c>
      <c r="K115" s="506">
        <f t="shared" si="14"/>
        <v>100000</v>
      </c>
      <c r="L115" s="506">
        <f t="shared" si="14"/>
        <v>100000</v>
      </c>
      <c r="M115" s="506">
        <f t="shared" si="14"/>
        <v>100000</v>
      </c>
      <c r="N115" s="506">
        <f t="shared" si="14"/>
        <v>100000</v>
      </c>
      <c r="O115" s="506">
        <f t="shared" si="14"/>
        <v>100000</v>
      </c>
      <c r="P115" s="506">
        <f t="shared" si="14"/>
        <v>100000</v>
      </c>
      <c r="Q115" s="506">
        <f t="shared" si="14"/>
        <v>100000</v>
      </c>
      <c r="R115" s="506">
        <f t="shared" si="14"/>
        <v>100000</v>
      </c>
      <c r="S115" s="506">
        <f t="shared" si="14"/>
        <v>100000</v>
      </c>
      <c r="T115" s="506">
        <f t="shared" si="14"/>
        <v>100000</v>
      </c>
      <c r="U115" s="506">
        <f t="shared" si="14"/>
        <v>100000</v>
      </c>
      <c r="V115" s="506">
        <f t="shared" si="14"/>
        <v>100000</v>
      </c>
      <c r="W115" s="506">
        <f t="shared" si="14"/>
        <v>100000</v>
      </c>
      <c r="X115" s="506">
        <f t="shared" si="14"/>
        <v>100000</v>
      </c>
    </row>
    <row r="116" spans="1:27">
      <c r="A116" s="278" t="s">
        <v>147</v>
      </c>
      <c r="D116" s="507">
        <f>SUM(D114:D115)</f>
        <v>0</v>
      </c>
      <c r="E116" s="508">
        <f>SUM(E111:E115)</f>
        <v>0</v>
      </c>
      <c r="F116" s="508">
        <f t="shared" ref="F116:X116" si="15">SUM(F111:F115)</f>
        <v>0</v>
      </c>
      <c r="G116" s="508">
        <f t="shared" si="15"/>
        <v>100000</v>
      </c>
      <c r="H116" s="508">
        <f t="shared" si="15"/>
        <v>100000</v>
      </c>
      <c r="I116" s="508">
        <f t="shared" si="15"/>
        <v>100000</v>
      </c>
      <c r="J116" s="508">
        <f t="shared" si="15"/>
        <v>100000</v>
      </c>
      <c r="K116" s="508">
        <f t="shared" si="15"/>
        <v>100000</v>
      </c>
      <c r="L116" s="508">
        <f t="shared" si="15"/>
        <v>100000</v>
      </c>
      <c r="M116" s="508">
        <f t="shared" si="15"/>
        <v>100000</v>
      </c>
      <c r="N116" s="508">
        <f t="shared" si="15"/>
        <v>100000</v>
      </c>
      <c r="O116" s="508">
        <f t="shared" si="15"/>
        <v>100000</v>
      </c>
      <c r="P116" s="508">
        <f t="shared" si="15"/>
        <v>100000</v>
      </c>
      <c r="Q116" s="508">
        <f t="shared" si="15"/>
        <v>100000</v>
      </c>
      <c r="R116" s="508">
        <f t="shared" si="15"/>
        <v>100000</v>
      </c>
      <c r="S116" s="508">
        <f t="shared" si="15"/>
        <v>100000</v>
      </c>
      <c r="T116" s="508">
        <f t="shared" si="15"/>
        <v>100000</v>
      </c>
      <c r="U116" s="508">
        <f t="shared" si="15"/>
        <v>100000</v>
      </c>
      <c r="V116" s="508">
        <f t="shared" si="15"/>
        <v>100000</v>
      </c>
      <c r="W116" s="508">
        <f t="shared" si="15"/>
        <v>100000</v>
      </c>
      <c r="X116" s="508">
        <f t="shared" si="15"/>
        <v>100000</v>
      </c>
    </row>
    <row r="117" spans="1:27">
      <c r="D117" s="507"/>
      <c r="E117" s="413"/>
      <c r="F117" s="413"/>
      <c r="G117" s="413"/>
      <c r="H117" s="413"/>
      <c r="I117" s="413"/>
      <c r="J117" s="413"/>
      <c r="K117" s="413"/>
      <c r="L117" s="413"/>
      <c r="M117" s="413"/>
      <c r="N117" s="413"/>
      <c r="O117" s="413"/>
      <c r="P117" s="413"/>
      <c r="Q117" s="413"/>
      <c r="R117" s="413"/>
      <c r="S117" s="413"/>
      <c r="T117" s="413"/>
      <c r="U117" s="413"/>
      <c r="V117" s="413"/>
      <c r="W117" s="413"/>
      <c r="X117" s="413"/>
    </row>
    <row r="118" spans="1:27">
      <c r="A118" s="88" t="s">
        <v>608</v>
      </c>
      <c r="D118" s="507">
        <f t="shared" ref="D118" si="16">SUM(D116:D117)</f>
        <v>0</v>
      </c>
      <c r="E118" s="413">
        <v>58025</v>
      </c>
      <c r="F118" s="413">
        <v>0</v>
      </c>
      <c r="G118" s="413">
        <v>0</v>
      </c>
      <c r="H118" s="413">
        <v>0</v>
      </c>
      <c r="I118" s="413">
        <v>0</v>
      </c>
      <c r="J118" s="413">
        <v>0</v>
      </c>
      <c r="K118" s="413">
        <v>0</v>
      </c>
      <c r="L118" s="413">
        <v>0</v>
      </c>
      <c r="M118" s="413">
        <v>0</v>
      </c>
      <c r="N118" s="413">
        <v>0</v>
      </c>
      <c r="O118" s="413">
        <v>0</v>
      </c>
      <c r="P118" s="413">
        <v>0</v>
      </c>
      <c r="Q118" s="413">
        <v>0</v>
      </c>
      <c r="R118" s="413">
        <v>0</v>
      </c>
      <c r="S118" s="413">
        <v>0</v>
      </c>
      <c r="T118" s="413">
        <v>0</v>
      </c>
      <c r="U118" s="413">
        <v>0</v>
      </c>
      <c r="V118" s="413">
        <v>0</v>
      </c>
      <c r="W118" s="413">
        <v>0</v>
      </c>
      <c r="X118" s="413">
        <v>0</v>
      </c>
    </row>
    <row r="119" spans="1:27">
      <c r="D119" s="507"/>
      <c r="E119" s="413"/>
      <c r="F119" s="413"/>
      <c r="G119" s="413"/>
      <c r="H119" s="413"/>
      <c r="I119" s="413"/>
      <c r="J119" s="413"/>
      <c r="K119" s="413"/>
      <c r="L119" s="413"/>
      <c r="M119" s="413"/>
      <c r="N119" s="413"/>
      <c r="O119" s="413"/>
      <c r="P119" s="413"/>
      <c r="Q119" s="413"/>
      <c r="R119" s="413"/>
      <c r="S119" s="413"/>
      <c r="T119" s="413"/>
      <c r="U119" s="413"/>
      <c r="V119" s="413"/>
      <c r="W119" s="413"/>
      <c r="X119" s="413"/>
    </row>
    <row r="120" spans="1:27" s="16" customFormat="1" ht="14.25">
      <c r="A120" s="295" t="s">
        <v>148</v>
      </c>
      <c r="B120" s="295"/>
      <c r="C120" s="295"/>
      <c r="D120" s="511">
        <f>SUM(D106,D116)</f>
        <v>0</v>
      </c>
      <c r="E120" s="511">
        <f>SUM(E106,E116,E118)</f>
        <v>219825</v>
      </c>
      <c r="F120" s="511">
        <f t="shared" ref="F120:X120" si="17">SUM(F106,F116,F118)</f>
        <v>1575585.2705736854</v>
      </c>
      <c r="G120" s="511">
        <f t="shared" si="17"/>
        <v>1752149.3759851593</v>
      </c>
      <c r="H120" s="511">
        <f t="shared" si="17"/>
        <v>1786972.3635048624</v>
      </c>
      <c r="I120" s="511">
        <f t="shared" si="17"/>
        <v>1822491.8107749599</v>
      </c>
      <c r="J120" s="511">
        <f t="shared" si="17"/>
        <v>2075659.4942126812</v>
      </c>
      <c r="K120" s="511">
        <f t="shared" si="17"/>
        <v>2112613.9271524898</v>
      </c>
      <c r="L120" s="511">
        <f t="shared" si="17"/>
        <v>2150307.4487510957</v>
      </c>
      <c r="M120" s="511">
        <f t="shared" si="17"/>
        <v>2188754.8407816738</v>
      </c>
      <c r="N120" s="511">
        <f t="shared" si="17"/>
        <v>2227971.1806528619</v>
      </c>
      <c r="O120" s="511">
        <f t="shared" si="17"/>
        <v>2322793.8091270309</v>
      </c>
      <c r="P120" s="511">
        <f t="shared" si="17"/>
        <v>2363594.4891290157</v>
      </c>
      <c r="Q120" s="511">
        <f t="shared" si="17"/>
        <v>2405211.1827310403</v>
      </c>
      <c r="R120" s="511">
        <f t="shared" si="17"/>
        <v>2447660.2102051061</v>
      </c>
      <c r="S120" s="511">
        <f t="shared" si="17"/>
        <v>2490958.2182286526</v>
      </c>
      <c r="T120" s="511">
        <f t="shared" si="17"/>
        <v>2590044.1482182257</v>
      </c>
      <c r="U120" s="511">
        <f t="shared" si="17"/>
        <v>2635091.3957659239</v>
      </c>
      <c r="V120" s="511">
        <f t="shared" si="17"/>
        <v>2681039.5882645752</v>
      </c>
      <c r="W120" s="511">
        <f t="shared" si="17"/>
        <v>2727906.7446132004</v>
      </c>
      <c r="X120" s="511">
        <f t="shared" si="17"/>
        <v>2775711.2440887978</v>
      </c>
      <c r="Y120" s="622">
        <f>SUM(D120:X120)</f>
        <v>43352341.742761046</v>
      </c>
      <c r="AA120" s="370">
        <f>(Y76+Y78)/Y120</f>
        <v>0.6042133289358762</v>
      </c>
    </row>
    <row r="121" spans="1:27">
      <c r="A121" s="30"/>
      <c r="B121" s="30"/>
      <c r="C121" s="30"/>
      <c r="D121" s="502"/>
      <c r="E121" s="512"/>
      <c r="F121" s="512"/>
      <c r="G121" s="512"/>
      <c r="H121" s="512"/>
      <c r="I121" s="512"/>
      <c r="J121" s="512"/>
      <c r="K121" s="512"/>
      <c r="L121" s="512"/>
      <c r="M121" s="512"/>
      <c r="N121" s="512"/>
      <c r="O121" s="512"/>
      <c r="P121" s="512"/>
      <c r="Q121" s="512"/>
      <c r="R121" s="512"/>
      <c r="S121" s="512"/>
      <c r="T121" s="512"/>
      <c r="U121" s="512"/>
      <c r="V121" s="512"/>
      <c r="W121" s="512"/>
      <c r="X121" s="512"/>
    </row>
    <row r="122" spans="1:27" s="33" customFormat="1">
      <c r="A122" s="47" t="s">
        <v>7</v>
      </c>
      <c r="B122" s="47" t="s">
        <v>7</v>
      </c>
      <c r="C122" s="78" t="s">
        <v>7</v>
      </c>
      <c r="D122" s="604" t="s">
        <v>7</v>
      </c>
      <c r="E122" s="78" t="s">
        <v>7</v>
      </c>
      <c r="F122" s="78" t="s">
        <v>7</v>
      </c>
      <c r="G122" s="78" t="s">
        <v>7</v>
      </c>
      <c r="H122" s="78" t="s">
        <v>7</v>
      </c>
      <c r="I122" s="78" t="s">
        <v>7</v>
      </c>
      <c r="J122" s="78" t="s">
        <v>7</v>
      </c>
      <c r="K122" s="78" t="s">
        <v>7</v>
      </c>
      <c r="L122" s="78" t="s">
        <v>7</v>
      </c>
      <c r="M122" s="78" t="s">
        <v>7</v>
      </c>
      <c r="N122" s="78" t="s">
        <v>7</v>
      </c>
      <c r="O122" s="78" t="s">
        <v>7</v>
      </c>
      <c r="P122" s="78" t="s">
        <v>7</v>
      </c>
      <c r="Q122" s="78" t="s">
        <v>7</v>
      </c>
      <c r="R122" s="78" t="s">
        <v>7</v>
      </c>
      <c r="S122" s="78" t="s">
        <v>7</v>
      </c>
      <c r="T122" s="78" t="s">
        <v>7</v>
      </c>
      <c r="U122" s="78" t="s">
        <v>7</v>
      </c>
      <c r="V122" s="78" t="s">
        <v>7</v>
      </c>
      <c r="W122" s="78" t="s">
        <v>7</v>
      </c>
      <c r="X122" s="78" t="s">
        <v>7</v>
      </c>
    </row>
    <row r="123" spans="1:27">
      <c r="A123" s="30"/>
      <c r="B123" s="30"/>
      <c r="C123" s="30"/>
      <c r="D123" s="502"/>
      <c r="E123" s="512"/>
      <c r="F123" s="512"/>
      <c r="G123" s="512"/>
      <c r="H123" s="512"/>
      <c r="I123" s="512"/>
      <c r="J123" s="512"/>
      <c r="K123" s="512"/>
      <c r="L123" s="512"/>
      <c r="M123" s="512"/>
      <c r="N123" s="512"/>
      <c r="O123" s="512"/>
      <c r="P123" s="512"/>
      <c r="Q123" s="512"/>
      <c r="R123" s="512"/>
      <c r="S123" s="512"/>
      <c r="T123" s="512"/>
      <c r="U123" s="512"/>
      <c r="V123" s="512"/>
      <c r="W123" s="512"/>
      <c r="X123" s="512"/>
    </row>
    <row r="124" spans="1:27">
      <c r="A124" s="269" t="s">
        <v>131</v>
      </c>
      <c r="B124" s="269"/>
      <c r="C124" s="270"/>
      <c r="D124" s="513"/>
      <c r="E124" s="513"/>
      <c r="F124" s="513"/>
      <c r="G124" s="513"/>
      <c r="H124" s="513"/>
      <c r="I124" s="513"/>
      <c r="J124" s="513"/>
      <c r="K124" s="513"/>
      <c r="L124" s="513"/>
      <c r="M124" s="513"/>
      <c r="N124" s="513"/>
      <c r="O124" s="513"/>
      <c r="P124" s="513"/>
      <c r="Q124" s="513"/>
      <c r="R124" s="513"/>
      <c r="S124" s="513"/>
      <c r="T124" s="513"/>
      <c r="U124" s="513"/>
      <c r="V124" s="513"/>
      <c r="W124" s="513"/>
      <c r="X124" s="513"/>
    </row>
    <row r="125" spans="1:27">
      <c r="A125" s="69"/>
      <c r="B125" s="69"/>
      <c r="C125" s="69"/>
      <c r="D125" s="502"/>
      <c r="E125" s="504"/>
      <c r="F125" s="504"/>
      <c r="G125" s="504"/>
      <c r="H125" s="504"/>
      <c r="I125" s="504"/>
      <c r="J125" s="504"/>
      <c r="K125" s="504"/>
      <c r="L125" s="504"/>
      <c r="M125" s="504"/>
      <c r="N125" s="504"/>
      <c r="O125" s="504"/>
      <c r="P125" s="504"/>
      <c r="Q125" s="504"/>
      <c r="R125" s="504"/>
      <c r="S125" s="504"/>
      <c r="T125" s="504"/>
      <c r="U125" s="504"/>
      <c r="V125" s="504"/>
      <c r="W125" s="504"/>
      <c r="X125" s="504"/>
    </row>
    <row r="126" spans="1:27" s="167" customFormat="1">
      <c r="A126" s="69" t="s">
        <v>13</v>
      </c>
      <c r="B126" s="591"/>
      <c r="C126" s="591"/>
      <c r="D126" s="592">
        <v>0</v>
      </c>
      <c r="E126" s="515">
        <f>'OPEX - Concept C2 - RCCL'!L80</f>
        <v>12250</v>
      </c>
      <c r="F126" s="515">
        <f>'OPEX - Concept C2 - RCCL'!M80</f>
        <v>171500</v>
      </c>
      <c r="G126" s="515">
        <f>'OPEX - Concept C2 - RCCL'!N80</f>
        <v>174930</v>
      </c>
      <c r="H126" s="515">
        <f>'OPEX - Concept C2 - RCCL'!O80</f>
        <v>178428.59999999998</v>
      </c>
      <c r="I126" s="515">
        <f>'OPEX - Concept C2 - RCCL'!P80</f>
        <v>181997.17199999996</v>
      </c>
      <c r="J126" s="515">
        <f>'OPEX - Concept C2 - RCCL'!Q80</f>
        <v>185637.11543999997</v>
      </c>
      <c r="K126" s="515">
        <f>'OPEX - Concept C2 - RCCL'!R80</f>
        <v>189349.85774879999</v>
      </c>
      <c r="L126" s="515">
        <f>'OPEX - Concept C2 - RCCL'!S80</f>
        <v>193136.85490377599</v>
      </c>
      <c r="M126" s="515">
        <f>'OPEX - Concept C2 - RCCL'!T80</f>
        <v>196999.59200185153</v>
      </c>
      <c r="N126" s="515">
        <f>'OPEX - Concept C2 - RCCL'!U80</f>
        <v>200939.58384188855</v>
      </c>
      <c r="O126" s="515">
        <f>'OPEX - Concept C2 - RCCL'!V80</f>
        <v>204958.37551872636</v>
      </c>
      <c r="P126" s="515">
        <f>'OPEX - Concept C2 - RCCL'!W80</f>
        <v>209057.54302910087</v>
      </c>
      <c r="Q126" s="515">
        <f>'OPEX - Concept C2 - RCCL'!X80</f>
        <v>213238.69388968288</v>
      </c>
      <c r="R126" s="515">
        <f>'OPEX - Concept C2 - RCCL'!Y80</f>
        <v>217503.46776747654</v>
      </c>
      <c r="S126" s="515">
        <f>'OPEX - Concept C2 - RCCL'!Z80</f>
        <v>221853.53712282603</v>
      </c>
      <c r="T126" s="515">
        <f>'OPEX - Concept C2 - RCCL'!AA80</f>
        <v>226290.60786528263</v>
      </c>
      <c r="U126" s="515">
        <f>'OPEX - Concept C2 - RCCL'!AB80</f>
        <v>230816.42002258825</v>
      </c>
      <c r="V126" s="515">
        <f>'OPEX - Concept C2 - RCCL'!AC80</f>
        <v>235432.74842304003</v>
      </c>
      <c r="W126" s="515">
        <f>'OPEX - Concept C2 - RCCL'!AD80</f>
        <v>240141.40339150085</v>
      </c>
      <c r="X126" s="515">
        <f>'OPEX - Concept C2 - RCCL'!AE80</f>
        <v>244944.23145933088</v>
      </c>
    </row>
    <row r="127" spans="1:27" s="167" customFormat="1">
      <c r="A127" s="69" t="s">
        <v>41</v>
      </c>
      <c r="B127" s="591"/>
      <c r="C127" s="591"/>
      <c r="D127" s="592">
        <v>0</v>
      </c>
      <c r="E127" s="515">
        <f>'OPEX - Concept C2 - RCCL'!L88</f>
        <v>25000</v>
      </c>
      <c r="F127" s="515">
        <f>'OPEX - Concept C2 - RCCL'!M88</f>
        <v>25500</v>
      </c>
      <c r="G127" s="515">
        <f>'OPEX - Concept C2 - RCCL'!N88</f>
        <v>26010</v>
      </c>
      <c r="H127" s="515">
        <f>'OPEX - Concept C2 - RCCL'!O88</f>
        <v>26530.199999999997</v>
      </c>
      <c r="I127" s="515">
        <f>'OPEX - Concept C2 - RCCL'!P88</f>
        <v>27060.804</v>
      </c>
      <c r="J127" s="515">
        <f>'OPEX - Concept C2 - RCCL'!Q88</f>
        <v>27602.020080000002</v>
      </c>
      <c r="K127" s="515">
        <f>'OPEX - Concept C2 - RCCL'!R88</f>
        <v>28154.060481600001</v>
      </c>
      <c r="L127" s="515">
        <f>'OPEX - Concept C2 - RCCL'!S88</f>
        <v>28717.141691232002</v>
      </c>
      <c r="M127" s="515">
        <f>'OPEX - Concept C2 - RCCL'!T88</f>
        <v>29291.484525056643</v>
      </c>
      <c r="N127" s="515">
        <f>'OPEX - Concept C2 - RCCL'!U88</f>
        <v>29877.314215557777</v>
      </c>
      <c r="O127" s="515">
        <f>'OPEX - Concept C2 - RCCL'!V88</f>
        <v>30474.860499868933</v>
      </c>
      <c r="P127" s="515">
        <f>'OPEX - Concept C2 - RCCL'!W88</f>
        <v>31084.357709866312</v>
      </c>
      <c r="Q127" s="515">
        <f>'OPEX - Concept C2 - RCCL'!X88</f>
        <v>31706.044864063639</v>
      </c>
      <c r="R127" s="515">
        <f>'OPEX - Concept C2 - RCCL'!Y88</f>
        <v>32340.165761344906</v>
      </c>
      <c r="S127" s="515">
        <f>'OPEX - Concept C2 - RCCL'!Z88</f>
        <v>32986.969076571811</v>
      </c>
      <c r="T127" s="515">
        <f>'OPEX - Concept C2 - RCCL'!AA88</f>
        <v>33646.708458103247</v>
      </c>
      <c r="U127" s="515">
        <f>'OPEX - Concept C2 - RCCL'!AB88</f>
        <v>34319.642627265312</v>
      </c>
      <c r="V127" s="515">
        <f>'OPEX - Concept C2 - RCCL'!AC88</f>
        <v>35006.03547981062</v>
      </c>
      <c r="W127" s="515">
        <f>'OPEX - Concept C2 - RCCL'!AD88</f>
        <v>35706.156189406836</v>
      </c>
      <c r="X127" s="515">
        <f>'OPEX - Concept C2 - RCCL'!AE88</f>
        <v>36420.279313194973</v>
      </c>
    </row>
    <row r="128" spans="1:27" s="167" customFormat="1">
      <c r="A128" s="69" t="s">
        <v>424</v>
      </c>
      <c r="B128" s="591"/>
      <c r="C128" s="591"/>
      <c r="D128" s="592">
        <v>0</v>
      </c>
      <c r="E128" s="515">
        <f>'OPEX - Concept C2 - RCCL'!L89</f>
        <v>10000</v>
      </c>
      <c r="F128" s="515">
        <f>'OPEX - Concept C2 - RCCL'!M89</f>
        <v>500</v>
      </c>
      <c r="G128" s="515">
        <f>'OPEX - Concept C2 - RCCL'!N89</f>
        <v>520.20000000000005</v>
      </c>
      <c r="H128" s="515">
        <f>'OPEX - Concept C2 - RCCL'!O89</f>
        <v>530.60399999999993</v>
      </c>
      <c r="I128" s="515">
        <f>'OPEX - Concept C2 - RCCL'!P89</f>
        <v>541.21608000000003</v>
      </c>
      <c r="J128" s="515">
        <f>'OPEX - Concept C2 - RCCL'!Q89</f>
        <v>5000</v>
      </c>
      <c r="K128" s="515">
        <f>'OPEX - Concept C2 - RCCL'!R89</f>
        <v>563.08120963200008</v>
      </c>
      <c r="L128" s="515">
        <f>'OPEX - Concept C2 - RCCL'!S89</f>
        <v>574.34283382464002</v>
      </c>
      <c r="M128" s="515">
        <f>'OPEX - Concept C2 - RCCL'!T89</f>
        <v>585.82969050113286</v>
      </c>
      <c r="N128" s="515">
        <f>'OPEX - Concept C2 - RCCL'!U89</f>
        <v>597.54628431115555</v>
      </c>
      <c r="O128" s="515">
        <f>'OPEX - Concept C2 - RCCL'!V89</f>
        <v>5000</v>
      </c>
      <c r="P128" s="515">
        <f>'OPEX - Concept C2 - RCCL'!W89</f>
        <v>621.68715419732621</v>
      </c>
      <c r="Q128" s="515">
        <f>'OPEX - Concept C2 - RCCL'!X89</f>
        <v>634.12089728127273</v>
      </c>
      <c r="R128" s="515">
        <f>'OPEX - Concept C2 - RCCL'!Y89</f>
        <v>646.80331522689812</v>
      </c>
      <c r="S128" s="515">
        <f>'OPEX - Concept C2 - RCCL'!Z89</f>
        <v>659.73938153143615</v>
      </c>
      <c r="T128" s="515">
        <f>'OPEX - Concept C2 - RCCL'!AA89</f>
        <v>5000</v>
      </c>
      <c r="U128" s="515">
        <f>'OPEX - Concept C2 - RCCL'!AB89</f>
        <v>686.39285254530625</v>
      </c>
      <c r="V128" s="515">
        <f>'OPEX - Concept C2 - RCCL'!AC89</f>
        <v>700.12070959621246</v>
      </c>
      <c r="W128" s="515">
        <f>'OPEX - Concept C2 - RCCL'!AD89</f>
        <v>714.1231237881367</v>
      </c>
      <c r="X128" s="515">
        <f>'OPEX - Concept C2 - RCCL'!AE89</f>
        <v>728.40558626389941</v>
      </c>
    </row>
    <row r="129" spans="1:24" s="167" customFormat="1">
      <c r="A129" s="69" t="s">
        <v>42</v>
      </c>
      <c r="B129" s="591"/>
      <c r="C129" s="591"/>
      <c r="D129" s="592">
        <v>0</v>
      </c>
      <c r="E129" s="515">
        <f>'OPEX - Concept C2 - RCCL'!L90</f>
        <v>50000</v>
      </c>
      <c r="F129" s="515">
        <f>'OPEX - Concept C2 - RCCL'!M90</f>
        <v>51000</v>
      </c>
      <c r="G129" s="515">
        <f>'OPEX - Concept C2 - RCCL'!N90</f>
        <v>52020</v>
      </c>
      <c r="H129" s="515">
        <f>'OPEX - Concept C2 - RCCL'!O90</f>
        <v>53060.399999999994</v>
      </c>
      <c r="I129" s="515">
        <f>'OPEX - Concept C2 - RCCL'!P90</f>
        <v>54121.608</v>
      </c>
      <c r="J129" s="515">
        <f>'OPEX - Concept C2 - RCCL'!Q90</f>
        <v>55204.040160000004</v>
      </c>
      <c r="K129" s="515">
        <f>'OPEX - Concept C2 - RCCL'!R90</f>
        <v>56308.120963200003</v>
      </c>
      <c r="L129" s="515">
        <f>'OPEX - Concept C2 - RCCL'!S90</f>
        <v>57434.283382464004</v>
      </c>
      <c r="M129" s="515">
        <f>'OPEX - Concept C2 - RCCL'!T90</f>
        <v>58582.969050113286</v>
      </c>
      <c r="N129" s="515">
        <f>'OPEX - Concept C2 - RCCL'!U90</f>
        <v>59754.628431115554</v>
      </c>
      <c r="O129" s="515">
        <f>'OPEX - Concept C2 - RCCL'!V90</f>
        <v>60949.720999737867</v>
      </c>
      <c r="P129" s="515">
        <f>'OPEX - Concept C2 - RCCL'!W90</f>
        <v>62168.715419732624</v>
      </c>
      <c r="Q129" s="515">
        <f>'OPEX - Concept C2 - RCCL'!X90</f>
        <v>63412.089728127277</v>
      </c>
      <c r="R129" s="515">
        <f>'OPEX - Concept C2 - RCCL'!Y90</f>
        <v>64680.331522689812</v>
      </c>
      <c r="S129" s="515">
        <f>'OPEX - Concept C2 - RCCL'!Z90</f>
        <v>65973.938153143623</v>
      </c>
      <c r="T129" s="515">
        <f>'OPEX - Concept C2 - RCCL'!AA90</f>
        <v>67293.416916206494</v>
      </c>
      <c r="U129" s="515">
        <f>'OPEX - Concept C2 - RCCL'!AB90</f>
        <v>68639.285254530623</v>
      </c>
      <c r="V129" s="515">
        <f>'OPEX - Concept C2 - RCCL'!AC90</f>
        <v>70012.07095962124</v>
      </c>
      <c r="W129" s="515">
        <f>'OPEX - Concept C2 - RCCL'!AD90</f>
        <v>71412.312378813673</v>
      </c>
      <c r="X129" s="515">
        <f>'OPEX - Concept C2 - RCCL'!AE90</f>
        <v>72840.558626389946</v>
      </c>
    </row>
    <row r="130" spans="1:24" s="167" customFormat="1">
      <c r="A130" s="69" t="s">
        <v>43</v>
      </c>
      <c r="B130" s="591"/>
      <c r="C130" s="591"/>
      <c r="D130" s="592">
        <v>0</v>
      </c>
      <c r="E130" s="515">
        <f>'OPEX - Concept C2 - RCCL'!L91</f>
        <v>500</v>
      </c>
      <c r="F130" s="515">
        <f>'OPEX - Concept C2 - RCCL'!M91</f>
        <v>2040</v>
      </c>
      <c r="G130" s="515">
        <f>'OPEX - Concept C2 - RCCL'!N91</f>
        <v>2080.8000000000002</v>
      </c>
      <c r="H130" s="515">
        <f>'OPEX - Concept C2 - RCCL'!O91</f>
        <v>2122.4159999999997</v>
      </c>
      <c r="I130" s="515">
        <f>'OPEX - Concept C2 - RCCL'!P91</f>
        <v>2164.8643200000001</v>
      </c>
      <c r="J130" s="515">
        <f>'OPEX - Concept C2 - RCCL'!Q91</f>
        <v>2208.1616064</v>
      </c>
      <c r="K130" s="515">
        <f>'OPEX - Concept C2 - RCCL'!R91</f>
        <v>2252.3248385280003</v>
      </c>
      <c r="L130" s="515">
        <f>'OPEX - Concept C2 - RCCL'!S91</f>
        <v>2297.3713352985601</v>
      </c>
      <c r="M130" s="515">
        <f>'OPEX - Concept C2 - RCCL'!T91</f>
        <v>2343.3187620045314</v>
      </c>
      <c r="N130" s="515">
        <f>'OPEX - Concept C2 - RCCL'!U91</f>
        <v>2390.1851372446222</v>
      </c>
      <c r="O130" s="515">
        <f>'OPEX - Concept C2 - RCCL'!V91</f>
        <v>2437.9888399895149</v>
      </c>
      <c r="P130" s="515">
        <f>'OPEX - Concept C2 - RCCL'!W91</f>
        <v>2486.7486167893048</v>
      </c>
      <c r="Q130" s="515">
        <f>'OPEX - Concept C2 - RCCL'!X91</f>
        <v>2536.4835891250909</v>
      </c>
      <c r="R130" s="515">
        <f>'OPEX - Concept C2 - RCCL'!Y91</f>
        <v>2587.2132609075925</v>
      </c>
      <c r="S130" s="515">
        <f>'OPEX - Concept C2 - RCCL'!Z91</f>
        <v>2638.9575261257446</v>
      </c>
      <c r="T130" s="515">
        <f>'OPEX - Concept C2 - RCCL'!AA91</f>
        <v>2691.7366766482596</v>
      </c>
      <c r="U130" s="515">
        <f>'OPEX - Concept C2 - RCCL'!AB91</f>
        <v>2745.571410181225</v>
      </c>
      <c r="V130" s="515">
        <f>'OPEX - Concept C2 - RCCL'!AC91</f>
        <v>2800.4828383848499</v>
      </c>
      <c r="W130" s="515">
        <f>'OPEX - Concept C2 - RCCL'!AD91</f>
        <v>2856.4924951525468</v>
      </c>
      <c r="X130" s="515">
        <f>'OPEX - Concept C2 - RCCL'!AE91</f>
        <v>2913.6223450555976</v>
      </c>
    </row>
    <row r="131" spans="1:24" s="167" customFormat="1">
      <c r="A131" s="69" t="s">
        <v>44</v>
      </c>
      <c r="B131" s="591"/>
      <c r="C131" s="591"/>
      <c r="D131" s="592">
        <v>0</v>
      </c>
      <c r="E131" s="515">
        <f>'OPEX - Concept C2 - RCCL'!L92</f>
        <v>250</v>
      </c>
      <c r="F131" s="515">
        <f>'OPEX - Concept C2 - RCCL'!M92</f>
        <v>1020</v>
      </c>
      <c r="G131" s="515">
        <f>'OPEX - Concept C2 - RCCL'!N92</f>
        <v>1040.4000000000001</v>
      </c>
      <c r="H131" s="515">
        <f>'OPEX - Concept C2 - RCCL'!O92</f>
        <v>1061.2079999999999</v>
      </c>
      <c r="I131" s="515">
        <f>'OPEX - Concept C2 - RCCL'!P92</f>
        <v>1082.4321600000001</v>
      </c>
      <c r="J131" s="515">
        <f>'OPEX - Concept C2 - RCCL'!Q92</f>
        <v>1104.0808032</v>
      </c>
      <c r="K131" s="515">
        <f>'OPEX - Concept C2 - RCCL'!R92</f>
        <v>1126.1624192640002</v>
      </c>
      <c r="L131" s="515">
        <f>'OPEX - Concept C2 - RCCL'!S92</f>
        <v>1148.68566764928</v>
      </c>
      <c r="M131" s="515">
        <f>'OPEX - Concept C2 - RCCL'!T92</f>
        <v>1171.6593810022657</v>
      </c>
      <c r="N131" s="515">
        <f>'OPEX - Concept C2 - RCCL'!U92</f>
        <v>1195.0925686223111</v>
      </c>
      <c r="O131" s="515">
        <f>'OPEX - Concept C2 - RCCL'!V92</f>
        <v>1218.9944199947574</v>
      </c>
      <c r="P131" s="515">
        <f>'OPEX - Concept C2 - RCCL'!W92</f>
        <v>1243.3743083946524</v>
      </c>
      <c r="Q131" s="515">
        <f>'OPEX - Concept C2 - RCCL'!X92</f>
        <v>1268.2417945625455</v>
      </c>
      <c r="R131" s="515">
        <f>'OPEX - Concept C2 - RCCL'!Y92</f>
        <v>1293.6066304537962</v>
      </c>
      <c r="S131" s="515">
        <f>'OPEX - Concept C2 - RCCL'!Z92</f>
        <v>1319.4787630628723</v>
      </c>
      <c r="T131" s="515">
        <f>'OPEX - Concept C2 - RCCL'!AA92</f>
        <v>1345.8683383241298</v>
      </c>
      <c r="U131" s="515">
        <f>'OPEX - Concept C2 - RCCL'!AB92</f>
        <v>1372.7857050906125</v>
      </c>
      <c r="V131" s="515">
        <f>'OPEX - Concept C2 - RCCL'!AC92</f>
        <v>1400.2414191924249</v>
      </c>
      <c r="W131" s="515">
        <f>'OPEX - Concept C2 - RCCL'!AD92</f>
        <v>1428.2462475762734</v>
      </c>
      <c r="X131" s="515">
        <f>'OPEX - Concept C2 - RCCL'!AE92</f>
        <v>1456.8111725277988</v>
      </c>
    </row>
    <row r="132" spans="1:24" s="167" customFormat="1">
      <c r="A132" s="69" t="s">
        <v>2</v>
      </c>
      <c r="B132" s="591"/>
      <c r="C132" s="591"/>
      <c r="D132" s="592">
        <v>0</v>
      </c>
      <c r="E132" s="515">
        <f>'OPEX - Concept C2 - RCCL'!L93</f>
        <v>1000</v>
      </c>
      <c r="F132" s="515">
        <f>'OPEX - Concept C2 - RCCL'!M93</f>
        <v>1020</v>
      </c>
      <c r="G132" s="515">
        <f>'OPEX - Concept C2 - RCCL'!N93</f>
        <v>1040.4000000000001</v>
      </c>
      <c r="H132" s="515">
        <f>'OPEX - Concept C2 - RCCL'!O93</f>
        <v>1061.2079999999999</v>
      </c>
      <c r="I132" s="515">
        <f>'OPEX - Concept C2 - RCCL'!P93</f>
        <v>1082.4321600000001</v>
      </c>
      <c r="J132" s="515">
        <f>'OPEX - Concept C2 - RCCL'!Q93</f>
        <v>1104.0808032</v>
      </c>
      <c r="K132" s="515">
        <f>'OPEX - Concept C2 - RCCL'!R93</f>
        <v>1126.1624192640002</v>
      </c>
      <c r="L132" s="515">
        <f>'OPEX - Concept C2 - RCCL'!S93</f>
        <v>1148.68566764928</v>
      </c>
      <c r="M132" s="515">
        <f>'OPEX - Concept C2 - RCCL'!T93</f>
        <v>1171.6593810022657</v>
      </c>
      <c r="N132" s="515">
        <f>'OPEX - Concept C2 - RCCL'!U93</f>
        <v>1195.0925686223111</v>
      </c>
      <c r="O132" s="515">
        <f>'OPEX - Concept C2 - RCCL'!V93</f>
        <v>1218.9944199947574</v>
      </c>
      <c r="P132" s="515">
        <f>'OPEX - Concept C2 - RCCL'!W93</f>
        <v>1243.3743083946524</v>
      </c>
      <c r="Q132" s="515">
        <f>'OPEX - Concept C2 - RCCL'!X93</f>
        <v>1268.2417945625455</v>
      </c>
      <c r="R132" s="515">
        <f>'OPEX - Concept C2 - RCCL'!Y93</f>
        <v>1293.6066304537962</v>
      </c>
      <c r="S132" s="515">
        <f>'OPEX - Concept C2 - RCCL'!Z93</f>
        <v>1319.4787630628723</v>
      </c>
      <c r="T132" s="515">
        <f>'OPEX - Concept C2 - RCCL'!AA93</f>
        <v>1345.8683383241298</v>
      </c>
      <c r="U132" s="515">
        <f>'OPEX - Concept C2 - RCCL'!AB93</f>
        <v>1372.7857050906125</v>
      </c>
      <c r="V132" s="515">
        <f>'OPEX - Concept C2 - RCCL'!AC93</f>
        <v>1400.2414191924249</v>
      </c>
      <c r="W132" s="515">
        <f>'OPEX - Concept C2 - RCCL'!AD93</f>
        <v>1428.2462475762734</v>
      </c>
      <c r="X132" s="515">
        <f>'OPEX - Concept C2 - RCCL'!AE93</f>
        <v>1456.8111725277988</v>
      </c>
    </row>
    <row r="133" spans="1:24" s="167" customFormat="1">
      <c r="A133" s="591"/>
      <c r="B133" s="591"/>
      <c r="C133" s="591"/>
      <c r="D133" s="592"/>
      <c r="E133" s="515"/>
      <c r="F133" s="515"/>
      <c r="G133" s="515"/>
      <c r="H133" s="515"/>
      <c r="I133" s="515"/>
      <c r="J133" s="515"/>
      <c r="K133" s="515"/>
      <c r="L133" s="515"/>
      <c r="M133" s="515"/>
      <c r="N133" s="515"/>
      <c r="O133" s="515"/>
      <c r="P133" s="515"/>
      <c r="Q133" s="515"/>
      <c r="R133" s="515"/>
      <c r="S133" s="515"/>
      <c r="T133" s="515"/>
      <c r="U133" s="515"/>
      <c r="V133" s="515"/>
      <c r="W133" s="515"/>
      <c r="X133" s="515"/>
    </row>
    <row r="134" spans="1:24" s="96" customFormat="1">
      <c r="A134" s="1012" t="s">
        <v>25</v>
      </c>
      <c r="B134" s="69"/>
      <c r="C134" s="69"/>
      <c r="D134" s="514">
        <v>0</v>
      </c>
      <c r="E134" s="515">
        <f>'OPEX - Concept C2 - RCCL'!L109</f>
        <v>34183.333333333328</v>
      </c>
      <c r="F134" s="515">
        <f>'OPEX - Concept C2 - RCCL'!M109</f>
        <v>34867</v>
      </c>
      <c r="G134" s="515">
        <f>'OPEX - Concept C2 - RCCL'!N109</f>
        <v>35564.339999999997</v>
      </c>
      <c r="H134" s="515">
        <f>'OPEX - Concept C2 - RCCL'!O109</f>
        <v>36275.626799999998</v>
      </c>
      <c r="I134" s="515">
        <f>'OPEX - Concept C2 - RCCL'!P109</f>
        <v>37001.139335999993</v>
      </c>
      <c r="J134" s="515">
        <f>'OPEX - Concept C2 - RCCL'!Q109</f>
        <v>37741.162122720001</v>
      </c>
      <c r="K134" s="515">
        <f>'OPEX - Concept C2 - RCCL'!R109</f>
        <v>38495.985365174398</v>
      </c>
      <c r="L134" s="515">
        <f>'OPEX - Concept C2 - RCCL'!S109</f>
        <v>39265.905072477886</v>
      </c>
      <c r="M134" s="515">
        <f>'OPEX - Concept C2 - RCCL'!T109</f>
        <v>40051.22317392745</v>
      </c>
      <c r="N134" s="515">
        <f>'OPEX - Concept C2 - RCCL'!U109</f>
        <v>40852.247637405999</v>
      </c>
      <c r="O134" s="515">
        <f>'OPEX - Concept C2 - RCCL'!V109</f>
        <v>41669.292590154117</v>
      </c>
      <c r="P134" s="515">
        <f>'OPEX - Concept C2 - RCCL'!W109</f>
        <v>42502.6784419572</v>
      </c>
      <c r="Q134" s="515">
        <f>'OPEX - Concept C2 - RCCL'!X109</f>
        <v>43352.732010796346</v>
      </c>
      <c r="R134" s="515">
        <f>'OPEX - Concept C2 - RCCL'!Y109</f>
        <v>44219.786651012269</v>
      </c>
      <c r="S134" s="515">
        <f>'OPEX - Concept C2 - RCCL'!Z109</f>
        <v>45104.182384032523</v>
      </c>
      <c r="T134" s="515">
        <f>'OPEX - Concept C2 - RCCL'!AA109</f>
        <v>46006.266031713167</v>
      </c>
      <c r="U134" s="515">
        <f>'OPEX - Concept C2 - RCCL'!AB109</f>
        <v>46926.39135234744</v>
      </c>
      <c r="V134" s="515">
        <f>'OPEX - Concept C2 - RCCL'!AC109</f>
        <v>47864.91917939439</v>
      </c>
      <c r="W134" s="515">
        <f>'OPEX - Concept C2 - RCCL'!AD109</f>
        <v>48822.217562982281</v>
      </c>
      <c r="X134" s="515">
        <f>'OPEX - Concept C2 - RCCL'!AE109</f>
        <v>49798.661914241922</v>
      </c>
    </row>
    <row r="135" spans="1:24" s="167" customFormat="1">
      <c r="A135" s="782" t="s">
        <v>426</v>
      </c>
      <c r="B135" s="591"/>
      <c r="C135" s="591"/>
      <c r="D135" s="592">
        <v>0</v>
      </c>
      <c r="E135" s="515">
        <f>'OPEX - Concept C2 - RCCL'!L97</f>
        <v>1000</v>
      </c>
      <c r="F135" s="515">
        <f>'OPEX - Concept C2 - RCCL'!M97</f>
        <v>1020</v>
      </c>
      <c r="G135" s="515">
        <f>'OPEX - Concept C2 - RCCL'!N97</f>
        <v>1040.4000000000001</v>
      </c>
      <c r="H135" s="515">
        <f>'OPEX - Concept C2 - RCCL'!O97</f>
        <v>1061.2079999999999</v>
      </c>
      <c r="I135" s="515">
        <f>'OPEX - Concept C2 - RCCL'!P97</f>
        <v>1082.4321600000001</v>
      </c>
      <c r="J135" s="515">
        <f>'OPEX - Concept C2 - RCCL'!Q97</f>
        <v>25000</v>
      </c>
      <c r="K135" s="515">
        <f>'OPEX - Concept C2 - RCCL'!R97</f>
        <v>25500</v>
      </c>
      <c r="L135" s="515">
        <f>'OPEX - Concept C2 - RCCL'!S97</f>
        <v>26010</v>
      </c>
      <c r="M135" s="515">
        <f>'OPEX - Concept C2 - RCCL'!T97</f>
        <v>26530.199999999997</v>
      </c>
      <c r="N135" s="515">
        <f>'OPEX - Concept C2 - RCCL'!U97</f>
        <v>27060.804</v>
      </c>
      <c r="O135" s="515">
        <f>'OPEX - Concept C2 - RCCL'!V97</f>
        <v>27602.020080000002</v>
      </c>
      <c r="P135" s="515">
        <f>'OPEX - Concept C2 - RCCL'!W97</f>
        <v>28154.060481600001</v>
      </c>
      <c r="Q135" s="515">
        <f>'OPEX - Concept C2 - RCCL'!X97</f>
        <v>28717.141691232002</v>
      </c>
      <c r="R135" s="515">
        <f>'OPEX - Concept C2 - RCCL'!Y97</f>
        <v>29291.484525056643</v>
      </c>
      <c r="S135" s="515">
        <f>'OPEX - Concept C2 - RCCL'!Z97</f>
        <v>29877.314215557777</v>
      </c>
      <c r="T135" s="515">
        <f>'OPEX - Concept C2 - RCCL'!AA97</f>
        <v>30474.860499868933</v>
      </c>
      <c r="U135" s="515">
        <f>'OPEX - Concept C2 - RCCL'!AB97</f>
        <v>31084.357709866312</v>
      </c>
      <c r="V135" s="515">
        <f>'OPEX - Concept C2 - RCCL'!AC97</f>
        <v>31706.044864063639</v>
      </c>
      <c r="W135" s="515">
        <f>'OPEX - Concept C2 - RCCL'!AD97</f>
        <v>32340.165761344906</v>
      </c>
      <c r="X135" s="515">
        <f>'OPEX - Concept C2 - RCCL'!AE97</f>
        <v>32986.969076571811</v>
      </c>
    </row>
    <row r="136" spans="1:24" s="96" customFormat="1">
      <c r="A136" s="644" t="s">
        <v>302</v>
      </c>
      <c r="B136" s="69"/>
      <c r="C136" s="69"/>
      <c r="D136" s="514">
        <v>0</v>
      </c>
      <c r="E136" s="515">
        <f>'Shuttle Projections'!C39/2</f>
        <v>233675</v>
      </c>
      <c r="F136" s="515">
        <f>'Shuttle Projections'!D39</f>
        <v>476697</v>
      </c>
      <c r="G136" s="515">
        <f>'Shuttle Projections'!E39</f>
        <v>486230.94000000006</v>
      </c>
      <c r="H136" s="515">
        <f>'Shuttle Projections'!F39</f>
        <v>495955.55879999994</v>
      </c>
      <c r="I136" s="515">
        <f>'Shuttle Projections'!G39</f>
        <v>505874.66997599998</v>
      </c>
      <c r="J136" s="515">
        <f>'Shuttle Projections'!H39</f>
        <v>515992.16337552003</v>
      </c>
      <c r="K136" s="515">
        <f>'Shuttle Projections'!I39</f>
        <v>526312.00664303044</v>
      </c>
      <c r="L136" s="515">
        <f>'Shuttle Projections'!J39</f>
        <v>536838.24677589093</v>
      </c>
      <c r="M136" s="515">
        <f>'Shuttle Projections'!K39</f>
        <v>547575.01171140897</v>
      </c>
      <c r="N136" s="515">
        <f>'Shuttle Projections'!L39</f>
        <v>558526.51194563706</v>
      </c>
      <c r="O136" s="515">
        <f>'Shuttle Projections'!M39</f>
        <v>569697.04218454985</v>
      </c>
      <c r="P136" s="515">
        <f>'Shuttle Projections'!N39</f>
        <v>581090.98302824085</v>
      </c>
      <c r="Q136" s="515">
        <f>'Shuttle Projections'!O39</f>
        <v>592712.80268880562</v>
      </c>
      <c r="R136" s="515">
        <f>'Shuttle Projections'!P39</f>
        <v>604567.05874258175</v>
      </c>
      <c r="S136" s="515">
        <f>'Shuttle Projections'!Q39</f>
        <v>616658.39991743339</v>
      </c>
      <c r="T136" s="515">
        <f>'Shuttle Projections'!R39</f>
        <v>628991.5679157821</v>
      </c>
      <c r="U136" s="515">
        <f>'Shuttle Projections'!S39</f>
        <v>641571.39927409776</v>
      </c>
      <c r="V136" s="515">
        <f>'Shuttle Projections'!T39</f>
        <v>654402.82725957979</v>
      </c>
      <c r="W136" s="515">
        <f>'Shuttle Projections'!U39</f>
        <v>667490.88380477135</v>
      </c>
      <c r="X136" s="515">
        <f>'Shuttle Projections'!V39</f>
        <v>680840.70148086676</v>
      </c>
    </row>
    <row r="137" spans="1:24" s="16" customFormat="1" ht="14.25">
      <c r="A137" s="282" t="s">
        <v>132</v>
      </c>
      <c r="B137" s="276"/>
      <c r="C137" s="276"/>
      <c r="D137" s="516">
        <f>SUM(D125:D136)</f>
        <v>0</v>
      </c>
      <c r="E137" s="517">
        <f t="shared" ref="E137:X137" si="18">SUM(E126:E136)</f>
        <v>367858.33333333331</v>
      </c>
      <c r="F137" s="517">
        <f t="shared" si="18"/>
        <v>765164</v>
      </c>
      <c r="G137" s="517">
        <f t="shared" si="18"/>
        <v>780477.4800000001</v>
      </c>
      <c r="H137" s="517">
        <f t="shared" si="18"/>
        <v>796087.02960000001</v>
      </c>
      <c r="I137" s="517">
        <f t="shared" si="18"/>
        <v>812008.77019200008</v>
      </c>
      <c r="J137" s="517">
        <f t="shared" si="18"/>
        <v>856592.82439104002</v>
      </c>
      <c r="K137" s="517">
        <f t="shared" si="18"/>
        <v>869187.76208849275</v>
      </c>
      <c r="L137" s="517">
        <f t="shared" si="18"/>
        <v>886571.51733026258</v>
      </c>
      <c r="M137" s="517">
        <f t="shared" si="18"/>
        <v>904302.94767686806</v>
      </c>
      <c r="N137" s="517">
        <f t="shared" si="18"/>
        <v>922389.00663040532</v>
      </c>
      <c r="O137" s="517">
        <f t="shared" si="18"/>
        <v>945227.28955301619</v>
      </c>
      <c r="P137" s="517">
        <f t="shared" si="18"/>
        <v>959653.52249827387</v>
      </c>
      <c r="Q137" s="517">
        <f t="shared" si="18"/>
        <v>978846.59294823918</v>
      </c>
      <c r="R137" s="517">
        <f t="shared" si="18"/>
        <v>998423.52480720403</v>
      </c>
      <c r="S137" s="517">
        <f t="shared" si="18"/>
        <v>1018391.9953033481</v>
      </c>
      <c r="T137" s="517">
        <f t="shared" si="18"/>
        <v>1043086.901040253</v>
      </c>
      <c r="U137" s="517">
        <f t="shared" si="18"/>
        <v>1059535.0319136034</v>
      </c>
      <c r="V137" s="517">
        <f t="shared" si="18"/>
        <v>1080725.7325518755</v>
      </c>
      <c r="W137" s="517">
        <f t="shared" si="18"/>
        <v>1102340.2472029133</v>
      </c>
      <c r="X137" s="517">
        <f t="shared" si="18"/>
        <v>1124387.0521469712</v>
      </c>
    </row>
    <row r="138" spans="1:24">
      <c r="A138" s="92"/>
      <c r="B138" s="69"/>
      <c r="C138" s="69"/>
      <c r="D138" s="514"/>
      <c r="E138" s="515"/>
      <c r="F138" s="515"/>
      <c r="G138" s="515"/>
      <c r="H138" s="515"/>
      <c r="I138" s="515"/>
      <c r="J138" s="515"/>
      <c r="K138" s="515"/>
      <c r="L138" s="515"/>
      <c r="M138" s="515"/>
      <c r="N138" s="515"/>
      <c r="O138" s="515"/>
      <c r="P138" s="515"/>
      <c r="Q138" s="515"/>
      <c r="R138" s="515"/>
      <c r="S138" s="515"/>
      <c r="T138" s="515"/>
      <c r="U138" s="515"/>
      <c r="V138" s="515"/>
      <c r="W138" s="515"/>
      <c r="X138" s="515"/>
    </row>
    <row r="139" spans="1:24">
      <c r="A139" s="269" t="s">
        <v>85</v>
      </c>
      <c r="B139" s="269"/>
      <c r="C139" s="270"/>
      <c r="D139" s="513"/>
      <c r="E139" s="513"/>
      <c r="F139" s="513"/>
      <c r="G139" s="513"/>
      <c r="H139" s="513"/>
      <c r="I139" s="513"/>
      <c r="J139" s="513"/>
      <c r="K139" s="513"/>
      <c r="L139" s="513"/>
      <c r="M139" s="513"/>
      <c r="N139" s="513"/>
      <c r="O139" s="513"/>
      <c r="P139" s="513"/>
      <c r="Q139" s="513"/>
      <c r="R139" s="513"/>
      <c r="S139" s="513"/>
      <c r="T139" s="513"/>
      <c r="U139" s="513"/>
      <c r="V139" s="513"/>
      <c r="W139" s="513"/>
      <c r="X139" s="513"/>
    </row>
    <row r="140" spans="1:24" s="368" customFormat="1">
      <c r="A140" s="263"/>
      <c r="B140" s="263"/>
      <c r="C140" s="367"/>
      <c r="D140" s="514"/>
      <c r="E140" s="515"/>
      <c r="F140" s="515"/>
      <c r="G140" s="515"/>
      <c r="H140" s="515"/>
      <c r="I140" s="515"/>
      <c r="J140" s="515"/>
      <c r="K140" s="515"/>
      <c r="L140" s="515"/>
      <c r="M140" s="515"/>
      <c r="N140" s="515"/>
      <c r="O140" s="515"/>
      <c r="P140" s="515"/>
      <c r="Q140" s="515"/>
      <c r="R140" s="515"/>
      <c r="S140" s="515"/>
      <c r="T140" s="515"/>
      <c r="U140" s="515"/>
      <c r="V140" s="515"/>
      <c r="W140" s="515"/>
      <c r="X140" s="515"/>
    </row>
    <row r="141" spans="1:24" s="58" customFormat="1">
      <c r="A141" s="69" t="s">
        <v>0</v>
      </c>
      <c r="B141" s="263"/>
      <c r="C141" s="783"/>
      <c r="D141" s="514">
        <v>0</v>
      </c>
      <c r="E141" s="515">
        <f>'OPEX - Concept C2 - RCCL'!L132</f>
        <v>0</v>
      </c>
      <c r="F141" s="515">
        <f>'OPEX - Concept C2 - RCCL'!M132</f>
        <v>54570</v>
      </c>
      <c r="G141" s="515">
        <f>'OPEX - Concept C2 - RCCL'!N132</f>
        <v>56774.628000000004</v>
      </c>
      <c r="H141" s="515">
        <f>'OPEX - Concept C2 - RCCL'!O132</f>
        <v>57910.120559999996</v>
      </c>
      <c r="I141" s="515">
        <f>'OPEX - Concept C2 - RCCL'!P132</f>
        <v>59068.322971199988</v>
      </c>
      <c r="J141" s="515">
        <f>'OPEX - Concept C2 - RCCL'!Q132</f>
        <v>60249.689430623999</v>
      </c>
      <c r="K141" s="515">
        <f>'OPEX - Concept C2 - RCCL'!R132</f>
        <v>61454.683219236475</v>
      </c>
      <c r="L141" s="515">
        <f>'OPEX - Concept C2 - RCCL'!S132</f>
        <v>62683.776883621205</v>
      </c>
      <c r="M141" s="515">
        <f>'OPEX - Concept C2 - RCCL'!T132</f>
        <v>63937.452421293638</v>
      </c>
      <c r="N141" s="515">
        <f>'OPEX - Concept C2 - RCCL'!U132</f>
        <v>65216.201469719512</v>
      </c>
      <c r="O141" s="515">
        <f>'OPEX - Concept C2 - RCCL'!V132</f>
        <v>66520.525499113894</v>
      </c>
      <c r="P141" s="515">
        <f>'OPEX - Concept C2 - RCCL'!W132</f>
        <v>67850.936009096185</v>
      </c>
      <c r="Q141" s="515">
        <f>'OPEX - Concept C2 - RCCL'!X132</f>
        <v>69207.954729278121</v>
      </c>
      <c r="R141" s="515">
        <f>'OPEX - Concept C2 - RCCL'!Y132</f>
        <v>70592.113823863678</v>
      </c>
      <c r="S141" s="515">
        <f>'OPEX - Concept C2 - RCCL'!Z132</f>
        <v>72003.956100340947</v>
      </c>
      <c r="T141" s="515">
        <f>'OPEX - Concept C2 - RCCL'!AA132</f>
        <v>73444.035222347768</v>
      </c>
      <c r="U141" s="515">
        <f>'OPEX - Concept C2 - RCCL'!AB132</f>
        <v>74912.915926794725</v>
      </c>
      <c r="V141" s="515">
        <f>'OPEX - Concept C2 - RCCL'!AC132</f>
        <v>76411.174245330621</v>
      </c>
      <c r="W141" s="515">
        <f>'OPEX - Concept C2 - RCCL'!AD132</f>
        <v>77939.397730237237</v>
      </c>
      <c r="X141" s="515">
        <f>'OPEX - Concept C2 - RCCL'!AE132</f>
        <v>79498.18568484197</v>
      </c>
    </row>
    <row r="142" spans="1:24" s="58" customFormat="1">
      <c r="A142" s="69" t="s">
        <v>4</v>
      </c>
      <c r="B142" s="263"/>
      <c r="C142" s="783"/>
      <c r="D142" s="514">
        <v>0</v>
      </c>
      <c r="E142" s="515">
        <f>'OPEX - Concept C2 - RCCL'!L155</f>
        <v>0</v>
      </c>
      <c r="F142" s="515">
        <f>'OPEX - Concept C2 - RCCL'!M155</f>
        <v>85335.846153846156</v>
      </c>
      <c r="G142" s="515">
        <f>'OPEX - Concept C2 - RCCL'!N155</f>
        <v>87042.563076923077</v>
      </c>
      <c r="H142" s="515">
        <f>'OPEX - Concept C2 - RCCL'!O155</f>
        <v>88783.41433846156</v>
      </c>
      <c r="I142" s="515">
        <f>'OPEX - Concept C2 - RCCL'!P155</f>
        <v>90559.082625230774</v>
      </c>
      <c r="J142" s="515">
        <f>'OPEX - Concept C2 - RCCL'!Q155</f>
        <v>92370.264277735376</v>
      </c>
      <c r="K142" s="515">
        <f>'OPEX - Concept C2 - RCCL'!R155</f>
        <v>94217.669563290081</v>
      </c>
      <c r="L142" s="515">
        <f>'OPEX - Concept C2 - RCCL'!S155</f>
        <v>96102.022954555898</v>
      </c>
      <c r="M142" s="515">
        <f>'OPEX - Concept C2 - RCCL'!T155</f>
        <v>98024.063413647003</v>
      </c>
      <c r="N142" s="515">
        <f>'OPEX - Concept C2 - RCCL'!U155</f>
        <v>99984.544681919942</v>
      </c>
      <c r="O142" s="515">
        <f>'OPEX - Concept C2 - RCCL'!V155</f>
        <v>101984.23557555837</v>
      </c>
      <c r="P142" s="515">
        <f>'OPEX - Concept C2 - RCCL'!W155</f>
        <v>104023.92028706953</v>
      </c>
      <c r="Q142" s="515">
        <f>'OPEX - Concept C2 - RCCL'!X155</f>
        <v>106104.39869281092</v>
      </c>
      <c r="R142" s="515">
        <f>'OPEX - Concept C2 - RCCL'!Y155</f>
        <v>108226.48666666714</v>
      </c>
      <c r="S142" s="515">
        <f>'OPEX - Concept C2 - RCCL'!Z155</f>
        <v>110391.01640000047</v>
      </c>
      <c r="T142" s="515">
        <f>'OPEX - Concept C2 - RCCL'!AA155</f>
        <v>112598.8367280005</v>
      </c>
      <c r="U142" s="515">
        <f>'OPEX - Concept C2 - RCCL'!AB155</f>
        <v>114850.8134625605</v>
      </c>
      <c r="V142" s="515">
        <f>'OPEX - Concept C2 - RCCL'!AC155</f>
        <v>117147.82973181173</v>
      </c>
      <c r="W142" s="515">
        <f>'OPEX - Concept C2 - RCCL'!AD155</f>
        <v>119490.78632644797</v>
      </c>
      <c r="X142" s="515">
        <f>'OPEX - Concept C2 - RCCL'!AE155</f>
        <v>121880.60205297693</v>
      </c>
    </row>
    <row r="143" spans="1:24" s="16" customFormat="1" ht="14.25">
      <c r="A143" s="282" t="s">
        <v>133</v>
      </c>
      <c r="B143" s="276"/>
      <c r="C143" s="276"/>
      <c r="D143" s="516">
        <f>SUM(D141:D142)</f>
        <v>0</v>
      </c>
      <c r="E143" s="517">
        <f>SUM(E141:E142)</f>
        <v>0</v>
      </c>
      <c r="F143" s="517">
        <f t="shared" ref="F143:X143" si="19">SUM(F141:F142)</f>
        <v>139905.84615384616</v>
      </c>
      <c r="G143" s="517">
        <f t="shared" si="19"/>
        <v>143817.19107692307</v>
      </c>
      <c r="H143" s="517">
        <f t="shared" si="19"/>
        <v>146693.53489846154</v>
      </c>
      <c r="I143" s="517">
        <f t="shared" si="19"/>
        <v>149627.40559643076</v>
      </c>
      <c r="J143" s="517">
        <f t="shared" si="19"/>
        <v>152619.95370835939</v>
      </c>
      <c r="K143" s="517">
        <f t="shared" si="19"/>
        <v>155672.35278252655</v>
      </c>
      <c r="L143" s="517">
        <f t="shared" si="19"/>
        <v>158785.7998381771</v>
      </c>
      <c r="M143" s="517">
        <f t="shared" si="19"/>
        <v>161961.51583494066</v>
      </c>
      <c r="N143" s="517">
        <f t="shared" si="19"/>
        <v>165200.74615163944</v>
      </c>
      <c r="O143" s="517">
        <f t="shared" si="19"/>
        <v>168504.76107467228</v>
      </c>
      <c r="P143" s="517">
        <f t="shared" si="19"/>
        <v>171874.85629616573</v>
      </c>
      <c r="Q143" s="517">
        <f t="shared" si="19"/>
        <v>175312.35342208904</v>
      </c>
      <c r="R143" s="517">
        <f t="shared" si="19"/>
        <v>178818.60049053084</v>
      </c>
      <c r="S143" s="517">
        <f t="shared" si="19"/>
        <v>182394.97250034142</v>
      </c>
      <c r="T143" s="517">
        <f t="shared" si="19"/>
        <v>186042.87195034826</v>
      </c>
      <c r="U143" s="517">
        <f t="shared" si="19"/>
        <v>189763.72938935523</v>
      </c>
      <c r="V143" s="517">
        <f t="shared" si="19"/>
        <v>193559.00397714233</v>
      </c>
      <c r="W143" s="517">
        <f t="shared" si="19"/>
        <v>197430.18405668519</v>
      </c>
      <c r="X143" s="517">
        <f t="shared" si="19"/>
        <v>201378.7877378189</v>
      </c>
    </row>
    <row r="144" spans="1:24">
      <c r="A144" s="92"/>
      <c r="B144" s="92"/>
      <c r="C144" s="69"/>
      <c r="D144" s="514"/>
      <c r="E144" s="515"/>
      <c r="F144" s="515"/>
      <c r="G144" s="515"/>
      <c r="H144" s="515"/>
      <c r="I144" s="515"/>
      <c r="J144" s="515"/>
      <c r="K144" s="515"/>
      <c r="L144" s="515"/>
      <c r="M144" s="515"/>
      <c r="N144" s="515"/>
      <c r="O144" s="515"/>
      <c r="P144" s="515"/>
      <c r="Q144" s="515"/>
      <c r="R144" s="515"/>
      <c r="S144" s="515"/>
      <c r="T144" s="515"/>
      <c r="U144" s="515"/>
      <c r="V144" s="515"/>
      <c r="W144" s="515"/>
      <c r="X144" s="515"/>
    </row>
    <row r="145" spans="1:24" s="16" customFormat="1" ht="14.25">
      <c r="A145" s="350" t="s">
        <v>118</v>
      </c>
      <c r="B145" s="350"/>
      <c r="C145" s="351"/>
      <c r="D145" s="519">
        <f t="shared" ref="D145:X145" si="20">SUM(D137,D143)</f>
        <v>0</v>
      </c>
      <c r="E145" s="519">
        <f t="shared" si="20"/>
        <v>367858.33333333331</v>
      </c>
      <c r="F145" s="519">
        <f t="shared" si="20"/>
        <v>905069.84615384613</v>
      </c>
      <c r="G145" s="519">
        <f t="shared" si="20"/>
        <v>924294.67107692314</v>
      </c>
      <c r="H145" s="519">
        <f t="shared" si="20"/>
        <v>942780.56449846155</v>
      </c>
      <c r="I145" s="519">
        <f t="shared" si="20"/>
        <v>961636.17578843085</v>
      </c>
      <c r="J145" s="519">
        <f t="shared" si="20"/>
        <v>1009212.7780993994</v>
      </c>
      <c r="K145" s="519">
        <f t="shared" si="20"/>
        <v>1024860.1148710193</v>
      </c>
      <c r="L145" s="519">
        <f t="shared" si="20"/>
        <v>1045357.3171684397</v>
      </c>
      <c r="M145" s="519">
        <f t="shared" si="20"/>
        <v>1066264.4635118088</v>
      </c>
      <c r="N145" s="519">
        <f t="shared" si="20"/>
        <v>1087589.7527820447</v>
      </c>
      <c r="O145" s="519">
        <f t="shared" si="20"/>
        <v>1113732.0506276884</v>
      </c>
      <c r="P145" s="519">
        <f t="shared" si="20"/>
        <v>1131528.3787944396</v>
      </c>
      <c r="Q145" s="519">
        <f t="shared" si="20"/>
        <v>1154158.9463703283</v>
      </c>
      <c r="R145" s="519">
        <f t="shared" si="20"/>
        <v>1177242.125297735</v>
      </c>
      <c r="S145" s="519">
        <f t="shared" si="20"/>
        <v>1200786.9678036894</v>
      </c>
      <c r="T145" s="519">
        <f t="shared" si="20"/>
        <v>1229129.7729906011</v>
      </c>
      <c r="U145" s="519">
        <f t="shared" si="20"/>
        <v>1249298.7613029587</v>
      </c>
      <c r="V145" s="519">
        <f t="shared" si="20"/>
        <v>1274284.7365290178</v>
      </c>
      <c r="W145" s="519">
        <f t="shared" si="20"/>
        <v>1299770.4312595986</v>
      </c>
      <c r="X145" s="519">
        <f t="shared" si="20"/>
        <v>1325765.8398847901</v>
      </c>
    </row>
    <row r="146" spans="1:24" s="222" customFormat="1" ht="14.25">
      <c r="A146" s="280"/>
      <c r="B146" s="280"/>
      <c r="C146" s="263"/>
      <c r="D146" s="518"/>
      <c r="E146" s="520"/>
      <c r="F146" s="520"/>
      <c r="G146" s="520"/>
      <c r="H146" s="520"/>
      <c r="I146" s="520"/>
      <c r="J146" s="520"/>
      <c r="K146" s="520"/>
      <c r="L146" s="520"/>
      <c r="M146" s="520"/>
      <c r="N146" s="520"/>
      <c r="O146" s="520"/>
      <c r="P146" s="520"/>
      <c r="Q146" s="520"/>
      <c r="R146" s="520"/>
      <c r="S146" s="520"/>
      <c r="T146" s="520"/>
      <c r="U146" s="520"/>
      <c r="V146" s="520"/>
      <c r="W146" s="520"/>
      <c r="X146" s="520"/>
    </row>
    <row r="147" spans="1:24" s="222" customFormat="1" ht="14.25">
      <c r="A147" s="271" t="s">
        <v>295</v>
      </c>
      <c r="B147" s="271"/>
      <c r="C147" s="269"/>
      <c r="D147" s="521"/>
      <c r="E147" s="521"/>
      <c r="F147" s="521"/>
      <c r="G147" s="521"/>
      <c r="H147" s="521"/>
      <c r="I147" s="521"/>
      <c r="J147" s="521"/>
      <c r="K147" s="521"/>
      <c r="L147" s="521"/>
      <c r="M147" s="521"/>
      <c r="N147" s="521"/>
      <c r="O147" s="521"/>
      <c r="P147" s="521"/>
      <c r="Q147" s="521"/>
      <c r="R147" s="521"/>
      <c r="S147" s="521"/>
      <c r="T147" s="521"/>
      <c r="U147" s="521"/>
      <c r="V147" s="521"/>
      <c r="W147" s="521"/>
      <c r="X147" s="521"/>
    </row>
    <row r="148" spans="1:24" s="222" customFormat="1" ht="14.25">
      <c r="A148" s="280"/>
      <c r="B148" s="280"/>
      <c r="C148" s="263"/>
      <c r="D148" s="518"/>
      <c r="E148" s="520"/>
      <c r="F148" s="520"/>
      <c r="G148" s="520"/>
      <c r="H148" s="520"/>
      <c r="I148" s="520"/>
      <c r="J148" s="520"/>
      <c r="K148" s="520"/>
      <c r="L148" s="520"/>
      <c r="M148" s="520"/>
      <c r="N148" s="520"/>
      <c r="O148" s="520"/>
      <c r="P148" s="520"/>
      <c r="Q148" s="520"/>
      <c r="R148" s="520"/>
      <c r="S148" s="520"/>
      <c r="T148" s="520"/>
      <c r="U148" s="520"/>
      <c r="V148" s="520"/>
      <c r="W148" s="520"/>
      <c r="X148" s="520"/>
    </row>
    <row r="149" spans="1:24" s="725" customFormat="1">
      <c r="A149" s="353" t="s">
        <v>228</v>
      </c>
      <c r="B149" s="691"/>
      <c r="C149" s="724"/>
      <c r="D149" s="699">
        <v>0</v>
      </c>
      <c r="E149" s="700"/>
      <c r="F149" s="700"/>
      <c r="G149" s="700"/>
      <c r="H149" s="700"/>
      <c r="I149" s="700"/>
      <c r="J149" s="700"/>
      <c r="K149" s="700"/>
      <c r="L149" s="700"/>
      <c r="M149" s="700"/>
      <c r="N149" s="700"/>
      <c r="O149" s="700"/>
      <c r="P149" s="700"/>
      <c r="Q149" s="700"/>
      <c r="R149" s="700"/>
      <c r="S149" s="700"/>
      <c r="T149" s="700"/>
      <c r="U149" s="700"/>
      <c r="V149" s="700"/>
      <c r="W149" s="700"/>
      <c r="X149" s="700"/>
    </row>
    <row r="150" spans="1:24" s="725" customFormat="1">
      <c r="A150" s="726" t="s">
        <v>228</v>
      </c>
      <c r="B150" s="727"/>
      <c r="C150" s="728"/>
      <c r="D150" s="729">
        <v>0</v>
      </c>
      <c r="E150" s="730"/>
      <c r="F150" s="730"/>
      <c r="G150" s="730"/>
      <c r="H150" s="730"/>
      <c r="I150" s="730"/>
      <c r="J150" s="730"/>
      <c r="K150" s="730"/>
      <c r="L150" s="730"/>
      <c r="M150" s="730"/>
      <c r="N150" s="730"/>
      <c r="O150" s="730"/>
      <c r="P150" s="730"/>
      <c r="Q150" s="730"/>
      <c r="R150" s="730"/>
      <c r="S150" s="730"/>
      <c r="T150" s="730"/>
      <c r="U150" s="730"/>
      <c r="V150" s="730"/>
      <c r="W150" s="730"/>
      <c r="X150" s="730"/>
    </row>
    <row r="151" spans="1:24" s="725" customFormat="1" ht="14.25">
      <c r="A151" s="691" t="s">
        <v>296</v>
      </c>
      <c r="B151" s="691"/>
      <c r="C151" s="724"/>
      <c r="D151" s="731">
        <f t="shared" ref="D151:X151" si="21">SUM(D149:D150)</f>
        <v>0</v>
      </c>
      <c r="E151" s="732">
        <f t="shared" si="21"/>
        <v>0</v>
      </c>
      <c r="F151" s="732">
        <f t="shared" si="21"/>
        <v>0</v>
      </c>
      <c r="G151" s="732">
        <f t="shared" si="21"/>
        <v>0</v>
      </c>
      <c r="H151" s="732">
        <f t="shared" si="21"/>
        <v>0</v>
      </c>
      <c r="I151" s="732">
        <f t="shared" si="21"/>
        <v>0</v>
      </c>
      <c r="J151" s="732">
        <f t="shared" si="21"/>
        <v>0</v>
      </c>
      <c r="K151" s="732">
        <f t="shared" si="21"/>
        <v>0</v>
      </c>
      <c r="L151" s="732">
        <f t="shared" si="21"/>
        <v>0</v>
      </c>
      <c r="M151" s="732">
        <f t="shared" si="21"/>
        <v>0</v>
      </c>
      <c r="N151" s="732">
        <f t="shared" si="21"/>
        <v>0</v>
      </c>
      <c r="O151" s="732">
        <f t="shared" si="21"/>
        <v>0</v>
      </c>
      <c r="P151" s="732">
        <f t="shared" si="21"/>
        <v>0</v>
      </c>
      <c r="Q151" s="732">
        <f t="shared" si="21"/>
        <v>0</v>
      </c>
      <c r="R151" s="732">
        <f t="shared" si="21"/>
        <v>0</v>
      </c>
      <c r="S151" s="732">
        <f t="shared" si="21"/>
        <v>0</v>
      </c>
      <c r="T151" s="732">
        <f t="shared" si="21"/>
        <v>0</v>
      </c>
      <c r="U151" s="732">
        <f t="shared" si="21"/>
        <v>0</v>
      </c>
      <c r="V151" s="732">
        <f t="shared" si="21"/>
        <v>0</v>
      </c>
      <c r="W151" s="732">
        <f t="shared" si="21"/>
        <v>0</v>
      </c>
      <c r="X151" s="732">
        <f t="shared" si="21"/>
        <v>0</v>
      </c>
    </row>
    <row r="152" spans="1:24" s="222" customFormat="1">
      <c r="A152" s="280"/>
      <c r="B152" s="280"/>
      <c r="C152" s="263"/>
      <c r="D152" s="514"/>
      <c r="E152" s="515"/>
      <c r="F152" s="520"/>
      <c r="G152" s="520"/>
      <c r="H152" s="520"/>
      <c r="I152" s="520"/>
      <c r="J152" s="520"/>
      <c r="K152" s="520"/>
      <c r="L152" s="520"/>
      <c r="M152" s="520"/>
      <c r="N152" s="520"/>
      <c r="O152" s="520"/>
      <c r="P152" s="520"/>
      <c r="Q152" s="520"/>
      <c r="R152" s="520"/>
      <c r="S152" s="520"/>
      <c r="T152" s="520"/>
      <c r="U152" s="520"/>
      <c r="V152" s="520"/>
      <c r="W152" s="520"/>
      <c r="X152" s="520"/>
    </row>
    <row r="153" spans="1:24" s="222" customFormat="1" ht="14.25">
      <c r="A153" s="296" t="s">
        <v>140</v>
      </c>
      <c r="B153" s="296"/>
      <c r="C153" s="297"/>
      <c r="D153" s="522">
        <f t="shared" ref="D153:X153" si="22">SUM(D145,D151)</f>
        <v>0</v>
      </c>
      <c r="E153" s="522">
        <f t="shared" si="22"/>
        <v>367858.33333333331</v>
      </c>
      <c r="F153" s="522">
        <f t="shared" si="22"/>
        <v>905069.84615384613</v>
      </c>
      <c r="G153" s="522">
        <f t="shared" si="22"/>
        <v>924294.67107692314</v>
      </c>
      <c r="H153" s="522">
        <f t="shared" si="22"/>
        <v>942780.56449846155</v>
      </c>
      <c r="I153" s="522">
        <f t="shared" si="22"/>
        <v>961636.17578843085</v>
      </c>
      <c r="J153" s="522">
        <f t="shared" si="22"/>
        <v>1009212.7780993994</v>
      </c>
      <c r="K153" s="522">
        <f t="shared" si="22"/>
        <v>1024860.1148710193</v>
      </c>
      <c r="L153" s="522">
        <f t="shared" si="22"/>
        <v>1045357.3171684397</v>
      </c>
      <c r="M153" s="522">
        <f t="shared" si="22"/>
        <v>1066264.4635118088</v>
      </c>
      <c r="N153" s="522">
        <f t="shared" si="22"/>
        <v>1087589.7527820447</v>
      </c>
      <c r="O153" s="522">
        <f t="shared" si="22"/>
        <v>1113732.0506276884</v>
      </c>
      <c r="P153" s="522">
        <f t="shared" si="22"/>
        <v>1131528.3787944396</v>
      </c>
      <c r="Q153" s="522">
        <f t="shared" si="22"/>
        <v>1154158.9463703283</v>
      </c>
      <c r="R153" s="522">
        <f t="shared" si="22"/>
        <v>1177242.125297735</v>
      </c>
      <c r="S153" s="522">
        <f t="shared" si="22"/>
        <v>1200786.9678036894</v>
      </c>
      <c r="T153" s="522">
        <f t="shared" si="22"/>
        <v>1229129.7729906011</v>
      </c>
      <c r="U153" s="522">
        <f t="shared" si="22"/>
        <v>1249298.7613029587</v>
      </c>
      <c r="V153" s="522">
        <f t="shared" si="22"/>
        <v>1274284.7365290178</v>
      </c>
      <c r="W153" s="522">
        <f t="shared" si="22"/>
        <v>1299770.4312595986</v>
      </c>
      <c r="X153" s="522">
        <f t="shared" si="22"/>
        <v>1325765.8398847901</v>
      </c>
    </row>
    <row r="154" spans="1:24">
      <c r="A154" s="92"/>
      <c r="B154" s="92"/>
      <c r="C154" s="69"/>
      <c r="D154" s="514"/>
      <c r="E154" s="515"/>
      <c r="F154" s="515"/>
      <c r="G154" s="515"/>
      <c r="H154" s="515"/>
      <c r="I154" s="515"/>
      <c r="J154" s="515"/>
      <c r="K154" s="515"/>
      <c r="L154" s="515"/>
      <c r="M154" s="515"/>
      <c r="N154" s="515"/>
      <c r="O154" s="515"/>
      <c r="P154" s="515"/>
      <c r="Q154" s="515"/>
      <c r="R154" s="515"/>
      <c r="S154" s="515"/>
      <c r="T154" s="515"/>
      <c r="U154" s="515"/>
      <c r="V154" s="515"/>
      <c r="W154" s="515"/>
      <c r="X154" s="515"/>
    </row>
    <row r="155" spans="1:24" s="33" customFormat="1">
      <c r="A155" s="47" t="s">
        <v>7</v>
      </c>
      <c r="B155" s="47" t="s">
        <v>7</v>
      </c>
      <c r="C155" s="78" t="s">
        <v>7</v>
      </c>
      <c r="D155" s="604" t="s">
        <v>7</v>
      </c>
      <c r="E155" s="78" t="s">
        <v>7</v>
      </c>
      <c r="F155" s="78" t="s">
        <v>7</v>
      </c>
      <c r="G155" s="78" t="s">
        <v>7</v>
      </c>
      <c r="H155" s="78" t="s">
        <v>7</v>
      </c>
      <c r="I155" s="78" t="s">
        <v>7</v>
      </c>
      <c r="J155" s="78" t="s">
        <v>7</v>
      </c>
      <c r="K155" s="78" t="s">
        <v>7</v>
      </c>
      <c r="L155" s="78" t="s">
        <v>7</v>
      </c>
      <c r="M155" s="78" t="s">
        <v>7</v>
      </c>
      <c r="N155" s="78" t="s">
        <v>7</v>
      </c>
      <c r="O155" s="78" t="s">
        <v>7</v>
      </c>
      <c r="P155" s="78" t="s">
        <v>7</v>
      </c>
      <c r="Q155" s="78" t="s">
        <v>7</v>
      </c>
      <c r="R155" s="78" t="s">
        <v>7</v>
      </c>
      <c r="S155" s="78" t="s">
        <v>7</v>
      </c>
      <c r="T155" s="78" t="s">
        <v>7</v>
      </c>
      <c r="U155" s="78" t="s">
        <v>7</v>
      </c>
      <c r="V155" s="78" t="s">
        <v>7</v>
      </c>
      <c r="W155" s="78" t="s">
        <v>7</v>
      </c>
      <c r="X155" s="78" t="s">
        <v>7</v>
      </c>
    </row>
    <row r="156" spans="1:24">
      <c r="A156" s="92"/>
      <c r="B156" s="92"/>
      <c r="C156" s="69"/>
      <c r="D156" s="518"/>
      <c r="E156" s="515"/>
      <c r="F156" s="515"/>
      <c r="G156" s="515"/>
      <c r="H156" s="515"/>
      <c r="I156" s="515"/>
      <c r="J156" s="515"/>
      <c r="K156" s="515"/>
      <c r="L156" s="515"/>
      <c r="M156" s="515"/>
      <c r="N156" s="515"/>
      <c r="O156" s="515"/>
      <c r="P156" s="515"/>
      <c r="Q156" s="515"/>
      <c r="R156" s="515"/>
      <c r="S156" s="515"/>
      <c r="T156" s="515"/>
      <c r="U156" s="515"/>
      <c r="V156" s="515"/>
      <c r="W156" s="515"/>
      <c r="X156" s="515"/>
    </row>
    <row r="157" spans="1:24" s="16" customFormat="1" ht="14.25">
      <c r="A157" s="278" t="s">
        <v>116</v>
      </c>
      <c r="B157" s="263"/>
      <c r="C157" s="263"/>
      <c r="D157" s="518">
        <f>D120-(D137+D143)</f>
        <v>0</v>
      </c>
      <c r="E157" s="520">
        <f>E120-E153</f>
        <v>-148033.33333333331</v>
      </c>
      <c r="F157" s="520">
        <f t="shared" ref="F157:X157" si="23">F120-F153</f>
        <v>670515.42441983928</v>
      </c>
      <c r="G157" s="520">
        <f t="shared" si="23"/>
        <v>827854.70490823616</v>
      </c>
      <c r="H157" s="520">
        <f t="shared" si="23"/>
        <v>844191.79900640086</v>
      </c>
      <c r="I157" s="520">
        <f t="shared" si="23"/>
        <v>860855.63498652901</v>
      </c>
      <c r="J157" s="520">
        <f t="shared" si="23"/>
        <v>1066446.7161132819</v>
      </c>
      <c r="K157" s="520">
        <f t="shared" si="23"/>
        <v>1087753.8122814705</v>
      </c>
      <c r="L157" s="520">
        <f t="shared" si="23"/>
        <v>1104950.1315826559</v>
      </c>
      <c r="M157" s="520">
        <f t="shared" si="23"/>
        <v>1122490.377269865</v>
      </c>
      <c r="N157" s="520">
        <f t="shared" si="23"/>
        <v>1140381.4278708172</v>
      </c>
      <c r="O157" s="520">
        <f t="shared" si="23"/>
        <v>1209061.7584993425</v>
      </c>
      <c r="P157" s="520">
        <f t="shared" si="23"/>
        <v>1232066.1103345761</v>
      </c>
      <c r="Q157" s="520">
        <f t="shared" si="23"/>
        <v>1251052.236360712</v>
      </c>
      <c r="R157" s="520">
        <f t="shared" si="23"/>
        <v>1270418.0849073711</v>
      </c>
      <c r="S157" s="520">
        <f t="shared" si="23"/>
        <v>1290171.2504249632</v>
      </c>
      <c r="T157" s="520">
        <f t="shared" si="23"/>
        <v>1360914.3752276246</v>
      </c>
      <c r="U157" s="520">
        <f t="shared" si="23"/>
        <v>1385792.6344629652</v>
      </c>
      <c r="V157" s="520">
        <f t="shared" si="23"/>
        <v>1406754.8517355574</v>
      </c>
      <c r="W157" s="520">
        <f t="shared" si="23"/>
        <v>1428136.3133536018</v>
      </c>
      <c r="X157" s="520">
        <f t="shared" si="23"/>
        <v>1449945.4042040077</v>
      </c>
    </row>
    <row r="158" spans="1:24">
      <c r="A158" s="30"/>
      <c r="B158" s="92"/>
      <c r="C158" s="69"/>
      <c r="D158" s="514"/>
      <c r="E158" s="515"/>
      <c r="F158" s="515"/>
      <c r="G158" s="515"/>
      <c r="H158" s="515"/>
      <c r="I158" s="515"/>
      <c r="J158" s="515"/>
      <c r="K158" s="515"/>
      <c r="L158" s="515"/>
      <c r="M158" s="515"/>
      <c r="N158" s="515"/>
      <c r="O158" s="515"/>
      <c r="P158" s="515"/>
      <c r="Q158" s="515"/>
      <c r="R158" s="515"/>
      <c r="S158" s="515"/>
      <c r="T158" s="515"/>
      <c r="U158" s="515"/>
      <c r="V158" s="515"/>
      <c r="W158" s="515"/>
      <c r="X158" s="515"/>
    </row>
    <row r="159" spans="1:24" s="594" customFormat="1">
      <c r="A159" s="589" t="s">
        <v>125</v>
      </c>
      <c r="B159" s="590"/>
      <c r="C159" s="591"/>
      <c r="D159" s="592">
        <v>0</v>
      </c>
      <c r="E159" s="593">
        <v>0</v>
      </c>
      <c r="F159" s="593">
        <v>0</v>
      </c>
      <c r="G159" s="593">
        <v>0</v>
      </c>
      <c r="H159" s="593">
        <v>0</v>
      </c>
      <c r="I159" s="593">
        <v>0</v>
      </c>
      <c r="J159" s="593">
        <v>0</v>
      </c>
      <c r="K159" s="593">
        <v>0</v>
      </c>
      <c r="L159" s="593">
        <v>0</v>
      </c>
      <c r="M159" s="593">
        <v>0</v>
      </c>
      <c r="N159" s="593">
        <v>0</v>
      </c>
      <c r="O159" s="593">
        <v>0</v>
      </c>
      <c r="P159" s="593">
        <v>0</v>
      </c>
      <c r="Q159" s="593">
        <v>0</v>
      </c>
      <c r="R159" s="593">
        <v>0</v>
      </c>
      <c r="S159" s="593">
        <v>0</v>
      </c>
      <c r="T159" s="593">
        <v>0</v>
      </c>
      <c r="U159" s="593">
        <v>0</v>
      </c>
      <c r="V159" s="593">
        <v>0</v>
      </c>
      <c r="W159" s="593">
        <v>0</v>
      </c>
      <c r="X159" s="593">
        <v>0</v>
      </c>
    </row>
    <row r="160" spans="1:24">
      <c r="A160" s="92"/>
      <c r="B160" s="92"/>
      <c r="C160" s="69"/>
      <c r="D160" s="514"/>
      <c r="E160" s="515"/>
      <c r="F160" s="515"/>
      <c r="G160" s="515"/>
      <c r="H160" s="515"/>
      <c r="I160" s="515"/>
      <c r="J160" s="515"/>
      <c r="K160" s="515"/>
      <c r="L160" s="515"/>
      <c r="M160" s="515"/>
      <c r="N160" s="515"/>
      <c r="O160" s="515"/>
      <c r="P160" s="515"/>
      <c r="Q160" s="515"/>
      <c r="R160" s="515"/>
      <c r="S160" s="515"/>
      <c r="T160" s="515"/>
      <c r="U160" s="515"/>
      <c r="V160" s="515"/>
      <c r="W160" s="515"/>
      <c r="X160" s="515"/>
    </row>
    <row r="161" spans="1:24" s="16" customFormat="1" ht="14.25">
      <c r="A161" s="278" t="s">
        <v>117</v>
      </c>
      <c r="B161" s="278"/>
      <c r="C161" s="263"/>
      <c r="D161" s="518">
        <v>0</v>
      </c>
      <c r="E161" s="520">
        <f>E157-E159</f>
        <v>-148033.33333333331</v>
      </c>
      <c r="F161" s="520">
        <f t="shared" ref="F161:X161" si="24">F157-F159</f>
        <v>670515.42441983928</v>
      </c>
      <c r="G161" s="520">
        <f t="shared" si="24"/>
        <v>827854.70490823616</v>
      </c>
      <c r="H161" s="520">
        <f t="shared" si="24"/>
        <v>844191.79900640086</v>
      </c>
      <c r="I161" s="520">
        <f t="shared" si="24"/>
        <v>860855.63498652901</v>
      </c>
      <c r="J161" s="520">
        <f t="shared" si="24"/>
        <v>1066446.7161132819</v>
      </c>
      <c r="K161" s="520">
        <f t="shared" si="24"/>
        <v>1087753.8122814705</v>
      </c>
      <c r="L161" s="520">
        <f t="shared" si="24"/>
        <v>1104950.1315826559</v>
      </c>
      <c r="M161" s="520">
        <f t="shared" si="24"/>
        <v>1122490.377269865</v>
      </c>
      <c r="N161" s="520">
        <f t="shared" si="24"/>
        <v>1140381.4278708172</v>
      </c>
      <c r="O161" s="520">
        <f t="shared" si="24"/>
        <v>1209061.7584993425</v>
      </c>
      <c r="P161" s="520">
        <f t="shared" si="24"/>
        <v>1232066.1103345761</v>
      </c>
      <c r="Q161" s="520">
        <f t="shared" si="24"/>
        <v>1251052.236360712</v>
      </c>
      <c r="R161" s="520">
        <f t="shared" si="24"/>
        <v>1270418.0849073711</v>
      </c>
      <c r="S161" s="520">
        <f t="shared" si="24"/>
        <v>1290171.2504249632</v>
      </c>
      <c r="T161" s="520">
        <f t="shared" si="24"/>
        <v>1360914.3752276246</v>
      </c>
      <c r="U161" s="520">
        <f t="shared" si="24"/>
        <v>1385792.6344629652</v>
      </c>
      <c r="V161" s="520">
        <f t="shared" si="24"/>
        <v>1406754.8517355574</v>
      </c>
      <c r="W161" s="520">
        <f t="shared" si="24"/>
        <v>1428136.3133536018</v>
      </c>
      <c r="X161" s="520">
        <f t="shared" si="24"/>
        <v>1449945.4042040077</v>
      </c>
    </row>
    <row r="162" spans="1:24">
      <c r="A162" s="92"/>
      <c r="B162" s="92"/>
      <c r="C162" s="69"/>
      <c r="D162" s="514"/>
      <c r="E162" s="515"/>
      <c r="F162" s="515"/>
      <c r="G162" s="515"/>
      <c r="H162" s="515"/>
      <c r="I162" s="515"/>
      <c r="J162" s="515"/>
      <c r="K162" s="515"/>
      <c r="L162" s="515"/>
      <c r="M162" s="515"/>
      <c r="N162" s="515"/>
      <c r="O162" s="515"/>
      <c r="P162" s="515"/>
      <c r="Q162" s="515"/>
      <c r="R162" s="515"/>
      <c r="S162" s="515"/>
      <c r="T162" s="515"/>
      <c r="U162" s="515"/>
      <c r="V162" s="515"/>
      <c r="W162" s="515"/>
      <c r="X162" s="515"/>
    </row>
    <row r="163" spans="1:24">
      <c r="A163" s="271" t="s">
        <v>126</v>
      </c>
      <c r="B163" s="272"/>
      <c r="C163" s="273"/>
      <c r="D163" s="523"/>
      <c r="E163" s="523"/>
      <c r="F163" s="523"/>
      <c r="G163" s="523"/>
      <c r="H163" s="523"/>
      <c r="I163" s="523"/>
      <c r="J163" s="523"/>
      <c r="K163" s="523"/>
      <c r="L163" s="523"/>
      <c r="M163" s="523"/>
      <c r="N163" s="523"/>
      <c r="O163" s="523"/>
      <c r="P163" s="523"/>
      <c r="Q163" s="523"/>
      <c r="R163" s="523"/>
      <c r="S163" s="523"/>
      <c r="T163" s="523"/>
      <c r="U163" s="523"/>
      <c r="V163" s="523"/>
      <c r="W163" s="523"/>
      <c r="X163" s="523"/>
    </row>
    <row r="164" spans="1:24" s="32" customFormat="1">
      <c r="A164" s="280"/>
      <c r="B164" s="91"/>
      <c r="C164" s="69"/>
      <c r="D164" s="514"/>
      <c r="E164" s="515"/>
      <c r="F164" s="515"/>
      <c r="G164" s="515"/>
      <c r="H164" s="515"/>
      <c r="I164" s="515"/>
      <c r="J164" s="515"/>
      <c r="K164" s="515"/>
      <c r="L164" s="515"/>
      <c r="M164" s="515"/>
      <c r="N164" s="515"/>
      <c r="O164" s="515"/>
      <c r="P164" s="515"/>
      <c r="Q164" s="515"/>
      <c r="R164" s="515"/>
      <c r="S164" s="515"/>
      <c r="T164" s="515"/>
      <c r="U164" s="515"/>
      <c r="V164" s="515"/>
      <c r="W164" s="515"/>
      <c r="X164" s="515"/>
    </row>
    <row r="165" spans="1:24" s="96" customFormat="1">
      <c r="A165" s="885" t="s">
        <v>136</v>
      </c>
      <c r="B165" s="719"/>
      <c r="C165" s="69"/>
      <c r="D165" s="514">
        <v>0</v>
      </c>
      <c r="E165" s="515">
        <f>'OPEX - Concept C2 - RCCL'!L170</f>
        <v>0</v>
      </c>
      <c r="F165" s="515">
        <f>'OPEX - Concept C2 - RCCL'!M170</f>
        <v>96205</v>
      </c>
      <c r="G165" s="515">
        <f>'OPEX - Concept C2 - RCCL'!N170</f>
        <v>98129.1</v>
      </c>
      <c r="H165" s="515">
        <f>'OPEX - Concept C2 - RCCL'!O170</f>
        <v>100091.682</v>
      </c>
      <c r="I165" s="515">
        <f>'OPEX - Concept C2 - RCCL'!P170</f>
        <v>102093.51564</v>
      </c>
      <c r="J165" s="515">
        <f>'OPEX - Concept C2 - RCCL'!Q170</f>
        <v>104135.3859528</v>
      </c>
      <c r="K165" s="515">
        <f>'OPEX - Concept C2 - RCCL'!R170</f>
        <v>106218.093671856</v>
      </c>
      <c r="L165" s="515">
        <f>'OPEX - Concept C2 - RCCL'!S170</f>
        <v>108342.45554529312</v>
      </c>
      <c r="M165" s="515">
        <f>'OPEX - Concept C2 - RCCL'!T170</f>
        <v>110509.30465619899</v>
      </c>
      <c r="N165" s="515">
        <f>'OPEX - Concept C2 - RCCL'!U170</f>
        <v>112719.49074932297</v>
      </c>
      <c r="O165" s="515">
        <f>'OPEX - Concept C2 - RCCL'!V170</f>
        <v>114973.88056430944</v>
      </c>
      <c r="P165" s="515">
        <f>'OPEX - Concept C2 - RCCL'!W170</f>
        <v>117273.35817559563</v>
      </c>
      <c r="Q165" s="515">
        <f>'OPEX - Concept C2 - RCCL'!X170</f>
        <v>119618.82533910754</v>
      </c>
      <c r="R165" s="515">
        <f>'OPEX - Concept C2 - RCCL'!Y170</f>
        <v>122011.20184588969</v>
      </c>
      <c r="S165" s="515">
        <f>'OPEX - Concept C2 - RCCL'!Z170</f>
        <v>124451.42588280747</v>
      </c>
      <c r="T165" s="515">
        <f>'OPEX - Concept C2 - RCCL'!AA170</f>
        <v>126940.45440046364</v>
      </c>
      <c r="U165" s="515">
        <f>'OPEX - Concept C2 - RCCL'!AB170</f>
        <v>129479.26348847292</v>
      </c>
      <c r="V165" s="515">
        <f>'OPEX - Concept C2 - RCCL'!AC170</f>
        <v>132068.84875824238</v>
      </c>
      <c r="W165" s="515">
        <f>'OPEX - Concept C2 - RCCL'!AD170</f>
        <v>134710.22573340722</v>
      </c>
      <c r="X165" s="515">
        <f>'OPEX - Concept C2 - RCCL'!AE170</f>
        <v>137404.43024807537</v>
      </c>
    </row>
    <row r="166" spans="1:24" s="96" customFormat="1">
      <c r="A166" s="885" t="s">
        <v>458</v>
      </c>
      <c r="B166" s="719"/>
      <c r="C166" s="69"/>
      <c r="D166" s="514">
        <v>0</v>
      </c>
      <c r="E166" s="515">
        <f>'OPEX - Concept C2 - RCCL'!L172</f>
        <v>676285.92</v>
      </c>
      <c r="F166" s="515">
        <f>'OPEX - Concept C2 - RCCL'!M172</f>
        <v>676285.92</v>
      </c>
      <c r="G166" s="515">
        <f>'OPEX - Concept C2 - RCCL'!N172</f>
        <v>676285.92</v>
      </c>
      <c r="H166" s="515">
        <f>'OPEX - Concept C2 - RCCL'!O172</f>
        <v>676285.92</v>
      </c>
      <c r="I166" s="515">
        <f>'OPEX - Concept C2 - RCCL'!P172</f>
        <v>676285.92</v>
      </c>
      <c r="J166" s="515">
        <f>'OPEX - Concept C2 - RCCL'!Q172</f>
        <v>676285.92</v>
      </c>
      <c r="K166" s="515">
        <f>'OPEX - Concept C2 - RCCL'!R172</f>
        <v>676285.92</v>
      </c>
      <c r="L166" s="515">
        <f>'OPEX - Concept C2 - RCCL'!S172</f>
        <v>676285.92</v>
      </c>
      <c r="M166" s="515">
        <f>'OPEX - Concept C2 - RCCL'!T172</f>
        <v>676285.92</v>
      </c>
      <c r="N166" s="515">
        <f>'OPEX - Concept C2 - RCCL'!U172</f>
        <v>676285.92</v>
      </c>
      <c r="O166" s="515">
        <f>'OPEX - Concept C2 - RCCL'!V172</f>
        <v>676285.92</v>
      </c>
      <c r="P166" s="515">
        <f>'OPEX - Concept C2 - RCCL'!W172</f>
        <v>676285.92</v>
      </c>
      <c r="Q166" s="515">
        <f>'OPEX - Concept C2 - RCCL'!X172</f>
        <v>676285.92</v>
      </c>
      <c r="R166" s="515">
        <f>'OPEX - Concept C2 - RCCL'!Y172</f>
        <v>676285.92</v>
      </c>
      <c r="S166" s="515">
        <f>'OPEX - Concept C2 - RCCL'!Z172</f>
        <v>676285.92</v>
      </c>
      <c r="T166" s="515">
        <f>'OPEX - Concept C2 - RCCL'!AA172</f>
        <v>676285.92</v>
      </c>
      <c r="U166" s="515">
        <f>'OPEX - Concept C2 - RCCL'!AB172</f>
        <v>676285.92</v>
      </c>
      <c r="V166" s="515">
        <f>'OPEX - Concept C2 - RCCL'!AC172</f>
        <v>676285.92</v>
      </c>
      <c r="W166" s="515">
        <f>'OPEX - Concept C2 - RCCL'!AD172</f>
        <v>676285.92</v>
      </c>
      <c r="X166" s="515">
        <f>'OPEX - Concept C2 - RCCL'!AE172</f>
        <v>676285.92</v>
      </c>
    </row>
    <row r="167" spans="1:24" s="341" customFormat="1">
      <c r="A167" s="696" t="s">
        <v>315</v>
      </c>
      <c r="B167" s="697"/>
      <c r="C167" s="698"/>
      <c r="D167" s="699">
        <v>0</v>
      </c>
      <c r="E167" s="700">
        <v>0</v>
      </c>
      <c r="F167" s="700">
        <v>0</v>
      </c>
      <c r="G167" s="700">
        <v>0</v>
      </c>
      <c r="H167" s="700">
        <v>0</v>
      </c>
      <c r="I167" s="700">
        <v>0</v>
      </c>
      <c r="J167" s="700">
        <v>0</v>
      </c>
      <c r="K167" s="700">
        <v>0</v>
      </c>
      <c r="L167" s="700">
        <v>0</v>
      </c>
      <c r="M167" s="700">
        <v>0</v>
      </c>
      <c r="N167" s="700">
        <v>0</v>
      </c>
      <c r="O167" s="700">
        <v>0</v>
      </c>
      <c r="P167" s="700">
        <v>0</v>
      </c>
      <c r="Q167" s="700">
        <v>0</v>
      </c>
      <c r="R167" s="700">
        <v>0</v>
      </c>
      <c r="S167" s="700">
        <v>0</v>
      </c>
      <c r="T167" s="700">
        <v>0</v>
      </c>
      <c r="U167" s="700">
        <v>0</v>
      </c>
      <c r="V167" s="700">
        <v>0</v>
      </c>
      <c r="W167" s="700">
        <v>0</v>
      </c>
      <c r="X167" s="700">
        <v>0</v>
      </c>
    </row>
    <row r="168" spans="1:24" s="32" customFormat="1">
      <c r="A168" s="93" t="s">
        <v>316</v>
      </c>
      <c r="B168" s="298"/>
      <c r="C168" s="298"/>
      <c r="D168" s="505">
        <v>0</v>
      </c>
      <c r="E168" s="506">
        <v>246000</v>
      </c>
      <c r="F168" s="506">
        <v>246000</v>
      </c>
      <c r="G168" s="506">
        <v>246000</v>
      </c>
      <c r="H168" s="506">
        <v>246000</v>
      </c>
      <c r="I168" s="506">
        <v>246000</v>
      </c>
      <c r="J168" s="506">
        <v>246000</v>
      </c>
      <c r="K168" s="506">
        <v>246000</v>
      </c>
      <c r="L168" s="506">
        <v>246000</v>
      </c>
      <c r="M168" s="506">
        <v>246000</v>
      </c>
      <c r="N168" s="506">
        <v>246000</v>
      </c>
      <c r="O168" s="506">
        <v>246000</v>
      </c>
      <c r="P168" s="506">
        <v>246000</v>
      </c>
      <c r="Q168" s="506">
        <v>246000</v>
      </c>
      <c r="R168" s="506">
        <v>246000</v>
      </c>
      <c r="S168" s="506">
        <v>246000</v>
      </c>
      <c r="T168" s="506">
        <v>246000</v>
      </c>
      <c r="U168" s="506">
        <v>246000</v>
      </c>
      <c r="V168" s="506">
        <v>246000</v>
      </c>
      <c r="W168" s="506">
        <v>246000</v>
      </c>
      <c r="X168" s="506">
        <v>246000</v>
      </c>
    </row>
    <row r="169" spans="1:24" s="222" customFormat="1" ht="14.25">
      <c r="A169" s="263" t="s">
        <v>134</v>
      </c>
      <c r="B169" s="264"/>
      <c r="C169" s="264"/>
      <c r="D169" s="524">
        <f>SUM(D165:D168)</f>
        <v>0</v>
      </c>
      <c r="E169" s="525">
        <f t="shared" ref="E169:X169" si="25">SUM(E165:E168)</f>
        <v>922285.92</v>
      </c>
      <c r="F169" s="525">
        <f t="shared" si="25"/>
        <v>1018490.92</v>
      </c>
      <c r="G169" s="525">
        <f t="shared" si="25"/>
        <v>1020415.02</v>
      </c>
      <c r="H169" s="525">
        <f t="shared" si="25"/>
        <v>1022377.6020000001</v>
      </c>
      <c r="I169" s="525">
        <f t="shared" si="25"/>
        <v>1024379.43564</v>
      </c>
      <c r="J169" s="525">
        <f t="shared" si="25"/>
        <v>1026421.3059528001</v>
      </c>
      <c r="K169" s="525">
        <f t="shared" si="25"/>
        <v>1028504.013671856</v>
      </c>
      <c r="L169" s="525">
        <f t="shared" si="25"/>
        <v>1030628.3755452932</v>
      </c>
      <c r="M169" s="525">
        <f t="shared" si="25"/>
        <v>1032795.224656199</v>
      </c>
      <c r="N169" s="525">
        <f t="shared" si="25"/>
        <v>1035005.410749323</v>
      </c>
      <c r="O169" s="525">
        <f t="shared" si="25"/>
        <v>1037259.8005643095</v>
      </c>
      <c r="P169" s="525">
        <f t="shared" si="25"/>
        <v>1039559.2781755957</v>
      </c>
      <c r="Q169" s="525">
        <f t="shared" si="25"/>
        <v>1041904.7453391076</v>
      </c>
      <c r="R169" s="525">
        <f t="shared" si="25"/>
        <v>1044297.1218458897</v>
      </c>
      <c r="S169" s="525">
        <f t="shared" si="25"/>
        <v>1046737.3458828075</v>
      </c>
      <c r="T169" s="525">
        <f t="shared" si="25"/>
        <v>1049226.3744004637</v>
      </c>
      <c r="U169" s="525">
        <f t="shared" si="25"/>
        <v>1051765.1834884728</v>
      </c>
      <c r="V169" s="525">
        <f t="shared" si="25"/>
        <v>1054354.7687582425</v>
      </c>
      <c r="W169" s="525">
        <f t="shared" si="25"/>
        <v>1056996.1457334072</v>
      </c>
      <c r="X169" s="525">
        <f t="shared" si="25"/>
        <v>1059690.3502480756</v>
      </c>
    </row>
    <row r="170" spans="1:24" s="32" customFormat="1">
      <c r="A170" s="69"/>
      <c r="B170" s="90"/>
      <c r="C170" s="90"/>
      <c r="D170" s="526"/>
      <c r="E170" s="527"/>
      <c r="F170" s="527"/>
      <c r="G170" s="527"/>
      <c r="H170" s="527"/>
      <c r="I170" s="527"/>
      <c r="J170" s="527"/>
      <c r="K170" s="527"/>
      <c r="L170" s="527"/>
      <c r="M170" s="527"/>
      <c r="N170" s="527"/>
      <c r="O170" s="527"/>
      <c r="P170" s="527"/>
      <c r="Q170" s="527"/>
      <c r="R170" s="527"/>
      <c r="S170" s="527"/>
      <c r="T170" s="527"/>
      <c r="U170" s="527"/>
      <c r="V170" s="527"/>
      <c r="W170" s="527"/>
      <c r="X170" s="527"/>
    </row>
    <row r="171" spans="1:24" s="32" customFormat="1">
      <c r="A171" s="94" t="s">
        <v>137</v>
      </c>
      <c r="C171" s="69"/>
      <c r="D171" s="514">
        <v>0</v>
      </c>
      <c r="E171" s="515">
        <f>E161-E165</f>
        <v>-148033.33333333331</v>
      </c>
      <c r="F171" s="515">
        <f t="shared" ref="F171:X171" si="26">F157-F165</f>
        <v>574310.42441983928</v>
      </c>
      <c r="G171" s="515">
        <f t="shared" si="26"/>
        <v>729725.60490823619</v>
      </c>
      <c r="H171" s="515">
        <f t="shared" si="26"/>
        <v>744100.11700640083</v>
      </c>
      <c r="I171" s="515">
        <f t="shared" si="26"/>
        <v>758762.11934652901</v>
      </c>
      <c r="J171" s="515">
        <f t="shared" si="26"/>
        <v>962311.33016048186</v>
      </c>
      <c r="K171" s="515">
        <f t="shared" si="26"/>
        <v>981535.71860961453</v>
      </c>
      <c r="L171" s="515">
        <f t="shared" si="26"/>
        <v>996607.67603736278</v>
      </c>
      <c r="M171" s="515">
        <f t="shared" si="26"/>
        <v>1011981.0726136661</v>
      </c>
      <c r="N171" s="515">
        <f t="shared" si="26"/>
        <v>1027661.9371214943</v>
      </c>
      <c r="O171" s="515">
        <f t="shared" si="26"/>
        <v>1094087.8779350331</v>
      </c>
      <c r="P171" s="515">
        <f t="shared" si="26"/>
        <v>1114792.7521589806</v>
      </c>
      <c r="Q171" s="515">
        <f t="shared" si="26"/>
        <v>1131433.4110216044</v>
      </c>
      <c r="R171" s="515">
        <f t="shared" si="26"/>
        <v>1148406.8830614814</v>
      </c>
      <c r="S171" s="515">
        <f t="shared" si="26"/>
        <v>1165719.8245421557</v>
      </c>
      <c r="T171" s="515">
        <f t="shared" si="26"/>
        <v>1233973.9208271608</v>
      </c>
      <c r="U171" s="515">
        <f t="shared" si="26"/>
        <v>1256313.3709744923</v>
      </c>
      <c r="V171" s="515">
        <f t="shared" si="26"/>
        <v>1274686.0029773151</v>
      </c>
      <c r="W171" s="515">
        <f t="shared" si="26"/>
        <v>1293426.0876201945</v>
      </c>
      <c r="X171" s="515">
        <f t="shared" si="26"/>
        <v>1312540.9739559323</v>
      </c>
    </row>
    <row r="172" spans="1:24" ht="16.5" customHeight="1">
      <c r="A172" s="88" t="s">
        <v>128</v>
      </c>
      <c r="B172" s="98"/>
      <c r="C172" s="98"/>
      <c r="D172" s="528">
        <v>0</v>
      </c>
      <c r="E172" s="529">
        <f>E161-E169</f>
        <v>-1070319.2533333334</v>
      </c>
      <c r="F172" s="529">
        <f t="shared" ref="F172:X172" si="27">F161-F169</f>
        <v>-347975.49558016076</v>
      </c>
      <c r="G172" s="529">
        <f t="shared" si="27"/>
        <v>-192560.31509176386</v>
      </c>
      <c r="H172" s="529">
        <f t="shared" si="27"/>
        <v>-178185.80299359921</v>
      </c>
      <c r="I172" s="529">
        <f t="shared" si="27"/>
        <v>-163523.80065347103</v>
      </c>
      <c r="J172" s="529">
        <f t="shared" si="27"/>
        <v>40025.410160481813</v>
      </c>
      <c r="K172" s="529">
        <f t="shared" si="27"/>
        <v>59249.798609614489</v>
      </c>
      <c r="L172" s="529">
        <f t="shared" si="27"/>
        <v>74321.756037362735</v>
      </c>
      <c r="M172" s="529">
        <f t="shared" si="27"/>
        <v>89695.152613666025</v>
      </c>
      <c r="N172" s="529">
        <f t="shared" si="27"/>
        <v>105376.01712149428</v>
      </c>
      <c r="O172" s="529">
        <f t="shared" si="27"/>
        <v>171801.95793503302</v>
      </c>
      <c r="P172" s="529">
        <f t="shared" si="27"/>
        <v>192506.83215898043</v>
      </c>
      <c r="Q172" s="529">
        <f t="shared" si="27"/>
        <v>209147.49102160439</v>
      </c>
      <c r="R172" s="529">
        <f t="shared" si="27"/>
        <v>226120.96306148137</v>
      </c>
      <c r="S172" s="529">
        <f t="shared" si="27"/>
        <v>243433.90454215568</v>
      </c>
      <c r="T172" s="529">
        <f t="shared" si="27"/>
        <v>311688.0008271609</v>
      </c>
      <c r="U172" s="529">
        <f t="shared" si="27"/>
        <v>334027.45097449236</v>
      </c>
      <c r="V172" s="529">
        <f t="shared" si="27"/>
        <v>352400.08297731495</v>
      </c>
      <c r="W172" s="529">
        <f t="shared" si="27"/>
        <v>371140.16762019461</v>
      </c>
      <c r="X172" s="529">
        <f t="shared" si="27"/>
        <v>390255.05395593215</v>
      </c>
    </row>
    <row r="173" spans="1:24" ht="16.5" customHeight="1">
      <c r="A173" s="88"/>
      <c r="B173" s="88"/>
      <c r="C173" s="88"/>
      <c r="D173" s="526"/>
      <c r="E173" s="527"/>
      <c r="F173" s="527"/>
      <c r="G173" s="527"/>
      <c r="H173" s="527"/>
      <c r="I173" s="527"/>
      <c r="J173" s="527"/>
      <c r="K173" s="527"/>
      <c r="L173" s="527"/>
      <c r="M173" s="527"/>
      <c r="N173" s="527"/>
      <c r="O173" s="527"/>
      <c r="P173" s="527"/>
      <c r="Q173" s="527"/>
      <c r="R173" s="527"/>
      <c r="S173" s="527"/>
      <c r="T173" s="527"/>
      <c r="U173" s="527"/>
      <c r="V173" s="527"/>
      <c r="W173" s="527"/>
      <c r="X173" s="527"/>
    </row>
    <row r="174" spans="1:24" ht="16.5" customHeight="1">
      <c r="A174" s="88" t="s">
        <v>129</v>
      </c>
      <c r="B174" s="632">
        <f>NPV(Cost_of_Money__DPC,E161:X161)</f>
        <v>21861719.714616485</v>
      </c>
      <c r="C174" s="88"/>
      <c r="D174" s="526"/>
      <c r="E174" s="527"/>
      <c r="F174" s="527"/>
      <c r="G174" s="527"/>
      <c r="H174" s="527"/>
      <c r="I174" s="527"/>
      <c r="J174" s="527"/>
      <c r="K174" s="527"/>
      <c r="L174" s="527"/>
      <c r="M174" s="527"/>
      <c r="N174" s="527"/>
      <c r="O174" s="527"/>
      <c r="P174" s="527"/>
      <c r="Q174" s="527"/>
      <c r="R174" s="527"/>
      <c r="S174" s="527"/>
      <c r="T174" s="527"/>
      <c r="U174" s="527"/>
      <c r="V174" s="527"/>
      <c r="W174" s="527"/>
      <c r="X174" s="527"/>
    </row>
    <row r="175" spans="1:24" ht="16.5" customHeight="1">
      <c r="A175" s="300" t="s">
        <v>130</v>
      </c>
      <c r="B175" s="733">
        <f>SUM(E172:X172)</f>
        <v>1218625.3719646404</v>
      </c>
      <c r="C175" s="301"/>
      <c r="D175" s="530">
        <v>0</v>
      </c>
      <c r="E175" s="530">
        <f>E161-E169</f>
        <v>-1070319.2533333334</v>
      </c>
      <c r="F175" s="530">
        <f t="shared" ref="F175:X175" si="28">F161-F169</f>
        <v>-347975.49558016076</v>
      </c>
      <c r="G175" s="530">
        <f t="shared" si="28"/>
        <v>-192560.31509176386</v>
      </c>
      <c r="H175" s="530">
        <f t="shared" si="28"/>
        <v>-178185.80299359921</v>
      </c>
      <c r="I175" s="530">
        <f t="shared" si="28"/>
        <v>-163523.80065347103</v>
      </c>
      <c r="J175" s="530">
        <f t="shared" si="28"/>
        <v>40025.410160481813</v>
      </c>
      <c r="K175" s="530">
        <f t="shared" si="28"/>
        <v>59249.798609614489</v>
      </c>
      <c r="L175" s="530">
        <f t="shared" si="28"/>
        <v>74321.756037362735</v>
      </c>
      <c r="M175" s="530">
        <f t="shared" si="28"/>
        <v>89695.152613666025</v>
      </c>
      <c r="N175" s="530">
        <f t="shared" si="28"/>
        <v>105376.01712149428</v>
      </c>
      <c r="O175" s="530">
        <f t="shared" si="28"/>
        <v>171801.95793503302</v>
      </c>
      <c r="P175" s="530">
        <f t="shared" si="28"/>
        <v>192506.83215898043</v>
      </c>
      <c r="Q175" s="530">
        <f t="shared" si="28"/>
        <v>209147.49102160439</v>
      </c>
      <c r="R175" s="530">
        <f t="shared" si="28"/>
        <v>226120.96306148137</v>
      </c>
      <c r="S175" s="530">
        <f t="shared" si="28"/>
        <v>243433.90454215568</v>
      </c>
      <c r="T175" s="530">
        <f t="shared" si="28"/>
        <v>311688.0008271609</v>
      </c>
      <c r="U175" s="530">
        <f t="shared" si="28"/>
        <v>334027.45097449236</v>
      </c>
      <c r="V175" s="530">
        <f t="shared" si="28"/>
        <v>352400.08297731495</v>
      </c>
      <c r="W175" s="530">
        <f t="shared" si="28"/>
        <v>371140.16762019461</v>
      </c>
      <c r="X175" s="530">
        <f t="shared" si="28"/>
        <v>390255.05395593215</v>
      </c>
    </row>
    <row r="176" spans="1:24" s="58" customFormat="1" ht="16.5" customHeight="1">
      <c r="A176" s="90" t="s">
        <v>32</v>
      </c>
      <c r="B176" s="358">
        <f>IRR(E175:X175)</f>
        <v>3.754845132010054E-2</v>
      </c>
      <c r="C176" s="356"/>
      <c r="D176" s="502"/>
      <c r="E176" s="504"/>
      <c r="F176" s="504"/>
      <c r="G176" s="504"/>
      <c r="H176" s="504"/>
      <c r="I176" s="504"/>
      <c r="J176" s="504"/>
      <c r="K176" s="504"/>
      <c r="L176" s="504"/>
      <c r="M176" s="504"/>
      <c r="N176" s="504"/>
      <c r="O176" s="504"/>
      <c r="P176" s="504"/>
      <c r="Q176" s="504"/>
      <c r="R176" s="504"/>
      <c r="S176" s="504"/>
      <c r="T176" s="504"/>
      <c r="U176" s="504"/>
      <c r="V176" s="504"/>
      <c r="W176" s="504"/>
      <c r="X176" s="504"/>
    </row>
    <row r="177" spans="1:24">
      <c r="A177" s="30"/>
      <c r="B177" s="30"/>
      <c r="C177" s="30"/>
      <c r="D177" s="502"/>
      <c r="E177" s="512"/>
      <c r="F177" s="512"/>
      <c r="G177" s="512"/>
      <c r="H177" s="512"/>
      <c r="I177" s="512"/>
      <c r="J177" s="512"/>
      <c r="K177" s="512"/>
      <c r="L177" s="512"/>
      <c r="M177" s="512"/>
      <c r="N177" s="512"/>
      <c r="O177" s="512"/>
      <c r="P177" s="512"/>
      <c r="Q177" s="512"/>
      <c r="R177" s="512"/>
      <c r="S177" s="512"/>
      <c r="T177" s="512"/>
      <c r="U177" s="512"/>
      <c r="V177" s="512"/>
      <c r="W177" s="512"/>
      <c r="X177" s="512"/>
    </row>
    <row r="178" spans="1:24">
      <c r="A178" s="274" t="s">
        <v>28</v>
      </c>
      <c r="B178" s="275"/>
      <c r="C178" s="275"/>
      <c r="D178" s="531"/>
      <c r="E178" s="531"/>
      <c r="F178" s="531"/>
      <c r="G178" s="531"/>
      <c r="H178" s="531"/>
      <c r="I178" s="531"/>
      <c r="J178" s="531"/>
      <c r="K178" s="531"/>
      <c r="L178" s="531"/>
      <c r="M178" s="531"/>
      <c r="N178" s="531"/>
      <c r="O178" s="531"/>
      <c r="P178" s="531"/>
      <c r="Q178" s="531"/>
      <c r="R178" s="531"/>
      <c r="S178" s="531"/>
      <c r="T178" s="531"/>
      <c r="U178" s="531"/>
      <c r="V178" s="531"/>
      <c r="W178" s="531"/>
      <c r="X178" s="531"/>
    </row>
    <row r="179" spans="1:24">
      <c r="A179" s="30"/>
      <c r="B179" s="30"/>
      <c r="C179" s="30"/>
      <c r="D179" s="502"/>
      <c r="E179" s="512"/>
      <c r="F179" s="512"/>
      <c r="G179" s="512"/>
      <c r="H179" s="512"/>
      <c r="I179" s="512"/>
      <c r="J179" s="512"/>
      <c r="K179" s="512"/>
      <c r="L179" s="512"/>
      <c r="M179" s="512"/>
      <c r="N179" s="512"/>
      <c r="O179" s="512"/>
      <c r="P179" s="512"/>
      <c r="Q179" s="512"/>
      <c r="R179" s="512"/>
      <c r="S179" s="512"/>
      <c r="T179" s="512"/>
      <c r="U179" s="512"/>
      <c r="V179" s="512"/>
      <c r="W179" s="512"/>
      <c r="X179" s="512"/>
    </row>
    <row r="180" spans="1:24">
      <c r="A180" s="30" t="s">
        <v>300</v>
      </c>
      <c r="B180" s="30"/>
      <c r="C180" s="87"/>
      <c r="D180" s="502">
        <v>0</v>
      </c>
      <c r="E180" s="512"/>
      <c r="F180" s="512"/>
      <c r="G180" s="512"/>
      <c r="H180" s="512"/>
      <c r="I180" s="512"/>
      <c r="J180" s="512"/>
      <c r="K180" s="512"/>
      <c r="L180" s="512"/>
      <c r="M180" s="512"/>
      <c r="N180" s="512"/>
      <c r="O180" s="512"/>
      <c r="P180" s="512"/>
      <c r="Q180" s="512"/>
      <c r="R180" s="512"/>
      <c r="S180" s="512"/>
      <c r="T180" s="512"/>
      <c r="U180" s="512"/>
      <c r="V180" s="512"/>
      <c r="W180" s="512"/>
      <c r="X180" s="512"/>
    </row>
    <row r="181" spans="1:24">
      <c r="A181" s="30" t="s">
        <v>301</v>
      </c>
      <c r="B181" s="30"/>
      <c r="C181" s="30"/>
      <c r="D181" s="502">
        <v>0</v>
      </c>
      <c r="E181" s="512"/>
      <c r="F181" s="512"/>
      <c r="G181" s="512"/>
      <c r="H181" s="512"/>
      <c r="I181" s="512"/>
      <c r="J181" s="512"/>
      <c r="K181" s="512"/>
      <c r="L181" s="512"/>
      <c r="M181" s="512"/>
      <c r="N181" s="512"/>
      <c r="O181" s="512"/>
      <c r="P181" s="512"/>
      <c r="Q181" s="512"/>
      <c r="R181" s="512"/>
      <c r="S181" s="512"/>
      <c r="T181" s="512"/>
      <c r="U181" s="512"/>
      <c r="V181" s="512"/>
      <c r="W181" s="512"/>
      <c r="X181" s="512"/>
    </row>
    <row r="182" spans="1:24">
      <c r="A182" s="30"/>
      <c r="B182" s="30"/>
      <c r="C182" s="30"/>
      <c r="D182" s="502"/>
      <c r="E182" s="512"/>
      <c r="F182" s="512"/>
      <c r="G182" s="512"/>
      <c r="H182" s="512"/>
      <c r="I182" s="512"/>
      <c r="J182" s="512"/>
      <c r="K182" s="512"/>
      <c r="L182" s="512"/>
      <c r="M182" s="512"/>
      <c r="N182" s="512"/>
      <c r="O182" s="512"/>
      <c r="P182" s="512"/>
      <c r="Q182" s="512"/>
      <c r="R182" s="512"/>
      <c r="S182" s="512"/>
      <c r="T182" s="512"/>
      <c r="U182" s="512"/>
      <c r="V182" s="512"/>
      <c r="W182" s="512"/>
      <c r="X182" s="512"/>
    </row>
    <row r="183" spans="1:24">
      <c r="A183" s="30" t="s">
        <v>298</v>
      </c>
      <c r="B183" s="30"/>
      <c r="C183" s="30"/>
      <c r="D183" s="502">
        <v>0</v>
      </c>
      <c r="E183" s="512"/>
      <c r="F183" s="512"/>
      <c r="G183" s="512"/>
      <c r="H183" s="512"/>
      <c r="I183" s="512"/>
      <c r="J183" s="512"/>
      <c r="K183" s="512"/>
      <c r="L183" s="512"/>
      <c r="M183" s="512"/>
      <c r="N183" s="512"/>
      <c r="O183" s="512"/>
      <c r="P183" s="512"/>
      <c r="Q183" s="512"/>
      <c r="R183" s="512"/>
      <c r="S183" s="512"/>
      <c r="T183" s="512"/>
      <c r="U183" s="512"/>
      <c r="V183" s="512"/>
      <c r="W183" s="512"/>
      <c r="X183" s="512"/>
    </row>
    <row r="184" spans="1:24">
      <c r="A184" s="30" t="s">
        <v>299</v>
      </c>
      <c r="B184" s="30"/>
      <c r="C184" s="30"/>
      <c r="D184" s="502">
        <v>0</v>
      </c>
      <c r="E184" s="512"/>
      <c r="F184" s="512"/>
      <c r="G184" s="512"/>
      <c r="H184" s="512"/>
      <c r="I184" s="512"/>
      <c r="J184" s="512"/>
      <c r="K184" s="512"/>
      <c r="L184" s="512"/>
      <c r="M184" s="512"/>
      <c r="N184" s="512"/>
      <c r="O184" s="512"/>
      <c r="P184" s="512"/>
      <c r="Q184" s="512"/>
      <c r="R184" s="512"/>
      <c r="S184" s="512"/>
      <c r="T184" s="512"/>
      <c r="U184" s="512"/>
      <c r="V184" s="512"/>
      <c r="W184" s="512"/>
      <c r="X184" s="512"/>
    </row>
    <row r="185" spans="1:24">
      <c r="D185" s="502"/>
      <c r="E185" s="532"/>
      <c r="F185" s="532"/>
      <c r="G185" s="532"/>
      <c r="H185" s="532"/>
      <c r="I185" s="532"/>
      <c r="J185" s="532"/>
      <c r="K185" s="532"/>
      <c r="L185" s="532"/>
      <c r="M185" s="532"/>
      <c r="N185" s="532"/>
      <c r="O185" s="532"/>
      <c r="P185" s="532"/>
      <c r="Q185" s="532"/>
      <c r="R185" s="532"/>
      <c r="S185" s="532"/>
      <c r="T185" s="532"/>
      <c r="U185" s="532"/>
      <c r="V185" s="532"/>
      <c r="W185" s="532"/>
      <c r="X185" s="532"/>
    </row>
    <row r="186" spans="1:24">
      <c r="A186" s="131"/>
      <c r="B186" s="131"/>
      <c r="C186" s="131"/>
      <c r="D186" s="493"/>
      <c r="E186" s="334"/>
      <c r="F186" s="334"/>
      <c r="G186" s="334"/>
      <c r="H186" s="334"/>
      <c r="I186" s="334"/>
      <c r="J186" s="334"/>
      <c r="K186" s="334"/>
      <c r="L186" s="334"/>
      <c r="M186" s="334"/>
      <c r="N186" s="334"/>
      <c r="O186" s="334"/>
      <c r="P186" s="334"/>
      <c r="Q186" s="334"/>
      <c r="R186" s="334"/>
      <c r="S186" s="334"/>
      <c r="T186" s="334"/>
      <c r="U186" s="334"/>
      <c r="V186" s="334"/>
      <c r="W186" s="334"/>
      <c r="X186" s="334"/>
    </row>
    <row r="187" spans="1:24">
      <c r="D187" s="494"/>
      <c r="E187" s="327"/>
      <c r="F187" s="327"/>
      <c r="G187" s="327"/>
      <c r="H187" s="327"/>
      <c r="I187" s="327"/>
      <c r="J187" s="327"/>
      <c r="K187" s="327"/>
      <c r="L187" s="327"/>
      <c r="M187" s="327"/>
      <c r="N187" s="327"/>
      <c r="O187" s="327"/>
      <c r="P187" s="327"/>
      <c r="Q187" s="327"/>
      <c r="R187" s="327"/>
      <c r="S187" s="327"/>
      <c r="T187" s="327"/>
      <c r="U187" s="327"/>
      <c r="V187" s="327"/>
      <c r="W187" s="327"/>
      <c r="X187" s="327"/>
    </row>
    <row r="188" spans="1:24">
      <c r="A188"/>
      <c r="D188" s="494"/>
      <c r="E188" s="327"/>
      <c r="F188" s="327"/>
      <c r="G188" s="327"/>
      <c r="H188" s="327"/>
      <c r="I188" s="327"/>
      <c r="J188" s="327"/>
      <c r="K188" s="327"/>
      <c r="L188" s="327"/>
      <c r="M188" s="327"/>
      <c r="N188" s="327"/>
      <c r="O188" s="327"/>
      <c r="P188" s="327"/>
      <c r="Q188" s="327"/>
      <c r="R188" s="327"/>
      <c r="S188" s="327"/>
      <c r="T188" s="327"/>
      <c r="U188" s="327"/>
      <c r="V188" s="327"/>
      <c r="W188" s="327"/>
      <c r="X188" s="327"/>
    </row>
    <row r="189" spans="1:24">
      <c r="A189"/>
      <c r="D189" s="494"/>
      <c r="E189" s="327"/>
      <c r="F189" s="327"/>
      <c r="G189" s="327"/>
      <c r="H189" s="327"/>
      <c r="I189" s="327"/>
      <c r="J189" s="327"/>
      <c r="K189" s="327"/>
      <c r="L189" s="327"/>
      <c r="M189" s="327"/>
      <c r="N189" s="327"/>
      <c r="O189" s="327"/>
      <c r="P189" s="327"/>
      <c r="Q189" s="327"/>
      <c r="R189" s="327"/>
      <c r="S189" s="327"/>
      <c r="T189" s="327"/>
      <c r="U189" s="327"/>
      <c r="V189" s="327"/>
      <c r="W189" s="327"/>
      <c r="X189" s="327"/>
    </row>
    <row r="190" spans="1:24">
      <c r="D190" s="494"/>
      <c r="E190" s="327"/>
      <c r="F190" s="327"/>
      <c r="G190" s="327"/>
      <c r="H190" s="362"/>
      <c r="I190" s="327"/>
      <c r="J190" s="327"/>
      <c r="K190" s="327"/>
      <c r="L190" s="327"/>
      <c r="M190" s="327"/>
      <c r="N190" s="327"/>
      <c r="O190" s="327"/>
      <c r="P190" s="327"/>
      <c r="Q190" s="327"/>
      <c r="R190" s="327"/>
      <c r="S190" s="327"/>
      <c r="T190" s="327"/>
      <c r="U190" s="327"/>
      <c r="V190" s="327"/>
      <c r="W190" s="327"/>
      <c r="X190" s="327"/>
    </row>
    <row r="191" spans="1:24">
      <c r="D191" s="326"/>
      <c r="E191" s="327"/>
      <c r="F191" s="327"/>
      <c r="G191" s="327"/>
      <c r="H191" s="359"/>
      <c r="I191" s="327"/>
      <c r="J191" s="327"/>
      <c r="K191" s="327"/>
      <c r="L191" s="327"/>
      <c r="M191" s="327"/>
      <c r="N191" s="327"/>
      <c r="O191" s="327"/>
      <c r="P191" s="327"/>
      <c r="Q191" s="327"/>
      <c r="R191" s="327"/>
      <c r="S191" s="327"/>
      <c r="T191" s="327"/>
      <c r="U191" s="327"/>
      <c r="V191" s="327"/>
      <c r="W191" s="327"/>
      <c r="X191" s="327"/>
    </row>
    <row r="192" spans="1:24">
      <c r="H192" s="305"/>
    </row>
    <row r="193" spans="8:8">
      <c r="H193" s="30"/>
    </row>
    <row r="194" spans="8:8">
      <c r="H194" s="87"/>
    </row>
    <row r="196" spans="8:8">
      <c r="H196" s="360"/>
    </row>
    <row r="197" spans="8:8">
      <c r="H197" s="361"/>
    </row>
  </sheetData>
  <pageMargins left="0.7" right="0.7" top="0.75" bottom="0.75" header="0.3" footer="0.3"/>
  <pageSetup paperSize="9" scale="2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XFD197"/>
  <sheetViews>
    <sheetView topLeftCell="A73" zoomScale="64" zoomScaleNormal="55" workbookViewId="0">
      <selection activeCell="A118" sqref="A118:XFD118"/>
    </sheetView>
  </sheetViews>
  <sheetFormatPr defaultColWidth="9" defaultRowHeight="16.5"/>
  <cols>
    <col min="1" max="1" width="71.875" style="18" customWidth="1"/>
    <col min="2" max="2" width="49" style="18" bestFit="1" customWidth="1"/>
    <col min="3" max="3" width="8" style="18" bestFit="1" customWidth="1"/>
    <col min="4" max="4" width="7.75" style="262" bestFit="1" customWidth="1"/>
    <col min="5" max="5" width="17.125" style="18" bestFit="1" customWidth="1"/>
    <col min="6" max="7" width="16.75" style="18" bestFit="1" customWidth="1"/>
    <col min="8" max="8" width="16.375" style="18" bestFit="1" customWidth="1"/>
    <col min="9" max="11" width="16.75" style="18" bestFit="1" customWidth="1"/>
    <col min="12" max="12" width="16.375" style="18" bestFit="1" customWidth="1"/>
    <col min="13" max="14" width="16.75" style="18" bestFit="1" customWidth="1"/>
    <col min="15" max="15" width="17.125" style="18" bestFit="1" customWidth="1"/>
    <col min="16" max="22" width="16.75" style="18" bestFit="1" customWidth="1"/>
    <col min="23" max="24" width="17.125" style="18" bestFit="1" customWidth="1"/>
    <col min="25" max="25" width="22.625" style="18" bestFit="1" customWidth="1"/>
    <col min="26" max="16384" width="9" style="18"/>
  </cols>
  <sheetData>
    <row r="1" spans="1:25" ht="18.75" thickBot="1">
      <c r="A1" s="11" t="str">
        <f>Intro!A1</f>
        <v>Town of Bar Harbor</v>
      </c>
      <c r="B1" s="27"/>
      <c r="C1" s="17"/>
      <c r="D1" s="260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</row>
    <row r="2" spans="1:25" ht="17.25" thickBot="1">
      <c r="A2" s="380" t="str">
        <f>Intro!A2</f>
        <v>Ferry Property Business Plan</v>
      </c>
      <c r="B2" s="13"/>
      <c r="C2" s="17"/>
      <c r="D2" s="260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</row>
    <row r="3" spans="1:25" s="381" customFormat="1" ht="14.25" thickBot="1">
      <c r="A3" s="384" t="str">
        <f>Intro!A3</f>
        <v>05.23.2018</v>
      </c>
      <c r="B3" s="304"/>
      <c r="C3" s="387"/>
      <c r="D3" s="388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7"/>
      <c r="X3" s="387"/>
    </row>
    <row r="4" spans="1:25" s="381" customFormat="1" ht="13.5">
      <c r="A4" s="384" t="str">
        <f ca="1">Intro!A4</f>
        <v>Town of Bar Harbor</v>
      </c>
      <c r="B4" s="382"/>
      <c r="C4" s="383">
        <f ca="1">NOW()</f>
        <v>43242.835659143515</v>
      </c>
      <c r="D4" s="388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  <c r="Q4" s="387"/>
      <c r="R4" s="387"/>
      <c r="S4" s="387"/>
      <c r="T4" s="387"/>
      <c r="U4" s="387"/>
      <c r="V4" s="387"/>
      <c r="W4" s="387"/>
      <c r="X4" s="387"/>
    </row>
    <row r="5" spans="1:25">
      <c r="A5" s="244" t="s">
        <v>343</v>
      </c>
      <c r="B5" s="244"/>
      <c r="C5" s="245"/>
      <c r="D5" s="261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</row>
    <row r="6" spans="1:25">
      <c r="D6" s="485"/>
    </row>
    <row r="7" spans="1:25">
      <c r="A7" s="22"/>
      <c r="B7" s="71"/>
      <c r="C7" s="71"/>
      <c r="D7" s="72">
        <f>'Cruise Projections'!T7</f>
        <v>2018</v>
      </c>
      <c r="E7" s="72">
        <f>'Cruise Projections'!U7</f>
        <v>2019</v>
      </c>
      <c r="F7" s="72">
        <f>'Cruise Projections'!V7</f>
        <v>2020</v>
      </c>
      <c r="G7" s="72">
        <f>'Cruise Projections'!W7</f>
        <v>2021</v>
      </c>
      <c r="H7" s="72">
        <f>'Cruise Projections'!X7</f>
        <v>2022</v>
      </c>
      <c r="I7" s="72">
        <f>'Cruise Projections'!Y7</f>
        <v>2023</v>
      </c>
      <c r="J7" s="72">
        <f>'Cruise Projections'!Z7</f>
        <v>2024</v>
      </c>
      <c r="K7" s="72">
        <f>'Cruise Projections'!AA7</f>
        <v>2025</v>
      </c>
      <c r="L7" s="72">
        <f>'Cruise Projections'!AB7</f>
        <v>2026</v>
      </c>
      <c r="M7" s="72">
        <f>'Cruise Projections'!AC7</f>
        <v>2027</v>
      </c>
      <c r="N7" s="72">
        <f>'Cruise Projections'!AD7</f>
        <v>2028</v>
      </c>
      <c r="O7" s="72">
        <f>'Cruise Projections'!AE7</f>
        <v>2029</v>
      </c>
      <c r="P7" s="72">
        <f>'Cruise Projections'!AF7</f>
        <v>2030</v>
      </c>
      <c r="Q7" s="72">
        <f>'Cruise Projections'!AG7</f>
        <v>2031</v>
      </c>
      <c r="R7" s="72">
        <f>'Cruise Projections'!AH7</f>
        <v>2032</v>
      </c>
      <c r="S7" s="72">
        <f>'Cruise Projections'!AI7</f>
        <v>2033</v>
      </c>
      <c r="T7" s="72">
        <f>'Cruise Projections'!AJ7</f>
        <v>2034</v>
      </c>
      <c r="U7" s="72">
        <f>'Cruise Projections'!AK7</f>
        <v>2035</v>
      </c>
      <c r="V7" s="72">
        <f>'Cruise Projections'!AL7</f>
        <v>2036</v>
      </c>
      <c r="W7" s="72">
        <f>'Cruise Projections'!AM7</f>
        <v>2037</v>
      </c>
      <c r="X7" s="72">
        <f>'Cruise Projections'!AN7</f>
        <v>2038</v>
      </c>
    </row>
    <row r="8" spans="1:25" ht="17.25" thickBot="1">
      <c r="D8" s="488"/>
    </row>
    <row r="9" spans="1:25" ht="17.25" thickBot="1">
      <c r="A9" s="117" t="s">
        <v>34</v>
      </c>
      <c r="B9" s="484" t="str">
        <f>'Cruise Projections'!A89</f>
        <v>Scenario 5 - Percent of 2018 Business - NCLH</v>
      </c>
      <c r="D9" s="489"/>
      <c r="E9" s="327"/>
      <c r="F9" s="327"/>
      <c r="G9" s="327"/>
      <c r="H9" s="327"/>
      <c r="I9" s="327"/>
      <c r="J9" s="327"/>
      <c r="K9" s="327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</row>
    <row r="10" spans="1:25">
      <c r="D10" s="489"/>
      <c r="E10" s="327"/>
      <c r="F10" s="327"/>
      <c r="G10" s="327"/>
      <c r="H10" s="327"/>
      <c r="I10" s="327"/>
      <c r="J10" s="327"/>
      <c r="K10" s="327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</row>
    <row r="11" spans="1:25" s="279" customFormat="1" ht="14.25">
      <c r="A11" s="279" t="s">
        <v>83</v>
      </c>
      <c r="D11" s="490"/>
      <c r="E11" s="328"/>
      <c r="F11" s="328"/>
      <c r="G11" s="328"/>
      <c r="H11" s="328"/>
      <c r="I11" s="328"/>
      <c r="J11" s="328"/>
      <c r="K11" s="328"/>
      <c r="L11" s="328"/>
      <c r="M11" s="328"/>
      <c r="N11" s="328"/>
      <c r="O11" s="328"/>
      <c r="P11" s="328"/>
      <c r="Q11" s="328"/>
      <c r="R11" s="328"/>
      <c r="S11" s="328"/>
      <c r="T11" s="328"/>
      <c r="U11" s="328"/>
      <c r="V11" s="328"/>
      <c r="W11" s="328"/>
      <c r="X11" s="328"/>
    </row>
    <row r="12" spans="1:25">
      <c r="A12" s="53" t="str">
        <f>'Cruise Projections'!A67</f>
        <v>Passengers</v>
      </c>
      <c r="B12" s="21"/>
      <c r="C12" s="21"/>
      <c r="D12" s="486">
        <f>'Cruise Projections'!T67</f>
        <v>0</v>
      </c>
      <c r="E12" s="313">
        <v>0</v>
      </c>
      <c r="F12" s="313">
        <f>'Cruise Projections'!V91</f>
        <v>51920.067226246269</v>
      </c>
      <c r="G12" s="313">
        <f>'Cruise Projections'!W91</f>
        <v>51920.067226246269</v>
      </c>
      <c r="H12" s="313">
        <f>'Cruise Projections'!X91</f>
        <v>51920.067226246269</v>
      </c>
      <c r="I12" s="313">
        <f>'Cruise Projections'!Y91</f>
        <v>51920.067226246269</v>
      </c>
      <c r="J12" s="313">
        <f>'Cruise Projections'!Z91</f>
        <v>51920.067226246269</v>
      </c>
      <c r="K12" s="313">
        <f>'Cruise Projections'!AA91</f>
        <v>51920.067226246269</v>
      </c>
      <c r="L12" s="313">
        <f>'Cruise Projections'!AB91</f>
        <v>51920.067226246269</v>
      </c>
      <c r="M12" s="313">
        <f>'Cruise Projections'!AC91</f>
        <v>51920.067226246269</v>
      </c>
      <c r="N12" s="313">
        <f>'Cruise Projections'!AD91</f>
        <v>51920.067226246269</v>
      </c>
      <c r="O12" s="313">
        <f>'Cruise Projections'!AE91</f>
        <v>51920.067226246269</v>
      </c>
      <c r="P12" s="313">
        <f>'Cruise Projections'!AF91</f>
        <v>51920.067226246269</v>
      </c>
      <c r="Q12" s="313">
        <f>'Cruise Projections'!AG91</f>
        <v>51920.067226246269</v>
      </c>
      <c r="R12" s="313">
        <f>'Cruise Projections'!AH91</f>
        <v>51920.067226246269</v>
      </c>
      <c r="S12" s="313">
        <f>'Cruise Projections'!AI91</f>
        <v>51920.067226246269</v>
      </c>
      <c r="T12" s="313">
        <f>'Cruise Projections'!AJ91</f>
        <v>51920.067226246269</v>
      </c>
      <c r="U12" s="313">
        <f>'Cruise Projections'!AK91</f>
        <v>51920.067226246269</v>
      </c>
      <c r="V12" s="313">
        <f>'Cruise Projections'!AL91</f>
        <v>51920.067226246269</v>
      </c>
      <c r="W12" s="313">
        <f>'Cruise Projections'!AM91</f>
        <v>51920.067226246269</v>
      </c>
      <c r="X12" s="313">
        <f>'Cruise Projections'!AN91</f>
        <v>51920.067226246269</v>
      </c>
      <c r="Y12" s="312"/>
    </row>
    <row r="13" spans="1:25">
      <c r="A13" s="53" t="str">
        <f>'Cruise Projections'!A68</f>
        <v>Calls</v>
      </c>
      <c r="B13" s="21"/>
      <c r="C13" s="21"/>
      <c r="D13" s="486">
        <f>'Cruise Projections'!T68</f>
        <v>0</v>
      </c>
      <c r="E13" s="313">
        <v>0</v>
      </c>
      <c r="F13" s="313">
        <f>'Cruise Projections'!V92</f>
        <v>27.711111111111112</v>
      </c>
      <c r="G13" s="313">
        <f>'Cruise Projections'!W92</f>
        <v>27.711111111111112</v>
      </c>
      <c r="H13" s="313">
        <f>'Cruise Projections'!X92</f>
        <v>27.711111111111112</v>
      </c>
      <c r="I13" s="313">
        <f>'Cruise Projections'!Y92</f>
        <v>27.711111111111112</v>
      </c>
      <c r="J13" s="313">
        <f>'Cruise Projections'!Z92</f>
        <v>27.711111111111112</v>
      </c>
      <c r="K13" s="313">
        <f>'Cruise Projections'!AA92</f>
        <v>27.711111111111112</v>
      </c>
      <c r="L13" s="313">
        <f>'Cruise Projections'!AB92</f>
        <v>27.711111111111112</v>
      </c>
      <c r="M13" s="313">
        <f>'Cruise Projections'!AC92</f>
        <v>27.711111111111112</v>
      </c>
      <c r="N13" s="313">
        <f>'Cruise Projections'!AD92</f>
        <v>27.711111111111112</v>
      </c>
      <c r="O13" s="313">
        <f>'Cruise Projections'!AE92</f>
        <v>27.711111111111112</v>
      </c>
      <c r="P13" s="313">
        <f>'Cruise Projections'!AF92</f>
        <v>27.711111111111112</v>
      </c>
      <c r="Q13" s="313">
        <f>'Cruise Projections'!AG92</f>
        <v>27.711111111111112</v>
      </c>
      <c r="R13" s="313">
        <f>'Cruise Projections'!AH92</f>
        <v>27.711111111111112</v>
      </c>
      <c r="S13" s="313">
        <f>'Cruise Projections'!AI92</f>
        <v>27.711111111111112</v>
      </c>
      <c r="T13" s="313">
        <f>'Cruise Projections'!AJ92</f>
        <v>27.711111111111112</v>
      </c>
      <c r="U13" s="313">
        <f>'Cruise Projections'!AK92</f>
        <v>27.711111111111112</v>
      </c>
      <c r="V13" s="313">
        <f>'Cruise Projections'!AL92</f>
        <v>27.711111111111112</v>
      </c>
      <c r="W13" s="313">
        <f>'Cruise Projections'!AM92</f>
        <v>27.711111111111112</v>
      </c>
      <c r="X13" s="313">
        <f>'Cruise Projections'!AN92</f>
        <v>27.711111111111112</v>
      </c>
      <c r="Y13" s="312"/>
    </row>
    <row r="14" spans="1:25">
      <c r="A14" s="53" t="str">
        <f>'Cruise Projections'!A69</f>
        <v>Passengers per Call</v>
      </c>
      <c r="B14" s="21"/>
      <c r="C14" s="21"/>
      <c r="D14" s="486">
        <f>'Cruise Projections'!T69</f>
        <v>0</v>
      </c>
      <c r="E14" s="313">
        <v>0</v>
      </c>
      <c r="F14" s="313">
        <f>'Cruise Projections'!V93</f>
        <v>1873.6191059992639</v>
      </c>
      <c r="G14" s="313">
        <f>'Cruise Projections'!W93</f>
        <v>1873.6191059992639</v>
      </c>
      <c r="H14" s="313">
        <f>'Cruise Projections'!X93</f>
        <v>1873.6191059992639</v>
      </c>
      <c r="I14" s="313">
        <f>'Cruise Projections'!Y93</f>
        <v>1873.6191059992639</v>
      </c>
      <c r="J14" s="313">
        <f>'Cruise Projections'!Z93</f>
        <v>1873.6191059992639</v>
      </c>
      <c r="K14" s="313">
        <f>'Cruise Projections'!AA93</f>
        <v>1873.6191059992639</v>
      </c>
      <c r="L14" s="313">
        <f>'Cruise Projections'!AB93</f>
        <v>1873.6191059992639</v>
      </c>
      <c r="M14" s="313">
        <f>'Cruise Projections'!AC93</f>
        <v>1873.6191059992639</v>
      </c>
      <c r="N14" s="313">
        <f>'Cruise Projections'!AD93</f>
        <v>1873.6191059992639</v>
      </c>
      <c r="O14" s="313">
        <f>'Cruise Projections'!AE93</f>
        <v>1873.6191059992639</v>
      </c>
      <c r="P14" s="313">
        <f>'Cruise Projections'!AF93</f>
        <v>1873.6191059992639</v>
      </c>
      <c r="Q14" s="313">
        <f>'Cruise Projections'!AG93</f>
        <v>1873.6191059992639</v>
      </c>
      <c r="R14" s="313">
        <f>'Cruise Projections'!AH93</f>
        <v>1873.6191059992639</v>
      </c>
      <c r="S14" s="313">
        <f>'Cruise Projections'!AI93</f>
        <v>1873.6191059992639</v>
      </c>
      <c r="T14" s="313">
        <f>'Cruise Projections'!AJ93</f>
        <v>1873.6191059992639</v>
      </c>
      <c r="U14" s="313">
        <f>'Cruise Projections'!AK93</f>
        <v>1873.6191059992639</v>
      </c>
      <c r="V14" s="313">
        <f>'Cruise Projections'!AL93</f>
        <v>1873.6191059992639</v>
      </c>
      <c r="W14" s="313">
        <f>'Cruise Projections'!AM93</f>
        <v>1873.6191059992639</v>
      </c>
      <c r="X14" s="313">
        <f>'Cruise Projections'!AN93</f>
        <v>1873.6191059992639</v>
      </c>
      <c r="Y14" s="312"/>
    </row>
    <row r="15" spans="1:25" s="96" customFormat="1">
      <c r="A15" s="54" t="s">
        <v>313</v>
      </c>
      <c r="B15" s="487"/>
      <c r="C15" s="487"/>
      <c r="D15" s="486">
        <f>'Cruise Projections'!T70</f>
        <v>0</v>
      </c>
      <c r="E15" s="313">
        <v>0</v>
      </c>
      <c r="F15" s="313">
        <f>'Shuttle Projections'!D35</f>
        <v>4120</v>
      </c>
      <c r="G15" s="313">
        <f>'Shuttle Projections'!E35</f>
        <v>4120</v>
      </c>
      <c r="H15" s="313">
        <f>'Shuttle Projections'!F35</f>
        <v>4120</v>
      </c>
      <c r="I15" s="313">
        <f>'Shuttle Projections'!G35</f>
        <v>4120</v>
      </c>
      <c r="J15" s="313">
        <f>'Shuttle Projections'!H35</f>
        <v>4120</v>
      </c>
      <c r="K15" s="313">
        <f>'Shuttle Projections'!I35</f>
        <v>4120</v>
      </c>
      <c r="L15" s="313">
        <f>'Shuttle Projections'!J35</f>
        <v>4120</v>
      </c>
      <c r="M15" s="313">
        <f>'Shuttle Projections'!K35</f>
        <v>4120</v>
      </c>
      <c r="N15" s="313">
        <f>'Shuttle Projections'!L35</f>
        <v>4120</v>
      </c>
      <c r="O15" s="313">
        <f>'Shuttle Projections'!M35</f>
        <v>4120</v>
      </c>
      <c r="P15" s="313">
        <f>'Shuttle Projections'!N35</f>
        <v>4120</v>
      </c>
      <c r="Q15" s="313">
        <f>'Shuttle Projections'!O35</f>
        <v>4120</v>
      </c>
      <c r="R15" s="313">
        <f>'Shuttle Projections'!P35</f>
        <v>4120</v>
      </c>
      <c r="S15" s="313">
        <f>'Shuttle Projections'!Q35</f>
        <v>4120</v>
      </c>
      <c r="T15" s="313">
        <f>'Shuttle Projections'!R35</f>
        <v>4120</v>
      </c>
      <c r="U15" s="313">
        <f>'Shuttle Projections'!S35</f>
        <v>4120</v>
      </c>
      <c r="V15" s="313">
        <f>'Shuttle Projections'!T35</f>
        <v>4120</v>
      </c>
      <c r="W15" s="313">
        <f>'Shuttle Projections'!U35</f>
        <v>4120</v>
      </c>
      <c r="X15" s="313">
        <f>'Shuttle Projections'!V35</f>
        <v>4120</v>
      </c>
      <c r="Y15" s="313"/>
    </row>
    <row r="16" spans="1:25">
      <c r="A16" s="54"/>
      <c r="B16" s="21"/>
      <c r="C16" s="21"/>
      <c r="D16" s="486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</row>
    <row r="17" spans="1:25" s="279" customFormat="1" ht="14.25">
      <c r="A17" s="293" t="s">
        <v>163</v>
      </c>
      <c r="B17" s="294"/>
      <c r="C17" s="294"/>
      <c r="D17" s="491"/>
      <c r="E17" s="329"/>
      <c r="F17" s="329"/>
      <c r="G17" s="329"/>
      <c r="H17" s="329"/>
      <c r="I17" s="329"/>
      <c r="J17" s="329"/>
      <c r="K17" s="329"/>
      <c r="L17" s="329"/>
      <c r="M17" s="329"/>
      <c r="N17" s="329"/>
      <c r="O17" s="329"/>
      <c r="P17" s="329"/>
      <c r="Q17" s="329"/>
      <c r="R17" s="329"/>
      <c r="S17" s="329"/>
      <c r="T17" s="329"/>
      <c r="U17" s="329"/>
      <c r="V17" s="329"/>
      <c r="W17" s="329"/>
      <c r="X17" s="329"/>
    </row>
    <row r="18" spans="1:25" s="96" customFormat="1">
      <c r="A18" s="54" t="str">
        <f>'International Ferry Projections'!A11</f>
        <v>Passengers</v>
      </c>
      <c r="B18" s="487"/>
      <c r="C18" s="487"/>
      <c r="D18" s="486">
        <f>'International Ferry Projections'!B11</f>
        <v>0</v>
      </c>
      <c r="E18" s="313">
        <f>'International Ferry Projections'!C11</f>
        <v>60000</v>
      </c>
      <c r="F18" s="313">
        <f>'International Ferry Projections'!D11</f>
        <v>70000</v>
      </c>
      <c r="G18" s="313">
        <f>'International Ferry Projections'!E11</f>
        <v>80000</v>
      </c>
      <c r="H18" s="313">
        <f>'International Ferry Projections'!F11</f>
        <v>80000</v>
      </c>
      <c r="I18" s="313">
        <f>'International Ferry Projections'!G11</f>
        <v>80000</v>
      </c>
      <c r="J18" s="313">
        <f>'International Ferry Projections'!H11</f>
        <v>80000</v>
      </c>
      <c r="K18" s="313">
        <f>'International Ferry Projections'!I11</f>
        <v>80000</v>
      </c>
      <c r="L18" s="313">
        <f>'International Ferry Projections'!J11</f>
        <v>80000</v>
      </c>
      <c r="M18" s="313">
        <f>'International Ferry Projections'!K11</f>
        <v>80000</v>
      </c>
      <c r="N18" s="313">
        <f>'International Ferry Projections'!L11</f>
        <v>80000</v>
      </c>
      <c r="O18" s="313">
        <f>'International Ferry Projections'!M11</f>
        <v>80000</v>
      </c>
      <c r="P18" s="313">
        <f>'International Ferry Projections'!N11</f>
        <v>80000</v>
      </c>
      <c r="Q18" s="313">
        <f>'International Ferry Projections'!O11</f>
        <v>80000</v>
      </c>
      <c r="R18" s="313">
        <f>'International Ferry Projections'!P11</f>
        <v>80000</v>
      </c>
      <c r="S18" s="313">
        <f>'International Ferry Projections'!Q11</f>
        <v>80000</v>
      </c>
      <c r="T18" s="313">
        <f>'International Ferry Projections'!R11</f>
        <v>80000</v>
      </c>
      <c r="U18" s="313">
        <f>'International Ferry Projections'!S11</f>
        <v>80000</v>
      </c>
      <c r="V18" s="313">
        <f>'International Ferry Projections'!T11</f>
        <v>80000</v>
      </c>
      <c r="W18" s="313">
        <f>'International Ferry Projections'!U11</f>
        <v>80000</v>
      </c>
      <c r="X18" s="313">
        <f>'International Ferry Projections'!V11</f>
        <v>80000</v>
      </c>
    </row>
    <row r="19" spans="1:25" s="96" customFormat="1">
      <c r="A19" s="54" t="str">
        <f>'International Ferry Projections'!A12</f>
        <v>Cars</v>
      </c>
      <c r="B19" s="487"/>
      <c r="C19" s="487"/>
      <c r="D19" s="486">
        <f>'International Ferry Projections'!B12</f>
        <v>0</v>
      </c>
      <c r="E19" s="313">
        <f>'International Ferry Projections'!C12</f>
        <v>24000</v>
      </c>
      <c r="F19" s="313">
        <f>'International Ferry Projections'!D12</f>
        <v>28000</v>
      </c>
      <c r="G19" s="313">
        <f>'International Ferry Projections'!E12</f>
        <v>32000</v>
      </c>
      <c r="H19" s="313">
        <f>'International Ferry Projections'!F12</f>
        <v>32000</v>
      </c>
      <c r="I19" s="313">
        <f>'International Ferry Projections'!G12</f>
        <v>32000</v>
      </c>
      <c r="J19" s="313">
        <f>'International Ferry Projections'!H12</f>
        <v>32000</v>
      </c>
      <c r="K19" s="313">
        <f>'International Ferry Projections'!I12</f>
        <v>32000</v>
      </c>
      <c r="L19" s="313">
        <f>'International Ferry Projections'!J12</f>
        <v>32000</v>
      </c>
      <c r="M19" s="313">
        <f>'International Ferry Projections'!K12</f>
        <v>32000</v>
      </c>
      <c r="N19" s="313">
        <f>'International Ferry Projections'!L12</f>
        <v>32000</v>
      </c>
      <c r="O19" s="313">
        <f>'International Ferry Projections'!M12</f>
        <v>32000</v>
      </c>
      <c r="P19" s="313">
        <f>'International Ferry Projections'!N12</f>
        <v>32000</v>
      </c>
      <c r="Q19" s="313">
        <f>'International Ferry Projections'!O12</f>
        <v>32000</v>
      </c>
      <c r="R19" s="313">
        <f>'International Ferry Projections'!P12</f>
        <v>32000</v>
      </c>
      <c r="S19" s="313">
        <f>'International Ferry Projections'!Q12</f>
        <v>32000</v>
      </c>
      <c r="T19" s="313">
        <f>'International Ferry Projections'!R12</f>
        <v>32000</v>
      </c>
      <c r="U19" s="313">
        <f>'International Ferry Projections'!S12</f>
        <v>32000</v>
      </c>
      <c r="V19" s="313">
        <f>'International Ferry Projections'!T12</f>
        <v>32000</v>
      </c>
      <c r="W19" s="313">
        <f>'International Ferry Projections'!U12</f>
        <v>32000</v>
      </c>
      <c r="X19" s="313">
        <f>'International Ferry Projections'!V12</f>
        <v>32000</v>
      </c>
    </row>
    <row r="20" spans="1:25" s="96" customFormat="1">
      <c r="A20" s="54" t="str">
        <f>'International Ferry Projections'!A13</f>
        <v>Buses</v>
      </c>
      <c r="B20" s="487"/>
      <c r="C20" s="487"/>
      <c r="D20" s="486">
        <f>'International Ferry Projections'!B13</f>
        <v>0</v>
      </c>
      <c r="E20" s="313">
        <f>'International Ferry Projections'!C13</f>
        <v>40</v>
      </c>
      <c r="F20" s="313">
        <f>'International Ferry Projections'!D13</f>
        <v>50</v>
      </c>
      <c r="G20" s="313">
        <f>'International Ferry Projections'!E13</f>
        <v>60</v>
      </c>
      <c r="H20" s="313">
        <f>'International Ferry Projections'!F13</f>
        <v>60</v>
      </c>
      <c r="I20" s="313">
        <f>'International Ferry Projections'!G13</f>
        <v>60</v>
      </c>
      <c r="J20" s="313">
        <f>'International Ferry Projections'!H13</f>
        <v>60</v>
      </c>
      <c r="K20" s="313">
        <f>'International Ferry Projections'!I13</f>
        <v>60</v>
      </c>
      <c r="L20" s="313">
        <f>'International Ferry Projections'!J13</f>
        <v>60</v>
      </c>
      <c r="M20" s="313">
        <f>'International Ferry Projections'!K13</f>
        <v>60</v>
      </c>
      <c r="N20" s="313">
        <f>'International Ferry Projections'!L13</f>
        <v>60</v>
      </c>
      <c r="O20" s="313">
        <f>'International Ferry Projections'!M13</f>
        <v>60</v>
      </c>
      <c r="P20" s="313">
        <f>'International Ferry Projections'!N13</f>
        <v>60</v>
      </c>
      <c r="Q20" s="313">
        <f>'International Ferry Projections'!O13</f>
        <v>60</v>
      </c>
      <c r="R20" s="313">
        <f>'International Ferry Projections'!P13</f>
        <v>60</v>
      </c>
      <c r="S20" s="313">
        <f>'International Ferry Projections'!Q13</f>
        <v>60</v>
      </c>
      <c r="T20" s="313">
        <f>'International Ferry Projections'!R13</f>
        <v>60</v>
      </c>
      <c r="U20" s="313">
        <f>'International Ferry Projections'!S13</f>
        <v>60</v>
      </c>
      <c r="V20" s="313">
        <f>'International Ferry Projections'!T13</f>
        <v>60</v>
      </c>
      <c r="W20" s="313">
        <f>'International Ferry Projections'!U13</f>
        <v>60</v>
      </c>
      <c r="X20" s="313">
        <f>'International Ferry Projections'!V13</f>
        <v>60</v>
      </c>
    </row>
    <row r="21" spans="1:25">
      <c r="A21" s="54"/>
      <c r="B21" s="21"/>
      <c r="C21" s="21"/>
      <c r="D21" s="486"/>
      <c r="E21" s="313"/>
      <c r="F21" s="313"/>
      <c r="G21" s="313"/>
      <c r="H21" s="313"/>
      <c r="I21" s="313"/>
      <c r="J21" s="313"/>
      <c r="K21" s="313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</row>
    <row r="22" spans="1:25" s="582" customFormat="1">
      <c r="A22" s="293" t="str">
        <f>'BH Tariffs'!A30</f>
        <v>Local Ferry</v>
      </c>
      <c r="B22" s="581"/>
      <c r="C22" s="581"/>
      <c r="D22" s="486">
        <v>0</v>
      </c>
      <c r="E22" s="329"/>
      <c r="F22" s="329"/>
      <c r="G22" s="329"/>
      <c r="H22" s="329"/>
      <c r="I22" s="329"/>
      <c r="J22" s="329"/>
      <c r="K22" s="329"/>
      <c r="L22" s="329"/>
      <c r="M22" s="329"/>
      <c r="N22" s="329"/>
      <c r="O22" s="329"/>
      <c r="P22" s="329"/>
      <c r="Q22" s="329"/>
      <c r="R22" s="329"/>
      <c r="S22" s="329"/>
      <c r="T22" s="329"/>
      <c r="U22" s="329"/>
      <c r="V22" s="329"/>
      <c r="W22" s="329"/>
      <c r="X22" s="329"/>
    </row>
    <row r="23" spans="1:25" s="96" customFormat="1">
      <c r="A23" s="54" t="str">
        <f>'BH Tariffs'!A31</f>
        <v>Dock Rent (6 Months Only)</v>
      </c>
      <c r="B23" s="487"/>
      <c r="C23" s="487"/>
      <c r="D23" s="486">
        <v>0</v>
      </c>
      <c r="E23" s="623" t="s">
        <v>286</v>
      </c>
      <c r="F23" s="623" t="s">
        <v>286</v>
      </c>
      <c r="G23" s="623" t="s">
        <v>286</v>
      </c>
      <c r="H23" s="623" t="s">
        <v>286</v>
      </c>
      <c r="I23" s="623" t="s">
        <v>286</v>
      </c>
      <c r="J23" s="623" t="s">
        <v>286</v>
      </c>
      <c r="K23" s="623" t="s">
        <v>286</v>
      </c>
      <c r="L23" s="623" t="s">
        <v>286</v>
      </c>
      <c r="M23" s="623" t="s">
        <v>286</v>
      </c>
      <c r="N23" s="623" t="s">
        <v>286</v>
      </c>
      <c r="O23" s="623" t="s">
        <v>286</v>
      </c>
      <c r="P23" s="623" t="s">
        <v>286</v>
      </c>
      <c r="Q23" s="623" t="s">
        <v>286</v>
      </c>
      <c r="R23" s="623" t="s">
        <v>286</v>
      </c>
      <c r="S23" s="623" t="s">
        <v>286</v>
      </c>
      <c r="T23" s="623" t="s">
        <v>286</v>
      </c>
      <c r="U23" s="623" t="s">
        <v>286</v>
      </c>
      <c r="V23" s="623" t="s">
        <v>286</v>
      </c>
      <c r="W23" s="623" t="s">
        <v>286</v>
      </c>
      <c r="X23" s="623" t="s">
        <v>286</v>
      </c>
    </row>
    <row r="24" spans="1:25" s="341" customFormat="1">
      <c r="A24" s="552"/>
      <c r="B24" s="553"/>
      <c r="C24" s="553"/>
      <c r="D24" s="554"/>
      <c r="E24" s="555"/>
      <c r="F24" s="555"/>
      <c r="G24" s="555"/>
      <c r="H24" s="555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</row>
    <row r="25" spans="1:25" s="96" customFormat="1">
      <c r="A25" s="559" t="s">
        <v>227</v>
      </c>
      <c r="B25" s="487"/>
      <c r="C25" s="487"/>
      <c r="D25" s="486"/>
      <c r="E25" s="313"/>
      <c r="F25" s="313"/>
      <c r="G25" s="313"/>
      <c r="H25" s="313"/>
      <c r="I25" s="313"/>
      <c r="J25" s="313"/>
      <c r="K25" s="313"/>
      <c r="L25" s="313"/>
      <c r="M25" s="313"/>
      <c r="N25" s="313"/>
      <c r="O25" s="313"/>
      <c r="P25" s="313"/>
      <c r="Q25" s="313"/>
      <c r="R25" s="313"/>
      <c r="S25" s="313"/>
      <c r="T25" s="313"/>
      <c r="U25" s="313"/>
      <c r="V25" s="313"/>
      <c r="W25" s="313"/>
      <c r="X25" s="313"/>
    </row>
    <row r="26" spans="1:25">
      <c r="A26" s="54"/>
      <c r="B26" s="21"/>
      <c r="C26" s="21"/>
      <c r="D26" s="486"/>
      <c r="E26" s="313"/>
      <c r="F26" s="313"/>
      <c r="G26" s="313"/>
      <c r="H26" s="313"/>
      <c r="I26" s="313"/>
      <c r="J26" s="313"/>
      <c r="K26" s="313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</row>
    <row r="27" spans="1:25">
      <c r="A27" s="54" t="s">
        <v>420</v>
      </c>
      <c r="B27" s="21"/>
      <c r="C27" s="21"/>
      <c r="D27" s="486">
        <v>0</v>
      </c>
      <c r="E27" s="313">
        <f>'Marina Projections'!C9</f>
        <v>0</v>
      </c>
      <c r="F27" s="313">
        <f>'Marina Projections'!D9</f>
        <v>214</v>
      </c>
      <c r="G27" s="313">
        <f>'Marina Projections'!E9</f>
        <v>214</v>
      </c>
      <c r="H27" s="313">
        <f>'Marina Projections'!F9</f>
        <v>214</v>
      </c>
      <c r="I27" s="313">
        <f>'Marina Projections'!G9</f>
        <v>214</v>
      </c>
      <c r="J27" s="313">
        <f>'Marina Projections'!H9</f>
        <v>214</v>
      </c>
      <c r="K27" s="313">
        <f>'Marina Projections'!I9</f>
        <v>214</v>
      </c>
      <c r="L27" s="313">
        <f>'Marina Projections'!J9</f>
        <v>214</v>
      </c>
      <c r="M27" s="313">
        <f>'Marina Projections'!K9</f>
        <v>214</v>
      </c>
      <c r="N27" s="313">
        <f>'Marina Projections'!L9</f>
        <v>214</v>
      </c>
      <c r="O27" s="313">
        <f>'Marina Projections'!M9</f>
        <v>214</v>
      </c>
      <c r="P27" s="313">
        <f>'Marina Projections'!N9</f>
        <v>214</v>
      </c>
      <c r="Q27" s="313">
        <f>'Marina Projections'!O9</f>
        <v>214</v>
      </c>
      <c r="R27" s="313">
        <f>'Marina Projections'!P9</f>
        <v>214</v>
      </c>
      <c r="S27" s="313">
        <f>'Marina Projections'!Q9</f>
        <v>214</v>
      </c>
      <c r="T27" s="313">
        <f>'Marina Projections'!R9</f>
        <v>214</v>
      </c>
      <c r="U27" s="313">
        <f>'Marina Projections'!S9</f>
        <v>214</v>
      </c>
      <c r="V27" s="313">
        <f>'Marina Projections'!T9</f>
        <v>214</v>
      </c>
      <c r="W27" s="313">
        <f>'Marina Projections'!U9</f>
        <v>214</v>
      </c>
      <c r="X27" s="313">
        <f>'Marina Projections'!V9</f>
        <v>214</v>
      </c>
    </row>
    <row r="28" spans="1:25">
      <c r="A28" s="54" t="s">
        <v>205</v>
      </c>
      <c r="B28" s="21"/>
      <c r="C28" s="21"/>
      <c r="D28" s="486">
        <v>0</v>
      </c>
      <c r="E28" s="330">
        <v>0</v>
      </c>
      <c r="F28" s="330">
        <f>'Cruise Projections'!V92</f>
        <v>27.711111111111112</v>
      </c>
      <c r="G28" s="330">
        <f>'Cruise Projections'!W92</f>
        <v>27.711111111111112</v>
      </c>
      <c r="H28" s="330">
        <f>'Cruise Projections'!X92</f>
        <v>27.711111111111112</v>
      </c>
      <c r="I28" s="330">
        <f>'Cruise Projections'!Y92</f>
        <v>27.711111111111112</v>
      </c>
      <c r="J28" s="330">
        <f>'Cruise Projections'!Z92</f>
        <v>27.711111111111112</v>
      </c>
      <c r="K28" s="330">
        <f>'Cruise Projections'!AA92</f>
        <v>27.711111111111112</v>
      </c>
      <c r="L28" s="330">
        <f>'Cruise Projections'!AB92</f>
        <v>27.711111111111112</v>
      </c>
      <c r="M28" s="330">
        <f>'Cruise Projections'!AC92</f>
        <v>27.711111111111112</v>
      </c>
      <c r="N28" s="330">
        <f>'Cruise Projections'!AD92</f>
        <v>27.711111111111112</v>
      </c>
      <c r="O28" s="330">
        <f>'Cruise Projections'!AE92</f>
        <v>27.711111111111112</v>
      </c>
      <c r="P28" s="330">
        <f>'Cruise Projections'!AF92</f>
        <v>27.711111111111112</v>
      </c>
      <c r="Q28" s="330">
        <f>'Cruise Projections'!AG92</f>
        <v>27.711111111111112</v>
      </c>
      <c r="R28" s="330">
        <f>'Cruise Projections'!AH92</f>
        <v>27.711111111111112</v>
      </c>
      <c r="S28" s="330">
        <f>'Cruise Projections'!AI92</f>
        <v>27.711111111111112</v>
      </c>
      <c r="T28" s="330">
        <f>'Cruise Projections'!AJ92</f>
        <v>27.711111111111112</v>
      </c>
      <c r="U28" s="330">
        <f>'Cruise Projections'!AK92</f>
        <v>27.711111111111112</v>
      </c>
      <c r="V28" s="330">
        <f>'Cruise Projections'!AL92</f>
        <v>27.711111111111112</v>
      </c>
      <c r="W28" s="330">
        <f>'Cruise Projections'!AM92</f>
        <v>27.711111111111112</v>
      </c>
      <c r="X28" s="330">
        <f>'Cruise Projections'!AN92</f>
        <v>27.711111111111112</v>
      </c>
      <c r="Y28" s="32"/>
    </row>
    <row r="29" spans="1:25">
      <c r="A29" s="54" t="s">
        <v>219</v>
      </c>
      <c r="B29" s="21"/>
      <c r="C29" s="21"/>
      <c r="D29" s="486">
        <v>0</v>
      </c>
      <c r="E29" s="330">
        <v>150</v>
      </c>
      <c r="F29" s="330">
        <f>E29</f>
        <v>150</v>
      </c>
      <c r="G29" s="330">
        <f t="shared" ref="G29:X29" si="0">F29</f>
        <v>150</v>
      </c>
      <c r="H29" s="330">
        <f t="shared" si="0"/>
        <v>150</v>
      </c>
      <c r="I29" s="330">
        <f t="shared" si="0"/>
        <v>150</v>
      </c>
      <c r="J29" s="330">
        <f t="shared" si="0"/>
        <v>150</v>
      </c>
      <c r="K29" s="330">
        <f t="shared" si="0"/>
        <v>150</v>
      </c>
      <c r="L29" s="330">
        <f t="shared" si="0"/>
        <v>150</v>
      </c>
      <c r="M29" s="330">
        <f t="shared" si="0"/>
        <v>150</v>
      </c>
      <c r="N29" s="330">
        <f t="shared" si="0"/>
        <v>150</v>
      </c>
      <c r="O29" s="330">
        <f t="shared" si="0"/>
        <v>150</v>
      </c>
      <c r="P29" s="330">
        <f t="shared" si="0"/>
        <v>150</v>
      </c>
      <c r="Q29" s="330">
        <f t="shared" si="0"/>
        <v>150</v>
      </c>
      <c r="R29" s="330">
        <f t="shared" si="0"/>
        <v>150</v>
      </c>
      <c r="S29" s="330">
        <f t="shared" si="0"/>
        <v>150</v>
      </c>
      <c r="T29" s="330">
        <f t="shared" si="0"/>
        <v>150</v>
      </c>
      <c r="U29" s="330">
        <f t="shared" si="0"/>
        <v>150</v>
      </c>
      <c r="V29" s="330">
        <f t="shared" si="0"/>
        <v>150</v>
      </c>
      <c r="W29" s="330">
        <f t="shared" si="0"/>
        <v>150</v>
      </c>
      <c r="X29" s="330">
        <f t="shared" si="0"/>
        <v>150</v>
      </c>
      <c r="Y29" s="32"/>
    </row>
    <row r="30" spans="1:25">
      <c r="A30" s="54" t="s">
        <v>220</v>
      </c>
      <c r="B30" s="21"/>
      <c r="C30" s="21"/>
      <c r="D30" s="486">
        <v>0</v>
      </c>
      <c r="E30" s="495">
        <f>E28/E29</f>
        <v>0</v>
      </c>
      <c r="F30" s="495">
        <f t="shared" ref="F30:X30" si="1">F28/F29</f>
        <v>0.18474074074074076</v>
      </c>
      <c r="G30" s="495">
        <f t="shared" si="1"/>
        <v>0.18474074074074076</v>
      </c>
      <c r="H30" s="495">
        <f t="shared" si="1"/>
        <v>0.18474074074074076</v>
      </c>
      <c r="I30" s="495">
        <f t="shared" si="1"/>
        <v>0.18474074074074076</v>
      </c>
      <c r="J30" s="495">
        <f t="shared" si="1"/>
        <v>0.18474074074074076</v>
      </c>
      <c r="K30" s="495">
        <f t="shared" si="1"/>
        <v>0.18474074074074076</v>
      </c>
      <c r="L30" s="495">
        <f t="shared" si="1"/>
        <v>0.18474074074074076</v>
      </c>
      <c r="M30" s="495">
        <f t="shared" si="1"/>
        <v>0.18474074074074076</v>
      </c>
      <c r="N30" s="495">
        <f t="shared" si="1"/>
        <v>0.18474074074074076</v>
      </c>
      <c r="O30" s="495">
        <f t="shared" si="1"/>
        <v>0.18474074074074076</v>
      </c>
      <c r="P30" s="495">
        <f t="shared" si="1"/>
        <v>0.18474074074074076</v>
      </c>
      <c r="Q30" s="495">
        <f t="shared" si="1"/>
        <v>0.18474074074074076</v>
      </c>
      <c r="R30" s="495">
        <f t="shared" si="1"/>
        <v>0.18474074074074076</v>
      </c>
      <c r="S30" s="495">
        <f t="shared" si="1"/>
        <v>0.18474074074074076</v>
      </c>
      <c r="T30" s="495">
        <f t="shared" si="1"/>
        <v>0.18474074074074076</v>
      </c>
      <c r="U30" s="495">
        <f t="shared" si="1"/>
        <v>0.18474074074074076</v>
      </c>
      <c r="V30" s="495">
        <f t="shared" si="1"/>
        <v>0.18474074074074076</v>
      </c>
      <c r="W30" s="495">
        <f t="shared" si="1"/>
        <v>0.18474074074074076</v>
      </c>
      <c r="X30" s="495">
        <f t="shared" si="1"/>
        <v>0.18474074074074076</v>
      </c>
      <c r="Y30" s="32"/>
    </row>
    <row r="31" spans="1:25" s="96" customFormat="1">
      <c r="A31" s="54" t="s">
        <v>226</v>
      </c>
      <c r="B31" s="487"/>
      <c r="C31" s="487"/>
      <c r="D31" s="486">
        <v>0</v>
      </c>
      <c r="E31" s="330">
        <v>0</v>
      </c>
      <c r="F31" s="330">
        <v>125</v>
      </c>
      <c r="G31" s="330">
        <v>125</v>
      </c>
      <c r="H31" s="330">
        <v>125</v>
      </c>
      <c r="I31" s="330">
        <v>125</v>
      </c>
      <c r="J31" s="330">
        <v>125</v>
      </c>
      <c r="K31" s="330">
        <v>125</v>
      </c>
      <c r="L31" s="330">
        <v>125</v>
      </c>
      <c r="M31" s="330">
        <v>125</v>
      </c>
      <c r="N31" s="330">
        <v>125</v>
      </c>
      <c r="O31" s="330">
        <v>125</v>
      </c>
      <c r="P31" s="330">
        <v>125</v>
      </c>
      <c r="Q31" s="330">
        <v>125</v>
      </c>
      <c r="R31" s="330">
        <v>125</v>
      </c>
      <c r="S31" s="330">
        <v>125</v>
      </c>
      <c r="T31" s="330">
        <v>125</v>
      </c>
      <c r="U31" s="330">
        <v>125</v>
      </c>
      <c r="V31" s="330">
        <v>125</v>
      </c>
      <c r="W31" s="330">
        <v>125</v>
      </c>
      <c r="X31" s="330">
        <v>125</v>
      </c>
      <c r="Y31" s="58"/>
    </row>
    <row r="32" spans="1:25">
      <c r="A32" s="54"/>
      <c r="B32" s="21"/>
      <c r="C32" s="21"/>
      <c r="D32" s="486"/>
      <c r="E32" s="495"/>
      <c r="F32" s="495"/>
      <c r="G32" s="495"/>
      <c r="H32" s="495"/>
      <c r="I32" s="495"/>
      <c r="J32" s="495"/>
      <c r="K32" s="495"/>
      <c r="L32" s="495"/>
      <c r="M32" s="495"/>
      <c r="N32" s="495"/>
      <c r="O32" s="495"/>
      <c r="P32" s="495"/>
      <c r="Q32" s="495"/>
      <c r="R32" s="495"/>
      <c r="S32" s="495"/>
      <c r="T32" s="495"/>
      <c r="U32" s="495"/>
      <c r="V32" s="495"/>
      <c r="W32" s="495"/>
      <c r="X32" s="495"/>
      <c r="Y32" s="32"/>
    </row>
    <row r="33" spans="1:24">
      <c r="A33" s="54" t="s">
        <v>206</v>
      </c>
      <c r="B33" s="21"/>
      <c r="C33" s="21"/>
      <c r="D33" s="486">
        <v>0</v>
      </c>
      <c r="E33" s="313">
        <v>0</v>
      </c>
      <c r="F33" s="313">
        <f t="shared" ref="F33:X33" si="2">F12/F28</f>
        <v>1873.6191059992639</v>
      </c>
      <c r="G33" s="313">
        <f t="shared" si="2"/>
        <v>1873.6191059992639</v>
      </c>
      <c r="H33" s="313">
        <f t="shared" si="2"/>
        <v>1873.6191059992639</v>
      </c>
      <c r="I33" s="313">
        <f t="shared" si="2"/>
        <v>1873.6191059992639</v>
      </c>
      <c r="J33" s="313">
        <f t="shared" si="2"/>
        <v>1873.6191059992639</v>
      </c>
      <c r="K33" s="313">
        <f t="shared" si="2"/>
        <v>1873.6191059992639</v>
      </c>
      <c r="L33" s="313">
        <f t="shared" si="2"/>
        <v>1873.6191059992639</v>
      </c>
      <c r="M33" s="313">
        <f t="shared" si="2"/>
        <v>1873.6191059992639</v>
      </c>
      <c r="N33" s="313">
        <f t="shared" si="2"/>
        <v>1873.6191059992639</v>
      </c>
      <c r="O33" s="313">
        <f t="shared" si="2"/>
        <v>1873.6191059992639</v>
      </c>
      <c r="P33" s="313">
        <f t="shared" si="2"/>
        <v>1873.6191059992639</v>
      </c>
      <c r="Q33" s="313">
        <f t="shared" si="2"/>
        <v>1873.6191059992639</v>
      </c>
      <c r="R33" s="313">
        <f t="shared" si="2"/>
        <v>1873.6191059992639</v>
      </c>
      <c r="S33" s="313">
        <f t="shared" si="2"/>
        <v>1873.6191059992639</v>
      </c>
      <c r="T33" s="313">
        <f t="shared" si="2"/>
        <v>1873.6191059992639</v>
      </c>
      <c r="U33" s="313">
        <f t="shared" si="2"/>
        <v>1873.6191059992639</v>
      </c>
      <c r="V33" s="313">
        <f t="shared" si="2"/>
        <v>1873.6191059992639</v>
      </c>
      <c r="W33" s="313">
        <f t="shared" si="2"/>
        <v>1873.6191059992639</v>
      </c>
      <c r="X33" s="313">
        <f t="shared" si="2"/>
        <v>1873.6191059992639</v>
      </c>
    </row>
    <row r="34" spans="1:24">
      <c r="A34" s="54" t="s">
        <v>207</v>
      </c>
      <c r="B34" s="21"/>
      <c r="C34" s="21"/>
      <c r="D34" s="486">
        <v>0</v>
      </c>
      <c r="E34" s="313">
        <v>0</v>
      </c>
      <c r="F34" s="313">
        <v>5500</v>
      </c>
      <c r="G34" s="313">
        <v>5500</v>
      </c>
      <c r="H34" s="313">
        <v>5500</v>
      </c>
      <c r="I34" s="313">
        <v>5500</v>
      </c>
      <c r="J34" s="313">
        <v>5500</v>
      </c>
      <c r="K34" s="313">
        <v>5500</v>
      </c>
      <c r="L34" s="313">
        <v>5500</v>
      </c>
      <c r="M34" s="313">
        <v>5500</v>
      </c>
      <c r="N34" s="313">
        <v>5500</v>
      </c>
      <c r="O34" s="313">
        <v>5500</v>
      </c>
      <c r="P34" s="313">
        <v>5500</v>
      </c>
      <c r="Q34" s="313">
        <v>5500</v>
      </c>
      <c r="R34" s="313">
        <v>5500</v>
      </c>
      <c r="S34" s="313">
        <v>5500</v>
      </c>
      <c r="T34" s="313">
        <v>5500</v>
      </c>
      <c r="U34" s="313">
        <v>5500</v>
      </c>
      <c r="V34" s="313">
        <v>5500</v>
      </c>
      <c r="W34" s="313">
        <v>5500</v>
      </c>
      <c r="X34" s="313">
        <v>5500</v>
      </c>
    </row>
    <row r="35" spans="1:24">
      <c r="A35" s="54" t="s">
        <v>221</v>
      </c>
      <c r="B35" s="21"/>
      <c r="C35" s="21"/>
      <c r="D35" s="486">
        <v>0</v>
      </c>
      <c r="E35" s="330">
        <f>E18/E29</f>
        <v>400</v>
      </c>
      <c r="F35" s="330">
        <f t="shared" ref="F35:X35" si="3">F18/F29</f>
        <v>466.66666666666669</v>
      </c>
      <c r="G35" s="330">
        <f t="shared" si="3"/>
        <v>533.33333333333337</v>
      </c>
      <c r="H35" s="330">
        <f t="shared" si="3"/>
        <v>533.33333333333337</v>
      </c>
      <c r="I35" s="330">
        <f t="shared" si="3"/>
        <v>533.33333333333337</v>
      </c>
      <c r="J35" s="330">
        <f t="shared" si="3"/>
        <v>533.33333333333337</v>
      </c>
      <c r="K35" s="330">
        <f t="shared" si="3"/>
        <v>533.33333333333337</v>
      </c>
      <c r="L35" s="330">
        <f t="shared" si="3"/>
        <v>533.33333333333337</v>
      </c>
      <c r="M35" s="330">
        <f t="shared" si="3"/>
        <v>533.33333333333337</v>
      </c>
      <c r="N35" s="330">
        <f t="shared" si="3"/>
        <v>533.33333333333337</v>
      </c>
      <c r="O35" s="330">
        <f t="shared" si="3"/>
        <v>533.33333333333337</v>
      </c>
      <c r="P35" s="330">
        <f t="shared" si="3"/>
        <v>533.33333333333337</v>
      </c>
      <c r="Q35" s="330">
        <f t="shared" si="3"/>
        <v>533.33333333333337</v>
      </c>
      <c r="R35" s="330">
        <f t="shared" si="3"/>
        <v>533.33333333333337</v>
      </c>
      <c r="S35" s="330">
        <f t="shared" si="3"/>
        <v>533.33333333333337</v>
      </c>
      <c r="T35" s="330">
        <f t="shared" si="3"/>
        <v>533.33333333333337</v>
      </c>
      <c r="U35" s="330">
        <f t="shared" si="3"/>
        <v>533.33333333333337</v>
      </c>
      <c r="V35" s="330">
        <f t="shared" si="3"/>
        <v>533.33333333333337</v>
      </c>
      <c r="W35" s="330">
        <f t="shared" si="3"/>
        <v>533.33333333333337</v>
      </c>
      <c r="X35" s="330">
        <f t="shared" si="3"/>
        <v>533.33333333333337</v>
      </c>
    </row>
    <row r="36" spans="1:24">
      <c r="A36" s="54" t="s">
        <v>222</v>
      </c>
      <c r="B36" s="21"/>
      <c r="C36" s="21"/>
      <c r="D36" s="486">
        <v>0</v>
      </c>
      <c r="E36" s="330">
        <v>800</v>
      </c>
      <c r="F36" s="330">
        <v>800</v>
      </c>
      <c r="G36" s="330">
        <v>800</v>
      </c>
      <c r="H36" s="330">
        <v>800</v>
      </c>
      <c r="I36" s="330">
        <v>800</v>
      </c>
      <c r="J36" s="330">
        <v>800</v>
      </c>
      <c r="K36" s="330">
        <v>800</v>
      </c>
      <c r="L36" s="330">
        <v>800</v>
      </c>
      <c r="M36" s="330">
        <v>800</v>
      </c>
      <c r="N36" s="330">
        <v>800</v>
      </c>
      <c r="O36" s="330">
        <v>800</v>
      </c>
      <c r="P36" s="330">
        <v>800</v>
      </c>
      <c r="Q36" s="330">
        <v>800</v>
      </c>
      <c r="R36" s="330">
        <v>800</v>
      </c>
      <c r="S36" s="330">
        <v>800</v>
      </c>
      <c r="T36" s="330">
        <v>800</v>
      </c>
      <c r="U36" s="330">
        <v>800</v>
      </c>
      <c r="V36" s="330">
        <v>800</v>
      </c>
      <c r="W36" s="330">
        <v>800</v>
      </c>
      <c r="X36" s="330">
        <v>800</v>
      </c>
    </row>
    <row r="37" spans="1:24">
      <c r="A37" s="54" t="s">
        <v>208</v>
      </c>
      <c r="B37" s="21"/>
      <c r="C37" s="21"/>
      <c r="D37" s="486">
        <v>0</v>
      </c>
      <c r="E37" s="330">
        <f>SUM(E34,E36)</f>
        <v>800</v>
      </c>
      <c r="F37" s="330">
        <f t="shared" ref="F37:X37" si="4">SUM(F34,F36)</f>
        <v>6300</v>
      </c>
      <c r="G37" s="330">
        <f t="shared" si="4"/>
        <v>6300</v>
      </c>
      <c r="H37" s="330">
        <f t="shared" si="4"/>
        <v>6300</v>
      </c>
      <c r="I37" s="330">
        <f t="shared" si="4"/>
        <v>6300</v>
      </c>
      <c r="J37" s="330">
        <f t="shared" si="4"/>
        <v>6300</v>
      </c>
      <c r="K37" s="330">
        <f t="shared" si="4"/>
        <v>6300</v>
      </c>
      <c r="L37" s="330">
        <f t="shared" si="4"/>
        <v>6300</v>
      </c>
      <c r="M37" s="330">
        <f t="shared" si="4"/>
        <v>6300</v>
      </c>
      <c r="N37" s="330">
        <f t="shared" si="4"/>
        <v>6300</v>
      </c>
      <c r="O37" s="330">
        <f t="shared" si="4"/>
        <v>6300</v>
      </c>
      <c r="P37" s="330">
        <f t="shared" si="4"/>
        <v>6300</v>
      </c>
      <c r="Q37" s="330">
        <f t="shared" si="4"/>
        <v>6300</v>
      </c>
      <c r="R37" s="330">
        <f t="shared" si="4"/>
        <v>6300</v>
      </c>
      <c r="S37" s="330">
        <f t="shared" si="4"/>
        <v>6300</v>
      </c>
      <c r="T37" s="330">
        <f t="shared" si="4"/>
        <v>6300</v>
      </c>
      <c r="U37" s="330">
        <f t="shared" si="4"/>
        <v>6300</v>
      </c>
      <c r="V37" s="330">
        <f t="shared" si="4"/>
        <v>6300</v>
      </c>
      <c r="W37" s="330">
        <f t="shared" si="4"/>
        <v>6300</v>
      </c>
      <c r="X37" s="330">
        <f t="shared" si="4"/>
        <v>6300</v>
      </c>
    </row>
    <row r="38" spans="1:24">
      <c r="A38" s="54"/>
      <c r="B38" s="21"/>
      <c r="C38" s="21"/>
      <c r="D38" s="486"/>
      <c r="E38" s="330"/>
      <c r="F38" s="330"/>
      <c r="G38" s="330"/>
      <c r="H38" s="330"/>
      <c r="I38" s="330"/>
      <c r="J38" s="330"/>
      <c r="K38" s="330"/>
      <c r="L38" s="330"/>
      <c r="M38" s="330"/>
      <c r="N38" s="330"/>
      <c r="O38" s="330"/>
      <c r="P38" s="330"/>
      <c r="Q38" s="330"/>
      <c r="R38" s="330"/>
      <c r="S38" s="330"/>
      <c r="T38" s="330"/>
      <c r="U38" s="330"/>
      <c r="V38" s="330"/>
      <c r="W38" s="330"/>
      <c r="X38" s="330"/>
    </row>
    <row r="39" spans="1:24">
      <c r="A39" s="54" t="s">
        <v>223</v>
      </c>
      <c r="B39" s="74"/>
      <c r="C39" s="74"/>
      <c r="D39" s="486">
        <v>0</v>
      </c>
      <c r="E39" s="313">
        <f>(E19+E20)/E29</f>
        <v>160.26666666666668</v>
      </c>
      <c r="F39" s="313">
        <f t="shared" ref="F39:X39" si="5">(F19+F20)/F29</f>
        <v>187</v>
      </c>
      <c r="G39" s="313">
        <f t="shared" si="5"/>
        <v>213.73333333333332</v>
      </c>
      <c r="H39" s="313">
        <f t="shared" si="5"/>
        <v>213.73333333333332</v>
      </c>
      <c r="I39" s="313">
        <f t="shared" si="5"/>
        <v>213.73333333333332</v>
      </c>
      <c r="J39" s="313">
        <f t="shared" si="5"/>
        <v>213.73333333333332</v>
      </c>
      <c r="K39" s="313">
        <f t="shared" si="5"/>
        <v>213.73333333333332</v>
      </c>
      <c r="L39" s="313">
        <f t="shared" si="5"/>
        <v>213.73333333333332</v>
      </c>
      <c r="M39" s="313">
        <f t="shared" si="5"/>
        <v>213.73333333333332</v>
      </c>
      <c r="N39" s="313">
        <f t="shared" si="5"/>
        <v>213.73333333333332</v>
      </c>
      <c r="O39" s="313">
        <f t="shared" si="5"/>
        <v>213.73333333333332</v>
      </c>
      <c r="P39" s="313">
        <f t="shared" si="5"/>
        <v>213.73333333333332</v>
      </c>
      <c r="Q39" s="313">
        <f t="shared" si="5"/>
        <v>213.73333333333332</v>
      </c>
      <c r="R39" s="313">
        <f t="shared" si="5"/>
        <v>213.73333333333332</v>
      </c>
      <c r="S39" s="313">
        <f t="shared" si="5"/>
        <v>213.73333333333332</v>
      </c>
      <c r="T39" s="313">
        <f t="shared" si="5"/>
        <v>213.73333333333332</v>
      </c>
      <c r="U39" s="313">
        <f t="shared" si="5"/>
        <v>213.73333333333332</v>
      </c>
      <c r="V39" s="313">
        <f t="shared" si="5"/>
        <v>213.73333333333332</v>
      </c>
      <c r="W39" s="313">
        <f t="shared" si="5"/>
        <v>213.73333333333332</v>
      </c>
      <c r="X39" s="313">
        <f t="shared" si="5"/>
        <v>213.73333333333332</v>
      </c>
    </row>
    <row r="40" spans="1:24">
      <c r="A40" s="54"/>
      <c r="B40" s="74"/>
      <c r="C40" s="74"/>
      <c r="D40" s="492"/>
      <c r="E40" s="308"/>
      <c r="F40" s="308"/>
      <c r="G40" s="308"/>
      <c r="H40" s="308"/>
      <c r="I40" s="308"/>
      <c r="J40" s="308"/>
      <c r="K40" s="308"/>
      <c r="L40" s="308"/>
      <c r="M40" s="308"/>
      <c r="N40" s="308"/>
      <c r="O40" s="308"/>
      <c r="P40" s="308"/>
      <c r="Q40" s="308"/>
      <c r="R40" s="308"/>
      <c r="S40" s="308"/>
      <c r="T40" s="308"/>
      <c r="U40" s="308"/>
      <c r="V40" s="308"/>
      <c r="W40" s="308"/>
      <c r="X40" s="308"/>
    </row>
    <row r="41" spans="1:24">
      <c r="A41" s="293" t="s">
        <v>26</v>
      </c>
      <c r="B41" s="74"/>
      <c r="C41" s="74"/>
      <c r="D41" s="492"/>
      <c r="E41" s="308"/>
      <c r="F41" s="308"/>
      <c r="G41" s="308"/>
      <c r="H41" s="308"/>
      <c r="I41" s="308"/>
      <c r="J41" s="308"/>
      <c r="K41" s="308"/>
      <c r="L41" s="308"/>
      <c r="M41" s="308"/>
      <c r="N41" s="308"/>
      <c r="O41" s="308"/>
      <c r="P41" s="308"/>
      <c r="Q41" s="308"/>
      <c r="R41" s="308"/>
      <c r="S41" s="308"/>
      <c r="T41" s="308"/>
      <c r="U41" s="308"/>
      <c r="V41" s="308"/>
      <c r="W41" s="308"/>
      <c r="X41" s="308"/>
    </row>
    <row r="42" spans="1:24">
      <c r="A42" s="54" t="s">
        <v>264</v>
      </c>
      <c r="B42" s="277"/>
      <c r="C42" s="74"/>
      <c r="D42" s="486">
        <v>0</v>
      </c>
      <c r="E42" s="313">
        <f>'Parking Projections'!C94</f>
        <v>13920.314236111111</v>
      </c>
      <c r="F42" s="313">
        <f>'Parking Projections'!D94</f>
        <v>13920.314236111111</v>
      </c>
      <c r="G42" s="313">
        <f>'Parking Projections'!E94</f>
        <v>13920.314236111111</v>
      </c>
      <c r="H42" s="313">
        <f>'Parking Projections'!F94</f>
        <v>13920.314236111111</v>
      </c>
      <c r="I42" s="313">
        <f>'Parking Projections'!G94</f>
        <v>13920.314236111111</v>
      </c>
      <c r="J42" s="313">
        <f>'Parking Projections'!H94</f>
        <v>13920.314236111111</v>
      </c>
      <c r="K42" s="313">
        <f>'Parking Projections'!I94</f>
        <v>13920.314236111111</v>
      </c>
      <c r="L42" s="313">
        <f>'Parking Projections'!J94</f>
        <v>13920.314236111111</v>
      </c>
      <c r="M42" s="313">
        <f>'Parking Projections'!K94</f>
        <v>13920.314236111111</v>
      </c>
      <c r="N42" s="313">
        <f>'Parking Projections'!L94</f>
        <v>13920.314236111111</v>
      </c>
      <c r="O42" s="313">
        <f>'Parking Projections'!M94</f>
        <v>13920.314236111111</v>
      </c>
      <c r="P42" s="313">
        <f>'Parking Projections'!N94</f>
        <v>13920.314236111111</v>
      </c>
      <c r="Q42" s="313">
        <f>'Parking Projections'!O94</f>
        <v>13920.314236111111</v>
      </c>
      <c r="R42" s="313">
        <f>'Parking Projections'!P94</f>
        <v>13920.314236111111</v>
      </c>
      <c r="S42" s="313">
        <f>'Parking Projections'!Q94</f>
        <v>13920.314236111111</v>
      </c>
      <c r="T42" s="313">
        <f>'Parking Projections'!R94</f>
        <v>13920.314236111111</v>
      </c>
      <c r="U42" s="313">
        <f>'Parking Projections'!S94</f>
        <v>13920.314236111111</v>
      </c>
      <c r="V42" s="313">
        <f>'Parking Projections'!T94</f>
        <v>13920.314236111111</v>
      </c>
      <c r="W42" s="313">
        <f>'Parking Projections'!U94</f>
        <v>13920.314236111111</v>
      </c>
      <c r="X42" s="313">
        <f>'Parking Projections'!V94</f>
        <v>13920.314236111111</v>
      </c>
    </row>
    <row r="43" spans="1:24">
      <c r="A43" s="54" t="s">
        <v>267</v>
      </c>
      <c r="B43" s="277"/>
      <c r="C43" s="74"/>
      <c r="D43" s="486">
        <v>0</v>
      </c>
      <c r="E43" s="313">
        <f>'Parking Projections'!C98</f>
        <v>13115.666666666662</v>
      </c>
      <c r="F43" s="313">
        <f>'Parking Projections'!D98</f>
        <v>13115.666666666662</v>
      </c>
      <c r="G43" s="313">
        <f>'Parking Projections'!E98</f>
        <v>13115.666666666662</v>
      </c>
      <c r="H43" s="313">
        <f>'Parking Projections'!F98</f>
        <v>13115.666666666662</v>
      </c>
      <c r="I43" s="313">
        <f>'Parking Projections'!G98</f>
        <v>13115.666666666662</v>
      </c>
      <c r="J43" s="313">
        <f>'Parking Projections'!H98</f>
        <v>13115.666666666662</v>
      </c>
      <c r="K43" s="313">
        <f>'Parking Projections'!I98</f>
        <v>13115.666666666662</v>
      </c>
      <c r="L43" s="313">
        <f>'Parking Projections'!J98</f>
        <v>13115.666666666662</v>
      </c>
      <c r="M43" s="313">
        <f>'Parking Projections'!K98</f>
        <v>13115.666666666662</v>
      </c>
      <c r="N43" s="313">
        <f>'Parking Projections'!L98</f>
        <v>13115.666666666662</v>
      </c>
      <c r="O43" s="313">
        <f>'Parking Projections'!M98</f>
        <v>13115.666666666662</v>
      </c>
      <c r="P43" s="313">
        <f>'Parking Projections'!N98</f>
        <v>13115.666666666662</v>
      </c>
      <c r="Q43" s="313">
        <f>'Parking Projections'!O98</f>
        <v>13115.666666666662</v>
      </c>
      <c r="R43" s="313">
        <f>'Parking Projections'!P98</f>
        <v>13115.666666666662</v>
      </c>
      <c r="S43" s="313">
        <f>'Parking Projections'!Q98</f>
        <v>13115.666666666662</v>
      </c>
      <c r="T43" s="313">
        <f>'Parking Projections'!R98</f>
        <v>13115.666666666662</v>
      </c>
      <c r="U43" s="313">
        <f>'Parking Projections'!S98</f>
        <v>13115.666666666662</v>
      </c>
      <c r="V43" s="313">
        <f>'Parking Projections'!T98</f>
        <v>13115.666666666662</v>
      </c>
      <c r="W43" s="313">
        <f>'Parking Projections'!U98</f>
        <v>13115.666666666662</v>
      </c>
      <c r="X43" s="313">
        <f>'Parking Projections'!V98</f>
        <v>13115.666666666662</v>
      </c>
    </row>
    <row r="44" spans="1:24" s="96" customFormat="1">
      <c r="A44" s="54" t="s">
        <v>274</v>
      </c>
      <c r="B44" s="435"/>
      <c r="C44" s="583"/>
      <c r="D44" s="486">
        <v>0</v>
      </c>
      <c r="E44" s="313">
        <f>SUM(E42:E43)</f>
        <v>27035.980902777774</v>
      </c>
      <c r="F44" s="313">
        <f t="shared" ref="F44:X44" si="6">SUM(F42:F43)</f>
        <v>27035.980902777774</v>
      </c>
      <c r="G44" s="313">
        <f t="shared" si="6"/>
        <v>27035.980902777774</v>
      </c>
      <c r="H44" s="313">
        <f t="shared" si="6"/>
        <v>27035.980902777774</v>
      </c>
      <c r="I44" s="313">
        <f t="shared" si="6"/>
        <v>27035.980902777774</v>
      </c>
      <c r="J44" s="313">
        <f t="shared" si="6"/>
        <v>27035.980902777774</v>
      </c>
      <c r="K44" s="313">
        <f t="shared" si="6"/>
        <v>27035.980902777774</v>
      </c>
      <c r="L44" s="313">
        <f t="shared" si="6"/>
        <v>27035.980902777774</v>
      </c>
      <c r="M44" s="313">
        <f t="shared" si="6"/>
        <v>27035.980902777774</v>
      </c>
      <c r="N44" s="313">
        <f t="shared" si="6"/>
        <v>27035.980902777774</v>
      </c>
      <c r="O44" s="313">
        <f t="shared" si="6"/>
        <v>27035.980902777774</v>
      </c>
      <c r="P44" s="313">
        <f t="shared" si="6"/>
        <v>27035.980902777774</v>
      </c>
      <c r="Q44" s="313">
        <f t="shared" si="6"/>
        <v>27035.980902777774</v>
      </c>
      <c r="R44" s="313">
        <f t="shared" si="6"/>
        <v>27035.980902777774</v>
      </c>
      <c r="S44" s="313">
        <f t="shared" si="6"/>
        <v>27035.980902777774</v>
      </c>
      <c r="T44" s="313">
        <f t="shared" si="6"/>
        <v>27035.980902777774</v>
      </c>
      <c r="U44" s="313">
        <f t="shared" si="6"/>
        <v>27035.980902777774</v>
      </c>
      <c r="V44" s="313">
        <f t="shared" si="6"/>
        <v>27035.980902777774</v>
      </c>
      <c r="W44" s="313">
        <f t="shared" si="6"/>
        <v>27035.980902777774</v>
      </c>
      <c r="X44" s="313">
        <f t="shared" si="6"/>
        <v>27035.980902777774</v>
      </c>
    </row>
    <row r="45" spans="1:24">
      <c r="A45" s="54"/>
      <c r="B45" s="277"/>
      <c r="C45" s="74"/>
      <c r="D45" s="499"/>
      <c r="E45" s="308"/>
      <c r="F45" s="308"/>
      <c r="G45" s="308"/>
      <c r="H45" s="308"/>
      <c r="I45" s="308"/>
      <c r="J45" s="308"/>
      <c r="K45" s="308"/>
      <c r="L45" s="308"/>
      <c r="M45" s="308"/>
      <c r="N45" s="308"/>
      <c r="O45" s="308"/>
      <c r="P45" s="308"/>
      <c r="Q45" s="308"/>
      <c r="R45" s="308"/>
      <c r="S45" s="308"/>
      <c r="T45" s="308"/>
      <c r="U45" s="308"/>
      <c r="V45" s="308"/>
      <c r="W45" s="308"/>
      <c r="X45" s="308"/>
    </row>
    <row r="46" spans="1:24" s="96" customFormat="1">
      <c r="A46" s="54" t="s">
        <v>224</v>
      </c>
      <c r="B46" s="435"/>
      <c r="C46" s="583"/>
      <c r="D46" s="486">
        <v>0</v>
      </c>
      <c r="E46" s="496">
        <v>3</v>
      </c>
      <c r="F46" s="496">
        <v>3</v>
      </c>
      <c r="G46" s="496">
        <v>3</v>
      </c>
      <c r="H46" s="496">
        <v>3</v>
      </c>
      <c r="I46" s="496">
        <v>3</v>
      </c>
      <c r="J46" s="496">
        <v>3</v>
      </c>
      <c r="K46" s="496">
        <v>3</v>
      </c>
      <c r="L46" s="496">
        <v>3</v>
      </c>
      <c r="M46" s="496">
        <v>3</v>
      </c>
      <c r="N46" s="496">
        <v>3</v>
      </c>
      <c r="O46" s="496">
        <v>3</v>
      </c>
      <c r="P46" s="496">
        <v>3</v>
      </c>
      <c r="Q46" s="496">
        <v>3</v>
      </c>
      <c r="R46" s="496">
        <v>3</v>
      </c>
      <c r="S46" s="496">
        <v>3</v>
      </c>
      <c r="T46" s="496">
        <v>3</v>
      </c>
      <c r="U46" s="496">
        <v>3</v>
      </c>
      <c r="V46" s="496">
        <v>3</v>
      </c>
      <c r="W46" s="496">
        <v>3</v>
      </c>
      <c r="X46" s="496">
        <v>3</v>
      </c>
    </row>
    <row r="47" spans="1:24" s="96" customFormat="1">
      <c r="A47" s="54" t="s">
        <v>225</v>
      </c>
      <c r="B47" s="435"/>
      <c r="C47" s="583"/>
      <c r="D47" s="486">
        <v>0</v>
      </c>
      <c r="E47" s="496">
        <v>1</v>
      </c>
      <c r="F47" s="496">
        <v>1</v>
      </c>
      <c r="G47" s="496">
        <v>1</v>
      </c>
      <c r="H47" s="496">
        <v>1</v>
      </c>
      <c r="I47" s="496">
        <v>1</v>
      </c>
      <c r="J47" s="496">
        <v>1</v>
      </c>
      <c r="K47" s="496">
        <v>1</v>
      </c>
      <c r="L47" s="496">
        <v>1</v>
      </c>
      <c r="M47" s="496">
        <v>1</v>
      </c>
      <c r="N47" s="496">
        <v>1</v>
      </c>
      <c r="O47" s="496">
        <v>1</v>
      </c>
      <c r="P47" s="496">
        <v>1</v>
      </c>
      <c r="Q47" s="496">
        <v>1</v>
      </c>
      <c r="R47" s="496">
        <v>1</v>
      </c>
      <c r="S47" s="496">
        <v>1</v>
      </c>
      <c r="T47" s="496">
        <v>1</v>
      </c>
      <c r="U47" s="496">
        <v>1</v>
      </c>
      <c r="V47" s="496">
        <v>1</v>
      </c>
      <c r="W47" s="496">
        <v>1</v>
      </c>
      <c r="X47" s="496">
        <v>1</v>
      </c>
    </row>
    <row r="48" spans="1:24">
      <c r="A48" s="54" t="s">
        <v>209</v>
      </c>
      <c r="B48" s="277"/>
      <c r="C48" s="74"/>
      <c r="D48" s="486">
        <v>0</v>
      </c>
      <c r="E48" s="496">
        <v>0.5</v>
      </c>
      <c r="F48" s="496">
        <v>0.5</v>
      </c>
      <c r="G48" s="496">
        <v>0.5</v>
      </c>
      <c r="H48" s="496">
        <v>0.5</v>
      </c>
      <c r="I48" s="496">
        <v>0.5</v>
      </c>
      <c r="J48" s="496">
        <v>0.5</v>
      </c>
      <c r="K48" s="496">
        <v>0.5</v>
      </c>
      <c r="L48" s="496">
        <v>0.5</v>
      </c>
      <c r="M48" s="496">
        <v>0.5</v>
      </c>
      <c r="N48" s="496">
        <v>0.5</v>
      </c>
      <c r="O48" s="496">
        <v>0.5</v>
      </c>
      <c r="P48" s="496">
        <v>0.5</v>
      </c>
      <c r="Q48" s="496">
        <v>0.5</v>
      </c>
      <c r="R48" s="496">
        <v>0.5</v>
      </c>
      <c r="S48" s="496">
        <v>0.5</v>
      </c>
      <c r="T48" s="496">
        <v>0.5</v>
      </c>
      <c r="U48" s="496">
        <v>0.5</v>
      </c>
      <c r="V48" s="496">
        <v>0.5</v>
      </c>
      <c r="W48" s="496">
        <v>0.5</v>
      </c>
      <c r="X48" s="496">
        <v>0.5</v>
      </c>
    </row>
    <row r="49" spans="1:25 16384:16384">
      <c r="A49" s="54" t="s">
        <v>289</v>
      </c>
      <c r="B49" s="277"/>
      <c r="C49" s="74"/>
      <c r="D49" s="486">
        <v>0</v>
      </c>
      <c r="E49" s="496">
        <f t="shared" ref="E49:X49" si="7">SUM(E46:E48)/3</f>
        <v>1.5</v>
      </c>
      <c r="F49" s="496">
        <f t="shared" si="7"/>
        <v>1.5</v>
      </c>
      <c r="G49" s="496">
        <f t="shared" si="7"/>
        <v>1.5</v>
      </c>
      <c r="H49" s="496">
        <f t="shared" si="7"/>
        <v>1.5</v>
      </c>
      <c r="I49" s="496">
        <f t="shared" si="7"/>
        <v>1.5</v>
      </c>
      <c r="J49" s="496">
        <f t="shared" si="7"/>
        <v>1.5</v>
      </c>
      <c r="K49" s="496">
        <f t="shared" si="7"/>
        <v>1.5</v>
      </c>
      <c r="L49" s="496">
        <f t="shared" si="7"/>
        <v>1.5</v>
      </c>
      <c r="M49" s="496">
        <f t="shared" si="7"/>
        <v>1.5</v>
      </c>
      <c r="N49" s="496">
        <f t="shared" si="7"/>
        <v>1.5</v>
      </c>
      <c r="O49" s="496">
        <f t="shared" si="7"/>
        <v>1.5</v>
      </c>
      <c r="P49" s="496">
        <f t="shared" si="7"/>
        <v>1.5</v>
      </c>
      <c r="Q49" s="496">
        <f t="shared" si="7"/>
        <v>1.5</v>
      </c>
      <c r="R49" s="496">
        <f t="shared" si="7"/>
        <v>1.5</v>
      </c>
      <c r="S49" s="496">
        <f t="shared" si="7"/>
        <v>1.5</v>
      </c>
      <c r="T49" s="496">
        <f t="shared" si="7"/>
        <v>1.5</v>
      </c>
      <c r="U49" s="496">
        <f t="shared" si="7"/>
        <v>1.5</v>
      </c>
      <c r="V49" s="496">
        <f t="shared" si="7"/>
        <v>1.5</v>
      </c>
      <c r="W49" s="496">
        <f t="shared" si="7"/>
        <v>1.5</v>
      </c>
      <c r="X49" s="496">
        <f t="shared" si="7"/>
        <v>1.5</v>
      </c>
    </row>
    <row r="50" spans="1:25 16384:16384">
      <c r="A50" s="54"/>
      <c r="B50" s="277"/>
      <c r="C50" s="74"/>
      <c r="D50" s="486"/>
      <c r="E50" s="496"/>
      <c r="F50" s="496"/>
      <c r="G50" s="496"/>
      <c r="H50" s="496"/>
      <c r="I50" s="496"/>
      <c r="J50" s="496"/>
      <c r="K50" s="496"/>
      <c r="L50" s="496"/>
      <c r="M50" s="496"/>
      <c r="N50" s="496"/>
      <c r="O50" s="496"/>
      <c r="P50" s="496"/>
      <c r="Q50" s="496"/>
      <c r="R50" s="496"/>
      <c r="S50" s="496"/>
      <c r="T50" s="496"/>
      <c r="U50" s="496"/>
      <c r="V50" s="496"/>
      <c r="W50" s="496"/>
      <c r="X50" s="496"/>
    </row>
    <row r="51" spans="1:25 16384:16384">
      <c r="A51" s="54" t="s">
        <v>312</v>
      </c>
      <c r="B51" s="277"/>
      <c r="C51" s="74"/>
      <c r="D51" s="486">
        <v>0</v>
      </c>
      <c r="E51" s="313">
        <f>'Shuttle Projections'!C33</f>
        <v>7190</v>
      </c>
      <c r="F51" s="313">
        <f>'Shuttle Projections'!D33</f>
        <v>7190</v>
      </c>
      <c r="G51" s="313">
        <f>'Shuttle Projections'!E33</f>
        <v>7190</v>
      </c>
      <c r="H51" s="313">
        <f>'Shuttle Projections'!F33</f>
        <v>7190</v>
      </c>
      <c r="I51" s="313">
        <f>'Shuttle Projections'!G33</f>
        <v>7190</v>
      </c>
      <c r="J51" s="313">
        <f>'Shuttle Projections'!H33</f>
        <v>7190</v>
      </c>
      <c r="K51" s="313">
        <f>'Shuttle Projections'!I33</f>
        <v>7190</v>
      </c>
      <c r="L51" s="313">
        <f>'Shuttle Projections'!J33</f>
        <v>7190</v>
      </c>
      <c r="M51" s="313">
        <f>'Shuttle Projections'!K33</f>
        <v>7190</v>
      </c>
      <c r="N51" s="313">
        <f>'Shuttle Projections'!L33</f>
        <v>7190</v>
      </c>
      <c r="O51" s="313">
        <f>'Shuttle Projections'!M33</f>
        <v>7190</v>
      </c>
      <c r="P51" s="313">
        <f>'Shuttle Projections'!N33</f>
        <v>7190</v>
      </c>
      <c r="Q51" s="313">
        <f>'Shuttle Projections'!O33</f>
        <v>7190</v>
      </c>
      <c r="R51" s="313">
        <f>'Shuttle Projections'!P33</f>
        <v>7190</v>
      </c>
      <c r="S51" s="313">
        <f>'Shuttle Projections'!Q33</f>
        <v>7190</v>
      </c>
      <c r="T51" s="313">
        <f>'Shuttle Projections'!R33</f>
        <v>7190</v>
      </c>
      <c r="U51" s="313">
        <f>'Shuttle Projections'!S33</f>
        <v>7190</v>
      </c>
      <c r="V51" s="313">
        <f>'Shuttle Projections'!T33</f>
        <v>7190</v>
      </c>
      <c r="W51" s="313">
        <f>'Shuttle Projections'!U33</f>
        <v>7190</v>
      </c>
      <c r="X51" s="313">
        <f>'Shuttle Projections'!V33</f>
        <v>7190</v>
      </c>
      <c r="XFD51" s="570"/>
    </row>
    <row r="52" spans="1:25 16384:16384">
      <c r="A52" s="54"/>
      <c r="B52" s="277"/>
      <c r="C52" s="74"/>
      <c r="D52" s="486"/>
      <c r="E52" s="308"/>
      <c r="F52" s="308"/>
      <c r="G52" s="308"/>
      <c r="H52" s="308"/>
      <c r="I52" s="308"/>
      <c r="J52" s="308"/>
      <c r="K52" s="308"/>
      <c r="L52" s="308"/>
      <c r="M52" s="308"/>
      <c r="N52" s="308"/>
      <c r="O52" s="308"/>
      <c r="P52" s="308"/>
      <c r="Q52" s="308"/>
      <c r="R52" s="308"/>
      <c r="S52" s="308"/>
      <c r="T52" s="308"/>
      <c r="U52" s="308"/>
      <c r="V52" s="308"/>
      <c r="W52" s="308"/>
      <c r="X52" s="308"/>
    </row>
    <row r="53" spans="1:25 16384:16384" s="612" customFormat="1">
      <c r="A53" s="613" t="s">
        <v>292</v>
      </c>
      <c r="B53" s="614"/>
      <c r="C53" s="615"/>
      <c r="D53" s="616">
        <v>0</v>
      </c>
      <c r="E53" s="617">
        <v>0</v>
      </c>
      <c r="F53" s="617">
        <v>0</v>
      </c>
      <c r="G53" s="617">
        <v>100000</v>
      </c>
      <c r="H53" s="617">
        <v>100000</v>
      </c>
      <c r="I53" s="617">
        <v>100000</v>
      </c>
      <c r="J53" s="617">
        <v>100000</v>
      </c>
      <c r="K53" s="617">
        <v>100000</v>
      </c>
      <c r="L53" s="617">
        <v>100000</v>
      </c>
      <c r="M53" s="617">
        <v>100000</v>
      </c>
      <c r="N53" s="617">
        <v>100000</v>
      </c>
      <c r="O53" s="617">
        <v>100000</v>
      </c>
      <c r="P53" s="617">
        <v>100000</v>
      </c>
      <c r="Q53" s="617">
        <v>100000</v>
      </c>
      <c r="R53" s="617">
        <v>100000</v>
      </c>
      <c r="S53" s="617">
        <v>100000</v>
      </c>
      <c r="T53" s="617">
        <v>100000</v>
      </c>
      <c r="U53" s="617">
        <v>100000</v>
      </c>
      <c r="V53" s="617">
        <v>100000</v>
      </c>
      <c r="W53" s="617">
        <v>100000</v>
      </c>
      <c r="X53" s="618">
        <v>100000</v>
      </c>
    </row>
    <row r="54" spans="1:25 16384:16384">
      <c r="A54" s="54"/>
      <c r="B54" s="277"/>
      <c r="C54" s="74"/>
      <c r="D54" s="486"/>
      <c r="E54" s="308"/>
      <c r="F54" s="308"/>
      <c r="G54" s="308"/>
      <c r="H54" s="308"/>
      <c r="I54" s="308"/>
      <c r="J54" s="308"/>
      <c r="K54" s="308"/>
      <c r="L54" s="308"/>
      <c r="M54" s="308"/>
      <c r="N54" s="308"/>
      <c r="O54" s="308"/>
      <c r="P54" s="308"/>
      <c r="Q54" s="308"/>
      <c r="R54" s="308"/>
      <c r="S54" s="308"/>
      <c r="T54" s="308"/>
      <c r="U54" s="308"/>
      <c r="V54" s="308"/>
      <c r="W54" s="308"/>
      <c r="X54" s="308"/>
    </row>
    <row r="55" spans="1:25 16384:16384" s="582" customFormat="1">
      <c r="A55" s="293" t="str">
        <f>'BH Tariffs'!A33</f>
        <v>Recreational/Commercial Marina</v>
      </c>
      <c r="B55" s="584"/>
      <c r="C55" s="585"/>
      <c r="D55" s="486"/>
      <c r="E55" s="586"/>
      <c r="F55" s="586"/>
      <c r="G55" s="586"/>
      <c r="H55" s="586"/>
      <c r="I55" s="586"/>
      <c r="J55" s="586"/>
      <c r="K55" s="586"/>
      <c r="L55" s="586"/>
      <c r="M55" s="586"/>
      <c r="N55" s="586"/>
      <c r="O55" s="586"/>
      <c r="P55" s="586"/>
      <c r="Q55" s="586"/>
      <c r="R55" s="586"/>
      <c r="S55" s="586"/>
      <c r="T55" s="586"/>
      <c r="U55" s="586"/>
      <c r="V55" s="586"/>
      <c r="W55" s="586"/>
      <c r="X55" s="586"/>
    </row>
    <row r="56" spans="1:25 16384:16384" s="96" customFormat="1">
      <c r="A56" s="54" t="s">
        <v>291</v>
      </c>
      <c r="B56" s="435"/>
      <c r="C56" s="583"/>
      <c r="D56" s="486">
        <v>0</v>
      </c>
      <c r="E56" s="313">
        <v>0</v>
      </c>
      <c r="F56" s="313">
        <f>'Marina Projections'!D121</f>
        <v>32</v>
      </c>
      <c r="G56" s="313">
        <f>'Marina Projections'!E121</f>
        <v>32</v>
      </c>
      <c r="H56" s="313">
        <f>'Marina Projections'!F121</f>
        <v>32</v>
      </c>
      <c r="I56" s="313">
        <f>'Marina Projections'!G121</f>
        <v>32</v>
      </c>
      <c r="J56" s="313">
        <f>'Marina Projections'!H121</f>
        <v>32</v>
      </c>
      <c r="K56" s="313">
        <f>'Marina Projections'!I121</f>
        <v>32</v>
      </c>
      <c r="L56" s="313">
        <f>'Marina Projections'!J121</f>
        <v>32</v>
      </c>
      <c r="M56" s="313">
        <f>'Marina Projections'!K121</f>
        <v>32</v>
      </c>
      <c r="N56" s="313">
        <f>'Marina Projections'!L121</f>
        <v>32</v>
      </c>
      <c r="O56" s="313">
        <f>'Marina Projections'!M121</f>
        <v>32</v>
      </c>
      <c r="P56" s="313">
        <f>'Marina Projections'!N121</f>
        <v>32</v>
      </c>
      <c r="Q56" s="313">
        <f>'Marina Projections'!O121</f>
        <v>32</v>
      </c>
      <c r="R56" s="313">
        <f>'Marina Projections'!P121</f>
        <v>32</v>
      </c>
      <c r="S56" s="313">
        <f>'Marina Projections'!Q121</f>
        <v>32</v>
      </c>
      <c r="T56" s="313">
        <f>'Marina Projections'!R121</f>
        <v>32</v>
      </c>
      <c r="U56" s="313">
        <f>'Marina Projections'!S121</f>
        <v>32</v>
      </c>
      <c r="V56" s="313">
        <f>'Marina Projections'!T121</f>
        <v>32</v>
      </c>
      <c r="W56" s="313">
        <f>'Marina Projections'!U121</f>
        <v>32</v>
      </c>
      <c r="X56" s="313">
        <f>'Marina Projections'!V121</f>
        <v>32</v>
      </c>
    </row>
    <row r="57" spans="1:25 16384:16384" s="96" customFormat="1">
      <c r="A57" s="54" t="s">
        <v>293</v>
      </c>
      <c r="B57" s="435"/>
      <c r="C57" s="583"/>
      <c r="D57" s="486">
        <v>0</v>
      </c>
      <c r="E57" s="313">
        <v>0</v>
      </c>
      <c r="F57" s="313">
        <f>'Marina Projections'!D128</f>
        <v>30264.381562500002</v>
      </c>
      <c r="G57" s="313">
        <f>'Marina Projections'!E128</f>
        <v>30264.381562500002</v>
      </c>
      <c r="H57" s="313">
        <f>'Marina Projections'!F128</f>
        <v>30264.381562500002</v>
      </c>
      <c r="I57" s="313">
        <f>'Marina Projections'!G128</f>
        <v>30264.381562500002</v>
      </c>
      <c r="J57" s="313">
        <f>'Marina Projections'!H128</f>
        <v>30264.381562500002</v>
      </c>
      <c r="K57" s="313">
        <f>'Marina Projections'!I128</f>
        <v>30264.381562500002</v>
      </c>
      <c r="L57" s="313">
        <f>'Marina Projections'!J128</f>
        <v>30264.381562500002</v>
      </c>
      <c r="M57" s="313">
        <f>'Marina Projections'!K128</f>
        <v>30264.381562500002</v>
      </c>
      <c r="N57" s="313">
        <f>'Marina Projections'!L128</f>
        <v>30264.381562500002</v>
      </c>
      <c r="O57" s="313">
        <f>'Marina Projections'!M128</f>
        <v>30264.381562500002</v>
      </c>
      <c r="P57" s="313">
        <f>'Marina Projections'!N128</f>
        <v>30264.381562500002</v>
      </c>
      <c r="Q57" s="313">
        <f>'Marina Projections'!O128</f>
        <v>30264.381562500002</v>
      </c>
      <c r="R57" s="313">
        <f>'Marina Projections'!P128</f>
        <v>30264.381562500002</v>
      </c>
      <c r="S57" s="313">
        <f>'Marina Projections'!Q128</f>
        <v>30264.381562500002</v>
      </c>
      <c r="T57" s="313">
        <f>'Marina Projections'!R128</f>
        <v>30264.381562500002</v>
      </c>
      <c r="U57" s="313">
        <f>'Marina Projections'!S128</f>
        <v>30264.381562500002</v>
      </c>
      <c r="V57" s="313">
        <f>'Marina Projections'!T128</f>
        <v>30264.381562500002</v>
      </c>
      <c r="W57" s="313">
        <f>'Marina Projections'!U128</f>
        <v>30264.381562500002</v>
      </c>
      <c r="X57" s="313">
        <f>'Marina Projections'!V128</f>
        <v>30264.381562500002</v>
      </c>
    </row>
    <row r="58" spans="1:25 16384:16384" s="96" customFormat="1">
      <c r="A58" s="54" t="s">
        <v>294</v>
      </c>
      <c r="B58" s="435"/>
      <c r="C58" s="583"/>
      <c r="D58" s="486">
        <v>0</v>
      </c>
      <c r="E58" s="313">
        <v>0</v>
      </c>
      <c r="F58" s="313">
        <f>'Marina Projections'!D124</f>
        <v>1137.1500000000001</v>
      </c>
      <c r="G58" s="313">
        <f>'Marina Projections'!E124</f>
        <v>1137.1500000000001</v>
      </c>
      <c r="H58" s="313">
        <f>'Marina Projections'!F124</f>
        <v>1137.1500000000001</v>
      </c>
      <c r="I58" s="313">
        <f>'Marina Projections'!G124</f>
        <v>1137.1500000000001</v>
      </c>
      <c r="J58" s="313">
        <f>'Marina Projections'!H124</f>
        <v>1137.1500000000001</v>
      </c>
      <c r="K58" s="313">
        <f>'Marina Projections'!I124</f>
        <v>1137.1500000000001</v>
      </c>
      <c r="L58" s="313">
        <f>'Marina Projections'!J124</f>
        <v>1137.1500000000001</v>
      </c>
      <c r="M58" s="313">
        <f>'Marina Projections'!K124</f>
        <v>1137.1500000000001</v>
      </c>
      <c r="N58" s="313">
        <f>'Marina Projections'!L124</f>
        <v>1137.1500000000001</v>
      </c>
      <c r="O58" s="313">
        <f>'Marina Projections'!M124</f>
        <v>1137.1500000000001</v>
      </c>
      <c r="P58" s="313">
        <f>'Marina Projections'!N124</f>
        <v>1137.1500000000001</v>
      </c>
      <c r="Q58" s="313">
        <f>'Marina Projections'!O124</f>
        <v>1137.1500000000001</v>
      </c>
      <c r="R58" s="313">
        <f>'Marina Projections'!P124</f>
        <v>1137.1500000000001</v>
      </c>
      <c r="S58" s="313">
        <f>'Marina Projections'!Q124</f>
        <v>1137.1500000000001</v>
      </c>
      <c r="T58" s="313">
        <f>'Marina Projections'!R124</f>
        <v>1137.1500000000001</v>
      </c>
      <c r="U58" s="313">
        <f>'Marina Projections'!S124</f>
        <v>1137.1500000000001</v>
      </c>
      <c r="V58" s="313">
        <f>'Marina Projections'!T124</f>
        <v>1137.1500000000001</v>
      </c>
      <c r="W58" s="313">
        <f>'Marina Projections'!U124</f>
        <v>1137.1500000000001</v>
      </c>
      <c r="X58" s="313">
        <f>'Marina Projections'!V124</f>
        <v>1137.1500000000001</v>
      </c>
    </row>
    <row r="59" spans="1:25 16384:16384" s="167" customFormat="1">
      <c r="A59" s="497" t="s">
        <v>170</v>
      </c>
      <c r="B59" s="450"/>
      <c r="C59" s="498"/>
      <c r="D59" s="499">
        <v>0</v>
      </c>
      <c r="E59" s="587">
        <v>0</v>
      </c>
      <c r="F59" s="587">
        <v>0</v>
      </c>
      <c r="G59" s="587">
        <v>0</v>
      </c>
      <c r="H59" s="587">
        <v>0</v>
      </c>
      <c r="I59" s="587">
        <v>0</v>
      </c>
      <c r="J59" s="587">
        <v>0</v>
      </c>
      <c r="K59" s="587">
        <v>0</v>
      </c>
      <c r="L59" s="587">
        <v>0</v>
      </c>
      <c r="M59" s="587">
        <v>0</v>
      </c>
      <c r="N59" s="587">
        <v>0</v>
      </c>
      <c r="O59" s="587">
        <v>0</v>
      </c>
      <c r="P59" s="587">
        <v>0</v>
      </c>
      <c r="Q59" s="587">
        <v>0</v>
      </c>
      <c r="R59" s="587">
        <v>0</v>
      </c>
      <c r="S59" s="587">
        <v>0</v>
      </c>
      <c r="T59" s="587">
        <v>0</v>
      </c>
      <c r="U59" s="587">
        <v>0</v>
      </c>
      <c r="V59" s="587">
        <v>0</v>
      </c>
      <c r="W59" s="587">
        <v>0</v>
      </c>
      <c r="X59" s="587">
        <v>0</v>
      </c>
      <c r="Y59" s="167" t="s">
        <v>282</v>
      </c>
    </row>
    <row r="60" spans="1:25 16384:16384" s="167" customFormat="1">
      <c r="A60" s="497" t="s">
        <v>16</v>
      </c>
      <c r="B60" s="450"/>
      <c r="C60" s="498"/>
      <c r="D60" s="499">
        <v>0</v>
      </c>
      <c r="E60" s="587">
        <v>0</v>
      </c>
      <c r="F60" s="587">
        <v>0</v>
      </c>
      <c r="G60" s="587">
        <v>0</v>
      </c>
      <c r="H60" s="587">
        <v>0</v>
      </c>
      <c r="I60" s="587">
        <v>0</v>
      </c>
      <c r="J60" s="587">
        <v>0</v>
      </c>
      <c r="K60" s="587">
        <v>0</v>
      </c>
      <c r="L60" s="587">
        <v>0</v>
      </c>
      <c r="M60" s="587">
        <v>0</v>
      </c>
      <c r="N60" s="587">
        <v>0</v>
      </c>
      <c r="O60" s="587">
        <v>0</v>
      </c>
      <c r="P60" s="587">
        <v>0</v>
      </c>
      <c r="Q60" s="587">
        <v>0</v>
      </c>
      <c r="R60" s="587">
        <v>0</v>
      </c>
      <c r="S60" s="587">
        <v>0</v>
      </c>
      <c r="T60" s="587">
        <v>0</v>
      </c>
      <c r="U60" s="587">
        <v>0</v>
      </c>
      <c r="V60" s="587">
        <v>0</v>
      </c>
      <c r="W60" s="587">
        <v>0</v>
      </c>
      <c r="X60" s="587">
        <v>0</v>
      </c>
      <c r="Y60" s="167" t="s">
        <v>282</v>
      </c>
    </row>
    <row r="61" spans="1:25 16384:16384">
      <c r="A61" s="54"/>
      <c r="B61" s="277"/>
      <c r="C61" s="74"/>
      <c r="D61" s="492"/>
      <c r="E61" s="308"/>
      <c r="F61" s="308"/>
      <c r="G61" s="308"/>
      <c r="H61" s="308"/>
      <c r="I61" s="308"/>
      <c r="J61" s="308"/>
      <c r="K61" s="308"/>
      <c r="L61" s="308"/>
      <c r="M61" s="308"/>
      <c r="N61" s="308"/>
      <c r="O61" s="308"/>
      <c r="P61" s="308"/>
      <c r="Q61" s="308"/>
      <c r="R61" s="308"/>
      <c r="S61" s="308"/>
      <c r="T61" s="308"/>
      <c r="U61" s="308"/>
      <c r="V61" s="308"/>
      <c r="W61" s="308"/>
      <c r="X61" s="308"/>
    </row>
    <row r="62" spans="1:25 16384:16384">
      <c r="A62" s="293" t="s">
        <v>2</v>
      </c>
      <c r="B62" s="277"/>
      <c r="C62" s="74"/>
      <c r="D62" s="492"/>
      <c r="E62" s="308"/>
      <c r="F62" s="308"/>
      <c r="G62" s="308"/>
      <c r="H62" s="308"/>
      <c r="I62" s="308"/>
      <c r="J62" s="308"/>
      <c r="K62" s="308"/>
      <c r="L62" s="308"/>
      <c r="M62" s="308"/>
      <c r="N62" s="308"/>
      <c r="O62" s="308"/>
      <c r="P62" s="308"/>
      <c r="Q62" s="308"/>
      <c r="R62" s="308"/>
      <c r="S62" s="308"/>
      <c r="T62" s="308"/>
      <c r="U62" s="308"/>
      <c r="V62" s="308"/>
      <c r="W62" s="308"/>
      <c r="X62" s="308"/>
    </row>
    <row r="63" spans="1:25 16384:16384" s="96" customFormat="1">
      <c r="A63" s="54" t="s">
        <v>290</v>
      </c>
      <c r="B63" s="435">
        <v>500</v>
      </c>
      <c r="C63" s="487"/>
      <c r="D63" s="486">
        <v>0</v>
      </c>
      <c r="E63" s="313">
        <v>0</v>
      </c>
      <c r="F63" s="313">
        <v>0</v>
      </c>
      <c r="G63" s="313">
        <f t="shared" ref="G63:X63" si="8">$B$63</f>
        <v>500</v>
      </c>
      <c r="H63" s="313">
        <f t="shared" si="8"/>
        <v>500</v>
      </c>
      <c r="I63" s="313">
        <f t="shared" si="8"/>
        <v>500</v>
      </c>
      <c r="J63" s="313">
        <f t="shared" si="8"/>
        <v>500</v>
      </c>
      <c r="K63" s="313">
        <f t="shared" si="8"/>
        <v>500</v>
      </c>
      <c r="L63" s="313">
        <f t="shared" si="8"/>
        <v>500</v>
      </c>
      <c r="M63" s="313">
        <f t="shared" si="8"/>
        <v>500</v>
      </c>
      <c r="N63" s="313">
        <f t="shared" si="8"/>
        <v>500</v>
      </c>
      <c r="O63" s="313">
        <f t="shared" si="8"/>
        <v>500</v>
      </c>
      <c r="P63" s="313">
        <f t="shared" si="8"/>
        <v>500</v>
      </c>
      <c r="Q63" s="313">
        <f t="shared" si="8"/>
        <v>500</v>
      </c>
      <c r="R63" s="313">
        <f t="shared" si="8"/>
        <v>500</v>
      </c>
      <c r="S63" s="313">
        <f t="shared" si="8"/>
        <v>500</v>
      </c>
      <c r="T63" s="313">
        <f t="shared" si="8"/>
        <v>500</v>
      </c>
      <c r="U63" s="313">
        <f t="shared" si="8"/>
        <v>500</v>
      </c>
      <c r="V63" s="313">
        <f t="shared" si="8"/>
        <v>500</v>
      </c>
      <c r="W63" s="313">
        <f t="shared" si="8"/>
        <v>500</v>
      </c>
      <c r="X63" s="313">
        <f t="shared" si="8"/>
        <v>500</v>
      </c>
    </row>
    <row r="64" spans="1:25 16384:16384" s="96" customFormat="1">
      <c r="A64" s="54" t="s">
        <v>540</v>
      </c>
      <c r="B64" s="435"/>
      <c r="C64" s="487"/>
      <c r="D64" s="1055">
        <v>0</v>
      </c>
      <c r="E64" s="1056">
        <v>0</v>
      </c>
      <c r="F64" s="1056">
        <v>0</v>
      </c>
      <c r="G64" s="1056">
        <v>200000</v>
      </c>
      <c r="H64" s="1056">
        <f>G64</f>
        <v>200000</v>
      </c>
      <c r="I64" s="1056">
        <f t="shared" ref="I64:X64" si="9">H64</f>
        <v>200000</v>
      </c>
      <c r="J64" s="1056">
        <f t="shared" si="9"/>
        <v>200000</v>
      </c>
      <c r="K64" s="1056">
        <f t="shared" si="9"/>
        <v>200000</v>
      </c>
      <c r="L64" s="1056">
        <f t="shared" si="9"/>
        <v>200000</v>
      </c>
      <c r="M64" s="1056">
        <f t="shared" si="9"/>
        <v>200000</v>
      </c>
      <c r="N64" s="1056">
        <f t="shared" si="9"/>
        <v>200000</v>
      </c>
      <c r="O64" s="1056">
        <f t="shared" si="9"/>
        <v>200000</v>
      </c>
      <c r="P64" s="1056">
        <f t="shared" si="9"/>
        <v>200000</v>
      </c>
      <c r="Q64" s="1056">
        <f t="shared" si="9"/>
        <v>200000</v>
      </c>
      <c r="R64" s="1056">
        <f t="shared" si="9"/>
        <v>200000</v>
      </c>
      <c r="S64" s="1056">
        <f t="shared" si="9"/>
        <v>200000</v>
      </c>
      <c r="T64" s="1056">
        <f t="shared" si="9"/>
        <v>200000</v>
      </c>
      <c r="U64" s="1056">
        <f t="shared" si="9"/>
        <v>200000</v>
      </c>
      <c r="V64" s="1056">
        <f t="shared" si="9"/>
        <v>200000</v>
      </c>
      <c r="W64" s="1056">
        <f t="shared" si="9"/>
        <v>200000</v>
      </c>
      <c r="X64" s="1056">
        <f t="shared" si="9"/>
        <v>200000</v>
      </c>
    </row>
    <row r="65" spans="1:25" s="96" customFormat="1">
      <c r="A65" s="54" t="s">
        <v>210</v>
      </c>
      <c r="B65" s="487"/>
      <c r="C65" s="487"/>
      <c r="D65" s="486">
        <v>0</v>
      </c>
      <c r="E65" s="313">
        <v>0</v>
      </c>
      <c r="F65" s="313">
        <v>1</v>
      </c>
      <c r="G65" s="313">
        <v>2</v>
      </c>
      <c r="H65" s="313">
        <v>2</v>
      </c>
      <c r="I65" s="313">
        <v>2</v>
      </c>
      <c r="J65" s="313">
        <v>3</v>
      </c>
      <c r="K65" s="313">
        <v>3</v>
      </c>
      <c r="L65" s="313">
        <v>3</v>
      </c>
      <c r="M65" s="313">
        <v>3</v>
      </c>
      <c r="N65" s="313">
        <v>3</v>
      </c>
      <c r="O65" s="313">
        <v>4</v>
      </c>
      <c r="P65" s="313">
        <v>4</v>
      </c>
      <c r="Q65" s="313">
        <v>4</v>
      </c>
      <c r="R65" s="313">
        <v>4</v>
      </c>
      <c r="S65" s="313">
        <v>4</v>
      </c>
      <c r="T65" s="313">
        <v>5</v>
      </c>
      <c r="U65" s="313">
        <v>5</v>
      </c>
      <c r="V65" s="313">
        <v>5</v>
      </c>
      <c r="W65" s="313">
        <v>5</v>
      </c>
      <c r="X65" s="313">
        <v>5</v>
      </c>
      <c r="Y65" s="313"/>
    </row>
    <row r="66" spans="1:25" s="96" customFormat="1">
      <c r="A66" s="96" t="s">
        <v>211</v>
      </c>
      <c r="D66" s="486">
        <v>0</v>
      </c>
      <c r="E66" s="435">
        <v>0</v>
      </c>
      <c r="F66" s="435">
        <v>3</v>
      </c>
      <c r="G66" s="435">
        <v>3</v>
      </c>
      <c r="H66" s="435">
        <v>3</v>
      </c>
      <c r="I66" s="435">
        <v>3</v>
      </c>
      <c r="J66" s="435">
        <v>3</v>
      </c>
      <c r="K66" s="435">
        <v>3</v>
      </c>
      <c r="L66" s="435">
        <v>3</v>
      </c>
      <c r="M66" s="435">
        <v>3</v>
      </c>
      <c r="N66" s="435">
        <v>3</v>
      </c>
      <c r="O66" s="435">
        <v>3</v>
      </c>
      <c r="P66" s="435">
        <v>3</v>
      </c>
      <c r="Q66" s="435">
        <v>3</v>
      </c>
      <c r="R66" s="435">
        <v>3</v>
      </c>
      <c r="S66" s="435">
        <v>3</v>
      </c>
      <c r="T66" s="435">
        <v>3</v>
      </c>
      <c r="U66" s="435">
        <v>3</v>
      </c>
      <c r="V66" s="435">
        <v>3</v>
      </c>
      <c r="W66" s="435">
        <v>3</v>
      </c>
      <c r="X66" s="435">
        <v>3</v>
      </c>
    </row>
    <row r="67" spans="1:25" s="167" customFormat="1">
      <c r="A67" s="497"/>
      <c r="B67" s="501"/>
      <c r="C67" s="501"/>
      <c r="D67" s="499"/>
      <c r="E67" s="500"/>
      <c r="F67" s="500"/>
      <c r="G67" s="500"/>
      <c r="H67" s="500"/>
      <c r="I67" s="500"/>
      <c r="J67" s="500"/>
      <c r="K67" s="500"/>
      <c r="L67" s="500"/>
      <c r="M67" s="500"/>
      <c r="N67" s="500"/>
      <c r="O67" s="500"/>
      <c r="P67" s="500"/>
      <c r="Q67" s="500"/>
      <c r="R67" s="500"/>
      <c r="S67" s="500"/>
      <c r="T67" s="500"/>
      <c r="U67" s="500"/>
      <c r="V67" s="500"/>
      <c r="W67" s="500"/>
      <c r="X67" s="500"/>
      <c r="Y67" s="500"/>
    </row>
    <row r="68" spans="1:25">
      <c r="A68" s="28"/>
      <c r="D68" s="486"/>
      <c r="E68" s="331"/>
      <c r="F68" s="333"/>
      <c r="G68" s="331"/>
      <c r="H68" s="331"/>
      <c r="I68" s="331"/>
      <c r="J68" s="331"/>
      <c r="K68" s="331"/>
      <c r="L68" s="331"/>
      <c r="M68" s="331"/>
      <c r="N68" s="331"/>
      <c r="O68" s="331"/>
      <c r="P68" s="331"/>
      <c r="Q68" s="331"/>
      <c r="R68" s="331"/>
      <c r="S68" s="331"/>
      <c r="T68" s="331"/>
      <c r="U68" s="331"/>
      <c r="V68" s="331"/>
      <c r="W68" s="331"/>
      <c r="X68" s="331"/>
    </row>
    <row r="69" spans="1:25">
      <c r="A69" s="266" t="s">
        <v>135</v>
      </c>
      <c r="B69" s="223"/>
      <c r="C69" s="267"/>
      <c r="D69" s="332"/>
      <c r="E69" s="332"/>
      <c r="F69" s="349"/>
      <c r="G69" s="332"/>
      <c r="H69" s="332"/>
      <c r="I69" s="332"/>
      <c r="J69" s="332"/>
      <c r="K69" s="332"/>
      <c r="L69" s="332"/>
      <c r="M69" s="332"/>
      <c r="N69" s="332"/>
      <c r="O69" s="332"/>
      <c r="P69" s="332"/>
      <c r="Q69" s="332"/>
      <c r="R69" s="332"/>
      <c r="S69" s="332"/>
      <c r="T69" s="332"/>
      <c r="U69" s="332"/>
      <c r="V69" s="332"/>
      <c r="W69" s="332"/>
      <c r="X69" s="332"/>
    </row>
    <row r="70" spans="1:25" s="341" customFormat="1">
      <c r="A70" s="353"/>
      <c r="B70" s="355"/>
      <c r="C70" s="355"/>
      <c r="D70" s="502"/>
      <c r="E70" s="503"/>
      <c r="F70" s="503"/>
      <c r="G70" s="503"/>
      <c r="H70" s="503"/>
      <c r="I70" s="503"/>
      <c r="J70" s="503"/>
      <c r="K70" s="503"/>
      <c r="L70" s="503"/>
      <c r="M70" s="503"/>
      <c r="N70" s="503"/>
      <c r="O70" s="503"/>
      <c r="P70" s="503"/>
      <c r="Q70" s="503"/>
      <c r="R70" s="503"/>
      <c r="S70" s="503"/>
      <c r="T70" s="503"/>
      <c r="U70" s="503"/>
      <c r="V70" s="503"/>
      <c r="W70" s="503"/>
      <c r="X70" s="503"/>
    </row>
    <row r="71" spans="1:25" s="341" customFormat="1">
      <c r="A71" s="691" t="s">
        <v>144</v>
      </c>
      <c r="B71" s="355"/>
      <c r="C71" s="355"/>
      <c r="D71" s="548"/>
      <c r="E71" s="503"/>
      <c r="F71" s="503"/>
      <c r="G71" s="503"/>
      <c r="H71" s="503"/>
      <c r="I71" s="503"/>
      <c r="J71" s="503"/>
      <c r="K71" s="503"/>
      <c r="L71" s="503"/>
      <c r="M71" s="503"/>
      <c r="N71" s="503"/>
      <c r="O71" s="503"/>
      <c r="P71" s="503"/>
      <c r="Q71" s="503"/>
      <c r="R71" s="503"/>
      <c r="S71" s="503"/>
      <c r="T71" s="503"/>
      <c r="U71" s="503"/>
      <c r="V71" s="503"/>
      <c r="W71" s="503"/>
      <c r="X71" s="503"/>
    </row>
    <row r="72" spans="1:25" s="561" customFormat="1">
      <c r="A72" s="353" t="str">
        <f>'BH Tariffs'!A11</f>
        <v>Port Fee</v>
      </c>
      <c r="B72" s="355"/>
      <c r="C72" s="355"/>
      <c r="D72" s="548">
        <v>0</v>
      </c>
      <c r="E72" s="503">
        <v>0</v>
      </c>
      <c r="F72" s="503">
        <v>0</v>
      </c>
      <c r="G72" s="503">
        <v>0</v>
      </c>
      <c r="H72" s="503">
        <v>0</v>
      </c>
      <c r="I72" s="503">
        <v>0</v>
      </c>
      <c r="J72" s="503">
        <v>0</v>
      </c>
      <c r="K72" s="503">
        <v>0</v>
      </c>
      <c r="L72" s="503">
        <v>0</v>
      </c>
      <c r="M72" s="503">
        <v>0</v>
      </c>
      <c r="N72" s="503">
        <v>0</v>
      </c>
      <c r="O72" s="503">
        <v>0</v>
      </c>
      <c r="P72" s="503">
        <v>0</v>
      </c>
      <c r="Q72" s="503">
        <v>0</v>
      </c>
      <c r="R72" s="503">
        <v>0</v>
      </c>
      <c r="S72" s="503">
        <v>0</v>
      </c>
      <c r="T72" s="503">
        <v>0</v>
      </c>
      <c r="U72" s="503">
        <v>0</v>
      </c>
      <c r="V72" s="503">
        <v>0</v>
      </c>
      <c r="W72" s="503">
        <v>0</v>
      </c>
      <c r="X72" s="503">
        <v>0</v>
      </c>
    </row>
    <row r="73" spans="1:25">
      <c r="A73" s="88"/>
      <c r="B73" s="89"/>
      <c r="C73" s="89"/>
      <c r="D73" s="502"/>
      <c r="E73" s="504"/>
      <c r="F73" s="504"/>
      <c r="G73" s="504"/>
      <c r="H73" s="504"/>
      <c r="I73" s="504"/>
      <c r="J73" s="504"/>
      <c r="K73" s="504"/>
      <c r="L73" s="504"/>
      <c r="M73" s="504"/>
      <c r="N73" s="504"/>
      <c r="O73" s="504"/>
      <c r="P73" s="504"/>
      <c r="Q73" s="504"/>
      <c r="R73" s="504"/>
      <c r="S73" s="504"/>
      <c r="T73" s="504"/>
      <c r="U73" s="504"/>
      <c r="V73" s="504"/>
      <c r="W73" s="504"/>
      <c r="X73" s="504"/>
    </row>
    <row r="74" spans="1:25" s="16" customFormat="1" ht="14.25">
      <c r="A74" s="280" t="s">
        <v>124</v>
      </c>
      <c r="B74" s="533"/>
      <c r="C74" s="533"/>
      <c r="D74" s="534"/>
      <c r="E74" s="535"/>
      <c r="F74" s="535"/>
      <c r="G74" s="535"/>
      <c r="H74" s="535"/>
      <c r="I74" s="535"/>
      <c r="J74" s="535"/>
      <c r="K74" s="535"/>
      <c r="L74" s="535"/>
      <c r="M74" s="535"/>
      <c r="N74" s="535"/>
      <c r="O74" s="535"/>
      <c r="P74" s="535"/>
      <c r="Q74" s="535"/>
      <c r="R74" s="535"/>
      <c r="S74" s="535"/>
      <c r="T74" s="535"/>
      <c r="U74" s="535"/>
      <c r="V74" s="535"/>
      <c r="W74" s="535"/>
      <c r="X74" s="535"/>
    </row>
    <row r="75" spans="1:25" s="279" customFormat="1" ht="14.25">
      <c r="A75" s="91" t="s">
        <v>83</v>
      </c>
      <c r="B75" s="536"/>
      <c r="C75" s="536"/>
      <c r="D75" s="537"/>
      <c r="E75" s="538"/>
      <c r="F75" s="538"/>
      <c r="G75" s="538"/>
      <c r="H75" s="538"/>
      <c r="I75" s="538"/>
      <c r="J75" s="538"/>
      <c r="K75" s="538"/>
      <c r="L75" s="538"/>
      <c r="M75" s="538"/>
      <c r="N75" s="538"/>
      <c r="O75" s="538"/>
      <c r="P75" s="538"/>
      <c r="Q75" s="538"/>
      <c r="R75" s="538"/>
      <c r="S75" s="538"/>
      <c r="T75" s="538"/>
      <c r="U75" s="538"/>
      <c r="V75" s="538"/>
      <c r="W75" s="538"/>
      <c r="X75" s="538"/>
    </row>
    <row r="76" spans="1:25">
      <c r="A76" s="90" t="str">
        <f>'BH Tariffs'!A19</f>
        <v>Town Wharfage (Exclusive Use, Ferry Property Only)</v>
      </c>
      <c r="B76" s="89"/>
      <c r="C76" s="89"/>
      <c r="D76" s="502">
        <v>0</v>
      </c>
      <c r="E76" s="504">
        <f>'BH Tariffs'!D19*'P&amp;L - Concept C2 - NCLH'!E12</f>
        <v>0</v>
      </c>
      <c r="F76" s="504">
        <f>'BH Tariffs'!E19*'P&amp;L - Concept C2 - NCLH'!F12</f>
        <v>363295.09439549042</v>
      </c>
      <c r="G76" s="504">
        <f>'BH Tariffs'!F19*'P&amp;L - Concept C2 - NCLH'!G12</f>
        <v>370560.99628340022</v>
      </c>
      <c r="H76" s="504">
        <f>'BH Tariffs'!G19*'P&amp;L - Concept C2 - NCLH'!H12</f>
        <v>377972.2162090682</v>
      </c>
      <c r="I76" s="504">
        <f>'BH Tariffs'!H19*'P&amp;L - Concept C2 - NCLH'!I12</f>
        <v>385531.66053324961</v>
      </c>
      <c r="J76" s="504">
        <f>'BH Tariffs'!I19*'P&amp;L - Concept C2 - NCLH'!J12</f>
        <v>393242.29374391458</v>
      </c>
      <c r="K76" s="504">
        <f>'BH Tariffs'!J19*'P&amp;L - Concept C2 - NCLH'!K12</f>
        <v>401107.13961879286</v>
      </c>
      <c r="L76" s="504">
        <f>'BH Tariffs'!K19*'P&amp;L - Concept C2 - NCLH'!L12</f>
        <v>409129.28241116874</v>
      </c>
      <c r="M76" s="504">
        <f>'BH Tariffs'!L19*'P&amp;L - Concept C2 - NCLH'!M12</f>
        <v>417311.86805939215</v>
      </c>
      <c r="N76" s="504">
        <f>'BH Tariffs'!M19*'P&amp;L - Concept C2 - NCLH'!N12</f>
        <v>425658.10542058002</v>
      </c>
      <c r="O76" s="504">
        <f>'BH Tariffs'!N19*'P&amp;L - Concept C2 - NCLH'!O12</f>
        <v>434171.26752899162</v>
      </c>
      <c r="P76" s="504">
        <f>'BH Tariffs'!O19*'P&amp;L - Concept C2 - NCLH'!P12</f>
        <v>442854.69287957146</v>
      </c>
      <c r="Q76" s="504">
        <f>'BH Tariffs'!P19*'P&amp;L - Concept C2 - NCLH'!Q12</f>
        <v>451711.78673716291</v>
      </c>
      <c r="R76" s="504">
        <f>'BH Tariffs'!Q19*'P&amp;L - Concept C2 - NCLH'!R12</f>
        <v>460746.02247190609</v>
      </c>
      <c r="S76" s="504">
        <f>'BH Tariffs'!R19*'P&amp;L - Concept C2 - NCLH'!S12</f>
        <v>469960.94292134425</v>
      </c>
      <c r="T76" s="504">
        <f>'BH Tariffs'!S19*'P&amp;L - Concept C2 - NCLH'!T12</f>
        <v>479360.16177977109</v>
      </c>
      <c r="U76" s="504">
        <f>'BH Tariffs'!T19*'P&amp;L - Concept C2 - NCLH'!U12</f>
        <v>488947.36501536664</v>
      </c>
      <c r="V76" s="504">
        <f>'BH Tariffs'!U19*'P&amp;L - Concept C2 - NCLH'!V12</f>
        <v>498726.31231567392</v>
      </c>
      <c r="W76" s="504">
        <f>'BH Tariffs'!V19*'P&amp;L - Concept C2 - NCLH'!W12</f>
        <v>508700.83856198745</v>
      </c>
      <c r="X76" s="504">
        <f>'BH Tariffs'!W19*'P&amp;L - Concept C2 - NCLH'!X12</f>
        <v>518874.8553332272</v>
      </c>
      <c r="Y76" s="413">
        <f>SUM(D76:X76)</f>
        <v>8297862.9022200592</v>
      </c>
    </row>
    <row r="77" spans="1:25" s="341" customFormat="1">
      <c r="A77" s="353" t="str">
        <f>'BH Tariffs'!A21</f>
        <v>CBP Infastructure Fee (Ferry Property Only)</v>
      </c>
      <c r="B77" s="355"/>
      <c r="C77" s="355"/>
      <c r="D77" s="548">
        <v>0</v>
      </c>
      <c r="E77" s="503">
        <v>0</v>
      </c>
      <c r="F77" s="503">
        <v>0</v>
      </c>
      <c r="G77" s="503">
        <v>0</v>
      </c>
      <c r="H77" s="503">
        <v>0</v>
      </c>
      <c r="I77" s="503">
        <v>0</v>
      </c>
      <c r="J77" s="503">
        <v>0</v>
      </c>
      <c r="K77" s="503">
        <v>0</v>
      </c>
      <c r="L77" s="503">
        <v>0</v>
      </c>
      <c r="M77" s="503">
        <v>0</v>
      </c>
      <c r="N77" s="503">
        <v>0</v>
      </c>
      <c r="O77" s="503">
        <v>0</v>
      </c>
      <c r="P77" s="503">
        <v>0</v>
      </c>
      <c r="Q77" s="503">
        <v>0</v>
      </c>
      <c r="R77" s="503">
        <v>0</v>
      </c>
      <c r="S77" s="503">
        <v>0</v>
      </c>
      <c r="T77" s="503">
        <v>0</v>
      </c>
      <c r="U77" s="503">
        <v>0</v>
      </c>
      <c r="V77" s="503">
        <v>0</v>
      </c>
      <c r="W77" s="503">
        <v>0</v>
      </c>
      <c r="X77" s="503">
        <v>0</v>
      </c>
      <c r="Y77" s="413"/>
    </row>
    <row r="78" spans="1:25" s="96" customFormat="1">
      <c r="A78" s="90" t="str">
        <f>'BH Tariffs'!A22</f>
        <v>Infrastructure Fee</v>
      </c>
      <c r="B78" s="356"/>
      <c r="C78" s="356"/>
      <c r="D78" s="502">
        <v>0</v>
      </c>
      <c r="E78" s="504">
        <v>0</v>
      </c>
      <c r="F78" s="504">
        <f>'BH Tariffs'!E22*'Cruise Projections'!V97</f>
        <v>522936.74160000001</v>
      </c>
      <c r="G78" s="504">
        <f>'BH Tariffs'!F22*'Cruise Projections'!W97</f>
        <v>533395.47643200005</v>
      </c>
      <c r="H78" s="504">
        <f>'BH Tariffs'!G22*'Cruise Projections'!X97</f>
        <v>544063.38596063992</v>
      </c>
      <c r="I78" s="504">
        <f>'BH Tariffs'!H22*'Cruise Projections'!Y97</f>
        <v>554944.65367985272</v>
      </c>
      <c r="J78" s="504">
        <f>'BH Tariffs'!I22*'Cruise Projections'!Z97</f>
        <v>566043.54675344983</v>
      </c>
      <c r="K78" s="504">
        <f>'BH Tariffs'!J22*'Cruise Projections'!AA97</f>
        <v>577364.41768851888</v>
      </c>
      <c r="L78" s="504">
        <f>'BH Tariffs'!K22*'Cruise Projections'!AB97</f>
        <v>588911.70604228915</v>
      </c>
      <c r="M78" s="504">
        <f>'BH Tariffs'!L22*'Cruise Projections'!AC97</f>
        <v>600689.94016313506</v>
      </c>
      <c r="N78" s="504">
        <f>'BH Tariffs'!M22*'Cruise Projections'!AD97</f>
        <v>612703.73896639771</v>
      </c>
      <c r="O78" s="504">
        <f>'BH Tariffs'!N22*'Cruise Projections'!AE97</f>
        <v>624957.81374572578</v>
      </c>
      <c r="P78" s="504">
        <f>'BH Tariffs'!O22*'Cruise Projections'!AF97</f>
        <v>637456.97002064029</v>
      </c>
      <c r="Q78" s="504">
        <f>'BH Tariffs'!P22*'Cruise Projections'!AG97</f>
        <v>650206.10942105309</v>
      </c>
      <c r="R78" s="504">
        <f>'BH Tariffs'!Q22*'Cruise Projections'!AH97</f>
        <v>663210.23160947405</v>
      </c>
      <c r="S78" s="504">
        <f>'BH Tariffs'!R22*'Cruise Projections'!AI97</f>
        <v>676474.43624166364</v>
      </c>
      <c r="T78" s="504">
        <f>'BH Tariffs'!S22*'Cruise Projections'!AJ97</f>
        <v>690003.924966497</v>
      </c>
      <c r="U78" s="504">
        <f>'BH Tariffs'!T22*'Cruise Projections'!AK97</f>
        <v>703804.00346582686</v>
      </c>
      <c r="V78" s="504">
        <f>'BH Tariffs'!U22*'Cruise Projections'!AL97</f>
        <v>717880.08353514341</v>
      </c>
      <c r="W78" s="504">
        <f>'BH Tariffs'!V22*'Cruise Projections'!AM97</f>
        <v>732237.68520584644</v>
      </c>
      <c r="X78" s="504">
        <f>'BH Tariffs'!W22*'Cruise Projections'!AN97</f>
        <v>746882.43890996324</v>
      </c>
      <c r="Y78" s="413">
        <f t="shared" ref="Y78" si="10">SUM(D78:X78)</f>
        <v>11944167.30440812</v>
      </c>
    </row>
    <row r="79" spans="1:25">
      <c r="A79" s="90"/>
      <c r="B79" s="89"/>
      <c r="C79" s="89"/>
      <c r="D79" s="502"/>
      <c r="E79" s="504"/>
      <c r="F79" s="504"/>
      <c r="G79" s="504"/>
      <c r="H79" s="504"/>
      <c r="I79" s="504"/>
      <c r="J79" s="504"/>
      <c r="K79" s="504"/>
      <c r="L79" s="504"/>
      <c r="M79" s="504"/>
      <c r="N79" s="504"/>
      <c r="O79" s="504"/>
      <c r="P79" s="504"/>
      <c r="Q79" s="504"/>
      <c r="R79" s="504"/>
      <c r="S79" s="504"/>
      <c r="T79" s="504"/>
      <c r="U79" s="504"/>
      <c r="V79" s="504"/>
      <c r="W79" s="504"/>
      <c r="X79" s="504"/>
    </row>
    <row r="80" spans="1:25">
      <c r="A80" s="91" t="s">
        <v>163</v>
      </c>
      <c r="B80" s="30"/>
      <c r="C80" s="89"/>
      <c r="D80" s="502"/>
      <c r="E80" s="504"/>
      <c r="F80" s="504"/>
      <c r="G80" s="504"/>
      <c r="H80" s="504"/>
      <c r="I80" s="504"/>
      <c r="J80" s="504"/>
      <c r="K80" s="504"/>
      <c r="L80" s="504"/>
      <c r="M80" s="504"/>
      <c r="N80" s="504"/>
      <c r="O80" s="504"/>
      <c r="P80" s="504"/>
      <c r="Q80" s="504"/>
      <c r="R80" s="504"/>
      <c r="S80" s="504"/>
      <c r="T80" s="504"/>
      <c r="U80" s="504"/>
      <c r="V80" s="504"/>
      <c r="W80" s="504"/>
      <c r="X80" s="504"/>
    </row>
    <row r="81" spans="1:25">
      <c r="A81" s="88" t="str">
        <f>'BH Tariffs'!A25</f>
        <v>Dock Rent (12 months)</v>
      </c>
      <c r="B81" s="30"/>
      <c r="C81" s="89"/>
      <c r="D81" s="502">
        <v>0</v>
      </c>
      <c r="E81" s="504">
        <f>'BH Tariffs'!D25*12</f>
        <v>69000</v>
      </c>
      <c r="F81" s="504">
        <f>'BH Tariffs'!E25*12</f>
        <v>69000</v>
      </c>
      <c r="G81" s="504">
        <f>'BH Tariffs'!F25*12</f>
        <v>69000</v>
      </c>
      <c r="H81" s="504">
        <f>'BH Tariffs'!G25*12</f>
        <v>70380</v>
      </c>
      <c r="I81" s="504">
        <f>'BH Tariffs'!H25*12</f>
        <v>71787.600000000006</v>
      </c>
      <c r="J81" s="504">
        <f>'BH Tariffs'!I25*12</f>
        <v>73223.351999999999</v>
      </c>
      <c r="K81" s="504">
        <f>'BH Tariffs'!J25*12</f>
        <v>74687.819040000002</v>
      </c>
      <c r="L81" s="504">
        <f>'BH Tariffs'!K25*12</f>
        <v>76181.5754208</v>
      </c>
      <c r="M81" s="504">
        <f>'BH Tariffs'!L25*12</f>
        <v>77705.206929216016</v>
      </c>
      <c r="N81" s="504">
        <f>'BH Tariffs'!M25*12</f>
        <v>79259.311067800329</v>
      </c>
      <c r="O81" s="504">
        <f>'BH Tariffs'!N25*12</f>
        <v>80844.497289156338</v>
      </c>
      <c r="P81" s="504">
        <f>'BH Tariffs'!O25*12</f>
        <v>82461.387234939466</v>
      </c>
      <c r="Q81" s="504">
        <f>'BH Tariffs'!P25*12</f>
        <v>84110.614979638252</v>
      </c>
      <c r="R81" s="504">
        <f>'BH Tariffs'!Q25*12</f>
        <v>85792.827279231016</v>
      </c>
      <c r="S81" s="504">
        <f>'BH Tariffs'!R25*12</f>
        <v>87508.683824815642</v>
      </c>
      <c r="T81" s="504">
        <f>'BH Tariffs'!S25*12</f>
        <v>89258.857501311941</v>
      </c>
      <c r="U81" s="504">
        <f>'BH Tariffs'!T25*12</f>
        <v>91044.034651338196</v>
      </c>
      <c r="V81" s="504">
        <f>'BH Tariffs'!U25*12</f>
        <v>92864.91534436497</v>
      </c>
      <c r="W81" s="504">
        <f>'BH Tariffs'!V25*12</f>
        <v>94722.21365125227</v>
      </c>
      <c r="X81" s="504">
        <f>'BH Tariffs'!W25*12</f>
        <v>96616.657924277315</v>
      </c>
    </row>
    <row r="82" spans="1:25">
      <c r="A82" s="88" t="str">
        <f>'BH Tariffs'!A26</f>
        <v>Ferry Passenger Wharfage</v>
      </c>
      <c r="B82" s="30"/>
      <c r="C82" s="89"/>
      <c r="D82" s="502">
        <v>0</v>
      </c>
      <c r="E82" s="504">
        <f>'BH Tariffs'!D26*E18</f>
        <v>120000</v>
      </c>
      <c r="F82" s="504">
        <f>'BH Tariffs'!E26*F18</f>
        <v>140000</v>
      </c>
      <c r="G82" s="504">
        <f>'BH Tariffs'!F26*G18</f>
        <v>160000</v>
      </c>
      <c r="H82" s="504">
        <f>'BH Tariffs'!G26*H18</f>
        <v>163200</v>
      </c>
      <c r="I82" s="504">
        <f>'BH Tariffs'!H26*I18</f>
        <v>166464</v>
      </c>
      <c r="J82" s="504">
        <f>'BH Tariffs'!I26*J18</f>
        <v>169793.28</v>
      </c>
      <c r="K82" s="504">
        <f>'BH Tariffs'!J26*K18</f>
        <v>173189.14559999999</v>
      </c>
      <c r="L82" s="504">
        <f>'BH Tariffs'!K26*L18</f>
        <v>176652.92851200001</v>
      </c>
      <c r="M82" s="504">
        <f>'BH Tariffs'!L26*M18</f>
        <v>180185.98708224</v>
      </c>
      <c r="N82" s="504">
        <f>'BH Tariffs'!M26*N18</f>
        <v>183789.7068238848</v>
      </c>
      <c r="O82" s="504">
        <f>'BH Tariffs'!N26*O18</f>
        <v>187465.50096036252</v>
      </c>
      <c r="P82" s="504">
        <f>'BH Tariffs'!O26*P18</f>
        <v>191214.81097956977</v>
      </c>
      <c r="Q82" s="504">
        <f>'BH Tariffs'!P26*Q18</f>
        <v>195039.10719916117</v>
      </c>
      <c r="R82" s="504">
        <f>'BH Tariffs'!Q26*R18</f>
        <v>198939.8893431444</v>
      </c>
      <c r="S82" s="504">
        <f>'BH Tariffs'!R26*S18</f>
        <v>202918.68713000728</v>
      </c>
      <c r="T82" s="504">
        <f>'BH Tariffs'!S26*T18</f>
        <v>206977.0608726074</v>
      </c>
      <c r="U82" s="504">
        <f>'BH Tariffs'!T26*U18</f>
        <v>211116.60209005958</v>
      </c>
      <c r="V82" s="504">
        <f>'BH Tariffs'!U26*V18</f>
        <v>215338.93413186079</v>
      </c>
      <c r="W82" s="504">
        <f>'BH Tariffs'!V26*W18</f>
        <v>219645.71281449799</v>
      </c>
      <c r="X82" s="504">
        <f>'BH Tariffs'!W26*X18</f>
        <v>224038.62707078797</v>
      </c>
    </row>
    <row r="83" spans="1:25">
      <c r="A83" s="88" t="str">
        <f>'BH Tariffs'!A27</f>
        <v>Ferry Passenger Vehicle Wharfage</v>
      </c>
      <c r="B83" s="30"/>
      <c r="C83" s="89"/>
      <c r="D83" s="502">
        <v>0</v>
      </c>
      <c r="E83" s="504">
        <f>'BH Tariffs'!D27*E19</f>
        <v>72000</v>
      </c>
      <c r="F83" s="504">
        <f>'BH Tariffs'!E27*F19</f>
        <v>84000</v>
      </c>
      <c r="G83" s="504">
        <f>'BH Tariffs'!F27*G19</f>
        <v>96000</v>
      </c>
      <c r="H83" s="504">
        <f>'BH Tariffs'!G27*H19</f>
        <v>97920</v>
      </c>
      <c r="I83" s="504">
        <f>'BH Tariffs'!H27*I19</f>
        <v>99878.399999999994</v>
      </c>
      <c r="J83" s="504">
        <f>'BH Tariffs'!I27*J19</f>
        <v>101875.96799999999</v>
      </c>
      <c r="K83" s="504">
        <f>'BH Tariffs'!J27*K19</f>
        <v>103913.48736</v>
      </c>
      <c r="L83" s="504">
        <f>'BH Tariffs'!K27*L19</f>
        <v>105991.7571072</v>
      </c>
      <c r="M83" s="504">
        <f>'BH Tariffs'!L27*M19</f>
        <v>108111.592249344</v>
      </c>
      <c r="N83" s="504">
        <f>'BH Tariffs'!M27*N19</f>
        <v>110273.82409433088</v>
      </c>
      <c r="O83" s="504">
        <f>'BH Tariffs'!N27*O19</f>
        <v>112479.30057621752</v>
      </c>
      <c r="P83" s="504">
        <f>'BH Tariffs'!O27*P19</f>
        <v>114728.88658774187</v>
      </c>
      <c r="Q83" s="504">
        <f>'BH Tariffs'!P27*Q19</f>
        <v>117023.46431949669</v>
      </c>
      <c r="R83" s="504">
        <f>'BH Tariffs'!Q27*R19</f>
        <v>119363.93360588665</v>
      </c>
      <c r="S83" s="504">
        <f>'BH Tariffs'!R27*S19</f>
        <v>121751.21227800437</v>
      </c>
      <c r="T83" s="504">
        <f>'BH Tariffs'!S27*T19</f>
        <v>124186.23652356444</v>
      </c>
      <c r="U83" s="504">
        <f>'BH Tariffs'!T27*U19</f>
        <v>126669.96125403573</v>
      </c>
      <c r="V83" s="504">
        <f>'BH Tariffs'!U27*V19</f>
        <v>129203.36047911647</v>
      </c>
      <c r="W83" s="504">
        <f>'BH Tariffs'!V27*W19</f>
        <v>131787.42768869881</v>
      </c>
      <c r="X83" s="504">
        <f>'BH Tariffs'!W27*X19</f>
        <v>134423.17624247278</v>
      </c>
    </row>
    <row r="84" spans="1:25">
      <c r="A84" s="88" t="str">
        <f>'BH Tariffs'!A28</f>
        <v>Ferry Bus Wharfage</v>
      </c>
      <c r="B84" s="30"/>
      <c r="C84" s="89"/>
      <c r="D84" s="502">
        <v>0</v>
      </c>
      <c r="E84" s="504">
        <f>'BH Tariffs'!D28*'P&amp;L - Concept C2 - NCLH'!E20</f>
        <v>800</v>
      </c>
      <c r="F84" s="504">
        <f>'BH Tariffs'!E28*'P&amp;L - Concept C2 - NCLH'!F20</f>
        <v>1000</v>
      </c>
      <c r="G84" s="504">
        <f>'BH Tariffs'!F28*'P&amp;L - Concept C2 - NCLH'!G20</f>
        <v>1200</v>
      </c>
      <c r="H84" s="504">
        <f>'BH Tariffs'!G28*'P&amp;L - Concept C2 - NCLH'!H20</f>
        <v>1224</v>
      </c>
      <c r="I84" s="504">
        <f>'BH Tariffs'!H28*'P&amp;L - Concept C2 - NCLH'!I20</f>
        <v>1248.48</v>
      </c>
      <c r="J84" s="504">
        <f>'BH Tariffs'!I28*'P&amp;L - Concept C2 - NCLH'!J20</f>
        <v>1273.4495999999999</v>
      </c>
      <c r="K84" s="504">
        <f>'BH Tariffs'!J28*'P&amp;L - Concept C2 - NCLH'!K20</f>
        <v>1298.918592</v>
      </c>
      <c r="L84" s="504">
        <f>'BH Tariffs'!K28*'P&amp;L - Concept C2 - NCLH'!L20</f>
        <v>1324.8969638400001</v>
      </c>
      <c r="M84" s="504">
        <f>'BH Tariffs'!L28*'P&amp;L - Concept C2 - NCLH'!M20</f>
        <v>1351.3949031168002</v>
      </c>
      <c r="N84" s="504">
        <f>'BH Tariffs'!M28*'P&amp;L - Concept C2 - NCLH'!N20</f>
        <v>1378.4228011791361</v>
      </c>
      <c r="O84" s="504">
        <f>'BH Tariffs'!N28*'P&amp;L - Concept C2 - NCLH'!O20</f>
        <v>1405.991257202719</v>
      </c>
      <c r="P84" s="504">
        <f>'BH Tariffs'!O28*'P&amp;L - Concept C2 - NCLH'!P20</f>
        <v>1434.1110823467732</v>
      </c>
      <c r="Q84" s="504">
        <f>'BH Tariffs'!P28*'P&amp;L - Concept C2 - NCLH'!Q20</f>
        <v>1462.7933039937088</v>
      </c>
      <c r="R84" s="504">
        <f>'BH Tariffs'!Q28*'P&amp;L - Concept C2 - NCLH'!R20</f>
        <v>1492.0491700735829</v>
      </c>
      <c r="S84" s="504">
        <f>'BH Tariffs'!R28*'P&amp;L - Concept C2 - NCLH'!S20</f>
        <v>1521.8901534750546</v>
      </c>
      <c r="T84" s="504">
        <f>'BH Tariffs'!S28*'P&amp;L - Concept C2 - NCLH'!T20</f>
        <v>1552.3279565445555</v>
      </c>
      <c r="U84" s="504">
        <f>'BH Tariffs'!T28*'P&amp;L - Concept C2 - NCLH'!U20</f>
        <v>1583.3745156754469</v>
      </c>
      <c r="V84" s="504">
        <f>'BH Tariffs'!U28*'P&amp;L - Concept C2 - NCLH'!V20</f>
        <v>1615.0420059889559</v>
      </c>
      <c r="W84" s="504">
        <f>'BH Tariffs'!V28*'P&amp;L - Concept C2 - NCLH'!W20</f>
        <v>1647.3428461087349</v>
      </c>
      <c r="X84" s="504">
        <f>'BH Tariffs'!W28*'P&amp;L - Concept C2 - NCLH'!X20</f>
        <v>1680.2897030309098</v>
      </c>
    </row>
    <row r="85" spans="1:25" s="167" customFormat="1">
      <c r="A85" s="539" t="s">
        <v>592</v>
      </c>
      <c r="B85" s="609"/>
      <c r="C85" s="540"/>
      <c r="D85" s="541">
        <v>0</v>
      </c>
      <c r="E85" s="542">
        <v>-100000</v>
      </c>
      <c r="F85" s="542">
        <f>E85</f>
        <v>-100000</v>
      </c>
      <c r="G85" s="542">
        <f t="shared" ref="G85:X85" si="11">F85</f>
        <v>-100000</v>
      </c>
      <c r="H85" s="542">
        <f t="shared" si="11"/>
        <v>-100000</v>
      </c>
      <c r="I85" s="542">
        <f t="shared" si="11"/>
        <v>-100000</v>
      </c>
      <c r="J85" s="542">
        <f t="shared" si="11"/>
        <v>-100000</v>
      </c>
      <c r="K85" s="542">
        <f t="shared" si="11"/>
        <v>-100000</v>
      </c>
      <c r="L85" s="542">
        <f t="shared" si="11"/>
        <v>-100000</v>
      </c>
      <c r="M85" s="542">
        <f t="shared" si="11"/>
        <v>-100000</v>
      </c>
      <c r="N85" s="542">
        <f t="shared" si="11"/>
        <v>-100000</v>
      </c>
      <c r="O85" s="542">
        <f t="shared" si="11"/>
        <v>-100000</v>
      </c>
      <c r="P85" s="542">
        <f t="shared" si="11"/>
        <v>-100000</v>
      </c>
      <c r="Q85" s="542">
        <f t="shared" si="11"/>
        <v>-100000</v>
      </c>
      <c r="R85" s="542">
        <f t="shared" si="11"/>
        <v>-100000</v>
      </c>
      <c r="S85" s="542">
        <f t="shared" si="11"/>
        <v>-100000</v>
      </c>
      <c r="T85" s="542">
        <f t="shared" si="11"/>
        <v>-100000</v>
      </c>
      <c r="U85" s="542">
        <f t="shared" si="11"/>
        <v>-100000</v>
      </c>
      <c r="V85" s="542">
        <f t="shared" si="11"/>
        <v>-100000</v>
      </c>
      <c r="W85" s="542">
        <f t="shared" si="11"/>
        <v>-100000</v>
      </c>
      <c r="X85" s="542">
        <f t="shared" si="11"/>
        <v>-100000</v>
      </c>
    </row>
    <row r="86" spans="1:25">
      <c r="A86" s="88"/>
      <c r="B86" s="30"/>
      <c r="C86" s="89"/>
      <c r="D86" s="502"/>
      <c r="E86" s="504"/>
      <c r="F86" s="504"/>
      <c r="G86" s="504"/>
      <c r="H86" s="504"/>
      <c r="I86" s="504"/>
      <c r="J86" s="504"/>
      <c r="K86" s="504"/>
      <c r="L86" s="504"/>
      <c r="M86" s="504"/>
      <c r="N86" s="504"/>
      <c r="O86" s="504"/>
      <c r="P86" s="504"/>
      <c r="Q86" s="504"/>
      <c r="R86" s="504"/>
      <c r="S86" s="504"/>
      <c r="T86" s="504"/>
      <c r="U86" s="504"/>
      <c r="V86" s="504"/>
      <c r="W86" s="504"/>
      <c r="X86" s="504"/>
    </row>
    <row r="87" spans="1:25" s="96" customFormat="1">
      <c r="A87" s="605" t="s">
        <v>164</v>
      </c>
      <c r="B87" s="606"/>
      <c r="C87" s="356"/>
      <c r="D87" s="502"/>
      <c r="E87" s="504"/>
      <c r="F87" s="504"/>
      <c r="G87" s="504"/>
      <c r="H87" s="504"/>
      <c r="I87" s="504"/>
      <c r="J87" s="504"/>
      <c r="K87" s="504"/>
      <c r="L87" s="504"/>
      <c r="M87" s="504"/>
      <c r="N87" s="504"/>
      <c r="O87" s="504"/>
      <c r="P87" s="504"/>
      <c r="Q87" s="504"/>
      <c r="R87" s="504"/>
      <c r="S87" s="504"/>
      <c r="T87" s="504"/>
      <c r="U87" s="504"/>
      <c r="V87" s="504"/>
      <c r="W87" s="504"/>
      <c r="X87" s="504"/>
    </row>
    <row r="88" spans="1:25" s="96" customFormat="1">
      <c r="A88" s="90" t="str">
        <f>'BH Tariffs'!A31</f>
        <v>Dock Rent (6 Months Only)</v>
      </c>
      <c r="B88" s="606"/>
      <c r="C88" s="356"/>
      <c r="D88" s="502">
        <v>0</v>
      </c>
      <c r="E88" s="504">
        <v>0</v>
      </c>
      <c r="F88" s="504">
        <f>'BH Tariffs'!E31*6</f>
        <v>12240</v>
      </c>
      <c r="G88" s="504">
        <f>'BH Tariffs'!F31*6</f>
        <v>12484.800000000001</v>
      </c>
      <c r="H88" s="504">
        <f>'BH Tariffs'!G31*6</f>
        <v>12734.495999999999</v>
      </c>
      <c r="I88" s="504">
        <f>'BH Tariffs'!H31*6</f>
        <v>12989.18592</v>
      </c>
      <c r="J88" s="504">
        <f>'BH Tariffs'!I31*6</f>
        <v>13248.9696384</v>
      </c>
      <c r="K88" s="504">
        <f>'BH Tariffs'!J31*6</f>
        <v>13513.949031168002</v>
      </c>
      <c r="L88" s="504">
        <f>'BH Tariffs'!K31*6</f>
        <v>13784.228011791361</v>
      </c>
      <c r="M88" s="504">
        <f>'BH Tariffs'!L31*6</f>
        <v>14059.912572027188</v>
      </c>
      <c r="N88" s="504">
        <f>'BH Tariffs'!M31*6</f>
        <v>14341.110823467734</v>
      </c>
      <c r="O88" s="504">
        <f>'BH Tariffs'!N31*6</f>
        <v>14627.933039937088</v>
      </c>
      <c r="P88" s="504">
        <f>'BH Tariffs'!O31*6</f>
        <v>14920.491700735829</v>
      </c>
      <c r="Q88" s="504">
        <f>'BH Tariffs'!P31*6</f>
        <v>15218.901534750545</v>
      </c>
      <c r="R88" s="504">
        <f>'BH Tariffs'!Q31*6</f>
        <v>15523.279565445555</v>
      </c>
      <c r="S88" s="504">
        <f>'BH Tariffs'!R31*6</f>
        <v>15833.745156754467</v>
      </c>
      <c r="T88" s="504">
        <f>'BH Tariffs'!S31*6</f>
        <v>16150.420059889559</v>
      </c>
      <c r="U88" s="504">
        <f>'BH Tariffs'!T31*6</f>
        <v>16473.428461087351</v>
      </c>
      <c r="V88" s="504">
        <f>'BH Tariffs'!U31*6</f>
        <v>16802.897030309097</v>
      </c>
      <c r="W88" s="504">
        <f>'BH Tariffs'!V31*6</f>
        <v>17138.954970915282</v>
      </c>
      <c r="X88" s="504">
        <f>'BH Tariffs'!W31*6</f>
        <v>17481.734070333587</v>
      </c>
    </row>
    <row r="89" spans="1:25" s="96" customFormat="1">
      <c r="A89" s="90"/>
      <c r="B89" s="606"/>
      <c r="C89" s="356"/>
      <c r="D89" s="502"/>
      <c r="E89" s="504"/>
      <c r="F89" s="504"/>
      <c r="G89" s="504"/>
      <c r="H89" s="504"/>
      <c r="I89" s="504"/>
      <c r="J89" s="504"/>
      <c r="K89" s="504"/>
      <c r="L89" s="504"/>
      <c r="M89" s="504"/>
      <c r="N89" s="504"/>
      <c r="O89" s="504"/>
      <c r="P89" s="504"/>
      <c r="Q89" s="504"/>
      <c r="R89" s="504"/>
      <c r="S89" s="504"/>
      <c r="T89" s="504"/>
      <c r="U89" s="504"/>
      <c r="V89" s="504"/>
      <c r="W89" s="504"/>
      <c r="X89" s="504"/>
    </row>
    <row r="90" spans="1:25" s="582" customFormat="1" ht="14.25">
      <c r="A90" s="605" t="str">
        <f>'BH Tariffs'!A33</f>
        <v>Recreational/Commercial Marina</v>
      </c>
      <c r="B90" s="607"/>
      <c r="C90" s="608"/>
      <c r="D90" s="537"/>
      <c r="E90" s="538"/>
      <c r="F90" s="538"/>
      <c r="G90" s="538"/>
      <c r="H90" s="538"/>
      <c r="I90" s="538"/>
      <c r="J90" s="538"/>
      <c r="K90" s="538"/>
      <c r="L90" s="538"/>
      <c r="M90" s="538"/>
      <c r="N90" s="538"/>
      <c r="O90" s="538"/>
      <c r="P90" s="538"/>
      <c r="Q90" s="538"/>
      <c r="R90" s="538"/>
      <c r="S90" s="538"/>
      <c r="T90" s="538"/>
      <c r="U90" s="538"/>
      <c r="V90" s="538"/>
      <c r="W90" s="538"/>
      <c r="X90" s="538"/>
    </row>
    <row r="91" spans="1:25" s="96" customFormat="1">
      <c r="A91" s="90" t="str">
        <f>'BH Tariffs'!A34</f>
        <v>Transient Slip Rent</v>
      </c>
      <c r="B91" s="606"/>
      <c r="C91" s="356"/>
      <c r="D91" s="502">
        <v>0</v>
      </c>
      <c r="E91" s="504">
        <v>0</v>
      </c>
      <c r="F91" s="504">
        <f>'BH Tariffs'!E34*'P&amp;L - Concept C2 - NCLH'!F57</f>
        <v>77174.172984375007</v>
      </c>
      <c r="G91" s="504">
        <f>'BH Tariffs'!F34*'P&amp;L - Concept C2 - NCLH'!G57</f>
        <v>78717.656444062508</v>
      </c>
      <c r="H91" s="504">
        <f>'BH Tariffs'!G34*'P&amp;L - Concept C2 - NCLH'!H57</f>
        <v>80292.009572943745</v>
      </c>
      <c r="I91" s="504">
        <f>'BH Tariffs'!H34*'P&amp;L - Concept C2 - NCLH'!I57</f>
        <v>81897.849764402621</v>
      </c>
      <c r="J91" s="504">
        <f>'BH Tariffs'!I34*'P&amp;L - Concept C2 - NCLH'!J57</f>
        <v>83535.806759690691</v>
      </c>
      <c r="K91" s="504">
        <f>'BH Tariffs'!J34*'P&amp;L - Concept C2 - NCLH'!K57</f>
        <v>85206.522894884503</v>
      </c>
      <c r="L91" s="504">
        <f>'BH Tariffs'!K34*'P&amp;L - Concept C2 - NCLH'!L57</f>
        <v>86910.653352782188</v>
      </c>
      <c r="M91" s="504">
        <f>'BH Tariffs'!L34*'P&amp;L - Concept C2 - NCLH'!M57</f>
        <v>88648.866419837854</v>
      </c>
      <c r="N91" s="504">
        <f>'BH Tariffs'!M34*'P&amp;L - Concept C2 - NCLH'!N57</f>
        <v>90421.843748234591</v>
      </c>
      <c r="O91" s="504">
        <f>'BH Tariffs'!N34*'P&amp;L - Concept C2 - NCLH'!O57</f>
        <v>92230.280623199302</v>
      </c>
      <c r="P91" s="504">
        <f>'BH Tariffs'!O34*'P&amp;L - Concept C2 - NCLH'!P57</f>
        <v>94074.886235663274</v>
      </c>
      <c r="Q91" s="504">
        <f>'BH Tariffs'!P34*'P&amp;L - Concept C2 - NCLH'!Q57</f>
        <v>95956.383960376537</v>
      </c>
      <c r="R91" s="504">
        <f>'BH Tariffs'!Q34*'P&amp;L - Concept C2 - NCLH'!R57</f>
        <v>97875.511639584074</v>
      </c>
      <c r="S91" s="504">
        <f>'BH Tariffs'!R34*'P&amp;L - Concept C2 - NCLH'!S57</f>
        <v>99833.021872375757</v>
      </c>
      <c r="T91" s="504">
        <f>'BH Tariffs'!S34*'P&amp;L - Concept C2 - NCLH'!T57</f>
        <v>101829.68230982329</v>
      </c>
      <c r="U91" s="504">
        <f>'BH Tariffs'!T34*'P&amp;L - Concept C2 - NCLH'!U57</f>
        <v>103866.27595601974</v>
      </c>
      <c r="V91" s="504">
        <f>'BH Tariffs'!U34*'P&amp;L - Concept C2 - NCLH'!V57</f>
        <v>105943.60147514015</v>
      </c>
      <c r="W91" s="504">
        <f>'BH Tariffs'!V34*'P&amp;L - Concept C2 - NCLH'!W57</f>
        <v>108062.47350464296</v>
      </c>
      <c r="X91" s="504">
        <f>'BH Tariffs'!W34*'P&amp;L - Concept C2 - NCLH'!X57</f>
        <v>110223.72297473581</v>
      </c>
    </row>
    <row r="92" spans="1:25" s="96" customFormat="1">
      <c r="A92" s="90" t="s">
        <v>280</v>
      </c>
      <c r="B92" s="606"/>
      <c r="C92" s="356"/>
      <c r="D92" s="502">
        <v>0</v>
      </c>
      <c r="E92" s="504">
        <v>0</v>
      </c>
      <c r="F92" s="504">
        <f>'BH Tariffs'!E35*'P&amp;L - Concept C2 - NCLH'!F58</f>
        <v>121788.76500000001</v>
      </c>
      <c r="G92" s="504">
        <f>'BH Tariffs'!F35*'P&amp;L - Concept C2 - NCLH'!G58</f>
        <v>124224.54030000001</v>
      </c>
      <c r="H92" s="504">
        <f>'BH Tariffs'!G35*'P&amp;L - Concept C2 - NCLH'!H58</f>
        <v>126709.03110600001</v>
      </c>
      <c r="I92" s="504">
        <f>'BH Tariffs'!H35*'P&amp;L - Concept C2 - NCLH'!I58</f>
        <v>129243.21172812</v>
      </c>
      <c r="J92" s="504">
        <f>'BH Tariffs'!I35*'P&amp;L - Concept C2 - NCLH'!J58</f>
        <v>131828.0759626824</v>
      </c>
      <c r="K92" s="504">
        <f>'BH Tariffs'!J35*'P&amp;L - Concept C2 - NCLH'!K58</f>
        <v>134464.63748193608</v>
      </c>
      <c r="L92" s="504">
        <f>'BH Tariffs'!K35*'P&amp;L - Concept C2 - NCLH'!L58</f>
        <v>137153.93023157478</v>
      </c>
      <c r="M92" s="504">
        <f>'BH Tariffs'!L35*'P&amp;L - Concept C2 - NCLH'!M58</f>
        <v>139897.00883620628</v>
      </c>
      <c r="N92" s="504">
        <f>'BH Tariffs'!M35*'P&amp;L - Concept C2 - NCLH'!N58</f>
        <v>142694.94901293042</v>
      </c>
      <c r="O92" s="504">
        <f>'BH Tariffs'!N35*'P&amp;L - Concept C2 - NCLH'!O58</f>
        <v>145548.84799318903</v>
      </c>
      <c r="P92" s="504">
        <f>'BH Tariffs'!O35*'P&amp;L - Concept C2 - NCLH'!P58</f>
        <v>148459.8249530528</v>
      </c>
      <c r="Q92" s="504">
        <f>'BH Tariffs'!P35*'P&amp;L - Concept C2 - NCLH'!Q58</f>
        <v>151429.02145211384</v>
      </c>
      <c r="R92" s="504">
        <f>'BH Tariffs'!Q35*'P&amp;L - Concept C2 - NCLH'!R58</f>
        <v>154457.60188115612</v>
      </c>
      <c r="S92" s="504">
        <f>'BH Tariffs'!R35*'P&amp;L - Concept C2 - NCLH'!S58</f>
        <v>157546.75391877926</v>
      </c>
      <c r="T92" s="504">
        <f>'BH Tariffs'!S35*'P&amp;L - Concept C2 - NCLH'!T58</f>
        <v>160697.68899715485</v>
      </c>
      <c r="U92" s="504">
        <f>'BH Tariffs'!T35*'P&amp;L - Concept C2 - NCLH'!U58</f>
        <v>163911.64277709796</v>
      </c>
      <c r="V92" s="504">
        <f>'BH Tariffs'!U35*'P&amp;L - Concept C2 - NCLH'!V58</f>
        <v>167189.87563263992</v>
      </c>
      <c r="W92" s="504">
        <f>'BH Tariffs'!V35*'P&amp;L - Concept C2 - NCLH'!W58</f>
        <v>170533.67314529276</v>
      </c>
      <c r="X92" s="504">
        <f>'BH Tariffs'!W35*'P&amp;L - Concept C2 - NCLH'!X58</f>
        <v>173944.3466081986</v>
      </c>
    </row>
    <row r="93" spans="1:25" s="167" customFormat="1">
      <c r="A93" s="539" t="str">
        <f>'BH Tariffs'!A36</f>
        <v>Water/Sewer</v>
      </c>
      <c r="B93" s="609"/>
      <c r="C93" s="540"/>
      <c r="D93" s="541">
        <v>0</v>
      </c>
      <c r="E93" s="542">
        <v>0</v>
      </c>
      <c r="F93" s="542">
        <v>0</v>
      </c>
      <c r="G93" s="542">
        <v>0</v>
      </c>
      <c r="H93" s="542">
        <v>0</v>
      </c>
      <c r="I93" s="542">
        <v>0</v>
      </c>
      <c r="J93" s="542">
        <v>0</v>
      </c>
      <c r="K93" s="542">
        <v>0</v>
      </c>
      <c r="L93" s="542">
        <v>0</v>
      </c>
      <c r="M93" s="542">
        <v>0</v>
      </c>
      <c r="N93" s="542">
        <v>0</v>
      </c>
      <c r="O93" s="542">
        <v>0</v>
      </c>
      <c r="P93" s="542">
        <v>0</v>
      </c>
      <c r="Q93" s="542">
        <v>0</v>
      </c>
      <c r="R93" s="542">
        <v>0</v>
      </c>
      <c r="S93" s="542">
        <v>0</v>
      </c>
      <c r="T93" s="542">
        <v>0</v>
      </c>
      <c r="U93" s="542">
        <v>0</v>
      </c>
      <c r="V93" s="542">
        <v>0</v>
      </c>
      <c r="W93" s="542">
        <v>0</v>
      </c>
      <c r="X93" s="542">
        <v>0</v>
      </c>
      <c r="Y93" s="167" t="s">
        <v>282</v>
      </c>
    </row>
    <row r="94" spans="1:25" s="167" customFormat="1">
      <c r="A94" s="539" t="str">
        <f>'BH Tariffs'!A37</f>
        <v xml:space="preserve">Power (Electricity) </v>
      </c>
      <c r="B94" s="609"/>
      <c r="C94" s="540"/>
      <c r="D94" s="541">
        <v>0</v>
      </c>
      <c r="E94" s="542">
        <v>0</v>
      </c>
      <c r="F94" s="542">
        <v>0</v>
      </c>
      <c r="G94" s="542">
        <v>0</v>
      </c>
      <c r="H94" s="542">
        <v>0</v>
      </c>
      <c r="I94" s="542">
        <v>0</v>
      </c>
      <c r="J94" s="542">
        <v>0</v>
      </c>
      <c r="K94" s="542">
        <v>0</v>
      </c>
      <c r="L94" s="542">
        <v>0</v>
      </c>
      <c r="M94" s="542">
        <v>0</v>
      </c>
      <c r="N94" s="542">
        <v>0</v>
      </c>
      <c r="O94" s="542">
        <v>0</v>
      </c>
      <c r="P94" s="542">
        <v>0</v>
      </c>
      <c r="Q94" s="542">
        <v>0</v>
      </c>
      <c r="R94" s="542">
        <v>0</v>
      </c>
      <c r="S94" s="542">
        <v>0</v>
      </c>
      <c r="T94" s="542">
        <v>0</v>
      </c>
      <c r="U94" s="542">
        <v>0</v>
      </c>
      <c r="V94" s="542">
        <v>0</v>
      </c>
      <c r="W94" s="542">
        <v>0</v>
      </c>
      <c r="X94" s="542">
        <v>0</v>
      </c>
      <c r="Y94" s="167" t="s">
        <v>282</v>
      </c>
    </row>
    <row r="95" spans="1:25" s="96" customFormat="1">
      <c r="A95" s="90" t="s">
        <v>526</v>
      </c>
      <c r="B95" s="606"/>
      <c r="C95" s="356"/>
      <c r="D95" s="502">
        <v>0</v>
      </c>
      <c r="E95" s="504">
        <v>0</v>
      </c>
      <c r="F95" s="504">
        <f>'BH Tariffs'!E38*'P&amp;L - Concept C2 - NCLH'!F56</f>
        <v>20000</v>
      </c>
      <c r="G95" s="504">
        <f>'BH Tariffs'!F38*'P&amp;L - Concept C2 - NCLH'!G56</f>
        <v>20400</v>
      </c>
      <c r="H95" s="504">
        <f>'BH Tariffs'!G38*'P&amp;L - Concept C2 - NCLH'!H56</f>
        <v>20808</v>
      </c>
      <c r="I95" s="504">
        <f>'BH Tariffs'!H38*'P&amp;L - Concept C2 - NCLH'!I56</f>
        <v>21224.16</v>
      </c>
      <c r="J95" s="504">
        <f>'BH Tariffs'!I38*'P&amp;L - Concept C2 - NCLH'!J56</f>
        <v>21648.643199999999</v>
      </c>
      <c r="K95" s="504">
        <f>'BH Tariffs'!J38*'P&amp;L - Concept C2 - NCLH'!K56</f>
        <v>22081.616064000002</v>
      </c>
      <c r="L95" s="504">
        <f>'BH Tariffs'!K38*'P&amp;L - Concept C2 - NCLH'!L56</f>
        <v>22523.24838528</v>
      </c>
      <c r="M95" s="504">
        <f>'BH Tariffs'!L38*'P&amp;L - Concept C2 - NCLH'!M56</f>
        <v>22973.7133529856</v>
      </c>
      <c r="N95" s="504">
        <f>'BH Tariffs'!M38*'P&amp;L - Concept C2 - NCLH'!N56</f>
        <v>23433.187620045315</v>
      </c>
      <c r="O95" s="504">
        <f>'BH Tariffs'!N38*'P&amp;L - Concept C2 - NCLH'!O56</f>
        <v>23901.851372446221</v>
      </c>
      <c r="P95" s="504">
        <f>'BH Tariffs'!O38*'P&amp;L - Concept C2 - NCLH'!P56</f>
        <v>24379.888399895146</v>
      </c>
      <c r="Q95" s="504">
        <f>'BH Tariffs'!P38*'P&amp;L - Concept C2 - NCLH'!Q56</f>
        <v>24867.48616789305</v>
      </c>
      <c r="R95" s="504">
        <f>'BH Tariffs'!Q38*'P&amp;L - Concept C2 - NCLH'!R56</f>
        <v>25364.83589125091</v>
      </c>
      <c r="S95" s="504">
        <f>'BH Tariffs'!R38*'P&amp;L - Concept C2 - NCLH'!S56</f>
        <v>25872.132609075925</v>
      </c>
      <c r="T95" s="504">
        <f>'BH Tariffs'!S38*'P&amp;L - Concept C2 - NCLH'!T56</f>
        <v>26389.575261257447</v>
      </c>
      <c r="U95" s="504">
        <f>'BH Tariffs'!T38*'P&amp;L - Concept C2 - NCLH'!U56</f>
        <v>26917.366766482599</v>
      </c>
      <c r="V95" s="504">
        <f>'BH Tariffs'!U38*'P&amp;L - Concept C2 - NCLH'!V56</f>
        <v>27455.714101812249</v>
      </c>
      <c r="W95" s="504">
        <f>'BH Tariffs'!V38*'P&amp;L - Concept C2 - NCLH'!W56</f>
        <v>28004.828383848497</v>
      </c>
      <c r="X95" s="504">
        <f>'BH Tariffs'!W38*'P&amp;L - Concept C2 - NCLH'!X56</f>
        <v>28564.924951525467</v>
      </c>
    </row>
    <row r="96" spans="1:25">
      <c r="A96" s="88"/>
      <c r="B96" s="30"/>
      <c r="C96" s="89"/>
      <c r="D96" s="502"/>
      <c r="E96" s="504"/>
      <c r="F96" s="504"/>
      <c r="G96" s="504"/>
      <c r="H96" s="504"/>
      <c r="I96" s="504"/>
      <c r="J96" s="504"/>
      <c r="K96" s="504"/>
      <c r="L96" s="504"/>
      <c r="M96" s="504"/>
      <c r="N96" s="504"/>
      <c r="O96" s="504"/>
      <c r="P96" s="504"/>
      <c r="Q96" s="504"/>
      <c r="R96" s="504"/>
      <c r="S96" s="504"/>
      <c r="T96" s="504"/>
      <c r="U96" s="504"/>
      <c r="V96" s="504"/>
      <c r="W96" s="504"/>
      <c r="X96" s="504"/>
    </row>
    <row r="97" spans="1:24">
      <c r="A97" s="91" t="s">
        <v>26</v>
      </c>
      <c r="B97" s="30"/>
      <c r="C97" s="89"/>
      <c r="D97" s="502"/>
      <c r="E97" s="504"/>
      <c r="F97" s="504"/>
      <c r="G97" s="504"/>
      <c r="H97" s="504"/>
      <c r="I97" s="504"/>
      <c r="J97" s="504"/>
      <c r="K97" s="504"/>
      <c r="L97" s="504"/>
      <c r="M97" s="504"/>
      <c r="N97" s="504"/>
      <c r="O97" s="504"/>
      <c r="P97" s="504"/>
      <c r="Q97" s="504"/>
      <c r="R97" s="504"/>
      <c r="S97" s="504"/>
      <c r="T97" s="504"/>
      <c r="U97" s="504"/>
      <c r="V97" s="504"/>
      <c r="W97" s="504"/>
      <c r="X97" s="504"/>
    </row>
    <row r="98" spans="1:24" s="341" customFormat="1">
      <c r="A98" s="353" t="s">
        <v>214</v>
      </c>
      <c r="B98" s="354"/>
      <c r="C98" s="355"/>
      <c r="D98" s="548">
        <v>0</v>
      </c>
      <c r="E98" s="503">
        <v>0</v>
      </c>
      <c r="F98" s="503">
        <v>0</v>
      </c>
      <c r="G98" s="503">
        <v>0</v>
      </c>
      <c r="H98" s="503">
        <v>0</v>
      </c>
      <c r="I98" s="503">
        <v>0</v>
      </c>
      <c r="J98" s="503">
        <v>0</v>
      </c>
      <c r="K98" s="503">
        <v>0</v>
      </c>
      <c r="L98" s="503">
        <v>0</v>
      </c>
      <c r="M98" s="503">
        <v>0</v>
      </c>
      <c r="N98" s="503">
        <v>0</v>
      </c>
      <c r="O98" s="503">
        <v>0</v>
      </c>
      <c r="P98" s="503">
        <v>0</v>
      </c>
      <c r="Q98" s="503">
        <v>0</v>
      </c>
      <c r="R98" s="503">
        <v>0</v>
      </c>
      <c r="S98" s="503">
        <v>0</v>
      </c>
      <c r="T98" s="503">
        <v>0</v>
      </c>
      <c r="U98" s="503">
        <v>0</v>
      </c>
      <c r="V98" s="503">
        <v>0</v>
      </c>
      <c r="W98" s="503">
        <v>0</v>
      </c>
      <c r="X98" s="503">
        <v>0</v>
      </c>
    </row>
    <row r="99" spans="1:24">
      <c r="A99" s="88" t="s">
        <v>215</v>
      </c>
      <c r="B99" s="30"/>
      <c r="C99" s="89"/>
      <c r="D99" s="502">
        <v>0</v>
      </c>
      <c r="E99" s="504">
        <f>'BH Tariffs'!D43*'Parking Projections'!C90</f>
        <v>0</v>
      </c>
      <c r="F99" s="504">
        <f>'BH Tariffs'!E43*'Parking Projections'!D90</f>
        <v>0</v>
      </c>
      <c r="G99" s="504">
        <f>'BH Tariffs'!F43*'Parking Projections'!E90</f>
        <v>0</v>
      </c>
      <c r="H99" s="504">
        <f>'BH Tariffs'!G43*'Parking Projections'!F90</f>
        <v>0</v>
      </c>
      <c r="I99" s="504">
        <f>'BH Tariffs'!H43*'Parking Projections'!G90</f>
        <v>0</v>
      </c>
      <c r="J99" s="504">
        <f>'BH Tariffs'!I43*'Parking Projections'!H90</f>
        <v>216287.84722222219</v>
      </c>
      <c r="K99" s="504">
        <f>'BH Tariffs'!J43*'Parking Projections'!I90</f>
        <v>216287.84722222219</v>
      </c>
      <c r="L99" s="504">
        <f>'BH Tariffs'!K43*'Parking Projections'!J90</f>
        <v>216287.84722222219</v>
      </c>
      <c r="M99" s="504">
        <f>'BH Tariffs'!L43*'Parking Projections'!K90</f>
        <v>216287.84722222219</v>
      </c>
      <c r="N99" s="504">
        <f>'BH Tariffs'!M43*'Parking Projections'!L90</f>
        <v>216287.84722222219</v>
      </c>
      <c r="O99" s="504">
        <f>'BH Tariffs'!N43*'Parking Projections'!M90</f>
        <v>270359.80902777775</v>
      </c>
      <c r="P99" s="504">
        <f>'BH Tariffs'!O43*'Parking Projections'!N90</f>
        <v>270359.80902777775</v>
      </c>
      <c r="Q99" s="504">
        <f>'BH Tariffs'!P43*'Parking Projections'!O90</f>
        <v>270359.80902777775</v>
      </c>
      <c r="R99" s="504">
        <f>'BH Tariffs'!Q43*'Parking Projections'!P90</f>
        <v>270359.80902777775</v>
      </c>
      <c r="S99" s="504">
        <f>'BH Tariffs'!R43*'Parking Projections'!Q90</f>
        <v>270359.80902777775</v>
      </c>
      <c r="T99" s="504">
        <f>'BH Tariffs'!S43*'Parking Projections'!R90</f>
        <v>324431.77083333326</v>
      </c>
      <c r="U99" s="504">
        <f>'BH Tariffs'!T43*'Parking Projections'!S90</f>
        <v>324431.77083333326</v>
      </c>
      <c r="V99" s="504">
        <f>'BH Tariffs'!U43*'Parking Projections'!T90</f>
        <v>324431.77083333326</v>
      </c>
      <c r="W99" s="504">
        <f>'BH Tariffs'!V43*'Parking Projections'!U90</f>
        <v>324431.77083333326</v>
      </c>
      <c r="X99" s="504">
        <f>'BH Tariffs'!W43*'Parking Projections'!V90</f>
        <v>324431.77083333326</v>
      </c>
    </row>
    <row r="100" spans="1:24">
      <c r="A100" s="91"/>
      <c r="B100" s="30"/>
      <c r="C100" s="89"/>
      <c r="D100" s="502"/>
      <c r="E100" s="504"/>
      <c r="F100" s="504"/>
      <c r="G100" s="504"/>
      <c r="H100" s="504"/>
      <c r="I100" s="504"/>
      <c r="J100" s="504"/>
      <c r="K100" s="504"/>
      <c r="L100" s="504"/>
      <c r="M100" s="504"/>
      <c r="N100" s="504"/>
      <c r="O100" s="504"/>
      <c r="P100" s="504"/>
      <c r="Q100" s="504"/>
      <c r="R100" s="504"/>
      <c r="S100" s="504"/>
      <c r="T100" s="504"/>
      <c r="U100" s="504"/>
      <c r="V100" s="504"/>
      <c r="W100" s="504"/>
      <c r="X100" s="504"/>
    </row>
    <row r="101" spans="1:24">
      <c r="A101" s="91" t="s">
        <v>2</v>
      </c>
      <c r="B101" s="30"/>
      <c r="C101" s="89"/>
      <c r="D101" s="502"/>
      <c r="E101" s="504"/>
      <c r="F101" s="504"/>
      <c r="G101" s="504"/>
      <c r="H101" s="504"/>
      <c r="I101" s="504"/>
      <c r="J101" s="504"/>
      <c r="K101" s="504"/>
      <c r="L101" s="504"/>
      <c r="M101" s="504"/>
      <c r="N101" s="504"/>
      <c r="O101" s="504"/>
      <c r="P101" s="504"/>
      <c r="Q101" s="504"/>
      <c r="R101" s="504"/>
      <c r="S101" s="504"/>
      <c r="T101" s="504"/>
      <c r="U101" s="504"/>
      <c r="V101" s="504"/>
      <c r="W101" s="504"/>
      <c r="X101" s="504"/>
    </row>
    <row r="102" spans="1:24">
      <c r="A102" s="88" t="str">
        <f>'BH Tariffs'!A44</f>
        <v>Commerical Rent (Seasonal Kiosk(s)/Vendor(s))</v>
      </c>
      <c r="B102" s="30"/>
      <c r="C102" s="89"/>
      <c r="D102" s="502">
        <v>0</v>
      </c>
      <c r="E102" s="504">
        <f>'BH Tariffs'!D44*'P&amp;L - Concept C2 - NCLH'!E63</f>
        <v>0</v>
      </c>
      <c r="F102" s="504">
        <f>'BH Tariffs'!E44*'P&amp;L - Concept C2 - NCLH'!F63</f>
        <v>0</v>
      </c>
      <c r="G102" s="504">
        <f>'BH Tariffs'!F44*'P&amp;L - Concept C2 - NCLH'!G63*6</f>
        <v>6242.4000000000005</v>
      </c>
      <c r="H102" s="504">
        <f>'BH Tariffs'!G44*'P&amp;L - Concept C2 - NCLH'!H63*6</f>
        <v>6367.2479999999996</v>
      </c>
      <c r="I102" s="504">
        <f>'BH Tariffs'!H44*'P&amp;L - Concept C2 - NCLH'!I63*6</f>
        <v>6494.5929599999999</v>
      </c>
      <c r="J102" s="504">
        <f>'BH Tariffs'!I44*'P&amp;L - Concept C2 - NCLH'!J63*6</f>
        <v>6624.4848191999999</v>
      </c>
      <c r="K102" s="504">
        <f>'BH Tariffs'!J44*'P&amp;L - Concept C2 - NCLH'!K63*6</f>
        <v>6756.974515584001</v>
      </c>
      <c r="L102" s="504">
        <f>'BH Tariffs'!K44*'P&amp;L - Concept C2 - NCLH'!L63*6</f>
        <v>6892.1140058956807</v>
      </c>
      <c r="M102" s="504">
        <f>'BH Tariffs'!L44*'P&amp;L - Concept C2 - NCLH'!M63*6</f>
        <v>7029.9562860135939</v>
      </c>
      <c r="N102" s="504">
        <f>'BH Tariffs'!M44*'P&amp;L - Concept C2 - NCLH'!N63*6</f>
        <v>7170.555411733867</v>
      </c>
      <c r="O102" s="504">
        <f>'BH Tariffs'!N44*'P&amp;L - Concept C2 - NCLH'!O63*6</f>
        <v>7313.9665199685442</v>
      </c>
      <c r="P102" s="504">
        <f>'BH Tariffs'!O44*'P&amp;L - Concept C2 - NCLH'!P63*6</f>
        <v>7460.2458503679145</v>
      </c>
      <c r="Q102" s="504">
        <f>'BH Tariffs'!P44*'P&amp;L - Concept C2 - NCLH'!Q63*6</f>
        <v>7609.4507673752723</v>
      </c>
      <c r="R102" s="504">
        <f>'BH Tariffs'!Q44*'P&amp;L - Concept C2 - NCLH'!R63*6</f>
        <v>7761.6397827227775</v>
      </c>
      <c r="S102" s="504">
        <f>'BH Tariffs'!R44*'P&amp;L - Concept C2 - NCLH'!S63*6</f>
        <v>7916.8725783772334</v>
      </c>
      <c r="T102" s="504">
        <f>'BH Tariffs'!S44*'P&amp;L - Concept C2 - NCLH'!T63*6</f>
        <v>8075.2100299447793</v>
      </c>
      <c r="U102" s="504">
        <f>'BH Tariffs'!T44*'P&amp;L - Concept C2 - NCLH'!U63*6</f>
        <v>8236.7142305436755</v>
      </c>
      <c r="V102" s="504">
        <f>'BH Tariffs'!U44*'P&amp;L - Concept C2 - NCLH'!V63*6</f>
        <v>8401.4485151545487</v>
      </c>
      <c r="W102" s="504">
        <f>'BH Tariffs'!V44*'P&amp;L - Concept C2 - NCLH'!W63*6</f>
        <v>8569.4774854576408</v>
      </c>
      <c r="X102" s="504">
        <f>'BH Tariffs'!W44*'P&amp;L - Concept C2 - NCLH'!X63*6</f>
        <v>8740.8670351667934</v>
      </c>
    </row>
    <row r="103" spans="1:24" s="96" customFormat="1">
      <c r="A103" s="90" t="s">
        <v>541</v>
      </c>
      <c r="B103" s="606"/>
      <c r="C103" s="356"/>
      <c r="D103" s="502">
        <v>0</v>
      </c>
      <c r="E103" s="504">
        <v>0</v>
      </c>
      <c r="F103" s="504">
        <v>0</v>
      </c>
      <c r="G103" s="504">
        <f>G64*0.05</f>
        <v>10000</v>
      </c>
      <c r="H103" s="504">
        <f t="shared" ref="H103:X103" si="12">H64*0.05</f>
        <v>10000</v>
      </c>
      <c r="I103" s="504">
        <f t="shared" si="12"/>
        <v>10000</v>
      </c>
      <c r="J103" s="504">
        <f t="shared" si="12"/>
        <v>10000</v>
      </c>
      <c r="K103" s="504">
        <f t="shared" si="12"/>
        <v>10000</v>
      </c>
      <c r="L103" s="504">
        <f t="shared" si="12"/>
        <v>10000</v>
      </c>
      <c r="M103" s="504">
        <f t="shared" si="12"/>
        <v>10000</v>
      </c>
      <c r="N103" s="504">
        <f t="shared" si="12"/>
        <v>10000</v>
      </c>
      <c r="O103" s="504">
        <f t="shared" si="12"/>
        <v>10000</v>
      </c>
      <c r="P103" s="504">
        <f t="shared" si="12"/>
        <v>10000</v>
      </c>
      <c r="Q103" s="504">
        <f t="shared" si="12"/>
        <v>10000</v>
      </c>
      <c r="R103" s="504">
        <f t="shared" si="12"/>
        <v>10000</v>
      </c>
      <c r="S103" s="504">
        <f t="shared" si="12"/>
        <v>10000</v>
      </c>
      <c r="T103" s="504">
        <f t="shared" si="12"/>
        <v>10000</v>
      </c>
      <c r="U103" s="504">
        <f t="shared" si="12"/>
        <v>10000</v>
      </c>
      <c r="V103" s="504">
        <f t="shared" si="12"/>
        <v>10000</v>
      </c>
      <c r="W103" s="504">
        <f t="shared" si="12"/>
        <v>10000</v>
      </c>
      <c r="X103" s="504">
        <f t="shared" si="12"/>
        <v>10000</v>
      </c>
    </row>
    <row r="104" spans="1:24">
      <c r="A104" s="88" t="str">
        <f>'BH Tariffs'!A45</f>
        <v>Motorcoach Access/Tour Operator Licenses</v>
      </c>
      <c r="B104" s="30"/>
      <c r="C104" s="89"/>
      <c r="D104" s="502">
        <v>0</v>
      </c>
      <c r="E104" s="504">
        <v>0</v>
      </c>
      <c r="F104" s="504">
        <f>'BH Tariffs'!E45*'P&amp;L - Concept C2 - NCLH'!F66</f>
        <v>3060</v>
      </c>
      <c r="G104" s="504">
        <f>'BH Tariffs'!F45*'P&amp;L - Concept C2 - NCLH'!G66</f>
        <v>3121.2000000000003</v>
      </c>
      <c r="H104" s="504">
        <f>'BH Tariffs'!G45*'P&amp;L - Concept C2 - NCLH'!H66</f>
        <v>3183.6239999999998</v>
      </c>
      <c r="I104" s="504">
        <f>'BH Tariffs'!H45*'P&amp;L - Concept C2 - NCLH'!I66</f>
        <v>3247.29648</v>
      </c>
      <c r="J104" s="504">
        <f>'BH Tariffs'!I45*'P&amp;L - Concept C2 - NCLH'!J66</f>
        <v>3312.2424096</v>
      </c>
      <c r="K104" s="504">
        <f>'BH Tariffs'!J45*'P&amp;L - Concept C2 - NCLH'!K66</f>
        <v>3378.4872577920005</v>
      </c>
      <c r="L104" s="504">
        <f>'BH Tariffs'!K45*'P&amp;L - Concept C2 - NCLH'!L66</f>
        <v>3446.0570029478404</v>
      </c>
      <c r="M104" s="504">
        <f>'BH Tariffs'!L45*'P&amp;L - Concept C2 - NCLH'!M66</f>
        <v>3514.9781430067969</v>
      </c>
      <c r="N104" s="504">
        <f>'BH Tariffs'!M45*'P&amp;L - Concept C2 - NCLH'!N66</f>
        <v>3585.2777058669335</v>
      </c>
      <c r="O104" s="504">
        <f>'BH Tariffs'!N45*'P&amp;L - Concept C2 - NCLH'!O66</f>
        <v>3656.9832599842721</v>
      </c>
      <c r="P104" s="504">
        <f>'BH Tariffs'!O45*'P&amp;L - Concept C2 - NCLH'!P66</f>
        <v>3730.1229251839572</v>
      </c>
      <c r="Q104" s="504">
        <f>'BH Tariffs'!P45*'P&amp;L - Concept C2 - NCLH'!Q66</f>
        <v>3804.7253836876362</v>
      </c>
      <c r="R104" s="504">
        <f>'BH Tariffs'!Q45*'P&amp;L - Concept C2 - NCLH'!R66</f>
        <v>3880.8198913613887</v>
      </c>
      <c r="S104" s="504">
        <f>'BH Tariffs'!R45*'P&amp;L - Concept C2 - NCLH'!S66</f>
        <v>3958.4362891886167</v>
      </c>
      <c r="T104" s="504">
        <f>'BH Tariffs'!S45*'P&amp;L - Concept C2 - NCLH'!T66</f>
        <v>4037.6050149723897</v>
      </c>
      <c r="U104" s="504">
        <f>'BH Tariffs'!T45*'P&amp;L - Concept C2 - NCLH'!U66</f>
        <v>4118.3571152718378</v>
      </c>
      <c r="V104" s="504">
        <f>'BH Tariffs'!U45*'P&amp;L - Concept C2 - NCLH'!V66</f>
        <v>4200.7242575772743</v>
      </c>
      <c r="W104" s="504">
        <f>'BH Tariffs'!V45*'P&amp;L - Concept C2 - NCLH'!W66</f>
        <v>4284.7387427288204</v>
      </c>
      <c r="X104" s="504">
        <f>'BH Tariffs'!W45*'P&amp;L - Concept C2 - NCLH'!X66</f>
        <v>4370.4335175833967</v>
      </c>
    </row>
    <row r="105" spans="1:24">
      <c r="A105" s="299" t="s">
        <v>217</v>
      </c>
      <c r="B105" s="299"/>
      <c r="C105" s="299"/>
      <c r="D105" s="505">
        <v>0</v>
      </c>
      <c r="E105" s="506">
        <v>0</v>
      </c>
      <c r="F105" s="506">
        <f>'BH Tariffs'!E46*'P&amp;L - Concept C2 - NCLH'!F65</f>
        <v>500</v>
      </c>
      <c r="G105" s="506">
        <f>'BH Tariffs'!F46*'P&amp;L - Concept C2 - NCLH'!G65</f>
        <v>1000</v>
      </c>
      <c r="H105" s="506">
        <f>'BH Tariffs'!G46*'P&amp;L - Concept C2 - NCLH'!H65</f>
        <v>1000</v>
      </c>
      <c r="I105" s="506">
        <f>'BH Tariffs'!H46*'P&amp;L - Concept C2 - NCLH'!I65</f>
        <v>1000</v>
      </c>
      <c r="J105" s="506">
        <f>'BH Tariffs'!I46*'P&amp;L - Concept C2 - NCLH'!J65</f>
        <v>1650</v>
      </c>
      <c r="K105" s="506">
        <f>'BH Tariffs'!J46*'P&amp;L - Concept C2 - NCLH'!K65</f>
        <v>1650</v>
      </c>
      <c r="L105" s="506">
        <f>'BH Tariffs'!K46*'P&amp;L - Concept C2 - NCLH'!L65</f>
        <v>1650</v>
      </c>
      <c r="M105" s="506">
        <f>'BH Tariffs'!L46*'P&amp;L - Concept C2 - NCLH'!M65</f>
        <v>1650</v>
      </c>
      <c r="N105" s="506">
        <f>'BH Tariffs'!M46*'P&amp;L - Concept C2 - NCLH'!N65</f>
        <v>1650</v>
      </c>
      <c r="O105" s="506">
        <f>'BH Tariffs'!N46*'P&amp;L - Concept C2 - NCLH'!O65</f>
        <v>2400</v>
      </c>
      <c r="P105" s="506">
        <f>'BH Tariffs'!O46*'P&amp;L - Concept C2 - NCLH'!P65</f>
        <v>2400</v>
      </c>
      <c r="Q105" s="506">
        <f>'BH Tariffs'!P46*'P&amp;L - Concept C2 - NCLH'!Q65</f>
        <v>2400</v>
      </c>
      <c r="R105" s="506">
        <f>'BH Tariffs'!Q46*'P&amp;L - Concept C2 - NCLH'!R65</f>
        <v>2400</v>
      </c>
      <c r="S105" s="506">
        <f>'BH Tariffs'!R46*'P&amp;L - Concept C2 - NCLH'!S65</f>
        <v>2400</v>
      </c>
      <c r="T105" s="506">
        <f>'BH Tariffs'!S46*'P&amp;L - Concept C2 - NCLH'!T65</f>
        <v>3250</v>
      </c>
      <c r="U105" s="506">
        <f>'BH Tariffs'!T46*'P&amp;L - Concept C2 - NCLH'!U65</f>
        <v>3250</v>
      </c>
      <c r="V105" s="506">
        <f>'BH Tariffs'!U46*'P&amp;L - Concept C2 - NCLH'!V65</f>
        <v>3250</v>
      </c>
      <c r="W105" s="506">
        <f>'BH Tariffs'!V46*'P&amp;L - Concept C2 - NCLH'!W65</f>
        <v>3250</v>
      </c>
      <c r="X105" s="506">
        <f>'BH Tariffs'!W46*'P&amp;L - Concept C2 - NCLH'!X65</f>
        <v>3250</v>
      </c>
    </row>
    <row r="106" spans="1:24">
      <c r="A106" s="278" t="s">
        <v>145</v>
      </c>
      <c r="D106" s="507">
        <f>SUM(D71:D105)</f>
        <v>0</v>
      </c>
      <c r="E106" s="508">
        <f>SUM(E70:E105)</f>
        <v>161800</v>
      </c>
      <c r="F106" s="508">
        <f t="shared" ref="F106:X106" si="13">SUM(F70:F105)</f>
        <v>1314994.7739798655</v>
      </c>
      <c r="G106" s="508">
        <f t="shared" si="13"/>
        <v>1386347.0694594625</v>
      </c>
      <c r="H106" s="508">
        <f t="shared" si="13"/>
        <v>1415854.0108486519</v>
      </c>
      <c r="I106" s="508">
        <f t="shared" si="13"/>
        <v>1445951.091065625</v>
      </c>
      <c r="J106" s="508">
        <f t="shared" si="13"/>
        <v>1693587.9601091596</v>
      </c>
      <c r="K106" s="508">
        <f t="shared" si="13"/>
        <v>1724900.9623668981</v>
      </c>
      <c r="L106" s="508">
        <f t="shared" si="13"/>
        <v>1756840.2246697915</v>
      </c>
      <c r="M106" s="508">
        <f t="shared" si="13"/>
        <v>1789418.2722187436</v>
      </c>
      <c r="N106" s="508">
        <f t="shared" si="13"/>
        <v>1822647.8807186743</v>
      </c>
      <c r="O106" s="508">
        <f t="shared" si="13"/>
        <v>1911364.0431941589</v>
      </c>
      <c r="P106" s="508">
        <f t="shared" si="13"/>
        <v>1945936.1278774862</v>
      </c>
      <c r="Q106" s="508">
        <f t="shared" si="13"/>
        <v>1981199.6542544803</v>
      </c>
      <c r="R106" s="508">
        <f t="shared" si="13"/>
        <v>2017168.4511590144</v>
      </c>
      <c r="S106" s="508">
        <f t="shared" si="13"/>
        <v>2053856.6240016392</v>
      </c>
      <c r="T106" s="508">
        <f t="shared" si="13"/>
        <v>2146200.5221066717</v>
      </c>
      <c r="U106" s="508">
        <f t="shared" si="13"/>
        <v>2184370.8971321387</v>
      </c>
      <c r="V106" s="508">
        <f t="shared" si="13"/>
        <v>2223304.6796581149</v>
      </c>
      <c r="W106" s="508">
        <f t="shared" si="13"/>
        <v>2263017.1378346104</v>
      </c>
      <c r="X106" s="508">
        <f t="shared" si="13"/>
        <v>2303523.8451746358</v>
      </c>
    </row>
    <row r="107" spans="1:24">
      <c r="D107" s="507"/>
      <c r="E107" s="413"/>
      <c r="F107" s="413"/>
      <c r="G107" s="413"/>
      <c r="H107" s="413"/>
      <c r="I107" s="413"/>
      <c r="J107" s="413"/>
      <c r="K107" s="413"/>
      <c r="L107" s="413"/>
      <c r="M107" s="413"/>
      <c r="N107" s="413"/>
      <c r="O107" s="413"/>
      <c r="P107" s="413"/>
      <c r="Q107" s="413"/>
      <c r="R107" s="413"/>
      <c r="S107" s="413"/>
      <c r="T107" s="413"/>
      <c r="U107" s="413"/>
      <c r="V107" s="413"/>
      <c r="W107" s="413"/>
      <c r="X107" s="413"/>
    </row>
    <row r="108" spans="1:24">
      <c r="A108" s="271" t="s">
        <v>146</v>
      </c>
      <c r="B108" s="149"/>
      <c r="C108" s="149"/>
      <c r="D108" s="509"/>
      <c r="E108" s="510"/>
      <c r="F108" s="510"/>
      <c r="G108" s="510"/>
      <c r="H108" s="510"/>
      <c r="I108" s="510"/>
      <c r="J108" s="510"/>
      <c r="K108" s="510"/>
      <c r="L108" s="510"/>
      <c r="M108" s="510"/>
      <c r="N108" s="510"/>
      <c r="O108" s="510"/>
      <c r="P108" s="510"/>
      <c r="Q108" s="510"/>
      <c r="R108" s="510"/>
      <c r="S108" s="510"/>
      <c r="T108" s="510"/>
      <c r="U108" s="510"/>
      <c r="V108" s="510"/>
      <c r="W108" s="510"/>
      <c r="X108" s="510"/>
    </row>
    <row r="109" spans="1:24">
      <c r="D109" s="507"/>
      <c r="E109" s="413"/>
      <c r="F109" s="413"/>
      <c r="G109" s="413"/>
      <c r="H109" s="413"/>
      <c r="I109" s="413"/>
      <c r="J109" s="413"/>
      <c r="K109" s="413"/>
      <c r="L109" s="413"/>
      <c r="M109" s="413"/>
      <c r="N109" s="413"/>
      <c r="O109" s="413"/>
      <c r="P109" s="413"/>
      <c r="Q109" s="413"/>
      <c r="R109" s="413"/>
      <c r="S109" s="413"/>
      <c r="T109" s="413"/>
      <c r="U109" s="413"/>
      <c r="V109" s="413"/>
      <c r="W109" s="413"/>
      <c r="X109" s="413"/>
    </row>
    <row r="110" spans="1:24">
      <c r="A110" s="91" t="s">
        <v>380</v>
      </c>
      <c r="B110" s="89"/>
      <c r="C110" s="89"/>
      <c r="D110" s="502"/>
      <c r="E110" s="504"/>
      <c r="F110" s="504"/>
      <c r="G110" s="504"/>
      <c r="H110" s="504"/>
      <c r="I110" s="504"/>
      <c r="J110" s="504"/>
      <c r="K110" s="504"/>
      <c r="L110" s="504"/>
      <c r="M110" s="504"/>
      <c r="N110" s="504"/>
      <c r="O110" s="504"/>
      <c r="P110" s="504"/>
      <c r="Q110" s="504"/>
      <c r="R110" s="504"/>
      <c r="S110" s="504"/>
      <c r="T110" s="504"/>
      <c r="U110" s="504"/>
      <c r="V110" s="504"/>
      <c r="W110" s="504"/>
      <c r="X110" s="504"/>
    </row>
    <row r="111" spans="1:24">
      <c r="A111" s="88" t="s">
        <v>432</v>
      </c>
      <c r="B111" s="89"/>
      <c r="C111" s="89"/>
      <c r="D111" s="502">
        <v>0</v>
      </c>
      <c r="E111" s="504">
        <v>0</v>
      </c>
      <c r="F111" s="504">
        <v>0</v>
      </c>
      <c r="G111" s="504">
        <v>0</v>
      </c>
      <c r="H111" s="504">
        <v>0</v>
      </c>
      <c r="I111" s="504">
        <v>0</v>
      </c>
      <c r="J111" s="504">
        <v>0</v>
      </c>
      <c r="K111" s="504">
        <v>0</v>
      </c>
      <c r="L111" s="504">
        <v>0</v>
      </c>
      <c r="M111" s="504">
        <v>0</v>
      </c>
      <c r="N111" s="504">
        <v>0</v>
      </c>
      <c r="O111" s="504">
        <v>0</v>
      </c>
      <c r="P111" s="504">
        <v>0</v>
      </c>
      <c r="Q111" s="504">
        <v>0</v>
      </c>
      <c r="R111" s="504">
        <v>0</v>
      </c>
      <c r="S111" s="504">
        <v>0</v>
      </c>
      <c r="T111" s="504">
        <v>0</v>
      </c>
      <c r="U111" s="504">
        <v>0</v>
      </c>
      <c r="V111" s="504">
        <v>0</v>
      </c>
      <c r="W111" s="504">
        <v>0</v>
      </c>
      <c r="X111" s="504">
        <v>0</v>
      </c>
    </row>
    <row r="112" spans="1:24">
      <c r="A112" s="88" t="s">
        <v>433</v>
      </c>
      <c r="B112" s="89"/>
      <c r="C112" s="89"/>
      <c r="D112" s="502">
        <v>0</v>
      </c>
      <c r="E112" s="504">
        <v>0</v>
      </c>
      <c r="F112" s="504">
        <v>0</v>
      </c>
      <c r="G112" s="504">
        <v>0</v>
      </c>
      <c r="H112" s="504">
        <v>0</v>
      </c>
      <c r="I112" s="504">
        <v>0</v>
      </c>
      <c r="J112" s="504">
        <v>0</v>
      </c>
      <c r="K112" s="504">
        <v>0</v>
      </c>
      <c r="L112" s="504">
        <v>0</v>
      </c>
      <c r="M112" s="504">
        <v>0</v>
      </c>
      <c r="N112" s="504">
        <v>0</v>
      </c>
      <c r="O112" s="504">
        <v>0</v>
      </c>
      <c r="P112" s="504">
        <v>0</v>
      </c>
      <c r="Q112" s="504">
        <v>0</v>
      </c>
      <c r="R112" s="504">
        <v>0</v>
      </c>
      <c r="S112" s="504">
        <v>0</v>
      </c>
      <c r="T112" s="504">
        <v>0</v>
      </c>
      <c r="U112" s="504">
        <v>0</v>
      </c>
      <c r="V112" s="504">
        <v>0</v>
      </c>
      <c r="W112" s="504">
        <v>0</v>
      </c>
      <c r="X112" s="504">
        <v>0</v>
      </c>
    </row>
    <row r="113" spans="1:27">
      <c r="A113" s="88" t="s">
        <v>434</v>
      </c>
      <c r="B113" s="89"/>
      <c r="C113" s="89"/>
      <c r="D113" s="502">
        <v>0</v>
      </c>
      <c r="E113" s="504">
        <v>0</v>
      </c>
      <c r="F113" s="504">
        <v>0</v>
      </c>
      <c r="G113" s="504">
        <v>0</v>
      </c>
      <c r="H113" s="504">
        <v>0</v>
      </c>
      <c r="I113" s="504">
        <v>0</v>
      </c>
      <c r="J113" s="504">
        <v>0</v>
      </c>
      <c r="K113" s="504">
        <v>0</v>
      </c>
      <c r="L113" s="504">
        <v>0</v>
      </c>
      <c r="M113" s="504">
        <v>0</v>
      </c>
      <c r="N113" s="504">
        <v>0</v>
      </c>
      <c r="O113" s="504">
        <v>0</v>
      </c>
      <c r="P113" s="504">
        <v>0</v>
      </c>
      <c r="Q113" s="504">
        <v>0</v>
      </c>
      <c r="R113" s="504">
        <v>0</v>
      </c>
      <c r="S113" s="504">
        <v>0</v>
      </c>
      <c r="T113" s="504">
        <v>0</v>
      </c>
      <c r="U113" s="504">
        <v>0</v>
      </c>
      <c r="V113" s="504">
        <v>0</v>
      </c>
      <c r="W113" s="504">
        <v>0</v>
      </c>
      <c r="X113" s="504">
        <v>0</v>
      </c>
    </row>
    <row r="114" spans="1:27">
      <c r="A114" s="88" t="s">
        <v>229</v>
      </c>
      <c r="B114" s="30"/>
      <c r="C114" s="89"/>
      <c r="D114" s="502">
        <v>0</v>
      </c>
      <c r="E114" s="504">
        <v>0</v>
      </c>
      <c r="F114" s="504">
        <v>0</v>
      </c>
      <c r="G114" s="504">
        <v>0</v>
      </c>
      <c r="H114" s="504">
        <v>0</v>
      </c>
      <c r="I114" s="504">
        <v>0</v>
      </c>
      <c r="J114" s="504">
        <v>0</v>
      </c>
      <c r="K114" s="504">
        <v>0</v>
      </c>
      <c r="L114" s="504">
        <v>0</v>
      </c>
      <c r="M114" s="504">
        <v>0</v>
      </c>
      <c r="N114" s="504">
        <v>0</v>
      </c>
      <c r="O114" s="504">
        <v>0</v>
      </c>
      <c r="P114" s="504">
        <v>0</v>
      </c>
      <c r="Q114" s="504">
        <v>0</v>
      </c>
      <c r="R114" s="504">
        <v>0</v>
      </c>
      <c r="S114" s="504">
        <v>0</v>
      </c>
      <c r="T114" s="504">
        <v>0</v>
      </c>
      <c r="U114" s="504">
        <v>0</v>
      </c>
      <c r="V114" s="504">
        <v>0</v>
      </c>
      <c r="W114" s="504">
        <v>0</v>
      </c>
      <c r="X114" s="504">
        <v>0</v>
      </c>
    </row>
    <row r="115" spans="1:27" s="32" customFormat="1">
      <c r="A115" s="299" t="s">
        <v>297</v>
      </c>
      <c r="B115" s="299"/>
      <c r="C115" s="299"/>
      <c r="D115" s="505">
        <v>0</v>
      </c>
      <c r="E115" s="506">
        <f>E53</f>
        <v>0</v>
      </c>
      <c r="F115" s="506">
        <f t="shared" ref="F115:X115" si="14">F53</f>
        <v>0</v>
      </c>
      <c r="G115" s="506">
        <f t="shared" si="14"/>
        <v>100000</v>
      </c>
      <c r="H115" s="506">
        <f t="shared" si="14"/>
        <v>100000</v>
      </c>
      <c r="I115" s="506">
        <f t="shared" si="14"/>
        <v>100000</v>
      </c>
      <c r="J115" s="506">
        <f t="shared" si="14"/>
        <v>100000</v>
      </c>
      <c r="K115" s="506">
        <f t="shared" si="14"/>
        <v>100000</v>
      </c>
      <c r="L115" s="506">
        <f t="shared" si="14"/>
        <v>100000</v>
      </c>
      <c r="M115" s="506">
        <f t="shared" si="14"/>
        <v>100000</v>
      </c>
      <c r="N115" s="506">
        <f t="shared" si="14"/>
        <v>100000</v>
      </c>
      <c r="O115" s="506">
        <f t="shared" si="14"/>
        <v>100000</v>
      </c>
      <c r="P115" s="506">
        <f t="shared" si="14"/>
        <v>100000</v>
      </c>
      <c r="Q115" s="506">
        <f t="shared" si="14"/>
        <v>100000</v>
      </c>
      <c r="R115" s="506">
        <f t="shared" si="14"/>
        <v>100000</v>
      </c>
      <c r="S115" s="506">
        <f t="shared" si="14"/>
        <v>100000</v>
      </c>
      <c r="T115" s="506">
        <f t="shared" si="14"/>
        <v>100000</v>
      </c>
      <c r="U115" s="506">
        <f t="shared" si="14"/>
        <v>100000</v>
      </c>
      <c r="V115" s="506">
        <f t="shared" si="14"/>
        <v>100000</v>
      </c>
      <c r="W115" s="506">
        <f t="shared" si="14"/>
        <v>100000</v>
      </c>
      <c r="X115" s="506">
        <f t="shared" si="14"/>
        <v>100000</v>
      </c>
    </row>
    <row r="116" spans="1:27">
      <c r="A116" s="278" t="s">
        <v>147</v>
      </c>
      <c r="D116" s="507">
        <f>SUM(D114:D115)</f>
        <v>0</v>
      </c>
      <c r="E116" s="508">
        <f>SUM(E111:E115)</f>
        <v>0</v>
      </c>
      <c r="F116" s="508">
        <f t="shared" ref="F116:X116" si="15">SUM(F111:F115)</f>
        <v>0</v>
      </c>
      <c r="G116" s="508">
        <f t="shared" si="15"/>
        <v>100000</v>
      </c>
      <c r="H116" s="508">
        <f t="shared" si="15"/>
        <v>100000</v>
      </c>
      <c r="I116" s="508">
        <f t="shared" si="15"/>
        <v>100000</v>
      </c>
      <c r="J116" s="508">
        <f t="shared" si="15"/>
        <v>100000</v>
      </c>
      <c r="K116" s="508">
        <f t="shared" si="15"/>
        <v>100000</v>
      </c>
      <c r="L116" s="508">
        <f t="shared" si="15"/>
        <v>100000</v>
      </c>
      <c r="M116" s="508">
        <f t="shared" si="15"/>
        <v>100000</v>
      </c>
      <c r="N116" s="508">
        <f t="shared" si="15"/>
        <v>100000</v>
      </c>
      <c r="O116" s="508">
        <f t="shared" si="15"/>
        <v>100000</v>
      </c>
      <c r="P116" s="508">
        <f t="shared" si="15"/>
        <v>100000</v>
      </c>
      <c r="Q116" s="508">
        <f t="shared" si="15"/>
        <v>100000</v>
      </c>
      <c r="R116" s="508">
        <f t="shared" si="15"/>
        <v>100000</v>
      </c>
      <c r="S116" s="508">
        <f t="shared" si="15"/>
        <v>100000</v>
      </c>
      <c r="T116" s="508">
        <f t="shared" si="15"/>
        <v>100000</v>
      </c>
      <c r="U116" s="508">
        <f t="shared" si="15"/>
        <v>100000</v>
      </c>
      <c r="V116" s="508">
        <f t="shared" si="15"/>
        <v>100000</v>
      </c>
      <c r="W116" s="508">
        <f t="shared" si="15"/>
        <v>100000</v>
      </c>
      <c r="X116" s="508">
        <f t="shared" si="15"/>
        <v>100000</v>
      </c>
    </row>
    <row r="117" spans="1:27">
      <c r="D117" s="507"/>
      <c r="E117" s="413"/>
      <c r="F117" s="413"/>
      <c r="G117" s="413"/>
      <c r="H117" s="413"/>
      <c r="I117" s="413"/>
      <c r="J117" s="413"/>
      <c r="K117" s="413"/>
      <c r="L117" s="413"/>
      <c r="M117" s="413"/>
      <c r="N117" s="413"/>
      <c r="O117" s="413"/>
      <c r="P117" s="413"/>
      <c r="Q117" s="413"/>
      <c r="R117" s="413"/>
      <c r="S117" s="413"/>
      <c r="T117" s="413"/>
      <c r="U117" s="413"/>
      <c r="V117" s="413"/>
      <c r="W117" s="413"/>
      <c r="X117" s="413"/>
    </row>
    <row r="118" spans="1:27">
      <c r="A118" s="88" t="s">
        <v>608</v>
      </c>
      <c r="D118" s="507">
        <f t="shared" ref="D118" si="16">SUM(D116:D117)</f>
        <v>0</v>
      </c>
      <c r="E118" s="413">
        <v>58025</v>
      </c>
      <c r="F118" s="413">
        <v>0</v>
      </c>
      <c r="G118" s="413">
        <v>0</v>
      </c>
      <c r="H118" s="413">
        <v>0</v>
      </c>
      <c r="I118" s="413">
        <v>0</v>
      </c>
      <c r="J118" s="413">
        <v>0</v>
      </c>
      <c r="K118" s="413">
        <v>0</v>
      </c>
      <c r="L118" s="413">
        <v>0</v>
      </c>
      <c r="M118" s="413">
        <v>0</v>
      </c>
      <c r="N118" s="413">
        <v>0</v>
      </c>
      <c r="O118" s="413">
        <v>0</v>
      </c>
      <c r="P118" s="413">
        <v>0</v>
      </c>
      <c r="Q118" s="413">
        <v>0</v>
      </c>
      <c r="R118" s="413">
        <v>0</v>
      </c>
      <c r="S118" s="413">
        <v>0</v>
      </c>
      <c r="T118" s="413">
        <v>0</v>
      </c>
      <c r="U118" s="413">
        <v>0</v>
      </c>
      <c r="V118" s="413">
        <v>0</v>
      </c>
      <c r="W118" s="413">
        <v>0</v>
      </c>
      <c r="X118" s="413">
        <v>0</v>
      </c>
    </row>
    <row r="119" spans="1:27">
      <c r="D119" s="507"/>
      <c r="E119" s="413"/>
      <c r="F119" s="413"/>
      <c r="G119" s="413"/>
      <c r="H119" s="413"/>
      <c r="I119" s="413"/>
      <c r="J119" s="413"/>
      <c r="K119" s="413"/>
      <c r="L119" s="413"/>
      <c r="M119" s="413"/>
      <c r="N119" s="413"/>
      <c r="O119" s="413"/>
      <c r="P119" s="413"/>
      <c r="Q119" s="413"/>
      <c r="R119" s="413"/>
      <c r="S119" s="413"/>
      <c r="T119" s="413"/>
      <c r="U119" s="413"/>
      <c r="V119" s="413"/>
      <c r="W119" s="413"/>
      <c r="X119" s="413"/>
    </row>
    <row r="120" spans="1:27" s="16" customFormat="1" ht="14.25">
      <c r="A120" s="295" t="s">
        <v>148</v>
      </c>
      <c r="B120" s="295"/>
      <c r="C120" s="295"/>
      <c r="D120" s="511">
        <f>SUM(D106,D116)</f>
        <v>0</v>
      </c>
      <c r="E120" s="511">
        <f>SUM(E106,E116,E118)</f>
        <v>219825</v>
      </c>
      <c r="F120" s="511">
        <f t="shared" ref="F120:X120" si="17">SUM(F106,F116,F118)</f>
        <v>1314994.7739798655</v>
      </c>
      <c r="G120" s="511">
        <f t="shared" si="17"/>
        <v>1486347.0694594625</v>
      </c>
      <c r="H120" s="511">
        <f t="shared" si="17"/>
        <v>1515854.0108486519</v>
      </c>
      <c r="I120" s="511">
        <f t="shared" si="17"/>
        <v>1545951.091065625</v>
      </c>
      <c r="J120" s="511">
        <f t="shared" si="17"/>
        <v>1793587.9601091596</v>
      </c>
      <c r="K120" s="511">
        <f t="shared" si="17"/>
        <v>1824900.9623668981</v>
      </c>
      <c r="L120" s="511">
        <f t="shared" si="17"/>
        <v>1856840.2246697915</v>
      </c>
      <c r="M120" s="511">
        <f t="shared" si="17"/>
        <v>1889418.2722187436</v>
      </c>
      <c r="N120" s="511">
        <f t="shared" si="17"/>
        <v>1922647.8807186743</v>
      </c>
      <c r="O120" s="511">
        <f t="shared" si="17"/>
        <v>2011364.0431941589</v>
      </c>
      <c r="P120" s="511">
        <f t="shared" si="17"/>
        <v>2045936.1278774862</v>
      </c>
      <c r="Q120" s="511">
        <f t="shared" si="17"/>
        <v>2081199.6542544803</v>
      </c>
      <c r="R120" s="511">
        <f t="shared" si="17"/>
        <v>2117168.4511590144</v>
      </c>
      <c r="S120" s="511">
        <f t="shared" si="17"/>
        <v>2153856.624001639</v>
      </c>
      <c r="T120" s="511">
        <f t="shared" si="17"/>
        <v>2246200.5221066717</v>
      </c>
      <c r="U120" s="511">
        <f t="shared" si="17"/>
        <v>2284370.8971321387</v>
      </c>
      <c r="V120" s="511">
        <f t="shared" si="17"/>
        <v>2323304.6796581149</v>
      </c>
      <c r="W120" s="511">
        <f t="shared" si="17"/>
        <v>2363017.1378346104</v>
      </c>
      <c r="X120" s="511">
        <f t="shared" si="17"/>
        <v>2403523.8451746358</v>
      </c>
      <c r="Y120" s="622">
        <f>SUM(D120:X120)</f>
        <v>37400309.227829821</v>
      </c>
      <c r="AA120" s="370">
        <f>(Y76+Y78)/Y120</f>
        <v>0.54122627926204281</v>
      </c>
    </row>
    <row r="121" spans="1:27">
      <c r="A121" s="30"/>
      <c r="B121" s="30"/>
      <c r="C121" s="30"/>
      <c r="D121" s="502"/>
      <c r="E121" s="512"/>
      <c r="F121" s="512"/>
      <c r="G121" s="512"/>
      <c r="H121" s="512"/>
      <c r="I121" s="512"/>
      <c r="J121" s="512"/>
      <c r="K121" s="512"/>
      <c r="L121" s="512"/>
      <c r="M121" s="512"/>
      <c r="N121" s="512"/>
      <c r="O121" s="512"/>
      <c r="P121" s="512"/>
      <c r="Q121" s="512"/>
      <c r="R121" s="512"/>
      <c r="S121" s="512"/>
      <c r="T121" s="512"/>
      <c r="U121" s="512"/>
      <c r="V121" s="512"/>
      <c r="W121" s="512"/>
      <c r="X121" s="512"/>
    </row>
    <row r="122" spans="1:27" s="33" customFormat="1">
      <c r="A122" s="47" t="s">
        <v>7</v>
      </c>
      <c r="B122" s="47" t="s">
        <v>7</v>
      </c>
      <c r="C122" s="78" t="s">
        <v>7</v>
      </c>
      <c r="D122" s="604" t="s">
        <v>7</v>
      </c>
      <c r="E122" s="78" t="s">
        <v>7</v>
      </c>
      <c r="F122" s="78" t="s">
        <v>7</v>
      </c>
      <c r="G122" s="78" t="s">
        <v>7</v>
      </c>
      <c r="H122" s="78" t="s">
        <v>7</v>
      </c>
      <c r="I122" s="78" t="s">
        <v>7</v>
      </c>
      <c r="J122" s="78" t="s">
        <v>7</v>
      </c>
      <c r="K122" s="78" t="s">
        <v>7</v>
      </c>
      <c r="L122" s="78" t="s">
        <v>7</v>
      </c>
      <c r="M122" s="78" t="s">
        <v>7</v>
      </c>
      <c r="N122" s="78" t="s">
        <v>7</v>
      </c>
      <c r="O122" s="78" t="s">
        <v>7</v>
      </c>
      <c r="P122" s="78" t="s">
        <v>7</v>
      </c>
      <c r="Q122" s="78" t="s">
        <v>7</v>
      </c>
      <c r="R122" s="78" t="s">
        <v>7</v>
      </c>
      <c r="S122" s="78" t="s">
        <v>7</v>
      </c>
      <c r="T122" s="78" t="s">
        <v>7</v>
      </c>
      <c r="U122" s="78" t="s">
        <v>7</v>
      </c>
      <c r="V122" s="78" t="s">
        <v>7</v>
      </c>
      <c r="W122" s="78" t="s">
        <v>7</v>
      </c>
      <c r="X122" s="78" t="s">
        <v>7</v>
      </c>
    </row>
    <row r="123" spans="1:27">
      <c r="A123" s="30"/>
      <c r="B123" s="30"/>
      <c r="C123" s="30"/>
      <c r="D123" s="502"/>
      <c r="E123" s="512"/>
      <c r="F123" s="512"/>
      <c r="G123" s="512"/>
      <c r="H123" s="512"/>
      <c r="I123" s="512"/>
      <c r="J123" s="512"/>
      <c r="K123" s="512"/>
      <c r="L123" s="512"/>
      <c r="M123" s="512"/>
      <c r="N123" s="512"/>
      <c r="O123" s="512"/>
      <c r="P123" s="512"/>
      <c r="Q123" s="512"/>
      <c r="R123" s="512"/>
      <c r="S123" s="512"/>
      <c r="T123" s="512"/>
      <c r="U123" s="512"/>
      <c r="V123" s="512"/>
      <c r="W123" s="512"/>
      <c r="X123" s="512"/>
    </row>
    <row r="124" spans="1:27">
      <c r="A124" s="269" t="s">
        <v>131</v>
      </c>
      <c r="B124" s="269"/>
      <c r="C124" s="270"/>
      <c r="D124" s="513"/>
      <c r="E124" s="513"/>
      <c r="F124" s="513"/>
      <c r="G124" s="513"/>
      <c r="H124" s="513"/>
      <c r="I124" s="513"/>
      <c r="J124" s="513"/>
      <c r="K124" s="513"/>
      <c r="L124" s="513"/>
      <c r="M124" s="513"/>
      <c r="N124" s="513"/>
      <c r="O124" s="513"/>
      <c r="P124" s="513"/>
      <c r="Q124" s="513"/>
      <c r="R124" s="513"/>
      <c r="S124" s="513"/>
      <c r="T124" s="513"/>
      <c r="U124" s="513"/>
      <c r="V124" s="513"/>
      <c r="W124" s="513"/>
      <c r="X124" s="513"/>
    </row>
    <row r="125" spans="1:27">
      <c r="A125" s="69"/>
      <c r="B125" s="69"/>
      <c r="C125" s="69"/>
      <c r="D125" s="502"/>
      <c r="E125" s="504"/>
      <c r="F125" s="504"/>
      <c r="G125" s="504"/>
      <c r="H125" s="504"/>
      <c r="I125" s="504"/>
      <c r="J125" s="504"/>
      <c r="K125" s="504"/>
      <c r="L125" s="504"/>
      <c r="M125" s="504"/>
      <c r="N125" s="504"/>
      <c r="O125" s="504"/>
      <c r="P125" s="504"/>
      <c r="Q125" s="504"/>
      <c r="R125" s="504"/>
      <c r="S125" s="504"/>
      <c r="T125" s="504"/>
      <c r="U125" s="504"/>
      <c r="V125" s="504"/>
      <c r="W125" s="504"/>
      <c r="X125" s="504"/>
    </row>
    <row r="126" spans="1:27" s="96" customFormat="1">
      <c r="A126" s="69" t="s">
        <v>13</v>
      </c>
      <c r="B126" s="69"/>
      <c r="C126" s="69"/>
      <c r="D126" s="514">
        <v>0</v>
      </c>
      <c r="E126" s="515">
        <f>'OPEX - Concept C2 - NCLH'!L80</f>
        <v>12250</v>
      </c>
      <c r="F126" s="515">
        <f>'OPEX - Concept C2 - NCLH'!M80</f>
        <v>171500</v>
      </c>
      <c r="G126" s="515">
        <f>'OPEX - Concept C2 - NCLH'!N80</f>
        <v>174930</v>
      </c>
      <c r="H126" s="515">
        <f>'OPEX - Concept C2 - NCLH'!O80</f>
        <v>178428.59999999998</v>
      </c>
      <c r="I126" s="515">
        <f>'OPEX - Concept C2 - NCLH'!P80</f>
        <v>181997.17199999996</v>
      </c>
      <c r="J126" s="515">
        <f>'OPEX - Concept C2 - NCLH'!Q80</f>
        <v>185637.11543999997</v>
      </c>
      <c r="K126" s="515">
        <f>'OPEX - Concept C2 - NCLH'!R80</f>
        <v>189349.85774879999</v>
      </c>
      <c r="L126" s="515">
        <f>'OPEX - Concept C2 - NCLH'!S80</f>
        <v>193136.85490377599</v>
      </c>
      <c r="M126" s="515">
        <f>'OPEX - Concept C2 - NCLH'!T80</f>
        <v>196999.59200185153</v>
      </c>
      <c r="N126" s="515">
        <f>'OPEX - Concept C2 - NCLH'!U80</f>
        <v>200939.58384188855</v>
      </c>
      <c r="O126" s="515">
        <f>'OPEX - Concept C2 - NCLH'!V80</f>
        <v>204958.37551872636</v>
      </c>
      <c r="P126" s="515">
        <f>'OPEX - Concept C2 - NCLH'!W80</f>
        <v>209057.54302910087</v>
      </c>
      <c r="Q126" s="515">
        <f>'OPEX - Concept C2 - NCLH'!X80</f>
        <v>213238.69388968288</v>
      </c>
      <c r="R126" s="515">
        <f>'OPEX - Concept C2 - NCLH'!Y80</f>
        <v>217503.46776747654</v>
      </c>
      <c r="S126" s="515">
        <f>'OPEX - Concept C2 - NCLH'!Z80</f>
        <v>221853.53712282603</v>
      </c>
      <c r="T126" s="515">
        <f>'OPEX - Concept C2 - NCLH'!AA80</f>
        <v>226290.60786528263</v>
      </c>
      <c r="U126" s="515">
        <f>'OPEX - Concept C2 - NCLH'!AB80</f>
        <v>230816.42002258825</v>
      </c>
      <c r="V126" s="515">
        <f>'OPEX - Concept C2 - NCLH'!AC80</f>
        <v>235432.74842304003</v>
      </c>
      <c r="W126" s="515">
        <f>'OPEX - Concept C2 - NCLH'!AD80</f>
        <v>240141.40339150085</v>
      </c>
      <c r="X126" s="515">
        <f>'OPEX - Concept C2 - NCLH'!AE80</f>
        <v>244944.23145933088</v>
      </c>
    </row>
    <row r="127" spans="1:27" s="96" customFormat="1">
      <c r="A127" s="69" t="s">
        <v>41</v>
      </c>
      <c r="B127" s="69"/>
      <c r="C127" s="69"/>
      <c r="D127" s="514">
        <v>0</v>
      </c>
      <c r="E127" s="515">
        <f>'OPEX - Concept C2 - NCLH'!L88</f>
        <v>25000</v>
      </c>
      <c r="F127" s="515">
        <f>'OPEX - Concept C2 - NCLH'!M88</f>
        <v>25500</v>
      </c>
      <c r="G127" s="515">
        <f>'OPEX - Concept C2 - NCLH'!N88</f>
        <v>26010</v>
      </c>
      <c r="H127" s="515">
        <f>'OPEX - Concept C2 - NCLH'!O88</f>
        <v>26530.199999999997</v>
      </c>
      <c r="I127" s="515">
        <f>'OPEX - Concept C2 - NCLH'!P88</f>
        <v>27060.804</v>
      </c>
      <c r="J127" s="515">
        <f>'OPEX - Concept C2 - NCLH'!Q88</f>
        <v>27602.020080000002</v>
      </c>
      <c r="K127" s="515">
        <f>'OPEX - Concept C2 - NCLH'!R88</f>
        <v>28154.060481600001</v>
      </c>
      <c r="L127" s="515">
        <f>'OPEX - Concept C2 - NCLH'!S88</f>
        <v>28717.141691232002</v>
      </c>
      <c r="M127" s="515">
        <f>'OPEX - Concept C2 - NCLH'!T88</f>
        <v>29291.484525056643</v>
      </c>
      <c r="N127" s="515">
        <f>'OPEX - Concept C2 - NCLH'!U88</f>
        <v>29877.314215557777</v>
      </c>
      <c r="O127" s="515">
        <f>'OPEX - Concept C2 - NCLH'!V88</f>
        <v>30474.860499868933</v>
      </c>
      <c r="P127" s="515">
        <f>'OPEX - Concept C2 - NCLH'!W88</f>
        <v>31084.357709866312</v>
      </c>
      <c r="Q127" s="515">
        <f>'OPEX - Concept C2 - NCLH'!X88</f>
        <v>31706.044864063639</v>
      </c>
      <c r="R127" s="515">
        <f>'OPEX - Concept C2 - NCLH'!Y88</f>
        <v>32340.165761344906</v>
      </c>
      <c r="S127" s="515">
        <f>'OPEX - Concept C2 - NCLH'!Z88</f>
        <v>32986.969076571811</v>
      </c>
      <c r="T127" s="515">
        <f>'OPEX - Concept C2 - NCLH'!AA88</f>
        <v>33646.708458103247</v>
      </c>
      <c r="U127" s="515">
        <f>'OPEX - Concept C2 - NCLH'!AB88</f>
        <v>34319.642627265312</v>
      </c>
      <c r="V127" s="515">
        <f>'OPEX - Concept C2 - NCLH'!AC88</f>
        <v>35006.03547981062</v>
      </c>
      <c r="W127" s="515">
        <f>'OPEX - Concept C2 - NCLH'!AD88</f>
        <v>35706.156189406836</v>
      </c>
      <c r="X127" s="515">
        <f>'OPEX - Concept C2 - NCLH'!AE88</f>
        <v>36420.279313194973</v>
      </c>
    </row>
    <row r="128" spans="1:27" s="96" customFormat="1">
      <c r="A128" s="69" t="s">
        <v>424</v>
      </c>
      <c r="B128" s="69"/>
      <c r="C128" s="69"/>
      <c r="D128" s="514">
        <v>0</v>
      </c>
      <c r="E128" s="515">
        <f>'OPEX - Concept C2 - NCLH'!L89</f>
        <v>10000</v>
      </c>
      <c r="F128" s="515">
        <f>'OPEX - Concept C2 - NCLH'!M89</f>
        <v>500</v>
      </c>
      <c r="G128" s="515">
        <f>'OPEX - Concept C2 - NCLH'!N89</f>
        <v>520.20000000000005</v>
      </c>
      <c r="H128" s="515">
        <f>'OPEX - Concept C2 - NCLH'!O89</f>
        <v>530.60399999999993</v>
      </c>
      <c r="I128" s="515">
        <f>'OPEX - Concept C2 - NCLH'!P89</f>
        <v>541.21608000000003</v>
      </c>
      <c r="J128" s="515">
        <f>'OPEX - Concept C2 - NCLH'!Q89</f>
        <v>5000</v>
      </c>
      <c r="K128" s="515">
        <f>'OPEX - Concept C2 - NCLH'!R89</f>
        <v>563.08120963200008</v>
      </c>
      <c r="L128" s="515">
        <f>'OPEX - Concept C2 - NCLH'!S89</f>
        <v>574.34283382464002</v>
      </c>
      <c r="M128" s="515">
        <f>'OPEX - Concept C2 - NCLH'!T89</f>
        <v>585.82969050113286</v>
      </c>
      <c r="N128" s="515">
        <f>'OPEX - Concept C2 - NCLH'!U89</f>
        <v>597.54628431115555</v>
      </c>
      <c r="O128" s="515">
        <f>'OPEX - Concept C2 - NCLH'!V89</f>
        <v>5000</v>
      </c>
      <c r="P128" s="515">
        <f>'OPEX - Concept C2 - NCLH'!W89</f>
        <v>621.68715419732621</v>
      </c>
      <c r="Q128" s="515">
        <f>'OPEX - Concept C2 - NCLH'!X89</f>
        <v>634.12089728127273</v>
      </c>
      <c r="R128" s="515">
        <f>'OPEX - Concept C2 - NCLH'!Y89</f>
        <v>646.80331522689812</v>
      </c>
      <c r="S128" s="515">
        <f>'OPEX - Concept C2 - NCLH'!Z89</f>
        <v>659.73938153143615</v>
      </c>
      <c r="T128" s="515">
        <f>'OPEX - Concept C2 - NCLH'!AA89</f>
        <v>5000</v>
      </c>
      <c r="U128" s="515">
        <f>'OPEX - Concept C2 - NCLH'!AB89</f>
        <v>686.39285254530625</v>
      </c>
      <c r="V128" s="515">
        <f>'OPEX - Concept C2 - NCLH'!AC89</f>
        <v>700.12070959621246</v>
      </c>
      <c r="W128" s="515">
        <f>'OPEX - Concept C2 - NCLH'!AD89</f>
        <v>714.1231237881367</v>
      </c>
      <c r="X128" s="515">
        <f>'OPEX - Concept C2 - NCLH'!AE89</f>
        <v>728.40558626389941</v>
      </c>
    </row>
    <row r="129" spans="1:24" s="96" customFormat="1">
      <c r="A129" s="69" t="s">
        <v>42</v>
      </c>
      <c r="B129" s="69"/>
      <c r="C129" s="69"/>
      <c r="D129" s="514">
        <v>0</v>
      </c>
      <c r="E129" s="515">
        <f>'OPEX - Concept C2 - NCLH'!L90</f>
        <v>50000</v>
      </c>
      <c r="F129" s="515">
        <f>'OPEX - Concept C2 - NCLH'!M90</f>
        <v>51000</v>
      </c>
      <c r="G129" s="515">
        <f>'OPEX - Concept C2 - NCLH'!N90</f>
        <v>52020</v>
      </c>
      <c r="H129" s="515">
        <f>'OPEX - Concept C2 - NCLH'!O90</f>
        <v>53060.399999999994</v>
      </c>
      <c r="I129" s="515">
        <f>'OPEX - Concept C2 - NCLH'!P90</f>
        <v>54121.608</v>
      </c>
      <c r="J129" s="515">
        <f>'OPEX - Concept C2 - NCLH'!Q90</f>
        <v>55204.040160000004</v>
      </c>
      <c r="K129" s="515">
        <f>'OPEX - Concept C2 - NCLH'!R90</f>
        <v>56308.120963200003</v>
      </c>
      <c r="L129" s="515">
        <f>'OPEX - Concept C2 - NCLH'!S90</f>
        <v>57434.283382464004</v>
      </c>
      <c r="M129" s="515">
        <f>'OPEX - Concept C2 - NCLH'!T90</f>
        <v>58582.969050113286</v>
      </c>
      <c r="N129" s="515">
        <f>'OPEX - Concept C2 - NCLH'!U90</f>
        <v>59754.628431115554</v>
      </c>
      <c r="O129" s="515">
        <f>'OPEX - Concept C2 - NCLH'!V90</f>
        <v>60949.720999737867</v>
      </c>
      <c r="P129" s="515">
        <f>'OPEX - Concept C2 - NCLH'!W90</f>
        <v>62168.715419732624</v>
      </c>
      <c r="Q129" s="515">
        <f>'OPEX - Concept C2 - NCLH'!X90</f>
        <v>63412.089728127277</v>
      </c>
      <c r="R129" s="515">
        <f>'OPEX - Concept C2 - NCLH'!Y90</f>
        <v>64680.331522689812</v>
      </c>
      <c r="S129" s="515">
        <f>'OPEX - Concept C2 - NCLH'!Z90</f>
        <v>65973.938153143623</v>
      </c>
      <c r="T129" s="515">
        <f>'OPEX - Concept C2 - NCLH'!AA90</f>
        <v>67293.416916206494</v>
      </c>
      <c r="U129" s="515">
        <f>'OPEX - Concept C2 - NCLH'!AB90</f>
        <v>68639.285254530623</v>
      </c>
      <c r="V129" s="515">
        <f>'OPEX - Concept C2 - NCLH'!AC90</f>
        <v>70012.07095962124</v>
      </c>
      <c r="W129" s="515">
        <f>'OPEX - Concept C2 - NCLH'!AD90</f>
        <v>71412.312378813673</v>
      </c>
      <c r="X129" s="515">
        <f>'OPEX - Concept C2 - NCLH'!AE90</f>
        <v>72840.558626389946</v>
      </c>
    </row>
    <row r="130" spans="1:24" s="96" customFormat="1">
      <c r="A130" s="69" t="s">
        <v>43</v>
      </c>
      <c r="B130" s="69"/>
      <c r="C130" s="69"/>
      <c r="D130" s="514">
        <v>0</v>
      </c>
      <c r="E130" s="515">
        <f>'OPEX - Concept C2 - NCLH'!L91</f>
        <v>500</v>
      </c>
      <c r="F130" s="515">
        <f>'OPEX - Concept C2 - NCLH'!M91</f>
        <v>2040</v>
      </c>
      <c r="G130" s="515">
        <f>'OPEX - Concept C2 - NCLH'!N91</f>
        <v>2080.8000000000002</v>
      </c>
      <c r="H130" s="515">
        <f>'OPEX - Concept C2 - NCLH'!O91</f>
        <v>2122.4159999999997</v>
      </c>
      <c r="I130" s="515">
        <f>'OPEX - Concept C2 - NCLH'!P91</f>
        <v>2164.8643200000001</v>
      </c>
      <c r="J130" s="515">
        <f>'OPEX - Concept C2 - NCLH'!Q91</f>
        <v>2208.1616064</v>
      </c>
      <c r="K130" s="515">
        <f>'OPEX - Concept C2 - NCLH'!R91</f>
        <v>2252.3248385280003</v>
      </c>
      <c r="L130" s="515">
        <f>'OPEX - Concept C2 - NCLH'!S91</f>
        <v>2297.3713352985601</v>
      </c>
      <c r="M130" s="515">
        <f>'OPEX - Concept C2 - NCLH'!T91</f>
        <v>2343.3187620045314</v>
      </c>
      <c r="N130" s="515">
        <f>'OPEX - Concept C2 - NCLH'!U91</f>
        <v>2390.1851372446222</v>
      </c>
      <c r="O130" s="515">
        <f>'OPEX - Concept C2 - NCLH'!V91</f>
        <v>2437.9888399895149</v>
      </c>
      <c r="P130" s="515">
        <f>'OPEX - Concept C2 - NCLH'!W91</f>
        <v>2486.7486167893048</v>
      </c>
      <c r="Q130" s="515">
        <f>'OPEX - Concept C2 - NCLH'!X91</f>
        <v>2536.4835891250909</v>
      </c>
      <c r="R130" s="515">
        <f>'OPEX - Concept C2 - NCLH'!Y91</f>
        <v>2587.2132609075925</v>
      </c>
      <c r="S130" s="515">
        <f>'OPEX - Concept C2 - NCLH'!Z91</f>
        <v>2638.9575261257446</v>
      </c>
      <c r="T130" s="515">
        <f>'OPEX - Concept C2 - NCLH'!AA91</f>
        <v>2691.7366766482596</v>
      </c>
      <c r="U130" s="515">
        <f>'OPEX - Concept C2 - NCLH'!AB91</f>
        <v>2745.571410181225</v>
      </c>
      <c r="V130" s="515">
        <f>'OPEX - Concept C2 - NCLH'!AC91</f>
        <v>2800.4828383848499</v>
      </c>
      <c r="W130" s="515">
        <f>'OPEX - Concept C2 - NCLH'!AD91</f>
        <v>2856.4924951525468</v>
      </c>
      <c r="X130" s="515">
        <f>'OPEX - Concept C2 - NCLH'!AE91</f>
        <v>2913.6223450555976</v>
      </c>
    </row>
    <row r="131" spans="1:24" s="96" customFormat="1">
      <c r="A131" s="69" t="s">
        <v>44</v>
      </c>
      <c r="B131" s="69"/>
      <c r="C131" s="69"/>
      <c r="D131" s="514">
        <v>0</v>
      </c>
      <c r="E131" s="515">
        <f>'OPEX - Concept C2 - NCLH'!L92</f>
        <v>250</v>
      </c>
      <c r="F131" s="515">
        <f>'OPEX - Concept C2 - NCLH'!M92</f>
        <v>1020</v>
      </c>
      <c r="G131" s="515">
        <f>'OPEX - Concept C2 - NCLH'!N92</f>
        <v>1040.4000000000001</v>
      </c>
      <c r="H131" s="515">
        <f>'OPEX - Concept C2 - NCLH'!O92</f>
        <v>1061.2079999999999</v>
      </c>
      <c r="I131" s="515">
        <f>'OPEX - Concept C2 - NCLH'!P92</f>
        <v>1082.4321600000001</v>
      </c>
      <c r="J131" s="515">
        <f>'OPEX - Concept C2 - NCLH'!Q92</f>
        <v>1104.0808032</v>
      </c>
      <c r="K131" s="515">
        <f>'OPEX - Concept C2 - NCLH'!R92</f>
        <v>1126.1624192640002</v>
      </c>
      <c r="L131" s="515">
        <f>'OPEX - Concept C2 - NCLH'!S92</f>
        <v>1148.68566764928</v>
      </c>
      <c r="M131" s="515">
        <f>'OPEX - Concept C2 - NCLH'!T92</f>
        <v>1171.6593810022657</v>
      </c>
      <c r="N131" s="515">
        <f>'OPEX - Concept C2 - NCLH'!U92</f>
        <v>1195.0925686223111</v>
      </c>
      <c r="O131" s="515">
        <f>'OPEX - Concept C2 - NCLH'!V92</f>
        <v>1218.9944199947574</v>
      </c>
      <c r="P131" s="515">
        <f>'OPEX - Concept C2 - NCLH'!W92</f>
        <v>1243.3743083946524</v>
      </c>
      <c r="Q131" s="515">
        <f>'OPEX - Concept C2 - NCLH'!X92</f>
        <v>1268.2417945625455</v>
      </c>
      <c r="R131" s="515">
        <f>'OPEX - Concept C2 - NCLH'!Y92</f>
        <v>1293.6066304537962</v>
      </c>
      <c r="S131" s="515">
        <f>'OPEX - Concept C2 - NCLH'!Z92</f>
        <v>1319.4787630628723</v>
      </c>
      <c r="T131" s="515">
        <f>'OPEX - Concept C2 - NCLH'!AA92</f>
        <v>1345.8683383241298</v>
      </c>
      <c r="U131" s="515">
        <f>'OPEX - Concept C2 - NCLH'!AB92</f>
        <v>1372.7857050906125</v>
      </c>
      <c r="V131" s="515">
        <f>'OPEX - Concept C2 - NCLH'!AC92</f>
        <v>1400.2414191924249</v>
      </c>
      <c r="W131" s="515">
        <f>'OPEX - Concept C2 - NCLH'!AD92</f>
        <v>1428.2462475762734</v>
      </c>
      <c r="X131" s="515">
        <f>'OPEX - Concept C2 - NCLH'!AE92</f>
        <v>1456.8111725277988</v>
      </c>
    </row>
    <row r="132" spans="1:24" s="96" customFormat="1">
      <c r="A132" s="69" t="s">
        <v>2</v>
      </c>
      <c r="B132" s="69"/>
      <c r="C132" s="69"/>
      <c r="D132" s="514">
        <v>0</v>
      </c>
      <c r="E132" s="515">
        <f>'OPEX - Concept C2 - NCLH'!L93</f>
        <v>1000</v>
      </c>
      <c r="F132" s="515">
        <f>'OPEX - Concept C2 - NCLH'!M93</f>
        <v>1020</v>
      </c>
      <c r="G132" s="515">
        <f>'OPEX - Concept C2 - NCLH'!N93</f>
        <v>1040.4000000000001</v>
      </c>
      <c r="H132" s="515">
        <f>'OPEX - Concept C2 - NCLH'!O93</f>
        <v>1061.2079999999999</v>
      </c>
      <c r="I132" s="515">
        <f>'OPEX - Concept C2 - NCLH'!P93</f>
        <v>1082.4321600000001</v>
      </c>
      <c r="J132" s="515">
        <f>'OPEX - Concept C2 - NCLH'!Q93</f>
        <v>1104.0808032</v>
      </c>
      <c r="K132" s="515">
        <f>'OPEX - Concept C2 - NCLH'!R93</f>
        <v>1126.1624192640002</v>
      </c>
      <c r="L132" s="515">
        <f>'OPEX - Concept C2 - NCLH'!S93</f>
        <v>1148.68566764928</v>
      </c>
      <c r="M132" s="515">
        <f>'OPEX - Concept C2 - NCLH'!T93</f>
        <v>1171.6593810022657</v>
      </c>
      <c r="N132" s="515">
        <f>'OPEX - Concept C2 - NCLH'!U93</f>
        <v>1195.0925686223111</v>
      </c>
      <c r="O132" s="515">
        <f>'OPEX - Concept C2 - NCLH'!V93</f>
        <v>1218.9944199947574</v>
      </c>
      <c r="P132" s="515">
        <f>'OPEX - Concept C2 - NCLH'!W93</f>
        <v>1243.3743083946524</v>
      </c>
      <c r="Q132" s="515">
        <f>'OPEX - Concept C2 - NCLH'!X93</f>
        <v>1268.2417945625455</v>
      </c>
      <c r="R132" s="515">
        <f>'OPEX - Concept C2 - NCLH'!Y93</f>
        <v>1293.6066304537962</v>
      </c>
      <c r="S132" s="515">
        <f>'OPEX - Concept C2 - NCLH'!Z93</f>
        <v>1319.4787630628723</v>
      </c>
      <c r="T132" s="515">
        <f>'OPEX - Concept C2 - NCLH'!AA93</f>
        <v>1345.8683383241298</v>
      </c>
      <c r="U132" s="515">
        <f>'OPEX - Concept C2 - NCLH'!AB93</f>
        <v>1372.7857050906125</v>
      </c>
      <c r="V132" s="515">
        <f>'OPEX - Concept C2 - NCLH'!AC93</f>
        <v>1400.2414191924249</v>
      </c>
      <c r="W132" s="515">
        <f>'OPEX - Concept C2 - NCLH'!AD93</f>
        <v>1428.2462475762734</v>
      </c>
      <c r="X132" s="515">
        <f>'OPEX - Concept C2 - NCLH'!AE93</f>
        <v>1456.8111725277988</v>
      </c>
    </row>
    <row r="133" spans="1:24" s="167" customFormat="1">
      <c r="A133" s="591"/>
      <c r="B133" s="591"/>
      <c r="C133" s="591"/>
      <c r="D133" s="592"/>
      <c r="E133" s="593"/>
      <c r="F133" s="593"/>
      <c r="G133" s="593"/>
      <c r="H133" s="593"/>
      <c r="I133" s="593"/>
      <c r="J133" s="593"/>
      <c r="K133" s="593"/>
      <c r="L133" s="593"/>
      <c r="M133" s="593"/>
      <c r="N133" s="593"/>
      <c r="O133" s="593"/>
      <c r="P133" s="593"/>
      <c r="Q133" s="593"/>
      <c r="R133" s="593"/>
      <c r="S133" s="593"/>
      <c r="T133" s="593"/>
      <c r="U133" s="593"/>
      <c r="V133" s="593"/>
      <c r="W133" s="593"/>
      <c r="X133" s="593"/>
    </row>
    <row r="134" spans="1:24" s="96" customFormat="1">
      <c r="A134" s="1012" t="s">
        <v>25</v>
      </c>
      <c r="B134" s="69"/>
      <c r="C134" s="69"/>
      <c r="D134" s="514">
        <v>0</v>
      </c>
      <c r="E134" s="515">
        <f>'OPEX - Concept C2 - NCLH'!L109</f>
        <v>34183.333333333328</v>
      </c>
      <c r="F134" s="515">
        <f>'OPEX - Concept C2 - NCLH'!M109</f>
        <v>34867</v>
      </c>
      <c r="G134" s="515">
        <f>'OPEX - Concept C2 - NCLH'!N109</f>
        <v>35564.339999999997</v>
      </c>
      <c r="H134" s="515">
        <f>'OPEX - Concept C2 - NCLH'!O109</f>
        <v>36275.626799999998</v>
      </c>
      <c r="I134" s="515">
        <f>'OPEX - Concept C2 - NCLH'!P109</f>
        <v>37001.139335999993</v>
      </c>
      <c r="J134" s="515">
        <f>'OPEX - Concept C2 - NCLH'!Q109</f>
        <v>37741.162122720001</v>
      </c>
      <c r="K134" s="515">
        <f>'OPEX - Concept C2 - NCLH'!R109</f>
        <v>38495.985365174398</v>
      </c>
      <c r="L134" s="515">
        <f>'OPEX - Concept C2 - NCLH'!S109</f>
        <v>39265.905072477886</v>
      </c>
      <c r="M134" s="515">
        <f>'OPEX - Concept C2 - NCLH'!T109</f>
        <v>40051.22317392745</v>
      </c>
      <c r="N134" s="515">
        <f>'OPEX - Concept C2 - NCLH'!U109</f>
        <v>40852.247637405999</v>
      </c>
      <c r="O134" s="515">
        <f>'OPEX - Concept C2 - NCLH'!V109</f>
        <v>41669.292590154117</v>
      </c>
      <c r="P134" s="515">
        <f>'OPEX - Concept C2 - NCLH'!W109</f>
        <v>42502.6784419572</v>
      </c>
      <c r="Q134" s="515">
        <f>'OPEX - Concept C2 - NCLH'!X109</f>
        <v>43352.732010796346</v>
      </c>
      <c r="R134" s="515">
        <f>'OPEX - Concept C2 - NCLH'!Y109</f>
        <v>44219.786651012269</v>
      </c>
      <c r="S134" s="515">
        <f>'OPEX - Concept C2 - NCLH'!Z109</f>
        <v>45104.182384032523</v>
      </c>
      <c r="T134" s="515">
        <f>'OPEX - Concept C2 - NCLH'!AA109</f>
        <v>46006.266031713167</v>
      </c>
      <c r="U134" s="515">
        <f>'OPEX - Concept C2 - NCLH'!AB109</f>
        <v>46926.39135234744</v>
      </c>
      <c r="V134" s="515">
        <f>'OPEX - Concept C2 - NCLH'!AC109</f>
        <v>47864.91917939439</v>
      </c>
      <c r="W134" s="515">
        <f>'OPEX - Concept C2 - NCLH'!AD109</f>
        <v>48822.217562982281</v>
      </c>
      <c r="X134" s="515">
        <f>'OPEX - Concept C2 - NCLH'!AE109</f>
        <v>49798.661914241922</v>
      </c>
    </row>
    <row r="135" spans="1:24" s="96" customFormat="1">
      <c r="A135" s="782" t="s">
        <v>426</v>
      </c>
      <c r="B135" s="69"/>
      <c r="C135" s="69"/>
      <c r="D135" s="514">
        <v>0</v>
      </c>
      <c r="E135" s="515">
        <f>'OPEX - Concept C2 - NCLH'!L97</f>
        <v>1000</v>
      </c>
      <c r="F135" s="515">
        <f>'OPEX - Concept C2 - NCLH'!M97</f>
        <v>1020</v>
      </c>
      <c r="G135" s="515">
        <f>'OPEX - Concept C2 - NCLH'!N97</f>
        <v>1040.4000000000001</v>
      </c>
      <c r="H135" s="515">
        <f>'OPEX - Concept C2 - NCLH'!O97</f>
        <v>1061.2079999999999</v>
      </c>
      <c r="I135" s="515">
        <f>'OPEX - Concept C2 - NCLH'!P97</f>
        <v>1082.4321600000001</v>
      </c>
      <c r="J135" s="515">
        <f>'OPEX - Concept C2 - NCLH'!Q97</f>
        <v>25000</v>
      </c>
      <c r="K135" s="515">
        <f>'OPEX - Concept C2 - NCLH'!R97</f>
        <v>25500</v>
      </c>
      <c r="L135" s="515">
        <f>'OPEX - Concept C2 - NCLH'!S97</f>
        <v>26010</v>
      </c>
      <c r="M135" s="515">
        <f>'OPEX - Concept C2 - NCLH'!T97</f>
        <v>26530.199999999997</v>
      </c>
      <c r="N135" s="515">
        <f>'OPEX - Concept C2 - NCLH'!U97</f>
        <v>27060.804</v>
      </c>
      <c r="O135" s="515">
        <f>'OPEX - Concept C2 - NCLH'!V97</f>
        <v>27602.020080000002</v>
      </c>
      <c r="P135" s="515">
        <f>'OPEX - Concept C2 - NCLH'!W97</f>
        <v>28154.060481600001</v>
      </c>
      <c r="Q135" s="515">
        <f>'OPEX - Concept C2 - NCLH'!X97</f>
        <v>28717.141691232002</v>
      </c>
      <c r="R135" s="515">
        <f>'OPEX - Concept C2 - NCLH'!Y97</f>
        <v>29291.484525056643</v>
      </c>
      <c r="S135" s="515">
        <f>'OPEX - Concept C2 - NCLH'!Z97</f>
        <v>29877.314215557777</v>
      </c>
      <c r="T135" s="515">
        <f>'OPEX - Concept C2 - NCLH'!AA97</f>
        <v>30474.860499868933</v>
      </c>
      <c r="U135" s="515">
        <f>'OPEX - Concept C2 - NCLH'!AB97</f>
        <v>31084.357709866312</v>
      </c>
      <c r="V135" s="515">
        <f>'OPEX - Concept C2 - NCLH'!AC97</f>
        <v>31706.044864063639</v>
      </c>
      <c r="W135" s="515">
        <f>'OPEX - Concept C2 - NCLH'!AD97</f>
        <v>32340.165761344906</v>
      </c>
      <c r="X135" s="515">
        <f>'OPEX - Concept C2 - NCLH'!AE97</f>
        <v>32986.969076571811</v>
      </c>
    </row>
    <row r="136" spans="1:24" s="96" customFormat="1">
      <c r="A136" s="644" t="s">
        <v>302</v>
      </c>
      <c r="B136" s="69"/>
      <c r="C136" s="69"/>
      <c r="D136" s="514">
        <v>0</v>
      </c>
      <c r="E136" s="515">
        <f>'Shuttle Projections'!C39/2</f>
        <v>233675</v>
      </c>
      <c r="F136" s="515">
        <f>'Shuttle Projections'!D39</f>
        <v>476697</v>
      </c>
      <c r="G136" s="515">
        <f>'Shuttle Projections'!E39</f>
        <v>486230.94000000006</v>
      </c>
      <c r="H136" s="515">
        <f>'Shuttle Projections'!F39</f>
        <v>495955.55879999994</v>
      </c>
      <c r="I136" s="515">
        <f>'Shuttle Projections'!G39</f>
        <v>505874.66997599998</v>
      </c>
      <c r="J136" s="515">
        <f>'Shuttle Projections'!H39</f>
        <v>515992.16337552003</v>
      </c>
      <c r="K136" s="515">
        <f>'Shuttle Projections'!I39</f>
        <v>526312.00664303044</v>
      </c>
      <c r="L136" s="515">
        <f>'Shuttle Projections'!J39</f>
        <v>536838.24677589093</v>
      </c>
      <c r="M136" s="515">
        <f>'Shuttle Projections'!K39</f>
        <v>547575.01171140897</v>
      </c>
      <c r="N136" s="515">
        <f>'Shuttle Projections'!L39</f>
        <v>558526.51194563706</v>
      </c>
      <c r="O136" s="515">
        <f>'Shuttle Projections'!M39</f>
        <v>569697.04218454985</v>
      </c>
      <c r="P136" s="515">
        <f>'Shuttle Projections'!N39</f>
        <v>581090.98302824085</v>
      </c>
      <c r="Q136" s="515">
        <f>'Shuttle Projections'!O39</f>
        <v>592712.80268880562</v>
      </c>
      <c r="R136" s="515">
        <f>'Shuttle Projections'!P39</f>
        <v>604567.05874258175</v>
      </c>
      <c r="S136" s="515">
        <f>'Shuttle Projections'!Q39</f>
        <v>616658.39991743339</v>
      </c>
      <c r="T136" s="515">
        <f>'Shuttle Projections'!R39</f>
        <v>628991.5679157821</v>
      </c>
      <c r="U136" s="515">
        <f>'Shuttle Projections'!S39</f>
        <v>641571.39927409776</v>
      </c>
      <c r="V136" s="515">
        <f>'Shuttle Projections'!T39</f>
        <v>654402.82725957979</v>
      </c>
      <c r="W136" s="515">
        <f>'Shuttle Projections'!U39</f>
        <v>667490.88380477135</v>
      </c>
      <c r="X136" s="515">
        <f>'Shuttle Projections'!V39</f>
        <v>680840.70148086676</v>
      </c>
    </row>
    <row r="137" spans="1:24" s="16" customFormat="1" ht="14.25">
      <c r="A137" s="282" t="s">
        <v>132</v>
      </c>
      <c r="B137" s="276"/>
      <c r="C137" s="276"/>
      <c r="D137" s="516">
        <f>SUM(D125:D136)</f>
        <v>0</v>
      </c>
      <c r="E137" s="517">
        <f t="shared" ref="E137:X137" si="18">SUM(E126:E136)</f>
        <v>367858.33333333331</v>
      </c>
      <c r="F137" s="517">
        <f t="shared" si="18"/>
        <v>765164</v>
      </c>
      <c r="G137" s="517">
        <f t="shared" si="18"/>
        <v>780477.4800000001</v>
      </c>
      <c r="H137" s="517">
        <f t="shared" si="18"/>
        <v>796087.02960000001</v>
      </c>
      <c r="I137" s="517">
        <f t="shared" si="18"/>
        <v>812008.77019200008</v>
      </c>
      <c r="J137" s="517">
        <f t="shared" si="18"/>
        <v>856592.82439104002</v>
      </c>
      <c r="K137" s="517">
        <f t="shared" si="18"/>
        <v>869187.76208849275</v>
      </c>
      <c r="L137" s="517">
        <f t="shared" si="18"/>
        <v>886571.51733026258</v>
      </c>
      <c r="M137" s="517">
        <f t="shared" si="18"/>
        <v>904302.94767686806</v>
      </c>
      <c r="N137" s="517">
        <f t="shared" si="18"/>
        <v>922389.00663040532</v>
      </c>
      <c r="O137" s="517">
        <f t="shared" si="18"/>
        <v>945227.28955301619</v>
      </c>
      <c r="P137" s="517">
        <f t="shared" si="18"/>
        <v>959653.52249827387</v>
      </c>
      <c r="Q137" s="517">
        <f t="shared" si="18"/>
        <v>978846.59294823918</v>
      </c>
      <c r="R137" s="517">
        <f t="shared" si="18"/>
        <v>998423.52480720403</v>
      </c>
      <c r="S137" s="517">
        <f t="shared" si="18"/>
        <v>1018391.9953033481</v>
      </c>
      <c r="T137" s="517">
        <f t="shared" si="18"/>
        <v>1043086.901040253</v>
      </c>
      <c r="U137" s="517">
        <f t="shared" si="18"/>
        <v>1059535.0319136034</v>
      </c>
      <c r="V137" s="517">
        <f t="shared" si="18"/>
        <v>1080725.7325518755</v>
      </c>
      <c r="W137" s="517">
        <f t="shared" si="18"/>
        <v>1102340.2472029133</v>
      </c>
      <c r="X137" s="517">
        <f t="shared" si="18"/>
        <v>1124387.0521469712</v>
      </c>
    </row>
    <row r="138" spans="1:24">
      <c r="A138" s="92"/>
      <c r="B138" s="69"/>
      <c r="C138" s="69"/>
      <c r="D138" s="514"/>
      <c r="E138" s="515"/>
      <c r="F138" s="515"/>
      <c r="G138" s="515"/>
      <c r="H138" s="515"/>
      <c r="I138" s="515"/>
      <c r="J138" s="515"/>
      <c r="K138" s="515"/>
      <c r="L138" s="515"/>
      <c r="M138" s="515"/>
      <c r="N138" s="515"/>
      <c r="O138" s="515"/>
      <c r="P138" s="515"/>
      <c r="Q138" s="515"/>
      <c r="R138" s="515"/>
      <c r="S138" s="515"/>
      <c r="T138" s="515"/>
      <c r="U138" s="515"/>
      <c r="V138" s="515"/>
      <c r="W138" s="515"/>
      <c r="X138" s="515"/>
    </row>
    <row r="139" spans="1:24">
      <c r="A139" s="269" t="s">
        <v>85</v>
      </c>
      <c r="B139" s="269"/>
      <c r="C139" s="270"/>
      <c r="D139" s="513"/>
      <c r="E139" s="513"/>
      <c r="F139" s="513"/>
      <c r="G139" s="513"/>
      <c r="H139" s="513"/>
      <c r="I139" s="513"/>
      <c r="J139" s="513"/>
      <c r="K139" s="513"/>
      <c r="L139" s="513"/>
      <c r="M139" s="513"/>
      <c r="N139" s="513"/>
      <c r="O139" s="513"/>
      <c r="P139" s="513"/>
      <c r="Q139" s="513"/>
      <c r="R139" s="513"/>
      <c r="S139" s="513"/>
      <c r="T139" s="513"/>
      <c r="U139" s="513"/>
      <c r="V139" s="513"/>
      <c r="W139" s="513"/>
      <c r="X139" s="513"/>
    </row>
    <row r="140" spans="1:24" s="368" customFormat="1">
      <c r="A140" s="263"/>
      <c r="B140" s="263"/>
      <c r="C140" s="367"/>
      <c r="D140" s="514"/>
      <c r="E140" s="515"/>
      <c r="F140" s="515"/>
      <c r="G140" s="515"/>
      <c r="H140" s="515"/>
      <c r="I140" s="515"/>
      <c r="J140" s="515"/>
      <c r="K140" s="515"/>
      <c r="L140" s="515"/>
      <c r="M140" s="515"/>
      <c r="N140" s="515"/>
      <c r="O140" s="515"/>
      <c r="P140" s="515"/>
      <c r="Q140" s="515"/>
      <c r="R140" s="515"/>
      <c r="S140" s="515"/>
      <c r="T140" s="515"/>
      <c r="U140" s="515"/>
      <c r="V140" s="515"/>
      <c r="W140" s="515"/>
      <c r="X140" s="515"/>
    </row>
    <row r="141" spans="1:24" s="418" customFormat="1">
      <c r="A141" s="591" t="s">
        <v>0</v>
      </c>
      <c r="B141" s="595"/>
      <c r="C141" s="596"/>
      <c r="D141" s="592">
        <v>0</v>
      </c>
      <c r="E141" s="593">
        <f>'OPEX - Concept C2 - NCLH'!L132</f>
        <v>0</v>
      </c>
      <c r="F141" s="593">
        <f>'OPEX - Concept C2 - NCLH'!M132</f>
        <v>54570</v>
      </c>
      <c r="G141" s="593">
        <f>'OPEX - Concept C2 - NCLH'!N132</f>
        <v>56774.628000000004</v>
      </c>
      <c r="H141" s="593">
        <f>'OPEX - Concept C2 - NCLH'!O132</f>
        <v>57910.120559999996</v>
      </c>
      <c r="I141" s="593">
        <f>'OPEX - Concept C2 - NCLH'!P132</f>
        <v>59068.322971199988</v>
      </c>
      <c r="J141" s="593">
        <f>'OPEX - Concept C2 - NCLH'!Q132</f>
        <v>60249.689430623999</v>
      </c>
      <c r="K141" s="593">
        <f>'OPEX - Concept C2 - NCLH'!R132</f>
        <v>61454.683219236475</v>
      </c>
      <c r="L141" s="593">
        <f>'OPEX - Concept C2 - NCLH'!S132</f>
        <v>62683.776883621205</v>
      </c>
      <c r="M141" s="593">
        <f>'OPEX - Concept C2 - NCLH'!T132</f>
        <v>63937.452421293638</v>
      </c>
      <c r="N141" s="593">
        <f>'OPEX - Concept C2 - NCLH'!U132</f>
        <v>65216.201469719512</v>
      </c>
      <c r="O141" s="593">
        <f>'OPEX - Concept C2 - NCLH'!V132</f>
        <v>66520.525499113894</v>
      </c>
      <c r="P141" s="593">
        <f>'OPEX - Concept C2 - NCLH'!W132</f>
        <v>67850.936009096185</v>
      </c>
      <c r="Q141" s="593">
        <f>'OPEX - Concept C2 - NCLH'!X132</f>
        <v>69207.954729278121</v>
      </c>
      <c r="R141" s="593">
        <f>'OPEX - Concept C2 - NCLH'!Y132</f>
        <v>70592.113823863678</v>
      </c>
      <c r="S141" s="593">
        <f>'OPEX - Concept C2 - NCLH'!Z132</f>
        <v>72003.956100340947</v>
      </c>
      <c r="T141" s="593">
        <f>'OPEX - Concept C2 - NCLH'!AA132</f>
        <v>73444.035222347768</v>
      </c>
      <c r="U141" s="593">
        <f>'OPEX - Concept C2 - NCLH'!AB132</f>
        <v>74912.915926794725</v>
      </c>
      <c r="V141" s="593">
        <f>'OPEX - Concept C2 - NCLH'!AC132</f>
        <v>76411.174245330621</v>
      </c>
      <c r="W141" s="593">
        <f>'OPEX - Concept C2 - NCLH'!AD132</f>
        <v>77939.397730237237</v>
      </c>
      <c r="X141" s="593">
        <f>'OPEX - Concept C2 - NCLH'!AE132</f>
        <v>79498.18568484197</v>
      </c>
    </row>
    <row r="142" spans="1:24" s="418" customFormat="1">
      <c r="A142" s="591" t="s">
        <v>4</v>
      </c>
      <c r="B142" s="595"/>
      <c r="C142" s="596"/>
      <c r="D142" s="592">
        <v>0</v>
      </c>
      <c r="E142" s="593">
        <f>'OPEX - Concept C2 - NCLH'!L155</f>
        <v>0</v>
      </c>
      <c r="F142" s="593">
        <f>'OPEX - Concept C2 - NCLH'!M155</f>
        <v>85335.846153846156</v>
      </c>
      <c r="G142" s="593">
        <f>'OPEX - Concept C2 - NCLH'!N155</f>
        <v>87042.563076923077</v>
      </c>
      <c r="H142" s="593">
        <f>'OPEX - Concept C2 - NCLH'!O155</f>
        <v>88783.41433846156</v>
      </c>
      <c r="I142" s="593">
        <f>'OPEX - Concept C2 - NCLH'!P155</f>
        <v>90559.082625230774</v>
      </c>
      <c r="J142" s="593">
        <f>'OPEX - Concept C2 - NCLH'!Q155</f>
        <v>92370.264277735376</v>
      </c>
      <c r="K142" s="593">
        <f>'OPEX - Concept C2 - NCLH'!R155</f>
        <v>94217.669563290081</v>
      </c>
      <c r="L142" s="593">
        <f>'OPEX - Concept C2 - NCLH'!S155</f>
        <v>96102.022954555898</v>
      </c>
      <c r="M142" s="593">
        <f>'OPEX - Concept C2 - NCLH'!T155</f>
        <v>98024.063413647003</v>
      </c>
      <c r="N142" s="593">
        <f>'OPEX - Concept C2 - NCLH'!U155</f>
        <v>99984.544681919942</v>
      </c>
      <c r="O142" s="593">
        <f>'OPEX - Concept C2 - NCLH'!V155</f>
        <v>101984.23557555837</v>
      </c>
      <c r="P142" s="593">
        <f>'OPEX - Concept C2 - NCLH'!W155</f>
        <v>104023.92028706953</v>
      </c>
      <c r="Q142" s="593">
        <f>'OPEX - Concept C2 - NCLH'!X155</f>
        <v>106104.39869281092</v>
      </c>
      <c r="R142" s="593">
        <f>'OPEX - Concept C2 - NCLH'!Y155</f>
        <v>108226.48666666714</v>
      </c>
      <c r="S142" s="593">
        <f>'OPEX - Concept C2 - NCLH'!Z155</f>
        <v>110391.01640000047</v>
      </c>
      <c r="T142" s="593">
        <f>'OPEX - Concept C2 - NCLH'!AA155</f>
        <v>112598.8367280005</v>
      </c>
      <c r="U142" s="593">
        <f>'OPEX - Concept C2 - NCLH'!AB155</f>
        <v>114850.8134625605</v>
      </c>
      <c r="V142" s="593">
        <f>'OPEX - Concept C2 - NCLH'!AC155</f>
        <v>117147.82973181173</v>
      </c>
      <c r="W142" s="593">
        <f>'OPEX - Concept C2 - NCLH'!AD155</f>
        <v>119490.78632644797</v>
      </c>
      <c r="X142" s="593">
        <f>'OPEX - Concept C2 - NCLH'!AE155</f>
        <v>121880.60205297693</v>
      </c>
    </row>
    <row r="143" spans="1:24" s="16" customFormat="1" ht="14.25">
      <c r="A143" s="282" t="s">
        <v>133</v>
      </c>
      <c r="B143" s="276"/>
      <c r="C143" s="276"/>
      <c r="D143" s="516">
        <f>SUM(D141:D142)</f>
        <v>0</v>
      </c>
      <c r="E143" s="517">
        <f>SUM(E141:E142)</f>
        <v>0</v>
      </c>
      <c r="F143" s="517">
        <f t="shared" ref="F143:X143" si="19">SUM(F141:F142)</f>
        <v>139905.84615384616</v>
      </c>
      <c r="G143" s="517">
        <f t="shared" si="19"/>
        <v>143817.19107692307</v>
      </c>
      <c r="H143" s="517">
        <f t="shared" si="19"/>
        <v>146693.53489846154</v>
      </c>
      <c r="I143" s="517">
        <f t="shared" si="19"/>
        <v>149627.40559643076</v>
      </c>
      <c r="J143" s="517">
        <f t="shared" si="19"/>
        <v>152619.95370835939</v>
      </c>
      <c r="K143" s="517">
        <f t="shared" si="19"/>
        <v>155672.35278252655</v>
      </c>
      <c r="L143" s="517">
        <f t="shared" si="19"/>
        <v>158785.7998381771</v>
      </c>
      <c r="M143" s="517">
        <f t="shared" si="19"/>
        <v>161961.51583494066</v>
      </c>
      <c r="N143" s="517">
        <f t="shared" si="19"/>
        <v>165200.74615163944</v>
      </c>
      <c r="O143" s="517">
        <f t="shared" si="19"/>
        <v>168504.76107467228</v>
      </c>
      <c r="P143" s="517">
        <f t="shared" si="19"/>
        <v>171874.85629616573</v>
      </c>
      <c r="Q143" s="517">
        <f t="shared" si="19"/>
        <v>175312.35342208904</v>
      </c>
      <c r="R143" s="517">
        <f t="shared" si="19"/>
        <v>178818.60049053084</v>
      </c>
      <c r="S143" s="517">
        <f t="shared" si="19"/>
        <v>182394.97250034142</v>
      </c>
      <c r="T143" s="517">
        <f t="shared" si="19"/>
        <v>186042.87195034826</v>
      </c>
      <c r="U143" s="517">
        <f t="shared" si="19"/>
        <v>189763.72938935523</v>
      </c>
      <c r="V143" s="517">
        <f t="shared" si="19"/>
        <v>193559.00397714233</v>
      </c>
      <c r="W143" s="517">
        <f t="shared" si="19"/>
        <v>197430.18405668519</v>
      </c>
      <c r="X143" s="517">
        <f t="shared" si="19"/>
        <v>201378.7877378189</v>
      </c>
    </row>
    <row r="144" spans="1:24">
      <c r="A144" s="92"/>
      <c r="B144" s="92"/>
      <c r="C144" s="69"/>
      <c r="D144" s="514"/>
      <c r="E144" s="515"/>
      <c r="F144" s="515"/>
      <c r="G144" s="515"/>
      <c r="H144" s="515"/>
      <c r="I144" s="515"/>
      <c r="J144" s="515"/>
      <c r="K144" s="515"/>
      <c r="L144" s="515"/>
      <c r="M144" s="515"/>
      <c r="N144" s="515"/>
      <c r="O144" s="515"/>
      <c r="P144" s="515"/>
      <c r="Q144" s="515"/>
      <c r="R144" s="515"/>
      <c r="S144" s="515"/>
      <c r="T144" s="515"/>
      <c r="U144" s="515"/>
      <c r="V144" s="515"/>
      <c r="W144" s="515"/>
      <c r="X144" s="515"/>
    </row>
    <row r="145" spans="1:24" s="16" customFormat="1" ht="14.25">
      <c r="A145" s="350" t="s">
        <v>118</v>
      </c>
      <c r="B145" s="350"/>
      <c r="C145" s="351"/>
      <c r="D145" s="519">
        <f t="shared" ref="D145:X145" si="20">SUM(D137,D143)</f>
        <v>0</v>
      </c>
      <c r="E145" s="519">
        <f t="shared" si="20"/>
        <v>367858.33333333331</v>
      </c>
      <c r="F145" s="519">
        <f t="shared" si="20"/>
        <v>905069.84615384613</v>
      </c>
      <c r="G145" s="519">
        <f t="shared" si="20"/>
        <v>924294.67107692314</v>
      </c>
      <c r="H145" s="519">
        <f t="shared" si="20"/>
        <v>942780.56449846155</v>
      </c>
      <c r="I145" s="519">
        <f t="shared" si="20"/>
        <v>961636.17578843085</v>
      </c>
      <c r="J145" s="519">
        <f t="shared" si="20"/>
        <v>1009212.7780993994</v>
      </c>
      <c r="K145" s="519">
        <f t="shared" si="20"/>
        <v>1024860.1148710193</v>
      </c>
      <c r="L145" s="519">
        <f t="shared" si="20"/>
        <v>1045357.3171684397</v>
      </c>
      <c r="M145" s="519">
        <f t="shared" si="20"/>
        <v>1066264.4635118088</v>
      </c>
      <c r="N145" s="519">
        <f t="shared" si="20"/>
        <v>1087589.7527820447</v>
      </c>
      <c r="O145" s="519">
        <f t="shared" si="20"/>
        <v>1113732.0506276884</v>
      </c>
      <c r="P145" s="519">
        <f t="shared" si="20"/>
        <v>1131528.3787944396</v>
      </c>
      <c r="Q145" s="519">
        <f t="shared" si="20"/>
        <v>1154158.9463703283</v>
      </c>
      <c r="R145" s="519">
        <f t="shared" si="20"/>
        <v>1177242.125297735</v>
      </c>
      <c r="S145" s="519">
        <f t="shared" si="20"/>
        <v>1200786.9678036894</v>
      </c>
      <c r="T145" s="519">
        <f t="shared" si="20"/>
        <v>1229129.7729906011</v>
      </c>
      <c r="U145" s="519">
        <f t="shared" si="20"/>
        <v>1249298.7613029587</v>
      </c>
      <c r="V145" s="519">
        <f t="shared" si="20"/>
        <v>1274284.7365290178</v>
      </c>
      <c r="W145" s="519">
        <f t="shared" si="20"/>
        <v>1299770.4312595986</v>
      </c>
      <c r="X145" s="519">
        <f t="shared" si="20"/>
        <v>1325765.8398847901</v>
      </c>
    </row>
    <row r="146" spans="1:24" s="222" customFormat="1" ht="14.25">
      <c r="A146" s="280"/>
      <c r="B146" s="280"/>
      <c r="C146" s="263"/>
      <c r="D146" s="518"/>
      <c r="E146" s="520"/>
      <c r="F146" s="520"/>
      <c r="G146" s="520"/>
      <c r="H146" s="520"/>
      <c r="I146" s="520"/>
      <c r="J146" s="520"/>
      <c r="K146" s="520"/>
      <c r="L146" s="520"/>
      <c r="M146" s="520"/>
      <c r="N146" s="520"/>
      <c r="O146" s="520"/>
      <c r="P146" s="520"/>
      <c r="Q146" s="520"/>
      <c r="R146" s="520"/>
      <c r="S146" s="520"/>
      <c r="T146" s="520"/>
      <c r="U146" s="520"/>
      <c r="V146" s="520"/>
      <c r="W146" s="520"/>
      <c r="X146" s="520"/>
    </row>
    <row r="147" spans="1:24" s="222" customFormat="1" ht="14.25">
      <c r="A147" s="271" t="s">
        <v>295</v>
      </c>
      <c r="B147" s="271"/>
      <c r="C147" s="269"/>
      <c r="D147" s="521"/>
      <c r="E147" s="521"/>
      <c r="F147" s="521"/>
      <c r="G147" s="521"/>
      <c r="H147" s="521"/>
      <c r="I147" s="521"/>
      <c r="J147" s="521"/>
      <c r="K147" s="521"/>
      <c r="L147" s="521"/>
      <c r="M147" s="521"/>
      <c r="N147" s="521"/>
      <c r="O147" s="521"/>
      <c r="P147" s="521"/>
      <c r="Q147" s="521"/>
      <c r="R147" s="521"/>
      <c r="S147" s="521"/>
      <c r="T147" s="521"/>
      <c r="U147" s="521"/>
      <c r="V147" s="521"/>
      <c r="W147" s="521"/>
      <c r="X147" s="521"/>
    </row>
    <row r="148" spans="1:24" s="222" customFormat="1" ht="14.25">
      <c r="A148" s="280"/>
      <c r="B148" s="280"/>
      <c r="C148" s="263"/>
      <c r="D148" s="518"/>
      <c r="E148" s="520"/>
      <c r="F148" s="520"/>
      <c r="G148" s="520"/>
      <c r="H148" s="520"/>
      <c r="I148" s="520"/>
      <c r="J148" s="520"/>
      <c r="K148" s="520"/>
      <c r="L148" s="520"/>
      <c r="M148" s="520"/>
      <c r="N148" s="520"/>
      <c r="O148" s="520"/>
      <c r="P148" s="520"/>
      <c r="Q148" s="520"/>
      <c r="R148" s="520"/>
      <c r="S148" s="520"/>
      <c r="T148" s="520"/>
      <c r="U148" s="520"/>
      <c r="V148" s="520"/>
      <c r="W148" s="520"/>
      <c r="X148" s="520"/>
    </row>
    <row r="149" spans="1:24" s="725" customFormat="1">
      <c r="A149" s="353" t="s">
        <v>228</v>
      </c>
      <c r="B149" s="691"/>
      <c r="C149" s="724"/>
      <c r="D149" s="699">
        <v>0</v>
      </c>
      <c r="E149" s="700"/>
      <c r="F149" s="700"/>
      <c r="G149" s="700"/>
      <c r="H149" s="700"/>
      <c r="I149" s="700"/>
      <c r="J149" s="700"/>
      <c r="K149" s="700"/>
      <c r="L149" s="700"/>
      <c r="M149" s="700"/>
      <c r="N149" s="700"/>
      <c r="O149" s="700"/>
      <c r="P149" s="700"/>
      <c r="Q149" s="700"/>
      <c r="R149" s="700"/>
      <c r="S149" s="700"/>
      <c r="T149" s="700"/>
      <c r="U149" s="700"/>
      <c r="V149" s="700"/>
      <c r="W149" s="700"/>
      <c r="X149" s="700"/>
    </row>
    <row r="150" spans="1:24" s="725" customFormat="1">
      <c r="A150" s="726" t="s">
        <v>228</v>
      </c>
      <c r="B150" s="727"/>
      <c r="C150" s="728"/>
      <c r="D150" s="729">
        <v>0</v>
      </c>
      <c r="E150" s="730"/>
      <c r="F150" s="730"/>
      <c r="G150" s="730"/>
      <c r="H150" s="730"/>
      <c r="I150" s="730"/>
      <c r="J150" s="730"/>
      <c r="K150" s="730"/>
      <c r="L150" s="730"/>
      <c r="M150" s="730"/>
      <c r="N150" s="730"/>
      <c r="O150" s="730"/>
      <c r="P150" s="730"/>
      <c r="Q150" s="730"/>
      <c r="R150" s="730"/>
      <c r="S150" s="730"/>
      <c r="T150" s="730"/>
      <c r="U150" s="730"/>
      <c r="V150" s="730"/>
      <c r="W150" s="730"/>
      <c r="X150" s="730"/>
    </row>
    <row r="151" spans="1:24" s="725" customFormat="1" ht="14.25">
      <c r="A151" s="691" t="s">
        <v>296</v>
      </c>
      <c r="B151" s="691"/>
      <c r="C151" s="724"/>
      <c r="D151" s="731">
        <f t="shared" ref="D151:X151" si="21">SUM(D149:D150)</f>
        <v>0</v>
      </c>
      <c r="E151" s="732">
        <f t="shared" si="21"/>
        <v>0</v>
      </c>
      <c r="F151" s="732">
        <f t="shared" si="21"/>
        <v>0</v>
      </c>
      <c r="G151" s="732">
        <f t="shared" si="21"/>
        <v>0</v>
      </c>
      <c r="H151" s="732">
        <f t="shared" si="21"/>
        <v>0</v>
      </c>
      <c r="I151" s="732">
        <f t="shared" si="21"/>
        <v>0</v>
      </c>
      <c r="J151" s="732">
        <f t="shared" si="21"/>
        <v>0</v>
      </c>
      <c r="K151" s="732">
        <f t="shared" si="21"/>
        <v>0</v>
      </c>
      <c r="L151" s="732">
        <f t="shared" si="21"/>
        <v>0</v>
      </c>
      <c r="M151" s="732">
        <f t="shared" si="21"/>
        <v>0</v>
      </c>
      <c r="N151" s="732">
        <f t="shared" si="21"/>
        <v>0</v>
      </c>
      <c r="O151" s="732">
        <f t="shared" si="21"/>
        <v>0</v>
      </c>
      <c r="P151" s="732">
        <f t="shared" si="21"/>
        <v>0</v>
      </c>
      <c r="Q151" s="732">
        <f t="shared" si="21"/>
        <v>0</v>
      </c>
      <c r="R151" s="732">
        <f t="shared" si="21"/>
        <v>0</v>
      </c>
      <c r="S151" s="732">
        <f t="shared" si="21"/>
        <v>0</v>
      </c>
      <c r="T151" s="732">
        <f t="shared" si="21"/>
        <v>0</v>
      </c>
      <c r="U151" s="732">
        <f t="shared" si="21"/>
        <v>0</v>
      </c>
      <c r="V151" s="732">
        <f t="shared" si="21"/>
        <v>0</v>
      </c>
      <c r="W151" s="732">
        <f t="shared" si="21"/>
        <v>0</v>
      </c>
      <c r="X151" s="732">
        <f t="shared" si="21"/>
        <v>0</v>
      </c>
    </row>
    <row r="152" spans="1:24" s="222" customFormat="1">
      <c r="A152" s="280"/>
      <c r="B152" s="280"/>
      <c r="C152" s="263"/>
      <c r="D152" s="514"/>
      <c r="E152" s="515"/>
      <c r="F152" s="520"/>
      <c r="G152" s="520"/>
      <c r="H152" s="520"/>
      <c r="I152" s="520"/>
      <c r="J152" s="520"/>
      <c r="K152" s="520"/>
      <c r="L152" s="520"/>
      <c r="M152" s="520"/>
      <c r="N152" s="520"/>
      <c r="O152" s="520"/>
      <c r="P152" s="520"/>
      <c r="Q152" s="520"/>
      <c r="R152" s="520"/>
      <c r="S152" s="520"/>
      <c r="T152" s="520"/>
      <c r="U152" s="520"/>
      <c r="V152" s="520"/>
      <c r="W152" s="520"/>
      <c r="X152" s="520"/>
    </row>
    <row r="153" spans="1:24" s="222" customFormat="1" ht="14.25">
      <c r="A153" s="296" t="s">
        <v>140</v>
      </c>
      <c r="B153" s="296"/>
      <c r="C153" s="297"/>
      <c r="D153" s="522">
        <f t="shared" ref="D153:X153" si="22">SUM(D145,D151)</f>
        <v>0</v>
      </c>
      <c r="E153" s="522">
        <f t="shared" si="22"/>
        <v>367858.33333333331</v>
      </c>
      <c r="F153" s="522">
        <f t="shared" si="22"/>
        <v>905069.84615384613</v>
      </c>
      <c r="G153" s="522">
        <f t="shared" si="22"/>
        <v>924294.67107692314</v>
      </c>
      <c r="H153" s="522">
        <f t="shared" si="22"/>
        <v>942780.56449846155</v>
      </c>
      <c r="I153" s="522">
        <f t="shared" si="22"/>
        <v>961636.17578843085</v>
      </c>
      <c r="J153" s="522">
        <f t="shared" si="22"/>
        <v>1009212.7780993994</v>
      </c>
      <c r="K153" s="522">
        <f t="shared" si="22"/>
        <v>1024860.1148710193</v>
      </c>
      <c r="L153" s="522">
        <f t="shared" si="22"/>
        <v>1045357.3171684397</v>
      </c>
      <c r="M153" s="522">
        <f t="shared" si="22"/>
        <v>1066264.4635118088</v>
      </c>
      <c r="N153" s="522">
        <f t="shared" si="22"/>
        <v>1087589.7527820447</v>
      </c>
      <c r="O153" s="522">
        <f t="shared" si="22"/>
        <v>1113732.0506276884</v>
      </c>
      <c r="P153" s="522">
        <f t="shared" si="22"/>
        <v>1131528.3787944396</v>
      </c>
      <c r="Q153" s="522">
        <f t="shared" si="22"/>
        <v>1154158.9463703283</v>
      </c>
      <c r="R153" s="522">
        <f t="shared" si="22"/>
        <v>1177242.125297735</v>
      </c>
      <c r="S153" s="522">
        <f t="shared" si="22"/>
        <v>1200786.9678036894</v>
      </c>
      <c r="T153" s="522">
        <f t="shared" si="22"/>
        <v>1229129.7729906011</v>
      </c>
      <c r="U153" s="522">
        <f t="shared" si="22"/>
        <v>1249298.7613029587</v>
      </c>
      <c r="V153" s="522">
        <f t="shared" si="22"/>
        <v>1274284.7365290178</v>
      </c>
      <c r="W153" s="522">
        <f t="shared" si="22"/>
        <v>1299770.4312595986</v>
      </c>
      <c r="X153" s="522">
        <f t="shared" si="22"/>
        <v>1325765.8398847901</v>
      </c>
    </row>
    <row r="154" spans="1:24">
      <c r="A154" s="92"/>
      <c r="B154" s="92"/>
      <c r="C154" s="69"/>
      <c r="D154" s="514"/>
      <c r="E154" s="515"/>
      <c r="F154" s="515"/>
      <c r="G154" s="515"/>
      <c r="H154" s="515"/>
      <c r="I154" s="515"/>
      <c r="J154" s="515"/>
      <c r="K154" s="515"/>
      <c r="L154" s="515"/>
      <c r="M154" s="515"/>
      <c r="N154" s="515"/>
      <c r="O154" s="515"/>
      <c r="P154" s="515"/>
      <c r="Q154" s="515"/>
      <c r="R154" s="515"/>
      <c r="S154" s="515"/>
      <c r="T154" s="515"/>
      <c r="U154" s="515"/>
      <c r="V154" s="515"/>
      <c r="W154" s="515"/>
      <c r="X154" s="515"/>
    </row>
    <row r="155" spans="1:24" s="33" customFormat="1">
      <c r="A155" s="47" t="s">
        <v>7</v>
      </c>
      <c r="B155" s="47" t="s">
        <v>7</v>
      </c>
      <c r="C155" s="78" t="s">
        <v>7</v>
      </c>
      <c r="D155" s="604" t="s">
        <v>7</v>
      </c>
      <c r="E155" s="78" t="s">
        <v>7</v>
      </c>
      <c r="F155" s="78" t="s">
        <v>7</v>
      </c>
      <c r="G155" s="78" t="s">
        <v>7</v>
      </c>
      <c r="H155" s="78" t="s">
        <v>7</v>
      </c>
      <c r="I155" s="78" t="s">
        <v>7</v>
      </c>
      <c r="J155" s="78" t="s">
        <v>7</v>
      </c>
      <c r="K155" s="78" t="s">
        <v>7</v>
      </c>
      <c r="L155" s="78" t="s">
        <v>7</v>
      </c>
      <c r="M155" s="78" t="s">
        <v>7</v>
      </c>
      <c r="N155" s="78" t="s">
        <v>7</v>
      </c>
      <c r="O155" s="78" t="s">
        <v>7</v>
      </c>
      <c r="P155" s="78" t="s">
        <v>7</v>
      </c>
      <c r="Q155" s="78" t="s">
        <v>7</v>
      </c>
      <c r="R155" s="78" t="s">
        <v>7</v>
      </c>
      <c r="S155" s="78" t="s">
        <v>7</v>
      </c>
      <c r="T155" s="78" t="s">
        <v>7</v>
      </c>
      <c r="U155" s="78" t="s">
        <v>7</v>
      </c>
      <c r="V155" s="78" t="s">
        <v>7</v>
      </c>
      <c r="W155" s="78" t="s">
        <v>7</v>
      </c>
      <c r="X155" s="78" t="s">
        <v>7</v>
      </c>
    </row>
    <row r="156" spans="1:24">
      <c r="A156" s="92"/>
      <c r="B156" s="92"/>
      <c r="C156" s="69"/>
      <c r="D156" s="518"/>
      <c r="E156" s="515"/>
      <c r="F156" s="515"/>
      <c r="G156" s="515"/>
      <c r="H156" s="515"/>
      <c r="I156" s="515"/>
      <c r="J156" s="515"/>
      <c r="K156" s="515"/>
      <c r="L156" s="515"/>
      <c r="M156" s="515"/>
      <c r="N156" s="515"/>
      <c r="O156" s="515"/>
      <c r="P156" s="515"/>
      <c r="Q156" s="515"/>
      <c r="R156" s="515"/>
      <c r="S156" s="515"/>
      <c r="T156" s="515"/>
      <c r="U156" s="515"/>
      <c r="V156" s="515"/>
      <c r="W156" s="515"/>
      <c r="X156" s="515"/>
    </row>
    <row r="157" spans="1:24" s="16" customFormat="1" ht="14.25">
      <c r="A157" s="278" t="s">
        <v>116</v>
      </c>
      <c r="B157" s="263"/>
      <c r="C157" s="263"/>
      <c r="D157" s="518">
        <f>D120-(D137+D143)</f>
        <v>0</v>
      </c>
      <c r="E157" s="520">
        <f>E120-E153</f>
        <v>-148033.33333333331</v>
      </c>
      <c r="F157" s="520">
        <f t="shared" ref="F157:X157" si="23">F120-F153</f>
        <v>409924.92782601935</v>
      </c>
      <c r="G157" s="520">
        <f t="shared" si="23"/>
        <v>562052.3983825394</v>
      </c>
      <c r="H157" s="520">
        <f t="shared" si="23"/>
        <v>573073.44635019032</v>
      </c>
      <c r="I157" s="520">
        <f t="shared" si="23"/>
        <v>584314.91527719412</v>
      </c>
      <c r="J157" s="520">
        <f t="shared" si="23"/>
        <v>784375.18200976017</v>
      </c>
      <c r="K157" s="520">
        <f t="shared" si="23"/>
        <v>800040.84749587881</v>
      </c>
      <c r="L157" s="520">
        <f t="shared" si="23"/>
        <v>811482.90750135179</v>
      </c>
      <c r="M157" s="520">
        <f t="shared" si="23"/>
        <v>823153.8087069348</v>
      </c>
      <c r="N157" s="520">
        <f t="shared" si="23"/>
        <v>835058.12793662958</v>
      </c>
      <c r="O157" s="520">
        <f t="shared" si="23"/>
        <v>897631.99256647052</v>
      </c>
      <c r="P157" s="520">
        <f t="shared" si="23"/>
        <v>914407.74908304657</v>
      </c>
      <c r="Q157" s="520">
        <f t="shared" si="23"/>
        <v>927040.70788415195</v>
      </c>
      <c r="R157" s="520">
        <f t="shared" si="23"/>
        <v>939926.32586127939</v>
      </c>
      <c r="S157" s="520">
        <f t="shared" si="23"/>
        <v>953069.65619794955</v>
      </c>
      <c r="T157" s="520">
        <f t="shared" si="23"/>
        <v>1017070.7491160706</v>
      </c>
      <c r="U157" s="520">
        <f t="shared" si="23"/>
        <v>1035072.13582918</v>
      </c>
      <c r="V157" s="520">
        <f t="shared" si="23"/>
        <v>1049019.9431290971</v>
      </c>
      <c r="W157" s="520">
        <f t="shared" si="23"/>
        <v>1063246.7065750118</v>
      </c>
      <c r="X157" s="520">
        <f t="shared" si="23"/>
        <v>1077758.0052898456</v>
      </c>
    </row>
    <row r="158" spans="1:24">
      <c r="A158" s="30"/>
      <c r="B158" s="92"/>
      <c r="C158" s="69"/>
      <c r="D158" s="514"/>
      <c r="E158" s="515"/>
      <c r="F158" s="515"/>
      <c r="G158" s="515"/>
      <c r="H158" s="515"/>
      <c r="I158" s="515"/>
      <c r="J158" s="515"/>
      <c r="K158" s="515"/>
      <c r="L158" s="515"/>
      <c r="M158" s="515"/>
      <c r="N158" s="515"/>
      <c r="O158" s="515"/>
      <c r="P158" s="515"/>
      <c r="Q158" s="515"/>
      <c r="R158" s="515"/>
      <c r="S158" s="515"/>
      <c r="T158" s="515"/>
      <c r="U158" s="515"/>
      <c r="V158" s="515"/>
      <c r="W158" s="515"/>
      <c r="X158" s="515"/>
    </row>
    <row r="159" spans="1:24" s="594" customFormat="1">
      <c r="A159" s="589" t="s">
        <v>125</v>
      </c>
      <c r="B159" s="590"/>
      <c r="C159" s="591"/>
      <c r="D159" s="592">
        <v>0</v>
      </c>
      <c r="E159" s="593">
        <v>0</v>
      </c>
      <c r="F159" s="593">
        <v>0</v>
      </c>
      <c r="G159" s="593">
        <v>0</v>
      </c>
      <c r="H159" s="593">
        <v>0</v>
      </c>
      <c r="I159" s="593">
        <v>0</v>
      </c>
      <c r="J159" s="593">
        <v>0</v>
      </c>
      <c r="K159" s="593">
        <v>0</v>
      </c>
      <c r="L159" s="593">
        <v>0</v>
      </c>
      <c r="M159" s="593">
        <v>0</v>
      </c>
      <c r="N159" s="593">
        <v>0</v>
      </c>
      <c r="O159" s="593">
        <v>0</v>
      </c>
      <c r="P159" s="593">
        <v>0</v>
      </c>
      <c r="Q159" s="593">
        <v>0</v>
      </c>
      <c r="R159" s="593">
        <v>0</v>
      </c>
      <c r="S159" s="593">
        <v>0</v>
      </c>
      <c r="T159" s="593">
        <v>0</v>
      </c>
      <c r="U159" s="593">
        <v>0</v>
      </c>
      <c r="V159" s="593">
        <v>0</v>
      </c>
      <c r="W159" s="593">
        <v>0</v>
      </c>
      <c r="X159" s="593">
        <v>0</v>
      </c>
    </row>
    <row r="160" spans="1:24">
      <c r="A160" s="92"/>
      <c r="B160" s="92"/>
      <c r="C160" s="69"/>
      <c r="D160" s="514"/>
      <c r="E160" s="515"/>
      <c r="F160" s="515"/>
      <c r="G160" s="515"/>
      <c r="H160" s="515"/>
      <c r="I160" s="515"/>
      <c r="J160" s="515"/>
      <c r="K160" s="515"/>
      <c r="L160" s="515"/>
      <c r="M160" s="515"/>
      <c r="N160" s="515"/>
      <c r="O160" s="515"/>
      <c r="P160" s="515"/>
      <c r="Q160" s="515"/>
      <c r="R160" s="515"/>
      <c r="S160" s="515"/>
      <c r="T160" s="515"/>
      <c r="U160" s="515"/>
      <c r="V160" s="515"/>
      <c r="W160" s="515"/>
      <c r="X160" s="515"/>
    </row>
    <row r="161" spans="1:24" s="16" customFormat="1" ht="14.25">
      <c r="A161" s="278" t="s">
        <v>117</v>
      </c>
      <c r="B161" s="278"/>
      <c r="C161" s="263"/>
      <c r="D161" s="518">
        <v>0</v>
      </c>
      <c r="E161" s="520">
        <f>E157-E159</f>
        <v>-148033.33333333331</v>
      </c>
      <c r="F161" s="520">
        <f t="shared" ref="F161:X161" si="24">F157-F159</f>
        <v>409924.92782601935</v>
      </c>
      <c r="G161" s="520">
        <f t="shared" si="24"/>
        <v>562052.3983825394</v>
      </c>
      <c r="H161" s="520">
        <f t="shared" si="24"/>
        <v>573073.44635019032</v>
      </c>
      <c r="I161" s="520">
        <f t="shared" si="24"/>
        <v>584314.91527719412</v>
      </c>
      <c r="J161" s="520">
        <f t="shared" si="24"/>
        <v>784375.18200976017</v>
      </c>
      <c r="K161" s="520">
        <f t="shared" si="24"/>
        <v>800040.84749587881</v>
      </c>
      <c r="L161" s="520">
        <f t="shared" si="24"/>
        <v>811482.90750135179</v>
      </c>
      <c r="M161" s="520">
        <f t="shared" si="24"/>
        <v>823153.8087069348</v>
      </c>
      <c r="N161" s="520">
        <f t="shared" si="24"/>
        <v>835058.12793662958</v>
      </c>
      <c r="O161" s="520">
        <f t="shared" si="24"/>
        <v>897631.99256647052</v>
      </c>
      <c r="P161" s="520">
        <f t="shared" si="24"/>
        <v>914407.74908304657</v>
      </c>
      <c r="Q161" s="520">
        <f t="shared" si="24"/>
        <v>927040.70788415195</v>
      </c>
      <c r="R161" s="520">
        <f t="shared" si="24"/>
        <v>939926.32586127939</v>
      </c>
      <c r="S161" s="520">
        <f t="shared" si="24"/>
        <v>953069.65619794955</v>
      </c>
      <c r="T161" s="520">
        <f t="shared" si="24"/>
        <v>1017070.7491160706</v>
      </c>
      <c r="U161" s="520">
        <f t="shared" si="24"/>
        <v>1035072.13582918</v>
      </c>
      <c r="V161" s="520">
        <f t="shared" si="24"/>
        <v>1049019.9431290971</v>
      </c>
      <c r="W161" s="520">
        <f t="shared" si="24"/>
        <v>1063246.7065750118</v>
      </c>
      <c r="X161" s="520">
        <f t="shared" si="24"/>
        <v>1077758.0052898456</v>
      </c>
    </row>
    <row r="162" spans="1:24">
      <c r="A162" s="92"/>
      <c r="B162" s="92"/>
      <c r="C162" s="69"/>
      <c r="D162" s="514"/>
      <c r="E162" s="515"/>
      <c r="F162" s="515"/>
      <c r="G162" s="515"/>
      <c r="H162" s="515"/>
      <c r="I162" s="515"/>
      <c r="J162" s="515"/>
      <c r="K162" s="515"/>
      <c r="L162" s="515"/>
      <c r="M162" s="515"/>
      <c r="N162" s="515"/>
      <c r="O162" s="515"/>
      <c r="P162" s="515"/>
      <c r="Q162" s="515"/>
      <c r="R162" s="515"/>
      <c r="S162" s="515"/>
      <c r="T162" s="515"/>
      <c r="U162" s="515"/>
      <c r="V162" s="515"/>
      <c r="W162" s="515"/>
      <c r="X162" s="515"/>
    </row>
    <row r="163" spans="1:24">
      <c r="A163" s="271" t="s">
        <v>126</v>
      </c>
      <c r="B163" s="272"/>
      <c r="C163" s="273"/>
      <c r="D163" s="523"/>
      <c r="E163" s="523"/>
      <c r="F163" s="523"/>
      <c r="G163" s="523"/>
      <c r="H163" s="523"/>
      <c r="I163" s="523"/>
      <c r="J163" s="523"/>
      <c r="K163" s="523"/>
      <c r="L163" s="523"/>
      <c r="M163" s="523"/>
      <c r="N163" s="523"/>
      <c r="O163" s="523"/>
      <c r="P163" s="523"/>
      <c r="Q163" s="523"/>
      <c r="R163" s="523"/>
      <c r="S163" s="523"/>
      <c r="T163" s="523"/>
      <c r="U163" s="523"/>
      <c r="V163" s="523"/>
      <c r="W163" s="523"/>
      <c r="X163" s="523"/>
    </row>
    <row r="164" spans="1:24" s="32" customFormat="1">
      <c r="A164" s="280"/>
      <c r="B164" s="91"/>
      <c r="C164" s="69"/>
      <c r="D164" s="514"/>
      <c r="E164" s="515"/>
      <c r="F164" s="515"/>
      <c r="G164" s="515"/>
      <c r="H164" s="515"/>
      <c r="I164" s="515"/>
      <c r="J164" s="515"/>
      <c r="K164" s="515"/>
      <c r="L164" s="515"/>
      <c r="M164" s="515"/>
      <c r="N164" s="515"/>
      <c r="O164" s="515"/>
      <c r="P164" s="515"/>
      <c r="Q164" s="515"/>
      <c r="R164" s="515"/>
      <c r="S164" s="515"/>
      <c r="T164" s="515"/>
      <c r="U164" s="515"/>
      <c r="V164" s="515"/>
      <c r="W164" s="515"/>
      <c r="X164" s="515"/>
    </row>
    <row r="165" spans="1:24" s="96" customFormat="1">
      <c r="A165" s="885" t="s">
        <v>136</v>
      </c>
      <c r="B165" s="719"/>
      <c r="C165" s="69"/>
      <c r="D165" s="514">
        <v>0</v>
      </c>
      <c r="E165" s="515">
        <f>'OPEX - Concept C2 - NCLH'!L170</f>
        <v>0</v>
      </c>
      <c r="F165" s="515">
        <f>'OPEX - Concept C2 - NCLH'!M170</f>
        <v>96205</v>
      </c>
      <c r="G165" s="515">
        <f>'OPEX - Concept C2 - NCLH'!N170</f>
        <v>98129.1</v>
      </c>
      <c r="H165" s="515">
        <f>'OPEX - Concept C2 - NCLH'!O170</f>
        <v>100091.682</v>
      </c>
      <c r="I165" s="515">
        <f>'OPEX - Concept C2 - NCLH'!P170</f>
        <v>102093.51564</v>
      </c>
      <c r="J165" s="515">
        <f>'OPEX - Concept C2 - NCLH'!Q170</f>
        <v>104135.3859528</v>
      </c>
      <c r="K165" s="515">
        <f>'OPEX - Concept C2 - NCLH'!R170</f>
        <v>106218.093671856</v>
      </c>
      <c r="L165" s="515">
        <f>'OPEX - Concept C2 - NCLH'!S170</f>
        <v>108342.45554529312</v>
      </c>
      <c r="M165" s="515">
        <f>'OPEX - Concept C2 - NCLH'!T170</f>
        <v>110509.30465619899</v>
      </c>
      <c r="N165" s="515">
        <f>'OPEX - Concept C2 - NCLH'!U170</f>
        <v>112719.49074932297</v>
      </c>
      <c r="O165" s="515">
        <f>'OPEX - Concept C2 - NCLH'!V170</f>
        <v>114973.88056430944</v>
      </c>
      <c r="P165" s="515">
        <f>'OPEX - Concept C2 - NCLH'!W170</f>
        <v>117273.35817559563</v>
      </c>
      <c r="Q165" s="515">
        <f>'OPEX - Concept C2 - NCLH'!X170</f>
        <v>119618.82533910754</v>
      </c>
      <c r="R165" s="515">
        <f>'OPEX - Concept C2 - NCLH'!Y170</f>
        <v>122011.20184588969</v>
      </c>
      <c r="S165" s="515">
        <f>'OPEX - Concept C2 - NCLH'!Z170</f>
        <v>124451.42588280747</v>
      </c>
      <c r="T165" s="515">
        <f>'OPEX - Concept C2 - NCLH'!AA170</f>
        <v>126940.45440046364</v>
      </c>
      <c r="U165" s="515">
        <f>'OPEX - Concept C2 - NCLH'!AB170</f>
        <v>129479.26348847292</v>
      </c>
      <c r="V165" s="515">
        <f>'OPEX - Concept C2 - NCLH'!AC170</f>
        <v>132068.84875824238</v>
      </c>
      <c r="W165" s="515">
        <f>'OPEX - Concept C2 - NCLH'!AD170</f>
        <v>134710.22573340722</v>
      </c>
      <c r="X165" s="515">
        <f>'OPEX - Concept C2 - NCLH'!AE170</f>
        <v>137404.43024807537</v>
      </c>
    </row>
    <row r="166" spans="1:24" s="96" customFormat="1">
      <c r="A166" s="885" t="s">
        <v>458</v>
      </c>
      <c r="B166" s="719"/>
      <c r="C166" s="69"/>
      <c r="D166" s="514">
        <v>0</v>
      </c>
      <c r="E166" s="515">
        <f>'OPEX - Concept C2 - NCLH'!L172</f>
        <v>676285.92</v>
      </c>
      <c r="F166" s="515">
        <f>'OPEX - Concept C2 - NCLH'!M172</f>
        <v>676285.92</v>
      </c>
      <c r="G166" s="515">
        <f>'OPEX - Concept C2 - NCLH'!N172</f>
        <v>676285.92</v>
      </c>
      <c r="H166" s="515">
        <f>'OPEX - Concept C2 - NCLH'!O172</f>
        <v>676285.92</v>
      </c>
      <c r="I166" s="515">
        <f>'OPEX - Concept C2 - NCLH'!P172</f>
        <v>676285.92</v>
      </c>
      <c r="J166" s="515">
        <f>'OPEX - Concept C2 - NCLH'!Q172</f>
        <v>676285.92</v>
      </c>
      <c r="K166" s="515">
        <f>'OPEX - Concept C2 - NCLH'!R172</f>
        <v>676285.92</v>
      </c>
      <c r="L166" s="515">
        <f>'OPEX - Concept C2 - NCLH'!S172</f>
        <v>676285.92</v>
      </c>
      <c r="M166" s="515">
        <f>'OPEX - Concept C2 - NCLH'!T172</f>
        <v>676285.92</v>
      </c>
      <c r="N166" s="515">
        <f>'OPEX - Concept C2 - NCLH'!U172</f>
        <v>676285.92</v>
      </c>
      <c r="O166" s="515">
        <f>'OPEX - Concept C2 - NCLH'!V172</f>
        <v>676285.92</v>
      </c>
      <c r="P166" s="515">
        <f>'OPEX - Concept C2 - NCLH'!W172</f>
        <v>676285.92</v>
      </c>
      <c r="Q166" s="515">
        <f>'OPEX - Concept C2 - NCLH'!X172</f>
        <v>676285.92</v>
      </c>
      <c r="R166" s="515">
        <f>'OPEX - Concept C2 - NCLH'!Y172</f>
        <v>676285.92</v>
      </c>
      <c r="S166" s="515">
        <f>'OPEX - Concept C2 - NCLH'!Z172</f>
        <v>676285.92</v>
      </c>
      <c r="T166" s="515">
        <f>'OPEX - Concept C2 - NCLH'!AA172</f>
        <v>676285.92</v>
      </c>
      <c r="U166" s="515">
        <f>'OPEX - Concept C2 - NCLH'!AB172</f>
        <v>676285.92</v>
      </c>
      <c r="V166" s="515">
        <f>'OPEX - Concept C2 - NCLH'!AC172</f>
        <v>676285.92</v>
      </c>
      <c r="W166" s="515">
        <f>'OPEX - Concept C2 - NCLH'!AD172</f>
        <v>676285.92</v>
      </c>
      <c r="X166" s="515">
        <f>'OPEX - Concept C2 - NCLH'!AE172</f>
        <v>676285.92</v>
      </c>
    </row>
    <row r="167" spans="1:24" s="341" customFormat="1">
      <c r="A167" s="696" t="s">
        <v>315</v>
      </c>
      <c r="B167" s="697"/>
      <c r="C167" s="698"/>
      <c r="D167" s="699">
        <v>0</v>
      </c>
      <c r="E167" s="700">
        <v>0</v>
      </c>
      <c r="F167" s="700">
        <v>0</v>
      </c>
      <c r="G167" s="700">
        <v>0</v>
      </c>
      <c r="H167" s="700">
        <v>0</v>
      </c>
      <c r="I167" s="700">
        <v>0</v>
      </c>
      <c r="J167" s="700">
        <v>0</v>
      </c>
      <c r="K167" s="700">
        <v>0</v>
      </c>
      <c r="L167" s="700">
        <v>0</v>
      </c>
      <c r="M167" s="700">
        <v>0</v>
      </c>
      <c r="N167" s="700">
        <v>0</v>
      </c>
      <c r="O167" s="700">
        <v>0</v>
      </c>
      <c r="P167" s="700">
        <v>0</v>
      </c>
      <c r="Q167" s="700">
        <v>0</v>
      </c>
      <c r="R167" s="700">
        <v>0</v>
      </c>
      <c r="S167" s="700">
        <v>0</v>
      </c>
      <c r="T167" s="700">
        <v>0</v>
      </c>
      <c r="U167" s="700">
        <v>0</v>
      </c>
      <c r="V167" s="700">
        <v>0</v>
      </c>
      <c r="W167" s="700">
        <v>0</v>
      </c>
      <c r="X167" s="700">
        <v>0</v>
      </c>
    </row>
    <row r="168" spans="1:24" s="32" customFormat="1">
      <c r="A168" s="93" t="s">
        <v>316</v>
      </c>
      <c r="B168" s="298"/>
      <c r="C168" s="298"/>
      <c r="D168" s="505">
        <v>0</v>
      </c>
      <c r="E168" s="506">
        <v>246000</v>
      </c>
      <c r="F168" s="506">
        <v>246000</v>
      </c>
      <c r="G168" s="506">
        <v>246000</v>
      </c>
      <c r="H168" s="506">
        <v>246000</v>
      </c>
      <c r="I168" s="506">
        <v>246000</v>
      </c>
      <c r="J168" s="506">
        <v>246000</v>
      </c>
      <c r="K168" s="506">
        <v>246000</v>
      </c>
      <c r="L168" s="506">
        <v>246000</v>
      </c>
      <c r="M168" s="506">
        <v>246000</v>
      </c>
      <c r="N168" s="506">
        <v>246000</v>
      </c>
      <c r="O168" s="506">
        <v>246000</v>
      </c>
      <c r="P168" s="506">
        <v>246000</v>
      </c>
      <c r="Q168" s="506">
        <v>246000</v>
      </c>
      <c r="R168" s="506">
        <v>246000</v>
      </c>
      <c r="S168" s="506">
        <v>246000</v>
      </c>
      <c r="T168" s="506">
        <v>246000</v>
      </c>
      <c r="U168" s="506">
        <v>246000</v>
      </c>
      <c r="V168" s="506">
        <v>246000</v>
      </c>
      <c r="W168" s="506">
        <v>246000</v>
      </c>
      <c r="X168" s="506">
        <v>246000</v>
      </c>
    </row>
    <row r="169" spans="1:24" s="222" customFormat="1" ht="14.25">
      <c r="A169" s="263" t="s">
        <v>134</v>
      </c>
      <c r="B169" s="264"/>
      <c r="C169" s="264"/>
      <c r="D169" s="524">
        <f>SUM(D165:D168)</f>
        <v>0</v>
      </c>
      <c r="E169" s="525">
        <f t="shared" ref="E169:X169" si="25">SUM(E165:E168)</f>
        <v>922285.92</v>
      </c>
      <c r="F169" s="525">
        <f t="shared" si="25"/>
        <v>1018490.92</v>
      </c>
      <c r="G169" s="525">
        <f t="shared" si="25"/>
        <v>1020415.02</v>
      </c>
      <c r="H169" s="525">
        <f t="shared" si="25"/>
        <v>1022377.6020000001</v>
      </c>
      <c r="I169" s="525">
        <f t="shared" si="25"/>
        <v>1024379.43564</v>
      </c>
      <c r="J169" s="525">
        <f t="shared" si="25"/>
        <v>1026421.3059528001</v>
      </c>
      <c r="K169" s="525">
        <f t="shared" si="25"/>
        <v>1028504.013671856</v>
      </c>
      <c r="L169" s="525">
        <f t="shared" si="25"/>
        <v>1030628.3755452932</v>
      </c>
      <c r="M169" s="525">
        <f t="shared" si="25"/>
        <v>1032795.224656199</v>
      </c>
      <c r="N169" s="525">
        <f t="shared" si="25"/>
        <v>1035005.410749323</v>
      </c>
      <c r="O169" s="525">
        <f t="shared" si="25"/>
        <v>1037259.8005643095</v>
      </c>
      <c r="P169" s="525">
        <f t="shared" si="25"/>
        <v>1039559.2781755957</v>
      </c>
      <c r="Q169" s="525">
        <f t="shared" si="25"/>
        <v>1041904.7453391076</v>
      </c>
      <c r="R169" s="525">
        <f t="shared" si="25"/>
        <v>1044297.1218458897</v>
      </c>
      <c r="S169" s="525">
        <f t="shared" si="25"/>
        <v>1046737.3458828075</v>
      </c>
      <c r="T169" s="525">
        <f t="shared" si="25"/>
        <v>1049226.3744004637</v>
      </c>
      <c r="U169" s="525">
        <f t="shared" si="25"/>
        <v>1051765.1834884728</v>
      </c>
      <c r="V169" s="525">
        <f t="shared" si="25"/>
        <v>1054354.7687582425</v>
      </c>
      <c r="W169" s="525">
        <f t="shared" si="25"/>
        <v>1056996.1457334072</v>
      </c>
      <c r="X169" s="525">
        <f t="shared" si="25"/>
        <v>1059690.3502480756</v>
      </c>
    </row>
    <row r="170" spans="1:24" s="32" customFormat="1">
      <c r="A170" s="69"/>
      <c r="B170" s="90"/>
      <c r="C170" s="90"/>
      <c r="D170" s="526"/>
      <c r="E170" s="527"/>
      <c r="F170" s="527"/>
      <c r="G170" s="527"/>
      <c r="H170" s="527"/>
      <c r="I170" s="527"/>
      <c r="J170" s="527"/>
      <c r="K170" s="527"/>
      <c r="L170" s="527"/>
      <c r="M170" s="527"/>
      <c r="N170" s="527"/>
      <c r="O170" s="527"/>
      <c r="P170" s="527"/>
      <c r="Q170" s="527"/>
      <c r="R170" s="527"/>
      <c r="S170" s="527"/>
      <c r="T170" s="527"/>
      <c r="U170" s="527"/>
      <c r="V170" s="527"/>
      <c r="W170" s="527"/>
      <c r="X170" s="527"/>
    </row>
    <row r="171" spans="1:24" s="32" customFormat="1">
      <c r="A171" s="94" t="s">
        <v>137</v>
      </c>
      <c r="C171" s="69"/>
      <c r="D171" s="514">
        <v>0</v>
      </c>
      <c r="E171" s="515">
        <f>E161-E165</f>
        <v>-148033.33333333331</v>
      </c>
      <c r="F171" s="515">
        <f t="shared" ref="F171:X171" si="26">F157-F165</f>
        <v>313719.92782601935</v>
      </c>
      <c r="G171" s="515">
        <f t="shared" si="26"/>
        <v>463923.29838253942</v>
      </c>
      <c r="H171" s="515">
        <f t="shared" si="26"/>
        <v>472981.76435019029</v>
      </c>
      <c r="I171" s="515">
        <f t="shared" si="26"/>
        <v>482221.39963719412</v>
      </c>
      <c r="J171" s="515">
        <f t="shared" si="26"/>
        <v>680239.79605696013</v>
      </c>
      <c r="K171" s="515">
        <f t="shared" si="26"/>
        <v>693822.75382402283</v>
      </c>
      <c r="L171" s="515">
        <f t="shared" si="26"/>
        <v>703140.45195605862</v>
      </c>
      <c r="M171" s="515">
        <f t="shared" si="26"/>
        <v>712644.50405073585</v>
      </c>
      <c r="N171" s="515">
        <f t="shared" si="26"/>
        <v>722338.63718730665</v>
      </c>
      <c r="O171" s="515">
        <f t="shared" si="26"/>
        <v>782658.1120021611</v>
      </c>
      <c r="P171" s="515">
        <f t="shared" si="26"/>
        <v>797134.39090745093</v>
      </c>
      <c r="Q171" s="515">
        <f t="shared" si="26"/>
        <v>807421.88254504441</v>
      </c>
      <c r="R171" s="515">
        <f t="shared" si="26"/>
        <v>817915.12401538971</v>
      </c>
      <c r="S171" s="515">
        <f t="shared" si="26"/>
        <v>828618.23031514208</v>
      </c>
      <c r="T171" s="515">
        <f t="shared" si="26"/>
        <v>890130.29471560696</v>
      </c>
      <c r="U171" s="515">
        <f t="shared" si="26"/>
        <v>905592.87234070711</v>
      </c>
      <c r="V171" s="515">
        <f t="shared" si="26"/>
        <v>916951.09437085479</v>
      </c>
      <c r="W171" s="515">
        <f t="shared" si="26"/>
        <v>928536.48084160464</v>
      </c>
      <c r="X171" s="515">
        <f t="shared" si="26"/>
        <v>940353.57504177024</v>
      </c>
    </row>
    <row r="172" spans="1:24" ht="16.5" customHeight="1">
      <c r="A172" s="88" t="s">
        <v>128</v>
      </c>
      <c r="B172" s="98"/>
      <c r="C172" s="98"/>
      <c r="D172" s="528">
        <v>0</v>
      </c>
      <c r="E172" s="529">
        <f>E161-E169</f>
        <v>-1070319.2533333334</v>
      </c>
      <c r="F172" s="529">
        <f t="shared" ref="F172:X172" si="27">F161-F169</f>
        <v>-608565.99217398069</v>
      </c>
      <c r="G172" s="529">
        <f t="shared" si="27"/>
        <v>-458362.62161746062</v>
      </c>
      <c r="H172" s="529">
        <f t="shared" si="27"/>
        <v>-449304.15564980975</v>
      </c>
      <c r="I172" s="529">
        <f t="shared" si="27"/>
        <v>-440064.52036280592</v>
      </c>
      <c r="J172" s="529">
        <f t="shared" si="27"/>
        <v>-242046.12394303991</v>
      </c>
      <c r="K172" s="529">
        <f t="shared" si="27"/>
        <v>-228463.16617597721</v>
      </c>
      <c r="L172" s="529">
        <f t="shared" si="27"/>
        <v>-219145.46804394142</v>
      </c>
      <c r="M172" s="529">
        <f t="shared" si="27"/>
        <v>-209641.41594926419</v>
      </c>
      <c r="N172" s="529">
        <f t="shared" si="27"/>
        <v>-199947.28281269339</v>
      </c>
      <c r="O172" s="529">
        <f t="shared" si="27"/>
        <v>-139627.80799783894</v>
      </c>
      <c r="P172" s="529">
        <f t="shared" si="27"/>
        <v>-125151.52909254911</v>
      </c>
      <c r="Q172" s="529">
        <f t="shared" si="27"/>
        <v>-114864.03745495563</v>
      </c>
      <c r="R172" s="529">
        <f t="shared" si="27"/>
        <v>-104370.79598461033</v>
      </c>
      <c r="S172" s="529">
        <f t="shared" si="27"/>
        <v>-93667.689684857964</v>
      </c>
      <c r="T172" s="529">
        <f t="shared" si="27"/>
        <v>-32155.625284393085</v>
      </c>
      <c r="U172" s="529">
        <f t="shared" si="27"/>
        <v>-16693.047659292817</v>
      </c>
      <c r="V172" s="529">
        <f t="shared" si="27"/>
        <v>-5334.8256291453727</v>
      </c>
      <c r="W172" s="529">
        <f t="shared" si="27"/>
        <v>6250.5608416046016</v>
      </c>
      <c r="X172" s="529">
        <f t="shared" si="27"/>
        <v>18067.655041770078</v>
      </c>
    </row>
    <row r="173" spans="1:24" ht="16.5" customHeight="1">
      <c r="A173" s="88"/>
      <c r="B173" s="88"/>
      <c r="C173" s="88"/>
      <c r="D173" s="526"/>
      <c r="E173" s="527"/>
      <c r="F173" s="527"/>
      <c r="G173" s="527"/>
      <c r="H173" s="527"/>
      <c r="I173" s="527"/>
      <c r="J173" s="527"/>
      <c r="K173" s="527"/>
      <c r="L173" s="527"/>
      <c r="M173" s="527"/>
      <c r="N173" s="527"/>
      <c r="O173" s="527"/>
      <c r="P173" s="527"/>
      <c r="Q173" s="527"/>
      <c r="R173" s="527"/>
      <c r="S173" s="527"/>
      <c r="T173" s="527"/>
      <c r="U173" s="527"/>
      <c r="V173" s="527"/>
      <c r="W173" s="527"/>
      <c r="X173" s="527"/>
    </row>
    <row r="174" spans="1:24" ht="16.5" customHeight="1">
      <c r="A174" s="88" t="s">
        <v>129</v>
      </c>
      <c r="B174" s="632">
        <f>NPV(Cost_of_Money__DPC,E161:X161)</f>
        <v>15909687.19968527</v>
      </c>
      <c r="C174" s="88"/>
      <c r="D174" s="526"/>
      <c r="E174" s="527"/>
      <c r="F174" s="527"/>
      <c r="G174" s="527"/>
      <c r="H174" s="527"/>
      <c r="I174" s="527"/>
      <c r="J174" s="527"/>
      <c r="K174" s="527"/>
      <c r="L174" s="527"/>
      <c r="M174" s="527"/>
      <c r="N174" s="527"/>
      <c r="O174" s="527"/>
      <c r="P174" s="527"/>
      <c r="Q174" s="527"/>
      <c r="R174" s="527"/>
      <c r="S174" s="527"/>
      <c r="T174" s="527"/>
      <c r="U174" s="527"/>
      <c r="V174" s="527"/>
      <c r="W174" s="527"/>
      <c r="X174" s="527"/>
    </row>
    <row r="175" spans="1:24" ht="16.5" customHeight="1">
      <c r="A175" s="300" t="s">
        <v>130</v>
      </c>
      <c r="B175" s="733">
        <f>SUM(E172:X172)</f>
        <v>-4733407.1429665731</v>
      </c>
      <c r="C175" s="301"/>
      <c r="D175" s="530">
        <v>0</v>
      </c>
      <c r="E175" s="530">
        <f>E161-E169</f>
        <v>-1070319.2533333334</v>
      </c>
      <c r="F175" s="530">
        <f t="shared" ref="F175:X175" si="28">F161-F169</f>
        <v>-608565.99217398069</v>
      </c>
      <c r="G175" s="530">
        <f t="shared" si="28"/>
        <v>-458362.62161746062</v>
      </c>
      <c r="H175" s="530">
        <f t="shared" si="28"/>
        <v>-449304.15564980975</v>
      </c>
      <c r="I175" s="530">
        <f t="shared" si="28"/>
        <v>-440064.52036280592</v>
      </c>
      <c r="J175" s="530">
        <f t="shared" si="28"/>
        <v>-242046.12394303991</v>
      </c>
      <c r="K175" s="530">
        <f t="shared" si="28"/>
        <v>-228463.16617597721</v>
      </c>
      <c r="L175" s="530">
        <f t="shared" si="28"/>
        <v>-219145.46804394142</v>
      </c>
      <c r="M175" s="530">
        <f t="shared" si="28"/>
        <v>-209641.41594926419</v>
      </c>
      <c r="N175" s="530">
        <f t="shared" si="28"/>
        <v>-199947.28281269339</v>
      </c>
      <c r="O175" s="530">
        <f t="shared" si="28"/>
        <v>-139627.80799783894</v>
      </c>
      <c r="P175" s="530">
        <f t="shared" si="28"/>
        <v>-125151.52909254911</v>
      </c>
      <c r="Q175" s="530">
        <f t="shared" si="28"/>
        <v>-114864.03745495563</v>
      </c>
      <c r="R175" s="530">
        <f t="shared" si="28"/>
        <v>-104370.79598461033</v>
      </c>
      <c r="S175" s="530">
        <f t="shared" si="28"/>
        <v>-93667.689684857964</v>
      </c>
      <c r="T175" s="530">
        <f t="shared" si="28"/>
        <v>-32155.625284393085</v>
      </c>
      <c r="U175" s="530">
        <f t="shared" si="28"/>
        <v>-16693.047659292817</v>
      </c>
      <c r="V175" s="530">
        <f t="shared" si="28"/>
        <v>-5334.8256291453727</v>
      </c>
      <c r="W175" s="530">
        <f t="shared" si="28"/>
        <v>6250.5608416046016</v>
      </c>
      <c r="X175" s="530">
        <f t="shared" si="28"/>
        <v>18067.655041770078</v>
      </c>
    </row>
    <row r="176" spans="1:24" s="58" customFormat="1" ht="16.5" customHeight="1">
      <c r="A176" s="90" t="s">
        <v>32</v>
      </c>
      <c r="B176" s="358" t="e">
        <f>IRR(E175:X175)</f>
        <v>#NUM!</v>
      </c>
      <c r="C176" s="356"/>
      <c r="D176" s="502"/>
      <c r="E176" s="504"/>
      <c r="F176" s="504"/>
      <c r="G176" s="504"/>
      <c r="H176" s="504"/>
      <c r="I176" s="504"/>
      <c r="J176" s="504"/>
      <c r="K176" s="504"/>
      <c r="L176" s="504"/>
      <c r="M176" s="504"/>
      <c r="N176" s="504"/>
      <c r="O176" s="504"/>
      <c r="P176" s="504"/>
      <c r="Q176" s="504"/>
      <c r="R176" s="504"/>
      <c r="S176" s="504"/>
      <c r="T176" s="504"/>
      <c r="U176" s="504"/>
      <c r="V176" s="504"/>
      <c r="W176" s="504"/>
      <c r="X176" s="504"/>
    </row>
    <row r="177" spans="1:24">
      <c r="A177" s="30"/>
      <c r="B177" s="30"/>
      <c r="C177" s="30"/>
      <c r="D177" s="502"/>
      <c r="E177" s="512"/>
      <c r="F177" s="512"/>
      <c r="G177" s="512"/>
      <c r="H177" s="512"/>
      <c r="I177" s="512"/>
      <c r="J177" s="512"/>
      <c r="K177" s="512"/>
      <c r="L177" s="512"/>
      <c r="M177" s="512"/>
      <c r="N177" s="512"/>
      <c r="O177" s="512"/>
      <c r="P177" s="512"/>
      <c r="Q177" s="512"/>
      <c r="R177" s="512"/>
      <c r="S177" s="512"/>
      <c r="T177" s="512"/>
      <c r="U177" s="512"/>
      <c r="V177" s="512"/>
      <c r="W177" s="512"/>
      <c r="X177" s="512"/>
    </row>
    <row r="178" spans="1:24">
      <c r="A178" s="274" t="s">
        <v>28</v>
      </c>
      <c r="B178" s="275"/>
      <c r="C178" s="275"/>
      <c r="D178" s="531"/>
      <c r="E178" s="531"/>
      <c r="F178" s="531"/>
      <c r="G178" s="531"/>
      <c r="H178" s="531"/>
      <c r="I178" s="531"/>
      <c r="J178" s="531"/>
      <c r="K178" s="531"/>
      <c r="L178" s="531"/>
      <c r="M178" s="531"/>
      <c r="N178" s="531"/>
      <c r="O178" s="531"/>
      <c r="P178" s="531"/>
      <c r="Q178" s="531"/>
      <c r="R178" s="531"/>
      <c r="S178" s="531"/>
      <c r="T178" s="531"/>
      <c r="U178" s="531"/>
      <c r="V178" s="531"/>
      <c r="W178" s="531"/>
      <c r="X178" s="531"/>
    </row>
    <row r="179" spans="1:24">
      <c r="A179" s="30"/>
      <c r="B179" s="30"/>
      <c r="C179" s="30"/>
      <c r="D179" s="502"/>
      <c r="E179" s="512"/>
      <c r="F179" s="512"/>
      <c r="G179" s="512"/>
      <c r="H179" s="512"/>
      <c r="I179" s="512"/>
      <c r="J179" s="512"/>
      <c r="K179" s="512"/>
      <c r="L179" s="512"/>
      <c r="M179" s="512"/>
      <c r="N179" s="512"/>
      <c r="O179" s="512"/>
      <c r="P179" s="512"/>
      <c r="Q179" s="512"/>
      <c r="R179" s="512"/>
      <c r="S179" s="512"/>
      <c r="T179" s="512"/>
      <c r="U179" s="512"/>
      <c r="V179" s="512"/>
      <c r="W179" s="512"/>
      <c r="X179" s="512"/>
    </row>
    <row r="180" spans="1:24">
      <c r="A180" s="30" t="s">
        <v>300</v>
      </c>
      <c r="B180" s="30"/>
      <c r="C180" s="87"/>
      <c r="D180" s="502">
        <v>0</v>
      </c>
      <c r="E180" s="512"/>
      <c r="F180" s="512"/>
      <c r="G180" s="512"/>
      <c r="H180" s="512"/>
      <c r="I180" s="512"/>
      <c r="J180" s="512"/>
      <c r="K180" s="512"/>
      <c r="L180" s="512"/>
      <c r="M180" s="512"/>
      <c r="N180" s="512"/>
      <c r="O180" s="512"/>
      <c r="P180" s="512"/>
      <c r="Q180" s="512"/>
      <c r="R180" s="512"/>
      <c r="S180" s="512"/>
      <c r="T180" s="512"/>
      <c r="U180" s="512"/>
      <c r="V180" s="512"/>
      <c r="W180" s="512"/>
      <c r="X180" s="512"/>
    </row>
    <row r="181" spans="1:24">
      <c r="A181" s="30" t="s">
        <v>301</v>
      </c>
      <c r="B181" s="30"/>
      <c r="C181" s="30"/>
      <c r="D181" s="502">
        <v>0</v>
      </c>
      <c r="E181" s="512"/>
      <c r="F181" s="512"/>
      <c r="G181" s="512"/>
      <c r="H181" s="512"/>
      <c r="I181" s="512"/>
      <c r="J181" s="512"/>
      <c r="K181" s="512"/>
      <c r="L181" s="512"/>
      <c r="M181" s="512"/>
      <c r="N181" s="512"/>
      <c r="O181" s="512"/>
      <c r="P181" s="512"/>
      <c r="Q181" s="512"/>
      <c r="R181" s="512"/>
      <c r="S181" s="512"/>
      <c r="T181" s="512"/>
      <c r="U181" s="512"/>
      <c r="V181" s="512"/>
      <c r="W181" s="512"/>
      <c r="X181" s="512"/>
    </row>
    <row r="182" spans="1:24">
      <c r="A182" s="30"/>
      <c r="B182" s="30"/>
      <c r="C182" s="30"/>
      <c r="D182" s="502"/>
      <c r="E182" s="512"/>
      <c r="F182" s="512"/>
      <c r="G182" s="512"/>
      <c r="H182" s="512"/>
      <c r="I182" s="512"/>
      <c r="J182" s="512"/>
      <c r="K182" s="512"/>
      <c r="L182" s="512"/>
      <c r="M182" s="512"/>
      <c r="N182" s="512"/>
      <c r="O182" s="512"/>
      <c r="P182" s="512"/>
      <c r="Q182" s="512"/>
      <c r="R182" s="512"/>
      <c r="S182" s="512"/>
      <c r="T182" s="512"/>
      <c r="U182" s="512"/>
      <c r="V182" s="512"/>
      <c r="W182" s="512"/>
      <c r="X182" s="512"/>
    </row>
    <row r="183" spans="1:24">
      <c r="A183" s="30" t="s">
        <v>298</v>
      </c>
      <c r="B183" s="30"/>
      <c r="C183" s="30"/>
      <c r="D183" s="502">
        <v>0</v>
      </c>
      <c r="E183" s="512"/>
      <c r="F183" s="512"/>
      <c r="G183" s="512"/>
      <c r="H183" s="512"/>
      <c r="I183" s="512"/>
      <c r="J183" s="512"/>
      <c r="K183" s="512"/>
      <c r="L183" s="512"/>
      <c r="M183" s="512"/>
      <c r="N183" s="512"/>
      <c r="O183" s="512"/>
      <c r="P183" s="512"/>
      <c r="Q183" s="512"/>
      <c r="R183" s="512"/>
      <c r="S183" s="512"/>
      <c r="T183" s="512"/>
      <c r="U183" s="512"/>
      <c r="V183" s="512"/>
      <c r="W183" s="512"/>
      <c r="X183" s="512"/>
    </row>
    <row r="184" spans="1:24">
      <c r="A184" s="30" t="s">
        <v>299</v>
      </c>
      <c r="B184" s="30"/>
      <c r="C184" s="30"/>
      <c r="D184" s="502">
        <v>0</v>
      </c>
      <c r="E184" s="512"/>
      <c r="F184" s="512"/>
      <c r="G184" s="512"/>
      <c r="H184" s="512"/>
      <c r="I184" s="512"/>
      <c r="J184" s="512"/>
      <c r="K184" s="512"/>
      <c r="L184" s="512"/>
      <c r="M184" s="512"/>
      <c r="N184" s="512"/>
      <c r="O184" s="512"/>
      <c r="P184" s="512"/>
      <c r="Q184" s="512"/>
      <c r="R184" s="512"/>
      <c r="S184" s="512"/>
      <c r="T184" s="512"/>
      <c r="U184" s="512"/>
      <c r="V184" s="512"/>
      <c r="W184" s="512"/>
      <c r="X184" s="512"/>
    </row>
    <row r="185" spans="1:24">
      <c r="D185" s="502"/>
      <c r="E185" s="532"/>
      <c r="F185" s="532"/>
      <c r="G185" s="532"/>
      <c r="H185" s="532"/>
      <c r="I185" s="532"/>
      <c r="J185" s="532"/>
      <c r="K185" s="532"/>
      <c r="L185" s="532"/>
      <c r="M185" s="532"/>
      <c r="N185" s="532"/>
      <c r="O185" s="532"/>
      <c r="P185" s="532"/>
      <c r="Q185" s="532"/>
      <c r="R185" s="532"/>
      <c r="S185" s="532"/>
      <c r="T185" s="532"/>
      <c r="U185" s="532"/>
      <c r="V185" s="532"/>
      <c r="W185" s="532"/>
      <c r="X185" s="532"/>
    </row>
    <row r="186" spans="1:24">
      <c r="A186" s="131"/>
      <c r="B186" s="131"/>
      <c r="C186" s="131"/>
      <c r="D186" s="493"/>
      <c r="E186" s="334"/>
      <c r="F186" s="334"/>
      <c r="G186" s="334"/>
      <c r="H186" s="334"/>
      <c r="I186" s="334"/>
      <c r="J186" s="334"/>
      <c r="K186" s="334"/>
      <c r="L186" s="334"/>
      <c r="M186" s="334"/>
      <c r="N186" s="334"/>
      <c r="O186" s="334"/>
      <c r="P186" s="334"/>
      <c r="Q186" s="334"/>
      <c r="R186" s="334"/>
      <c r="S186" s="334"/>
      <c r="T186" s="334"/>
      <c r="U186" s="334"/>
      <c r="V186" s="334"/>
      <c r="W186" s="334"/>
      <c r="X186" s="334"/>
    </row>
    <row r="187" spans="1:24">
      <c r="D187" s="494"/>
      <c r="E187" s="327"/>
      <c r="F187" s="327"/>
      <c r="G187" s="327"/>
      <c r="H187" s="327"/>
      <c r="I187" s="327"/>
      <c r="J187" s="327"/>
      <c r="K187" s="327"/>
      <c r="L187" s="327"/>
      <c r="M187" s="327"/>
      <c r="N187" s="327"/>
      <c r="O187" s="327"/>
      <c r="P187" s="327"/>
      <c r="Q187" s="327"/>
      <c r="R187" s="327"/>
      <c r="S187" s="327"/>
      <c r="T187" s="327"/>
      <c r="U187" s="327"/>
      <c r="V187" s="327"/>
      <c r="W187" s="327"/>
      <c r="X187" s="327"/>
    </row>
    <row r="188" spans="1:24">
      <c r="A188"/>
      <c r="D188" s="494"/>
      <c r="E188" s="327"/>
      <c r="F188" s="327"/>
      <c r="G188" s="327"/>
      <c r="H188" s="327"/>
      <c r="I188" s="327"/>
      <c r="J188" s="327"/>
      <c r="K188" s="327"/>
      <c r="L188" s="327"/>
      <c r="M188" s="327"/>
      <c r="N188" s="327"/>
      <c r="O188" s="327"/>
      <c r="P188" s="327"/>
      <c r="Q188" s="327"/>
      <c r="R188" s="327"/>
      <c r="S188" s="327"/>
      <c r="T188" s="327"/>
      <c r="U188" s="327"/>
      <c r="V188" s="327"/>
      <c r="W188" s="327"/>
      <c r="X188" s="327"/>
    </row>
    <row r="189" spans="1:24">
      <c r="A189"/>
      <c r="D189" s="494"/>
      <c r="E189" s="327"/>
      <c r="F189" s="327"/>
      <c r="G189" s="327"/>
      <c r="H189" s="327"/>
      <c r="I189" s="327"/>
      <c r="J189" s="327"/>
      <c r="K189" s="327"/>
      <c r="L189" s="327"/>
      <c r="M189" s="327"/>
      <c r="N189" s="327"/>
      <c r="O189" s="327"/>
      <c r="P189" s="327"/>
      <c r="Q189" s="327"/>
      <c r="R189" s="327"/>
      <c r="S189" s="327"/>
      <c r="T189" s="327"/>
      <c r="U189" s="327"/>
      <c r="V189" s="327"/>
      <c r="W189" s="327"/>
      <c r="X189" s="327"/>
    </row>
    <row r="190" spans="1:24">
      <c r="D190" s="494"/>
      <c r="E190" s="327"/>
      <c r="F190" s="327"/>
      <c r="G190" s="327"/>
      <c r="H190" s="362"/>
      <c r="I190" s="327"/>
      <c r="J190" s="327"/>
      <c r="K190" s="327"/>
      <c r="L190" s="327"/>
      <c r="M190" s="327"/>
      <c r="N190" s="327"/>
      <c r="O190" s="327"/>
      <c r="P190" s="327"/>
      <c r="Q190" s="327"/>
      <c r="R190" s="327"/>
      <c r="S190" s="327"/>
      <c r="T190" s="327"/>
      <c r="U190" s="327"/>
      <c r="V190" s="327"/>
      <c r="W190" s="327"/>
      <c r="X190" s="327"/>
    </row>
    <row r="191" spans="1:24">
      <c r="D191" s="326"/>
      <c r="E191" s="327"/>
      <c r="F191" s="327"/>
      <c r="G191" s="327"/>
      <c r="H191" s="359"/>
      <c r="I191" s="327"/>
      <c r="J191" s="327"/>
      <c r="K191" s="327"/>
      <c r="L191" s="327"/>
      <c r="M191" s="327"/>
      <c r="N191" s="327"/>
      <c r="O191" s="327"/>
      <c r="P191" s="327"/>
      <c r="Q191" s="327"/>
      <c r="R191" s="327"/>
      <c r="S191" s="327"/>
      <c r="T191" s="327"/>
      <c r="U191" s="327"/>
      <c r="V191" s="327"/>
      <c r="W191" s="327"/>
      <c r="X191" s="327"/>
    </row>
    <row r="192" spans="1:24">
      <c r="H192" s="305"/>
    </row>
    <row r="193" spans="8:8">
      <c r="H193" s="30"/>
    </row>
    <row r="194" spans="8:8">
      <c r="H194" s="87"/>
    </row>
    <row r="196" spans="8:8">
      <c r="H196" s="360"/>
    </row>
    <row r="197" spans="8:8">
      <c r="H197" s="361"/>
    </row>
  </sheetData>
  <pageMargins left="0.7" right="0.7" top="0.75" bottom="0.75" header="0.3" footer="0.3"/>
  <pageSetup paperSize="9" scale="2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XFD197"/>
  <sheetViews>
    <sheetView topLeftCell="A103" zoomScale="64" zoomScaleNormal="55" workbookViewId="0">
      <selection activeCell="B118" sqref="B118"/>
    </sheetView>
  </sheetViews>
  <sheetFormatPr defaultColWidth="9" defaultRowHeight="16.5"/>
  <cols>
    <col min="1" max="1" width="71.875" style="18" customWidth="1"/>
    <col min="2" max="2" width="17.125" style="18" bestFit="1" customWidth="1"/>
    <col min="3" max="3" width="8" style="18" bestFit="1" customWidth="1"/>
    <col min="4" max="4" width="7.75" style="262" bestFit="1" customWidth="1"/>
    <col min="5" max="5" width="17.125" style="18" bestFit="1" customWidth="1"/>
    <col min="6" max="6" width="16.75" style="18" bestFit="1" customWidth="1"/>
    <col min="7" max="7" width="17.125" style="18" bestFit="1" customWidth="1"/>
    <col min="8" max="8" width="16.75" style="18" bestFit="1" customWidth="1"/>
    <col min="9" max="10" width="17.125" style="18" bestFit="1" customWidth="1"/>
    <col min="11" max="13" width="16.75" style="18" bestFit="1" customWidth="1"/>
    <col min="14" max="19" width="17.125" style="18" bestFit="1" customWidth="1"/>
    <col min="20" max="20" width="16.375" style="18" bestFit="1" customWidth="1"/>
    <col min="21" max="23" width="17.125" style="18" bestFit="1" customWidth="1"/>
    <col min="24" max="24" width="16.75" style="18" bestFit="1" customWidth="1"/>
    <col min="25" max="25" width="22.625" style="18" bestFit="1" customWidth="1"/>
    <col min="26" max="16384" width="9" style="18"/>
  </cols>
  <sheetData>
    <row r="1" spans="1:25" ht="18.75" thickBot="1">
      <c r="A1" s="11" t="str">
        <f>Intro!A1</f>
        <v>Town of Bar Harbor</v>
      </c>
      <c r="B1" s="27"/>
      <c r="C1" s="17"/>
      <c r="D1" s="260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</row>
    <row r="2" spans="1:25" ht="17.25" thickBot="1">
      <c r="A2" s="380" t="str">
        <f>Intro!A2</f>
        <v>Ferry Property Business Plan</v>
      </c>
      <c r="B2" s="13"/>
      <c r="C2" s="17"/>
      <c r="D2" s="260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</row>
    <row r="3" spans="1:25" s="381" customFormat="1" ht="14.25" thickBot="1">
      <c r="A3" s="384" t="str">
        <f>Intro!A3</f>
        <v>05.23.2018</v>
      </c>
      <c r="B3" s="304"/>
      <c r="C3" s="387"/>
      <c r="D3" s="388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7"/>
      <c r="X3" s="387"/>
    </row>
    <row r="4" spans="1:25" s="381" customFormat="1" ht="13.5">
      <c r="A4" s="384" t="str">
        <f ca="1">Intro!A4</f>
        <v>Town of Bar Harbor</v>
      </c>
      <c r="B4" s="382"/>
      <c r="C4" s="383">
        <f ca="1">NOW()</f>
        <v>43242.835659143515</v>
      </c>
      <c r="D4" s="388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  <c r="Q4" s="387"/>
      <c r="R4" s="387"/>
      <c r="S4" s="387"/>
      <c r="T4" s="387"/>
      <c r="U4" s="387"/>
      <c r="V4" s="387"/>
      <c r="W4" s="387"/>
      <c r="X4" s="387"/>
    </row>
    <row r="5" spans="1:25">
      <c r="A5" s="244" t="s">
        <v>343</v>
      </c>
      <c r="B5" s="244"/>
      <c r="C5" s="245"/>
      <c r="D5" s="261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</row>
    <row r="6" spans="1:25">
      <c r="D6" s="485"/>
    </row>
    <row r="7" spans="1:25">
      <c r="A7" s="22"/>
      <c r="B7" s="71"/>
      <c r="C7" s="71"/>
      <c r="D7" s="72">
        <f>'Cruise Projections'!T7</f>
        <v>2018</v>
      </c>
      <c r="E7" s="72">
        <f>'Cruise Projections'!U7</f>
        <v>2019</v>
      </c>
      <c r="F7" s="72">
        <f>'Cruise Projections'!V7</f>
        <v>2020</v>
      </c>
      <c r="G7" s="72">
        <f>'Cruise Projections'!W7</f>
        <v>2021</v>
      </c>
      <c r="H7" s="72">
        <f>'Cruise Projections'!X7</f>
        <v>2022</v>
      </c>
      <c r="I7" s="72">
        <f>'Cruise Projections'!Y7</f>
        <v>2023</v>
      </c>
      <c r="J7" s="72">
        <f>'Cruise Projections'!Z7</f>
        <v>2024</v>
      </c>
      <c r="K7" s="72">
        <f>'Cruise Projections'!AA7</f>
        <v>2025</v>
      </c>
      <c r="L7" s="72">
        <f>'Cruise Projections'!AB7</f>
        <v>2026</v>
      </c>
      <c r="M7" s="72">
        <f>'Cruise Projections'!AC7</f>
        <v>2027</v>
      </c>
      <c r="N7" s="72">
        <f>'Cruise Projections'!AD7</f>
        <v>2028</v>
      </c>
      <c r="O7" s="72">
        <f>'Cruise Projections'!AE7</f>
        <v>2029</v>
      </c>
      <c r="P7" s="72">
        <f>'Cruise Projections'!AF7</f>
        <v>2030</v>
      </c>
      <c r="Q7" s="72">
        <f>'Cruise Projections'!AG7</f>
        <v>2031</v>
      </c>
      <c r="R7" s="72">
        <f>'Cruise Projections'!AH7</f>
        <v>2032</v>
      </c>
      <c r="S7" s="72">
        <f>'Cruise Projections'!AI7</f>
        <v>2033</v>
      </c>
      <c r="T7" s="72">
        <f>'Cruise Projections'!AJ7</f>
        <v>2034</v>
      </c>
      <c r="U7" s="72">
        <f>'Cruise Projections'!AK7</f>
        <v>2035</v>
      </c>
      <c r="V7" s="72">
        <f>'Cruise Projections'!AL7</f>
        <v>2036</v>
      </c>
      <c r="W7" s="72">
        <f>'Cruise Projections'!AM7</f>
        <v>2037</v>
      </c>
      <c r="X7" s="72">
        <f>'Cruise Projections'!AN7</f>
        <v>2038</v>
      </c>
    </row>
    <row r="8" spans="1:25" ht="17.25" thickBot="1">
      <c r="D8" s="488"/>
    </row>
    <row r="9" spans="1:25" ht="17.25" thickBot="1">
      <c r="A9" s="117" t="s">
        <v>34</v>
      </c>
      <c r="B9" s="484" t="str">
        <f>'Cruise Projections'!A95</f>
        <v>Scenario 6 - All</v>
      </c>
      <c r="D9" s="489"/>
      <c r="E9" s="327"/>
      <c r="F9" s="327"/>
      <c r="G9" s="327"/>
      <c r="H9" s="327"/>
      <c r="I9" s="327"/>
      <c r="J9" s="327"/>
      <c r="K9" s="327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</row>
    <row r="10" spans="1:25">
      <c r="D10" s="489"/>
      <c r="E10" s="327"/>
      <c r="F10" s="327"/>
      <c r="G10" s="327"/>
      <c r="H10" s="327"/>
      <c r="I10" s="327"/>
      <c r="J10" s="327"/>
      <c r="K10" s="327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</row>
    <row r="11" spans="1:25" s="279" customFormat="1" ht="14.25">
      <c r="A11" s="279" t="s">
        <v>83</v>
      </c>
      <c r="D11" s="490"/>
      <c r="E11" s="328"/>
      <c r="F11" s="328"/>
      <c r="G11" s="328"/>
      <c r="H11" s="328"/>
      <c r="I11" s="328"/>
      <c r="J11" s="328"/>
      <c r="K11" s="328"/>
      <c r="L11" s="328"/>
      <c r="M11" s="328"/>
      <c r="N11" s="328"/>
      <c r="O11" s="328"/>
      <c r="P11" s="328"/>
      <c r="Q11" s="328"/>
      <c r="R11" s="328"/>
      <c r="S11" s="328"/>
      <c r="T11" s="328"/>
      <c r="U11" s="328"/>
      <c r="V11" s="328"/>
      <c r="W11" s="328"/>
      <c r="X11" s="328"/>
    </row>
    <row r="12" spans="1:25">
      <c r="A12" s="53" t="str">
        <f>'Cruise Projections'!A67</f>
        <v>Passengers</v>
      </c>
      <c r="B12" s="21"/>
      <c r="C12" s="21"/>
      <c r="D12" s="486">
        <f>'Cruise Projections'!T67</f>
        <v>0</v>
      </c>
      <c r="E12" s="313">
        <v>0</v>
      </c>
      <c r="F12" s="313">
        <f>'Cruise Projections'!V97</f>
        <v>261573</v>
      </c>
      <c r="G12" s="313">
        <f>'Cruise Projections'!W97</f>
        <v>261573</v>
      </c>
      <c r="H12" s="313">
        <f>'Cruise Projections'!X97</f>
        <v>261573</v>
      </c>
      <c r="I12" s="313">
        <f>'Cruise Projections'!Y97</f>
        <v>261573</v>
      </c>
      <c r="J12" s="313">
        <f>'Cruise Projections'!Z97</f>
        <v>261573</v>
      </c>
      <c r="K12" s="313">
        <f>'Cruise Projections'!AA97</f>
        <v>261573</v>
      </c>
      <c r="L12" s="313">
        <f>'Cruise Projections'!AB97</f>
        <v>261573</v>
      </c>
      <c r="M12" s="313">
        <f>'Cruise Projections'!AC97</f>
        <v>261573</v>
      </c>
      <c r="N12" s="313">
        <f>'Cruise Projections'!AD97</f>
        <v>261573</v>
      </c>
      <c r="O12" s="313">
        <f>'Cruise Projections'!AE97</f>
        <v>261573</v>
      </c>
      <c r="P12" s="313">
        <f>'Cruise Projections'!AF97</f>
        <v>261573</v>
      </c>
      <c r="Q12" s="313">
        <f>'Cruise Projections'!AG97</f>
        <v>261573</v>
      </c>
      <c r="R12" s="313">
        <f>'Cruise Projections'!AH97</f>
        <v>261573</v>
      </c>
      <c r="S12" s="313">
        <f>'Cruise Projections'!AI97</f>
        <v>261573</v>
      </c>
      <c r="T12" s="313">
        <f>'Cruise Projections'!AJ97</f>
        <v>261573</v>
      </c>
      <c r="U12" s="313">
        <f>'Cruise Projections'!AK97</f>
        <v>261573</v>
      </c>
      <c r="V12" s="313">
        <f>'Cruise Projections'!AL97</f>
        <v>261573</v>
      </c>
      <c r="W12" s="313">
        <f>'Cruise Projections'!AM97</f>
        <v>261573</v>
      </c>
      <c r="X12" s="313">
        <f>'Cruise Projections'!AN97</f>
        <v>261573</v>
      </c>
      <c r="Y12" s="313"/>
    </row>
    <row r="13" spans="1:25">
      <c r="A13" s="53" t="str">
        <f>'Cruise Projections'!A68</f>
        <v>Calls</v>
      </c>
      <c r="B13" s="21"/>
      <c r="C13" s="21"/>
      <c r="D13" s="486">
        <f>'Cruise Projections'!T68</f>
        <v>0</v>
      </c>
      <c r="E13" s="313">
        <v>0</v>
      </c>
      <c r="F13" s="313">
        <f>'Cruise Projections'!V98</f>
        <v>172</v>
      </c>
      <c r="G13" s="313">
        <f>'Cruise Projections'!W98</f>
        <v>172</v>
      </c>
      <c r="H13" s="313">
        <f>'Cruise Projections'!X98</f>
        <v>172</v>
      </c>
      <c r="I13" s="313">
        <f>'Cruise Projections'!Y98</f>
        <v>172</v>
      </c>
      <c r="J13" s="313">
        <f>'Cruise Projections'!Z98</f>
        <v>172</v>
      </c>
      <c r="K13" s="313">
        <f>'Cruise Projections'!AA98</f>
        <v>172</v>
      </c>
      <c r="L13" s="313">
        <f>'Cruise Projections'!AB98</f>
        <v>172</v>
      </c>
      <c r="M13" s="313">
        <f>'Cruise Projections'!AC98</f>
        <v>172</v>
      </c>
      <c r="N13" s="313">
        <f>'Cruise Projections'!AD98</f>
        <v>172</v>
      </c>
      <c r="O13" s="313">
        <f>'Cruise Projections'!AE98</f>
        <v>172</v>
      </c>
      <c r="P13" s="313">
        <f>'Cruise Projections'!AF98</f>
        <v>172</v>
      </c>
      <c r="Q13" s="313">
        <f>'Cruise Projections'!AG98</f>
        <v>172</v>
      </c>
      <c r="R13" s="313">
        <f>'Cruise Projections'!AH98</f>
        <v>172</v>
      </c>
      <c r="S13" s="313">
        <f>'Cruise Projections'!AI98</f>
        <v>172</v>
      </c>
      <c r="T13" s="313">
        <f>'Cruise Projections'!AJ98</f>
        <v>172</v>
      </c>
      <c r="U13" s="313">
        <f>'Cruise Projections'!AK98</f>
        <v>172</v>
      </c>
      <c r="V13" s="313">
        <f>'Cruise Projections'!AL98</f>
        <v>172</v>
      </c>
      <c r="W13" s="313">
        <f>'Cruise Projections'!AM98</f>
        <v>172</v>
      </c>
      <c r="X13" s="313">
        <f>'Cruise Projections'!AN98</f>
        <v>172</v>
      </c>
      <c r="Y13" s="313"/>
    </row>
    <row r="14" spans="1:25">
      <c r="A14" s="53" t="str">
        <f>'Cruise Projections'!A69</f>
        <v>Passengers per Call</v>
      </c>
      <c r="B14" s="21"/>
      <c r="C14" s="21"/>
      <c r="D14" s="486">
        <f>'Cruise Projections'!T69</f>
        <v>0</v>
      </c>
      <c r="E14" s="313">
        <v>0</v>
      </c>
      <c r="F14" s="313">
        <f>'Cruise Projections'!V100</f>
        <v>1520.7732558139535</v>
      </c>
      <c r="G14" s="313">
        <f>'Cruise Projections'!W100</f>
        <v>1520.7732558139535</v>
      </c>
      <c r="H14" s="313">
        <f>'Cruise Projections'!X100</f>
        <v>1520.7732558139535</v>
      </c>
      <c r="I14" s="313">
        <f>'Cruise Projections'!Y100</f>
        <v>1520.7732558139535</v>
      </c>
      <c r="J14" s="313">
        <f>'Cruise Projections'!Z100</f>
        <v>1520.7732558139535</v>
      </c>
      <c r="K14" s="313">
        <f>'Cruise Projections'!AA100</f>
        <v>1520.7732558139535</v>
      </c>
      <c r="L14" s="313">
        <f>'Cruise Projections'!AB100</f>
        <v>1520.7732558139535</v>
      </c>
      <c r="M14" s="313">
        <f>'Cruise Projections'!AC100</f>
        <v>1520.7732558139535</v>
      </c>
      <c r="N14" s="313">
        <f>'Cruise Projections'!AD100</f>
        <v>1520.7732558139535</v>
      </c>
      <c r="O14" s="313">
        <f>'Cruise Projections'!AE100</f>
        <v>1520.7732558139535</v>
      </c>
      <c r="P14" s="313">
        <f>'Cruise Projections'!AF100</f>
        <v>1520.7732558139535</v>
      </c>
      <c r="Q14" s="313">
        <f>'Cruise Projections'!AG100</f>
        <v>1520.7732558139535</v>
      </c>
      <c r="R14" s="313">
        <f>'Cruise Projections'!AH100</f>
        <v>1520.7732558139535</v>
      </c>
      <c r="S14" s="313">
        <f>'Cruise Projections'!AI100</f>
        <v>1520.7732558139535</v>
      </c>
      <c r="T14" s="313">
        <f>'Cruise Projections'!AJ100</f>
        <v>1520.7732558139535</v>
      </c>
      <c r="U14" s="313">
        <f>'Cruise Projections'!AK100</f>
        <v>1520.7732558139535</v>
      </c>
      <c r="V14" s="313">
        <f>'Cruise Projections'!AL100</f>
        <v>1520.7732558139535</v>
      </c>
      <c r="W14" s="313">
        <f>'Cruise Projections'!AM100</f>
        <v>1520.7732558139535</v>
      </c>
      <c r="X14" s="313">
        <f>'Cruise Projections'!AN100</f>
        <v>1520.7732558139535</v>
      </c>
      <c r="Y14" s="313"/>
    </row>
    <row r="15" spans="1:25" s="96" customFormat="1">
      <c r="A15" s="54" t="s">
        <v>313</v>
      </c>
      <c r="B15" s="487"/>
      <c r="C15" s="487"/>
      <c r="D15" s="486">
        <f>'Cruise Projections'!T70</f>
        <v>0</v>
      </c>
      <c r="E15" s="313">
        <v>0</v>
      </c>
      <c r="F15" s="313">
        <f>'Shuttle Projections'!D35</f>
        <v>4120</v>
      </c>
      <c r="G15" s="313">
        <f>'Shuttle Projections'!E35</f>
        <v>4120</v>
      </c>
      <c r="H15" s="313">
        <f>'Shuttle Projections'!F35</f>
        <v>4120</v>
      </c>
      <c r="I15" s="313">
        <f>'Shuttle Projections'!G35</f>
        <v>4120</v>
      </c>
      <c r="J15" s="313">
        <f>'Shuttle Projections'!H35</f>
        <v>4120</v>
      </c>
      <c r="K15" s="313">
        <f>'Shuttle Projections'!I35</f>
        <v>4120</v>
      </c>
      <c r="L15" s="313">
        <f>'Shuttle Projections'!J35</f>
        <v>4120</v>
      </c>
      <c r="M15" s="313">
        <f>'Shuttle Projections'!K35</f>
        <v>4120</v>
      </c>
      <c r="N15" s="313">
        <f>'Shuttle Projections'!L35</f>
        <v>4120</v>
      </c>
      <c r="O15" s="313">
        <f>'Shuttle Projections'!M35</f>
        <v>4120</v>
      </c>
      <c r="P15" s="313">
        <f>'Shuttle Projections'!N35</f>
        <v>4120</v>
      </c>
      <c r="Q15" s="313">
        <f>'Shuttle Projections'!O35</f>
        <v>4120</v>
      </c>
      <c r="R15" s="313">
        <f>'Shuttle Projections'!P35</f>
        <v>4120</v>
      </c>
      <c r="S15" s="313">
        <f>'Shuttle Projections'!Q35</f>
        <v>4120</v>
      </c>
      <c r="T15" s="313">
        <f>'Shuttle Projections'!R35</f>
        <v>4120</v>
      </c>
      <c r="U15" s="313">
        <f>'Shuttle Projections'!S35</f>
        <v>4120</v>
      </c>
      <c r="V15" s="313">
        <f>'Shuttle Projections'!T35</f>
        <v>4120</v>
      </c>
      <c r="W15" s="313">
        <f>'Shuttle Projections'!U35</f>
        <v>4120</v>
      </c>
      <c r="X15" s="313">
        <f>'Shuttle Projections'!V35</f>
        <v>4120</v>
      </c>
      <c r="Y15" s="313"/>
    </row>
    <row r="16" spans="1:25">
      <c r="A16" s="54"/>
      <c r="B16" s="21"/>
      <c r="C16" s="21"/>
      <c r="D16" s="486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</row>
    <row r="17" spans="1:25" s="279" customFormat="1" ht="14.25">
      <c r="A17" s="293" t="s">
        <v>163</v>
      </c>
      <c r="B17" s="294"/>
      <c r="C17" s="294"/>
      <c r="D17" s="491"/>
      <c r="E17" s="329"/>
      <c r="F17" s="329"/>
      <c r="G17" s="329"/>
      <c r="H17" s="329"/>
      <c r="I17" s="329"/>
      <c r="J17" s="329"/>
      <c r="K17" s="329"/>
      <c r="L17" s="329"/>
      <c r="M17" s="329"/>
      <c r="N17" s="329"/>
      <c r="O17" s="329"/>
      <c r="P17" s="329"/>
      <c r="Q17" s="329"/>
      <c r="R17" s="329"/>
      <c r="S17" s="329"/>
      <c r="T17" s="329"/>
      <c r="U17" s="329"/>
      <c r="V17" s="329"/>
      <c r="W17" s="329"/>
      <c r="X17" s="329"/>
    </row>
    <row r="18" spans="1:25" s="96" customFormat="1">
      <c r="A18" s="54" t="str">
        <f>'International Ferry Projections'!A11</f>
        <v>Passengers</v>
      </c>
      <c r="B18" s="487"/>
      <c r="C18" s="487"/>
      <c r="D18" s="486">
        <f>'International Ferry Projections'!B11</f>
        <v>0</v>
      </c>
      <c r="E18" s="313">
        <f>'International Ferry Projections'!C11</f>
        <v>60000</v>
      </c>
      <c r="F18" s="313">
        <f>'International Ferry Projections'!D11</f>
        <v>70000</v>
      </c>
      <c r="G18" s="313">
        <f>'International Ferry Projections'!E11</f>
        <v>80000</v>
      </c>
      <c r="H18" s="313">
        <f>'International Ferry Projections'!F11</f>
        <v>80000</v>
      </c>
      <c r="I18" s="313">
        <f>'International Ferry Projections'!G11</f>
        <v>80000</v>
      </c>
      <c r="J18" s="313">
        <f>'International Ferry Projections'!H11</f>
        <v>80000</v>
      </c>
      <c r="K18" s="313">
        <f>'International Ferry Projections'!I11</f>
        <v>80000</v>
      </c>
      <c r="L18" s="313">
        <f>'International Ferry Projections'!J11</f>
        <v>80000</v>
      </c>
      <c r="M18" s="313">
        <f>'International Ferry Projections'!K11</f>
        <v>80000</v>
      </c>
      <c r="N18" s="313">
        <f>'International Ferry Projections'!L11</f>
        <v>80000</v>
      </c>
      <c r="O18" s="313">
        <f>'International Ferry Projections'!M11</f>
        <v>80000</v>
      </c>
      <c r="P18" s="313">
        <f>'International Ferry Projections'!N11</f>
        <v>80000</v>
      </c>
      <c r="Q18" s="313">
        <f>'International Ferry Projections'!O11</f>
        <v>80000</v>
      </c>
      <c r="R18" s="313">
        <f>'International Ferry Projections'!P11</f>
        <v>80000</v>
      </c>
      <c r="S18" s="313">
        <f>'International Ferry Projections'!Q11</f>
        <v>80000</v>
      </c>
      <c r="T18" s="313">
        <f>'International Ferry Projections'!R11</f>
        <v>80000</v>
      </c>
      <c r="U18" s="313">
        <f>'International Ferry Projections'!S11</f>
        <v>80000</v>
      </c>
      <c r="V18" s="313">
        <f>'International Ferry Projections'!T11</f>
        <v>80000</v>
      </c>
      <c r="W18" s="313">
        <f>'International Ferry Projections'!U11</f>
        <v>80000</v>
      </c>
      <c r="X18" s="313">
        <f>'International Ferry Projections'!V11</f>
        <v>80000</v>
      </c>
    </row>
    <row r="19" spans="1:25" s="96" customFormat="1">
      <c r="A19" s="54" t="str">
        <f>'International Ferry Projections'!A12</f>
        <v>Cars</v>
      </c>
      <c r="B19" s="487"/>
      <c r="C19" s="487"/>
      <c r="D19" s="486">
        <f>'International Ferry Projections'!B12</f>
        <v>0</v>
      </c>
      <c r="E19" s="313">
        <f>'International Ferry Projections'!C12</f>
        <v>24000</v>
      </c>
      <c r="F19" s="313">
        <f>'International Ferry Projections'!D12</f>
        <v>28000</v>
      </c>
      <c r="G19" s="313">
        <f>'International Ferry Projections'!E12</f>
        <v>32000</v>
      </c>
      <c r="H19" s="313">
        <f>'International Ferry Projections'!F12</f>
        <v>32000</v>
      </c>
      <c r="I19" s="313">
        <f>'International Ferry Projections'!G12</f>
        <v>32000</v>
      </c>
      <c r="J19" s="313">
        <f>'International Ferry Projections'!H12</f>
        <v>32000</v>
      </c>
      <c r="K19" s="313">
        <f>'International Ferry Projections'!I12</f>
        <v>32000</v>
      </c>
      <c r="L19" s="313">
        <f>'International Ferry Projections'!J12</f>
        <v>32000</v>
      </c>
      <c r="M19" s="313">
        <f>'International Ferry Projections'!K12</f>
        <v>32000</v>
      </c>
      <c r="N19" s="313">
        <f>'International Ferry Projections'!L12</f>
        <v>32000</v>
      </c>
      <c r="O19" s="313">
        <f>'International Ferry Projections'!M12</f>
        <v>32000</v>
      </c>
      <c r="P19" s="313">
        <f>'International Ferry Projections'!N12</f>
        <v>32000</v>
      </c>
      <c r="Q19" s="313">
        <f>'International Ferry Projections'!O12</f>
        <v>32000</v>
      </c>
      <c r="R19" s="313">
        <f>'International Ferry Projections'!P12</f>
        <v>32000</v>
      </c>
      <c r="S19" s="313">
        <f>'International Ferry Projections'!Q12</f>
        <v>32000</v>
      </c>
      <c r="T19" s="313">
        <f>'International Ferry Projections'!R12</f>
        <v>32000</v>
      </c>
      <c r="U19" s="313">
        <f>'International Ferry Projections'!S12</f>
        <v>32000</v>
      </c>
      <c r="V19" s="313">
        <f>'International Ferry Projections'!T12</f>
        <v>32000</v>
      </c>
      <c r="W19" s="313">
        <f>'International Ferry Projections'!U12</f>
        <v>32000</v>
      </c>
      <c r="X19" s="313">
        <f>'International Ferry Projections'!V12</f>
        <v>32000</v>
      </c>
    </row>
    <row r="20" spans="1:25" s="96" customFormat="1">
      <c r="A20" s="54" t="str">
        <f>'International Ferry Projections'!A13</f>
        <v>Buses</v>
      </c>
      <c r="B20" s="487"/>
      <c r="C20" s="487"/>
      <c r="D20" s="486">
        <f>'International Ferry Projections'!B13</f>
        <v>0</v>
      </c>
      <c r="E20" s="313">
        <f>'International Ferry Projections'!C13</f>
        <v>40</v>
      </c>
      <c r="F20" s="313">
        <f>'International Ferry Projections'!D13</f>
        <v>50</v>
      </c>
      <c r="G20" s="313">
        <f>'International Ferry Projections'!E13</f>
        <v>60</v>
      </c>
      <c r="H20" s="313">
        <f>'International Ferry Projections'!F13</f>
        <v>60</v>
      </c>
      <c r="I20" s="313">
        <f>'International Ferry Projections'!G13</f>
        <v>60</v>
      </c>
      <c r="J20" s="313">
        <f>'International Ferry Projections'!H13</f>
        <v>60</v>
      </c>
      <c r="K20" s="313">
        <f>'International Ferry Projections'!I13</f>
        <v>60</v>
      </c>
      <c r="L20" s="313">
        <f>'International Ferry Projections'!J13</f>
        <v>60</v>
      </c>
      <c r="M20" s="313">
        <f>'International Ferry Projections'!K13</f>
        <v>60</v>
      </c>
      <c r="N20" s="313">
        <f>'International Ferry Projections'!L13</f>
        <v>60</v>
      </c>
      <c r="O20" s="313">
        <f>'International Ferry Projections'!M13</f>
        <v>60</v>
      </c>
      <c r="P20" s="313">
        <f>'International Ferry Projections'!N13</f>
        <v>60</v>
      </c>
      <c r="Q20" s="313">
        <f>'International Ferry Projections'!O13</f>
        <v>60</v>
      </c>
      <c r="R20" s="313">
        <f>'International Ferry Projections'!P13</f>
        <v>60</v>
      </c>
      <c r="S20" s="313">
        <f>'International Ferry Projections'!Q13</f>
        <v>60</v>
      </c>
      <c r="T20" s="313">
        <f>'International Ferry Projections'!R13</f>
        <v>60</v>
      </c>
      <c r="U20" s="313">
        <f>'International Ferry Projections'!S13</f>
        <v>60</v>
      </c>
      <c r="V20" s="313">
        <f>'International Ferry Projections'!T13</f>
        <v>60</v>
      </c>
      <c r="W20" s="313">
        <f>'International Ferry Projections'!U13</f>
        <v>60</v>
      </c>
      <c r="X20" s="313">
        <f>'International Ferry Projections'!V13</f>
        <v>60</v>
      </c>
    </row>
    <row r="21" spans="1:25">
      <c r="A21" s="54"/>
      <c r="B21" s="21"/>
      <c r="C21" s="21"/>
      <c r="D21" s="486"/>
      <c r="E21" s="313"/>
      <c r="F21" s="313"/>
      <c r="G21" s="313"/>
      <c r="H21" s="313"/>
      <c r="I21" s="313"/>
      <c r="J21" s="313"/>
      <c r="K21" s="313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</row>
    <row r="22" spans="1:25" s="582" customFormat="1">
      <c r="A22" s="293" t="str">
        <f>'BH Tariffs'!A30</f>
        <v>Local Ferry</v>
      </c>
      <c r="B22" s="581"/>
      <c r="C22" s="581"/>
      <c r="D22" s="486">
        <v>0</v>
      </c>
      <c r="E22" s="329"/>
      <c r="F22" s="329"/>
      <c r="G22" s="329"/>
      <c r="H22" s="329"/>
      <c r="I22" s="329"/>
      <c r="J22" s="329"/>
      <c r="K22" s="329"/>
      <c r="L22" s="329"/>
      <c r="M22" s="329"/>
      <c r="N22" s="329"/>
      <c r="O22" s="329"/>
      <c r="P22" s="329"/>
      <c r="Q22" s="329"/>
      <c r="R22" s="329"/>
      <c r="S22" s="329"/>
      <c r="T22" s="329"/>
      <c r="U22" s="329"/>
      <c r="V22" s="329"/>
      <c r="W22" s="329"/>
      <c r="X22" s="329"/>
    </row>
    <row r="23" spans="1:25" s="96" customFormat="1">
      <c r="A23" s="54" t="str">
        <f>'BH Tariffs'!A31</f>
        <v>Dock Rent (6 Months Only)</v>
      </c>
      <c r="B23" s="487"/>
      <c r="C23" s="487"/>
      <c r="D23" s="486">
        <v>0</v>
      </c>
      <c r="E23" s="623" t="s">
        <v>286</v>
      </c>
      <c r="F23" s="623" t="s">
        <v>286</v>
      </c>
      <c r="G23" s="623" t="s">
        <v>286</v>
      </c>
      <c r="H23" s="623" t="s">
        <v>286</v>
      </c>
      <c r="I23" s="623" t="s">
        <v>286</v>
      </c>
      <c r="J23" s="623" t="s">
        <v>286</v>
      </c>
      <c r="K23" s="623" t="s">
        <v>286</v>
      </c>
      <c r="L23" s="623" t="s">
        <v>286</v>
      </c>
      <c r="M23" s="623" t="s">
        <v>286</v>
      </c>
      <c r="N23" s="623" t="s">
        <v>286</v>
      </c>
      <c r="O23" s="623" t="s">
        <v>286</v>
      </c>
      <c r="P23" s="623" t="s">
        <v>286</v>
      </c>
      <c r="Q23" s="623" t="s">
        <v>286</v>
      </c>
      <c r="R23" s="623" t="s">
        <v>286</v>
      </c>
      <c r="S23" s="623" t="s">
        <v>286</v>
      </c>
      <c r="T23" s="623" t="s">
        <v>286</v>
      </c>
      <c r="U23" s="623" t="s">
        <v>286</v>
      </c>
      <c r="V23" s="623" t="s">
        <v>286</v>
      </c>
      <c r="W23" s="623" t="s">
        <v>286</v>
      </c>
      <c r="X23" s="623" t="s">
        <v>286</v>
      </c>
    </row>
    <row r="24" spans="1:25" s="341" customFormat="1">
      <c r="A24" s="552"/>
      <c r="B24" s="553"/>
      <c r="C24" s="553"/>
      <c r="D24" s="554"/>
      <c r="E24" s="555"/>
      <c r="F24" s="555"/>
      <c r="G24" s="555"/>
      <c r="H24" s="555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</row>
    <row r="25" spans="1:25" s="96" customFormat="1">
      <c r="A25" s="559" t="s">
        <v>227</v>
      </c>
      <c r="B25" s="487"/>
      <c r="C25" s="487"/>
      <c r="D25" s="486"/>
      <c r="E25" s="313"/>
      <c r="F25" s="313"/>
      <c r="G25" s="313"/>
      <c r="H25" s="313"/>
      <c r="I25" s="313"/>
      <c r="J25" s="313"/>
      <c r="K25" s="313"/>
      <c r="L25" s="313"/>
      <c r="M25" s="313"/>
      <c r="N25" s="313"/>
      <c r="O25" s="313"/>
      <c r="P25" s="313"/>
      <c r="Q25" s="313"/>
      <c r="R25" s="313"/>
      <c r="S25" s="313"/>
      <c r="T25" s="313"/>
      <c r="U25" s="313"/>
      <c r="V25" s="313"/>
      <c r="W25" s="313"/>
      <c r="X25" s="313"/>
    </row>
    <row r="26" spans="1:25">
      <c r="A26" s="54"/>
      <c r="B26" s="21"/>
      <c r="C26" s="21"/>
      <c r="D26" s="486"/>
      <c r="E26" s="313"/>
      <c r="F26" s="313"/>
      <c r="G26" s="313"/>
      <c r="H26" s="313"/>
      <c r="I26" s="313"/>
      <c r="J26" s="313"/>
      <c r="K26" s="313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</row>
    <row r="27" spans="1:25">
      <c r="A27" s="54" t="s">
        <v>420</v>
      </c>
      <c r="B27" s="21"/>
      <c r="C27" s="21"/>
      <c r="D27" s="486">
        <v>0</v>
      </c>
      <c r="E27" s="313">
        <f>'Marina Projections'!C9</f>
        <v>0</v>
      </c>
      <c r="F27" s="313">
        <f>'Marina Projections'!D9</f>
        <v>214</v>
      </c>
      <c r="G27" s="313">
        <f>'Marina Projections'!E9</f>
        <v>214</v>
      </c>
      <c r="H27" s="313">
        <f>'Marina Projections'!F9</f>
        <v>214</v>
      </c>
      <c r="I27" s="313">
        <f>'Marina Projections'!G9</f>
        <v>214</v>
      </c>
      <c r="J27" s="313">
        <f>'Marina Projections'!H9</f>
        <v>214</v>
      </c>
      <c r="K27" s="313">
        <f>'Marina Projections'!I9</f>
        <v>214</v>
      </c>
      <c r="L27" s="313">
        <f>'Marina Projections'!J9</f>
        <v>214</v>
      </c>
      <c r="M27" s="313">
        <f>'Marina Projections'!K9</f>
        <v>214</v>
      </c>
      <c r="N27" s="313">
        <f>'Marina Projections'!L9</f>
        <v>214</v>
      </c>
      <c r="O27" s="313">
        <f>'Marina Projections'!M9</f>
        <v>214</v>
      </c>
      <c r="P27" s="313">
        <f>'Marina Projections'!N9</f>
        <v>214</v>
      </c>
      <c r="Q27" s="313">
        <f>'Marina Projections'!O9</f>
        <v>214</v>
      </c>
      <c r="R27" s="313">
        <f>'Marina Projections'!P9</f>
        <v>214</v>
      </c>
      <c r="S27" s="313">
        <f>'Marina Projections'!Q9</f>
        <v>214</v>
      </c>
      <c r="T27" s="313">
        <f>'Marina Projections'!R9</f>
        <v>214</v>
      </c>
      <c r="U27" s="313">
        <f>'Marina Projections'!S9</f>
        <v>214</v>
      </c>
      <c r="V27" s="313">
        <f>'Marina Projections'!T9</f>
        <v>214</v>
      </c>
      <c r="W27" s="313">
        <f>'Marina Projections'!U9</f>
        <v>214</v>
      </c>
      <c r="X27" s="313">
        <f>'Marina Projections'!V9</f>
        <v>214</v>
      </c>
    </row>
    <row r="28" spans="1:25">
      <c r="A28" s="54" t="s">
        <v>205</v>
      </c>
      <c r="B28" s="21"/>
      <c r="C28" s="21"/>
      <c r="D28" s="486">
        <v>0</v>
      </c>
      <c r="E28" s="330">
        <v>0</v>
      </c>
      <c r="F28" s="330">
        <f>'Cruise Projections'!V99</f>
        <v>106</v>
      </c>
      <c r="G28" s="330">
        <f>'Cruise Projections'!W99</f>
        <v>106</v>
      </c>
      <c r="H28" s="330">
        <f>'Cruise Projections'!X99</f>
        <v>106</v>
      </c>
      <c r="I28" s="330">
        <f>'Cruise Projections'!Y99</f>
        <v>106</v>
      </c>
      <c r="J28" s="330">
        <f>'Cruise Projections'!Z99</f>
        <v>106</v>
      </c>
      <c r="K28" s="330">
        <f>'Cruise Projections'!AA99</f>
        <v>106</v>
      </c>
      <c r="L28" s="330">
        <f>'Cruise Projections'!AB99</f>
        <v>106</v>
      </c>
      <c r="M28" s="330">
        <f>'Cruise Projections'!AC99</f>
        <v>106</v>
      </c>
      <c r="N28" s="330">
        <f>'Cruise Projections'!AD99</f>
        <v>106</v>
      </c>
      <c r="O28" s="330">
        <f>'Cruise Projections'!AE99</f>
        <v>106</v>
      </c>
      <c r="P28" s="330">
        <f>'Cruise Projections'!AF99</f>
        <v>106</v>
      </c>
      <c r="Q28" s="330">
        <f>'Cruise Projections'!AG99</f>
        <v>106</v>
      </c>
      <c r="R28" s="330">
        <f>'Cruise Projections'!AH99</f>
        <v>106</v>
      </c>
      <c r="S28" s="330">
        <f>'Cruise Projections'!AI99</f>
        <v>106</v>
      </c>
      <c r="T28" s="330">
        <f>'Cruise Projections'!AJ99</f>
        <v>106</v>
      </c>
      <c r="U28" s="330">
        <f>'Cruise Projections'!AK99</f>
        <v>106</v>
      </c>
      <c r="V28" s="330">
        <f>'Cruise Projections'!AL99</f>
        <v>106</v>
      </c>
      <c r="W28" s="330">
        <f>'Cruise Projections'!AM99</f>
        <v>106</v>
      </c>
      <c r="X28" s="330">
        <f>'Cruise Projections'!AN99</f>
        <v>106</v>
      </c>
      <c r="Y28" s="32"/>
    </row>
    <row r="29" spans="1:25">
      <c r="A29" s="54" t="s">
        <v>219</v>
      </c>
      <c r="B29" s="21"/>
      <c r="C29" s="21"/>
      <c r="D29" s="486">
        <v>0</v>
      </c>
      <c r="E29" s="330">
        <v>150</v>
      </c>
      <c r="F29" s="330">
        <f>E29</f>
        <v>150</v>
      </c>
      <c r="G29" s="330">
        <f t="shared" ref="G29:X29" si="0">F29</f>
        <v>150</v>
      </c>
      <c r="H29" s="330">
        <f t="shared" si="0"/>
        <v>150</v>
      </c>
      <c r="I29" s="330">
        <f t="shared" si="0"/>
        <v>150</v>
      </c>
      <c r="J29" s="330">
        <f t="shared" si="0"/>
        <v>150</v>
      </c>
      <c r="K29" s="330">
        <f t="shared" si="0"/>
        <v>150</v>
      </c>
      <c r="L29" s="330">
        <f t="shared" si="0"/>
        <v>150</v>
      </c>
      <c r="M29" s="330">
        <f t="shared" si="0"/>
        <v>150</v>
      </c>
      <c r="N29" s="330">
        <f t="shared" si="0"/>
        <v>150</v>
      </c>
      <c r="O29" s="330">
        <f t="shared" si="0"/>
        <v>150</v>
      </c>
      <c r="P29" s="330">
        <f t="shared" si="0"/>
        <v>150</v>
      </c>
      <c r="Q29" s="330">
        <f t="shared" si="0"/>
        <v>150</v>
      </c>
      <c r="R29" s="330">
        <f t="shared" si="0"/>
        <v>150</v>
      </c>
      <c r="S29" s="330">
        <f t="shared" si="0"/>
        <v>150</v>
      </c>
      <c r="T29" s="330">
        <f t="shared" si="0"/>
        <v>150</v>
      </c>
      <c r="U29" s="330">
        <f t="shared" si="0"/>
        <v>150</v>
      </c>
      <c r="V29" s="330">
        <f t="shared" si="0"/>
        <v>150</v>
      </c>
      <c r="W29" s="330">
        <f t="shared" si="0"/>
        <v>150</v>
      </c>
      <c r="X29" s="330">
        <f t="shared" si="0"/>
        <v>150</v>
      </c>
      <c r="Y29" s="32"/>
    </row>
    <row r="30" spans="1:25">
      <c r="A30" s="54" t="s">
        <v>220</v>
      </c>
      <c r="B30" s="21"/>
      <c r="C30" s="21"/>
      <c r="D30" s="486">
        <v>0</v>
      </c>
      <c r="E30" s="495">
        <f>E28/E29</f>
        <v>0</v>
      </c>
      <c r="F30" s="495">
        <f t="shared" ref="F30:X30" si="1">F28/F29</f>
        <v>0.70666666666666667</v>
      </c>
      <c r="G30" s="495">
        <f t="shared" si="1"/>
        <v>0.70666666666666667</v>
      </c>
      <c r="H30" s="495">
        <f t="shared" si="1"/>
        <v>0.70666666666666667</v>
      </c>
      <c r="I30" s="495">
        <f t="shared" si="1"/>
        <v>0.70666666666666667</v>
      </c>
      <c r="J30" s="495">
        <f t="shared" si="1"/>
        <v>0.70666666666666667</v>
      </c>
      <c r="K30" s="495">
        <f t="shared" si="1"/>
        <v>0.70666666666666667</v>
      </c>
      <c r="L30" s="495">
        <f t="shared" si="1"/>
        <v>0.70666666666666667</v>
      </c>
      <c r="M30" s="495">
        <f t="shared" si="1"/>
        <v>0.70666666666666667</v>
      </c>
      <c r="N30" s="495">
        <f t="shared" si="1"/>
        <v>0.70666666666666667</v>
      </c>
      <c r="O30" s="495">
        <f t="shared" si="1"/>
        <v>0.70666666666666667</v>
      </c>
      <c r="P30" s="495">
        <f t="shared" si="1"/>
        <v>0.70666666666666667</v>
      </c>
      <c r="Q30" s="495">
        <f t="shared" si="1"/>
        <v>0.70666666666666667</v>
      </c>
      <c r="R30" s="495">
        <f t="shared" si="1"/>
        <v>0.70666666666666667</v>
      </c>
      <c r="S30" s="495">
        <f t="shared" si="1"/>
        <v>0.70666666666666667</v>
      </c>
      <c r="T30" s="495">
        <f t="shared" si="1"/>
        <v>0.70666666666666667</v>
      </c>
      <c r="U30" s="495">
        <f t="shared" si="1"/>
        <v>0.70666666666666667</v>
      </c>
      <c r="V30" s="495">
        <f t="shared" si="1"/>
        <v>0.70666666666666667</v>
      </c>
      <c r="W30" s="495">
        <f t="shared" si="1"/>
        <v>0.70666666666666667</v>
      </c>
      <c r="X30" s="495">
        <f t="shared" si="1"/>
        <v>0.70666666666666667</v>
      </c>
      <c r="Y30" s="32"/>
    </row>
    <row r="31" spans="1:25" s="96" customFormat="1">
      <c r="A31" s="54" t="s">
        <v>226</v>
      </c>
      <c r="B31" s="487"/>
      <c r="C31" s="487"/>
      <c r="D31" s="486">
        <v>0</v>
      </c>
      <c r="E31" s="330">
        <v>0</v>
      </c>
      <c r="F31" s="330">
        <v>125</v>
      </c>
      <c r="G31" s="330">
        <v>125</v>
      </c>
      <c r="H31" s="330">
        <v>125</v>
      </c>
      <c r="I31" s="330">
        <v>125</v>
      </c>
      <c r="J31" s="330">
        <v>125</v>
      </c>
      <c r="K31" s="330">
        <v>125</v>
      </c>
      <c r="L31" s="330">
        <v>125</v>
      </c>
      <c r="M31" s="330">
        <v>125</v>
      </c>
      <c r="N31" s="330">
        <v>125</v>
      </c>
      <c r="O31" s="330">
        <v>125</v>
      </c>
      <c r="P31" s="330">
        <v>125</v>
      </c>
      <c r="Q31" s="330">
        <v>125</v>
      </c>
      <c r="R31" s="330">
        <v>125</v>
      </c>
      <c r="S31" s="330">
        <v>125</v>
      </c>
      <c r="T31" s="330">
        <v>125</v>
      </c>
      <c r="U31" s="330">
        <v>125</v>
      </c>
      <c r="V31" s="330">
        <v>125</v>
      </c>
      <c r="W31" s="330">
        <v>125</v>
      </c>
      <c r="X31" s="330">
        <v>125</v>
      </c>
      <c r="Y31" s="58"/>
    </row>
    <row r="32" spans="1:25">
      <c r="A32" s="54"/>
      <c r="B32" s="21"/>
      <c r="C32" s="21"/>
      <c r="D32" s="486"/>
      <c r="E32" s="495"/>
      <c r="F32" s="495"/>
      <c r="G32" s="495"/>
      <c r="H32" s="495"/>
      <c r="I32" s="495"/>
      <c r="J32" s="495"/>
      <c r="K32" s="495"/>
      <c r="L32" s="495"/>
      <c r="M32" s="495"/>
      <c r="N32" s="495"/>
      <c r="O32" s="495"/>
      <c r="P32" s="495"/>
      <c r="Q32" s="495"/>
      <c r="R32" s="495"/>
      <c r="S32" s="495"/>
      <c r="T32" s="495"/>
      <c r="U32" s="495"/>
      <c r="V32" s="495"/>
      <c r="W32" s="495"/>
      <c r="X32" s="495"/>
      <c r="Y32" s="32"/>
    </row>
    <row r="33" spans="1:24">
      <c r="A33" s="54" t="s">
        <v>206</v>
      </c>
      <c r="B33" s="21"/>
      <c r="C33" s="21"/>
      <c r="D33" s="486">
        <v>0</v>
      </c>
      <c r="E33" s="313">
        <v>0</v>
      </c>
      <c r="F33" s="313">
        <f t="shared" ref="F33:X33" si="2">F12/F28</f>
        <v>2467.6698113207549</v>
      </c>
      <c r="G33" s="313">
        <f t="shared" si="2"/>
        <v>2467.6698113207549</v>
      </c>
      <c r="H33" s="313">
        <f t="shared" si="2"/>
        <v>2467.6698113207549</v>
      </c>
      <c r="I33" s="313">
        <f t="shared" si="2"/>
        <v>2467.6698113207549</v>
      </c>
      <c r="J33" s="313">
        <f t="shared" si="2"/>
        <v>2467.6698113207549</v>
      </c>
      <c r="K33" s="313">
        <f t="shared" si="2"/>
        <v>2467.6698113207549</v>
      </c>
      <c r="L33" s="313">
        <f t="shared" si="2"/>
        <v>2467.6698113207549</v>
      </c>
      <c r="M33" s="313">
        <f t="shared" si="2"/>
        <v>2467.6698113207549</v>
      </c>
      <c r="N33" s="313">
        <f t="shared" si="2"/>
        <v>2467.6698113207549</v>
      </c>
      <c r="O33" s="313">
        <f t="shared" si="2"/>
        <v>2467.6698113207549</v>
      </c>
      <c r="P33" s="313">
        <f t="shared" si="2"/>
        <v>2467.6698113207549</v>
      </c>
      <c r="Q33" s="313">
        <f t="shared" si="2"/>
        <v>2467.6698113207549</v>
      </c>
      <c r="R33" s="313">
        <f t="shared" si="2"/>
        <v>2467.6698113207549</v>
      </c>
      <c r="S33" s="313">
        <f t="shared" si="2"/>
        <v>2467.6698113207549</v>
      </c>
      <c r="T33" s="313">
        <f t="shared" si="2"/>
        <v>2467.6698113207549</v>
      </c>
      <c r="U33" s="313">
        <f t="shared" si="2"/>
        <v>2467.6698113207549</v>
      </c>
      <c r="V33" s="313">
        <f t="shared" si="2"/>
        <v>2467.6698113207549</v>
      </c>
      <c r="W33" s="313">
        <f t="shared" si="2"/>
        <v>2467.6698113207549</v>
      </c>
      <c r="X33" s="313">
        <f t="shared" si="2"/>
        <v>2467.6698113207549</v>
      </c>
    </row>
    <row r="34" spans="1:24">
      <c r="A34" s="54" t="s">
        <v>207</v>
      </c>
      <c r="B34" s="21"/>
      <c r="C34" s="21"/>
      <c r="D34" s="486">
        <v>0</v>
      </c>
      <c r="E34" s="313">
        <v>0</v>
      </c>
      <c r="F34" s="313">
        <v>5500</v>
      </c>
      <c r="G34" s="313">
        <v>5500</v>
      </c>
      <c r="H34" s="313">
        <v>5500</v>
      </c>
      <c r="I34" s="313">
        <v>5500</v>
      </c>
      <c r="J34" s="313">
        <v>5500</v>
      </c>
      <c r="K34" s="313">
        <v>5500</v>
      </c>
      <c r="L34" s="313">
        <v>5500</v>
      </c>
      <c r="M34" s="313">
        <v>5500</v>
      </c>
      <c r="N34" s="313">
        <v>5500</v>
      </c>
      <c r="O34" s="313">
        <v>5500</v>
      </c>
      <c r="P34" s="313">
        <v>5500</v>
      </c>
      <c r="Q34" s="313">
        <v>5500</v>
      </c>
      <c r="R34" s="313">
        <v>5500</v>
      </c>
      <c r="S34" s="313">
        <v>5500</v>
      </c>
      <c r="T34" s="313">
        <v>5500</v>
      </c>
      <c r="U34" s="313">
        <v>5500</v>
      </c>
      <c r="V34" s="313">
        <v>5500</v>
      </c>
      <c r="W34" s="313">
        <v>5500</v>
      </c>
      <c r="X34" s="313">
        <v>5500</v>
      </c>
    </row>
    <row r="35" spans="1:24">
      <c r="A35" s="54" t="s">
        <v>221</v>
      </c>
      <c r="B35" s="21"/>
      <c r="C35" s="21"/>
      <c r="D35" s="486">
        <v>0</v>
      </c>
      <c r="E35" s="330">
        <f>E18/E29</f>
        <v>400</v>
      </c>
      <c r="F35" s="330">
        <f t="shared" ref="F35:X35" si="3">F18/F29</f>
        <v>466.66666666666669</v>
      </c>
      <c r="G35" s="330">
        <f t="shared" si="3"/>
        <v>533.33333333333337</v>
      </c>
      <c r="H35" s="330">
        <f t="shared" si="3"/>
        <v>533.33333333333337</v>
      </c>
      <c r="I35" s="330">
        <f t="shared" si="3"/>
        <v>533.33333333333337</v>
      </c>
      <c r="J35" s="330">
        <f t="shared" si="3"/>
        <v>533.33333333333337</v>
      </c>
      <c r="K35" s="330">
        <f t="shared" si="3"/>
        <v>533.33333333333337</v>
      </c>
      <c r="L35" s="330">
        <f t="shared" si="3"/>
        <v>533.33333333333337</v>
      </c>
      <c r="M35" s="330">
        <f t="shared" si="3"/>
        <v>533.33333333333337</v>
      </c>
      <c r="N35" s="330">
        <f t="shared" si="3"/>
        <v>533.33333333333337</v>
      </c>
      <c r="O35" s="330">
        <f t="shared" si="3"/>
        <v>533.33333333333337</v>
      </c>
      <c r="P35" s="330">
        <f t="shared" si="3"/>
        <v>533.33333333333337</v>
      </c>
      <c r="Q35" s="330">
        <f t="shared" si="3"/>
        <v>533.33333333333337</v>
      </c>
      <c r="R35" s="330">
        <f t="shared" si="3"/>
        <v>533.33333333333337</v>
      </c>
      <c r="S35" s="330">
        <f t="shared" si="3"/>
        <v>533.33333333333337</v>
      </c>
      <c r="T35" s="330">
        <f t="shared" si="3"/>
        <v>533.33333333333337</v>
      </c>
      <c r="U35" s="330">
        <f t="shared" si="3"/>
        <v>533.33333333333337</v>
      </c>
      <c r="V35" s="330">
        <f t="shared" si="3"/>
        <v>533.33333333333337</v>
      </c>
      <c r="W35" s="330">
        <f t="shared" si="3"/>
        <v>533.33333333333337</v>
      </c>
      <c r="X35" s="330">
        <f t="shared" si="3"/>
        <v>533.33333333333337</v>
      </c>
    </row>
    <row r="36" spans="1:24">
      <c r="A36" s="54" t="s">
        <v>222</v>
      </c>
      <c r="B36" s="21"/>
      <c r="C36" s="21"/>
      <c r="D36" s="486">
        <v>0</v>
      </c>
      <c r="E36" s="330">
        <v>800</v>
      </c>
      <c r="F36" s="330">
        <v>800</v>
      </c>
      <c r="G36" s="330">
        <v>800</v>
      </c>
      <c r="H36" s="330">
        <v>800</v>
      </c>
      <c r="I36" s="330">
        <v>800</v>
      </c>
      <c r="J36" s="330">
        <v>800</v>
      </c>
      <c r="K36" s="330">
        <v>800</v>
      </c>
      <c r="L36" s="330">
        <v>800</v>
      </c>
      <c r="M36" s="330">
        <v>800</v>
      </c>
      <c r="N36" s="330">
        <v>800</v>
      </c>
      <c r="O36" s="330">
        <v>800</v>
      </c>
      <c r="P36" s="330">
        <v>800</v>
      </c>
      <c r="Q36" s="330">
        <v>800</v>
      </c>
      <c r="R36" s="330">
        <v>800</v>
      </c>
      <c r="S36" s="330">
        <v>800</v>
      </c>
      <c r="T36" s="330">
        <v>800</v>
      </c>
      <c r="U36" s="330">
        <v>800</v>
      </c>
      <c r="V36" s="330">
        <v>800</v>
      </c>
      <c r="W36" s="330">
        <v>800</v>
      </c>
      <c r="X36" s="330">
        <v>800</v>
      </c>
    </row>
    <row r="37" spans="1:24">
      <c r="A37" s="54" t="s">
        <v>208</v>
      </c>
      <c r="B37" s="21"/>
      <c r="C37" s="21"/>
      <c r="D37" s="486">
        <v>0</v>
      </c>
      <c r="E37" s="330">
        <f>SUM(E34,E36)</f>
        <v>800</v>
      </c>
      <c r="F37" s="330">
        <f t="shared" ref="F37:X37" si="4">SUM(F34,F36)</f>
        <v>6300</v>
      </c>
      <c r="G37" s="330">
        <f t="shared" si="4"/>
        <v>6300</v>
      </c>
      <c r="H37" s="330">
        <f t="shared" si="4"/>
        <v>6300</v>
      </c>
      <c r="I37" s="330">
        <f t="shared" si="4"/>
        <v>6300</v>
      </c>
      <c r="J37" s="330">
        <f t="shared" si="4"/>
        <v>6300</v>
      </c>
      <c r="K37" s="330">
        <f t="shared" si="4"/>
        <v>6300</v>
      </c>
      <c r="L37" s="330">
        <f t="shared" si="4"/>
        <v>6300</v>
      </c>
      <c r="M37" s="330">
        <f t="shared" si="4"/>
        <v>6300</v>
      </c>
      <c r="N37" s="330">
        <f t="shared" si="4"/>
        <v>6300</v>
      </c>
      <c r="O37" s="330">
        <f t="shared" si="4"/>
        <v>6300</v>
      </c>
      <c r="P37" s="330">
        <f t="shared" si="4"/>
        <v>6300</v>
      </c>
      <c r="Q37" s="330">
        <f t="shared" si="4"/>
        <v>6300</v>
      </c>
      <c r="R37" s="330">
        <f t="shared" si="4"/>
        <v>6300</v>
      </c>
      <c r="S37" s="330">
        <f t="shared" si="4"/>
        <v>6300</v>
      </c>
      <c r="T37" s="330">
        <f t="shared" si="4"/>
        <v>6300</v>
      </c>
      <c r="U37" s="330">
        <f t="shared" si="4"/>
        <v>6300</v>
      </c>
      <c r="V37" s="330">
        <f t="shared" si="4"/>
        <v>6300</v>
      </c>
      <c r="W37" s="330">
        <f t="shared" si="4"/>
        <v>6300</v>
      </c>
      <c r="X37" s="330">
        <f t="shared" si="4"/>
        <v>6300</v>
      </c>
    </row>
    <row r="38" spans="1:24">
      <c r="A38" s="54"/>
      <c r="B38" s="21"/>
      <c r="C38" s="21"/>
      <c r="D38" s="486"/>
      <c r="E38" s="330"/>
      <c r="F38" s="330"/>
      <c r="G38" s="330"/>
      <c r="H38" s="330"/>
      <c r="I38" s="330"/>
      <c r="J38" s="330"/>
      <c r="K38" s="330"/>
      <c r="L38" s="330"/>
      <c r="M38" s="330"/>
      <c r="N38" s="330"/>
      <c r="O38" s="330"/>
      <c r="P38" s="330"/>
      <c r="Q38" s="330"/>
      <c r="R38" s="330"/>
      <c r="S38" s="330"/>
      <c r="T38" s="330"/>
      <c r="U38" s="330"/>
      <c r="V38" s="330"/>
      <c r="W38" s="330"/>
      <c r="X38" s="330"/>
    </row>
    <row r="39" spans="1:24">
      <c r="A39" s="54" t="s">
        <v>223</v>
      </c>
      <c r="B39" s="74"/>
      <c r="C39" s="74"/>
      <c r="D39" s="486">
        <v>0</v>
      </c>
      <c r="E39" s="313">
        <f>(E19+E20)/E29</f>
        <v>160.26666666666668</v>
      </c>
      <c r="F39" s="313">
        <f t="shared" ref="F39:X39" si="5">(F19+F20)/F29</f>
        <v>187</v>
      </c>
      <c r="G39" s="313">
        <f t="shared" si="5"/>
        <v>213.73333333333332</v>
      </c>
      <c r="H39" s="313">
        <f t="shared" si="5"/>
        <v>213.73333333333332</v>
      </c>
      <c r="I39" s="313">
        <f t="shared" si="5"/>
        <v>213.73333333333332</v>
      </c>
      <c r="J39" s="313">
        <f t="shared" si="5"/>
        <v>213.73333333333332</v>
      </c>
      <c r="K39" s="313">
        <f t="shared" si="5"/>
        <v>213.73333333333332</v>
      </c>
      <c r="L39" s="313">
        <f t="shared" si="5"/>
        <v>213.73333333333332</v>
      </c>
      <c r="M39" s="313">
        <f t="shared" si="5"/>
        <v>213.73333333333332</v>
      </c>
      <c r="N39" s="313">
        <f t="shared" si="5"/>
        <v>213.73333333333332</v>
      </c>
      <c r="O39" s="313">
        <f t="shared" si="5"/>
        <v>213.73333333333332</v>
      </c>
      <c r="P39" s="313">
        <f t="shared" si="5"/>
        <v>213.73333333333332</v>
      </c>
      <c r="Q39" s="313">
        <f t="shared" si="5"/>
        <v>213.73333333333332</v>
      </c>
      <c r="R39" s="313">
        <f t="shared" si="5"/>
        <v>213.73333333333332</v>
      </c>
      <c r="S39" s="313">
        <f t="shared" si="5"/>
        <v>213.73333333333332</v>
      </c>
      <c r="T39" s="313">
        <f t="shared" si="5"/>
        <v>213.73333333333332</v>
      </c>
      <c r="U39" s="313">
        <f t="shared" si="5"/>
        <v>213.73333333333332</v>
      </c>
      <c r="V39" s="313">
        <f t="shared" si="5"/>
        <v>213.73333333333332</v>
      </c>
      <c r="W39" s="313">
        <f t="shared" si="5"/>
        <v>213.73333333333332</v>
      </c>
      <c r="X39" s="313">
        <f t="shared" si="5"/>
        <v>213.73333333333332</v>
      </c>
    </row>
    <row r="40" spans="1:24">
      <c r="A40" s="54"/>
      <c r="B40" s="74"/>
      <c r="C40" s="74"/>
      <c r="D40" s="492"/>
      <c r="E40" s="308"/>
      <c r="F40" s="308"/>
      <c r="G40" s="308"/>
      <c r="H40" s="308"/>
      <c r="I40" s="308"/>
      <c r="J40" s="308"/>
      <c r="K40" s="308"/>
      <c r="L40" s="308"/>
      <c r="M40" s="308"/>
      <c r="N40" s="308"/>
      <c r="O40" s="308"/>
      <c r="P40" s="308"/>
      <c r="Q40" s="308"/>
      <c r="R40" s="308"/>
      <c r="S40" s="308"/>
      <c r="T40" s="308"/>
      <c r="U40" s="308"/>
      <c r="V40" s="308"/>
      <c r="W40" s="308"/>
      <c r="X40" s="308"/>
    </row>
    <row r="41" spans="1:24">
      <c r="A41" s="293" t="s">
        <v>26</v>
      </c>
      <c r="B41" s="74"/>
      <c r="C41" s="74"/>
      <c r="D41" s="492"/>
      <c r="E41" s="308"/>
      <c r="F41" s="308"/>
      <c r="G41" s="308"/>
      <c r="H41" s="308"/>
      <c r="I41" s="308"/>
      <c r="J41" s="308"/>
      <c r="K41" s="308"/>
      <c r="L41" s="308"/>
      <c r="M41" s="308"/>
      <c r="N41" s="308"/>
      <c r="O41" s="308"/>
      <c r="P41" s="308"/>
      <c r="Q41" s="308"/>
      <c r="R41" s="308"/>
      <c r="S41" s="308"/>
      <c r="T41" s="308"/>
      <c r="U41" s="308"/>
      <c r="V41" s="308"/>
      <c r="W41" s="308"/>
      <c r="X41" s="308"/>
    </row>
    <row r="42" spans="1:24">
      <c r="A42" s="54" t="s">
        <v>264</v>
      </c>
      <c r="B42" s="277"/>
      <c r="C42" s="74"/>
      <c r="D42" s="486">
        <v>0</v>
      </c>
      <c r="E42" s="313">
        <f>'Parking Projections'!C94</f>
        <v>13920.314236111111</v>
      </c>
      <c r="F42" s="313">
        <f>'Parking Projections'!D94</f>
        <v>13920.314236111111</v>
      </c>
      <c r="G42" s="313">
        <f>'Parking Projections'!E94</f>
        <v>13920.314236111111</v>
      </c>
      <c r="H42" s="313">
        <f>'Parking Projections'!F94</f>
        <v>13920.314236111111</v>
      </c>
      <c r="I42" s="313">
        <f>'Parking Projections'!G94</f>
        <v>13920.314236111111</v>
      </c>
      <c r="J42" s="313">
        <f>'Parking Projections'!H94</f>
        <v>13920.314236111111</v>
      </c>
      <c r="K42" s="313">
        <f>'Parking Projections'!I94</f>
        <v>13920.314236111111</v>
      </c>
      <c r="L42" s="313">
        <f>'Parking Projections'!J94</f>
        <v>13920.314236111111</v>
      </c>
      <c r="M42" s="313">
        <f>'Parking Projections'!K94</f>
        <v>13920.314236111111</v>
      </c>
      <c r="N42" s="313">
        <f>'Parking Projections'!L94</f>
        <v>13920.314236111111</v>
      </c>
      <c r="O42" s="313">
        <f>'Parking Projections'!M94</f>
        <v>13920.314236111111</v>
      </c>
      <c r="P42" s="313">
        <f>'Parking Projections'!N94</f>
        <v>13920.314236111111</v>
      </c>
      <c r="Q42" s="313">
        <f>'Parking Projections'!O94</f>
        <v>13920.314236111111</v>
      </c>
      <c r="R42" s="313">
        <f>'Parking Projections'!P94</f>
        <v>13920.314236111111</v>
      </c>
      <c r="S42" s="313">
        <f>'Parking Projections'!Q94</f>
        <v>13920.314236111111</v>
      </c>
      <c r="T42" s="313">
        <f>'Parking Projections'!R94</f>
        <v>13920.314236111111</v>
      </c>
      <c r="U42" s="313">
        <f>'Parking Projections'!S94</f>
        <v>13920.314236111111</v>
      </c>
      <c r="V42" s="313">
        <f>'Parking Projections'!T94</f>
        <v>13920.314236111111</v>
      </c>
      <c r="W42" s="313">
        <f>'Parking Projections'!U94</f>
        <v>13920.314236111111</v>
      </c>
      <c r="X42" s="313">
        <f>'Parking Projections'!V94</f>
        <v>13920.314236111111</v>
      </c>
    </row>
    <row r="43" spans="1:24">
      <c r="A43" s="54" t="s">
        <v>267</v>
      </c>
      <c r="B43" s="277"/>
      <c r="C43" s="74"/>
      <c r="D43" s="486">
        <v>0</v>
      </c>
      <c r="E43" s="313">
        <f>'Parking Projections'!C98</f>
        <v>13115.666666666662</v>
      </c>
      <c r="F43" s="313">
        <f>'Parking Projections'!D98</f>
        <v>13115.666666666662</v>
      </c>
      <c r="G43" s="313">
        <f>'Parking Projections'!E98</f>
        <v>13115.666666666662</v>
      </c>
      <c r="H43" s="313">
        <f>'Parking Projections'!F98</f>
        <v>13115.666666666662</v>
      </c>
      <c r="I43" s="313">
        <f>'Parking Projections'!G98</f>
        <v>13115.666666666662</v>
      </c>
      <c r="J43" s="313">
        <f>'Parking Projections'!H98</f>
        <v>13115.666666666662</v>
      </c>
      <c r="K43" s="313">
        <f>'Parking Projections'!I98</f>
        <v>13115.666666666662</v>
      </c>
      <c r="L43" s="313">
        <f>'Parking Projections'!J98</f>
        <v>13115.666666666662</v>
      </c>
      <c r="M43" s="313">
        <f>'Parking Projections'!K98</f>
        <v>13115.666666666662</v>
      </c>
      <c r="N43" s="313">
        <f>'Parking Projections'!L98</f>
        <v>13115.666666666662</v>
      </c>
      <c r="O43" s="313">
        <f>'Parking Projections'!M98</f>
        <v>13115.666666666662</v>
      </c>
      <c r="P43" s="313">
        <f>'Parking Projections'!N98</f>
        <v>13115.666666666662</v>
      </c>
      <c r="Q43" s="313">
        <f>'Parking Projections'!O98</f>
        <v>13115.666666666662</v>
      </c>
      <c r="R43" s="313">
        <f>'Parking Projections'!P98</f>
        <v>13115.666666666662</v>
      </c>
      <c r="S43" s="313">
        <f>'Parking Projections'!Q98</f>
        <v>13115.666666666662</v>
      </c>
      <c r="T43" s="313">
        <f>'Parking Projections'!R98</f>
        <v>13115.666666666662</v>
      </c>
      <c r="U43" s="313">
        <f>'Parking Projections'!S98</f>
        <v>13115.666666666662</v>
      </c>
      <c r="V43" s="313">
        <f>'Parking Projections'!T98</f>
        <v>13115.666666666662</v>
      </c>
      <c r="W43" s="313">
        <f>'Parking Projections'!U98</f>
        <v>13115.666666666662</v>
      </c>
      <c r="X43" s="313">
        <f>'Parking Projections'!V98</f>
        <v>13115.666666666662</v>
      </c>
    </row>
    <row r="44" spans="1:24" s="96" customFormat="1">
      <c r="A44" s="54" t="s">
        <v>274</v>
      </c>
      <c r="B44" s="435"/>
      <c r="C44" s="583"/>
      <c r="D44" s="486">
        <v>0</v>
      </c>
      <c r="E44" s="313">
        <f>SUM(E42:E43)</f>
        <v>27035.980902777774</v>
      </c>
      <c r="F44" s="313">
        <f t="shared" ref="F44:X44" si="6">SUM(F42:F43)</f>
        <v>27035.980902777774</v>
      </c>
      <c r="G44" s="313">
        <f t="shared" si="6"/>
        <v>27035.980902777774</v>
      </c>
      <c r="H44" s="313">
        <f t="shared" si="6"/>
        <v>27035.980902777774</v>
      </c>
      <c r="I44" s="313">
        <f t="shared" si="6"/>
        <v>27035.980902777774</v>
      </c>
      <c r="J44" s="313">
        <f t="shared" si="6"/>
        <v>27035.980902777774</v>
      </c>
      <c r="K44" s="313">
        <f t="shared" si="6"/>
        <v>27035.980902777774</v>
      </c>
      <c r="L44" s="313">
        <f t="shared" si="6"/>
        <v>27035.980902777774</v>
      </c>
      <c r="M44" s="313">
        <f t="shared" si="6"/>
        <v>27035.980902777774</v>
      </c>
      <c r="N44" s="313">
        <f t="shared" si="6"/>
        <v>27035.980902777774</v>
      </c>
      <c r="O44" s="313">
        <f t="shared" si="6"/>
        <v>27035.980902777774</v>
      </c>
      <c r="P44" s="313">
        <f t="shared" si="6"/>
        <v>27035.980902777774</v>
      </c>
      <c r="Q44" s="313">
        <f t="shared" si="6"/>
        <v>27035.980902777774</v>
      </c>
      <c r="R44" s="313">
        <f t="shared" si="6"/>
        <v>27035.980902777774</v>
      </c>
      <c r="S44" s="313">
        <f t="shared" si="6"/>
        <v>27035.980902777774</v>
      </c>
      <c r="T44" s="313">
        <f t="shared" si="6"/>
        <v>27035.980902777774</v>
      </c>
      <c r="U44" s="313">
        <f t="shared" si="6"/>
        <v>27035.980902777774</v>
      </c>
      <c r="V44" s="313">
        <f t="shared" si="6"/>
        <v>27035.980902777774</v>
      </c>
      <c r="W44" s="313">
        <f t="shared" si="6"/>
        <v>27035.980902777774</v>
      </c>
      <c r="X44" s="313">
        <f t="shared" si="6"/>
        <v>27035.980902777774</v>
      </c>
    </row>
    <row r="45" spans="1:24">
      <c r="A45" s="54"/>
      <c r="B45" s="277"/>
      <c r="C45" s="74"/>
      <c r="D45" s="499"/>
      <c r="E45" s="308"/>
      <c r="F45" s="308"/>
      <c r="G45" s="308"/>
      <c r="H45" s="308"/>
      <c r="I45" s="308"/>
      <c r="J45" s="308"/>
      <c r="K45" s="308"/>
      <c r="L45" s="308"/>
      <c r="M45" s="308"/>
      <c r="N45" s="308"/>
      <c r="O45" s="308"/>
      <c r="P45" s="308"/>
      <c r="Q45" s="308"/>
      <c r="R45" s="308"/>
      <c r="S45" s="308"/>
      <c r="T45" s="308"/>
      <c r="U45" s="308"/>
      <c r="V45" s="308"/>
      <c r="W45" s="308"/>
      <c r="X45" s="308"/>
    </row>
    <row r="46" spans="1:24" s="96" customFormat="1">
      <c r="A46" s="54" t="s">
        <v>224</v>
      </c>
      <c r="B46" s="435"/>
      <c r="C46" s="583"/>
      <c r="D46" s="486">
        <v>0</v>
      </c>
      <c r="E46" s="496">
        <v>3</v>
      </c>
      <c r="F46" s="496">
        <v>3</v>
      </c>
      <c r="G46" s="496">
        <v>3</v>
      </c>
      <c r="H46" s="496">
        <v>3</v>
      </c>
      <c r="I46" s="496">
        <v>3</v>
      </c>
      <c r="J46" s="496">
        <v>3</v>
      </c>
      <c r="K46" s="496">
        <v>3</v>
      </c>
      <c r="L46" s="496">
        <v>3</v>
      </c>
      <c r="M46" s="496">
        <v>3</v>
      </c>
      <c r="N46" s="496">
        <v>3</v>
      </c>
      <c r="O46" s="496">
        <v>3</v>
      </c>
      <c r="P46" s="496">
        <v>3</v>
      </c>
      <c r="Q46" s="496">
        <v>3</v>
      </c>
      <c r="R46" s="496">
        <v>3</v>
      </c>
      <c r="S46" s="496">
        <v>3</v>
      </c>
      <c r="T46" s="496">
        <v>3</v>
      </c>
      <c r="U46" s="496">
        <v>3</v>
      </c>
      <c r="V46" s="496">
        <v>3</v>
      </c>
      <c r="W46" s="496">
        <v>3</v>
      </c>
      <c r="X46" s="496">
        <v>3</v>
      </c>
    </row>
    <row r="47" spans="1:24" s="96" customFormat="1">
      <c r="A47" s="54" t="s">
        <v>225</v>
      </c>
      <c r="B47" s="435"/>
      <c r="C47" s="583"/>
      <c r="D47" s="486">
        <v>0</v>
      </c>
      <c r="E47" s="496">
        <v>1</v>
      </c>
      <c r="F47" s="496">
        <v>1</v>
      </c>
      <c r="G47" s="496">
        <v>1</v>
      </c>
      <c r="H47" s="496">
        <v>1</v>
      </c>
      <c r="I47" s="496">
        <v>1</v>
      </c>
      <c r="J47" s="496">
        <v>1</v>
      </c>
      <c r="K47" s="496">
        <v>1</v>
      </c>
      <c r="L47" s="496">
        <v>1</v>
      </c>
      <c r="M47" s="496">
        <v>1</v>
      </c>
      <c r="N47" s="496">
        <v>1</v>
      </c>
      <c r="O47" s="496">
        <v>1</v>
      </c>
      <c r="P47" s="496">
        <v>1</v>
      </c>
      <c r="Q47" s="496">
        <v>1</v>
      </c>
      <c r="R47" s="496">
        <v>1</v>
      </c>
      <c r="S47" s="496">
        <v>1</v>
      </c>
      <c r="T47" s="496">
        <v>1</v>
      </c>
      <c r="U47" s="496">
        <v>1</v>
      </c>
      <c r="V47" s="496">
        <v>1</v>
      </c>
      <c r="W47" s="496">
        <v>1</v>
      </c>
      <c r="X47" s="496">
        <v>1</v>
      </c>
    </row>
    <row r="48" spans="1:24">
      <c r="A48" s="54" t="s">
        <v>209</v>
      </c>
      <c r="B48" s="277"/>
      <c r="C48" s="74"/>
      <c r="D48" s="486">
        <v>0</v>
      </c>
      <c r="E48" s="496">
        <v>0.5</v>
      </c>
      <c r="F48" s="496">
        <v>0.5</v>
      </c>
      <c r="G48" s="496">
        <v>0.5</v>
      </c>
      <c r="H48" s="496">
        <v>0.5</v>
      </c>
      <c r="I48" s="496">
        <v>0.5</v>
      </c>
      <c r="J48" s="496">
        <v>0.5</v>
      </c>
      <c r="K48" s="496">
        <v>0.5</v>
      </c>
      <c r="L48" s="496">
        <v>0.5</v>
      </c>
      <c r="M48" s="496">
        <v>0.5</v>
      </c>
      <c r="N48" s="496">
        <v>0.5</v>
      </c>
      <c r="O48" s="496">
        <v>0.5</v>
      </c>
      <c r="P48" s="496">
        <v>0.5</v>
      </c>
      <c r="Q48" s="496">
        <v>0.5</v>
      </c>
      <c r="R48" s="496">
        <v>0.5</v>
      </c>
      <c r="S48" s="496">
        <v>0.5</v>
      </c>
      <c r="T48" s="496">
        <v>0.5</v>
      </c>
      <c r="U48" s="496">
        <v>0.5</v>
      </c>
      <c r="V48" s="496">
        <v>0.5</v>
      </c>
      <c r="W48" s="496">
        <v>0.5</v>
      </c>
      <c r="X48" s="496">
        <v>0.5</v>
      </c>
    </row>
    <row r="49" spans="1:25 16384:16384">
      <c r="A49" s="54" t="s">
        <v>289</v>
      </c>
      <c r="B49" s="277"/>
      <c r="C49" s="74"/>
      <c r="D49" s="486">
        <v>0</v>
      </c>
      <c r="E49" s="496">
        <f t="shared" ref="E49:X49" si="7">SUM(E46:E48)/3</f>
        <v>1.5</v>
      </c>
      <c r="F49" s="496">
        <f t="shared" si="7"/>
        <v>1.5</v>
      </c>
      <c r="G49" s="496">
        <f t="shared" si="7"/>
        <v>1.5</v>
      </c>
      <c r="H49" s="496">
        <f t="shared" si="7"/>
        <v>1.5</v>
      </c>
      <c r="I49" s="496">
        <f t="shared" si="7"/>
        <v>1.5</v>
      </c>
      <c r="J49" s="496">
        <f t="shared" si="7"/>
        <v>1.5</v>
      </c>
      <c r="K49" s="496">
        <f t="shared" si="7"/>
        <v>1.5</v>
      </c>
      <c r="L49" s="496">
        <f t="shared" si="7"/>
        <v>1.5</v>
      </c>
      <c r="M49" s="496">
        <f t="shared" si="7"/>
        <v>1.5</v>
      </c>
      <c r="N49" s="496">
        <f t="shared" si="7"/>
        <v>1.5</v>
      </c>
      <c r="O49" s="496">
        <f t="shared" si="7"/>
        <v>1.5</v>
      </c>
      <c r="P49" s="496">
        <f t="shared" si="7"/>
        <v>1.5</v>
      </c>
      <c r="Q49" s="496">
        <f t="shared" si="7"/>
        <v>1.5</v>
      </c>
      <c r="R49" s="496">
        <f t="shared" si="7"/>
        <v>1.5</v>
      </c>
      <c r="S49" s="496">
        <f t="shared" si="7"/>
        <v>1.5</v>
      </c>
      <c r="T49" s="496">
        <f t="shared" si="7"/>
        <v>1.5</v>
      </c>
      <c r="U49" s="496">
        <f t="shared" si="7"/>
        <v>1.5</v>
      </c>
      <c r="V49" s="496">
        <f t="shared" si="7"/>
        <v>1.5</v>
      </c>
      <c r="W49" s="496">
        <f t="shared" si="7"/>
        <v>1.5</v>
      </c>
      <c r="X49" s="496">
        <f t="shared" si="7"/>
        <v>1.5</v>
      </c>
    </row>
    <row r="50" spans="1:25 16384:16384">
      <c r="A50" s="54"/>
      <c r="B50" s="277"/>
      <c r="C50" s="74"/>
      <c r="D50" s="486"/>
      <c r="E50" s="496"/>
      <c r="F50" s="496"/>
      <c r="G50" s="496"/>
      <c r="H50" s="496"/>
      <c r="I50" s="496"/>
      <c r="J50" s="496"/>
      <c r="K50" s="496"/>
      <c r="L50" s="496"/>
      <c r="M50" s="496"/>
      <c r="N50" s="496"/>
      <c r="O50" s="496"/>
      <c r="P50" s="496"/>
      <c r="Q50" s="496"/>
      <c r="R50" s="496"/>
      <c r="S50" s="496"/>
      <c r="T50" s="496"/>
      <c r="U50" s="496"/>
      <c r="V50" s="496"/>
      <c r="W50" s="496"/>
      <c r="X50" s="496"/>
    </row>
    <row r="51" spans="1:25 16384:16384">
      <c r="A51" s="54" t="s">
        <v>312</v>
      </c>
      <c r="B51" s="277"/>
      <c r="C51" s="74"/>
      <c r="D51" s="486">
        <v>0</v>
      </c>
      <c r="E51" s="313">
        <f>'Shuttle Projections'!C33</f>
        <v>7190</v>
      </c>
      <c r="F51" s="313">
        <f>'Shuttle Projections'!D33</f>
        <v>7190</v>
      </c>
      <c r="G51" s="313">
        <f>'Shuttle Projections'!E33</f>
        <v>7190</v>
      </c>
      <c r="H51" s="313">
        <f>'Shuttle Projections'!F33</f>
        <v>7190</v>
      </c>
      <c r="I51" s="313">
        <f>'Shuttle Projections'!G33</f>
        <v>7190</v>
      </c>
      <c r="J51" s="313">
        <f>'Shuttle Projections'!H33</f>
        <v>7190</v>
      </c>
      <c r="K51" s="313">
        <f>'Shuttle Projections'!I33</f>
        <v>7190</v>
      </c>
      <c r="L51" s="313">
        <f>'Shuttle Projections'!J33</f>
        <v>7190</v>
      </c>
      <c r="M51" s="313">
        <f>'Shuttle Projections'!K33</f>
        <v>7190</v>
      </c>
      <c r="N51" s="313">
        <f>'Shuttle Projections'!L33</f>
        <v>7190</v>
      </c>
      <c r="O51" s="313">
        <f>'Shuttle Projections'!M33</f>
        <v>7190</v>
      </c>
      <c r="P51" s="313">
        <f>'Shuttle Projections'!N33</f>
        <v>7190</v>
      </c>
      <c r="Q51" s="313">
        <f>'Shuttle Projections'!O33</f>
        <v>7190</v>
      </c>
      <c r="R51" s="313">
        <f>'Shuttle Projections'!P33</f>
        <v>7190</v>
      </c>
      <c r="S51" s="313">
        <f>'Shuttle Projections'!Q33</f>
        <v>7190</v>
      </c>
      <c r="T51" s="313">
        <f>'Shuttle Projections'!R33</f>
        <v>7190</v>
      </c>
      <c r="U51" s="313">
        <f>'Shuttle Projections'!S33</f>
        <v>7190</v>
      </c>
      <c r="V51" s="313">
        <f>'Shuttle Projections'!T33</f>
        <v>7190</v>
      </c>
      <c r="W51" s="313">
        <f>'Shuttle Projections'!U33</f>
        <v>7190</v>
      </c>
      <c r="X51" s="313">
        <f>'Shuttle Projections'!V33</f>
        <v>7190</v>
      </c>
      <c r="XFD51" s="570"/>
    </row>
    <row r="52" spans="1:25 16384:16384">
      <c r="A52" s="54"/>
      <c r="B52" s="277"/>
      <c r="C52" s="74"/>
      <c r="D52" s="486"/>
      <c r="E52" s="308"/>
      <c r="F52" s="308"/>
      <c r="G52" s="308"/>
      <c r="H52" s="308"/>
      <c r="I52" s="308"/>
      <c r="J52" s="308"/>
      <c r="K52" s="308"/>
      <c r="L52" s="308"/>
      <c r="M52" s="308"/>
      <c r="N52" s="308"/>
      <c r="O52" s="308"/>
      <c r="P52" s="308"/>
      <c r="Q52" s="308"/>
      <c r="R52" s="308"/>
      <c r="S52" s="308"/>
      <c r="T52" s="308"/>
      <c r="U52" s="308"/>
      <c r="V52" s="308"/>
      <c r="W52" s="308"/>
      <c r="X52" s="308"/>
    </row>
    <row r="53" spans="1:25 16384:16384" s="612" customFormat="1">
      <c r="A53" s="613" t="s">
        <v>292</v>
      </c>
      <c r="B53" s="614"/>
      <c r="C53" s="615"/>
      <c r="D53" s="616">
        <v>0</v>
      </c>
      <c r="E53" s="617">
        <v>0</v>
      </c>
      <c r="F53" s="617">
        <v>0</v>
      </c>
      <c r="G53" s="617">
        <v>100000</v>
      </c>
      <c r="H53" s="617">
        <v>100000</v>
      </c>
      <c r="I53" s="617">
        <v>100000</v>
      </c>
      <c r="J53" s="617">
        <v>100000</v>
      </c>
      <c r="K53" s="617">
        <v>100000</v>
      </c>
      <c r="L53" s="617">
        <v>100000</v>
      </c>
      <c r="M53" s="617">
        <v>100000</v>
      </c>
      <c r="N53" s="617">
        <v>100000</v>
      </c>
      <c r="O53" s="617">
        <v>100000</v>
      </c>
      <c r="P53" s="617">
        <v>100000</v>
      </c>
      <c r="Q53" s="617">
        <v>100000</v>
      </c>
      <c r="R53" s="617">
        <v>100000</v>
      </c>
      <c r="S53" s="617">
        <v>100000</v>
      </c>
      <c r="T53" s="617">
        <v>100000</v>
      </c>
      <c r="U53" s="617">
        <v>100000</v>
      </c>
      <c r="V53" s="617">
        <v>100000</v>
      </c>
      <c r="W53" s="617">
        <v>100000</v>
      </c>
      <c r="X53" s="618">
        <v>100000</v>
      </c>
    </row>
    <row r="54" spans="1:25 16384:16384">
      <c r="A54" s="54"/>
      <c r="B54" s="277"/>
      <c r="C54" s="74"/>
      <c r="D54" s="486"/>
      <c r="E54" s="308"/>
      <c r="F54" s="308"/>
      <c r="G54" s="308"/>
      <c r="H54" s="308"/>
      <c r="I54" s="308"/>
      <c r="J54" s="308"/>
      <c r="K54" s="308"/>
      <c r="L54" s="308"/>
      <c r="M54" s="308"/>
      <c r="N54" s="308"/>
      <c r="O54" s="308"/>
      <c r="P54" s="308"/>
      <c r="Q54" s="308"/>
      <c r="R54" s="308"/>
      <c r="S54" s="308"/>
      <c r="T54" s="308"/>
      <c r="U54" s="308"/>
      <c r="V54" s="308"/>
      <c r="W54" s="308"/>
      <c r="X54" s="308"/>
    </row>
    <row r="55" spans="1:25 16384:16384" s="582" customFormat="1">
      <c r="A55" s="293" t="str">
        <f>'BH Tariffs'!A33</f>
        <v>Recreational/Commercial Marina</v>
      </c>
      <c r="B55" s="584"/>
      <c r="C55" s="585"/>
      <c r="D55" s="486"/>
      <c r="E55" s="586"/>
      <c r="F55" s="586"/>
      <c r="G55" s="586"/>
      <c r="H55" s="586"/>
      <c r="I55" s="586"/>
      <c r="J55" s="586"/>
      <c r="K55" s="586"/>
      <c r="L55" s="586"/>
      <c r="M55" s="586"/>
      <c r="N55" s="586"/>
      <c r="O55" s="586"/>
      <c r="P55" s="586"/>
      <c r="Q55" s="586"/>
      <c r="R55" s="586"/>
      <c r="S55" s="586"/>
      <c r="T55" s="586"/>
      <c r="U55" s="586"/>
      <c r="V55" s="586"/>
      <c r="W55" s="586"/>
      <c r="X55" s="586"/>
    </row>
    <row r="56" spans="1:25 16384:16384" s="96" customFormat="1">
      <c r="A56" s="54" t="s">
        <v>291</v>
      </c>
      <c r="B56" s="435"/>
      <c r="C56" s="583"/>
      <c r="D56" s="486">
        <v>0</v>
      </c>
      <c r="E56" s="313">
        <v>0</v>
      </c>
      <c r="F56" s="313">
        <f>'Marina Projections'!D121</f>
        <v>32</v>
      </c>
      <c r="G56" s="313">
        <f>'Marina Projections'!E121</f>
        <v>32</v>
      </c>
      <c r="H56" s="313">
        <f>'Marina Projections'!F121</f>
        <v>32</v>
      </c>
      <c r="I56" s="313">
        <f>'Marina Projections'!G121</f>
        <v>32</v>
      </c>
      <c r="J56" s="313">
        <f>'Marina Projections'!H121</f>
        <v>32</v>
      </c>
      <c r="K56" s="313">
        <f>'Marina Projections'!I121</f>
        <v>32</v>
      </c>
      <c r="L56" s="313">
        <f>'Marina Projections'!J121</f>
        <v>32</v>
      </c>
      <c r="M56" s="313">
        <f>'Marina Projections'!K121</f>
        <v>32</v>
      </c>
      <c r="N56" s="313">
        <f>'Marina Projections'!L121</f>
        <v>32</v>
      </c>
      <c r="O56" s="313">
        <f>'Marina Projections'!M121</f>
        <v>32</v>
      </c>
      <c r="P56" s="313">
        <f>'Marina Projections'!N121</f>
        <v>32</v>
      </c>
      <c r="Q56" s="313">
        <f>'Marina Projections'!O121</f>
        <v>32</v>
      </c>
      <c r="R56" s="313">
        <f>'Marina Projections'!P121</f>
        <v>32</v>
      </c>
      <c r="S56" s="313">
        <f>'Marina Projections'!Q121</f>
        <v>32</v>
      </c>
      <c r="T56" s="313">
        <f>'Marina Projections'!R121</f>
        <v>32</v>
      </c>
      <c r="U56" s="313">
        <f>'Marina Projections'!S121</f>
        <v>32</v>
      </c>
      <c r="V56" s="313">
        <f>'Marina Projections'!T121</f>
        <v>32</v>
      </c>
      <c r="W56" s="313">
        <f>'Marina Projections'!U121</f>
        <v>32</v>
      </c>
      <c r="X56" s="313">
        <f>'Marina Projections'!V121</f>
        <v>32</v>
      </c>
    </row>
    <row r="57" spans="1:25 16384:16384" s="96" customFormat="1">
      <c r="A57" s="54" t="s">
        <v>293</v>
      </c>
      <c r="B57" s="435"/>
      <c r="C57" s="583"/>
      <c r="D57" s="486">
        <v>0</v>
      </c>
      <c r="E57" s="313">
        <v>0</v>
      </c>
      <c r="F57" s="313">
        <f>'Marina Projections'!D128</f>
        <v>30264.381562500002</v>
      </c>
      <c r="G57" s="313">
        <f>'Marina Projections'!E128</f>
        <v>30264.381562500002</v>
      </c>
      <c r="H57" s="313">
        <f>'Marina Projections'!F128</f>
        <v>30264.381562500002</v>
      </c>
      <c r="I57" s="313">
        <f>'Marina Projections'!G128</f>
        <v>30264.381562500002</v>
      </c>
      <c r="J57" s="313">
        <f>'Marina Projections'!H128</f>
        <v>30264.381562500002</v>
      </c>
      <c r="K57" s="313">
        <f>'Marina Projections'!I128</f>
        <v>30264.381562500002</v>
      </c>
      <c r="L57" s="313">
        <f>'Marina Projections'!J128</f>
        <v>30264.381562500002</v>
      </c>
      <c r="M57" s="313">
        <f>'Marina Projections'!K128</f>
        <v>30264.381562500002</v>
      </c>
      <c r="N57" s="313">
        <f>'Marina Projections'!L128</f>
        <v>30264.381562500002</v>
      </c>
      <c r="O57" s="313">
        <f>'Marina Projections'!M128</f>
        <v>30264.381562500002</v>
      </c>
      <c r="P57" s="313">
        <f>'Marina Projections'!N128</f>
        <v>30264.381562500002</v>
      </c>
      <c r="Q57" s="313">
        <f>'Marina Projections'!O128</f>
        <v>30264.381562500002</v>
      </c>
      <c r="R57" s="313">
        <f>'Marina Projections'!P128</f>
        <v>30264.381562500002</v>
      </c>
      <c r="S57" s="313">
        <f>'Marina Projections'!Q128</f>
        <v>30264.381562500002</v>
      </c>
      <c r="T57" s="313">
        <f>'Marina Projections'!R128</f>
        <v>30264.381562500002</v>
      </c>
      <c r="U57" s="313">
        <f>'Marina Projections'!S128</f>
        <v>30264.381562500002</v>
      </c>
      <c r="V57" s="313">
        <f>'Marina Projections'!T128</f>
        <v>30264.381562500002</v>
      </c>
      <c r="W57" s="313">
        <f>'Marina Projections'!U128</f>
        <v>30264.381562500002</v>
      </c>
      <c r="X57" s="313">
        <f>'Marina Projections'!V128</f>
        <v>30264.381562500002</v>
      </c>
    </row>
    <row r="58" spans="1:25 16384:16384" s="96" customFormat="1">
      <c r="A58" s="54" t="s">
        <v>294</v>
      </c>
      <c r="B58" s="435"/>
      <c r="C58" s="583"/>
      <c r="D58" s="486">
        <v>0</v>
      </c>
      <c r="E58" s="313">
        <v>0</v>
      </c>
      <c r="F58" s="313">
        <f>'Marina Projections'!D124</f>
        <v>1137.1500000000001</v>
      </c>
      <c r="G58" s="313">
        <f>'Marina Projections'!E124</f>
        <v>1137.1500000000001</v>
      </c>
      <c r="H58" s="313">
        <f>'Marina Projections'!F124</f>
        <v>1137.1500000000001</v>
      </c>
      <c r="I58" s="313">
        <f>'Marina Projections'!G124</f>
        <v>1137.1500000000001</v>
      </c>
      <c r="J58" s="313">
        <f>'Marina Projections'!H124</f>
        <v>1137.1500000000001</v>
      </c>
      <c r="K58" s="313">
        <f>'Marina Projections'!I124</f>
        <v>1137.1500000000001</v>
      </c>
      <c r="L58" s="313">
        <f>'Marina Projections'!J124</f>
        <v>1137.1500000000001</v>
      </c>
      <c r="M58" s="313">
        <f>'Marina Projections'!K124</f>
        <v>1137.1500000000001</v>
      </c>
      <c r="N58" s="313">
        <f>'Marina Projections'!L124</f>
        <v>1137.1500000000001</v>
      </c>
      <c r="O58" s="313">
        <f>'Marina Projections'!M124</f>
        <v>1137.1500000000001</v>
      </c>
      <c r="P58" s="313">
        <f>'Marina Projections'!N124</f>
        <v>1137.1500000000001</v>
      </c>
      <c r="Q58" s="313">
        <f>'Marina Projections'!O124</f>
        <v>1137.1500000000001</v>
      </c>
      <c r="R58" s="313">
        <f>'Marina Projections'!P124</f>
        <v>1137.1500000000001</v>
      </c>
      <c r="S58" s="313">
        <f>'Marina Projections'!Q124</f>
        <v>1137.1500000000001</v>
      </c>
      <c r="T58" s="313">
        <f>'Marina Projections'!R124</f>
        <v>1137.1500000000001</v>
      </c>
      <c r="U58" s="313">
        <f>'Marina Projections'!S124</f>
        <v>1137.1500000000001</v>
      </c>
      <c r="V58" s="313">
        <f>'Marina Projections'!T124</f>
        <v>1137.1500000000001</v>
      </c>
      <c r="W58" s="313">
        <f>'Marina Projections'!U124</f>
        <v>1137.1500000000001</v>
      </c>
      <c r="X58" s="313">
        <f>'Marina Projections'!V124</f>
        <v>1137.1500000000001</v>
      </c>
    </row>
    <row r="59" spans="1:25 16384:16384" s="167" customFormat="1">
      <c r="A59" s="497" t="s">
        <v>170</v>
      </c>
      <c r="B59" s="450"/>
      <c r="C59" s="498"/>
      <c r="D59" s="499">
        <v>0</v>
      </c>
      <c r="E59" s="587">
        <v>0</v>
      </c>
      <c r="F59" s="587">
        <v>0</v>
      </c>
      <c r="G59" s="587">
        <v>0</v>
      </c>
      <c r="H59" s="587">
        <v>0</v>
      </c>
      <c r="I59" s="587">
        <v>0</v>
      </c>
      <c r="J59" s="587">
        <v>0</v>
      </c>
      <c r="K59" s="587">
        <v>0</v>
      </c>
      <c r="L59" s="587">
        <v>0</v>
      </c>
      <c r="M59" s="587">
        <v>0</v>
      </c>
      <c r="N59" s="587">
        <v>0</v>
      </c>
      <c r="O59" s="587">
        <v>0</v>
      </c>
      <c r="P59" s="587">
        <v>0</v>
      </c>
      <c r="Q59" s="587">
        <v>0</v>
      </c>
      <c r="R59" s="587">
        <v>0</v>
      </c>
      <c r="S59" s="587">
        <v>0</v>
      </c>
      <c r="T59" s="587">
        <v>0</v>
      </c>
      <c r="U59" s="587">
        <v>0</v>
      </c>
      <c r="V59" s="587">
        <v>0</v>
      </c>
      <c r="W59" s="587">
        <v>0</v>
      </c>
      <c r="X59" s="587">
        <v>0</v>
      </c>
      <c r="Y59" s="167" t="s">
        <v>282</v>
      </c>
    </row>
    <row r="60" spans="1:25 16384:16384" s="167" customFormat="1">
      <c r="A60" s="497" t="s">
        <v>16</v>
      </c>
      <c r="B60" s="450"/>
      <c r="C60" s="498"/>
      <c r="D60" s="499">
        <v>0</v>
      </c>
      <c r="E60" s="587">
        <v>0</v>
      </c>
      <c r="F60" s="587">
        <v>0</v>
      </c>
      <c r="G60" s="587">
        <v>0</v>
      </c>
      <c r="H60" s="587">
        <v>0</v>
      </c>
      <c r="I60" s="587">
        <v>0</v>
      </c>
      <c r="J60" s="587">
        <v>0</v>
      </c>
      <c r="K60" s="587">
        <v>0</v>
      </c>
      <c r="L60" s="587">
        <v>0</v>
      </c>
      <c r="M60" s="587">
        <v>0</v>
      </c>
      <c r="N60" s="587">
        <v>0</v>
      </c>
      <c r="O60" s="587">
        <v>0</v>
      </c>
      <c r="P60" s="587">
        <v>0</v>
      </c>
      <c r="Q60" s="587">
        <v>0</v>
      </c>
      <c r="R60" s="587">
        <v>0</v>
      </c>
      <c r="S60" s="587">
        <v>0</v>
      </c>
      <c r="T60" s="587">
        <v>0</v>
      </c>
      <c r="U60" s="587">
        <v>0</v>
      </c>
      <c r="V60" s="587">
        <v>0</v>
      </c>
      <c r="W60" s="587">
        <v>0</v>
      </c>
      <c r="X60" s="587">
        <v>0</v>
      </c>
      <c r="Y60" s="167" t="s">
        <v>282</v>
      </c>
    </row>
    <row r="61" spans="1:25 16384:16384">
      <c r="A61" s="54"/>
      <c r="B61" s="277"/>
      <c r="C61" s="74"/>
      <c r="D61" s="492"/>
      <c r="E61" s="308"/>
      <c r="F61" s="308"/>
      <c r="G61" s="308"/>
      <c r="H61" s="308"/>
      <c r="I61" s="308"/>
      <c r="J61" s="308"/>
      <c r="K61" s="308"/>
      <c r="L61" s="308"/>
      <c r="M61" s="308"/>
      <c r="N61" s="308"/>
      <c r="O61" s="308"/>
      <c r="P61" s="308"/>
      <c r="Q61" s="308"/>
      <c r="R61" s="308"/>
      <c r="S61" s="308"/>
      <c r="T61" s="308"/>
      <c r="U61" s="308"/>
      <c r="V61" s="308"/>
      <c r="W61" s="308"/>
      <c r="X61" s="308"/>
    </row>
    <row r="62" spans="1:25 16384:16384">
      <c r="A62" s="293" t="s">
        <v>2</v>
      </c>
      <c r="B62" s="277"/>
      <c r="C62" s="74"/>
      <c r="D62" s="492"/>
      <c r="E62" s="308"/>
      <c r="F62" s="308"/>
      <c r="G62" s="308"/>
      <c r="H62" s="308"/>
      <c r="I62" s="308"/>
      <c r="J62" s="308"/>
      <c r="K62" s="308"/>
      <c r="L62" s="308"/>
      <c r="M62" s="308"/>
      <c r="N62" s="308"/>
      <c r="O62" s="308"/>
      <c r="P62" s="308"/>
      <c r="Q62" s="308"/>
      <c r="R62" s="308"/>
      <c r="S62" s="308"/>
      <c r="T62" s="308"/>
      <c r="U62" s="308"/>
      <c r="V62" s="308"/>
      <c r="W62" s="308"/>
      <c r="X62" s="308"/>
    </row>
    <row r="63" spans="1:25 16384:16384" s="96" customFormat="1">
      <c r="A63" s="54" t="s">
        <v>290</v>
      </c>
      <c r="B63" s="435">
        <v>500</v>
      </c>
      <c r="C63" s="487"/>
      <c r="D63" s="486">
        <v>0</v>
      </c>
      <c r="E63" s="313">
        <v>0</v>
      </c>
      <c r="F63" s="313">
        <v>0</v>
      </c>
      <c r="G63" s="313">
        <f t="shared" ref="G63:X63" si="8">$B$63</f>
        <v>500</v>
      </c>
      <c r="H63" s="313">
        <f t="shared" si="8"/>
        <v>500</v>
      </c>
      <c r="I63" s="313">
        <f t="shared" si="8"/>
        <v>500</v>
      </c>
      <c r="J63" s="313">
        <f t="shared" si="8"/>
        <v>500</v>
      </c>
      <c r="K63" s="313">
        <f t="shared" si="8"/>
        <v>500</v>
      </c>
      <c r="L63" s="313">
        <f t="shared" si="8"/>
        <v>500</v>
      </c>
      <c r="M63" s="313">
        <f t="shared" si="8"/>
        <v>500</v>
      </c>
      <c r="N63" s="313">
        <f t="shared" si="8"/>
        <v>500</v>
      </c>
      <c r="O63" s="313">
        <f t="shared" si="8"/>
        <v>500</v>
      </c>
      <c r="P63" s="313">
        <f t="shared" si="8"/>
        <v>500</v>
      </c>
      <c r="Q63" s="313">
        <f t="shared" si="8"/>
        <v>500</v>
      </c>
      <c r="R63" s="313">
        <f t="shared" si="8"/>
        <v>500</v>
      </c>
      <c r="S63" s="313">
        <f t="shared" si="8"/>
        <v>500</v>
      </c>
      <c r="T63" s="313">
        <f t="shared" si="8"/>
        <v>500</v>
      </c>
      <c r="U63" s="313">
        <f t="shared" si="8"/>
        <v>500</v>
      </c>
      <c r="V63" s="313">
        <f t="shared" si="8"/>
        <v>500</v>
      </c>
      <c r="W63" s="313">
        <f t="shared" si="8"/>
        <v>500</v>
      </c>
      <c r="X63" s="313">
        <f t="shared" si="8"/>
        <v>500</v>
      </c>
    </row>
    <row r="64" spans="1:25 16384:16384" s="96" customFormat="1">
      <c r="A64" s="54" t="s">
        <v>540</v>
      </c>
      <c r="B64" s="435"/>
      <c r="C64" s="487"/>
      <c r="D64" s="1055">
        <v>0</v>
      </c>
      <c r="E64" s="1056">
        <v>0</v>
      </c>
      <c r="F64" s="1056">
        <v>0</v>
      </c>
      <c r="G64" s="1056">
        <v>200000</v>
      </c>
      <c r="H64" s="1056">
        <f>G64</f>
        <v>200000</v>
      </c>
      <c r="I64" s="1056">
        <f t="shared" ref="I64:X64" si="9">H64</f>
        <v>200000</v>
      </c>
      <c r="J64" s="1056">
        <f t="shared" si="9"/>
        <v>200000</v>
      </c>
      <c r="K64" s="1056">
        <f t="shared" si="9"/>
        <v>200000</v>
      </c>
      <c r="L64" s="1056">
        <f t="shared" si="9"/>
        <v>200000</v>
      </c>
      <c r="M64" s="1056">
        <f t="shared" si="9"/>
        <v>200000</v>
      </c>
      <c r="N64" s="1056">
        <f t="shared" si="9"/>
        <v>200000</v>
      </c>
      <c r="O64" s="1056">
        <f t="shared" si="9"/>
        <v>200000</v>
      </c>
      <c r="P64" s="1056">
        <f t="shared" si="9"/>
        <v>200000</v>
      </c>
      <c r="Q64" s="1056">
        <f t="shared" si="9"/>
        <v>200000</v>
      </c>
      <c r="R64" s="1056">
        <f t="shared" si="9"/>
        <v>200000</v>
      </c>
      <c r="S64" s="1056">
        <f t="shared" si="9"/>
        <v>200000</v>
      </c>
      <c r="T64" s="1056">
        <f t="shared" si="9"/>
        <v>200000</v>
      </c>
      <c r="U64" s="1056">
        <f t="shared" si="9"/>
        <v>200000</v>
      </c>
      <c r="V64" s="1056">
        <f t="shared" si="9"/>
        <v>200000</v>
      </c>
      <c r="W64" s="1056">
        <f t="shared" si="9"/>
        <v>200000</v>
      </c>
      <c r="X64" s="1056">
        <f t="shared" si="9"/>
        <v>200000</v>
      </c>
    </row>
    <row r="65" spans="1:25" s="96" customFormat="1">
      <c r="A65" s="54" t="s">
        <v>210</v>
      </c>
      <c r="B65" s="487"/>
      <c r="C65" s="487"/>
      <c r="D65" s="486">
        <v>0</v>
      </c>
      <c r="E65" s="313">
        <v>0</v>
      </c>
      <c r="F65" s="313">
        <v>1</v>
      </c>
      <c r="G65" s="313">
        <v>2</v>
      </c>
      <c r="H65" s="313">
        <v>2</v>
      </c>
      <c r="I65" s="313">
        <v>2</v>
      </c>
      <c r="J65" s="313">
        <v>3</v>
      </c>
      <c r="K65" s="313">
        <v>3</v>
      </c>
      <c r="L65" s="313">
        <v>3</v>
      </c>
      <c r="M65" s="313">
        <v>3</v>
      </c>
      <c r="N65" s="313">
        <v>3</v>
      </c>
      <c r="O65" s="313">
        <v>4</v>
      </c>
      <c r="P65" s="313">
        <v>4</v>
      </c>
      <c r="Q65" s="313">
        <v>4</v>
      </c>
      <c r="R65" s="313">
        <v>4</v>
      </c>
      <c r="S65" s="313">
        <v>4</v>
      </c>
      <c r="T65" s="313">
        <v>5</v>
      </c>
      <c r="U65" s="313">
        <v>5</v>
      </c>
      <c r="V65" s="313">
        <v>5</v>
      </c>
      <c r="W65" s="313">
        <v>5</v>
      </c>
      <c r="X65" s="313">
        <v>5</v>
      </c>
      <c r="Y65" s="313"/>
    </row>
    <row r="66" spans="1:25" s="96" customFormat="1">
      <c r="A66" s="96" t="s">
        <v>211</v>
      </c>
      <c r="D66" s="486">
        <v>0</v>
      </c>
      <c r="E66" s="435">
        <v>0</v>
      </c>
      <c r="F66" s="435">
        <v>3</v>
      </c>
      <c r="G66" s="435">
        <v>3</v>
      </c>
      <c r="H66" s="435">
        <v>3</v>
      </c>
      <c r="I66" s="435">
        <v>3</v>
      </c>
      <c r="J66" s="435">
        <v>3</v>
      </c>
      <c r="K66" s="435">
        <v>3</v>
      </c>
      <c r="L66" s="435">
        <v>3</v>
      </c>
      <c r="M66" s="435">
        <v>3</v>
      </c>
      <c r="N66" s="435">
        <v>3</v>
      </c>
      <c r="O66" s="435">
        <v>3</v>
      </c>
      <c r="P66" s="435">
        <v>3</v>
      </c>
      <c r="Q66" s="435">
        <v>3</v>
      </c>
      <c r="R66" s="435">
        <v>3</v>
      </c>
      <c r="S66" s="435">
        <v>3</v>
      </c>
      <c r="T66" s="435">
        <v>3</v>
      </c>
      <c r="U66" s="435">
        <v>3</v>
      </c>
      <c r="V66" s="435">
        <v>3</v>
      </c>
      <c r="W66" s="435">
        <v>3</v>
      </c>
      <c r="X66" s="435">
        <v>3</v>
      </c>
    </row>
    <row r="67" spans="1:25" s="167" customFormat="1">
      <c r="A67" s="497"/>
      <c r="B67" s="501"/>
      <c r="C67" s="501"/>
      <c r="D67" s="499"/>
      <c r="E67" s="500"/>
      <c r="F67" s="500"/>
      <c r="G67" s="500"/>
      <c r="H67" s="500"/>
      <c r="I67" s="500"/>
      <c r="J67" s="500"/>
      <c r="K67" s="500"/>
      <c r="L67" s="500"/>
      <c r="M67" s="500"/>
      <c r="N67" s="500"/>
      <c r="O67" s="500"/>
      <c r="P67" s="500"/>
      <c r="Q67" s="500"/>
      <c r="R67" s="500"/>
      <c r="S67" s="500"/>
      <c r="T67" s="500"/>
      <c r="U67" s="500"/>
      <c r="V67" s="500"/>
      <c r="W67" s="500"/>
      <c r="X67" s="500"/>
      <c r="Y67" s="500"/>
    </row>
    <row r="68" spans="1:25">
      <c r="A68" s="28"/>
      <c r="D68" s="486"/>
      <c r="E68" s="331"/>
      <c r="F68" s="333"/>
      <c r="G68" s="331"/>
      <c r="H68" s="331"/>
      <c r="I68" s="331"/>
      <c r="J68" s="331"/>
      <c r="K68" s="331"/>
      <c r="L68" s="331"/>
      <c r="M68" s="331"/>
      <c r="N68" s="331"/>
      <c r="O68" s="331"/>
      <c r="P68" s="331"/>
      <c r="Q68" s="331"/>
      <c r="R68" s="331"/>
      <c r="S68" s="331"/>
      <c r="T68" s="331"/>
      <c r="U68" s="331"/>
      <c r="V68" s="331"/>
      <c r="W68" s="331"/>
      <c r="X68" s="331"/>
    </row>
    <row r="69" spans="1:25">
      <c r="A69" s="266" t="s">
        <v>135</v>
      </c>
      <c r="B69" s="223"/>
      <c r="C69" s="267"/>
      <c r="D69" s="332"/>
      <c r="E69" s="332"/>
      <c r="F69" s="349"/>
      <c r="G69" s="332"/>
      <c r="H69" s="332"/>
      <c r="I69" s="332"/>
      <c r="J69" s="332"/>
      <c r="K69" s="332"/>
      <c r="L69" s="332"/>
      <c r="M69" s="332"/>
      <c r="N69" s="332"/>
      <c r="O69" s="332"/>
      <c r="P69" s="332"/>
      <c r="Q69" s="332"/>
      <c r="R69" s="332"/>
      <c r="S69" s="332"/>
      <c r="T69" s="332"/>
      <c r="U69" s="332"/>
      <c r="V69" s="332"/>
      <c r="W69" s="332"/>
      <c r="X69" s="332"/>
    </row>
    <row r="70" spans="1:25" s="341" customFormat="1">
      <c r="A70" s="353"/>
      <c r="B70" s="355"/>
      <c r="C70" s="355"/>
      <c r="D70" s="502"/>
      <c r="E70" s="503"/>
      <c r="F70" s="503"/>
      <c r="G70" s="503"/>
      <c r="H70" s="503"/>
      <c r="I70" s="503"/>
      <c r="J70" s="503"/>
      <c r="K70" s="503"/>
      <c r="L70" s="503"/>
      <c r="M70" s="503"/>
      <c r="N70" s="503"/>
      <c r="O70" s="503"/>
      <c r="P70" s="503"/>
      <c r="Q70" s="503"/>
      <c r="R70" s="503"/>
      <c r="S70" s="503"/>
      <c r="T70" s="503"/>
      <c r="U70" s="503"/>
      <c r="V70" s="503"/>
      <c r="W70" s="503"/>
      <c r="X70" s="503"/>
    </row>
    <row r="71" spans="1:25" s="341" customFormat="1">
      <c r="A71" s="691" t="s">
        <v>144</v>
      </c>
      <c r="B71" s="355"/>
      <c r="C71" s="355"/>
      <c r="D71" s="548"/>
      <c r="E71" s="503"/>
      <c r="F71" s="503"/>
      <c r="G71" s="503"/>
      <c r="H71" s="503"/>
      <c r="I71" s="503"/>
      <c r="J71" s="503"/>
      <c r="K71" s="503"/>
      <c r="L71" s="503"/>
      <c r="M71" s="503"/>
      <c r="N71" s="503"/>
      <c r="O71" s="503"/>
      <c r="P71" s="503"/>
      <c r="Q71" s="503"/>
      <c r="R71" s="503"/>
      <c r="S71" s="503"/>
      <c r="T71" s="503"/>
      <c r="U71" s="503"/>
      <c r="V71" s="503"/>
      <c r="W71" s="503"/>
      <c r="X71" s="503"/>
    </row>
    <row r="72" spans="1:25" s="561" customFormat="1">
      <c r="A72" s="353" t="str">
        <f>'BH Tariffs'!A11</f>
        <v>Port Fee</v>
      </c>
      <c r="B72" s="355"/>
      <c r="C72" s="355"/>
      <c r="D72" s="548">
        <v>0</v>
      </c>
      <c r="E72" s="503">
        <v>0</v>
      </c>
      <c r="F72" s="503">
        <v>0</v>
      </c>
      <c r="G72" s="503">
        <v>0</v>
      </c>
      <c r="H72" s="503">
        <v>0</v>
      </c>
      <c r="I72" s="503">
        <v>0</v>
      </c>
      <c r="J72" s="503">
        <v>0</v>
      </c>
      <c r="K72" s="503">
        <v>0</v>
      </c>
      <c r="L72" s="503">
        <v>0</v>
      </c>
      <c r="M72" s="503">
        <v>0</v>
      </c>
      <c r="N72" s="503">
        <v>0</v>
      </c>
      <c r="O72" s="503">
        <v>0</v>
      </c>
      <c r="P72" s="503">
        <v>0</v>
      </c>
      <c r="Q72" s="503">
        <v>0</v>
      </c>
      <c r="R72" s="503">
        <v>0</v>
      </c>
      <c r="S72" s="503">
        <v>0</v>
      </c>
      <c r="T72" s="503">
        <v>0</v>
      </c>
      <c r="U72" s="503">
        <v>0</v>
      </c>
      <c r="V72" s="503">
        <v>0</v>
      </c>
      <c r="W72" s="503">
        <v>0</v>
      </c>
      <c r="X72" s="503">
        <v>0</v>
      </c>
    </row>
    <row r="73" spans="1:25">
      <c r="A73" s="88"/>
      <c r="B73" s="89"/>
      <c r="C73" s="89"/>
      <c r="D73" s="502"/>
      <c r="E73" s="504"/>
      <c r="F73" s="504"/>
      <c r="G73" s="504"/>
      <c r="H73" s="504"/>
      <c r="I73" s="504"/>
      <c r="J73" s="504"/>
      <c r="K73" s="504"/>
      <c r="L73" s="504"/>
      <c r="M73" s="504"/>
      <c r="N73" s="504"/>
      <c r="O73" s="504"/>
      <c r="P73" s="504"/>
      <c r="Q73" s="504"/>
      <c r="R73" s="504"/>
      <c r="S73" s="504"/>
      <c r="T73" s="504"/>
      <c r="U73" s="504"/>
      <c r="V73" s="504"/>
      <c r="W73" s="504"/>
      <c r="X73" s="504"/>
    </row>
    <row r="74" spans="1:25" s="16" customFormat="1" ht="14.25">
      <c r="A74" s="280" t="s">
        <v>124</v>
      </c>
      <c r="B74" s="533"/>
      <c r="C74" s="533"/>
      <c r="D74" s="534"/>
      <c r="E74" s="535"/>
      <c r="F74" s="535"/>
      <c r="G74" s="535"/>
      <c r="H74" s="535"/>
      <c r="I74" s="535"/>
      <c r="J74" s="535"/>
      <c r="K74" s="535"/>
      <c r="L74" s="535"/>
      <c r="M74" s="535"/>
      <c r="N74" s="535"/>
      <c r="O74" s="535"/>
      <c r="P74" s="535"/>
      <c r="Q74" s="535"/>
      <c r="R74" s="535"/>
      <c r="S74" s="535"/>
      <c r="T74" s="535"/>
      <c r="U74" s="535"/>
      <c r="V74" s="535"/>
      <c r="W74" s="535"/>
      <c r="X74" s="535"/>
    </row>
    <row r="75" spans="1:25" s="279" customFormat="1" ht="14.25">
      <c r="A75" s="91" t="s">
        <v>83</v>
      </c>
      <c r="B75" s="536"/>
      <c r="C75" s="536"/>
      <c r="D75" s="537"/>
      <c r="E75" s="538"/>
      <c r="F75" s="538"/>
      <c r="G75" s="538"/>
      <c r="H75" s="538"/>
      <c r="I75" s="538"/>
      <c r="J75" s="538"/>
      <c r="K75" s="538"/>
      <c r="L75" s="538"/>
      <c r="M75" s="538"/>
      <c r="N75" s="538"/>
      <c r="O75" s="538"/>
      <c r="P75" s="538"/>
      <c r="Q75" s="538"/>
      <c r="R75" s="538"/>
      <c r="S75" s="538"/>
      <c r="T75" s="538"/>
      <c r="U75" s="538"/>
      <c r="V75" s="538"/>
      <c r="W75" s="538"/>
      <c r="X75" s="538"/>
    </row>
    <row r="76" spans="1:25">
      <c r="A76" s="90" t="str">
        <f>'BH Tariffs'!A20</f>
        <v>Town Wharfage (Non-Exclusive Use, Ferry Property Only)</v>
      </c>
      <c r="B76" s="89"/>
      <c r="C76" s="89"/>
      <c r="D76" s="502">
        <v>0</v>
      </c>
      <c r="E76" s="504">
        <f>'BH Tariffs'!D20*'P&amp;L - Concept C2 - All'!E12</f>
        <v>0</v>
      </c>
      <c r="F76" s="504">
        <f>'BH Tariffs'!E20*'P&amp;L - Concept C2 - All'!F12</f>
        <v>1176607.6686000002</v>
      </c>
      <c r="G76" s="504">
        <f>'BH Tariffs'!F20*'P&amp;L - Concept C2 - All'!G12</f>
        <v>1200139.8219719999</v>
      </c>
      <c r="H76" s="504">
        <f>'BH Tariffs'!G20*'P&amp;L - Concept C2 - All'!H12</f>
        <v>1224142.6184114402</v>
      </c>
      <c r="I76" s="504">
        <f>'BH Tariffs'!H20*'P&amp;L - Concept C2 - All'!I12</f>
        <v>1248625.4707796688</v>
      </c>
      <c r="J76" s="504">
        <f>'BH Tariffs'!I20*'P&amp;L - Concept C2 - All'!J12</f>
        <v>1273597.9801952622</v>
      </c>
      <c r="K76" s="504">
        <f>'BH Tariffs'!J20*'P&amp;L - Concept C2 - All'!K12</f>
        <v>1299069.9397991677</v>
      </c>
      <c r="L76" s="504">
        <f>'BH Tariffs'!K20*'P&amp;L - Concept C2 - All'!L12</f>
        <v>1325051.338595151</v>
      </c>
      <c r="M76" s="504">
        <f>'BH Tariffs'!L20*'P&amp;L - Concept C2 - All'!M12</f>
        <v>1351552.365367054</v>
      </c>
      <c r="N76" s="504">
        <f>'BH Tariffs'!M20*'P&amp;L - Concept C2 - All'!N12</f>
        <v>1378583.4126743951</v>
      </c>
      <c r="O76" s="504">
        <f>'BH Tariffs'!N20*'P&amp;L - Concept C2 - All'!O12</f>
        <v>1406155.080927883</v>
      </c>
      <c r="P76" s="504">
        <f>'BH Tariffs'!O20*'P&amp;L - Concept C2 - All'!P12</f>
        <v>1434278.1825464405</v>
      </c>
      <c r="Q76" s="504">
        <f>'BH Tariffs'!P20*'P&amp;L - Concept C2 - All'!Q12</f>
        <v>1462963.7461973694</v>
      </c>
      <c r="R76" s="504">
        <f>'BH Tariffs'!Q20*'P&amp;L - Concept C2 - All'!R12</f>
        <v>1492223.0211213168</v>
      </c>
      <c r="S76" s="504">
        <f>'BH Tariffs'!R20*'P&amp;L - Concept C2 - All'!S12</f>
        <v>1522067.4815437433</v>
      </c>
      <c r="T76" s="504">
        <f>'BH Tariffs'!S20*'P&amp;L - Concept C2 - All'!T12</f>
        <v>1552508.8311746181</v>
      </c>
      <c r="U76" s="504">
        <f>'BH Tariffs'!T20*'P&amp;L - Concept C2 - All'!U12</f>
        <v>1583559.0077981106</v>
      </c>
      <c r="V76" s="504">
        <f>'BH Tariffs'!U20*'P&amp;L - Concept C2 - All'!V12</f>
        <v>1615230.1879540728</v>
      </c>
      <c r="W76" s="504">
        <f>'BH Tariffs'!V20*'P&amp;L - Concept C2 - All'!W12</f>
        <v>1647534.7917131544</v>
      </c>
      <c r="X76" s="504">
        <f>'BH Tariffs'!W20*'P&amp;L - Concept C2 - All'!X12</f>
        <v>1680485.4875474174</v>
      </c>
    </row>
    <row r="77" spans="1:25" s="341" customFormat="1">
      <c r="A77" s="353" t="str">
        <f>'BH Tariffs'!A21</f>
        <v>CBP Infastructure Fee (Ferry Property Only)</v>
      </c>
      <c r="B77" s="355"/>
      <c r="C77" s="355"/>
      <c r="D77" s="548">
        <v>0</v>
      </c>
      <c r="E77" s="503">
        <v>0</v>
      </c>
      <c r="F77" s="503">
        <v>0</v>
      </c>
      <c r="G77" s="503">
        <v>0</v>
      </c>
      <c r="H77" s="503">
        <v>0</v>
      </c>
      <c r="I77" s="503">
        <v>0</v>
      </c>
      <c r="J77" s="503">
        <v>0</v>
      </c>
      <c r="K77" s="503">
        <v>0</v>
      </c>
      <c r="L77" s="503">
        <v>0</v>
      </c>
      <c r="M77" s="503">
        <v>0</v>
      </c>
      <c r="N77" s="503">
        <v>0</v>
      </c>
      <c r="O77" s="503">
        <v>0</v>
      </c>
      <c r="P77" s="503">
        <v>0</v>
      </c>
      <c r="Q77" s="503">
        <v>0</v>
      </c>
      <c r="R77" s="503">
        <v>0</v>
      </c>
      <c r="S77" s="503">
        <v>0</v>
      </c>
      <c r="T77" s="503">
        <v>0</v>
      </c>
      <c r="U77" s="503">
        <v>0</v>
      </c>
      <c r="V77" s="503">
        <v>0</v>
      </c>
      <c r="W77" s="503">
        <v>0</v>
      </c>
      <c r="X77" s="503">
        <v>0</v>
      </c>
    </row>
    <row r="78" spans="1:25" s="96" customFormat="1">
      <c r="A78" s="90" t="str">
        <f>'BH Tariffs'!A22</f>
        <v>Infrastructure Fee</v>
      </c>
      <c r="B78" s="356"/>
      <c r="C78" s="356"/>
      <c r="D78" s="502">
        <v>0</v>
      </c>
      <c r="E78" s="504">
        <v>0</v>
      </c>
      <c r="F78" s="504">
        <f>'BH Tariffs'!E22*'Cruise Projections'!V97</f>
        <v>522936.74160000001</v>
      </c>
      <c r="G78" s="504">
        <f>'BH Tariffs'!F22*'Cruise Projections'!W97</f>
        <v>533395.47643200005</v>
      </c>
      <c r="H78" s="504">
        <f>'BH Tariffs'!G22*'Cruise Projections'!X97</f>
        <v>544063.38596063992</v>
      </c>
      <c r="I78" s="504">
        <f>'BH Tariffs'!H22*'Cruise Projections'!Y97</f>
        <v>554944.65367985272</v>
      </c>
      <c r="J78" s="504">
        <f>'BH Tariffs'!I22*'Cruise Projections'!Z97</f>
        <v>566043.54675344983</v>
      </c>
      <c r="K78" s="504">
        <f>'BH Tariffs'!J22*'Cruise Projections'!AA97</f>
        <v>577364.41768851888</v>
      </c>
      <c r="L78" s="504">
        <f>'BH Tariffs'!K22*'Cruise Projections'!AB97</f>
        <v>588911.70604228915</v>
      </c>
      <c r="M78" s="504">
        <f>'BH Tariffs'!L22*'Cruise Projections'!AC97</f>
        <v>600689.94016313506</v>
      </c>
      <c r="N78" s="504">
        <f>'BH Tariffs'!M22*'Cruise Projections'!AD97</f>
        <v>612703.73896639771</v>
      </c>
      <c r="O78" s="504">
        <f>'BH Tariffs'!N22*'Cruise Projections'!AE97</f>
        <v>624957.81374572578</v>
      </c>
      <c r="P78" s="504">
        <f>'BH Tariffs'!O22*'Cruise Projections'!AF97</f>
        <v>637456.97002064029</v>
      </c>
      <c r="Q78" s="504">
        <f>'BH Tariffs'!P22*'Cruise Projections'!AG97</f>
        <v>650206.10942105309</v>
      </c>
      <c r="R78" s="504">
        <f>'BH Tariffs'!Q22*'Cruise Projections'!AH97</f>
        <v>663210.23160947405</v>
      </c>
      <c r="S78" s="504">
        <f>'BH Tariffs'!R22*'Cruise Projections'!AI97</f>
        <v>676474.43624166364</v>
      </c>
      <c r="T78" s="504">
        <f>'BH Tariffs'!S22*'Cruise Projections'!AJ97</f>
        <v>690003.924966497</v>
      </c>
      <c r="U78" s="504">
        <f>'BH Tariffs'!T22*'Cruise Projections'!AK97</f>
        <v>703804.00346582686</v>
      </c>
      <c r="V78" s="504">
        <f>'BH Tariffs'!U22*'Cruise Projections'!AL97</f>
        <v>717880.08353514341</v>
      </c>
      <c r="W78" s="504">
        <f>'BH Tariffs'!V22*'Cruise Projections'!AM97</f>
        <v>732237.68520584644</v>
      </c>
      <c r="X78" s="504">
        <f>'BH Tariffs'!W22*'Cruise Projections'!AN97</f>
        <v>746882.43890996324</v>
      </c>
    </row>
    <row r="79" spans="1:25">
      <c r="A79" s="90"/>
      <c r="B79" s="89"/>
      <c r="C79" s="89"/>
      <c r="D79" s="502"/>
      <c r="E79" s="504"/>
      <c r="F79" s="504"/>
      <c r="G79" s="504"/>
      <c r="H79" s="504"/>
      <c r="I79" s="504"/>
      <c r="J79" s="504"/>
      <c r="K79" s="504"/>
      <c r="L79" s="504"/>
      <c r="M79" s="504"/>
      <c r="N79" s="504"/>
      <c r="O79" s="504"/>
      <c r="P79" s="504"/>
      <c r="Q79" s="504"/>
      <c r="R79" s="504"/>
      <c r="S79" s="504"/>
      <c r="T79" s="504"/>
      <c r="U79" s="504"/>
      <c r="V79" s="504"/>
      <c r="W79" s="504"/>
      <c r="X79" s="504"/>
    </row>
    <row r="80" spans="1:25">
      <c r="A80" s="91" t="s">
        <v>163</v>
      </c>
      <c r="B80" s="30"/>
      <c r="C80" s="89"/>
      <c r="D80" s="502"/>
      <c r="E80" s="504"/>
      <c r="F80" s="504"/>
      <c r="G80" s="504"/>
      <c r="H80" s="504"/>
      <c r="I80" s="504"/>
      <c r="J80" s="504"/>
      <c r="K80" s="504"/>
      <c r="L80" s="504"/>
      <c r="M80" s="504"/>
      <c r="N80" s="504"/>
      <c r="O80" s="504"/>
      <c r="P80" s="504"/>
      <c r="Q80" s="504"/>
      <c r="R80" s="504"/>
      <c r="S80" s="504"/>
      <c r="T80" s="504"/>
      <c r="U80" s="504"/>
      <c r="V80" s="504"/>
      <c r="W80" s="504"/>
      <c r="X80" s="504"/>
    </row>
    <row r="81" spans="1:25">
      <c r="A81" s="88" t="str">
        <f>'BH Tariffs'!A25</f>
        <v>Dock Rent (12 months)</v>
      </c>
      <c r="B81" s="30"/>
      <c r="C81" s="89"/>
      <c r="D81" s="502">
        <v>0</v>
      </c>
      <c r="E81" s="504">
        <f>'BH Tariffs'!D25*12</f>
        <v>69000</v>
      </c>
      <c r="F81" s="504">
        <f>'BH Tariffs'!E25*12</f>
        <v>69000</v>
      </c>
      <c r="G81" s="504">
        <f>'BH Tariffs'!F25*12</f>
        <v>69000</v>
      </c>
      <c r="H81" s="504">
        <f>'BH Tariffs'!G25*12</f>
        <v>70380</v>
      </c>
      <c r="I81" s="504">
        <f>'BH Tariffs'!H25*12</f>
        <v>71787.600000000006</v>
      </c>
      <c r="J81" s="504">
        <f>'BH Tariffs'!I25*12</f>
        <v>73223.351999999999</v>
      </c>
      <c r="K81" s="504">
        <f>'BH Tariffs'!J25*12</f>
        <v>74687.819040000002</v>
      </c>
      <c r="L81" s="504">
        <f>'BH Tariffs'!K25*12</f>
        <v>76181.5754208</v>
      </c>
      <c r="M81" s="504">
        <f>'BH Tariffs'!L25*12</f>
        <v>77705.206929216016</v>
      </c>
      <c r="N81" s="504">
        <f>'BH Tariffs'!M25*12</f>
        <v>79259.311067800329</v>
      </c>
      <c r="O81" s="504">
        <f>'BH Tariffs'!N25*12</f>
        <v>80844.497289156338</v>
      </c>
      <c r="P81" s="504">
        <f>'BH Tariffs'!O25*12</f>
        <v>82461.387234939466</v>
      </c>
      <c r="Q81" s="504">
        <f>'BH Tariffs'!P25*12</f>
        <v>84110.614979638252</v>
      </c>
      <c r="R81" s="504">
        <f>'BH Tariffs'!Q25*12</f>
        <v>85792.827279231016</v>
      </c>
      <c r="S81" s="504">
        <f>'BH Tariffs'!R25*12</f>
        <v>87508.683824815642</v>
      </c>
      <c r="T81" s="504">
        <f>'BH Tariffs'!S25*12</f>
        <v>89258.857501311941</v>
      </c>
      <c r="U81" s="504">
        <f>'BH Tariffs'!T25*12</f>
        <v>91044.034651338196</v>
      </c>
      <c r="V81" s="504">
        <f>'BH Tariffs'!U25*12</f>
        <v>92864.91534436497</v>
      </c>
      <c r="W81" s="504">
        <f>'BH Tariffs'!V25*12</f>
        <v>94722.21365125227</v>
      </c>
      <c r="X81" s="504">
        <f>'BH Tariffs'!W25*12</f>
        <v>96616.657924277315</v>
      </c>
    </row>
    <row r="82" spans="1:25">
      <c r="A82" s="88" t="str">
        <f>'BH Tariffs'!A26</f>
        <v>Ferry Passenger Wharfage</v>
      </c>
      <c r="B82" s="30"/>
      <c r="C82" s="89"/>
      <c r="D82" s="502">
        <v>0</v>
      </c>
      <c r="E82" s="504">
        <f>'BH Tariffs'!D26*E18</f>
        <v>120000</v>
      </c>
      <c r="F82" s="504">
        <f>'BH Tariffs'!E26*F18</f>
        <v>140000</v>
      </c>
      <c r="G82" s="504">
        <f>'BH Tariffs'!F26*G18</f>
        <v>160000</v>
      </c>
      <c r="H82" s="504">
        <f>'BH Tariffs'!G26*H18</f>
        <v>163200</v>
      </c>
      <c r="I82" s="504">
        <f>'BH Tariffs'!H26*I18</f>
        <v>166464</v>
      </c>
      <c r="J82" s="504">
        <f>'BH Tariffs'!I26*J18</f>
        <v>169793.28</v>
      </c>
      <c r="K82" s="504">
        <f>'BH Tariffs'!J26*K18</f>
        <v>173189.14559999999</v>
      </c>
      <c r="L82" s="504">
        <f>'BH Tariffs'!K26*L18</f>
        <v>176652.92851200001</v>
      </c>
      <c r="M82" s="504">
        <f>'BH Tariffs'!L26*M18</f>
        <v>180185.98708224</v>
      </c>
      <c r="N82" s="504">
        <f>'BH Tariffs'!M26*N18</f>
        <v>183789.7068238848</v>
      </c>
      <c r="O82" s="504">
        <f>'BH Tariffs'!N26*O18</f>
        <v>187465.50096036252</v>
      </c>
      <c r="P82" s="504">
        <f>'BH Tariffs'!O26*P18</f>
        <v>191214.81097956977</v>
      </c>
      <c r="Q82" s="504">
        <f>'BH Tariffs'!P26*Q18</f>
        <v>195039.10719916117</v>
      </c>
      <c r="R82" s="504">
        <f>'BH Tariffs'!Q26*R18</f>
        <v>198939.8893431444</v>
      </c>
      <c r="S82" s="504">
        <f>'BH Tariffs'!R26*S18</f>
        <v>202918.68713000728</v>
      </c>
      <c r="T82" s="504">
        <f>'BH Tariffs'!S26*T18</f>
        <v>206977.0608726074</v>
      </c>
      <c r="U82" s="504">
        <f>'BH Tariffs'!T26*U18</f>
        <v>211116.60209005958</v>
      </c>
      <c r="V82" s="504">
        <f>'BH Tariffs'!U26*V18</f>
        <v>215338.93413186079</v>
      </c>
      <c r="W82" s="504">
        <f>'BH Tariffs'!V26*W18</f>
        <v>219645.71281449799</v>
      </c>
      <c r="X82" s="504">
        <f>'BH Tariffs'!W26*X18</f>
        <v>224038.62707078797</v>
      </c>
    </row>
    <row r="83" spans="1:25">
      <c r="A83" s="88" t="str">
        <f>'BH Tariffs'!A27</f>
        <v>Ferry Passenger Vehicle Wharfage</v>
      </c>
      <c r="B83" s="30"/>
      <c r="C83" s="89"/>
      <c r="D83" s="502">
        <v>0</v>
      </c>
      <c r="E83" s="504">
        <f>'BH Tariffs'!D27*E19</f>
        <v>72000</v>
      </c>
      <c r="F83" s="504">
        <f>'BH Tariffs'!E27*F19</f>
        <v>84000</v>
      </c>
      <c r="G83" s="504">
        <f>'BH Tariffs'!F27*G19</f>
        <v>96000</v>
      </c>
      <c r="H83" s="504">
        <f>'BH Tariffs'!G27*H19</f>
        <v>97920</v>
      </c>
      <c r="I83" s="504">
        <f>'BH Tariffs'!H27*I19</f>
        <v>99878.399999999994</v>
      </c>
      <c r="J83" s="504">
        <f>'BH Tariffs'!I27*J19</f>
        <v>101875.96799999999</v>
      </c>
      <c r="K83" s="504">
        <f>'BH Tariffs'!J27*K19</f>
        <v>103913.48736</v>
      </c>
      <c r="L83" s="504">
        <f>'BH Tariffs'!K27*L19</f>
        <v>105991.7571072</v>
      </c>
      <c r="M83" s="504">
        <f>'BH Tariffs'!L27*M19</f>
        <v>108111.592249344</v>
      </c>
      <c r="N83" s="504">
        <f>'BH Tariffs'!M27*N19</f>
        <v>110273.82409433088</v>
      </c>
      <c r="O83" s="504">
        <f>'BH Tariffs'!N27*O19</f>
        <v>112479.30057621752</v>
      </c>
      <c r="P83" s="504">
        <f>'BH Tariffs'!O27*P19</f>
        <v>114728.88658774187</v>
      </c>
      <c r="Q83" s="504">
        <f>'BH Tariffs'!P27*Q19</f>
        <v>117023.46431949669</v>
      </c>
      <c r="R83" s="504">
        <f>'BH Tariffs'!Q27*R19</f>
        <v>119363.93360588665</v>
      </c>
      <c r="S83" s="504">
        <f>'BH Tariffs'!R27*S19</f>
        <v>121751.21227800437</v>
      </c>
      <c r="T83" s="504">
        <f>'BH Tariffs'!S27*T19</f>
        <v>124186.23652356444</v>
      </c>
      <c r="U83" s="504">
        <f>'BH Tariffs'!T27*U19</f>
        <v>126669.96125403573</v>
      </c>
      <c r="V83" s="504">
        <f>'BH Tariffs'!U27*V19</f>
        <v>129203.36047911647</v>
      </c>
      <c r="W83" s="504">
        <f>'BH Tariffs'!V27*W19</f>
        <v>131787.42768869881</v>
      </c>
      <c r="X83" s="504">
        <f>'BH Tariffs'!W27*X19</f>
        <v>134423.17624247278</v>
      </c>
    </row>
    <row r="84" spans="1:25">
      <c r="A84" s="88" t="str">
        <f>'BH Tariffs'!A28</f>
        <v>Ferry Bus Wharfage</v>
      </c>
      <c r="B84" s="30"/>
      <c r="C84" s="89"/>
      <c r="D84" s="502">
        <v>0</v>
      </c>
      <c r="E84" s="504">
        <f>'BH Tariffs'!D28*'P&amp;L - Concept C2 - All'!E20</f>
        <v>800</v>
      </c>
      <c r="F84" s="504">
        <f>'BH Tariffs'!E28*'P&amp;L - Concept C2 - All'!F20</f>
        <v>1000</v>
      </c>
      <c r="G84" s="504">
        <f>'BH Tariffs'!F28*'P&amp;L - Concept C2 - All'!G20</f>
        <v>1200</v>
      </c>
      <c r="H84" s="504">
        <f>'BH Tariffs'!G28*'P&amp;L - Concept C2 - All'!H20</f>
        <v>1224</v>
      </c>
      <c r="I84" s="504">
        <f>'BH Tariffs'!H28*'P&amp;L - Concept C2 - All'!I20</f>
        <v>1248.48</v>
      </c>
      <c r="J84" s="504">
        <f>'BH Tariffs'!I28*'P&amp;L - Concept C2 - All'!J20</f>
        <v>1273.4495999999999</v>
      </c>
      <c r="K84" s="504">
        <f>'BH Tariffs'!J28*'P&amp;L - Concept C2 - All'!K20</f>
        <v>1298.918592</v>
      </c>
      <c r="L84" s="504">
        <f>'BH Tariffs'!K28*'P&amp;L - Concept C2 - All'!L20</f>
        <v>1324.8969638400001</v>
      </c>
      <c r="M84" s="504">
        <f>'BH Tariffs'!L28*'P&amp;L - Concept C2 - All'!M20</f>
        <v>1351.3949031168002</v>
      </c>
      <c r="N84" s="504">
        <f>'BH Tariffs'!M28*'P&amp;L - Concept C2 - All'!N20</f>
        <v>1378.4228011791361</v>
      </c>
      <c r="O84" s="504">
        <f>'BH Tariffs'!N28*'P&amp;L - Concept C2 - All'!O20</f>
        <v>1405.991257202719</v>
      </c>
      <c r="P84" s="504">
        <f>'BH Tariffs'!O28*'P&amp;L - Concept C2 - All'!P20</f>
        <v>1434.1110823467732</v>
      </c>
      <c r="Q84" s="504">
        <f>'BH Tariffs'!P28*'P&amp;L - Concept C2 - All'!Q20</f>
        <v>1462.7933039937088</v>
      </c>
      <c r="R84" s="504">
        <f>'BH Tariffs'!Q28*'P&amp;L - Concept C2 - All'!R20</f>
        <v>1492.0491700735829</v>
      </c>
      <c r="S84" s="504">
        <f>'BH Tariffs'!R28*'P&amp;L - Concept C2 - All'!S20</f>
        <v>1521.8901534750546</v>
      </c>
      <c r="T84" s="504">
        <f>'BH Tariffs'!S28*'P&amp;L - Concept C2 - All'!T20</f>
        <v>1552.3279565445555</v>
      </c>
      <c r="U84" s="504">
        <f>'BH Tariffs'!T28*'P&amp;L - Concept C2 - All'!U20</f>
        <v>1583.3745156754469</v>
      </c>
      <c r="V84" s="504">
        <f>'BH Tariffs'!U28*'P&amp;L - Concept C2 - All'!V20</f>
        <v>1615.0420059889559</v>
      </c>
      <c r="W84" s="504">
        <f>'BH Tariffs'!V28*'P&amp;L - Concept C2 - All'!W20</f>
        <v>1647.3428461087349</v>
      </c>
      <c r="X84" s="504">
        <f>'BH Tariffs'!W28*'P&amp;L - Concept C2 - All'!X20</f>
        <v>1680.2897030309098</v>
      </c>
    </row>
    <row r="85" spans="1:25" s="167" customFormat="1">
      <c r="A85" s="539" t="s">
        <v>592</v>
      </c>
      <c r="B85" s="609"/>
      <c r="C85" s="540"/>
      <c r="D85" s="541">
        <v>0</v>
      </c>
      <c r="E85" s="542">
        <v>-100000</v>
      </c>
      <c r="F85" s="542">
        <f>E85</f>
        <v>-100000</v>
      </c>
      <c r="G85" s="542">
        <f t="shared" ref="G85:X85" si="10">F85</f>
        <v>-100000</v>
      </c>
      <c r="H85" s="542">
        <f t="shared" si="10"/>
        <v>-100000</v>
      </c>
      <c r="I85" s="542">
        <f t="shared" si="10"/>
        <v>-100000</v>
      </c>
      <c r="J85" s="542">
        <f t="shared" si="10"/>
        <v>-100000</v>
      </c>
      <c r="K85" s="542">
        <f t="shared" si="10"/>
        <v>-100000</v>
      </c>
      <c r="L85" s="542">
        <f t="shared" si="10"/>
        <v>-100000</v>
      </c>
      <c r="M85" s="542">
        <f t="shared" si="10"/>
        <v>-100000</v>
      </c>
      <c r="N85" s="542">
        <f t="shared" si="10"/>
        <v>-100000</v>
      </c>
      <c r="O85" s="542">
        <f t="shared" si="10"/>
        <v>-100000</v>
      </c>
      <c r="P85" s="542">
        <f t="shared" si="10"/>
        <v>-100000</v>
      </c>
      <c r="Q85" s="542">
        <f t="shared" si="10"/>
        <v>-100000</v>
      </c>
      <c r="R85" s="542">
        <f t="shared" si="10"/>
        <v>-100000</v>
      </c>
      <c r="S85" s="542">
        <f t="shared" si="10"/>
        <v>-100000</v>
      </c>
      <c r="T85" s="542">
        <f t="shared" si="10"/>
        <v>-100000</v>
      </c>
      <c r="U85" s="542">
        <f t="shared" si="10"/>
        <v>-100000</v>
      </c>
      <c r="V85" s="542">
        <f t="shared" si="10"/>
        <v>-100000</v>
      </c>
      <c r="W85" s="542">
        <f t="shared" si="10"/>
        <v>-100000</v>
      </c>
      <c r="X85" s="542">
        <f t="shared" si="10"/>
        <v>-100000</v>
      </c>
    </row>
    <row r="86" spans="1:25">
      <c r="A86" s="88"/>
      <c r="B86" s="30"/>
      <c r="C86" s="89"/>
      <c r="D86" s="502"/>
      <c r="E86" s="504"/>
      <c r="F86" s="504"/>
      <c r="G86" s="504"/>
      <c r="H86" s="504"/>
      <c r="I86" s="504"/>
      <c r="J86" s="504"/>
      <c r="K86" s="504"/>
      <c r="L86" s="504"/>
      <c r="M86" s="504"/>
      <c r="N86" s="504"/>
      <c r="O86" s="504"/>
      <c r="P86" s="504"/>
      <c r="Q86" s="504"/>
      <c r="R86" s="504"/>
      <c r="S86" s="504"/>
      <c r="T86" s="504"/>
      <c r="U86" s="504"/>
      <c r="V86" s="504"/>
      <c r="W86" s="504"/>
      <c r="X86" s="504"/>
    </row>
    <row r="87" spans="1:25" s="96" customFormat="1">
      <c r="A87" s="605" t="s">
        <v>164</v>
      </c>
      <c r="B87" s="606"/>
      <c r="C87" s="356"/>
      <c r="D87" s="502"/>
      <c r="E87" s="504"/>
      <c r="F87" s="504"/>
      <c r="G87" s="504"/>
      <c r="H87" s="504"/>
      <c r="I87" s="504"/>
      <c r="J87" s="504"/>
      <c r="K87" s="504"/>
      <c r="L87" s="504"/>
      <c r="M87" s="504"/>
      <c r="N87" s="504"/>
      <c r="O87" s="504"/>
      <c r="P87" s="504"/>
      <c r="Q87" s="504"/>
      <c r="R87" s="504"/>
      <c r="S87" s="504"/>
      <c r="T87" s="504"/>
      <c r="U87" s="504"/>
      <c r="V87" s="504"/>
      <c r="W87" s="504"/>
      <c r="X87" s="504"/>
    </row>
    <row r="88" spans="1:25" s="96" customFormat="1">
      <c r="A88" s="90" t="str">
        <f>'BH Tariffs'!A31</f>
        <v>Dock Rent (6 Months Only)</v>
      </c>
      <c r="B88" s="606"/>
      <c r="C88" s="356"/>
      <c r="D88" s="502">
        <v>0</v>
      </c>
      <c r="E88" s="504">
        <v>0</v>
      </c>
      <c r="F88" s="504">
        <f>'BH Tariffs'!E31*6</f>
        <v>12240</v>
      </c>
      <c r="G88" s="504">
        <f>'BH Tariffs'!F31*6</f>
        <v>12484.800000000001</v>
      </c>
      <c r="H88" s="504">
        <f>'BH Tariffs'!G31*6</f>
        <v>12734.495999999999</v>
      </c>
      <c r="I88" s="504">
        <f>'BH Tariffs'!H31*6</f>
        <v>12989.18592</v>
      </c>
      <c r="J88" s="504">
        <f>'BH Tariffs'!I31*6</f>
        <v>13248.9696384</v>
      </c>
      <c r="K88" s="504">
        <f>'BH Tariffs'!J31*6</f>
        <v>13513.949031168002</v>
      </c>
      <c r="L88" s="504">
        <f>'BH Tariffs'!K31*6</f>
        <v>13784.228011791361</v>
      </c>
      <c r="M88" s="504">
        <f>'BH Tariffs'!L31*6</f>
        <v>14059.912572027188</v>
      </c>
      <c r="N88" s="504">
        <f>'BH Tariffs'!M31*6</f>
        <v>14341.110823467734</v>
      </c>
      <c r="O88" s="504">
        <f>'BH Tariffs'!N31*6</f>
        <v>14627.933039937088</v>
      </c>
      <c r="P88" s="504">
        <f>'BH Tariffs'!O31*6</f>
        <v>14920.491700735829</v>
      </c>
      <c r="Q88" s="504">
        <f>'BH Tariffs'!P31*6</f>
        <v>15218.901534750545</v>
      </c>
      <c r="R88" s="504">
        <f>'BH Tariffs'!Q31*6</f>
        <v>15523.279565445555</v>
      </c>
      <c r="S88" s="504">
        <f>'BH Tariffs'!R31*6</f>
        <v>15833.745156754467</v>
      </c>
      <c r="T88" s="504">
        <f>'BH Tariffs'!S31*6</f>
        <v>16150.420059889559</v>
      </c>
      <c r="U88" s="504">
        <f>'BH Tariffs'!T31*6</f>
        <v>16473.428461087351</v>
      </c>
      <c r="V88" s="504">
        <f>'BH Tariffs'!U31*6</f>
        <v>16802.897030309097</v>
      </c>
      <c r="W88" s="504">
        <f>'BH Tariffs'!V31*6</f>
        <v>17138.954970915282</v>
      </c>
      <c r="X88" s="504">
        <f>'BH Tariffs'!W31*6</f>
        <v>17481.734070333587</v>
      </c>
    </row>
    <row r="89" spans="1:25" s="96" customFormat="1">
      <c r="A89" s="90"/>
      <c r="B89" s="606"/>
      <c r="C89" s="356"/>
      <c r="D89" s="502"/>
      <c r="E89" s="504"/>
      <c r="F89" s="504"/>
      <c r="G89" s="504"/>
      <c r="H89" s="504"/>
      <c r="I89" s="504"/>
      <c r="J89" s="504"/>
      <c r="K89" s="504"/>
      <c r="L89" s="504"/>
      <c r="M89" s="504"/>
      <c r="N89" s="504"/>
      <c r="O89" s="504"/>
      <c r="P89" s="504"/>
      <c r="Q89" s="504"/>
      <c r="R89" s="504"/>
      <c r="S89" s="504"/>
      <c r="T89" s="504"/>
      <c r="U89" s="504"/>
      <c r="V89" s="504"/>
      <c r="W89" s="504"/>
      <c r="X89" s="504"/>
    </row>
    <row r="90" spans="1:25" s="582" customFormat="1" ht="14.25">
      <c r="A90" s="605" t="str">
        <f>'BH Tariffs'!A33</f>
        <v>Recreational/Commercial Marina</v>
      </c>
      <c r="B90" s="607"/>
      <c r="C90" s="608"/>
      <c r="D90" s="537"/>
      <c r="E90" s="538"/>
      <c r="F90" s="538"/>
      <c r="G90" s="538"/>
      <c r="H90" s="538"/>
      <c r="I90" s="538"/>
      <c r="J90" s="538"/>
      <c r="K90" s="538"/>
      <c r="L90" s="538"/>
      <c r="M90" s="538"/>
      <c r="N90" s="538"/>
      <c r="O90" s="538"/>
      <c r="P90" s="538"/>
      <c r="Q90" s="538"/>
      <c r="R90" s="538"/>
      <c r="S90" s="538"/>
      <c r="T90" s="538"/>
      <c r="U90" s="538"/>
      <c r="V90" s="538"/>
      <c r="W90" s="538"/>
      <c r="X90" s="538"/>
    </row>
    <row r="91" spans="1:25" s="96" customFormat="1">
      <c r="A91" s="90" t="str">
        <f>'BH Tariffs'!A34</f>
        <v>Transient Slip Rent</v>
      </c>
      <c r="B91" s="606"/>
      <c r="C91" s="356"/>
      <c r="D91" s="502">
        <v>0</v>
      </c>
      <c r="E91" s="504">
        <v>0</v>
      </c>
      <c r="F91" s="504">
        <f>'BH Tariffs'!E34*'P&amp;L - Concept C2 - All'!F57</f>
        <v>77174.172984375007</v>
      </c>
      <c r="G91" s="504">
        <f>'BH Tariffs'!F34*'P&amp;L - Concept C2 - All'!G57</f>
        <v>78717.656444062508</v>
      </c>
      <c r="H91" s="504">
        <f>'BH Tariffs'!G34*'P&amp;L - Concept C2 - All'!H57</f>
        <v>80292.009572943745</v>
      </c>
      <c r="I91" s="504">
        <f>'BH Tariffs'!H34*'P&amp;L - Concept C2 - All'!I57</f>
        <v>81897.849764402621</v>
      </c>
      <c r="J91" s="504">
        <f>'BH Tariffs'!I34*'P&amp;L - Concept C2 - All'!J57</f>
        <v>83535.806759690691</v>
      </c>
      <c r="K91" s="504">
        <f>'BH Tariffs'!J34*'P&amp;L - Concept C2 - All'!K57</f>
        <v>85206.522894884503</v>
      </c>
      <c r="L91" s="504">
        <f>'BH Tariffs'!K34*'P&amp;L - Concept C2 - All'!L57</f>
        <v>86910.653352782188</v>
      </c>
      <c r="M91" s="504">
        <f>'BH Tariffs'!L34*'P&amp;L - Concept C2 - All'!M57</f>
        <v>88648.866419837854</v>
      </c>
      <c r="N91" s="504">
        <f>'BH Tariffs'!M34*'P&amp;L - Concept C2 - All'!N57</f>
        <v>90421.843748234591</v>
      </c>
      <c r="O91" s="504">
        <f>'BH Tariffs'!N34*'P&amp;L - Concept C2 - All'!O57</f>
        <v>92230.280623199302</v>
      </c>
      <c r="P91" s="504">
        <f>'BH Tariffs'!O34*'P&amp;L - Concept C2 - All'!P57</f>
        <v>94074.886235663274</v>
      </c>
      <c r="Q91" s="504">
        <f>'BH Tariffs'!P34*'P&amp;L - Concept C2 - All'!Q57</f>
        <v>95956.383960376537</v>
      </c>
      <c r="R91" s="504">
        <f>'BH Tariffs'!Q34*'P&amp;L - Concept C2 - All'!R57</f>
        <v>97875.511639584074</v>
      </c>
      <c r="S91" s="504">
        <f>'BH Tariffs'!R34*'P&amp;L - Concept C2 - All'!S57</f>
        <v>99833.021872375757</v>
      </c>
      <c r="T91" s="504">
        <f>'BH Tariffs'!S34*'P&amp;L - Concept C2 - All'!T57</f>
        <v>101829.68230982329</v>
      </c>
      <c r="U91" s="504">
        <f>'BH Tariffs'!T34*'P&amp;L - Concept C2 - All'!U57</f>
        <v>103866.27595601974</v>
      </c>
      <c r="V91" s="504">
        <f>'BH Tariffs'!U34*'P&amp;L - Concept C2 - All'!V57</f>
        <v>105943.60147514015</v>
      </c>
      <c r="W91" s="504">
        <f>'BH Tariffs'!V34*'P&amp;L - Concept C2 - All'!W57</f>
        <v>108062.47350464296</v>
      </c>
      <c r="X91" s="504">
        <f>'BH Tariffs'!W34*'P&amp;L - Concept C2 - All'!X57</f>
        <v>110223.72297473581</v>
      </c>
    </row>
    <row r="92" spans="1:25" s="96" customFormat="1">
      <c r="A92" s="90" t="s">
        <v>280</v>
      </c>
      <c r="B92" s="606"/>
      <c r="C92" s="356"/>
      <c r="D92" s="502">
        <v>0</v>
      </c>
      <c r="E92" s="504">
        <v>0</v>
      </c>
      <c r="F92" s="504">
        <f>'BH Tariffs'!E35*'P&amp;L - Concept C2 - All'!F58</f>
        <v>121788.76500000001</v>
      </c>
      <c r="G92" s="504">
        <f>'BH Tariffs'!F35*'P&amp;L - Concept C2 - All'!G58</f>
        <v>124224.54030000001</v>
      </c>
      <c r="H92" s="504">
        <f>'BH Tariffs'!G35*'P&amp;L - Concept C2 - All'!H58</f>
        <v>126709.03110600001</v>
      </c>
      <c r="I92" s="504">
        <f>'BH Tariffs'!H35*'P&amp;L - Concept C2 - All'!I58</f>
        <v>129243.21172812</v>
      </c>
      <c r="J92" s="504">
        <f>'BH Tariffs'!I35*'P&amp;L - Concept C2 - All'!J58</f>
        <v>131828.0759626824</v>
      </c>
      <c r="K92" s="504">
        <f>'BH Tariffs'!J35*'P&amp;L - Concept C2 - All'!K58</f>
        <v>134464.63748193608</v>
      </c>
      <c r="L92" s="504">
        <f>'BH Tariffs'!K35*'P&amp;L - Concept C2 - All'!L58</f>
        <v>137153.93023157478</v>
      </c>
      <c r="M92" s="504">
        <f>'BH Tariffs'!L35*'P&amp;L - Concept C2 - All'!M58</f>
        <v>139897.00883620628</v>
      </c>
      <c r="N92" s="504">
        <f>'BH Tariffs'!M35*'P&amp;L - Concept C2 - All'!N58</f>
        <v>142694.94901293042</v>
      </c>
      <c r="O92" s="504">
        <f>'BH Tariffs'!N35*'P&amp;L - Concept C2 - All'!O58</f>
        <v>145548.84799318903</v>
      </c>
      <c r="P92" s="504">
        <f>'BH Tariffs'!O35*'P&amp;L - Concept C2 - All'!P58</f>
        <v>148459.8249530528</v>
      </c>
      <c r="Q92" s="504">
        <f>'BH Tariffs'!P35*'P&amp;L - Concept C2 - All'!Q58</f>
        <v>151429.02145211384</v>
      </c>
      <c r="R92" s="504">
        <f>'BH Tariffs'!Q35*'P&amp;L - Concept C2 - All'!R58</f>
        <v>154457.60188115612</v>
      </c>
      <c r="S92" s="504">
        <f>'BH Tariffs'!R35*'P&amp;L - Concept C2 - All'!S58</f>
        <v>157546.75391877926</v>
      </c>
      <c r="T92" s="504">
        <f>'BH Tariffs'!S35*'P&amp;L - Concept C2 - All'!T58</f>
        <v>160697.68899715485</v>
      </c>
      <c r="U92" s="504">
        <f>'BH Tariffs'!T35*'P&amp;L - Concept C2 - All'!U58</f>
        <v>163911.64277709796</v>
      </c>
      <c r="V92" s="504">
        <f>'BH Tariffs'!U35*'P&amp;L - Concept C2 - All'!V58</f>
        <v>167189.87563263992</v>
      </c>
      <c r="W92" s="504">
        <f>'BH Tariffs'!V35*'P&amp;L - Concept C2 - All'!W58</f>
        <v>170533.67314529276</v>
      </c>
      <c r="X92" s="504">
        <f>'BH Tariffs'!W35*'P&amp;L - Concept C2 - All'!X58</f>
        <v>173944.3466081986</v>
      </c>
    </row>
    <row r="93" spans="1:25" s="167" customFormat="1">
      <c r="A93" s="539" t="str">
        <f>'BH Tariffs'!A36</f>
        <v>Water/Sewer</v>
      </c>
      <c r="B93" s="609"/>
      <c r="C93" s="540"/>
      <c r="D93" s="541">
        <v>0</v>
      </c>
      <c r="E93" s="542">
        <v>0</v>
      </c>
      <c r="F93" s="542">
        <v>0</v>
      </c>
      <c r="G93" s="542">
        <v>0</v>
      </c>
      <c r="H93" s="542">
        <v>0</v>
      </c>
      <c r="I93" s="542">
        <v>0</v>
      </c>
      <c r="J93" s="542">
        <v>0</v>
      </c>
      <c r="K93" s="542">
        <v>0</v>
      </c>
      <c r="L93" s="542">
        <v>0</v>
      </c>
      <c r="M93" s="542">
        <v>0</v>
      </c>
      <c r="N93" s="542">
        <v>0</v>
      </c>
      <c r="O93" s="542">
        <v>0</v>
      </c>
      <c r="P93" s="542">
        <v>0</v>
      </c>
      <c r="Q93" s="542">
        <v>0</v>
      </c>
      <c r="R93" s="542">
        <v>0</v>
      </c>
      <c r="S93" s="542">
        <v>0</v>
      </c>
      <c r="T93" s="542">
        <v>0</v>
      </c>
      <c r="U93" s="542">
        <v>0</v>
      </c>
      <c r="V93" s="542">
        <v>0</v>
      </c>
      <c r="W93" s="542">
        <v>0</v>
      </c>
      <c r="X93" s="542">
        <v>0</v>
      </c>
      <c r="Y93" s="167" t="s">
        <v>282</v>
      </c>
    </row>
    <row r="94" spans="1:25" s="167" customFormat="1">
      <c r="A94" s="539" t="str">
        <f>'BH Tariffs'!A37</f>
        <v xml:space="preserve">Power (Electricity) </v>
      </c>
      <c r="B94" s="609"/>
      <c r="C94" s="540"/>
      <c r="D94" s="541">
        <v>0</v>
      </c>
      <c r="E94" s="542">
        <v>0</v>
      </c>
      <c r="F94" s="542">
        <v>0</v>
      </c>
      <c r="G94" s="542">
        <v>0</v>
      </c>
      <c r="H94" s="542">
        <v>0</v>
      </c>
      <c r="I94" s="542">
        <v>0</v>
      </c>
      <c r="J94" s="542">
        <v>0</v>
      </c>
      <c r="K94" s="542">
        <v>0</v>
      </c>
      <c r="L94" s="542">
        <v>0</v>
      </c>
      <c r="M94" s="542">
        <v>0</v>
      </c>
      <c r="N94" s="542">
        <v>0</v>
      </c>
      <c r="O94" s="542">
        <v>0</v>
      </c>
      <c r="P94" s="542">
        <v>0</v>
      </c>
      <c r="Q94" s="542">
        <v>0</v>
      </c>
      <c r="R94" s="542">
        <v>0</v>
      </c>
      <c r="S94" s="542">
        <v>0</v>
      </c>
      <c r="T94" s="542">
        <v>0</v>
      </c>
      <c r="U94" s="542">
        <v>0</v>
      </c>
      <c r="V94" s="542">
        <v>0</v>
      </c>
      <c r="W94" s="542">
        <v>0</v>
      </c>
      <c r="X94" s="542">
        <v>0</v>
      </c>
      <c r="Y94" s="167" t="s">
        <v>282</v>
      </c>
    </row>
    <row r="95" spans="1:25" s="96" customFormat="1">
      <c r="A95" s="90" t="s">
        <v>526</v>
      </c>
      <c r="B95" s="606"/>
      <c r="C95" s="356"/>
      <c r="D95" s="502">
        <v>0</v>
      </c>
      <c r="E95" s="504">
        <v>0</v>
      </c>
      <c r="F95" s="504">
        <f>'BH Tariffs'!E38*'P&amp;L - Concept C2 - All'!F56</f>
        <v>20000</v>
      </c>
      <c r="G95" s="504">
        <f>'BH Tariffs'!F38*'P&amp;L - Concept C2 - All'!G56</f>
        <v>20400</v>
      </c>
      <c r="H95" s="504">
        <f>'BH Tariffs'!G38*'P&amp;L - Concept C2 - All'!H56</f>
        <v>20808</v>
      </c>
      <c r="I95" s="504">
        <f>'BH Tariffs'!H38*'P&amp;L - Concept C2 - All'!I56</f>
        <v>21224.16</v>
      </c>
      <c r="J95" s="504">
        <f>'BH Tariffs'!I38*'P&amp;L - Concept C2 - All'!J56</f>
        <v>21648.643199999999</v>
      </c>
      <c r="K95" s="504">
        <f>'BH Tariffs'!J38*'P&amp;L - Concept C2 - All'!K56</f>
        <v>22081.616064000002</v>
      </c>
      <c r="L95" s="504">
        <f>'BH Tariffs'!K38*'P&amp;L - Concept C2 - All'!L56</f>
        <v>22523.24838528</v>
      </c>
      <c r="M95" s="504">
        <f>'BH Tariffs'!L38*'P&amp;L - Concept C2 - All'!M56</f>
        <v>22973.7133529856</v>
      </c>
      <c r="N95" s="504">
        <f>'BH Tariffs'!M38*'P&amp;L - Concept C2 - All'!N56</f>
        <v>23433.187620045315</v>
      </c>
      <c r="O95" s="504">
        <f>'BH Tariffs'!N38*'P&amp;L - Concept C2 - All'!O56</f>
        <v>23901.851372446221</v>
      </c>
      <c r="P95" s="504">
        <f>'BH Tariffs'!O38*'P&amp;L - Concept C2 - All'!P56</f>
        <v>24379.888399895146</v>
      </c>
      <c r="Q95" s="504">
        <f>'BH Tariffs'!P38*'P&amp;L - Concept C2 - All'!Q56</f>
        <v>24867.48616789305</v>
      </c>
      <c r="R95" s="504">
        <f>'BH Tariffs'!Q38*'P&amp;L - Concept C2 - All'!R56</f>
        <v>25364.83589125091</v>
      </c>
      <c r="S95" s="504">
        <f>'BH Tariffs'!R38*'P&amp;L - Concept C2 - All'!S56</f>
        <v>25872.132609075925</v>
      </c>
      <c r="T95" s="504">
        <f>'BH Tariffs'!S38*'P&amp;L - Concept C2 - All'!T56</f>
        <v>26389.575261257447</v>
      </c>
      <c r="U95" s="504">
        <f>'BH Tariffs'!T38*'P&amp;L - Concept C2 - All'!U56</f>
        <v>26917.366766482599</v>
      </c>
      <c r="V95" s="504">
        <f>'BH Tariffs'!U38*'P&amp;L - Concept C2 - All'!V56</f>
        <v>27455.714101812249</v>
      </c>
      <c r="W95" s="504">
        <f>'BH Tariffs'!V38*'P&amp;L - Concept C2 - All'!W56</f>
        <v>28004.828383848497</v>
      </c>
      <c r="X95" s="504">
        <f>'BH Tariffs'!W38*'P&amp;L - Concept C2 - All'!X56</f>
        <v>28564.924951525467</v>
      </c>
    </row>
    <row r="96" spans="1:25">
      <c r="A96" s="88"/>
      <c r="B96" s="30"/>
      <c r="C96" s="89"/>
      <c r="D96" s="502"/>
      <c r="E96" s="504"/>
      <c r="F96" s="504"/>
      <c r="G96" s="504"/>
      <c r="H96" s="504"/>
      <c r="I96" s="504"/>
      <c r="J96" s="504"/>
      <c r="K96" s="504"/>
      <c r="L96" s="504"/>
      <c r="M96" s="504"/>
      <c r="N96" s="504"/>
      <c r="O96" s="504"/>
      <c r="P96" s="504"/>
      <c r="Q96" s="504"/>
      <c r="R96" s="504"/>
      <c r="S96" s="504"/>
      <c r="T96" s="504"/>
      <c r="U96" s="504"/>
      <c r="V96" s="504"/>
      <c r="W96" s="504"/>
      <c r="X96" s="504"/>
    </row>
    <row r="97" spans="1:24">
      <c r="A97" s="91" t="s">
        <v>26</v>
      </c>
      <c r="B97" s="30"/>
      <c r="C97" s="89"/>
      <c r="D97" s="502"/>
      <c r="E97" s="504"/>
      <c r="F97" s="504"/>
      <c r="G97" s="504"/>
      <c r="H97" s="504"/>
      <c r="I97" s="504"/>
      <c r="J97" s="504"/>
      <c r="K97" s="504"/>
      <c r="L97" s="504"/>
      <c r="M97" s="504"/>
      <c r="N97" s="504"/>
      <c r="O97" s="504"/>
      <c r="P97" s="504"/>
      <c r="Q97" s="504"/>
      <c r="R97" s="504"/>
      <c r="S97" s="504"/>
      <c r="T97" s="504"/>
      <c r="U97" s="504"/>
      <c r="V97" s="504"/>
      <c r="W97" s="504"/>
      <c r="X97" s="504"/>
    </row>
    <row r="98" spans="1:24" s="341" customFormat="1">
      <c r="A98" s="353" t="s">
        <v>214</v>
      </c>
      <c r="B98" s="354"/>
      <c r="C98" s="355"/>
      <c r="D98" s="548">
        <v>0</v>
      </c>
      <c r="E98" s="503">
        <v>0</v>
      </c>
      <c r="F98" s="503">
        <v>0</v>
      </c>
      <c r="G98" s="503">
        <v>0</v>
      </c>
      <c r="H98" s="503">
        <v>0</v>
      </c>
      <c r="I98" s="503">
        <v>0</v>
      </c>
      <c r="J98" s="503">
        <v>0</v>
      </c>
      <c r="K98" s="503">
        <v>0</v>
      </c>
      <c r="L98" s="503">
        <v>0</v>
      </c>
      <c r="M98" s="503">
        <v>0</v>
      </c>
      <c r="N98" s="503">
        <v>0</v>
      </c>
      <c r="O98" s="503">
        <v>0</v>
      </c>
      <c r="P98" s="503">
        <v>0</v>
      </c>
      <c r="Q98" s="503">
        <v>0</v>
      </c>
      <c r="R98" s="503">
        <v>0</v>
      </c>
      <c r="S98" s="503">
        <v>0</v>
      </c>
      <c r="T98" s="503">
        <v>0</v>
      </c>
      <c r="U98" s="503">
        <v>0</v>
      </c>
      <c r="V98" s="503">
        <v>0</v>
      </c>
      <c r="W98" s="503">
        <v>0</v>
      </c>
      <c r="X98" s="503">
        <v>0</v>
      </c>
    </row>
    <row r="99" spans="1:24">
      <c r="A99" s="88" t="s">
        <v>215</v>
      </c>
      <c r="B99" s="30"/>
      <c r="C99" s="89"/>
      <c r="D99" s="502">
        <v>0</v>
      </c>
      <c r="E99" s="504">
        <f>'BH Tariffs'!D43*'Parking Projections'!C90</f>
        <v>0</v>
      </c>
      <c r="F99" s="504">
        <f>'BH Tariffs'!E43*'Parking Projections'!D90</f>
        <v>0</v>
      </c>
      <c r="G99" s="504">
        <f>'BH Tariffs'!F43*'Parking Projections'!E90</f>
        <v>0</v>
      </c>
      <c r="H99" s="504">
        <f>'BH Tariffs'!G43*'Parking Projections'!F90</f>
        <v>0</v>
      </c>
      <c r="I99" s="504">
        <f>'BH Tariffs'!H43*'Parking Projections'!G90</f>
        <v>0</v>
      </c>
      <c r="J99" s="504">
        <f>'BH Tariffs'!I43*'Parking Projections'!H90</f>
        <v>216287.84722222219</v>
      </c>
      <c r="K99" s="504">
        <f>'BH Tariffs'!J43*'Parking Projections'!I90</f>
        <v>216287.84722222219</v>
      </c>
      <c r="L99" s="504">
        <f>'BH Tariffs'!K43*'Parking Projections'!J90</f>
        <v>216287.84722222219</v>
      </c>
      <c r="M99" s="504">
        <f>'BH Tariffs'!L43*'Parking Projections'!K90</f>
        <v>216287.84722222219</v>
      </c>
      <c r="N99" s="504">
        <f>'BH Tariffs'!M43*'Parking Projections'!L90</f>
        <v>216287.84722222219</v>
      </c>
      <c r="O99" s="504">
        <f>'BH Tariffs'!N43*'Parking Projections'!M90</f>
        <v>270359.80902777775</v>
      </c>
      <c r="P99" s="504">
        <f>'BH Tariffs'!O43*'Parking Projections'!N90</f>
        <v>270359.80902777775</v>
      </c>
      <c r="Q99" s="504">
        <f>'BH Tariffs'!P43*'Parking Projections'!O90</f>
        <v>270359.80902777775</v>
      </c>
      <c r="R99" s="504">
        <f>'BH Tariffs'!Q43*'Parking Projections'!P90</f>
        <v>270359.80902777775</v>
      </c>
      <c r="S99" s="504">
        <f>'BH Tariffs'!R43*'Parking Projections'!Q90</f>
        <v>270359.80902777775</v>
      </c>
      <c r="T99" s="504">
        <f>'BH Tariffs'!S43*'Parking Projections'!R90</f>
        <v>324431.77083333326</v>
      </c>
      <c r="U99" s="504">
        <f>'BH Tariffs'!T43*'Parking Projections'!S90</f>
        <v>324431.77083333326</v>
      </c>
      <c r="V99" s="504">
        <f>'BH Tariffs'!U43*'Parking Projections'!T90</f>
        <v>324431.77083333326</v>
      </c>
      <c r="W99" s="504">
        <f>'BH Tariffs'!V43*'Parking Projections'!U90</f>
        <v>324431.77083333326</v>
      </c>
      <c r="X99" s="504">
        <f>'BH Tariffs'!W43*'Parking Projections'!V90</f>
        <v>324431.77083333326</v>
      </c>
    </row>
    <row r="100" spans="1:24">
      <c r="A100" s="91"/>
      <c r="B100" s="30"/>
      <c r="C100" s="89"/>
      <c r="D100" s="502"/>
      <c r="E100" s="504"/>
      <c r="F100" s="504"/>
      <c r="G100" s="504"/>
      <c r="H100" s="504"/>
      <c r="I100" s="504"/>
      <c r="J100" s="504"/>
      <c r="K100" s="504"/>
      <c r="L100" s="504"/>
      <c r="M100" s="504"/>
      <c r="N100" s="504"/>
      <c r="O100" s="504"/>
      <c r="P100" s="504"/>
      <c r="Q100" s="504"/>
      <c r="R100" s="504"/>
      <c r="S100" s="504"/>
      <c r="T100" s="504"/>
      <c r="U100" s="504"/>
      <c r="V100" s="504"/>
      <c r="W100" s="504"/>
      <c r="X100" s="504"/>
    </row>
    <row r="101" spans="1:24">
      <c r="A101" s="91" t="s">
        <v>2</v>
      </c>
      <c r="B101" s="30"/>
      <c r="C101" s="89"/>
      <c r="D101" s="502"/>
      <c r="E101" s="504"/>
      <c r="F101" s="504"/>
      <c r="G101" s="504"/>
      <c r="H101" s="504"/>
      <c r="I101" s="504"/>
      <c r="J101" s="504"/>
      <c r="K101" s="504"/>
      <c r="L101" s="504"/>
      <c r="M101" s="504"/>
      <c r="N101" s="504"/>
      <c r="O101" s="504"/>
      <c r="P101" s="504"/>
      <c r="Q101" s="504"/>
      <c r="R101" s="504"/>
      <c r="S101" s="504"/>
      <c r="T101" s="504"/>
      <c r="U101" s="504"/>
      <c r="V101" s="504"/>
      <c r="W101" s="504"/>
      <c r="X101" s="504"/>
    </row>
    <row r="102" spans="1:24">
      <c r="A102" s="88" t="str">
        <f>'BH Tariffs'!A44</f>
        <v>Commerical Rent (Seasonal Kiosk(s)/Vendor(s))</v>
      </c>
      <c r="B102" s="30"/>
      <c r="C102" s="89"/>
      <c r="D102" s="502">
        <v>0</v>
      </c>
      <c r="E102" s="504">
        <f>'BH Tariffs'!D44*'P&amp;L - Concept C2 - All'!E63</f>
        <v>0</v>
      </c>
      <c r="F102" s="504">
        <f>'BH Tariffs'!E44*'P&amp;L - Concept C2 - All'!F63</f>
        <v>0</v>
      </c>
      <c r="G102" s="504">
        <f>'BH Tariffs'!F44*'P&amp;L - Concept C2 - All'!G63*6</f>
        <v>6242.4000000000005</v>
      </c>
      <c r="H102" s="504">
        <f>'BH Tariffs'!G44*'P&amp;L - Concept C2 - All'!H63*6</f>
        <v>6367.2479999999996</v>
      </c>
      <c r="I102" s="504">
        <f>'BH Tariffs'!H44*'P&amp;L - Concept C2 - All'!I63*6</f>
        <v>6494.5929599999999</v>
      </c>
      <c r="J102" s="504">
        <f>'BH Tariffs'!I44*'P&amp;L - Concept C2 - All'!J63*6</f>
        <v>6624.4848191999999</v>
      </c>
      <c r="K102" s="504">
        <f>'BH Tariffs'!J44*'P&amp;L - Concept C2 - All'!K63*6</f>
        <v>6756.974515584001</v>
      </c>
      <c r="L102" s="504">
        <f>'BH Tariffs'!K44*'P&amp;L - Concept C2 - All'!L63*6</f>
        <v>6892.1140058956807</v>
      </c>
      <c r="M102" s="504">
        <f>'BH Tariffs'!L44*'P&amp;L - Concept C2 - All'!M63*6</f>
        <v>7029.9562860135939</v>
      </c>
      <c r="N102" s="504">
        <f>'BH Tariffs'!M44*'P&amp;L - Concept C2 - All'!N63*6</f>
        <v>7170.555411733867</v>
      </c>
      <c r="O102" s="504">
        <f>'BH Tariffs'!N44*'P&amp;L - Concept C2 - All'!O63*6</f>
        <v>7313.9665199685442</v>
      </c>
      <c r="P102" s="504">
        <f>'BH Tariffs'!O44*'P&amp;L - Concept C2 - All'!P63*6</f>
        <v>7460.2458503679145</v>
      </c>
      <c r="Q102" s="504">
        <f>'BH Tariffs'!P44*'P&amp;L - Concept C2 - All'!Q63*6</f>
        <v>7609.4507673752723</v>
      </c>
      <c r="R102" s="504">
        <f>'BH Tariffs'!Q44*'P&amp;L - Concept C2 - All'!R63*6</f>
        <v>7761.6397827227775</v>
      </c>
      <c r="S102" s="504">
        <f>'BH Tariffs'!R44*'P&amp;L - Concept C2 - All'!S63*6</f>
        <v>7916.8725783772334</v>
      </c>
      <c r="T102" s="504">
        <f>'BH Tariffs'!S44*'P&amp;L - Concept C2 - All'!T63*6</f>
        <v>8075.2100299447793</v>
      </c>
      <c r="U102" s="504">
        <f>'BH Tariffs'!T44*'P&amp;L - Concept C2 - All'!U63*6</f>
        <v>8236.7142305436755</v>
      </c>
      <c r="V102" s="504">
        <f>'BH Tariffs'!U44*'P&amp;L - Concept C2 - All'!V63*6</f>
        <v>8401.4485151545487</v>
      </c>
      <c r="W102" s="504">
        <f>'BH Tariffs'!V44*'P&amp;L - Concept C2 - All'!W63*6</f>
        <v>8569.4774854576408</v>
      </c>
      <c r="X102" s="504">
        <f>'BH Tariffs'!W44*'P&amp;L - Concept C2 - All'!X63*6</f>
        <v>8740.8670351667934</v>
      </c>
    </row>
    <row r="103" spans="1:24" s="96" customFormat="1">
      <c r="A103" s="90" t="s">
        <v>541</v>
      </c>
      <c r="B103" s="606"/>
      <c r="C103" s="356"/>
      <c r="D103" s="502">
        <v>0</v>
      </c>
      <c r="E103" s="504">
        <v>0</v>
      </c>
      <c r="F103" s="504">
        <v>0</v>
      </c>
      <c r="G103" s="504">
        <f>G64*0.05</f>
        <v>10000</v>
      </c>
      <c r="H103" s="504">
        <f t="shared" ref="H103:X103" si="11">H64*0.05</f>
        <v>10000</v>
      </c>
      <c r="I103" s="504">
        <f t="shared" si="11"/>
        <v>10000</v>
      </c>
      <c r="J103" s="504">
        <f t="shared" si="11"/>
        <v>10000</v>
      </c>
      <c r="K103" s="504">
        <f t="shared" si="11"/>
        <v>10000</v>
      </c>
      <c r="L103" s="504">
        <f t="shared" si="11"/>
        <v>10000</v>
      </c>
      <c r="M103" s="504">
        <f t="shared" si="11"/>
        <v>10000</v>
      </c>
      <c r="N103" s="504">
        <f t="shared" si="11"/>
        <v>10000</v>
      </c>
      <c r="O103" s="504">
        <f t="shared" si="11"/>
        <v>10000</v>
      </c>
      <c r="P103" s="504">
        <f t="shared" si="11"/>
        <v>10000</v>
      </c>
      <c r="Q103" s="504">
        <f t="shared" si="11"/>
        <v>10000</v>
      </c>
      <c r="R103" s="504">
        <f t="shared" si="11"/>
        <v>10000</v>
      </c>
      <c r="S103" s="504">
        <f t="shared" si="11"/>
        <v>10000</v>
      </c>
      <c r="T103" s="504">
        <f t="shared" si="11"/>
        <v>10000</v>
      </c>
      <c r="U103" s="504">
        <f t="shared" si="11"/>
        <v>10000</v>
      </c>
      <c r="V103" s="504">
        <f t="shared" si="11"/>
        <v>10000</v>
      </c>
      <c r="W103" s="504">
        <f t="shared" si="11"/>
        <v>10000</v>
      </c>
      <c r="X103" s="504">
        <f t="shared" si="11"/>
        <v>10000</v>
      </c>
    </row>
    <row r="104" spans="1:24">
      <c r="A104" s="88" t="str">
        <f>'BH Tariffs'!A45</f>
        <v>Motorcoach Access/Tour Operator Licenses</v>
      </c>
      <c r="B104" s="30"/>
      <c r="C104" s="89"/>
      <c r="D104" s="502">
        <v>0</v>
      </c>
      <c r="E104" s="504">
        <v>0</v>
      </c>
      <c r="F104" s="504">
        <f>'BH Tariffs'!E45*'P&amp;L - Concept C2 - All'!F66</f>
        <v>3060</v>
      </c>
      <c r="G104" s="504">
        <f>'BH Tariffs'!F45*'P&amp;L - Concept C2 - All'!G66</f>
        <v>3121.2000000000003</v>
      </c>
      <c r="H104" s="504">
        <f>'BH Tariffs'!G45*'P&amp;L - Concept C2 - All'!H66</f>
        <v>3183.6239999999998</v>
      </c>
      <c r="I104" s="504">
        <f>'BH Tariffs'!H45*'P&amp;L - Concept C2 - All'!I66</f>
        <v>3247.29648</v>
      </c>
      <c r="J104" s="504">
        <f>'BH Tariffs'!I45*'P&amp;L - Concept C2 - All'!J66</f>
        <v>3312.2424096</v>
      </c>
      <c r="K104" s="504">
        <f>'BH Tariffs'!J45*'P&amp;L - Concept C2 - All'!K66</f>
        <v>3378.4872577920005</v>
      </c>
      <c r="L104" s="504">
        <f>'BH Tariffs'!K45*'P&amp;L - Concept C2 - All'!L66</f>
        <v>3446.0570029478404</v>
      </c>
      <c r="M104" s="504">
        <f>'BH Tariffs'!L45*'P&amp;L - Concept C2 - All'!M66</f>
        <v>3514.9781430067969</v>
      </c>
      <c r="N104" s="504">
        <f>'BH Tariffs'!M45*'P&amp;L - Concept C2 - All'!N66</f>
        <v>3585.2777058669335</v>
      </c>
      <c r="O104" s="504">
        <f>'BH Tariffs'!N45*'P&amp;L - Concept C2 - All'!O66</f>
        <v>3656.9832599842721</v>
      </c>
      <c r="P104" s="504">
        <f>'BH Tariffs'!O45*'P&amp;L - Concept C2 - All'!P66</f>
        <v>3730.1229251839572</v>
      </c>
      <c r="Q104" s="504">
        <f>'BH Tariffs'!P45*'P&amp;L - Concept C2 - All'!Q66</f>
        <v>3804.7253836876362</v>
      </c>
      <c r="R104" s="504">
        <f>'BH Tariffs'!Q45*'P&amp;L - Concept C2 - All'!R66</f>
        <v>3880.8198913613887</v>
      </c>
      <c r="S104" s="504">
        <f>'BH Tariffs'!R45*'P&amp;L - Concept C2 - All'!S66</f>
        <v>3958.4362891886167</v>
      </c>
      <c r="T104" s="504">
        <f>'BH Tariffs'!S45*'P&amp;L - Concept C2 - All'!T66</f>
        <v>4037.6050149723897</v>
      </c>
      <c r="U104" s="504">
        <f>'BH Tariffs'!T45*'P&amp;L - Concept C2 - All'!U66</f>
        <v>4118.3571152718378</v>
      </c>
      <c r="V104" s="504">
        <f>'BH Tariffs'!U45*'P&amp;L - Concept C2 - All'!V66</f>
        <v>4200.7242575772743</v>
      </c>
      <c r="W104" s="504">
        <f>'BH Tariffs'!V45*'P&amp;L - Concept C2 - All'!W66</f>
        <v>4284.7387427288204</v>
      </c>
      <c r="X104" s="504">
        <f>'BH Tariffs'!W45*'P&amp;L - Concept C2 - All'!X66</f>
        <v>4370.4335175833967</v>
      </c>
    </row>
    <row r="105" spans="1:24">
      <c r="A105" s="299" t="s">
        <v>217</v>
      </c>
      <c r="B105" s="299"/>
      <c r="C105" s="299"/>
      <c r="D105" s="505">
        <v>0</v>
      </c>
      <c r="E105" s="506">
        <v>0</v>
      </c>
      <c r="F105" s="506">
        <f>'BH Tariffs'!E46*'P&amp;L - Concept C2 - All'!F65</f>
        <v>500</v>
      </c>
      <c r="G105" s="506">
        <f>'BH Tariffs'!F46*'P&amp;L - Concept C2 - All'!G65</f>
        <v>1000</v>
      </c>
      <c r="H105" s="506">
        <f>'BH Tariffs'!G46*'P&amp;L - Concept C2 - All'!H65</f>
        <v>1000</v>
      </c>
      <c r="I105" s="506">
        <f>'BH Tariffs'!H46*'P&amp;L - Concept C2 - All'!I65</f>
        <v>1000</v>
      </c>
      <c r="J105" s="506">
        <f>'BH Tariffs'!I46*'P&amp;L - Concept C2 - All'!J65</f>
        <v>1650</v>
      </c>
      <c r="K105" s="506">
        <f>'BH Tariffs'!J46*'P&amp;L - Concept C2 - All'!K65</f>
        <v>1650</v>
      </c>
      <c r="L105" s="506">
        <f>'BH Tariffs'!K46*'P&amp;L - Concept C2 - All'!L65</f>
        <v>1650</v>
      </c>
      <c r="M105" s="506">
        <f>'BH Tariffs'!L46*'P&amp;L - Concept C2 - All'!M65</f>
        <v>1650</v>
      </c>
      <c r="N105" s="506">
        <f>'BH Tariffs'!M46*'P&amp;L - Concept C2 - All'!N65</f>
        <v>1650</v>
      </c>
      <c r="O105" s="506">
        <f>'BH Tariffs'!N46*'P&amp;L - Concept C2 - All'!O65</f>
        <v>2400</v>
      </c>
      <c r="P105" s="506">
        <f>'BH Tariffs'!O46*'P&amp;L - Concept C2 - All'!P65</f>
        <v>2400</v>
      </c>
      <c r="Q105" s="506">
        <f>'BH Tariffs'!P46*'P&amp;L - Concept C2 - All'!Q65</f>
        <v>2400</v>
      </c>
      <c r="R105" s="506">
        <f>'BH Tariffs'!Q46*'P&amp;L - Concept C2 - All'!R65</f>
        <v>2400</v>
      </c>
      <c r="S105" s="506">
        <f>'BH Tariffs'!R46*'P&amp;L - Concept C2 - All'!S65</f>
        <v>2400</v>
      </c>
      <c r="T105" s="506">
        <f>'BH Tariffs'!S46*'P&amp;L - Concept C2 - All'!T65</f>
        <v>3250</v>
      </c>
      <c r="U105" s="506">
        <f>'BH Tariffs'!T46*'P&amp;L - Concept C2 - All'!U65</f>
        <v>3250</v>
      </c>
      <c r="V105" s="506">
        <f>'BH Tariffs'!U46*'P&amp;L - Concept C2 - All'!V65</f>
        <v>3250</v>
      </c>
      <c r="W105" s="506">
        <f>'BH Tariffs'!V46*'P&amp;L - Concept C2 - All'!W65</f>
        <v>3250</v>
      </c>
      <c r="X105" s="506">
        <f>'BH Tariffs'!W46*'P&amp;L - Concept C2 - All'!X65</f>
        <v>3250</v>
      </c>
    </row>
    <row r="106" spans="1:24">
      <c r="A106" s="278" t="s">
        <v>145</v>
      </c>
      <c r="D106" s="507">
        <f>SUM(D71:D105)</f>
        <v>0</v>
      </c>
      <c r="E106" s="508">
        <f>SUM(E70:E105)</f>
        <v>161800</v>
      </c>
      <c r="F106" s="508">
        <f t="shared" ref="F106:X106" si="12">SUM(F70:F105)</f>
        <v>2128307.3481843751</v>
      </c>
      <c r="G106" s="508">
        <f t="shared" si="12"/>
        <v>2215925.8951480626</v>
      </c>
      <c r="H106" s="508">
        <f t="shared" si="12"/>
        <v>2262024.4130510236</v>
      </c>
      <c r="I106" s="508">
        <f t="shared" si="12"/>
        <v>2309044.9013120444</v>
      </c>
      <c r="J106" s="508">
        <f t="shared" si="12"/>
        <v>2573943.6465605064</v>
      </c>
      <c r="K106" s="508">
        <f t="shared" si="12"/>
        <v>2622863.7625472732</v>
      </c>
      <c r="L106" s="508">
        <f t="shared" si="12"/>
        <v>2672762.2808537735</v>
      </c>
      <c r="M106" s="508">
        <f t="shared" si="12"/>
        <v>2723658.7695264053</v>
      </c>
      <c r="N106" s="508">
        <f t="shared" si="12"/>
        <v>2775573.1879724888</v>
      </c>
      <c r="O106" s="508">
        <f t="shared" si="12"/>
        <v>2883347.856593051</v>
      </c>
      <c r="P106" s="508">
        <f t="shared" si="12"/>
        <v>2937359.6175443544</v>
      </c>
      <c r="Q106" s="508">
        <f t="shared" si="12"/>
        <v>2992451.6137146871</v>
      </c>
      <c r="R106" s="508">
        <f t="shared" si="12"/>
        <v>3048645.4498084248</v>
      </c>
      <c r="S106" s="508">
        <f t="shared" si="12"/>
        <v>3105963.1626240383</v>
      </c>
      <c r="T106" s="508">
        <f t="shared" si="12"/>
        <v>3219349.1915015196</v>
      </c>
      <c r="U106" s="508">
        <f t="shared" si="12"/>
        <v>3278982.5399148827</v>
      </c>
      <c r="V106" s="508">
        <f t="shared" si="12"/>
        <v>3339808.5552965133</v>
      </c>
      <c r="W106" s="508">
        <f t="shared" si="12"/>
        <v>3401851.0909857778</v>
      </c>
      <c r="X106" s="508">
        <f t="shared" si="12"/>
        <v>3465134.4773888262</v>
      </c>
    </row>
    <row r="107" spans="1:24">
      <c r="D107" s="507"/>
      <c r="E107" s="413"/>
      <c r="F107" s="413"/>
      <c r="G107" s="413"/>
      <c r="H107" s="413"/>
      <c r="I107" s="413"/>
      <c r="J107" s="413"/>
      <c r="K107" s="413"/>
      <c r="L107" s="413"/>
      <c r="M107" s="413"/>
      <c r="N107" s="413"/>
      <c r="O107" s="413"/>
      <c r="P107" s="413"/>
      <c r="Q107" s="413"/>
      <c r="R107" s="413"/>
      <c r="S107" s="413"/>
      <c r="T107" s="413"/>
      <c r="U107" s="413"/>
      <c r="V107" s="413"/>
      <c r="W107" s="413"/>
      <c r="X107" s="413"/>
    </row>
    <row r="108" spans="1:24">
      <c r="A108" s="271" t="s">
        <v>146</v>
      </c>
      <c r="B108" s="149"/>
      <c r="C108" s="149"/>
      <c r="D108" s="509"/>
      <c r="E108" s="510"/>
      <c r="F108" s="510"/>
      <c r="G108" s="510"/>
      <c r="H108" s="510"/>
      <c r="I108" s="510"/>
      <c r="J108" s="510"/>
      <c r="K108" s="510"/>
      <c r="L108" s="510"/>
      <c r="M108" s="510"/>
      <c r="N108" s="510"/>
      <c r="O108" s="510"/>
      <c r="P108" s="510"/>
      <c r="Q108" s="510"/>
      <c r="R108" s="510"/>
      <c r="S108" s="510"/>
      <c r="T108" s="510"/>
      <c r="U108" s="510"/>
      <c r="V108" s="510"/>
      <c r="W108" s="510"/>
      <c r="X108" s="510"/>
    </row>
    <row r="109" spans="1:24">
      <c r="D109" s="507"/>
      <c r="E109" s="413"/>
      <c r="F109" s="413"/>
      <c r="G109" s="413"/>
      <c r="H109" s="413"/>
      <c r="I109" s="413"/>
      <c r="J109" s="413"/>
      <c r="K109" s="413"/>
      <c r="L109" s="413"/>
      <c r="M109" s="413"/>
      <c r="N109" s="413"/>
      <c r="O109" s="413"/>
      <c r="P109" s="413"/>
      <c r="Q109" s="413"/>
      <c r="R109" s="413"/>
      <c r="S109" s="413"/>
      <c r="T109" s="413"/>
      <c r="U109" s="413"/>
      <c r="V109" s="413"/>
      <c r="W109" s="413"/>
      <c r="X109" s="413"/>
    </row>
    <row r="110" spans="1:24">
      <c r="A110" s="91" t="s">
        <v>380</v>
      </c>
      <c r="B110" s="89"/>
      <c r="C110" s="89"/>
      <c r="D110" s="502"/>
      <c r="E110" s="504"/>
      <c r="F110" s="504"/>
      <c r="G110" s="504"/>
      <c r="H110" s="504"/>
      <c r="I110" s="504"/>
      <c r="J110" s="504"/>
      <c r="K110" s="504"/>
      <c r="L110" s="504"/>
      <c r="M110" s="504"/>
      <c r="N110" s="504"/>
      <c r="O110" s="504"/>
      <c r="P110" s="504"/>
      <c r="Q110" s="504"/>
      <c r="R110" s="504"/>
      <c r="S110" s="504"/>
      <c r="T110" s="504"/>
      <c r="U110" s="504"/>
      <c r="V110" s="504"/>
      <c r="W110" s="504"/>
      <c r="X110" s="504"/>
    </row>
    <row r="111" spans="1:24">
      <c r="A111" s="88" t="s">
        <v>432</v>
      </c>
      <c r="B111" s="89"/>
      <c r="C111" s="89"/>
      <c r="D111" s="502">
        <v>0</v>
      </c>
      <c r="E111" s="504">
        <v>0</v>
      </c>
      <c r="F111" s="504">
        <v>0</v>
      </c>
      <c r="G111" s="504">
        <v>0</v>
      </c>
      <c r="H111" s="504">
        <v>0</v>
      </c>
      <c r="I111" s="504">
        <v>0</v>
      </c>
      <c r="J111" s="504">
        <v>0</v>
      </c>
      <c r="K111" s="504">
        <v>0</v>
      </c>
      <c r="L111" s="504">
        <v>0</v>
      </c>
      <c r="M111" s="504">
        <v>0</v>
      </c>
      <c r="N111" s="504">
        <v>0</v>
      </c>
      <c r="O111" s="504">
        <v>0</v>
      </c>
      <c r="P111" s="504">
        <v>0</v>
      </c>
      <c r="Q111" s="504">
        <v>0</v>
      </c>
      <c r="R111" s="504">
        <v>0</v>
      </c>
      <c r="S111" s="504">
        <v>0</v>
      </c>
      <c r="T111" s="504">
        <v>0</v>
      </c>
      <c r="U111" s="504">
        <v>0</v>
      </c>
      <c r="V111" s="504">
        <v>0</v>
      </c>
      <c r="W111" s="504">
        <v>0</v>
      </c>
      <c r="X111" s="504">
        <v>0</v>
      </c>
    </row>
    <row r="112" spans="1:24">
      <c r="A112" s="88" t="s">
        <v>433</v>
      </c>
      <c r="B112" s="89"/>
      <c r="C112" s="89"/>
      <c r="D112" s="502">
        <v>0</v>
      </c>
      <c r="E112" s="504">
        <v>0</v>
      </c>
      <c r="F112" s="504">
        <v>0</v>
      </c>
      <c r="G112" s="504">
        <v>0</v>
      </c>
      <c r="H112" s="504">
        <v>0</v>
      </c>
      <c r="I112" s="504">
        <v>0</v>
      </c>
      <c r="J112" s="504">
        <v>0</v>
      </c>
      <c r="K112" s="504">
        <v>0</v>
      </c>
      <c r="L112" s="504">
        <v>0</v>
      </c>
      <c r="M112" s="504">
        <v>0</v>
      </c>
      <c r="N112" s="504">
        <v>0</v>
      </c>
      <c r="O112" s="504">
        <v>0</v>
      </c>
      <c r="P112" s="504">
        <v>0</v>
      </c>
      <c r="Q112" s="504">
        <v>0</v>
      </c>
      <c r="R112" s="504">
        <v>0</v>
      </c>
      <c r="S112" s="504">
        <v>0</v>
      </c>
      <c r="T112" s="504">
        <v>0</v>
      </c>
      <c r="U112" s="504">
        <v>0</v>
      </c>
      <c r="V112" s="504">
        <v>0</v>
      </c>
      <c r="W112" s="504">
        <v>0</v>
      </c>
      <c r="X112" s="504">
        <v>0</v>
      </c>
    </row>
    <row r="113" spans="1:25">
      <c r="A113" s="88" t="s">
        <v>434</v>
      </c>
      <c r="B113" s="89"/>
      <c r="C113" s="89"/>
      <c r="D113" s="502">
        <v>0</v>
      </c>
      <c r="E113" s="504">
        <v>0</v>
      </c>
      <c r="F113" s="504">
        <v>0</v>
      </c>
      <c r="G113" s="504">
        <v>0</v>
      </c>
      <c r="H113" s="504">
        <v>0</v>
      </c>
      <c r="I113" s="504">
        <v>0</v>
      </c>
      <c r="J113" s="504">
        <v>0</v>
      </c>
      <c r="K113" s="504">
        <v>0</v>
      </c>
      <c r="L113" s="504">
        <v>0</v>
      </c>
      <c r="M113" s="504">
        <v>0</v>
      </c>
      <c r="N113" s="504">
        <v>0</v>
      </c>
      <c r="O113" s="504">
        <v>0</v>
      </c>
      <c r="P113" s="504">
        <v>0</v>
      </c>
      <c r="Q113" s="504">
        <v>0</v>
      </c>
      <c r="R113" s="504">
        <v>0</v>
      </c>
      <c r="S113" s="504">
        <v>0</v>
      </c>
      <c r="T113" s="504">
        <v>0</v>
      </c>
      <c r="U113" s="504">
        <v>0</v>
      </c>
      <c r="V113" s="504">
        <v>0</v>
      </c>
      <c r="W113" s="504">
        <v>0</v>
      </c>
      <c r="X113" s="504">
        <v>0</v>
      </c>
    </row>
    <row r="114" spans="1:25">
      <c r="A114" s="88" t="s">
        <v>229</v>
      </c>
      <c r="B114" s="30"/>
      <c r="C114" s="89"/>
      <c r="D114" s="502">
        <v>0</v>
      </c>
      <c r="E114" s="504">
        <v>0</v>
      </c>
      <c r="F114" s="504">
        <v>0</v>
      </c>
      <c r="G114" s="504">
        <v>0</v>
      </c>
      <c r="H114" s="504">
        <v>0</v>
      </c>
      <c r="I114" s="504">
        <v>0</v>
      </c>
      <c r="J114" s="504">
        <v>0</v>
      </c>
      <c r="K114" s="504">
        <v>0</v>
      </c>
      <c r="L114" s="504">
        <v>0</v>
      </c>
      <c r="M114" s="504">
        <v>0</v>
      </c>
      <c r="N114" s="504">
        <v>0</v>
      </c>
      <c r="O114" s="504">
        <v>0</v>
      </c>
      <c r="P114" s="504">
        <v>0</v>
      </c>
      <c r="Q114" s="504">
        <v>0</v>
      </c>
      <c r="R114" s="504">
        <v>0</v>
      </c>
      <c r="S114" s="504">
        <v>0</v>
      </c>
      <c r="T114" s="504">
        <v>0</v>
      </c>
      <c r="U114" s="504">
        <v>0</v>
      </c>
      <c r="V114" s="504">
        <v>0</v>
      </c>
      <c r="W114" s="504">
        <v>0</v>
      </c>
      <c r="X114" s="504">
        <v>0</v>
      </c>
    </row>
    <row r="115" spans="1:25" s="32" customFormat="1">
      <c r="A115" s="299" t="s">
        <v>297</v>
      </c>
      <c r="B115" s="299"/>
      <c r="C115" s="299"/>
      <c r="D115" s="505">
        <v>0</v>
      </c>
      <c r="E115" s="506">
        <f>E53</f>
        <v>0</v>
      </c>
      <c r="F115" s="506">
        <f t="shared" ref="F115:X115" si="13">F53</f>
        <v>0</v>
      </c>
      <c r="G115" s="506">
        <f t="shared" si="13"/>
        <v>100000</v>
      </c>
      <c r="H115" s="506">
        <f t="shared" si="13"/>
        <v>100000</v>
      </c>
      <c r="I115" s="506">
        <f t="shared" si="13"/>
        <v>100000</v>
      </c>
      <c r="J115" s="506">
        <f t="shared" si="13"/>
        <v>100000</v>
      </c>
      <c r="K115" s="506">
        <f t="shared" si="13"/>
        <v>100000</v>
      </c>
      <c r="L115" s="506">
        <f t="shared" si="13"/>
        <v>100000</v>
      </c>
      <c r="M115" s="506">
        <f t="shared" si="13"/>
        <v>100000</v>
      </c>
      <c r="N115" s="506">
        <f t="shared" si="13"/>
        <v>100000</v>
      </c>
      <c r="O115" s="506">
        <f t="shared" si="13"/>
        <v>100000</v>
      </c>
      <c r="P115" s="506">
        <f t="shared" si="13"/>
        <v>100000</v>
      </c>
      <c r="Q115" s="506">
        <f t="shared" si="13"/>
        <v>100000</v>
      </c>
      <c r="R115" s="506">
        <f t="shared" si="13"/>
        <v>100000</v>
      </c>
      <c r="S115" s="506">
        <f t="shared" si="13"/>
        <v>100000</v>
      </c>
      <c r="T115" s="506">
        <f t="shared" si="13"/>
        <v>100000</v>
      </c>
      <c r="U115" s="506">
        <f t="shared" si="13"/>
        <v>100000</v>
      </c>
      <c r="V115" s="506">
        <f t="shared" si="13"/>
        <v>100000</v>
      </c>
      <c r="W115" s="506">
        <f t="shared" si="13"/>
        <v>100000</v>
      </c>
      <c r="X115" s="506">
        <f t="shared" si="13"/>
        <v>100000</v>
      </c>
    </row>
    <row r="116" spans="1:25">
      <c r="A116" s="278" t="s">
        <v>147</v>
      </c>
      <c r="D116" s="507">
        <f>SUM(D114:D115)</f>
        <v>0</v>
      </c>
      <c r="E116" s="508">
        <f>SUM(E111:E115)</f>
        <v>0</v>
      </c>
      <c r="F116" s="508">
        <f t="shared" ref="F116:X116" si="14">SUM(F111:F115)</f>
        <v>0</v>
      </c>
      <c r="G116" s="508">
        <f t="shared" si="14"/>
        <v>100000</v>
      </c>
      <c r="H116" s="508">
        <f t="shared" si="14"/>
        <v>100000</v>
      </c>
      <c r="I116" s="508">
        <f t="shared" si="14"/>
        <v>100000</v>
      </c>
      <c r="J116" s="508">
        <f t="shared" si="14"/>
        <v>100000</v>
      </c>
      <c r="K116" s="508">
        <f t="shared" si="14"/>
        <v>100000</v>
      </c>
      <c r="L116" s="508">
        <f t="shared" si="14"/>
        <v>100000</v>
      </c>
      <c r="M116" s="508">
        <f t="shared" si="14"/>
        <v>100000</v>
      </c>
      <c r="N116" s="508">
        <f t="shared" si="14"/>
        <v>100000</v>
      </c>
      <c r="O116" s="508">
        <f t="shared" si="14"/>
        <v>100000</v>
      </c>
      <c r="P116" s="508">
        <f t="shared" si="14"/>
        <v>100000</v>
      </c>
      <c r="Q116" s="508">
        <f t="shared" si="14"/>
        <v>100000</v>
      </c>
      <c r="R116" s="508">
        <f t="shared" si="14"/>
        <v>100000</v>
      </c>
      <c r="S116" s="508">
        <f t="shared" si="14"/>
        <v>100000</v>
      </c>
      <c r="T116" s="508">
        <f t="shared" si="14"/>
        <v>100000</v>
      </c>
      <c r="U116" s="508">
        <f t="shared" si="14"/>
        <v>100000</v>
      </c>
      <c r="V116" s="508">
        <f t="shared" si="14"/>
        <v>100000</v>
      </c>
      <c r="W116" s="508">
        <f t="shared" si="14"/>
        <v>100000</v>
      </c>
      <c r="X116" s="508">
        <f t="shared" si="14"/>
        <v>100000</v>
      </c>
    </row>
    <row r="117" spans="1:25">
      <c r="D117" s="507"/>
      <c r="E117" s="413"/>
      <c r="F117" s="413"/>
      <c r="G117" s="413"/>
      <c r="H117" s="413"/>
      <c r="I117" s="413"/>
      <c r="J117" s="413"/>
      <c r="K117" s="413"/>
      <c r="L117" s="413"/>
      <c r="M117" s="413"/>
      <c r="N117" s="413"/>
      <c r="O117" s="413"/>
      <c r="P117" s="413"/>
      <c r="Q117" s="413"/>
      <c r="R117" s="413"/>
      <c r="S117" s="413"/>
      <c r="T117" s="413"/>
      <c r="U117" s="413"/>
      <c r="V117" s="413"/>
      <c r="W117" s="413"/>
      <c r="X117" s="413"/>
    </row>
    <row r="118" spans="1:25">
      <c r="A118" s="88" t="s">
        <v>608</v>
      </c>
      <c r="D118" s="507">
        <f t="shared" ref="D118" si="15">SUM(D116:D117)</f>
        <v>0</v>
      </c>
      <c r="E118" s="413">
        <v>58025</v>
      </c>
      <c r="F118" s="413">
        <v>0</v>
      </c>
      <c r="G118" s="413">
        <v>0</v>
      </c>
      <c r="H118" s="413">
        <v>0</v>
      </c>
      <c r="I118" s="413">
        <v>0</v>
      </c>
      <c r="J118" s="413">
        <v>0</v>
      </c>
      <c r="K118" s="413">
        <v>0</v>
      </c>
      <c r="L118" s="413">
        <v>0</v>
      </c>
      <c r="M118" s="413">
        <v>0</v>
      </c>
      <c r="N118" s="413">
        <v>0</v>
      </c>
      <c r="O118" s="413">
        <v>0</v>
      </c>
      <c r="P118" s="413">
        <v>0</v>
      </c>
      <c r="Q118" s="413">
        <v>0</v>
      </c>
      <c r="R118" s="413">
        <v>0</v>
      </c>
      <c r="S118" s="413">
        <v>0</v>
      </c>
      <c r="T118" s="413">
        <v>0</v>
      </c>
      <c r="U118" s="413">
        <v>0</v>
      </c>
      <c r="V118" s="413">
        <v>0</v>
      </c>
      <c r="W118" s="413">
        <v>0</v>
      </c>
      <c r="X118" s="413">
        <v>0</v>
      </c>
    </row>
    <row r="119" spans="1:25">
      <c r="D119" s="507"/>
      <c r="E119" s="413"/>
      <c r="F119" s="413"/>
      <c r="G119" s="413"/>
      <c r="H119" s="413"/>
      <c r="I119" s="413"/>
      <c r="J119" s="413"/>
      <c r="K119" s="413"/>
      <c r="L119" s="413"/>
      <c r="M119" s="413"/>
      <c r="N119" s="413"/>
      <c r="O119" s="413"/>
      <c r="P119" s="413"/>
      <c r="Q119" s="413"/>
      <c r="R119" s="413"/>
      <c r="S119" s="413"/>
      <c r="T119" s="413"/>
      <c r="U119" s="413"/>
      <c r="V119" s="413"/>
      <c r="W119" s="413"/>
      <c r="X119" s="413"/>
    </row>
    <row r="120" spans="1:25" s="16" customFormat="1" ht="14.25">
      <c r="A120" s="295" t="s">
        <v>148</v>
      </c>
      <c r="B120" s="295"/>
      <c r="C120" s="295"/>
      <c r="D120" s="511">
        <f>SUM(D106,D116)</f>
        <v>0</v>
      </c>
      <c r="E120" s="511">
        <f>SUM(E106,E116,E118)</f>
        <v>219825</v>
      </c>
      <c r="F120" s="511">
        <f t="shared" ref="F120:X120" si="16">SUM(F106,F116,F118)</f>
        <v>2128307.3481843751</v>
      </c>
      <c r="G120" s="511">
        <f t="shared" si="16"/>
        <v>2315925.8951480626</v>
      </c>
      <c r="H120" s="511">
        <f t="shared" si="16"/>
        <v>2362024.4130510236</v>
      </c>
      <c r="I120" s="511">
        <f t="shared" si="16"/>
        <v>2409044.9013120444</v>
      </c>
      <c r="J120" s="511">
        <f t="shared" si="16"/>
        <v>2673943.6465605064</v>
      </c>
      <c r="K120" s="511">
        <f t="shared" si="16"/>
        <v>2722863.7625472732</v>
      </c>
      <c r="L120" s="511">
        <f t="shared" si="16"/>
        <v>2772762.2808537735</v>
      </c>
      <c r="M120" s="511">
        <f t="shared" si="16"/>
        <v>2823658.7695264053</v>
      </c>
      <c r="N120" s="511">
        <f t="shared" si="16"/>
        <v>2875573.1879724888</v>
      </c>
      <c r="O120" s="511">
        <f t="shared" si="16"/>
        <v>2983347.856593051</v>
      </c>
      <c r="P120" s="511">
        <f t="shared" si="16"/>
        <v>3037359.6175443544</v>
      </c>
      <c r="Q120" s="511">
        <f t="shared" si="16"/>
        <v>3092451.6137146871</v>
      </c>
      <c r="R120" s="511">
        <f t="shared" si="16"/>
        <v>3148645.4498084248</v>
      </c>
      <c r="S120" s="511">
        <f t="shared" si="16"/>
        <v>3205963.1626240383</v>
      </c>
      <c r="T120" s="511">
        <f t="shared" si="16"/>
        <v>3319349.1915015196</v>
      </c>
      <c r="U120" s="511">
        <f t="shared" si="16"/>
        <v>3378982.5399148827</v>
      </c>
      <c r="V120" s="511">
        <f t="shared" si="16"/>
        <v>3439808.5552965133</v>
      </c>
      <c r="W120" s="511">
        <f t="shared" si="16"/>
        <v>3501851.0909857778</v>
      </c>
      <c r="X120" s="511">
        <f t="shared" si="16"/>
        <v>3565134.4773888262</v>
      </c>
      <c r="Y120" s="622">
        <f>SUM(D120:X120)</f>
        <v>55976822.760528028</v>
      </c>
    </row>
    <row r="121" spans="1:25">
      <c r="A121" s="30"/>
      <c r="B121" s="30"/>
      <c r="C121" s="30"/>
      <c r="D121" s="502"/>
      <c r="E121" s="512"/>
      <c r="F121" s="512"/>
      <c r="G121" s="512"/>
      <c r="H121" s="512"/>
      <c r="I121" s="512"/>
      <c r="J121" s="512"/>
      <c r="K121" s="512"/>
      <c r="L121" s="512"/>
      <c r="M121" s="512"/>
      <c r="N121" s="512"/>
      <c r="O121" s="512"/>
      <c r="P121" s="512"/>
      <c r="Q121" s="512"/>
      <c r="R121" s="512"/>
      <c r="S121" s="512"/>
      <c r="T121" s="512"/>
      <c r="U121" s="512"/>
      <c r="V121" s="512"/>
      <c r="W121" s="512"/>
      <c r="X121" s="512"/>
    </row>
    <row r="122" spans="1:25" s="33" customFormat="1">
      <c r="A122" s="47" t="s">
        <v>7</v>
      </c>
      <c r="B122" s="47" t="s">
        <v>7</v>
      </c>
      <c r="C122" s="78" t="s">
        <v>7</v>
      </c>
      <c r="D122" s="604" t="s">
        <v>7</v>
      </c>
      <c r="E122" s="78" t="s">
        <v>7</v>
      </c>
      <c r="F122" s="78" t="s">
        <v>7</v>
      </c>
      <c r="G122" s="78" t="s">
        <v>7</v>
      </c>
      <c r="H122" s="78" t="s">
        <v>7</v>
      </c>
      <c r="I122" s="78" t="s">
        <v>7</v>
      </c>
      <c r="J122" s="78" t="s">
        <v>7</v>
      </c>
      <c r="K122" s="78" t="s">
        <v>7</v>
      </c>
      <c r="L122" s="78" t="s">
        <v>7</v>
      </c>
      <c r="M122" s="78" t="s">
        <v>7</v>
      </c>
      <c r="N122" s="78" t="s">
        <v>7</v>
      </c>
      <c r="O122" s="78" t="s">
        <v>7</v>
      </c>
      <c r="P122" s="78" t="s">
        <v>7</v>
      </c>
      <c r="Q122" s="78" t="s">
        <v>7</v>
      </c>
      <c r="R122" s="78" t="s">
        <v>7</v>
      </c>
      <c r="S122" s="78" t="s">
        <v>7</v>
      </c>
      <c r="T122" s="78" t="s">
        <v>7</v>
      </c>
      <c r="U122" s="78" t="s">
        <v>7</v>
      </c>
      <c r="V122" s="78" t="s">
        <v>7</v>
      </c>
      <c r="W122" s="78" t="s">
        <v>7</v>
      </c>
      <c r="X122" s="78" t="s">
        <v>7</v>
      </c>
    </row>
    <row r="123" spans="1:25">
      <c r="A123" s="30"/>
      <c r="B123" s="30"/>
      <c r="C123" s="30"/>
      <c r="D123" s="502"/>
      <c r="E123" s="512"/>
      <c r="F123" s="512"/>
      <c r="G123" s="512"/>
      <c r="H123" s="512"/>
      <c r="I123" s="512"/>
      <c r="J123" s="512"/>
      <c r="K123" s="512"/>
      <c r="L123" s="512"/>
      <c r="M123" s="512"/>
      <c r="N123" s="512"/>
      <c r="O123" s="512"/>
      <c r="P123" s="512"/>
      <c r="Q123" s="512"/>
      <c r="R123" s="512"/>
      <c r="S123" s="512"/>
      <c r="T123" s="512"/>
      <c r="U123" s="512"/>
      <c r="V123" s="512"/>
      <c r="W123" s="512"/>
      <c r="X123" s="512"/>
    </row>
    <row r="124" spans="1:25">
      <c r="A124" s="269" t="s">
        <v>131</v>
      </c>
      <c r="B124" s="269"/>
      <c r="C124" s="270"/>
      <c r="D124" s="513"/>
      <c r="E124" s="513"/>
      <c r="F124" s="513"/>
      <c r="G124" s="513"/>
      <c r="H124" s="513"/>
      <c r="I124" s="513"/>
      <c r="J124" s="513"/>
      <c r="K124" s="513"/>
      <c r="L124" s="513"/>
      <c r="M124" s="513"/>
      <c r="N124" s="513"/>
      <c r="O124" s="513"/>
      <c r="P124" s="513"/>
      <c r="Q124" s="513"/>
      <c r="R124" s="513"/>
      <c r="S124" s="513"/>
      <c r="T124" s="513"/>
      <c r="U124" s="513"/>
      <c r="V124" s="513"/>
      <c r="W124" s="513"/>
      <c r="X124" s="513"/>
    </row>
    <row r="125" spans="1:25">
      <c r="A125" s="69"/>
      <c r="B125" s="69"/>
      <c r="C125" s="69"/>
      <c r="D125" s="502"/>
      <c r="E125" s="504"/>
      <c r="F125" s="504"/>
      <c r="G125" s="504"/>
      <c r="H125" s="504"/>
      <c r="I125" s="504"/>
      <c r="J125" s="504"/>
      <c r="K125" s="504"/>
      <c r="L125" s="504"/>
      <c r="M125" s="504"/>
      <c r="N125" s="504"/>
      <c r="O125" s="504"/>
      <c r="P125" s="504"/>
      <c r="Q125" s="504"/>
      <c r="R125" s="504"/>
      <c r="S125" s="504"/>
      <c r="T125" s="504"/>
      <c r="U125" s="504"/>
      <c r="V125" s="504"/>
      <c r="W125" s="504"/>
      <c r="X125" s="504"/>
    </row>
    <row r="126" spans="1:25" s="96" customFormat="1">
      <c r="A126" s="69" t="s">
        <v>13</v>
      </c>
      <c r="B126" s="69"/>
      <c r="C126" s="69"/>
      <c r="D126" s="514">
        <v>0</v>
      </c>
      <c r="E126" s="515">
        <f>'OPEX - Concept C2 - ALL'!L80</f>
        <v>12250</v>
      </c>
      <c r="F126" s="515">
        <f>'OPEX - Concept C2 - ALL'!M80</f>
        <v>171500</v>
      </c>
      <c r="G126" s="515">
        <f>'OPEX - Concept C2 - ALL'!N80</f>
        <v>174930</v>
      </c>
      <c r="H126" s="515">
        <f>'OPEX - Concept C2 - ALL'!O80</f>
        <v>178428.59999999998</v>
      </c>
      <c r="I126" s="515">
        <f>'OPEX - Concept C2 - ALL'!P80</f>
        <v>181997.17199999996</v>
      </c>
      <c r="J126" s="515">
        <f>'OPEX - Concept C2 - ALL'!Q80</f>
        <v>185637.11543999997</v>
      </c>
      <c r="K126" s="515">
        <f>'OPEX - Concept C2 - ALL'!R80</f>
        <v>189349.85774879999</v>
      </c>
      <c r="L126" s="515">
        <f>'OPEX - Concept C2 - ALL'!S80</f>
        <v>193136.85490377599</v>
      </c>
      <c r="M126" s="515">
        <f>'OPEX - Concept C2 - ALL'!T80</f>
        <v>196999.59200185153</v>
      </c>
      <c r="N126" s="515">
        <f>'OPEX - Concept C2 - ALL'!U80</f>
        <v>200939.58384188855</v>
      </c>
      <c r="O126" s="515">
        <f>'OPEX - Concept C2 - ALL'!V80</f>
        <v>204958.37551872636</v>
      </c>
      <c r="P126" s="515">
        <f>'OPEX - Concept C2 - ALL'!W80</f>
        <v>209057.54302910087</v>
      </c>
      <c r="Q126" s="515">
        <f>'OPEX - Concept C2 - ALL'!X80</f>
        <v>213238.69388968288</v>
      </c>
      <c r="R126" s="515">
        <f>'OPEX - Concept C2 - ALL'!Y80</f>
        <v>217503.46776747654</v>
      </c>
      <c r="S126" s="515">
        <f>'OPEX - Concept C2 - ALL'!Z80</f>
        <v>221853.53712282603</v>
      </c>
      <c r="T126" s="515">
        <f>'OPEX - Concept C2 - ALL'!AA80</f>
        <v>226290.60786528263</v>
      </c>
      <c r="U126" s="515">
        <f>'OPEX - Concept C2 - ALL'!AB80</f>
        <v>230816.42002258825</v>
      </c>
      <c r="V126" s="515">
        <f>'OPEX - Concept C2 - ALL'!AC80</f>
        <v>235432.74842304003</v>
      </c>
      <c r="W126" s="515">
        <f>'OPEX - Concept C2 - ALL'!AD80</f>
        <v>240141.40339150085</v>
      </c>
      <c r="X126" s="515">
        <f>'OPEX - Concept C2 - ALL'!AE80</f>
        <v>244944.23145933088</v>
      </c>
    </row>
    <row r="127" spans="1:25" s="96" customFormat="1">
      <c r="A127" s="69" t="s">
        <v>41</v>
      </c>
      <c r="B127" s="69"/>
      <c r="C127" s="69"/>
      <c r="D127" s="514">
        <v>0</v>
      </c>
      <c r="E127" s="515">
        <f>'OPEX - Concept C2 - ALL'!L88</f>
        <v>25000</v>
      </c>
      <c r="F127" s="515">
        <f>'OPEX - Concept C2 - ALL'!M88</f>
        <v>25500</v>
      </c>
      <c r="G127" s="515">
        <f>'OPEX - Concept C2 - ALL'!N88</f>
        <v>26010</v>
      </c>
      <c r="H127" s="515">
        <f>'OPEX - Concept C2 - ALL'!O88</f>
        <v>26530.199999999997</v>
      </c>
      <c r="I127" s="515">
        <f>'OPEX - Concept C2 - ALL'!P88</f>
        <v>27060.804</v>
      </c>
      <c r="J127" s="515">
        <f>'OPEX - Concept C2 - ALL'!Q88</f>
        <v>27602.020080000002</v>
      </c>
      <c r="K127" s="515">
        <f>'OPEX - Concept C2 - ALL'!R88</f>
        <v>28154.060481600001</v>
      </c>
      <c r="L127" s="515">
        <f>'OPEX - Concept C2 - ALL'!S88</f>
        <v>28717.141691232002</v>
      </c>
      <c r="M127" s="515">
        <f>'OPEX - Concept C2 - ALL'!T88</f>
        <v>29291.484525056643</v>
      </c>
      <c r="N127" s="515">
        <f>'OPEX - Concept C2 - ALL'!U88</f>
        <v>29877.314215557777</v>
      </c>
      <c r="O127" s="515">
        <f>'OPEX - Concept C2 - ALL'!V88</f>
        <v>30474.860499868933</v>
      </c>
      <c r="P127" s="515">
        <f>'OPEX - Concept C2 - ALL'!W88</f>
        <v>31084.357709866312</v>
      </c>
      <c r="Q127" s="515">
        <f>'OPEX - Concept C2 - ALL'!X88</f>
        <v>31706.044864063639</v>
      </c>
      <c r="R127" s="515">
        <f>'OPEX - Concept C2 - ALL'!Y88</f>
        <v>32340.165761344906</v>
      </c>
      <c r="S127" s="515">
        <f>'OPEX - Concept C2 - ALL'!Z88</f>
        <v>32986.969076571811</v>
      </c>
      <c r="T127" s="515">
        <f>'OPEX - Concept C2 - ALL'!AA88</f>
        <v>33646.708458103247</v>
      </c>
      <c r="U127" s="515">
        <f>'OPEX - Concept C2 - ALL'!AB88</f>
        <v>34319.642627265312</v>
      </c>
      <c r="V127" s="515">
        <f>'OPEX - Concept C2 - ALL'!AC88</f>
        <v>35006.03547981062</v>
      </c>
      <c r="W127" s="515">
        <f>'OPEX - Concept C2 - ALL'!AD88</f>
        <v>35706.156189406836</v>
      </c>
      <c r="X127" s="515">
        <f>'OPEX - Concept C2 - ALL'!AE88</f>
        <v>36420.279313194973</v>
      </c>
    </row>
    <row r="128" spans="1:25" s="96" customFormat="1">
      <c r="A128" s="69" t="s">
        <v>424</v>
      </c>
      <c r="B128" s="69"/>
      <c r="C128" s="69"/>
      <c r="D128" s="514">
        <v>0</v>
      </c>
      <c r="E128" s="515">
        <f>'OPEX - Concept C2 - ALL'!L89</f>
        <v>10000</v>
      </c>
      <c r="F128" s="515">
        <f>'OPEX - Concept C2 - ALL'!M89</f>
        <v>500</v>
      </c>
      <c r="G128" s="515">
        <f>'OPEX - Concept C2 - ALL'!N89</f>
        <v>520.20000000000005</v>
      </c>
      <c r="H128" s="515">
        <f>'OPEX - Concept C2 - ALL'!O89</f>
        <v>530.60399999999993</v>
      </c>
      <c r="I128" s="515">
        <f>'OPEX - Concept C2 - ALL'!P89</f>
        <v>541.21608000000003</v>
      </c>
      <c r="J128" s="515">
        <f>'OPEX - Concept C2 - ALL'!Q89</f>
        <v>5000</v>
      </c>
      <c r="K128" s="515">
        <f>'OPEX - Concept C2 - ALL'!R89</f>
        <v>563.08120963200008</v>
      </c>
      <c r="L128" s="515">
        <f>'OPEX - Concept C2 - ALL'!S89</f>
        <v>574.34283382464002</v>
      </c>
      <c r="M128" s="515">
        <f>'OPEX - Concept C2 - ALL'!T89</f>
        <v>585.82969050113286</v>
      </c>
      <c r="N128" s="515">
        <f>'OPEX - Concept C2 - ALL'!U89</f>
        <v>597.54628431115555</v>
      </c>
      <c r="O128" s="515">
        <f>'OPEX - Concept C2 - ALL'!V89</f>
        <v>5000</v>
      </c>
      <c r="P128" s="515">
        <f>'OPEX - Concept C2 - ALL'!W89</f>
        <v>621.68715419732621</v>
      </c>
      <c r="Q128" s="515">
        <f>'OPEX - Concept C2 - ALL'!X89</f>
        <v>634.12089728127273</v>
      </c>
      <c r="R128" s="515">
        <f>'OPEX - Concept C2 - ALL'!Y89</f>
        <v>646.80331522689812</v>
      </c>
      <c r="S128" s="515">
        <f>'OPEX - Concept C2 - ALL'!Z89</f>
        <v>659.73938153143615</v>
      </c>
      <c r="T128" s="515">
        <f>'OPEX - Concept C2 - ALL'!AA89</f>
        <v>5000</v>
      </c>
      <c r="U128" s="515">
        <f>'OPEX - Concept C2 - ALL'!AB89</f>
        <v>686.39285254530625</v>
      </c>
      <c r="V128" s="515">
        <f>'OPEX - Concept C2 - ALL'!AC89</f>
        <v>700.12070959621246</v>
      </c>
      <c r="W128" s="515">
        <f>'OPEX - Concept C2 - ALL'!AD89</f>
        <v>714.1231237881367</v>
      </c>
      <c r="X128" s="515">
        <f>'OPEX - Concept C2 - ALL'!AE89</f>
        <v>728.40558626389941</v>
      </c>
    </row>
    <row r="129" spans="1:24" s="96" customFormat="1">
      <c r="A129" s="69" t="s">
        <v>42</v>
      </c>
      <c r="B129" s="69"/>
      <c r="C129" s="69"/>
      <c r="D129" s="514">
        <v>0</v>
      </c>
      <c r="E129" s="515">
        <f>'OPEX - Concept C2 - ALL'!L90</f>
        <v>50000</v>
      </c>
      <c r="F129" s="515">
        <f>'OPEX - Concept C2 - ALL'!M90</f>
        <v>51000</v>
      </c>
      <c r="G129" s="515">
        <f>'OPEX - Concept C2 - ALL'!N90</f>
        <v>52020</v>
      </c>
      <c r="H129" s="515">
        <f>'OPEX - Concept C2 - ALL'!O90</f>
        <v>53060.399999999994</v>
      </c>
      <c r="I129" s="515">
        <f>'OPEX - Concept C2 - ALL'!P90</f>
        <v>54121.608</v>
      </c>
      <c r="J129" s="515">
        <f>'OPEX - Concept C2 - ALL'!Q90</f>
        <v>55204.040160000004</v>
      </c>
      <c r="K129" s="515">
        <f>'OPEX - Concept C2 - ALL'!R90</f>
        <v>56308.120963200003</v>
      </c>
      <c r="L129" s="515">
        <f>'OPEX - Concept C2 - ALL'!S90</f>
        <v>57434.283382464004</v>
      </c>
      <c r="M129" s="515">
        <f>'OPEX - Concept C2 - ALL'!T90</f>
        <v>58582.969050113286</v>
      </c>
      <c r="N129" s="515">
        <f>'OPEX - Concept C2 - ALL'!U90</f>
        <v>59754.628431115554</v>
      </c>
      <c r="O129" s="515">
        <f>'OPEX - Concept C2 - ALL'!V90</f>
        <v>60949.720999737867</v>
      </c>
      <c r="P129" s="515">
        <f>'OPEX - Concept C2 - ALL'!W90</f>
        <v>62168.715419732624</v>
      </c>
      <c r="Q129" s="515">
        <f>'OPEX - Concept C2 - ALL'!X90</f>
        <v>63412.089728127277</v>
      </c>
      <c r="R129" s="515">
        <f>'OPEX - Concept C2 - ALL'!Y90</f>
        <v>64680.331522689812</v>
      </c>
      <c r="S129" s="515">
        <f>'OPEX - Concept C2 - ALL'!Z90</f>
        <v>65973.938153143623</v>
      </c>
      <c r="T129" s="515">
        <f>'OPEX - Concept C2 - ALL'!AA90</f>
        <v>67293.416916206494</v>
      </c>
      <c r="U129" s="515">
        <f>'OPEX - Concept C2 - ALL'!AB90</f>
        <v>68639.285254530623</v>
      </c>
      <c r="V129" s="515">
        <f>'OPEX - Concept C2 - ALL'!AC90</f>
        <v>70012.07095962124</v>
      </c>
      <c r="W129" s="515">
        <f>'OPEX - Concept C2 - ALL'!AD90</f>
        <v>71412.312378813673</v>
      </c>
      <c r="X129" s="515">
        <f>'OPEX - Concept C2 - ALL'!AE90</f>
        <v>72840.558626389946</v>
      </c>
    </row>
    <row r="130" spans="1:24" s="96" customFormat="1">
      <c r="A130" s="69" t="s">
        <v>43</v>
      </c>
      <c r="B130" s="69"/>
      <c r="C130" s="69"/>
      <c r="D130" s="514">
        <v>0</v>
      </c>
      <c r="E130" s="515">
        <f>'OPEX - Concept C2 - ALL'!L91</f>
        <v>500</v>
      </c>
      <c r="F130" s="515">
        <f>'OPEX - Concept C2 - ALL'!M91</f>
        <v>2040</v>
      </c>
      <c r="G130" s="515">
        <f>'OPEX - Concept C2 - ALL'!N91</f>
        <v>2080.8000000000002</v>
      </c>
      <c r="H130" s="515">
        <f>'OPEX - Concept C2 - ALL'!O91</f>
        <v>2122.4159999999997</v>
      </c>
      <c r="I130" s="515">
        <f>'OPEX - Concept C2 - ALL'!P91</f>
        <v>2164.8643200000001</v>
      </c>
      <c r="J130" s="515">
        <f>'OPEX - Concept C2 - ALL'!Q91</f>
        <v>2208.1616064</v>
      </c>
      <c r="K130" s="515">
        <f>'OPEX - Concept C2 - ALL'!R91</f>
        <v>2252.3248385280003</v>
      </c>
      <c r="L130" s="515">
        <f>'OPEX - Concept C2 - ALL'!S91</f>
        <v>2297.3713352985601</v>
      </c>
      <c r="M130" s="515">
        <f>'OPEX - Concept C2 - ALL'!T91</f>
        <v>2343.3187620045314</v>
      </c>
      <c r="N130" s="515">
        <f>'OPEX - Concept C2 - ALL'!U91</f>
        <v>2390.1851372446222</v>
      </c>
      <c r="O130" s="515">
        <f>'OPEX - Concept C2 - ALL'!V91</f>
        <v>2437.9888399895149</v>
      </c>
      <c r="P130" s="515">
        <f>'OPEX - Concept C2 - ALL'!W91</f>
        <v>2486.7486167893048</v>
      </c>
      <c r="Q130" s="515">
        <f>'OPEX - Concept C2 - ALL'!X91</f>
        <v>2536.4835891250909</v>
      </c>
      <c r="R130" s="515">
        <f>'OPEX - Concept C2 - ALL'!Y91</f>
        <v>2587.2132609075925</v>
      </c>
      <c r="S130" s="515">
        <f>'OPEX - Concept C2 - ALL'!Z91</f>
        <v>2638.9575261257446</v>
      </c>
      <c r="T130" s="515">
        <f>'OPEX - Concept C2 - ALL'!AA91</f>
        <v>2691.7366766482596</v>
      </c>
      <c r="U130" s="515">
        <f>'OPEX - Concept C2 - ALL'!AB91</f>
        <v>2745.571410181225</v>
      </c>
      <c r="V130" s="515">
        <f>'OPEX - Concept C2 - ALL'!AC91</f>
        <v>2800.4828383848499</v>
      </c>
      <c r="W130" s="515">
        <f>'OPEX - Concept C2 - ALL'!AD91</f>
        <v>2856.4924951525468</v>
      </c>
      <c r="X130" s="515">
        <f>'OPEX - Concept C2 - ALL'!AE91</f>
        <v>2913.6223450555976</v>
      </c>
    </row>
    <row r="131" spans="1:24" s="96" customFormat="1">
      <c r="A131" s="69" t="s">
        <v>44</v>
      </c>
      <c r="B131" s="69"/>
      <c r="C131" s="69"/>
      <c r="D131" s="514">
        <v>0</v>
      </c>
      <c r="E131" s="515">
        <f>'OPEX - Concept C2 - ALL'!L92</f>
        <v>250</v>
      </c>
      <c r="F131" s="515">
        <f>'OPEX - Concept C2 - ALL'!M92</f>
        <v>1020</v>
      </c>
      <c r="G131" s="515">
        <f>'OPEX - Concept C2 - ALL'!N92</f>
        <v>1040.4000000000001</v>
      </c>
      <c r="H131" s="515">
        <f>'OPEX - Concept C2 - ALL'!O92</f>
        <v>1061.2079999999999</v>
      </c>
      <c r="I131" s="515">
        <f>'OPEX - Concept C2 - ALL'!P92</f>
        <v>1082.4321600000001</v>
      </c>
      <c r="J131" s="515">
        <f>'OPEX - Concept C2 - ALL'!Q92</f>
        <v>1104.0808032</v>
      </c>
      <c r="K131" s="515">
        <f>'OPEX - Concept C2 - ALL'!R92</f>
        <v>1126.1624192640002</v>
      </c>
      <c r="L131" s="515">
        <f>'OPEX - Concept C2 - ALL'!S92</f>
        <v>1148.68566764928</v>
      </c>
      <c r="M131" s="515">
        <f>'OPEX - Concept C2 - ALL'!T92</f>
        <v>1171.6593810022657</v>
      </c>
      <c r="N131" s="515">
        <f>'OPEX - Concept C2 - ALL'!U92</f>
        <v>1195.0925686223111</v>
      </c>
      <c r="O131" s="515">
        <f>'OPEX - Concept C2 - ALL'!V92</f>
        <v>1218.9944199947574</v>
      </c>
      <c r="P131" s="515">
        <f>'OPEX - Concept C2 - ALL'!W92</f>
        <v>1243.3743083946524</v>
      </c>
      <c r="Q131" s="515">
        <f>'OPEX - Concept C2 - ALL'!X92</f>
        <v>1268.2417945625455</v>
      </c>
      <c r="R131" s="515">
        <f>'OPEX - Concept C2 - ALL'!Y92</f>
        <v>1293.6066304537962</v>
      </c>
      <c r="S131" s="515">
        <f>'OPEX - Concept C2 - ALL'!Z92</f>
        <v>1319.4787630628723</v>
      </c>
      <c r="T131" s="515">
        <f>'OPEX - Concept C2 - ALL'!AA92</f>
        <v>1345.8683383241298</v>
      </c>
      <c r="U131" s="515">
        <f>'OPEX - Concept C2 - ALL'!AB92</f>
        <v>1372.7857050906125</v>
      </c>
      <c r="V131" s="515">
        <f>'OPEX - Concept C2 - ALL'!AC92</f>
        <v>1400.2414191924249</v>
      </c>
      <c r="W131" s="515">
        <f>'OPEX - Concept C2 - ALL'!AD92</f>
        <v>1428.2462475762734</v>
      </c>
      <c r="X131" s="515">
        <f>'OPEX - Concept C2 - ALL'!AE92</f>
        <v>1456.8111725277988</v>
      </c>
    </row>
    <row r="132" spans="1:24" s="96" customFormat="1">
      <c r="A132" s="69" t="s">
        <v>2</v>
      </c>
      <c r="B132" s="69"/>
      <c r="C132" s="69"/>
      <c r="D132" s="514">
        <v>0</v>
      </c>
      <c r="E132" s="515">
        <f>'OPEX - Concept C2 - ALL'!L93</f>
        <v>1000</v>
      </c>
      <c r="F132" s="515">
        <f>'OPEX - Concept C2 - ALL'!M93</f>
        <v>1020</v>
      </c>
      <c r="G132" s="515">
        <f>'OPEX - Concept C2 - ALL'!N93</f>
        <v>1040.4000000000001</v>
      </c>
      <c r="H132" s="515">
        <f>'OPEX - Concept C2 - ALL'!O93</f>
        <v>1061.2079999999999</v>
      </c>
      <c r="I132" s="515">
        <f>'OPEX - Concept C2 - ALL'!P93</f>
        <v>1082.4321600000001</v>
      </c>
      <c r="J132" s="515">
        <f>'OPEX - Concept C2 - ALL'!Q93</f>
        <v>1104.0808032</v>
      </c>
      <c r="K132" s="515">
        <f>'OPEX - Concept C2 - ALL'!R93</f>
        <v>1126.1624192640002</v>
      </c>
      <c r="L132" s="515">
        <f>'OPEX - Concept C2 - ALL'!S93</f>
        <v>1148.68566764928</v>
      </c>
      <c r="M132" s="515">
        <f>'OPEX - Concept C2 - ALL'!T93</f>
        <v>1171.6593810022657</v>
      </c>
      <c r="N132" s="515">
        <f>'OPEX - Concept C2 - ALL'!U93</f>
        <v>1195.0925686223111</v>
      </c>
      <c r="O132" s="515">
        <f>'OPEX - Concept C2 - ALL'!V93</f>
        <v>1218.9944199947574</v>
      </c>
      <c r="P132" s="515">
        <f>'OPEX - Concept C2 - ALL'!W93</f>
        <v>1243.3743083946524</v>
      </c>
      <c r="Q132" s="515">
        <f>'OPEX - Concept C2 - ALL'!X93</f>
        <v>1268.2417945625455</v>
      </c>
      <c r="R132" s="515">
        <f>'OPEX - Concept C2 - ALL'!Y93</f>
        <v>1293.6066304537962</v>
      </c>
      <c r="S132" s="515">
        <f>'OPEX - Concept C2 - ALL'!Z93</f>
        <v>1319.4787630628723</v>
      </c>
      <c r="T132" s="515">
        <f>'OPEX - Concept C2 - ALL'!AA93</f>
        <v>1345.8683383241298</v>
      </c>
      <c r="U132" s="515">
        <f>'OPEX - Concept C2 - ALL'!AB93</f>
        <v>1372.7857050906125</v>
      </c>
      <c r="V132" s="515">
        <f>'OPEX - Concept C2 - ALL'!AC93</f>
        <v>1400.2414191924249</v>
      </c>
      <c r="W132" s="515">
        <f>'OPEX - Concept C2 - ALL'!AD93</f>
        <v>1428.2462475762734</v>
      </c>
      <c r="X132" s="515">
        <f>'OPEX - Concept C2 - ALL'!AE93</f>
        <v>1456.8111725277988</v>
      </c>
    </row>
    <row r="133" spans="1:24" s="167" customFormat="1">
      <c r="A133" s="591"/>
      <c r="B133" s="591"/>
      <c r="C133" s="591"/>
      <c r="D133" s="592"/>
      <c r="E133" s="593"/>
      <c r="F133" s="593"/>
      <c r="G133" s="593"/>
      <c r="H133" s="593"/>
      <c r="I133" s="593"/>
      <c r="J133" s="593"/>
      <c r="K133" s="593"/>
      <c r="L133" s="593"/>
      <c r="M133" s="593"/>
      <c r="N133" s="593"/>
      <c r="O133" s="593"/>
      <c r="P133" s="593"/>
      <c r="Q133" s="593"/>
      <c r="R133" s="593"/>
      <c r="S133" s="593"/>
      <c r="T133" s="593"/>
      <c r="U133" s="593"/>
      <c r="V133" s="593"/>
      <c r="W133" s="593"/>
      <c r="X133" s="593"/>
    </row>
    <row r="134" spans="1:24" s="96" customFormat="1">
      <c r="A134" s="1012" t="s">
        <v>25</v>
      </c>
      <c r="B134" s="69"/>
      <c r="C134" s="69"/>
      <c r="D134" s="514">
        <v>0</v>
      </c>
      <c r="E134" s="515">
        <f>'OPEX - Concept C2 - ALL'!L109</f>
        <v>34183.333333333328</v>
      </c>
      <c r="F134" s="515">
        <f>'OPEX - Concept C2 - ALL'!M109</f>
        <v>34867</v>
      </c>
      <c r="G134" s="515">
        <f>'OPEX - Concept C2 - ALL'!N109</f>
        <v>35564.339999999997</v>
      </c>
      <c r="H134" s="515">
        <f>'OPEX - Concept C2 - ALL'!O109</f>
        <v>36275.626799999998</v>
      </c>
      <c r="I134" s="515">
        <f>'OPEX - Concept C2 - ALL'!P109</f>
        <v>37001.139335999993</v>
      </c>
      <c r="J134" s="515">
        <f>'OPEX - Concept C2 - ALL'!Q109</f>
        <v>37741.162122720001</v>
      </c>
      <c r="K134" s="515">
        <f>'OPEX - Concept C2 - ALL'!R109</f>
        <v>38495.985365174398</v>
      </c>
      <c r="L134" s="515">
        <f>'OPEX - Concept C2 - ALL'!S109</f>
        <v>39265.905072477886</v>
      </c>
      <c r="M134" s="515">
        <f>'OPEX - Concept C2 - ALL'!T109</f>
        <v>40051.22317392745</v>
      </c>
      <c r="N134" s="515">
        <f>'OPEX - Concept C2 - ALL'!U109</f>
        <v>40852.247637405999</v>
      </c>
      <c r="O134" s="515">
        <f>'OPEX - Concept C2 - ALL'!V109</f>
        <v>41669.292590154117</v>
      </c>
      <c r="P134" s="515">
        <f>'OPEX - Concept C2 - ALL'!W109</f>
        <v>42502.6784419572</v>
      </c>
      <c r="Q134" s="515">
        <f>'OPEX - Concept C2 - ALL'!X109</f>
        <v>43352.732010796346</v>
      </c>
      <c r="R134" s="515">
        <f>'OPEX - Concept C2 - ALL'!Y109</f>
        <v>44219.786651012269</v>
      </c>
      <c r="S134" s="515">
        <f>'OPEX - Concept C2 - ALL'!Z109</f>
        <v>45104.182384032523</v>
      </c>
      <c r="T134" s="515">
        <f>'OPEX - Concept C2 - ALL'!AA109</f>
        <v>46006.266031713167</v>
      </c>
      <c r="U134" s="515">
        <f>'OPEX - Concept C2 - ALL'!AB109</f>
        <v>46926.39135234744</v>
      </c>
      <c r="V134" s="515">
        <f>'OPEX - Concept C2 - ALL'!AC109</f>
        <v>47864.91917939439</v>
      </c>
      <c r="W134" s="515">
        <f>'OPEX - Concept C2 - ALL'!AD109</f>
        <v>48822.217562982281</v>
      </c>
      <c r="X134" s="515">
        <f>'OPEX - Concept C2 - ALL'!AE109</f>
        <v>49798.661914241922</v>
      </c>
    </row>
    <row r="135" spans="1:24" s="96" customFormat="1">
      <c r="A135" s="782" t="s">
        <v>426</v>
      </c>
      <c r="B135" s="69"/>
      <c r="C135" s="69"/>
      <c r="D135" s="514">
        <v>0</v>
      </c>
      <c r="E135" s="515">
        <f>'OPEX - Concept C2 - ALL'!L97</f>
        <v>1000</v>
      </c>
      <c r="F135" s="515">
        <f>'OPEX - Concept C2 - ALL'!M97</f>
        <v>1020</v>
      </c>
      <c r="G135" s="515">
        <f>'OPEX - Concept C2 - ALL'!N97</f>
        <v>1040.4000000000001</v>
      </c>
      <c r="H135" s="515">
        <f>'OPEX - Concept C2 - ALL'!O97</f>
        <v>1061.2079999999999</v>
      </c>
      <c r="I135" s="515">
        <f>'OPEX - Concept C2 - ALL'!P97</f>
        <v>1082.4321600000001</v>
      </c>
      <c r="J135" s="515">
        <f>'OPEX - Concept C2 - ALL'!Q97</f>
        <v>25000</v>
      </c>
      <c r="K135" s="515">
        <f>'OPEX - Concept C2 - ALL'!R97</f>
        <v>25500</v>
      </c>
      <c r="L135" s="515">
        <f>'OPEX - Concept C2 - ALL'!S97</f>
        <v>26010</v>
      </c>
      <c r="M135" s="515">
        <f>'OPEX - Concept C2 - ALL'!T97</f>
        <v>26530.199999999997</v>
      </c>
      <c r="N135" s="515">
        <f>'OPEX - Concept C2 - ALL'!U97</f>
        <v>27060.804</v>
      </c>
      <c r="O135" s="515">
        <f>'OPEX - Concept C2 - ALL'!V97</f>
        <v>27602.020080000002</v>
      </c>
      <c r="P135" s="515">
        <f>'OPEX - Concept C2 - ALL'!W97</f>
        <v>28154.060481600001</v>
      </c>
      <c r="Q135" s="515">
        <f>'OPEX - Concept C2 - ALL'!X97</f>
        <v>28717.141691232002</v>
      </c>
      <c r="R135" s="515">
        <f>'OPEX - Concept C2 - ALL'!Y97</f>
        <v>29291.484525056643</v>
      </c>
      <c r="S135" s="515">
        <f>'OPEX - Concept C2 - ALL'!Z97</f>
        <v>29877.314215557777</v>
      </c>
      <c r="T135" s="515">
        <f>'OPEX - Concept C2 - ALL'!AA97</f>
        <v>30474.860499868933</v>
      </c>
      <c r="U135" s="515">
        <f>'OPEX - Concept C2 - ALL'!AB97</f>
        <v>31084.357709866312</v>
      </c>
      <c r="V135" s="515">
        <f>'OPEX - Concept C2 - ALL'!AC97</f>
        <v>31706.044864063639</v>
      </c>
      <c r="W135" s="515">
        <f>'OPEX - Concept C2 - ALL'!AD97</f>
        <v>32340.165761344906</v>
      </c>
      <c r="X135" s="515">
        <f>'OPEX - Concept C2 - ALL'!AE97</f>
        <v>32986.969076571811</v>
      </c>
    </row>
    <row r="136" spans="1:24" s="96" customFormat="1">
      <c r="A136" s="644" t="s">
        <v>302</v>
      </c>
      <c r="B136" s="69"/>
      <c r="C136" s="69"/>
      <c r="D136" s="514">
        <v>0</v>
      </c>
      <c r="E136" s="515">
        <f>'Shuttle Projections'!C39/2</f>
        <v>233675</v>
      </c>
      <c r="F136" s="515">
        <f>'Shuttle Projections'!D39</f>
        <v>476697</v>
      </c>
      <c r="G136" s="515">
        <f>'Shuttle Projections'!E39</f>
        <v>486230.94000000006</v>
      </c>
      <c r="H136" s="515">
        <f>'Shuttle Projections'!F39</f>
        <v>495955.55879999994</v>
      </c>
      <c r="I136" s="515">
        <f>'Shuttle Projections'!G39</f>
        <v>505874.66997599998</v>
      </c>
      <c r="J136" s="515">
        <f>'Shuttle Projections'!H39</f>
        <v>515992.16337552003</v>
      </c>
      <c r="K136" s="515">
        <f>'Shuttle Projections'!I39</f>
        <v>526312.00664303044</v>
      </c>
      <c r="L136" s="515">
        <f>'Shuttle Projections'!J39</f>
        <v>536838.24677589093</v>
      </c>
      <c r="M136" s="515">
        <f>'Shuttle Projections'!K39</f>
        <v>547575.01171140897</v>
      </c>
      <c r="N136" s="515">
        <f>'Shuttle Projections'!L39</f>
        <v>558526.51194563706</v>
      </c>
      <c r="O136" s="515">
        <f>'Shuttle Projections'!M39</f>
        <v>569697.04218454985</v>
      </c>
      <c r="P136" s="515">
        <f>'Shuttle Projections'!N39</f>
        <v>581090.98302824085</v>
      </c>
      <c r="Q136" s="515">
        <f>'Shuttle Projections'!O39</f>
        <v>592712.80268880562</v>
      </c>
      <c r="R136" s="515">
        <f>'Shuttle Projections'!P39</f>
        <v>604567.05874258175</v>
      </c>
      <c r="S136" s="515">
        <f>'Shuttle Projections'!Q39</f>
        <v>616658.39991743339</v>
      </c>
      <c r="T136" s="515">
        <f>'Shuttle Projections'!R39</f>
        <v>628991.5679157821</v>
      </c>
      <c r="U136" s="515">
        <f>'Shuttle Projections'!S39</f>
        <v>641571.39927409776</v>
      </c>
      <c r="V136" s="515">
        <f>'Shuttle Projections'!T39</f>
        <v>654402.82725957979</v>
      </c>
      <c r="W136" s="515">
        <f>'Shuttle Projections'!U39</f>
        <v>667490.88380477135</v>
      </c>
      <c r="X136" s="515">
        <f>'Shuttle Projections'!V39</f>
        <v>680840.70148086676</v>
      </c>
    </row>
    <row r="137" spans="1:24" s="16" customFormat="1" ht="14.25">
      <c r="A137" s="282" t="s">
        <v>132</v>
      </c>
      <c r="B137" s="276"/>
      <c r="C137" s="276"/>
      <c r="D137" s="516">
        <f>SUM(D125:D136)</f>
        <v>0</v>
      </c>
      <c r="E137" s="517">
        <f t="shared" ref="E137:X137" si="17">SUM(E126:E136)</f>
        <v>367858.33333333331</v>
      </c>
      <c r="F137" s="517">
        <f t="shared" si="17"/>
        <v>765164</v>
      </c>
      <c r="G137" s="517">
        <f t="shared" si="17"/>
        <v>780477.4800000001</v>
      </c>
      <c r="H137" s="517">
        <f t="shared" si="17"/>
        <v>796087.02960000001</v>
      </c>
      <c r="I137" s="517">
        <f t="shared" si="17"/>
        <v>812008.77019200008</v>
      </c>
      <c r="J137" s="517">
        <f t="shared" si="17"/>
        <v>856592.82439104002</v>
      </c>
      <c r="K137" s="517">
        <f t="shared" si="17"/>
        <v>869187.76208849275</v>
      </c>
      <c r="L137" s="517">
        <f t="shared" si="17"/>
        <v>886571.51733026258</v>
      </c>
      <c r="M137" s="517">
        <f t="shared" si="17"/>
        <v>904302.94767686806</v>
      </c>
      <c r="N137" s="517">
        <f t="shared" si="17"/>
        <v>922389.00663040532</v>
      </c>
      <c r="O137" s="517">
        <f t="shared" si="17"/>
        <v>945227.28955301619</v>
      </c>
      <c r="P137" s="517">
        <f t="shared" si="17"/>
        <v>959653.52249827387</v>
      </c>
      <c r="Q137" s="517">
        <f t="shared" si="17"/>
        <v>978846.59294823918</v>
      </c>
      <c r="R137" s="517">
        <f t="shared" si="17"/>
        <v>998423.52480720403</v>
      </c>
      <c r="S137" s="517">
        <f t="shared" si="17"/>
        <v>1018391.9953033481</v>
      </c>
      <c r="T137" s="517">
        <f t="shared" si="17"/>
        <v>1043086.901040253</v>
      </c>
      <c r="U137" s="517">
        <f t="shared" si="17"/>
        <v>1059535.0319136034</v>
      </c>
      <c r="V137" s="517">
        <f t="shared" si="17"/>
        <v>1080725.7325518755</v>
      </c>
      <c r="W137" s="517">
        <f t="shared" si="17"/>
        <v>1102340.2472029133</v>
      </c>
      <c r="X137" s="517">
        <f t="shared" si="17"/>
        <v>1124387.0521469712</v>
      </c>
    </row>
    <row r="138" spans="1:24">
      <c r="A138" s="92"/>
      <c r="B138" s="69"/>
      <c r="C138" s="69"/>
      <c r="D138" s="514"/>
      <c r="E138" s="515"/>
      <c r="F138" s="515"/>
      <c r="G138" s="515"/>
      <c r="H138" s="515"/>
      <c r="I138" s="515"/>
      <c r="J138" s="515"/>
      <c r="K138" s="515"/>
      <c r="L138" s="515"/>
      <c r="M138" s="515"/>
      <c r="N138" s="515"/>
      <c r="O138" s="515"/>
      <c r="P138" s="515"/>
      <c r="Q138" s="515"/>
      <c r="R138" s="515"/>
      <c r="S138" s="515"/>
      <c r="T138" s="515"/>
      <c r="U138" s="515"/>
      <c r="V138" s="515"/>
      <c r="W138" s="515"/>
      <c r="X138" s="515"/>
    </row>
    <row r="139" spans="1:24">
      <c r="A139" s="269" t="s">
        <v>85</v>
      </c>
      <c r="B139" s="269"/>
      <c r="C139" s="270"/>
      <c r="D139" s="513"/>
      <c r="E139" s="513"/>
      <c r="F139" s="513"/>
      <c r="G139" s="513"/>
      <c r="H139" s="513"/>
      <c r="I139" s="513"/>
      <c r="J139" s="513"/>
      <c r="K139" s="513"/>
      <c r="L139" s="513"/>
      <c r="M139" s="513"/>
      <c r="N139" s="513"/>
      <c r="O139" s="513"/>
      <c r="P139" s="513"/>
      <c r="Q139" s="513"/>
      <c r="R139" s="513"/>
      <c r="S139" s="513"/>
      <c r="T139" s="513"/>
      <c r="U139" s="513"/>
      <c r="V139" s="513"/>
      <c r="W139" s="513"/>
      <c r="X139" s="513"/>
    </row>
    <row r="140" spans="1:24" s="368" customFormat="1">
      <c r="A140" s="263"/>
      <c r="B140" s="263"/>
      <c r="C140" s="367"/>
      <c r="D140" s="514"/>
      <c r="E140" s="515"/>
      <c r="F140" s="515"/>
      <c r="G140" s="515"/>
      <c r="H140" s="515"/>
      <c r="I140" s="515"/>
      <c r="J140" s="515"/>
      <c r="K140" s="515"/>
      <c r="L140" s="515"/>
      <c r="M140" s="515"/>
      <c r="N140" s="515"/>
      <c r="O140" s="515"/>
      <c r="P140" s="515"/>
      <c r="Q140" s="515"/>
      <c r="R140" s="515"/>
      <c r="S140" s="515"/>
      <c r="T140" s="515"/>
      <c r="U140" s="515"/>
      <c r="V140" s="515"/>
      <c r="W140" s="515"/>
      <c r="X140" s="515"/>
    </row>
    <row r="141" spans="1:24" s="58" customFormat="1">
      <c r="A141" s="69" t="s">
        <v>0</v>
      </c>
      <c r="B141" s="263"/>
      <c r="C141" s="783"/>
      <c r="D141" s="514">
        <v>0</v>
      </c>
      <c r="E141" s="515">
        <f>'OPEX - Concept C2 - ALL'!L132</f>
        <v>0</v>
      </c>
      <c r="F141" s="515">
        <f>'OPEX - Concept C2 - ALL'!M132</f>
        <v>54570</v>
      </c>
      <c r="G141" s="515">
        <f>'OPEX - Concept C2 - ALL'!N132</f>
        <v>56774.628000000004</v>
      </c>
      <c r="H141" s="515">
        <f>'OPEX - Concept C2 - ALL'!O132</f>
        <v>57910.120559999996</v>
      </c>
      <c r="I141" s="515">
        <f>'OPEX - Concept C2 - ALL'!P132</f>
        <v>59068.322971199988</v>
      </c>
      <c r="J141" s="515">
        <f>'OPEX - Concept C2 - ALL'!Q132</f>
        <v>60249.689430623999</v>
      </c>
      <c r="K141" s="515">
        <f>'OPEX - Concept C2 - ALL'!R132</f>
        <v>61454.683219236475</v>
      </c>
      <c r="L141" s="515">
        <f>'OPEX - Concept C2 - ALL'!S132</f>
        <v>62683.776883621205</v>
      </c>
      <c r="M141" s="515">
        <f>'OPEX - Concept C2 - ALL'!T132</f>
        <v>63937.452421293638</v>
      </c>
      <c r="N141" s="515">
        <f>'OPEX - Concept C2 - ALL'!U132</f>
        <v>65216.201469719512</v>
      </c>
      <c r="O141" s="515">
        <f>'OPEX - Concept C2 - ALL'!V132</f>
        <v>66520.525499113894</v>
      </c>
      <c r="P141" s="515">
        <f>'OPEX - Concept C2 - ALL'!W132</f>
        <v>67850.936009096185</v>
      </c>
      <c r="Q141" s="515">
        <f>'OPEX - Concept C2 - ALL'!X132</f>
        <v>69207.954729278121</v>
      </c>
      <c r="R141" s="515">
        <f>'OPEX - Concept C2 - ALL'!Y132</f>
        <v>70592.113823863678</v>
      </c>
      <c r="S141" s="515">
        <f>'OPEX - Concept C2 - ALL'!Z132</f>
        <v>72003.956100340947</v>
      </c>
      <c r="T141" s="515">
        <f>'OPEX - Concept C2 - ALL'!AA132</f>
        <v>73444.035222347768</v>
      </c>
      <c r="U141" s="515">
        <f>'OPEX - Concept C2 - ALL'!AB132</f>
        <v>74912.915926794725</v>
      </c>
      <c r="V141" s="515">
        <f>'OPEX - Concept C2 - ALL'!AC132</f>
        <v>76411.174245330621</v>
      </c>
      <c r="W141" s="515">
        <f>'OPEX - Concept C2 - ALL'!AD132</f>
        <v>77939.397730237237</v>
      </c>
      <c r="X141" s="515">
        <f>'OPEX - Concept C2 - ALL'!AE132</f>
        <v>79498.18568484197</v>
      </c>
    </row>
    <row r="142" spans="1:24" s="58" customFormat="1">
      <c r="A142" s="69" t="s">
        <v>4</v>
      </c>
      <c r="B142" s="263"/>
      <c r="C142" s="783"/>
      <c r="D142" s="514">
        <v>0</v>
      </c>
      <c r="E142" s="515">
        <f>'OPEX - Concept C2 - ALL'!L155</f>
        <v>0</v>
      </c>
      <c r="F142" s="515">
        <f>'OPEX - Concept C2 - ALL'!M155</f>
        <v>85335.846153846156</v>
      </c>
      <c r="G142" s="515">
        <f>'OPEX - Concept C2 - ALL'!N155</f>
        <v>87042.563076923077</v>
      </c>
      <c r="H142" s="515">
        <f>'OPEX - Concept C2 - ALL'!O155</f>
        <v>88783.41433846156</v>
      </c>
      <c r="I142" s="515">
        <f>'OPEX - Concept C2 - ALL'!P155</f>
        <v>90559.082625230774</v>
      </c>
      <c r="J142" s="515">
        <f>'OPEX - Concept C2 - ALL'!Q155</f>
        <v>92370.264277735376</v>
      </c>
      <c r="K142" s="515">
        <f>'OPEX - Concept C2 - ALL'!R155</f>
        <v>94217.669563290081</v>
      </c>
      <c r="L142" s="515">
        <f>'OPEX - Concept C2 - ALL'!S155</f>
        <v>96102.022954555898</v>
      </c>
      <c r="M142" s="515">
        <f>'OPEX - Concept C2 - ALL'!T155</f>
        <v>98024.063413647003</v>
      </c>
      <c r="N142" s="515">
        <f>'OPEX - Concept C2 - ALL'!U155</f>
        <v>99984.544681919942</v>
      </c>
      <c r="O142" s="515">
        <f>'OPEX - Concept C2 - ALL'!V155</f>
        <v>101984.23557555837</v>
      </c>
      <c r="P142" s="515">
        <f>'OPEX - Concept C2 - ALL'!W155</f>
        <v>104023.92028706953</v>
      </c>
      <c r="Q142" s="515">
        <f>'OPEX - Concept C2 - ALL'!X155</f>
        <v>106104.39869281092</v>
      </c>
      <c r="R142" s="515">
        <f>'OPEX - Concept C2 - ALL'!Y155</f>
        <v>108226.48666666714</v>
      </c>
      <c r="S142" s="515">
        <f>'OPEX - Concept C2 - ALL'!Z155</f>
        <v>110391.01640000047</v>
      </c>
      <c r="T142" s="515">
        <f>'OPEX - Concept C2 - ALL'!AA155</f>
        <v>112598.8367280005</v>
      </c>
      <c r="U142" s="515">
        <f>'OPEX - Concept C2 - ALL'!AB155</f>
        <v>114850.8134625605</v>
      </c>
      <c r="V142" s="515">
        <f>'OPEX - Concept C2 - ALL'!AC155</f>
        <v>117147.82973181173</v>
      </c>
      <c r="W142" s="515">
        <f>'OPEX - Concept C2 - ALL'!AD155</f>
        <v>119490.78632644797</v>
      </c>
      <c r="X142" s="515">
        <f>'OPEX - Concept C2 - ALL'!AE155</f>
        <v>121880.60205297693</v>
      </c>
    </row>
    <row r="143" spans="1:24" s="16" customFormat="1" ht="14.25">
      <c r="A143" s="282" t="s">
        <v>133</v>
      </c>
      <c r="B143" s="276"/>
      <c r="C143" s="276"/>
      <c r="D143" s="516">
        <f>SUM(D141:D142)</f>
        <v>0</v>
      </c>
      <c r="E143" s="517">
        <f>SUM(E141:E142)</f>
        <v>0</v>
      </c>
      <c r="F143" s="517">
        <f t="shared" ref="F143:X143" si="18">SUM(F141:F142)</f>
        <v>139905.84615384616</v>
      </c>
      <c r="G143" s="517">
        <f t="shared" si="18"/>
        <v>143817.19107692307</v>
      </c>
      <c r="H143" s="517">
        <f t="shared" si="18"/>
        <v>146693.53489846154</v>
      </c>
      <c r="I143" s="517">
        <f t="shared" si="18"/>
        <v>149627.40559643076</v>
      </c>
      <c r="J143" s="517">
        <f t="shared" si="18"/>
        <v>152619.95370835939</v>
      </c>
      <c r="K143" s="517">
        <f t="shared" si="18"/>
        <v>155672.35278252655</v>
      </c>
      <c r="L143" s="517">
        <f t="shared" si="18"/>
        <v>158785.7998381771</v>
      </c>
      <c r="M143" s="517">
        <f t="shared" si="18"/>
        <v>161961.51583494066</v>
      </c>
      <c r="N143" s="517">
        <f t="shared" si="18"/>
        <v>165200.74615163944</v>
      </c>
      <c r="O143" s="517">
        <f t="shared" si="18"/>
        <v>168504.76107467228</v>
      </c>
      <c r="P143" s="517">
        <f t="shared" si="18"/>
        <v>171874.85629616573</v>
      </c>
      <c r="Q143" s="517">
        <f t="shared" si="18"/>
        <v>175312.35342208904</v>
      </c>
      <c r="R143" s="517">
        <f t="shared" si="18"/>
        <v>178818.60049053084</v>
      </c>
      <c r="S143" s="517">
        <f t="shared" si="18"/>
        <v>182394.97250034142</v>
      </c>
      <c r="T143" s="517">
        <f t="shared" si="18"/>
        <v>186042.87195034826</v>
      </c>
      <c r="U143" s="517">
        <f t="shared" si="18"/>
        <v>189763.72938935523</v>
      </c>
      <c r="V143" s="517">
        <f t="shared" si="18"/>
        <v>193559.00397714233</v>
      </c>
      <c r="W143" s="517">
        <f t="shared" si="18"/>
        <v>197430.18405668519</v>
      </c>
      <c r="X143" s="517">
        <f t="shared" si="18"/>
        <v>201378.7877378189</v>
      </c>
    </row>
    <row r="144" spans="1:24">
      <c r="A144" s="92"/>
      <c r="B144" s="92"/>
      <c r="C144" s="69"/>
      <c r="D144" s="514"/>
      <c r="E144" s="515"/>
      <c r="F144" s="515"/>
      <c r="G144" s="515"/>
      <c r="H144" s="515"/>
      <c r="I144" s="515"/>
      <c r="J144" s="515"/>
      <c r="K144" s="515"/>
      <c r="L144" s="515"/>
      <c r="M144" s="515"/>
      <c r="N144" s="515"/>
      <c r="O144" s="515"/>
      <c r="P144" s="515"/>
      <c r="Q144" s="515"/>
      <c r="R144" s="515"/>
      <c r="S144" s="515"/>
      <c r="T144" s="515"/>
      <c r="U144" s="515"/>
      <c r="V144" s="515"/>
      <c r="W144" s="515"/>
      <c r="X144" s="515"/>
    </row>
    <row r="145" spans="1:24" s="16" customFormat="1" ht="14.25">
      <c r="A145" s="350" t="s">
        <v>118</v>
      </c>
      <c r="B145" s="350"/>
      <c r="C145" s="351"/>
      <c r="D145" s="519">
        <f t="shared" ref="D145:X145" si="19">SUM(D137,D143)</f>
        <v>0</v>
      </c>
      <c r="E145" s="519">
        <f t="shared" si="19"/>
        <v>367858.33333333331</v>
      </c>
      <c r="F145" s="519">
        <f t="shared" si="19"/>
        <v>905069.84615384613</v>
      </c>
      <c r="G145" s="519">
        <f t="shared" si="19"/>
        <v>924294.67107692314</v>
      </c>
      <c r="H145" s="519">
        <f t="shared" si="19"/>
        <v>942780.56449846155</v>
      </c>
      <c r="I145" s="519">
        <f t="shared" si="19"/>
        <v>961636.17578843085</v>
      </c>
      <c r="J145" s="519">
        <f t="shared" si="19"/>
        <v>1009212.7780993994</v>
      </c>
      <c r="K145" s="519">
        <f t="shared" si="19"/>
        <v>1024860.1148710193</v>
      </c>
      <c r="L145" s="519">
        <f t="shared" si="19"/>
        <v>1045357.3171684397</v>
      </c>
      <c r="M145" s="519">
        <f t="shared" si="19"/>
        <v>1066264.4635118088</v>
      </c>
      <c r="N145" s="519">
        <f t="shared" si="19"/>
        <v>1087589.7527820447</v>
      </c>
      <c r="O145" s="519">
        <f t="shared" si="19"/>
        <v>1113732.0506276884</v>
      </c>
      <c r="P145" s="519">
        <f t="shared" si="19"/>
        <v>1131528.3787944396</v>
      </c>
      <c r="Q145" s="519">
        <f t="shared" si="19"/>
        <v>1154158.9463703283</v>
      </c>
      <c r="R145" s="519">
        <f t="shared" si="19"/>
        <v>1177242.125297735</v>
      </c>
      <c r="S145" s="519">
        <f t="shared" si="19"/>
        <v>1200786.9678036894</v>
      </c>
      <c r="T145" s="519">
        <f t="shared" si="19"/>
        <v>1229129.7729906011</v>
      </c>
      <c r="U145" s="519">
        <f t="shared" si="19"/>
        <v>1249298.7613029587</v>
      </c>
      <c r="V145" s="519">
        <f t="shared" si="19"/>
        <v>1274284.7365290178</v>
      </c>
      <c r="W145" s="519">
        <f t="shared" si="19"/>
        <v>1299770.4312595986</v>
      </c>
      <c r="X145" s="519">
        <f t="shared" si="19"/>
        <v>1325765.8398847901</v>
      </c>
    </row>
    <row r="146" spans="1:24" s="222" customFormat="1" ht="14.25">
      <c r="A146" s="280"/>
      <c r="B146" s="280"/>
      <c r="C146" s="263"/>
      <c r="D146" s="518"/>
      <c r="E146" s="520"/>
      <c r="F146" s="520"/>
      <c r="G146" s="520"/>
      <c r="H146" s="520"/>
      <c r="I146" s="520"/>
      <c r="J146" s="520"/>
      <c r="K146" s="520"/>
      <c r="L146" s="520"/>
      <c r="M146" s="520"/>
      <c r="N146" s="520"/>
      <c r="O146" s="520"/>
      <c r="P146" s="520"/>
      <c r="Q146" s="520"/>
      <c r="R146" s="520"/>
      <c r="S146" s="520"/>
      <c r="T146" s="520"/>
      <c r="U146" s="520"/>
      <c r="V146" s="520"/>
      <c r="W146" s="520"/>
      <c r="X146" s="520"/>
    </row>
    <row r="147" spans="1:24" s="222" customFormat="1" ht="14.25">
      <c r="A147" s="271" t="s">
        <v>295</v>
      </c>
      <c r="B147" s="271"/>
      <c r="C147" s="269"/>
      <c r="D147" s="521"/>
      <c r="E147" s="521"/>
      <c r="F147" s="521"/>
      <c r="G147" s="521"/>
      <c r="H147" s="521"/>
      <c r="I147" s="521"/>
      <c r="J147" s="521"/>
      <c r="K147" s="521"/>
      <c r="L147" s="521"/>
      <c r="M147" s="521"/>
      <c r="N147" s="521"/>
      <c r="O147" s="521"/>
      <c r="P147" s="521"/>
      <c r="Q147" s="521"/>
      <c r="R147" s="521"/>
      <c r="S147" s="521"/>
      <c r="T147" s="521"/>
      <c r="U147" s="521"/>
      <c r="V147" s="521"/>
      <c r="W147" s="521"/>
      <c r="X147" s="521"/>
    </row>
    <row r="148" spans="1:24" s="222" customFormat="1" ht="14.25">
      <c r="A148" s="280"/>
      <c r="B148" s="280"/>
      <c r="C148" s="263"/>
      <c r="D148" s="518"/>
      <c r="E148" s="520"/>
      <c r="F148" s="520"/>
      <c r="G148" s="520"/>
      <c r="H148" s="520"/>
      <c r="I148" s="520"/>
      <c r="J148" s="520"/>
      <c r="K148" s="520"/>
      <c r="L148" s="520"/>
      <c r="M148" s="520"/>
      <c r="N148" s="520"/>
      <c r="O148" s="520"/>
      <c r="P148" s="520"/>
      <c r="Q148" s="520"/>
      <c r="R148" s="520"/>
      <c r="S148" s="520"/>
      <c r="T148" s="520"/>
      <c r="U148" s="520"/>
      <c r="V148" s="520"/>
      <c r="W148" s="520"/>
      <c r="X148" s="520"/>
    </row>
    <row r="149" spans="1:24" s="725" customFormat="1">
      <c r="A149" s="353" t="s">
        <v>228</v>
      </c>
      <c r="B149" s="691"/>
      <c r="C149" s="724"/>
      <c r="D149" s="699">
        <v>0</v>
      </c>
      <c r="E149" s="700"/>
      <c r="F149" s="700"/>
      <c r="G149" s="700"/>
      <c r="H149" s="700"/>
      <c r="I149" s="700"/>
      <c r="J149" s="700"/>
      <c r="K149" s="700"/>
      <c r="L149" s="700"/>
      <c r="M149" s="700"/>
      <c r="N149" s="700"/>
      <c r="O149" s="700"/>
      <c r="P149" s="700"/>
      <c r="Q149" s="700"/>
      <c r="R149" s="700"/>
      <c r="S149" s="700"/>
      <c r="T149" s="700"/>
      <c r="U149" s="700"/>
      <c r="V149" s="700"/>
      <c r="W149" s="700"/>
      <c r="X149" s="700"/>
    </row>
    <row r="150" spans="1:24" s="725" customFormat="1">
      <c r="A150" s="726" t="s">
        <v>228</v>
      </c>
      <c r="B150" s="727"/>
      <c r="C150" s="728"/>
      <c r="D150" s="729">
        <v>0</v>
      </c>
      <c r="E150" s="730"/>
      <c r="F150" s="730"/>
      <c r="G150" s="730"/>
      <c r="H150" s="730"/>
      <c r="I150" s="730"/>
      <c r="J150" s="730"/>
      <c r="K150" s="730"/>
      <c r="L150" s="730"/>
      <c r="M150" s="730"/>
      <c r="N150" s="730"/>
      <c r="O150" s="730"/>
      <c r="P150" s="730"/>
      <c r="Q150" s="730"/>
      <c r="R150" s="730"/>
      <c r="S150" s="730"/>
      <c r="T150" s="730"/>
      <c r="U150" s="730"/>
      <c r="V150" s="730"/>
      <c r="W150" s="730"/>
      <c r="X150" s="730"/>
    </row>
    <row r="151" spans="1:24" s="725" customFormat="1" ht="14.25">
      <c r="A151" s="691" t="s">
        <v>296</v>
      </c>
      <c r="B151" s="691"/>
      <c r="C151" s="724"/>
      <c r="D151" s="731">
        <f t="shared" ref="D151:X151" si="20">SUM(D149:D150)</f>
        <v>0</v>
      </c>
      <c r="E151" s="732">
        <f t="shared" si="20"/>
        <v>0</v>
      </c>
      <c r="F151" s="732">
        <f t="shared" si="20"/>
        <v>0</v>
      </c>
      <c r="G151" s="732">
        <f t="shared" si="20"/>
        <v>0</v>
      </c>
      <c r="H151" s="732">
        <f t="shared" si="20"/>
        <v>0</v>
      </c>
      <c r="I151" s="732">
        <f t="shared" si="20"/>
        <v>0</v>
      </c>
      <c r="J151" s="732">
        <f t="shared" si="20"/>
        <v>0</v>
      </c>
      <c r="K151" s="732">
        <f t="shared" si="20"/>
        <v>0</v>
      </c>
      <c r="L151" s="732">
        <f t="shared" si="20"/>
        <v>0</v>
      </c>
      <c r="M151" s="732">
        <f t="shared" si="20"/>
        <v>0</v>
      </c>
      <c r="N151" s="732">
        <f t="shared" si="20"/>
        <v>0</v>
      </c>
      <c r="O151" s="732">
        <f t="shared" si="20"/>
        <v>0</v>
      </c>
      <c r="P151" s="732">
        <f t="shared" si="20"/>
        <v>0</v>
      </c>
      <c r="Q151" s="732">
        <f t="shared" si="20"/>
        <v>0</v>
      </c>
      <c r="R151" s="732">
        <f t="shared" si="20"/>
        <v>0</v>
      </c>
      <c r="S151" s="732">
        <f t="shared" si="20"/>
        <v>0</v>
      </c>
      <c r="T151" s="732">
        <f t="shared" si="20"/>
        <v>0</v>
      </c>
      <c r="U151" s="732">
        <f t="shared" si="20"/>
        <v>0</v>
      </c>
      <c r="V151" s="732">
        <f t="shared" si="20"/>
        <v>0</v>
      </c>
      <c r="W151" s="732">
        <f t="shared" si="20"/>
        <v>0</v>
      </c>
      <c r="X151" s="732">
        <f t="shared" si="20"/>
        <v>0</v>
      </c>
    </row>
    <row r="152" spans="1:24" s="222" customFormat="1">
      <c r="A152" s="280"/>
      <c r="B152" s="280"/>
      <c r="C152" s="263"/>
      <c r="D152" s="514"/>
      <c r="E152" s="515"/>
      <c r="F152" s="520"/>
      <c r="G152" s="520"/>
      <c r="H152" s="520"/>
      <c r="I152" s="520"/>
      <c r="J152" s="520"/>
      <c r="K152" s="520"/>
      <c r="L152" s="520"/>
      <c r="M152" s="520"/>
      <c r="N152" s="520"/>
      <c r="O152" s="520"/>
      <c r="P152" s="520"/>
      <c r="Q152" s="520"/>
      <c r="R152" s="520"/>
      <c r="S152" s="520"/>
      <c r="T152" s="520"/>
      <c r="U152" s="520"/>
      <c r="V152" s="520"/>
      <c r="W152" s="520"/>
      <c r="X152" s="520"/>
    </row>
    <row r="153" spans="1:24" s="222" customFormat="1" ht="14.25">
      <c r="A153" s="296" t="s">
        <v>140</v>
      </c>
      <c r="B153" s="296"/>
      <c r="C153" s="297"/>
      <c r="D153" s="522">
        <f t="shared" ref="D153:X153" si="21">SUM(D145,D151)</f>
        <v>0</v>
      </c>
      <c r="E153" s="522">
        <f t="shared" si="21"/>
        <v>367858.33333333331</v>
      </c>
      <c r="F153" s="522">
        <f t="shared" si="21"/>
        <v>905069.84615384613</v>
      </c>
      <c r="G153" s="522">
        <f t="shared" si="21"/>
        <v>924294.67107692314</v>
      </c>
      <c r="H153" s="522">
        <f t="shared" si="21"/>
        <v>942780.56449846155</v>
      </c>
      <c r="I153" s="522">
        <f t="shared" si="21"/>
        <v>961636.17578843085</v>
      </c>
      <c r="J153" s="522">
        <f t="shared" si="21"/>
        <v>1009212.7780993994</v>
      </c>
      <c r="K153" s="522">
        <f t="shared" si="21"/>
        <v>1024860.1148710193</v>
      </c>
      <c r="L153" s="522">
        <f t="shared" si="21"/>
        <v>1045357.3171684397</v>
      </c>
      <c r="M153" s="522">
        <f t="shared" si="21"/>
        <v>1066264.4635118088</v>
      </c>
      <c r="N153" s="522">
        <f t="shared" si="21"/>
        <v>1087589.7527820447</v>
      </c>
      <c r="O153" s="522">
        <f t="shared" si="21"/>
        <v>1113732.0506276884</v>
      </c>
      <c r="P153" s="522">
        <f t="shared" si="21"/>
        <v>1131528.3787944396</v>
      </c>
      <c r="Q153" s="522">
        <f t="shared" si="21"/>
        <v>1154158.9463703283</v>
      </c>
      <c r="R153" s="522">
        <f t="shared" si="21"/>
        <v>1177242.125297735</v>
      </c>
      <c r="S153" s="522">
        <f t="shared" si="21"/>
        <v>1200786.9678036894</v>
      </c>
      <c r="T153" s="522">
        <f t="shared" si="21"/>
        <v>1229129.7729906011</v>
      </c>
      <c r="U153" s="522">
        <f t="shared" si="21"/>
        <v>1249298.7613029587</v>
      </c>
      <c r="V153" s="522">
        <f t="shared" si="21"/>
        <v>1274284.7365290178</v>
      </c>
      <c r="W153" s="522">
        <f t="shared" si="21"/>
        <v>1299770.4312595986</v>
      </c>
      <c r="X153" s="522">
        <f t="shared" si="21"/>
        <v>1325765.8398847901</v>
      </c>
    </row>
    <row r="154" spans="1:24">
      <c r="A154" s="92"/>
      <c r="B154" s="92"/>
      <c r="C154" s="69"/>
      <c r="D154" s="514"/>
      <c r="E154" s="515"/>
      <c r="F154" s="515"/>
      <c r="G154" s="515"/>
      <c r="H154" s="515"/>
      <c r="I154" s="515"/>
      <c r="J154" s="515"/>
      <c r="K154" s="515"/>
      <c r="L154" s="515"/>
      <c r="M154" s="515"/>
      <c r="N154" s="515"/>
      <c r="O154" s="515"/>
      <c r="P154" s="515"/>
      <c r="Q154" s="515"/>
      <c r="R154" s="515"/>
      <c r="S154" s="515"/>
      <c r="T154" s="515"/>
      <c r="U154" s="515"/>
      <c r="V154" s="515"/>
      <c r="W154" s="515"/>
      <c r="X154" s="515"/>
    </row>
    <row r="155" spans="1:24" s="33" customFormat="1">
      <c r="A155" s="47" t="s">
        <v>7</v>
      </c>
      <c r="B155" s="47" t="s">
        <v>7</v>
      </c>
      <c r="C155" s="78" t="s">
        <v>7</v>
      </c>
      <c r="D155" s="604" t="s">
        <v>7</v>
      </c>
      <c r="E155" s="78" t="s">
        <v>7</v>
      </c>
      <c r="F155" s="78" t="s">
        <v>7</v>
      </c>
      <c r="G155" s="78" t="s">
        <v>7</v>
      </c>
      <c r="H155" s="78" t="s">
        <v>7</v>
      </c>
      <c r="I155" s="78" t="s">
        <v>7</v>
      </c>
      <c r="J155" s="78" t="s">
        <v>7</v>
      </c>
      <c r="K155" s="78" t="s">
        <v>7</v>
      </c>
      <c r="L155" s="78" t="s">
        <v>7</v>
      </c>
      <c r="M155" s="78" t="s">
        <v>7</v>
      </c>
      <c r="N155" s="78" t="s">
        <v>7</v>
      </c>
      <c r="O155" s="78" t="s">
        <v>7</v>
      </c>
      <c r="P155" s="78" t="s">
        <v>7</v>
      </c>
      <c r="Q155" s="78" t="s">
        <v>7</v>
      </c>
      <c r="R155" s="78" t="s">
        <v>7</v>
      </c>
      <c r="S155" s="78" t="s">
        <v>7</v>
      </c>
      <c r="T155" s="78" t="s">
        <v>7</v>
      </c>
      <c r="U155" s="78" t="s">
        <v>7</v>
      </c>
      <c r="V155" s="78" t="s">
        <v>7</v>
      </c>
      <c r="W155" s="78" t="s">
        <v>7</v>
      </c>
      <c r="X155" s="78" t="s">
        <v>7</v>
      </c>
    </row>
    <row r="156" spans="1:24">
      <c r="A156" s="92"/>
      <c r="B156" s="92"/>
      <c r="C156" s="69"/>
      <c r="D156" s="518"/>
      <c r="E156" s="515"/>
      <c r="F156" s="515"/>
      <c r="G156" s="515"/>
      <c r="H156" s="515"/>
      <c r="I156" s="515"/>
      <c r="J156" s="515"/>
      <c r="K156" s="515"/>
      <c r="L156" s="515"/>
      <c r="M156" s="515"/>
      <c r="N156" s="515"/>
      <c r="O156" s="515"/>
      <c r="P156" s="515"/>
      <c r="Q156" s="515"/>
      <c r="R156" s="515"/>
      <c r="S156" s="515"/>
      <c r="T156" s="515"/>
      <c r="U156" s="515"/>
      <c r="V156" s="515"/>
      <c r="W156" s="515"/>
      <c r="X156" s="515"/>
    </row>
    <row r="157" spans="1:24" s="16" customFormat="1" ht="14.25">
      <c r="A157" s="278" t="s">
        <v>116</v>
      </c>
      <c r="B157" s="263"/>
      <c r="C157" s="263"/>
      <c r="D157" s="518">
        <f>D120-(D137+D143)</f>
        <v>0</v>
      </c>
      <c r="E157" s="520">
        <f>E120-E153</f>
        <v>-148033.33333333331</v>
      </c>
      <c r="F157" s="520">
        <f t="shared" ref="F157:X157" si="22">F120-F153</f>
        <v>1223237.5020305291</v>
      </c>
      <c r="G157" s="520">
        <f t="shared" si="22"/>
        <v>1391631.2240711395</v>
      </c>
      <c r="H157" s="520">
        <f t="shared" si="22"/>
        <v>1419243.8485525621</v>
      </c>
      <c r="I157" s="520">
        <f t="shared" si="22"/>
        <v>1447408.7255236134</v>
      </c>
      <c r="J157" s="520">
        <f t="shared" si="22"/>
        <v>1664730.8684611069</v>
      </c>
      <c r="K157" s="520">
        <f t="shared" si="22"/>
        <v>1698003.6476762539</v>
      </c>
      <c r="L157" s="520">
        <f t="shared" si="22"/>
        <v>1727404.9636853337</v>
      </c>
      <c r="M157" s="520">
        <f t="shared" si="22"/>
        <v>1757394.3060145965</v>
      </c>
      <c r="N157" s="520">
        <f t="shared" si="22"/>
        <v>1787983.4351904441</v>
      </c>
      <c r="O157" s="520">
        <f t="shared" si="22"/>
        <v>1869615.8059653626</v>
      </c>
      <c r="P157" s="520">
        <f t="shared" si="22"/>
        <v>1905831.2387499148</v>
      </c>
      <c r="Q157" s="520">
        <f t="shared" si="22"/>
        <v>1938292.6673443587</v>
      </c>
      <c r="R157" s="520">
        <f t="shared" si="22"/>
        <v>1971403.3245106898</v>
      </c>
      <c r="S157" s="520">
        <f t="shared" si="22"/>
        <v>2005176.1948203489</v>
      </c>
      <c r="T157" s="520">
        <f t="shared" si="22"/>
        <v>2090219.4185109185</v>
      </c>
      <c r="U157" s="520">
        <f t="shared" si="22"/>
        <v>2129683.778611924</v>
      </c>
      <c r="V157" s="520">
        <f t="shared" si="22"/>
        <v>2165523.8187674955</v>
      </c>
      <c r="W157" s="520">
        <f t="shared" si="22"/>
        <v>2202080.6597261792</v>
      </c>
      <c r="X157" s="520">
        <f t="shared" si="22"/>
        <v>2239368.6375040361</v>
      </c>
    </row>
    <row r="158" spans="1:24">
      <c r="A158" s="30"/>
      <c r="B158" s="92"/>
      <c r="C158" s="69"/>
      <c r="D158" s="514"/>
      <c r="E158" s="515"/>
      <c r="F158" s="515"/>
      <c r="G158" s="515"/>
      <c r="H158" s="515"/>
      <c r="I158" s="515"/>
      <c r="J158" s="515"/>
      <c r="K158" s="515"/>
      <c r="L158" s="515"/>
      <c r="M158" s="515"/>
      <c r="N158" s="515"/>
      <c r="O158" s="515"/>
      <c r="P158" s="515"/>
      <c r="Q158" s="515"/>
      <c r="R158" s="515"/>
      <c r="S158" s="515"/>
      <c r="T158" s="515"/>
      <c r="U158" s="515"/>
      <c r="V158" s="515"/>
      <c r="W158" s="515"/>
      <c r="X158" s="515"/>
    </row>
    <row r="159" spans="1:24" s="594" customFormat="1">
      <c r="A159" s="589" t="s">
        <v>125</v>
      </c>
      <c r="B159" s="590"/>
      <c r="C159" s="591"/>
      <c r="D159" s="592">
        <v>0</v>
      </c>
      <c r="E159" s="593">
        <v>0</v>
      </c>
      <c r="F159" s="593">
        <v>0</v>
      </c>
      <c r="G159" s="593">
        <v>0</v>
      </c>
      <c r="H159" s="593">
        <v>0</v>
      </c>
      <c r="I159" s="593">
        <v>0</v>
      </c>
      <c r="J159" s="593">
        <v>0</v>
      </c>
      <c r="K159" s="593">
        <v>0</v>
      </c>
      <c r="L159" s="593">
        <v>0</v>
      </c>
      <c r="M159" s="593">
        <v>0</v>
      </c>
      <c r="N159" s="593">
        <v>0</v>
      </c>
      <c r="O159" s="593">
        <v>0</v>
      </c>
      <c r="P159" s="593">
        <v>0</v>
      </c>
      <c r="Q159" s="593">
        <v>0</v>
      </c>
      <c r="R159" s="593">
        <v>0</v>
      </c>
      <c r="S159" s="593">
        <v>0</v>
      </c>
      <c r="T159" s="593">
        <v>0</v>
      </c>
      <c r="U159" s="593">
        <v>0</v>
      </c>
      <c r="V159" s="593">
        <v>0</v>
      </c>
      <c r="W159" s="593">
        <v>0</v>
      </c>
      <c r="X159" s="593">
        <v>0</v>
      </c>
    </row>
    <row r="160" spans="1:24">
      <c r="A160" s="92"/>
      <c r="B160" s="92"/>
      <c r="C160" s="69"/>
      <c r="D160" s="514"/>
      <c r="E160" s="515"/>
      <c r="F160" s="515"/>
      <c r="G160" s="515"/>
      <c r="H160" s="515"/>
      <c r="I160" s="515"/>
      <c r="J160" s="515"/>
      <c r="K160" s="515"/>
      <c r="L160" s="515"/>
      <c r="M160" s="515"/>
      <c r="N160" s="515"/>
      <c r="O160" s="515"/>
      <c r="P160" s="515"/>
      <c r="Q160" s="515"/>
      <c r="R160" s="515"/>
      <c r="S160" s="515"/>
      <c r="T160" s="515"/>
      <c r="U160" s="515"/>
      <c r="V160" s="515"/>
      <c r="W160" s="515"/>
      <c r="X160" s="515"/>
    </row>
    <row r="161" spans="1:24" s="16" customFormat="1" ht="14.25">
      <c r="A161" s="278" t="s">
        <v>117</v>
      </c>
      <c r="B161" s="278"/>
      <c r="C161" s="263"/>
      <c r="D161" s="518">
        <v>0</v>
      </c>
      <c r="E161" s="520">
        <f>E157-E159</f>
        <v>-148033.33333333331</v>
      </c>
      <c r="F161" s="520">
        <f t="shared" ref="F161:X161" si="23">F157-F159</f>
        <v>1223237.5020305291</v>
      </c>
      <c r="G161" s="520">
        <f t="shared" si="23"/>
        <v>1391631.2240711395</v>
      </c>
      <c r="H161" s="520">
        <f t="shared" si="23"/>
        <v>1419243.8485525621</v>
      </c>
      <c r="I161" s="520">
        <f t="shared" si="23"/>
        <v>1447408.7255236134</v>
      </c>
      <c r="J161" s="520">
        <f t="shared" si="23"/>
        <v>1664730.8684611069</v>
      </c>
      <c r="K161" s="520">
        <f t="shared" si="23"/>
        <v>1698003.6476762539</v>
      </c>
      <c r="L161" s="520">
        <f t="shared" si="23"/>
        <v>1727404.9636853337</v>
      </c>
      <c r="M161" s="520">
        <f t="shared" si="23"/>
        <v>1757394.3060145965</v>
      </c>
      <c r="N161" s="520">
        <f t="shared" si="23"/>
        <v>1787983.4351904441</v>
      </c>
      <c r="O161" s="520">
        <f t="shared" si="23"/>
        <v>1869615.8059653626</v>
      </c>
      <c r="P161" s="520">
        <f t="shared" si="23"/>
        <v>1905831.2387499148</v>
      </c>
      <c r="Q161" s="520">
        <f t="shared" si="23"/>
        <v>1938292.6673443587</v>
      </c>
      <c r="R161" s="520">
        <f t="shared" si="23"/>
        <v>1971403.3245106898</v>
      </c>
      <c r="S161" s="520">
        <f t="shared" si="23"/>
        <v>2005176.1948203489</v>
      </c>
      <c r="T161" s="520">
        <f t="shared" si="23"/>
        <v>2090219.4185109185</v>
      </c>
      <c r="U161" s="520">
        <f t="shared" si="23"/>
        <v>2129683.778611924</v>
      </c>
      <c r="V161" s="520">
        <f t="shared" si="23"/>
        <v>2165523.8187674955</v>
      </c>
      <c r="W161" s="520">
        <f t="shared" si="23"/>
        <v>2202080.6597261792</v>
      </c>
      <c r="X161" s="520">
        <f t="shared" si="23"/>
        <v>2239368.6375040361</v>
      </c>
    </row>
    <row r="162" spans="1:24">
      <c r="A162" s="92"/>
      <c r="B162" s="92"/>
      <c r="C162" s="69"/>
      <c r="D162" s="514"/>
      <c r="E162" s="515"/>
      <c r="F162" s="515"/>
      <c r="G162" s="515"/>
      <c r="H162" s="515"/>
      <c r="I162" s="515"/>
      <c r="J162" s="515"/>
      <c r="K162" s="515"/>
      <c r="L162" s="515"/>
      <c r="M162" s="515"/>
      <c r="N162" s="515"/>
      <c r="O162" s="515"/>
      <c r="P162" s="515"/>
      <c r="Q162" s="515"/>
      <c r="R162" s="515"/>
      <c r="S162" s="515"/>
      <c r="T162" s="515"/>
      <c r="U162" s="515"/>
      <c r="V162" s="515"/>
      <c r="W162" s="515"/>
      <c r="X162" s="515"/>
    </row>
    <row r="163" spans="1:24">
      <c r="A163" s="271" t="s">
        <v>126</v>
      </c>
      <c r="B163" s="272"/>
      <c r="C163" s="273"/>
      <c r="D163" s="523"/>
      <c r="E163" s="523"/>
      <c r="F163" s="523"/>
      <c r="G163" s="523"/>
      <c r="H163" s="523"/>
      <c r="I163" s="523"/>
      <c r="J163" s="523"/>
      <c r="K163" s="523"/>
      <c r="L163" s="523"/>
      <c r="M163" s="523"/>
      <c r="N163" s="523"/>
      <c r="O163" s="523"/>
      <c r="P163" s="523"/>
      <c r="Q163" s="523"/>
      <c r="R163" s="523"/>
      <c r="S163" s="523"/>
      <c r="T163" s="523"/>
      <c r="U163" s="523"/>
      <c r="V163" s="523"/>
      <c r="W163" s="523"/>
      <c r="X163" s="523"/>
    </row>
    <row r="164" spans="1:24" s="32" customFormat="1">
      <c r="A164" s="280"/>
      <c r="B164" s="91"/>
      <c r="C164" s="69"/>
      <c r="D164" s="514"/>
      <c r="E164" s="515"/>
      <c r="F164" s="515"/>
      <c r="G164" s="515"/>
      <c r="H164" s="515"/>
      <c r="I164" s="515"/>
      <c r="J164" s="515"/>
      <c r="K164" s="515"/>
      <c r="L164" s="515"/>
      <c r="M164" s="515"/>
      <c r="N164" s="515"/>
      <c r="O164" s="515"/>
      <c r="P164" s="515"/>
      <c r="Q164" s="515"/>
      <c r="R164" s="515"/>
      <c r="S164" s="515"/>
      <c r="T164" s="515"/>
      <c r="U164" s="515"/>
      <c r="V164" s="515"/>
      <c r="W164" s="515"/>
      <c r="X164" s="515"/>
    </row>
    <row r="165" spans="1:24" s="167" customFormat="1">
      <c r="A165" s="885" t="s">
        <v>136</v>
      </c>
      <c r="B165" s="719"/>
      <c r="C165" s="69"/>
      <c r="D165" s="514">
        <v>0</v>
      </c>
      <c r="E165" s="515">
        <f>'OPEX - Concept C2 - ALL'!L170</f>
        <v>0</v>
      </c>
      <c r="F165" s="515">
        <f>'OPEX - Concept C2 - ALL'!M170</f>
        <v>96205</v>
      </c>
      <c r="G165" s="515">
        <f>'OPEX - Concept C2 - ALL'!N170</f>
        <v>98129.1</v>
      </c>
      <c r="H165" s="515">
        <f>'OPEX - Concept C2 - ALL'!O170</f>
        <v>100091.682</v>
      </c>
      <c r="I165" s="515">
        <f>'OPEX - Concept C2 - ALL'!P170</f>
        <v>102093.51564</v>
      </c>
      <c r="J165" s="515">
        <f>'OPEX - Concept C2 - ALL'!Q170</f>
        <v>104135.3859528</v>
      </c>
      <c r="K165" s="515">
        <f>'OPEX - Concept C2 - ALL'!R170</f>
        <v>106218.093671856</v>
      </c>
      <c r="L165" s="515">
        <f>'OPEX - Concept C2 - ALL'!S170</f>
        <v>108342.45554529312</v>
      </c>
      <c r="M165" s="515">
        <f>'OPEX - Concept C2 - ALL'!T170</f>
        <v>110509.30465619899</v>
      </c>
      <c r="N165" s="515">
        <f>'OPEX - Concept C2 - ALL'!U170</f>
        <v>112719.49074932297</v>
      </c>
      <c r="O165" s="515">
        <f>'OPEX - Concept C2 - ALL'!V170</f>
        <v>114973.88056430944</v>
      </c>
      <c r="P165" s="515">
        <f>'OPEX - Concept C2 - ALL'!W170</f>
        <v>117273.35817559563</v>
      </c>
      <c r="Q165" s="515">
        <f>'OPEX - Concept C2 - ALL'!X170</f>
        <v>119618.82533910754</v>
      </c>
      <c r="R165" s="515">
        <f>'OPEX - Concept C2 - ALL'!Y170</f>
        <v>122011.20184588969</v>
      </c>
      <c r="S165" s="515">
        <f>'OPEX - Concept C2 - ALL'!Z170</f>
        <v>124451.42588280747</v>
      </c>
      <c r="T165" s="515">
        <f>'OPEX - Concept C2 - ALL'!AA170</f>
        <v>126940.45440046364</v>
      </c>
      <c r="U165" s="515">
        <f>'OPEX - Concept C2 - ALL'!AB170</f>
        <v>129479.26348847292</v>
      </c>
      <c r="V165" s="515">
        <f>'OPEX - Concept C2 - ALL'!AC170</f>
        <v>132068.84875824238</v>
      </c>
      <c r="W165" s="515">
        <f>'OPEX - Concept C2 - ALL'!AD170</f>
        <v>134710.22573340722</v>
      </c>
      <c r="X165" s="515">
        <f>'OPEX - Concept C2 - ALL'!AE170</f>
        <v>137404.43024807537</v>
      </c>
    </row>
    <row r="166" spans="1:24" s="167" customFormat="1">
      <c r="A166" s="885" t="s">
        <v>458</v>
      </c>
      <c r="B166" s="719"/>
      <c r="C166" s="69"/>
      <c r="D166" s="514">
        <v>0</v>
      </c>
      <c r="E166" s="515">
        <f>'OPEX - Concept C2 - ALL'!L172</f>
        <v>676285.92</v>
      </c>
      <c r="F166" s="515">
        <f>'OPEX - Concept C2 - ALL'!M172</f>
        <v>676285.92</v>
      </c>
      <c r="G166" s="515">
        <f>'OPEX - Concept C2 - ALL'!N172</f>
        <v>676285.92</v>
      </c>
      <c r="H166" s="515">
        <f>'OPEX - Concept C2 - ALL'!O172</f>
        <v>676285.92</v>
      </c>
      <c r="I166" s="515">
        <f>'OPEX - Concept C2 - ALL'!P172</f>
        <v>676285.92</v>
      </c>
      <c r="J166" s="515">
        <f>'OPEX - Concept C2 - ALL'!Q172</f>
        <v>676285.92</v>
      </c>
      <c r="K166" s="515">
        <f>'OPEX - Concept C2 - ALL'!R172</f>
        <v>676285.92</v>
      </c>
      <c r="L166" s="515">
        <f>'OPEX - Concept C2 - ALL'!S172</f>
        <v>676285.92</v>
      </c>
      <c r="M166" s="515">
        <f>'OPEX - Concept C2 - ALL'!T172</f>
        <v>676285.92</v>
      </c>
      <c r="N166" s="515">
        <f>'OPEX - Concept C2 - ALL'!U172</f>
        <v>676285.92</v>
      </c>
      <c r="O166" s="515">
        <f>'OPEX - Concept C2 - ALL'!V172</f>
        <v>676285.92</v>
      </c>
      <c r="P166" s="515">
        <f>'OPEX - Concept C2 - ALL'!W172</f>
        <v>676285.92</v>
      </c>
      <c r="Q166" s="515">
        <f>'OPEX - Concept C2 - ALL'!X172</f>
        <v>676285.92</v>
      </c>
      <c r="R166" s="515">
        <f>'OPEX - Concept C2 - ALL'!Y172</f>
        <v>676285.92</v>
      </c>
      <c r="S166" s="515">
        <f>'OPEX - Concept C2 - ALL'!Z172</f>
        <v>676285.92</v>
      </c>
      <c r="T166" s="515">
        <f>'OPEX - Concept C2 - ALL'!AA172</f>
        <v>676285.92</v>
      </c>
      <c r="U166" s="515">
        <f>'OPEX - Concept C2 - ALL'!AB172</f>
        <v>676285.92</v>
      </c>
      <c r="V166" s="515">
        <f>'OPEX - Concept C2 - ALL'!AC172</f>
        <v>676285.92</v>
      </c>
      <c r="W166" s="515">
        <f>'OPEX - Concept C2 - ALL'!AD172</f>
        <v>676285.92</v>
      </c>
      <c r="X166" s="515">
        <f>'OPEX - Concept C2 - ALL'!AE172</f>
        <v>676285.92</v>
      </c>
    </row>
    <row r="167" spans="1:24" s="341" customFormat="1">
      <c r="A167" s="696" t="s">
        <v>315</v>
      </c>
      <c r="B167" s="697"/>
      <c r="C167" s="698"/>
      <c r="D167" s="699">
        <v>0</v>
      </c>
      <c r="E167" s="700">
        <v>0</v>
      </c>
      <c r="F167" s="700">
        <v>0</v>
      </c>
      <c r="G167" s="700">
        <v>0</v>
      </c>
      <c r="H167" s="700">
        <v>0</v>
      </c>
      <c r="I167" s="700">
        <v>0</v>
      </c>
      <c r="J167" s="700">
        <v>0</v>
      </c>
      <c r="K167" s="700">
        <v>0</v>
      </c>
      <c r="L167" s="700">
        <v>0</v>
      </c>
      <c r="M167" s="700">
        <v>0</v>
      </c>
      <c r="N167" s="700">
        <v>0</v>
      </c>
      <c r="O167" s="700">
        <v>0</v>
      </c>
      <c r="P167" s="700">
        <v>0</v>
      </c>
      <c r="Q167" s="700">
        <v>0</v>
      </c>
      <c r="R167" s="700">
        <v>0</v>
      </c>
      <c r="S167" s="700">
        <v>0</v>
      </c>
      <c r="T167" s="700">
        <v>0</v>
      </c>
      <c r="U167" s="700">
        <v>0</v>
      </c>
      <c r="V167" s="700">
        <v>0</v>
      </c>
      <c r="W167" s="700">
        <v>0</v>
      </c>
      <c r="X167" s="700">
        <v>0</v>
      </c>
    </row>
    <row r="168" spans="1:24" s="32" customFormat="1">
      <c r="A168" s="93" t="s">
        <v>316</v>
      </c>
      <c r="B168" s="298"/>
      <c r="C168" s="298"/>
      <c r="D168" s="505">
        <v>0</v>
      </c>
      <c r="E168" s="506">
        <v>246000</v>
      </c>
      <c r="F168" s="506">
        <v>246000</v>
      </c>
      <c r="G168" s="506">
        <v>246000</v>
      </c>
      <c r="H168" s="506">
        <v>246000</v>
      </c>
      <c r="I168" s="506">
        <v>246000</v>
      </c>
      <c r="J168" s="506">
        <v>246000</v>
      </c>
      <c r="K168" s="506">
        <v>246000</v>
      </c>
      <c r="L168" s="506">
        <v>246000</v>
      </c>
      <c r="M168" s="506">
        <v>246000</v>
      </c>
      <c r="N168" s="506">
        <v>246000</v>
      </c>
      <c r="O168" s="506">
        <v>246000</v>
      </c>
      <c r="P168" s="506">
        <v>246000</v>
      </c>
      <c r="Q168" s="506">
        <v>246000</v>
      </c>
      <c r="R168" s="506">
        <v>246000</v>
      </c>
      <c r="S168" s="506">
        <v>246000</v>
      </c>
      <c r="T168" s="506">
        <v>246000</v>
      </c>
      <c r="U168" s="506">
        <v>246000</v>
      </c>
      <c r="V168" s="506">
        <v>246000</v>
      </c>
      <c r="W168" s="506">
        <v>246000</v>
      </c>
      <c r="X168" s="506">
        <v>246000</v>
      </c>
    </row>
    <row r="169" spans="1:24" s="222" customFormat="1" ht="14.25">
      <c r="A169" s="263" t="s">
        <v>134</v>
      </c>
      <c r="B169" s="264"/>
      <c r="C169" s="264"/>
      <c r="D169" s="524">
        <f>SUM(D165:D168)</f>
        <v>0</v>
      </c>
      <c r="E169" s="525">
        <f t="shared" ref="E169:X169" si="24">SUM(E165:E168)</f>
        <v>922285.92</v>
      </c>
      <c r="F169" s="525">
        <f t="shared" si="24"/>
        <v>1018490.92</v>
      </c>
      <c r="G169" s="525">
        <f t="shared" si="24"/>
        <v>1020415.02</v>
      </c>
      <c r="H169" s="525">
        <f t="shared" si="24"/>
        <v>1022377.6020000001</v>
      </c>
      <c r="I169" s="525">
        <f t="shared" si="24"/>
        <v>1024379.43564</v>
      </c>
      <c r="J169" s="525">
        <f t="shared" si="24"/>
        <v>1026421.3059528001</v>
      </c>
      <c r="K169" s="525">
        <f t="shared" si="24"/>
        <v>1028504.013671856</v>
      </c>
      <c r="L169" s="525">
        <f t="shared" si="24"/>
        <v>1030628.3755452932</v>
      </c>
      <c r="M169" s="525">
        <f t="shared" si="24"/>
        <v>1032795.224656199</v>
      </c>
      <c r="N169" s="525">
        <f t="shared" si="24"/>
        <v>1035005.410749323</v>
      </c>
      <c r="O169" s="525">
        <f t="shared" si="24"/>
        <v>1037259.8005643095</v>
      </c>
      <c r="P169" s="525">
        <f t="shared" si="24"/>
        <v>1039559.2781755957</v>
      </c>
      <c r="Q169" s="525">
        <f t="shared" si="24"/>
        <v>1041904.7453391076</v>
      </c>
      <c r="R169" s="525">
        <f t="shared" si="24"/>
        <v>1044297.1218458897</v>
      </c>
      <c r="S169" s="525">
        <f t="shared" si="24"/>
        <v>1046737.3458828075</v>
      </c>
      <c r="T169" s="525">
        <f t="shared" si="24"/>
        <v>1049226.3744004637</v>
      </c>
      <c r="U169" s="525">
        <f t="shared" si="24"/>
        <v>1051765.1834884728</v>
      </c>
      <c r="V169" s="525">
        <f t="shared" si="24"/>
        <v>1054354.7687582425</v>
      </c>
      <c r="W169" s="525">
        <f t="shared" si="24"/>
        <v>1056996.1457334072</v>
      </c>
      <c r="X169" s="525">
        <f t="shared" si="24"/>
        <v>1059690.3502480756</v>
      </c>
    </row>
    <row r="170" spans="1:24" s="32" customFormat="1">
      <c r="A170" s="69"/>
      <c r="B170" s="90"/>
      <c r="C170" s="90"/>
      <c r="D170" s="526"/>
      <c r="E170" s="527"/>
      <c r="F170" s="527"/>
      <c r="G170" s="527"/>
      <c r="H170" s="527"/>
      <c r="I170" s="527"/>
      <c r="J170" s="527"/>
      <c r="K170" s="527"/>
      <c r="L170" s="527"/>
      <c r="M170" s="527"/>
      <c r="N170" s="527"/>
      <c r="O170" s="527"/>
      <c r="P170" s="527"/>
      <c r="Q170" s="527"/>
      <c r="R170" s="527"/>
      <c r="S170" s="527"/>
      <c r="T170" s="527"/>
      <c r="U170" s="527"/>
      <c r="V170" s="527"/>
      <c r="W170" s="527"/>
      <c r="X170" s="527"/>
    </row>
    <row r="171" spans="1:24" s="32" customFormat="1">
      <c r="A171" s="94" t="s">
        <v>137</v>
      </c>
      <c r="C171" s="69"/>
      <c r="D171" s="514">
        <v>0</v>
      </c>
      <c r="E171" s="515">
        <f>E161-E165</f>
        <v>-148033.33333333331</v>
      </c>
      <c r="F171" s="515">
        <f t="shared" ref="F171:X171" si="25">F157-F165</f>
        <v>1127032.5020305291</v>
      </c>
      <c r="G171" s="515">
        <f t="shared" si="25"/>
        <v>1293502.1240711394</v>
      </c>
      <c r="H171" s="515">
        <f t="shared" si="25"/>
        <v>1319152.166552562</v>
      </c>
      <c r="I171" s="515">
        <f t="shared" si="25"/>
        <v>1345315.2098836135</v>
      </c>
      <c r="J171" s="515">
        <f t="shared" si="25"/>
        <v>1560595.4825083069</v>
      </c>
      <c r="K171" s="515">
        <f t="shared" si="25"/>
        <v>1591785.5540043979</v>
      </c>
      <c r="L171" s="515">
        <f t="shared" si="25"/>
        <v>1619062.5081400406</v>
      </c>
      <c r="M171" s="515">
        <f t="shared" si="25"/>
        <v>1646885.0013583975</v>
      </c>
      <c r="N171" s="515">
        <f t="shared" si="25"/>
        <v>1675263.9444411211</v>
      </c>
      <c r="O171" s="515">
        <f t="shared" si="25"/>
        <v>1754641.9254010532</v>
      </c>
      <c r="P171" s="515">
        <f t="shared" si="25"/>
        <v>1788557.8805743193</v>
      </c>
      <c r="Q171" s="515">
        <f t="shared" si="25"/>
        <v>1818673.8420052512</v>
      </c>
      <c r="R171" s="515">
        <f t="shared" si="25"/>
        <v>1849392.1226648001</v>
      </c>
      <c r="S171" s="515">
        <f t="shared" si="25"/>
        <v>1880724.7689375414</v>
      </c>
      <c r="T171" s="515">
        <f t="shared" si="25"/>
        <v>1963278.9641104548</v>
      </c>
      <c r="U171" s="515">
        <f t="shared" si="25"/>
        <v>2000204.5151234511</v>
      </c>
      <c r="V171" s="515">
        <f t="shared" si="25"/>
        <v>2033454.9700092531</v>
      </c>
      <c r="W171" s="515">
        <f t="shared" si="25"/>
        <v>2067370.4339927719</v>
      </c>
      <c r="X171" s="515">
        <f t="shared" si="25"/>
        <v>2101964.2072559609</v>
      </c>
    </row>
    <row r="172" spans="1:24" ht="16.5" customHeight="1">
      <c r="A172" s="88" t="s">
        <v>128</v>
      </c>
      <c r="B172" s="98"/>
      <c r="C172" s="98"/>
      <c r="D172" s="528">
        <v>0</v>
      </c>
      <c r="E172" s="529">
        <f>E161-E169</f>
        <v>-1070319.2533333334</v>
      </c>
      <c r="F172" s="529">
        <f t="shared" ref="F172:X172" si="26">F161-F169</f>
        <v>204746.58203052904</v>
      </c>
      <c r="G172" s="529">
        <f t="shared" si="26"/>
        <v>371216.20407113945</v>
      </c>
      <c r="H172" s="529">
        <f t="shared" si="26"/>
        <v>396866.24655256199</v>
      </c>
      <c r="I172" s="529">
        <f t="shared" si="26"/>
        <v>423029.28988361335</v>
      </c>
      <c r="J172" s="529">
        <f t="shared" si="26"/>
        <v>638309.56250830682</v>
      </c>
      <c r="K172" s="529">
        <f t="shared" si="26"/>
        <v>669499.6340043979</v>
      </c>
      <c r="L172" s="529">
        <f t="shared" si="26"/>
        <v>696776.58814004052</v>
      </c>
      <c r="M172" s="529">
        <f t="shared" si="26"/>
        <v>724599.0813583975</v>
      </c>
      <c r="N172" s="529">
        <f t="shared" si="26"/>
        <v>752978.02444112115</v>
      </c>
      <c r="O172" s="529">
        <f t="shared" si="26"/>
        <v>832356.00540105312</v>
      </c>
      <c r="P172" s="529">
        <f t="shared" si="26"/>
        <v>866271.96057431912</v>
      </c>
      <c r="Q172" s="529">
        <f t="shared" si="26"/>
        <v>896387.92200525117</v>
      </c>
      <c r="R172" s="529">
        <f t="shared" si="26"/>
        <v>927106.2026648001</v>
      </c>
      <c r="S172" s="529">
        <f t="shared" si="26"/>
        <v>958438.84893754136</v>
      </c>
      <c r="T172" s="529">
        <f t="shared" si="26"/>
        <v>1040993.0441104549</v>
      </c>
      <c r="U172" s="529">
        <f t="shared" si="26"/>
        <v>1077918.5951234512</v>
      </c>
      <c r="V172" s="529">
        <f t="shared" si="26"/>
        <v>1111169.050009253</v>
      </c>
      <c r="W172" s="529">
        <f t="shared" si="26"/>
        <v>1145084.513992772</v>
      </c>
      <c r="X172" s="529">
        <f t="shared" si="26"/>
        <v>1179678.2872559605</v>
      </c>
    </row>
    <row r="173" spans="1:24" ht="16.5" customHeight="1">
      <c r="A173" s="88"/>
      <c r="B173" s="88"/>
      <c r="C173" s="88"/>
      <c r="D173" s="526"/>
      <c r="E173" s="527"/>
      <c r="F173" s="527"/>
      <c r="G173" s="527"/>
      <c r="H173" s="527"/>
      <c r="I173" s="527"/>
      <c r="J173" s="527"/>
      <c r="K173" s="527"/>
      <c r="L173" s="527"/>
      <c r="M173" s="527"/>
      <c r="N173" s="527"/>
      <c r="O173" s="527"/>
      <c r="P173" s="527"/>
      <c r="Q173" s="527"/>
      <c r="R173" s="527"/>
      <c r="S173" s="527"/>
      <c r="T173" s="527"/>
      <c r="U173" s="527"/>
      <c r="V173" s="527"/>
      <c r="W173" s="527"/>
      <c r="X173" s="527"/>
    </row>
    <row r="174" spans="1:24" ht="16.5" customHeight="1">
      <c r="A174" s="88" t="s">
        <v>129</v>
      </c>
      <c r="B174" s="632">
        <f>NPV(Cost_of_Money__DPC,E161:X161)</f>
        <v>34486200.732383475</v>
      </c>
      <c r="C174" s="88"/>
      <c r="D174" s="526"/>
      <c r="E174" s="527"/>
      <c r="F174" s="527"/>
      <c r="G174" s="527"/>
      <c r="H174" s="527"/>
      <c r="I174" s="527"/>
      <c r="J174" s="527"/>
      <c r="K174" s="527"/>
      <c r="L174" s="527"/>
      <c r="M174" s="527"/>
      <c r="N174" s="527"/>
      <c r="O174" s="527"/>
      <c r="P174" s="527"/>
      <c r="Q174" s="527"/>
      <c r="R174" s="527"/>
      <c r="S174" s="527"/>
      <c r="T174" s="527"/>
      <c r="U174" s="527"/>
      <c r="V174" s="527"/>
      <c r="W174" s="527"/>
      <c r="X174" s="527"/>
    </row>
    <row r="175" spans="1:24" ht="16.5" customHeight="1">
      <c r="A175" s="300" t="s">
        <v>130</v>
      </c>
      <c r="B175" s="733">
        <f>SUM(E172:X172)</f>
        <v>13843106.389731631</v>
      </c>
      <c r="C175" s="301"/>
      <c r="D175" s="530">
        <v>0</v>
      </c>
      <c r="E175" s="530">
        <f>E161-E169</f>
        <v>-1070319.2533333334</v>
      </c>
      <c r="F175" s="530">
        <f t="shared" ref="F175:X175" si="27">F161-F169</f>
        <v>204746.58203052904</v>
      </c>
      <c r="G175" s="530">
        <f t="shared" si="27"/>
        <v>371216.20407113945</v>
      </c>
      <c r="H175" s="530">
        <f t="shared" si="27"/>
        <v>396866.24655256199</v>
      </c>
      <c r="I175" s="530">
        <f t="shared" si="27"/>
        <v>423029.28988361335</v>
      </c>
      <c r="J175" s="530">
        <f t="shared" si="27"/>
        <v>638309.56250830682</v>
      </c>
      <c r="K175" s="530">
        <f t="shared" si="27"/>
        <v>669499.6340043979</v>
      </c>
      <c r="L175" s="530">
        <f t="shared" si="27"/>
        <v>696776.58814004052</v>
      </c>
      <c r="M175" s="530">
        <f t="shared" si="27"/>
        <v>724599.0813583975</v>
      </c>
      <c r="N175" s="530">
        <f t="shared" si="27"/>
        <v>752978.02444112115</v>
      </c>
      <c r="O175" s="530">
        <f t="shared" si="27"/>
        <v>832356.00540105312</v>
      </c>
      <c r="P175" s="530">
        <f t="shared" si="27"/>
        <v>866271.96057431912</v>
      </c>
      <c r="Q175" s="530">
        <f t="shared" si="27"/>
        <v>896387.92200525117</v>
      </c>
      <c r="R175" s="530">
        <f t="shared" si="27"/>
        <v>927106.2026648001</v>
      </c>
      <c r="S175" s="530">
        <f t="shared" si="27"/>
        <v>958438.84893754136</v>
      </c>
      <c r="T175" s="530">
        <f t="shared" si="27"/>
        <v>1040993.0441104549</v>
      </c>
      <c r="U175" s="530">
        <f t="shared" si="27"/>
        <v>1077918.5951234512</v>
      </c>
      <c r="V175" s="530">
        <f t="shared" si="27"/>
        <v>1111169.050009253</v>
      </c>
      <c r="W175" s="530">
        <f t="shared" si="27"/>
        <v>1145084.513992772</v>
      </c>
      <c r="X175" s="530">
        <f t="shared" si="27"/>
        <v>1179678.2872559605</v>
      </c>
    </row>
    <row r="176" spans="1:24" s="58" customFormat="1" ht="16.5" customHeight="1">
      <c r="A176" s="90" t="s">
        <v>32</v>
      </c>
      <c r="B176" s="358">
        <f>IRR(E175:X175)</f>
        <v>0.39601692267151645</v>
      </c>
      <c r="C176" s="356"/>
      <c r="D176" s="502"/>
      <c r="E176" s="504"/>
      <c r="F176" s="504"/>
      <c r="G176" s="504"/>
      <c r="H176" s="504"/>
      <c r="I176" s="504"/>
      <c r="J176" s="504"/>
      <c r="K176" s="504"/>
      <c r="L176" s="504"/>
      <c r="M176" s="504"/>
      <c r="N176" s="504"/>
      <c r="O176" s="504"/>
      <c r="P176" s="504"/>
      <c r="Q176" s="504"/>
      <c r="R176" s="504"/>
      <c r="S176" s="504"/>
      <c r="T176" s="504"/>
      <c r="U176" s="504"/>
      <c r="V176" s="504"/>
      <c r="W176" s="504"/>
      <c r="X176" s="504"/>
    </row>
    <row r="177" spans="1:24">
      <c r="A177" s="30"/>
      <c r="B177" s="30"/>
      <c r="C177" s="30"/>
      <c r="D177" s="502"/>
      <c r="E177" s="512"/>
      <c r="F177" s="512"/>
      <c r="G177" s="512"/>
      <c r="H177" s="512"/>
      <c r="I177" s="512"/>
      <c r="J177" s="512"/>
      <c r="K177" s="512"/>
      <c r="L177" s="512"/>
      <c r="M177" s="512"/>
      <c r="N177" s="512"/>
      <c r="O177" s="512"/>
      <c r="P177" s="512"/>
      <c r="Q177" s="512"/>
      <c r="R177" s="512"/>
      <c r="S177" s="512"/>
      <c r="T177" s="512"/>
      <c r="U177" s="512"/>
      <c r="V177" s="512"/>
      <c r="W177" s="512"/>
      <c r="X177" s="512"/>
    </row>
    <row r="178" spans="1:24">
      <c r="A178" s="274" t="s">
        <v>28</v>
      </c>
      <c r="B178" s="275"/>
      <c r="C178" s="275"/>
      <c r="D178" s="531"/>
      <c r="E178" s="531"/>
      <c r="F178" s="531"/>
      <c r="G178" s="531"/>
      <c r="H178" s="531"/>
      <c r="I178" s="531"/>
      <c r="J178" s="531"/>
      <c r="K178" s="531"/>
      <c r="L178" s="531"/>
      <c r="M178" s="531"/>
      <c r="N178" s="531"/>
      <c r="O178" s="531"/>
      <c r="P178" s="531"/>
      <c r="Q178" s="531"/>
      <c r="R178" s="531"/>
      <c r="S178" s="531"/>
      <c r="T178" s="531"/>
      <c r="U178" s="531"/>
      <c r="V178" s="531"/>
      <c r="W178" s="531"/>
      <c r="X178" s="531"/>
    </row>
    <row r="179" spans="1:24">
      <c r="A179" s="30"/>
      <c r="B179" s="30"/>
      <c r="C179" s="30"/>
      <c r="D179" s="502"/>
      <c r="E179" s="512"/>
      <c r="F179" s="512"/>
      <c r="G179" s="512"/>
      <c r="H179" s="512"/>
      <c r="I179" s="512"/>
      <c r="J179" s="512"/>
      <c r="K179" s="512"/>
      <c r="L179" s="512"/>
      <c r="M179" s="512"/>
      <c r="N179" s="512"/>
      <c r="O179" s="512"/>
      <c r="P179" s="512"/>
      <c r="Q179" s="512"/>
      <c r="R179" s="512"/>
      <c r="S179" s="512"/>
      <c r="T179" s="512"/>
      <c r="U179" s="512"/>
      <c r="V179" s="512"/>
      <c r="W179" s="512"/>
      <c r="X179" s="512"/>
    </row>
    <row r="180" spans="1:24">
      <c r="A180" s="30" t="s">
        <v>300</v>
      </c>
      <c r="B180" s="30"/>
      <c r="C180" s="87"/>
      <c r="D180" s="502">
        <v>0</v>
      </c>
      <c r="E180" s="512"/>
      <c r="F180" s="512"/>
      <c r="G180" s="512"/>
      <c r="H180" s="512"/>
      <c r="I180" s="512"/>
      <c r="J180" s="512"/>
      <c r="K180" s="512"/>
      <c r="L180" s="512"/>
      <c r="M180" s="512"/>
      <c r="N180" s="512"/>
      <c r="O180" s="512"/>
      <c r="P180" s="512"/>
      <c r="Q180" s="512"/>
      <c r="R180" s="512"/>
      <c r="S180" s="512"/>
      <c r="T180" s="512"/>
      <c r="U180" s="512"/>
      <c r="V180" s="512"/>
      <c r="W180" s="512"/>
      <c r="X180" s="512"/>
    </row>
    <row r="181" spans="1:24">
      <c r="A181" s="30" t="s">
        <v>301</v>
      </c>
      <c r="B181" s="30"/>
      <c r="C181" s="30"/>
      <c r="D181" s="502">
        <v>0</v>
      </c>
      <c r="E181" s="512"/>
      <c r="F181" s="512"/>
      <c r="G181" s="512"/>
      <c r="H181" s="512"/>
      <c r="I181" s="512"/>
      <c r="J181" s="512"/>
      <c r="K181" s="512"/>
      <c r="L181" s="512"/>
      <c r="M181" s="512"/>
      <c r="N181" s="512"/>
      <c r="O181" s="512"/>
      <c r="P181" s="512"/>
      <c r="Q181" s="512"/>
      <c r="R181" s="512"/>
      <c r="S181" s="512"/>
      <c r="T181" s="512"/>
      <c r="U181" s="512"/>
      <c r="V181" s="512"/>
      <c r="W181" s="512"/>
      <c r="X181" s="512"/>
    </row>
    <row r="182" spans="1:24">
      <c r="A182" s="30"/>
      <c r="B182" s="30"/>
      <c r="C182" s="30"/>
      <c r="D182" s="502"/>
      <c r="E182" s="512"/>
      <c r="F182" s="512"/>
      <c r="G182" s="512"/>
      <c r="H182" s="512"/>
      <c r="I182" s="512"/>
      <c r="J182" s="512"/>
      <c r="K182" s="512"/>
      <c r="L182" s="512"/>
      <c r="M182" s="512"/>
      <c r="N182" s="512"/>
      <c r="O182" s="512"/>
      <c r="P182" s="512"/>
      <c r="Q182" s="512"/>
      <c r="R182" s="512"/>
      <c r="S182" s="512"/>
      <c r="T182" s="512"/>
      <c r="U182" s="512"/>
      <c r="V182" s="512"/>
      <c r="W182" s="512"/>
      <c r="X182" s="512"/>
    </row>
    <row r="183" spans="1:24">
      <c r="A183" s="30" t="s">
        <v>298</v>
      </c>
      <c r="B183" s="30"/>
      <c r="C183" s="30"/>
      <c r="D183" s="502">
        <v>0</v>
      </c>
      <c r="E183" s="512"/>
      <c r="F183" s="512"/>
      <c r="G183" s="512"/>
      <c r="H183" s="512"/>
      <c r="I183" s="512"/>
      <c r="J183" s="512"/>
      <c r="K183" s="512"/>
      <c r="L183" s="512"/>
      <c r="M183" s="512"/>
      <c r="N183" s="512"/>
      <c r="O183" s="512"/>
      <c r="P183" s="512"/>
      <c r="Q183" s="512"/>
      <c r="R183" s="512"/>
      <c r="S183" s="512"/>
      <c r="T183" s="512"/>
      <c r="U183" s="512"/>
      <c r="V183" s="512"/>
      <c r="W183" s="512"/>
      <c r="X183" s="512"/>
    </row>
    <row r="184" spans="1:24">
      <c r="A184" s="30" t="s">
        <v>299</v>
      </c>
      <c r="B184" s="30"/>
      <c r="C184" s="30"/>
      <c r="D184" s="502">
        <v>0</v>
      </c>
      <c r="E184" s="512"/>
      <c r="F184" s="512"/>
      <c r="G184" s="512"/>
      <c r="H184" s="512"/>
      <c r="I184" s="512"/>
      <c r="J184" s="512"/>
      <c r="K184" s="512"/>
      <c r="L184" s="512"/>
      <c r="M184" s="512"/>
      <c r="N184" s="512"/>
      <c r="O184" s="512"/>
      <c r="P184" s="512"/>
      <c r="Q184" s="512"/>
      <c r="R184" s="512"/>
      <c r="S184" s="512"/>
      <c r="T184" s="512"/>
      <c r="U184" s="512"/>
      <c r="V184" s="512"/>
      <c r="W184" s="512"/>
      <c r="X184" s="512"/>
    </row>
    <row r="185" spans="1:24">
      <c r="D185" s="502"/>
      <c r="E185" s="532"/>
      <c r="F185" s="532"/>
      <c r="G185" s="532"/>
      <c r="H185" s="532"/>
      <c r="I185" s="532"/>
      <c r="J185" s="532"/>
      <c r="K185" s="532"/>
      <c r="L185" s="532"/>
      <c r="M185" s="532"/>
      <c r="N185" s="532"/>
      <c r="O185" s="532"/>
      <c r="P185" s="532"/>
      <c r="Q185" s="532"/>
      <c r="R185" s="532"/>
      <c r="S185" s="532"/>
      <c r="T185" s="532"/>
      <c r="U185" s="532"/>
      <c r="V185" s="532"/>
      <c r="W185" s="532"/>
      <c r="X185" s="532"/>
    </row>
    <row r="186" spans="1:24">
      <c r="A186" s="131"/>
      <c r="B186" s="131"/>
      <c r="C186" s="131"/>
      <c r="D186" s="493"/>
      <c r="E186" s="334"/>
      <c r="F186" s="334"/>
      <c r="G186" s="334"/>
      <c r="H186" s="334"/>
      <c r="I186" s="334"/>
      <c r="J186" s="334"/>
      <c r="K186" s="334"/>
      <c r="L186" s="334"/>
      <c r="M186" s="334"/>
      <c r="N186" s="334"/>
      <c r="O186" s="334"/>
      <c r="P186" s="334"/>
      <c r="Q186" s="334"/>
      <c r="R186" s="334"/>
      <c r="S186" s="334"/>
      <c r="T186" s="334"/>
      <c r="U186" s="334"/>
      <c r="V186" s="334"/>
      <c r="W186" s="334"/>
      <c r="X186" s="334"/>
    </row>
    <row r="187" spans="1:24">
      <c r="D187" s="494"/>
      <c r="E187" s="327"/>
      <c r="F187" s="327"/>
      <c r="G187" s="327"/>
      <c r="H187" s="327"/>
      <c r="I187" s="327"/>
      <c r="J187" s="327"/>
      <c r="K187" s="327"/>
      <c r="L187" s="327"/>
      <c r="M187" s="327"/>
      <c r="N187" s="327"/>
      <c r="O187" s="327"/>
      <c r="P187" s="327"/>
      <c r="Q187" s="327"/>
      <c r="R187" s="327"/>
      <c r="S187" s="327"/>
      <c r="T187" s="327"/>
      <c r="U187" s="327"/>
      <c r="V187" s="327"/>
      <c r="W187" s="327"/>
      <c r="X187" s="327"/>
    </row>
    <row r="188" spans="1:24">
      <c r="A188"/>
      <c r="D188" s="494"/>
      <c r="E188" s="327"/>
      <c r="F188" s="327"/>
      <c r="G188" s="327"/>
      <c r="H188" s="327"/>
      <c r="I188" s="327"/>
      <c r="J188" s="327"/>
      <c r="K188" s="327"/>
      <c r="L188" s="327"/>
      <c r="M188" s="327"/>
      <c r="N188" s="327"/>
      <c r="O188" s="327"/>
      <c r="P188" s="327"/>
      <c r="Q188" s="327"/>
      <c r="R188" s="327"/>
      <c r="S188" s="327"/>
      <c r="T188" s="327"/>
      <c r="U188" s="327"/>
      <c r="V188" s="327"/>
      <c r="W188" s="327"/>
      <c r="X188" s="327"/>
    </row>
    <row r="189" spans="1:24">
      <c r="A189"/>
      <c r="D189" s="494"/>
      <c r="E189" s="327"/>
      <c r="F189" s="327"/>
      <c r="G189" s="327"/>
      <c r="H189" s="327"/>
      <c r="I189" s="327"/>
      <c r="J189" s="327"/>
      <c r="K189" s="327"/>
      <c r="L189" s="327"/>
      <c r="M189" s="327"/>
      <c r="N189" s="327"/>
      <c r="O189" s="327"/>
      <c r="P189" s="327"/>
      <c r="Q189" s="327"/>
      <c r="R189" s="327"/>
      <c r="S189" s="327"/>
      <c r="T189" s="327"/>
      <c r="U189" s="327"/>
      <c r="V189" s="327"/>
      <c r="W189" s="327"/>
      <c r="X189" s="327"/>
    </row>
    <row r="190" spans="1:24">
      <c r="D190" s="494"/>
      <c r="E190" s="327"/>
      <c r="F190" s="327"/>
      <c r="G190" s="327"/>
      <c r="H190" s="362"/>
      <c r="I190" s="327"/>
      <c r="J190" s="327"/>
      <c r="K190" s="327"/>
      <c r="L190" s="327"/>
      <c r="M190" s="327"/>
      <c r="N190" s="327"/>
      <c r="O190" s="327"/>
      <c r="P190" s="327"/>
      <c r="Q190" s="327"/>
      <c r="R190" s="327"/>
      <c r="S190" s="327"/>
      <c r="T190" s="327"/>
      <c r="U190" s="327"/>
      <c r="V190" s="327"/>
      <c r="W190" s="327"/>
      <c r="X190" s="327"/>
    </row>
    <row r="191" spans="1:24">
      <c r="D191" s="326"/>
      <c r="E191" s="327"/>
      <c r="F191" s="327"/>
      <c r="G191" s="327"/>
      <c r="H191" s="359"/>
      <c r="I191" s="327"/>
      <c r="J191" s="327"/>
      <c r="K191" s="327"/>
      <c r="L191" s="327"/>
      <c r="M191" s="327"/>
      <c r="N191" s="327"/>
      <c r="O191" s="327"/>
      <c r="P191" s="327"/>
      <c r="Q191" s="327"/>
      <c r="R191" s="327"/>
      <c r="S191" s="327"/>
      <c r="T191" s="327"/>
      <c r="U191" s="327"/>
      <c r="V191" s="327"/>
      <c r="W191" s="327"/>
      <c r="X191" s="327"/>
    </row>
    <row r="192" spans="1:24">
      <c r="H192" s="305"/>
    </row>
    <row r="193" spans="8:8">
      <c r="H193" s="30"/>
    </row>
    <row r="194" spans="8:8">
      <c r="H194" s="87"/>
    </row>
    <row r="196" spans="8:8">
      <c r="H196" s="360"/>
    </row>
    <row r="197" spans="8:8">
      <c r="H197" s="361"/>
    </row>
  </sheetData>
  <pageMargins left="0.7" right="0.7" top="0.75" bottom="0.75" header="0.3" footer="0.3"/>
  <pageSetup paperSize="9" scale="2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59"/>
  <sheetViews>
    <sheetView topLeftCell="A4" zoomScale="70" zoomScaleNormal="70" workbookViewId="0">
      <selection activeCell="Y32" sqref="Y32"/>
    </sheetView>
  </sheetViews>
  <sheetFormatPr defaultColWidth="9" defaultRowHeight="16.5"/>
  <cols>
    <col min="1" max="1" width="46.875" style="18" bestFit="1" customWidth="1"/>
    <col min="2" max="2" width="23.375" style="1" bestFit="1" customWidth="1"/>
    <col min="3" max="22" width="11.625" style="18" customWidth="1"/>
    <col min="23" max="23" width="10.625" style="18" bestFit="1" customWidth="1"/>
    <col min="24" max="16384" width="9" style="18"/>
  </cols>
  <sheetData>
    <row r="1" spans="1:23" ht="18.75" thickBot="1">
      <c r="A1" s="11" t="str">
        <f>Intro!A1</f>
        <v>Town of Bar Harbor</v>
      </c>
      <c r="B1" s="81"/>
      <c r="C1" s="13"/>
      <c r="D1" s="13"/>
      <c r="E1" s="13"/>
      <c r="F1" s="13"/>
      <c r="G1" s="13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</row>
    <row r="2" spans="1:23" ht="17.25" thickBot="1">
      <c r="A2" s="380" t="str">
        <f>Intro!A2</f>
        <v>Ferry Property Business Plan</v>
      </c>
      <c r="B2" s="17"/>
      <c r="C2" s="13"/>
      <c r="D2" s="13"/>
      <c r="E2" s="13"/>
      <c r="F2" s="13"/>
      <c r="G2" s="13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</row>
    <row r="3" spans="1:23" s="381" customFormat="1" ht="14.25" thickBot="1">
      <c r="A3" s="384" t="str">
        <f>Intro!A3</f>
        <v>05.23.2018</v>
      </c>
      <c r="B3" s="394"/>
      <c r="C3" s="304"/>
      <c r="D3" s="304"/>
      <c r="E3" s="304"/>
      <c r="F3" s="304"/>
      <c r="G3" s="304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7"/>
    </row>
    <row r="4" spans="1:23" s="381" customFormat="1" ht="13.5">
      <c r="A4" s="384" t="str">
        <f ca="1">Intro!A4</f>
        <v>Town of Bar Harbor</v>
      </c>
      <c r="B4" s="387"/>
      <c r="C4" s="382"/>
      <c r="D4" s="382"/>
      <c r="E4" s="382"/>
      <c r="F4" s="382"/>
      <c r="G4" s="382"/>
      <c r="H4" s="387"/>
      <c r="I4" s="383">
        <f ca="1">NOW()</f>
        <v>43242.835659143515</v>
      </c>
      <c r="J4" s="387"/>
      <c r="K4" s="387"/>
      <c r="L4" s="387"/>
      <c r="M4" s="387"/>
      <c r="N4" s="387"/>
      <c r="O4" s="387"/>
      <c r="P4" s="387"/>
      <c r="Q4" s="387"/>
      <c r="R4" s="387"/>
      <c r="S4" s="387"/>
      <c r="T4" s="387"/>
      <c r="U4" s="387"/>
      <c r="V4" s="387"/>
      <c r="W4" s="387"/>
    </row>
    <row r="5" spans="1:23">
      <c r="A5" s="244" t="s">
        <v>178</v>
      </c>
      <c r="B5" s="245"/>
      <c r="C5" s="244"/>
      <c r="D5" s="244"/>
      <c r="E5" s="244"/>
      <c r="F5" s="244"/>
      <c r="G5" s="244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</row>
    <row r="6" spans="1:23">
      <c r="C6" s="400"/>
    </row>
    <row r="7" spans="1:23">
      <c r="A7" s="14"/>
      <c r="B7" s="31" t="s">
        <v>18</v>
      </c>
      <c r="C7" s="246" t="s">
        <v>204</v>
      </c>
      <c r="D7" s="31">
        <v>2019</v>
      </c>
      <c r="E7" s="31">
        <v>2020</v>
      </c>
      <c r="F7" s="31">
        <v>2021</v>
      </c>
      <c r="G7" s="31">
        <v>2022</v>
      </c>
      <c r="H7" s="31">
        <v>2023</v>
      </c>
      <c r="I7" s="31">
        <v>2024</v>
      </c>
      <c r="J7" s="31">
        <v>2025</v>
      </c>
      <c r="K7" s="31">
        <v>2026</v>
      </c>
      <c r="L7" s="31">
        <v>2027</v>
      </c>
      <c r="M7" s="31">
        <v>2028</v>
      </c>
      <c r="N7" s="31">
        <v>2029</v>
      </c>
      <c r="O7" s="31">
        <v>2030</v>
      </c>
      <c r="P7" s="31">
        <v>2031</v>
      </c>
      <c r="Q7" s="31">
        <v>2032</v>
      </c>
      <c r="R7" s="31">
        <v>2033</v>
      </c>
      <c r="S7" s="31">
        <v>2034</v>
      </c>
      <c r="T7" s="31">
        <v>2035</v>
      </c>
      <c r="U7" s="31">
        <v>2036</v>
      </c>
      <c r="V7" s="31">
        <v>2037</v>
      </c>
      <c r="W7" s="31">
        <v>2038</v>
      </c>
    </row>
    <row r="8" spans="1:23">
      <c r="C8" s="400"/>
      <c r="E8" s="1"/>
      <c r="F8" s="1"/>
      <c r="G8" s="1"/>
    </row>
    <row r="9" spans="1:23">
      <c r="A9" s="223" t="s">
        <v>158</v>
      </c>
      <c r="B9" s="247"/>
      <c r="C9" s="223"/>
      <c r="D9" s="223"/>
      <c r="E9" s="223"/>
      <c r="F9" s="223"/>
      <c r="G9" s="223"/>
      <c r="H9" s="223"/>
      <c r="I9" s="223"/>
      <c r="J9" s="223"/>
      <c r="K9" s="223"/>
      <c r="L9" s="223"/>
      <c r="M9" s="223"/>
      <c r="N9" s="223"/>
      <c r="O9" s="223"/>
      <c r="P9" s="223"/>
      <c r="Q9" s="223"/>
      <c r="R9" s="223"/>
      <c r="S9" s="223"/>
      <c r="T9" s="223"/>
      <c r="U9" s="223"/>
      <c r="V9" s="223"/>
      <c r="W9" s="223"/>
    </row>
    <row r="10" spans="1:23" s="32" customFormat="1">
      <c r="A10" s="222"/>
      <c r="B10" s="256"/>
      <c r="C10" s="411"/>
      <c r="D10" s="412"/>
      <c r="E10" s="412"/>
      <c r="F10" s="412"/>
      <c r="G10" s="412"/>
      <c r="H10" s="412"/>
      <c r="I10" s="412"/>
      <c r="J10" s="412"/>
      <c r="K10" s="412"/>
      <c r="L10" s="412"/>
      <c r="M10" s="412"/>
      <c r="N10" s="412"/>
      <c r="O10" s="412"/>
      <c r="P10" s="412"/>
      <c r="Q10" s="412"/>
      <c r="R10" s="412"/>
      <c r="S10" s="412"/>
      <c r="T10" s="412"/>
      <c r="U10" s="412"/>
      <c r="V10" s="412"/>
      <c r="W10" s="412"/>
    </row>
    <row r="11" spans="1:23" s="58" customFormat="1">
      <c r="A11" s="70" t="s">
        <v>155</v>
      </c>
      <c r="B11" s="80"/>
      <c r="C11" s="401">
        <v>4.37</v>
      </c>
      <c r="D11" s="399">
        <f t="shared" ref="D11:M14" si="0">$C11*D$51</f>
        <v>4.4573999999999998</v>
      </c>
      <c r="E11" s="399">
        <f t="shared" si="0"/>
        <v>4.5465480000000005</v>
      </c>
      <c r="F11" s="399">
        <f t="shared" si="0"/>
        <v>4.6374789600000001</v>
      </c>
      <c r="G11" s="399">
        <f t="shared" si="0"/>
        <v>4.7302285391999996</v>
      </c>
      <c r="H11" s="399">
        <f t="shared" si="0"/>
        <v>4.8248331099840005</v>
      </c>
      <c r="I11" s="399">
        <f t="shared" si="0"/>
        <v>4.9213297721836806</v>
      </c>
      <c r="J11" s="399">
        <f t="shared" si="0"/>
        <v>5.0197563676273536</v>
      </c>
      <c r="K11" s="399">
        <f t="shared" si="0"/>
        <v>5.1201514949799014</v>
      </c>
      <c r="L11" s="399">
        <f t="shared" si="0"/>
        <v>5.2225545248794996</v>
      </c>
      <c r="M11" s="399">
        <f t="shared" si="0"/>
        <v>5.3270056153770895</v>
      </c>
      <c r="N11" s="399">
        <f t="shared" ref="N11:W14" si="1">$C11*N$51</f>
        <v>5.4335457276846313</v>
      </c>
      <c r="O11" s="399">
        <f t="shared" si="1"/>
        <v>5.5422166422383237</v>
      </c>
      <c r="P11" s="399">
        <f t="shared" si="1"/>
        <v>5.6530609750830898</v>
      </c>
      <c r="Q11" s="399">
        <f t="shared" si="1"/>
        <v>5.7661221945847521</v>
      </c>
      <c r="R11" s="399">
        <f t="shared" si="1"/>
        <v>5.8814446384764478</v>
      </c>
      <c r="S11" s="399">
        <f t="shared" si="1"/>
        <v>5.9990735312459771</v>
      </c>
      <c r="T11" s="399">
        <f t="shared" si="1"/>
        <v>6.1190550018708967</v>
      </c>
      <c r="U11" s="399">
        <f t="shared" si="1"/>
        <v>6.2414361019083149</v>
      </c>
      <c r="V11" s="399">
        <f t="shared" si="1"/>
        <v>6.366264823946481</v>
      </c>
      <c r="W11" s="399">
        <f t="shared" si="1"/>
        <v>6.4935901204254112</v>
      </c>
    </row>
    <row r="12" spans="1:23" s="58" customFormat="1">
      <c r="A12" s="70" t="s">
        <v>172</v>
      </c>
      <c r="B12" s="80" t="s">
        <v>173</v>
      </c>
      <c r="C12" s="401">
        <v>1000</v>
      </c>
      <c r="D12" s="399">
        <f t="shared" si="0"/>
        <v>1020</v>
      </c>
      <c r="E12" s="399">
        <f t="shared" si="0"/>
        <v>1040.4000000000001</v>
      </c>
      <c r="F12" s="399">
        <f t="shared" si="0"/>
        <v>1061.2079999999999</v>
      </c>
      <c r="G12" s="399">
        <f t="shared" si="0"/>
        <v>1082.4321600000001</v>
      </c>
      <c r="H12" s="399">
        <f t="shared" si="0"/>
        <v>1104.0808032</v>
      </c>
      <c r="I12" s="399">
        <f t="shared" si="0"/>
        <v>1126.1624192640002</v>
      </c>
      <c r="J12" s="399">
        <f t="shared" si="0"/>
        <v>1148.68566764928</v>
      </c>
      <c r="K12" s="399">
        <f t="shared" si="0"/>
        <v>1171.6593810022657</v>
      </c>
      <c r="L12" s="399">
        <f t="shared" si="0"/>
        <v>1195.0925686223111</v>
      </c>
      <c r="M12" s="399">
        <f t="shared" si="0"/>
        <v>1218.9944199947574</v>
      </c>
      <c r="N12" s="399">
        <f t="shared" si="1"/>
        <v>1243.3743083946524</v>
      </c>
      <c r="O12" s="399">
        <f t="shared" si="1"/>
        <v>1268.2417945625455</v>
      </c>
      <c r="P12" s="399">
        <f t="shared" si="1"/>
        <v>1293.6066304537962</v>
      </c>
      <c r="Q12" s="399">
        <f t="shared" si="1"/>
        <v>1319.4787630628723</v>
      </c>
      <c r="R12" s="399">
        <f t="shared" si="1"/>
        <v>1345.8683383241298</v>
      </c>
      <c r="S12" s="399">
        <f t="shared" si="1"/>
        <v>1372.7857050906125</v>
      </c>
      <c r="T12" s="399">
        <f t="shared" si="1"/>
        <v>1400.2414191924249</v>
      </c>
      <c r="U12" s="399">
        <f t="shared" si="1"/>
        <v>1428.2462475762734</v>
      </c>
      <c r="V12" s="399">
        <f t="shared" si="1"/>
        <v>1456.8111725277988</v>
      </c>
      <c r="W12" s="399">
        <f t="shared" si="1"/>
        <v>1485.947395978355</v>
      </c>
    </row>
    <row r="13" spans="1:23" s="58" customFormat="1">
      <c r="A13" s="70" t="s">
        <v>171</v>
      </c>
      <c r="B13" s="398" t="s">
        <v>31</v>
      </c>
      <c r="C13" s="401">
        <v>2</v>
      </c>
      <c r="D13" s="399">
        <f t="shared" si="0"/>
        <v>2.04</v>
      </c>
      <c r="E13" s="399">
        <f t="shared" si="0"/>
        <v>2.0808</v>
      </c>
      <c r="F13" s="399">
        <f t="shared" si="0"/>
        <v>2.1224159999999999</v>
      </c>
      <c r="G13" s="399">
        <f t="shared" si="0"/>
        <v>2.16486432</v>
      </c>
      <c r="H13" s="399">
        <f t="shared" si="0"/>
        <v>2.2081616064</v>
      </c>
      <c r="I13" s="399">
        <f t="shared" si="0"/>
        <v>2.2523248385280001</v>
      </c>
      <c r="J13" s="399">
        <f t="shared" si="0"/>
        <v>2.2973713352985601</v>
      </c>
      <c r="K13" s="399">
        <f t="shared" si="0"/>
        <v>2.3433187620045315</v>
      </c>
      <c r="L13" s="399">
        <f t="shared" si="0"/>
        <v>2.3901851372446221</v>
      </c>
      <c r="M13" s="399">
        <f t="shared" si="0"/>
        <v>2.4379888399895147</v>
      </c>
      <c r="N13" s="399">
        <f t="shared" si="1"/>
        <v>2.4867486167893049</v>
      </c>
      <c r="O13" s="399">
        <f t="shared" si="1"/>
        <v>2.536483589125091</v>
      </c>
      <c r="P13" s="399">
        <f t="shared" si="1"/>
        <v>2.5872132609075926</v>
      </c>
      <c r="Q13" s="399">
        <f t="shared" si="1"/>
        <v>2.6389575261257447</v>
      </c>
      <c r="R13" s="399">
        <f t="shared" si="1"/>
        <v>2.6917366766482598</v>
      </c>
      <c r="S13" s="399">
        <f t="shared" si="1"/>
        <v>2.745571410181225</v>
      </c>
      <c r="T13" s="399">
        <f t="shared" si="1"/>
        <v>2.8004828383848497</v>
      </c>
      <c r="U13" s="399">
        <f t="shared" si="1"/>
        <v>2.8564924951525468</v>
      </c>
      <c r="V13" s="399">
        <f t="shared" si="1"/>
        <v>2.9136223450555976</v>
      </c>
      <c r="W13" s="399">
        <f t="shared" si="1"/>
        <v>2.9718947919567098</v>
      </c>
    </row>
    <row r="14" spans="1:23" s="58" customFormat="1">
      <c r="A14" s="70" t="s">
        <v>157</v>
      </c>
      <c r="B14" s="398" t="s">
        <v>31</v>
      </c>
      <c r="C14" s="401">
        <v>4.5</v>
      </c>
      <c r="D14" s="399">
        <f t="shared" si="0"/>
        <v>4.59</v>
      </c>
      <c r="E14" s="399">
        <f t="shared" si="0"/>
        <v>4.6818</v>
      </c>
      <c r="F14" s="399">
        <f t="shared" si="0"/>
        <v>4.775436</v>
      </c>
      <c r="G14" s="399">
        <f t="shared" si="0"/>
        <v>4.8709447199999998</v>
      </c>
      <c r="H14" s="399">
        <f t="shared" si="0"/>
        <v>4.9683636144000003</v>
      </c>
      <c r="I14" s="399">
        <f t="shared" si="0"/>
        <v>5.0677308866880004</v>
      </c>
      <c r="J14" s="399">
        <f t="shared" si="0"/>
        <v>5.1690855044217603</v>
      </c>
      <c r="K14" s="399">
        <f t="shared" si="0"/>
        <v>5.2724672145101961</v>
      </c>
      <c r="L14" s="399">
        <f t="shared" si="0"/>
        <v>5.3779165588003996</v>
      </c>
      <c r="M14" s="399">
        <f t="shared" si="0"/>
        <v>5.4854748899764081</v>
      </c>
      <c r="N14" s="399">
        <f t="shared" si="1"/>
        <v>5.5951843877759364</v>
      </c>
      <c r="O14" s="399">
        <f t="shared" si="1"/>
        <v>5.7070880755314546</v>
      </c>
      <c r="P14" s="399">
        <f t="shared" si="1"/>
        <v>5.8212298370420834</v>
      </c>
      <c r="Q14" s="399">
        <f t="shared" si="1"/>
        <v>5.9376544337829253</v>
      </c>
      <c r="R14" s="399">
        <f t="shared" si="1"/>
        <v>6.0564075224585849</v>
      </c>
      <c r="S14" s="399">
        <f t="shared" si="1"/>
        <v>6.177535672907756</v>
      </c>
      <c r="T14" s="399">
        <f t="shared" si="1"/>
        <v>6.3010863863659115</v>
      </c>
      <c r="U14" s="399">
        <f t="shared" si="1"/>
        <v>6.4271081140932305</v>
      </c>
      <c r="V14" s="399">
        <f t="shared" si="1"/>
        <v>6.5556502763750943</v>
      </c>
      <c r="W14" s="399">
        <f t="shared" si="1"/>
        <v>6.6867632819025973</v>
      </c>
    </row>
    <row r="15" spans="1:23">
      <c r="A15" s="70"/>
      <c r="B15" s="80"/>
      <c r="C15" s="404"/>
      <c r="D15" s="405"/>
      <c r="E15" s="405"/>
      <c r="F15" s="413"/>
      <c r="G15" s="413"/>
      <c r="H15" s="413"/>
      <c r="I15" s="413"/>
      <c r="J15" s="413"/>
      <c r="K15" s="413"/>
      <c r="L15" s="413"/>
      <c r="M15" s="413"/>
      <c r="N15" s="413"/>
      <c r="O15" s="413"/>
      <c r="P15" s="413"/>
      <c r="Q15" s="413"/>
      <c r="R15" s="413"/>
      <c r="S15" s="413"/>
      <c r="T15" s="413"/>
      <c r="U15" s="413"/>
      <c r="V15" s="413"/>
      <c r="W15" s="413"/>
    </row>
    <row r="16" spans="1:23">
      <c r="A16" s="248" t="s">
        <v>156</v>
      </c>
      <c r="B16" s="97"/>
      <c r="C16" s="414"/>
      <c r="D16" s="414"/>
      <c r="E16" s="414"/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5"/>
      <c r="R16" s="415"/>
      <c r="S16" s="415"/>
      <c r="T16" s="415"/>
      <c r="U16" s="415"/>
      <c r="V16" s="415"/>
      <c r="W16" s="415"/>
    </row>
    <row r="17" spans="1:23" s="32" customFormat="1">
      <c r="A17" s="254"/>
      <c r="B17" s="255"/>
      <c r="C17" s="416"/>
      <c r="D17" s="417"/>
      <c r="E17" s="417"/>
      <c r="F17" s="412"/>
      <c r="G17" s="412"/>
      <c r="H17" s="412"/>
      <c r="I17" s="412"/>
      <c r="J17" s="412"/>
      <c r="K17" s="412"/>
      <c r="L17" s="412"/>
      <c r="M17" s="412"/>
      <c r="N17" s="412"/>
      <c r="O17" s="412"/>
      <c r="P17" s="412"/>
      <c r="Q17" s="412"/>
      <c r="R17" s="412"/>
      <c r="S17" s="412"/>
      <c r="T17" s="412"/>
      <c r="U17" s="412"/>
      <c r="V17" s="412"/>
      <c r="W17" s="412"/>
    </row>
    <row r="18" spans="1:23" s="32" customFormat="1">
      <c r="A18" s="406" t="s">
        <v>168</v>
      </c>
      <c r="B18" s="255"/>
      <c r="C18" s="416"/>
      <c r="D18" s="417"/>
      <c r="E18" s="405"/>
      <c r="F18" s="405"/>
      <c r="G18" s="405"/>
      <c r="H18" s="405"/>
      <c r="I18" s="405"/>
      <c r="J18" s="405"/>
      <c r="K18" s="405"/>
      <c r="L18" s="405"/>
      <c r="M18" s="405"/>
      <c r="N18" s="405"/>
      <c r="O18" s="405"/>
      <c r="P18" s="405"/>
      <c r="Q18" s="405"/>
      <c r="R18" s="405"/>
      <c r="S18" s="405"/>
      <c r="T18" s="405"/>
      <c r="U18" s="405"/>
      <c r="V18" s="405"/>
      <c r="W18" s="405"/>
    </row>
    <row r="19" spans="1:23" s="32" customFormat="1">
      <c r="A19" s="70" t="s">
        <v>439</v>
      </c>
      <c r="B19" s="80" t="s">
        <v>31</v>
      </c>
      <c r="C19" s="404">
        <v>0</v>
      </c>
      <c r="D19" s="405">
        <v>6.86</v>
      </c>
      <c r="E19" s="405">
        <f t="shared" ref="E19:W19" si="2">$D19*D$51</f>
        <v>6.9972000000000003</v>
      </c>
      <c r="F19" s="405">
        <f t="shared" si="2"/>
        <v>7.1371440000000002</v>
      </c>
      <c r="G19" s="405">
        <f t="shared" si="2"/>
        <v>7.2798868800000003</v>
      </c>
      <c r="H19" s="405">
        <f t="shared" si="2"/>
        <v>7.4254846176000004</v>
      </c>
      <c r="I19" s="405">
        <f t="shared" si="2"/>
        <v>7.5739943099520008</v>
      </c>
      <c r="J19" s="405">
        <f t="shared" si="2"/>
        <v>7.7254741961510405</v>
      </c>
      <c r="K19" s="405">
        <f t="shared" si="2"/>
        <v>7.8799836800740612</v>
      </c>
      <c r="L19" s="405">
        <f t="shared" si="2"/>
        <v>8.0375833536755437</v>
      </c>
      <c r="M19" s="405">
        <f t="shared" si="2"/>
        <v>8.1983350207490542</v>
      </c>
      <c r="N19" s="405">
        <f t="shared" si="2"/>
        <v>8.3623017211640356</v>
      </c>
      <c r="O19" s="405">
        <f t="shared" si="2"/>
        <v>8.5295477555873163</v>
      </c>
      <c r="P19" s="405">
        <f t="shared" si="2"/>
        <v>8.7001387106990631</v>
      </c>
      <c r="Q19" s="405">
        <f t="shared" si="2"/>
        <v>8.8741414849130429</v>
      </c>
      <c r="R19" s="405">
        <f t="shared" si="2"/>
        <v>9.0516243146113045</v>
      </c>
      <c r="S19" s="405">
        <f t="shared" si="2"/>
        <v>9.2326568009035306</v>
      </c>
      <c r="T19" s="405">
        <f t="shared" si="2"/>
        <v>9.4173099369216029</v>
      </c>
      <c r="U19" s="405">
        <f t="shared" si="2"/>
        <v>9.6056561356600341</v>
      </c>
      <c r="V19" s="405">
        <f t="shared" si="2"/>
        <v>9.7977692583732363</v>
      </c>
      <c r="W19" s="405">
        <f t="shared" si="2"/>
        <v>9.9937246435407001</v>
      </c>
    </row>
    <row r="20" spans="1:23" s="32" customFormat="1">
      <c r="A20" s="70" t="s">
        <v>440</v>
      </c>
      <c r="B20" s="80"/>
      <c r="C20" s="404">
        <v>0</v>
      </c>
      <c r="D20" s="405">
        <v>4.41</v>
      </c>
      <c r="E20" s="405">
        <f t="shared" ref="E20" si="3">$D20*D$51</f>
        <v>4.4982000000000006</v>
      </c>
      <c r="F20" s="405">
        <f t="shared" ref="F20" si="4">$D20*E$51</f>
        <v>4.5881639999999999</v>
      </c>
      <c r="G20" s="405">
        <f t="shared" ref="G20" si="5">$D20*F$51</f>
        <v>4.6799272800000002</v>
      </c>
      <c r="H20" s="405">
        <f t="shared" ref="H20" si="6">$D20*G$51</f>
        <v>4.7735258256000002</v>
      </c>
      <c r="I20" s="405">
        <f t="shared" ref="I20" si="7">$D20*H$51</f>
        <v>4.8689963421120002</v>
      </c>
      <c r="J20" s="405">
        <f t="shared" ref="J20" si="8">$D20*I$51</f>
        <v>4.9663762689542406</v>
      </c>
      <c r="K20" s="405">
        <f t="shared" ref="K20" si="9">$D20*J$51</f>
        <v>5.0657037943333254</v>
      </c>
      <c r="L20" s="405">
        <f t="shared" ref="L20" si="10">$D20*K$51</f>
        <v>5.1670178702199925</v>
      </c>
      <c r="M20" s="405">
        <f t="shared" ref="M20" si="11">$D20*L$51</f>
        <v>5.2703582276243921</v>
      </c>
      <c r="N20" s="405">
        <f t="shared" ref="N20" si="12">$D20*M$51</f>
        <v>5.3757653921768798</v>
      </c>
      <c r="O20" s="405">
        <f t="shared" ref="O20" si="13">$D20*N$51</f>
        <v>5.4832807000204173</v>
      </c>
      <c r="P20" s="405">
        <f t="shared" ref="P20" si="14">$D20*O$51</f>
        <v>5.5929463140208258</v>
      </c>
      <c r="Q20" s="405">
        <f t="shared" ref="Q20" si="15">$D20*P$51</f>
        <v>5.7048052403012424</v>
      </c>
      <c r="R20" s="405">
        <f t="shared" ref="R20" si="16">$D20*Q$51</f>
        <v>5.8189013451072675</v>
      </c>
      <c r="S20" s="405">
        <f t="shared" ref="S20" si="17">$D20*R$51</f>
        <v>5.935279372009413</v>
      </c>
      <c r="T20" s="405">
        <f t="shared" ref="T20" si="18">$D20*S$51</f>
        <v>6.0539849594496014</v>
      </c>
      <c r="U20" s="405">
        <f t="shared" ref="U20" si="19">$D20*T$51</f>
        <v>6.1750646586385933</v>
      </c>
      <c r="V20" s="405">
        <f t="shared" ref="V20" si="20">$D20*U$51</f>
        <v>6.2985659518113657</v>
      </c>
      <c r="W20" s="405">
        <f t="shared" ref="W20" si="21">$D20*V$51</f>
        <v>6.4245372708475932</v>
      </c>
    </row>
    <row r="21" spans="1:23" s="561" customFormat="1">
      <c r="A21" s="573" t="s">
        <v>213</v>
      </c>
      <c r="B21" s="574"/>
      <c r="C21" s="575">
        <v>0</v>
      </c>
      <c r="D21" s="576">
        <v>1</v>
      </c>
      <c r="E21" s="576">
        <f t="shared" ref="E21:W21" si="22">$D21*D$51</f>
        <v>1.02</v>
      </c>
      <c r="F21" s="576">
        <f t="shared" si="22"/>
        <v>1.0404</v>
      </c>
      <c r="G21" s="576">
        <f t="shared" si="22"/>
        <v>1.0612079999999999</v>
      </c>
      <c r="H21" s="576">
        <f t="shared" si="22"/>
        <v>1.08243216</v>
      </c>
      <c r="I21" s="576">
        <f t="shared" si="22"/>
        <v>1.1040808032</v>
      </c>
      <c r="J21" s="576">
        <f t="shared" si="22"/>
        <v>1.1261624192640001</v>
      </c>
      <c r="K21" s="576">
        <f t="shared" si="22"/>
        <v>1.14868566764928</v>
      </c>
      <c r="L21" s="576">
        <f t="shared" si="22"/>
        <v>1.1716593810022657</v>
      </c>
      <c r="M21" s="576">
        <f t="shared" si="22"/>
        <v>1.1950925686223111</v>
      </c>
      <c r="N21" s="576">
        <f t="shared" si="22"/>
        <v>1.2189944199947573</v>
      </c>
      <c r="O21" s="576">
        <f t="shared" si="22"/>
        <v>1.2433743083946525</v>
      </c>
      <c r="P21" s="576">
        <f t="shared" si="22"/>
        <v>1.2682417945625455</v>
      </c>
      <c r="Q21" s="576">
        <f t="shared" si="22"/>
        <v>1.2936066304537963</v>
      </c>
      <c r="R21" s="576">
        <f t="shared" si="22"/>
        <v>1.3194787630628724</v>
      </c>
      <c r="S21" s="576">
        <f t="shared" si="22"/>
        <v>1.3458683383241299</v>
      </c>
      <c r="T21" s="576">
        <f t="shared" si="22"/>
        <v>1.3727857050906125</v>
      </c>
      <c r="U21" s="576">
        <f t="shared" si="22"/>
        <v>1.4002414191924248</v>
      </c>
      <c r="V21" s="576">
        <f t="shared" si="22"/>
        <v>1.4282462475762734</v>
      </c>
      <c r="W21" s="576">
        <f t="shared" si="22"/>
        <v>1.4568111725277988</v>
      </c>
    </row>
    <row r="22" spans="1:23" s="58" customFormat="1">
      <c r="A22" s="70" t="s">
        <v>457</v>
      </c>
      <c r="B22" s="80" t="s">
        <v>31</v>
      </c>
      <c r="C22" s="404">
        <v>0</v>
      </c>
      <c r="D22" s="405">
        <v>1.96</v>
      </c>
      <c r="E22" s="405">
        <f t="shared" ref="E22:W22" si="23">$D22*D$51</f>
        <v>1.9992000000000001</v>
      </c>
      <c r="F22" s="405">
        <f t="shared" si="23"/>
        <v>2.0391840000000001</v>
      </c>
      <c r="G22" s="405">
        <f t="shared" si="23"/>
        <v>2.0799676799999998</v>
      </c>
      <c r="H22" s="405">
        <f t="shared" si="23"/>
        <v>2.1215670335999999</v>
      </c>
      <c r="I22" s="405">
        <f t="shared" si="23"/>
        <v>2.1639983742719999</v>
      </c>
      <c r="J22" s="405">
        <f t="shared" si="23"/>
        <v>2.2072783417574402</v>
      </c>
      <c r="K22" s="405">
        <f t="shared" si="23"/>
        <v>2.2514239085925887</v>
      </c>
      <c r="L22" s="405">
        <f t="shared" si="23"/>
        <v>2.2964523867644409</v>
      </c>
      <c r="M22" s="405">
        <f t="shared" si="23"/>
        <v>2.3423814344997296</v>
      </c>
      <c r="N22" s="405">
        <f t="shared" si="23"/>
        <v>2.3892290631897244</v>
      </c>
      <c r="O22" s="405">
        <f t="shared" si="23"/>
        <v>2.4370136444535189</v>
      </c>
      <c r="P22" s="405">
        <f t="shared" si="23"/>
        <v>2.4857539173425893</v>
      </c>
      <c r="Q22" s="405">
        <f t="shared" si="23"/>
        <v>2.5354689956894405</v>
      </c>
      <c r="R22" s="405">
        <f t="shared" si="23"/>
        <v>2.5861783756032297</v>
      </c>
      <c r="S22" s="405">
        <f t="shared" si="23"/>
        <v>2.6379019431152946</v>
      </c>
      <c r="T22" s="405">
        <f t="shared" si="23"/>
        <v>2.6906599819776003</v>
      </c>
      <c r="U22" s="405">
        <f t="shared" si="23"/>
        <v>2.7444731816171526</v>
      </c>
      <c r="V22" s="405">
        <f t="shared" si="23"/>
        <v>2.799362645249496</v>
      </c>
      <c r="W22" s="405">
        <f t="shared" si="23"/>
        <v>2.8553498981544854</v>
      </c>
    </row>
    <row r="23" spans="1:23" s="32" customFormat="1">
      <c r="A23" s="254"/>
      <c r="B23" s="255"/>
      <c r="C23" s="416"/>
      <c r="D23" s="417"/>
      <c r="E23" s="405"/>
      <c r="F23" s="405"/>
      <c r="G23" s="405"/>
      <c r="H23" s="405"/>
      <c r="I23" s="405"/>
      <c r="J23" s="405"/>
      <c r="K23" s="405"/>
      <c r="L23" s="405"/>
      <c r="M23" s="405"/>
      <c r="N23" s="405"/>
      <c r="O23" s="405"/>
      <c r="P23" s="405"/>
      <c r="Q23" s="405"/>
      <c r="R23" s="405"/>
      <c r="S23" s="405"/>
      <c r="T23" s="405"/>
      <c r="U23" s="405"/>
      <c r="V23" s="405"/>
      <c r="W23" s="405"/>
    </row>
    <row r="24" spans="1:23" s="32" customFormat="1">
      <c r="A24" s="406" t="s">
        <v>163</v>
      </c>
      <c r="B24" s="255"/>
      <c r="C24" s="416"/>
      <c r="D24" s="417"/>
      <c r="E24" s="405"/>
      <c r="F24" s="405"/>
      <c r="G24" s="405"/>
      <c r="H24" s="405"/>
      <c r="I24" s="405"/>
      <c r="J24" s="405"/>
      <c r="K24" s="405"/>
      <c r="L24" s="405"/>
      <c r="M24" s="405"/>
      <c r="N24" s="405"/>
      <c r="O24" s="405"/>
      <c r="P24" s="405"/>
      <c r="Q24" s="405"/>
      <c r="R24" s="405"/>
      <c r="S24" s="405"/>
      <c r="T24" s="405"/>
      <c r="U24" s="405"/>
      <c r="V24" s="405"/>
      <c r="W24" s="405"/>
    </row>
    <row r="25" spans="1:23" s="32" customFormat="1">
      <c r="A25" s="70" t="s">
        <v>167</v>
      </c>
      <c r="B25" s="80" t="s">
        <v>17</v>
      </c>
      <c r="C25" s="404">
        <v>0</v>
      </c>
      <c r="D25" s="405">
        <v>5750</v>
      </c>
      <c r="E25" s="405">
        <f>D25</f>
        <v>5750</v>
      </c>
      <c r="F25" s="405">
        <f>E25</f>
        <v>5750</v>
      </c>
      <c r="G25" s="405">
        <f>($F$25*D51)</f>
        <v>5865</v>
      </c>
      <c r="H25" s="405">
        <f t="shared" ref="H25:W25" si="24">($F$25*E51)</f>
        <v>5982.3</v>
      </c>
      <c r="I25" s="405">
        <f t="shared" si="24"/>
        <v>6101.9459999999999</v>
      </c>
      <c r="J25" s="405">
        <f t="shared" si="24"/>
        <v>6223.9849199999999</v>
      </c>
      <c r="K25" s="405">
        <f t="shared" si="24"/>
        <v>6348.4646184000003</v>
      </c>
      <c r="L25" s="405">
        <f t="shared" si="24"/>
        <v>6475.4339107680007</v>
      </c>
      <c r="M25" s="405">
        <f t="shared" si="24"/>
        <v>6604.9425889833601</v>
      </c>
      <c r="N25" s="405">
        <f t="shared" si="24"/>
        <v>6737.0414407630278</v>
      </c>
      <c r="O25" s="405">
        <f t="shared" si="24"/>
        <v>6871.7822695782888</v>
      </c>
      <c r="P25" s="405">
        <f t="shared" si="24"/>
        <v>7009.217914969855</v>
      </c>
      <c r="Q25" s="405">
        <f t="shared" si="24"/>
        <v>7149.402273269252</v>
      </c>
      <c r="R25" s="405">
        <f t="shared" si="24"/>
        <v>7292.3903187346368</v>
      </c>
      <c r="S25" s="405">
        <f t="shared" si="24"/>
        <v>7438.2381251093284</v>
      </c>
      <c r="T25" s="405">
        <f t="shared" si="24"/>
        <v>7587.0028876115166</v>
      </c>
      <c r="U25" s="405">
        <f t="shared" si="24"/>
        <v>7738.7429453637469</v>
      </c>
      <c r="V25" s="405">
        <f t="shared" si="24"/>
        <v>7893.5178042710222</v>
      </c>
      <c r="W25" s="405">
        <f t="shared" si="24"/>
        <v>8051.3881603564432</v>
      </c>
    </row>
    <row r="26" spans="1:23">
      <c r="A26" s="70" t="s">
        <v>160</v>
      </c>
      <c r="B26" s="80" t="s">
        <v>31</v>
      </c>
      <c r="C26" s="404">
        <v>0</v>
      </c>
      <c r="D26" s="405">
        <v>2</v>
      </c>
      <c r="E26" s="405">
        <f t="shared" ref="E26:F28" si="25">D26</f>
        <v>2</v>
      </c>
      <c r="F26" s="405">
        <f t="shared" si="25"/>
        <v>2</v>
      </c>
      <c r="G26" s="405">
        <f>($F$26*D51)</f>
        <v>2.04</v>
      </c>
      <c r="H26" s="405">
        <f t="shared" ref="H26:W26" si="26">($F$26*E51)</f>
        <v>2.0808</v>
      </c>
      <c r="I26" s="405">
        <f t="shared" si="26"/>
        <v>2.1224159999999999</v>
      </c>
      <c r="J26" s="405">
        <f t="shared" si="26"/>
        <v>2.16486432</v>
      </c>
      <c r="K26" s="405">
        <f t="shared" si="26"/>
        <v>2.2081616064</v>
      </c>
      <c r="L26" s="405">
        <f t="shared" si="26"/>
        <v>2.2523248385280001</v>
      </c>
      <c r="M26" s="405">
        <f t="shared" si="26"/>
        <v>2.2973713352985601</v>
      </c>
      <c r="N26" s="405">
        <f t="shared" si="26"/>
        <v>2.3433187620045315</v>
      </c>
      <c r="O26" s="405">
        <f t="shared" si="26"/>
        <v>2.3901851372446221</v>
      </c>
      <c r="P26" s="405">
        <f t="shared" si="26"/>
        <v>2.4379888399895147</v>
      </c>
      <c r="Q26" s="405">
        <f t="shared" si="26"/>
        <v>2.4867486167893049</v>
      </c>
      <c r="R26" s="405">
        <f t="shared" si="26"/>
        <v>2.536483589125091</v>
      </c>
      <c r="S26" s="405">
        <f t="shared" si="26"/>
        <v>2.5872132609075926</v>
      </c>
      <c r="T26" s="405">
        <f t="shared" si="26"/>
        <v>2.6389575261257447</v>
      </c>
      <c r="U26" s="405">
        <f t="shared" si="26"/>
        <v>2.6917366766482598</v>
      </c>
      <c r="V26" s="405">
        <f t="shared" si="26"/>
        <v>2.745571410181225</v>
      </c>
      <c r="W26" s="405">
        <f t="shared" si="26"/>
        <v>2.8004828383848497</v>
      </c>
    </row>
    <row r="27" spans="1:23">
      <c r="A27" s="70" t="s">
        <v>161</v>
      </c>
      <c r="B27" s="80" t="s">
        <v>165</v>
      </c>
      <c r="C27" s="404">
        <v>0</v>
      </c>
      <c r="D27" s="405">
        <v>3</v>
      </c>
      <c r="E27" s="405">
        <f t="shared" si="25"/>
        <v>3</v>
      </c>
      <c r="F27" s="405">
        <f t="shared" si="25"/>
        <v>3</v>
      </c>
      <c r="G27" s="405">
        <f>($F$27*D51)</f>
        <v>3.06</v>
      </c>
      <c r="H27" s="405">
        <f t="shared" ref="H27:W27" si="27">($F$27*E51)</f>
        <v>3.1212</v>
      </c>
      <c r="I27" s="405">
        <f t="shared" si="27"/>
        <v>3.183624</v>
      </c>
      <c r="J27" s="405">
        <f t="shared" si="27"/>
        <v>3.2472964800000002</v>
      </c>
      <c r="K27" s="405">
        <f t="shared" si="27"/>
        <v>3.3122424096</v>
      </c>
      <c r="L27" s="405">
        <f t="shared" si="27"/>
        <v>3.378487257792</v>
      </c>
      <c r="M27" s="405">
        <f t="shared" si="27"/>
        <v>3.4460570029478399</v>
      </c>
      <c r="N27" s="405">
        <f t="shared" si="27"/>
        <v>3.5149781430067972</v>
      </c>
      <c r="O27" s="405">
        <f t="shared" si="27"/>
        <v>3.5852777058669334</v>
      </c>
      <c r="P27" s="405">
        <f t="shared" si="27"/>
        <v>3.6569832599842718</v>
      </c>
      <c r="Q27" s="405">
        <f t="shared" si="27"/>
        <v>3.7301229251839576</v>
      </c>
      <c r="R27" s="405">
        <f t="shared" si="27"/>
        <v>3.8047253836876367</v>
      </c>
      <c r="S27" s="405">
        <f t="shared" si="27"/>
        <v>3.8808198913613889</v>
      </c>
      <c r="T27" s="405">
        <f t="shared" si="27"/>
        <v>3.9584362891886169</v>
      </c>
      <c r="U27" s="405">
        <f t="shared" si="27"/>
        <v>4.0376050149723897</v>
      </c>
      <c r="V27" s="405">
        <f t="shared" si="27"/>
        <v>4.1183571152718379</v>
      </c>
      <c r="W27" s="405">
        <f t="shared" si="27"/>
        <v>4.2007242575772743</v>
      </c>
    </row>
    <row r="28" spans="1:23">
      <c r="A28" s="70" t="s">
        <v>162</v>
      </c>
      <c r="B28" s="80" t="s">
        <v>165</v>
      </c>
      <c r="C28" s="404">
        <v>0</v>
      </c>
      <c r="D28" s="405">
        <v>20</v>
      </c>
      <c r="E28" s="405">
        <f t="shared" si="25"/>
        <v>20</v>
      </c>
      <c r="F28" s="405">
        <f t="shared" si="25"/>
        <v>20</v>
      </c>
      <c r="G28" s="405">
        <f>($F$28*D51)</f>
        <v>20.399999999999999</v>
      </c>
      <c r="H28" s="405">
        <f t="shared" ref="H28:W28" si="28">($F$28*E51)</f>
        <v>20.808</v>
      </c>
      <c r="I28" s="405">
        <f t="shared" si="28"/>
        <v>21.224159999999998</v>
      </c>
      <c r="J28" s="405">
        <f t="shared" si="28"/>
        <v>21.648643199999999</v>
      </c>
      <c r="K28" s="405">
        <f t="shared" si="28"/>
        <v>22.081616064000002</v>
      </c>
      <c r="L28" s="405">
        <f t="shared" si="28"/>
        <v>22.523248385280002</v>
      </c>
      <c r="M28" s="405">
        <f t="shared" si="28"/>
        <v>22.973713352985602</v>
      </c>
      <c r="N28" s="405">
        <f t="shared" si="28"/>
        <v>23.433187620045317</v>
      </c>
      <c r="O28" s="405">
        <f t="shared" si="28"/>
        <v>23.90185137244622</v>
      </c>
      <c r="P28" s="405">
        <f t="shared" si="28"/>
        <v>24.379888399895147</v>
      </c>
      <c r="Q28" s="405">
        <f t="shared" si="28"/>
        <v>24.867486167893048</v>
      </c>
      <c r="R28" s="405">
        <f t="shared" si="28"/>
        <v>25.364835891250909</v>
      </c>
      <c r="S28" s="405">
        <f t="shared" si="28"/>
        <v>25.872132609075926</v>
      </c>
      <c r="T28" s="405">
        <f t="shared" si="28"/>
        <v>26.389575261257448</v>
      </c>
      <c r="U28" s="405">
        <f t="shared" si="28"/>
        <v>26.917366766482598</v>
      </c>
      <c r="V28" s="405">
        <f t="shared" si="28"/>
        <v>27.455714101812248</v>
      </c>
      <c r="W28" s="405">
        <f t="shared" si="28"/>
        <v>28.004828383848498</v>
      </c>
    </row>
    <row r="29" spans="1:23">
      <c r="A29" s="70"/>
      <c r="B29" s="80"/>
      <c r="C29" s="404"/>
      <c r="D29" s="405"/>
      <c r="E29" s="405"/>
      <c r="F29" s="405"/>
      <c r="G29" s="405"/>
      <c r="H29" s="405"/>
      <c r="I29" s="405"/>
      <c r="J29" s="405"/>
      <c r="K29" s="405"/>
      <c r="L29" s="405"/>
      <c r="M29" s="405"/>
      <c r="N29" s="405"/>
      <c r="O29" s="405"/>
      <c r="P29" s="405"/>
      <c r="Q29" s="405"/>
      <c r="R29" s="405"/>
      <c r="S29" s="405"/>
      <c r="T29" s="405"/>
      <c r="U29" s="405"/>
      <c r="V29" s="405"/>
      <c r="W29" s="405"/>
    </row>
    <row r="30" spans="1:23">
      <c r="A30" s="406" t="s">
        <v>164</v>
      </c>
      <c r="B30" s="80"/>
      <c r="C30" s="404"/>
      <c r="D30" s="405"/>
      <c r="E30" s="405"/>
      <c r="F30" s="405"/>
      <c r="G30" s="405"/>
      <c r="H30" s="405"/>
      <c r="I30" s="405"/>
      <c r="J30" s="405"/>
      <c r="K30" s="405"/>
      <c r="L30" s="405"/>
      <c r="M30" s="405"/>
      <c r="N30" s="405"/>
      <c r="O30" s="405"/>
      <c r="P30" s="405"/>
      <c r="Q30" s="405"/>
      <c r="R30" s="405"/>
      <c r="S30" s="405"/>
      <c r="T30" s="405"/>
      <c r="U30" s="405"/>
      <c r="V30" s="405"/>
      <c r="W30" s="405"/>
    </row>
    <row r="31" spans="1:23">
      <c r="A31" s="70" t="s">
        <v>166</v>
      </c>
      <c r="B31" s="80" t="s">
        <v>17</v>
      </c>
      <c r="C31" s="404">
        <v>0</v>
      </c>
      <c r="D31" s="405">
        <v>2000</v>
      </c>
      <c r="E31" s="405">
        <f t="shared" ref="E31:W31" si="29">$D31*D$51</f>
        <v>2040</v>
      </c>
      <c r="F31" s="405">
        <f t="shared" si="29"/>
        <v>2080.8000000000002</v>
      </c>
      <c r="G31" s="405">
        <f t="shared" si="29"/>
        <v>2122.4159999999997</v>
      </c>
      <c r="H31" s="405">
        <f t="shared" si="29"/>
        <v>2164.8643200000001</v>
      </c>
      <c r="I31" s="405">
        <f t="shared" si="29"/>
        <v>2208.1616064</v>
      </c>
      <c r="J31" s="405">
        <f t="shared" si="29"/>
        <v>2252.3248385280003</v>
      </c>
      <c r="K31" s="405">
        <f t="shared" si="29"/>
        <v>2297.3713352985601</v>
      </c>
      <c r="L31" s="405">
        <f t="shared" si="29"/>
        <v>2343.3187620045314</v>
      </c>
      <c r="M31" s="405">
        <f t="shared" si="29"/>
        <v>2390.1851372446222</v>
      </c>
      <c r="N31" s="405">
        <f t="shared" si="29"/>
        <v>2437.9888399895149</v>
      </c>
      <c r="O31" s="405">
        <f t="shared" si="29"/>
        <v>2486.7486167893048</v>
      </c>
      <c r="P31" s="405">
        <f t="shared" si="29"/>
        <v>2536.4835891250909</v>
      </c>
      <c r="Q31" s="405">
        <f t="shared" si="29"/>
        <v>2587.2132609075925</v>
      </c>
      <c r="R31" s="405">
        <f t="shared" si="29"/>
        <v>2638.9575261257446</v>
      </c>
      <c r="S31" s="405">
        <f t="shared" si="29"/>
        <v>2691.7366766482596</v>
      </c>
      <c r="T31" s="405">
        <f t="shared" si="29"/>
        <v>2745.571410181225</v>
      </c>
      <c r="U31" s="405">
        <f t="shared" si="29"/>
        <v>2800.4828383848499</v>
      </c>
      <c r="V31" s="405">
        <f t="shared" si="29"/>
        <v>2856.4924951525468</v>
      </c>
      <c r="W31" s="405">
        <f t="shared" si="29"/>
        <v>2913.6223450555976</v>
      </c>
    </row>
    <row r="32" spans="1:23">
      <c r="B32" s="80"/>
      <c r="C32" s="404"/>
      <c r="D32" s="405"/>
      <c r="E32" s="405"/>
      <c r="F32" s="405"/>
      <c r="G32" s="405"/>
      <c r="H32" s="405"/>
      <c r="I32" s="405"/>
      <c r="J32" s="405"/>
      <c r="K32" s="405"/>
      <c r="L32" s="405"/>
      <c r="M32" s="405"/>
      <c r="N32" s="405"/>
      <c r="O32" s="405"/>
      <c r="P32" s="405"/>
      <c r="Q32" s="405"/>
      <c r="R32" s="405"/>
      <c r="S32" s="405"/>
      <c r="T32" s="405"/>
      <c r="U32" s="405"/>
      <c r="V32" s="405"/>
      <c r="W32" s="405"/>
    </row>
    <row r="33" spans="1:24" s="96" customFormat="1">
      <c r="A33" s="406" t="s">
        <v>169</v>
      </c>
      <c r="B33" s="80"/>
      <c r="C33" s="404"/>
      <c r="D33" s="405"/>
      <c r="E33" s="405"/>
      <c r="F33" s="405"/>
      <c r="G33" s="405"/>
      <c r="H33" s="405"/>
      <c r="I33" s="405"/>
      <c r="J33" s="405"/>
      <c r="K33" s="405"/>
      <c r="L33" s="405"/>
      <c r="M33" s="405"/>
      <c r="N33" s="405"/>
      <c r="O33" s="405"/>
      <c r="P33" s="405"/>
      <c r="Q33" s="405"/>
      <c r="R33" s="405"/>
      <c r="S33" s="405"/>
      <c r="T33" s="405"/>
      <c r="U33" s="405"/>
      <c r="V33" s="405"/>
      <c r="W33" s="405"/>
    </row>
    <row r="34" spans="1:24" s="96" customFormat="1">
      <c r="A34" s="70" t="s">
        <v>279</v>
      </c>
      <c r="B34" s="80" t="s">
        <v>278</v>
      </c>
      <c r="C34" s="404">
        <v>0</v>
      </c>
      <c r="D34" s="405">
        <v>2.5</v>
      </c>
      <c r="E34" s="405">
        <f t="shared" ref="E34:W34" si="30">$D34*D$51</f>
        <v>2.5499999999999998</v>
      </c>
      <c r="F34" s="405">
        <f t="shared" si="30"/>
        <v>2.601</v>
      </c>
      <c r="G34" s="405">
        <f t="shared" si="30"/>
        <v>2.6530199999999997</v>
      </c>
      <c r="H34" s="405">
        <f t="shared" si="30"/>
        <v>2.7060803999999998</v>
      </c>
      <c r="I34" s="405">
        <f t="shared" si="30"/>
        <v>2.7602020080000003</v>
      </c>
      <c r="J34" s="405">
        <f t="shared" si="30"/>
        <v>2.8154060481600003</v>
      </c>
      <c r="K34" s="405">
        <f t="shared" si="30"/>
        <v>2.8717141691232002</v>
      </c>
      <c r="L34" s="405">
        <f t="shared" si="30"/>
        <v>2.9291484525056646</v>
      </c>
      <c r="M34" s="405">
        <f t="shared" si="30"/>
        <v>2.9877314215557775</v>
      </c>
      <c r="N34" s="405">
        <f t="shared" si="30"/>
        <v>3.0474860499868934</v>
      </c>
      <c r="O34" s="405">
        <f t="shared" si="30"/>
        <v>3.108435770986631</v>
      </c>
      <c r="P34" s="405">
        <f t="shared" si="30"/>
        <v>3.1706044864063636</v>
      </c>
      <c r="Q34" s="405">
        <f t="shared" si="30"/>
        <v>3.2340165761344908</v>
      </c>
      <c r="R34" s="405">
        <f t="shared" si="30"/>
        <v>3.298696907657181</v>
      </c>
      <c r="S34" s="405">
        <f t="shared" si="30"/>
        <v>3.3646708458103247</v>
      </c>
      <c r="T34" s="405">
        <f t="shared" si="30"/>
        <v>3.431964262726531</v>
      </c>
      <c r="U34" s="405">
        <f t="shared" si="30"/>
        <v>3.5006035479810622</v>
      </c>
      <c r="V34" s="405">
        <f t="shared" si="30"/>
        <v>3.5706156189406837</v>
      </c>
      <c r="W34" s="405">
        <f t="shared" si="30"/>
        <v>3.6420279313194968</v>
      </c>
    </row>
    <row r="35" spans="1:24" s="96" customFormat="1">
      <c r="A35" s="70" t="s">
        <v>280</v>
      </c>
      <c r="B35" s="80" t="s">
        <v>281</v>
      </c>
      <c r="C35" s="404">
        <v>0</v>
      </c>
      <c r="D35" s="405">
        <v>105</v>
      </c>
      <c r="E35" s="405">
        <f t="shared" ref="E35" si="31">$D35*D$51</f>
        <v>107.10000000000001</v>
      </c>
      <c r="F35" s="405">
        <f t="shared" ref="F35" si="32">$D35*E$51</f>
        <v>109.242</v>
      </c>
      <c r="G35" s="405">
        <f t="shared" ref="G35" si="33">$D35*F$51</f>
        <v>111.42684</v>
      </c>
      <c r="H35" s="405">
        <f t="shared" ref="H35" si="34">$D35*G$51</f>
        <v>113.6553768</v>
      </c>
      <c r="I35" s="405">
        <f t="shared" ref="I35" si="35">$D35*H$51</f>
        <v>115.928484336</v>
      </c>
      <c r="J35" s="405">
        <f t="shared" ref="J35" si="36">$D35*I$51</f>
        <v>118.24705402272001</v>
      </c>
      <c r="K35" s="405">
        <f t="shared" ref="K35" si="37">$D35*J$51</f>
        <v>120.61199510317441</v>
      </c>
      <c r="L35" s="405">
        <f t="shared" ref="L35" si="38">$D35*K$51</f>
        <v>123.0242350052379</v>
      </c>
      <c r="M35" s="405">
        <f t="shared" ref="M35" si="39">$D35*L$51</f>
        <v>125.48471970534266</v>
      </c>
      <c r="N35" s="405">
        <f t="shared" ref="N35" si="40">$D35*M$51</f>
        <v>127.99441409944951</v>
      </c>
      <c r="O35" s="405">
        <f t="shared" ref="O35" si="41">$D35*N$51</f>
        <v>130.5543023814385</v>
      </c>
      <c r="P35" s="405">
        <f t="shared" ref="P35" si="42">$D35*O$51</f>
        <v>133.16538842906726</v>
      </c>
      <c r="Q35" s="405">
        <f t="shared" ref="Q35" si="43">$D35*P$51</f>
        <v>135.82869619764861</v>
      </c>
      <c r="R35" s="405">
        <f t="shared" ref="R35" si="44">$D35*Q$51</f>
        <v>138.54527012160159</v>
      </c>
      <c r="S35" s="405">
        <f t="shared" ref="S35" si="45">$D35*R$51</f>
        <v>141.31617552403364</v>
      </c>
      <c r="T35" s="405">
        <f t="shared" ref="T35" si="46">$D35*S$51</f>
        <v>144.14249903451432</v>
      </c>
      <c r="U35" s="405">
        <f t="shared" ref="U35" si="47">$D35*T$51</f>
        <v>147.0253490152046</v>
      </c>
      <c r="V35" s="405">
        <f t="shared" ref="V35" si="48">$D35*U$51</f>
        <v>149.96585599550872</v>
      </c>
      <c r="W35" s="405">
        <f t="shared" ref="W35" si="49">$D35*V$51</f>
        <v>152.96517311541888</v>
      </c>
    </row>
    <row r="36" spans="1:24" s="167" customFormat="1">
      <c r="A36" s="410" t="s">
        <v>170</v>
      </c>
      <c r="B36" s="407" t="s">
        <v>232</v>
      </c>
      <c r="C36" s="408">
        <v>0</v>
      </c>
      <c r="D36" s="409">
        <v>0</v>
      </c>
      <c r="E36" s="409">
        <f t="shared" ref="E36:W36" si="50">$D36*D$51</f>
        <v>0</v>
      </c>
      <c r="F36" s="409">
        <f t="shared" si="50"/>
        <v>0</v>
      </c>
      <c r="G36" s="409">
        <f t="shared" si="50"/>
        <v>0</v>
      </c>
      <c r="H36" s="409">
        <f t="shared" si="50"/>
        <v>0</v>
      </c>
      <c r="I36" s="409">
        <f t="shared" si="50"/>
        <v>0</v>
      </c>
      <c r="J36" s="409">
        <f t="shared" si="50"/>
        <v>0</v>
      </c>
      <c r="K36" s="409">
        <f t="shared" si="50"/>
        <v>0</v>
      </c>
      <c r="L36" s="409">
        <f t="shared" si="50"/>
        <v>0</v>
      </c>
      <c r="M36" s="409">
        <f t="shared" si="50"/>
        <v>0</v>
      </c>
      <c r="N36" s="409">
        <f t="shared" si="50"/>
        <v>0</v>
      </c>
      <c r="O36" s="409">
        <f t="shared" si="50"/>
        <v>0</v>
      </c>
      <c r="P36" s="409">
        <f t="shared" si="50"/>
        <v>0</v>
      </c>
      <c r="Q36" s="409">
        <f t="shared" si="50"/>
        <v>0</v>
      </c>
      <c r="R36" s="409">
        <f t="shared" si="50"/>
        <v>0</v>
      </c>
      <c r="S36" s="409">
        <f t="shared" si="50"/>
        <v>0</v>
      </c>
      <c r="T36" s="409">
        <f t="shared" si="50"/>
        <v>0</v>
      </c>
      <c r="U36" s="409">
        <f t="shared" si="50"/>
        <v>0</v>
      </c>
      <c r="V36" s="409">
        <f t="shared" si="50"/>
        <v>0</v>
      </c>
      <c r="W36" s="409">
        <f t="shared" si="50"/>
        <v>0</v>
      </c>
      <c r="X36" s="167" t="s">
        <v>282</v>
      </c>
    </row>
    <row r="37" spans="1:24" s="167" customFormat="1">
      <c r="A37" s="410" t="s">
        <v>230</v>
      </c>
      <c r="B37" s="407" t="s">
        <v>231</v>
      </c>
      <c r="C37" s="408">
        <v>0</v>
      </c>
      <c r="D37" s="409">
        <v>0</v>
      </c>
      <c r="E37" s="409">
        <f t="shared" ref="E37:W37" si="51">$D37*D$51</f>
        <v>0</v>
      </c>
      <c r="F37" s="409">
        <f t="shared" si="51"/>
        <v>0</v>
      </c>
      <c r="G37" s="409">
        <f t="shared" si="51"/>
        <v>0</v>
      </c>
      <c r="H37" s="409">
        <f t="shared" si="51"/>
        <v>0</v>
      </c>
      <c r="I37" s="409">
        <f t="shared" si="51"/>
        <v>0</v>
      </c>
      <c r="J37" s="409">
        <f t="shared" si="51"/>
        <v>0</v>
      </c>
      <c r="K37" s="409">
        <f t="shared" si="51"/>
        <v>0</v>
      </c>
      <c r="L37" s="409">
        <f t="shared" si="51"/>
        <v>0</v>
      </c>
      <c r="M37" s="409">
        <f t="shared" si="51"/>
        <v>0</v>
      </c>
      <c r="N37" s="409">
        <f t="shared" si="51"/>
        <v>0</v>
      </c>
      <c r="O37" s="409">
        <f t="shared" si="51"/>
        <v>0</v>
      </c>
      <c r="P37" s="409">
        <f t="shared" si="51"/>
        <v>0</v>
      </c>
      <c r="Q37" s="409">
        <f t="shared" si="51"/>
        <v>0</v>
      </c>
      <c r="R37" s="409">
        <f t="shared" si="51"/>
        <v>0</v>
      </c>
      <c r="S37" s="409">
        <f t="shared" si="51"/>
        <v>0</v>
      </c>
      <c r="T37" s="409">
        <f t="shared" si="51"/>
        <v>0</v>
      </c>
      <c r="U37" s="409">
        <f t="shared" si="51"/>
        <v>0</v>
      </c>
      <c r="V37" s="409">
        <f t="shared" si="51"/>
        <v>0</v>
      </c>
      <c r="W37" s="409">
        <f t="shared" si="51"/>
        <v>0</v>
      </c>
      <c r="X37" s="167" t="s">
        <v>282</v>
      </c>
    </row>
    <row r="38" spans="1:24" s="96" customFormat="1">
      <c r="A38" s="70" t="s">
        <v>526</v>
      </c>
      <c r="B38" s="80" t="s">
        <v>527</v>
      </c>
      <c r="C38" s="404">
        <v>0</v>
      </c>
      <c r="D38" s="405">
        <v>0</v>
      </c>
      <c r="E38" s="405">
        <f>625</f>
        <v>625</v>
      </c>
      <c r="F38" s="405">
        <f>$E$38*D51</f>
        <v>637.5</v>
      </c>
      <c r="G38" s="405">
        <f t="shared" ref="G38:W38" si="52">$E$38*E51</f>
        <v>650.25</v>
      </c>
      <c r="H38" s="405">
        <f t="shared" si="52"/>
        <v>663.255</v>
      </c>
      <c r="I38" s="405">
        <f t="shared" si="52"/>
        <v>676.52009999999996</v>
      </c>
      <c r="J38" s="405">
        <f t="shared" si="52"/>
        <v>690.05050200000005</v>
      </c>
      <c r="K38" s="405">
        <f t="shared" si="52"/>
        <v>703.85151203999999</v>
      </c>
      <c r="L38" s="405">
        <f t="shared" si="52"/>
        <v>717.9285422808</v>
      </c>
      <c r="M38" s="405">
        <f t="shared" si="52"/>
        <v>732.2871131264161</v>
      </c>
      <c r="N38" s="405">
        <f t="shared" si="52"/>
        <v>746.9328553889444</v>
      </c>
      <c r="O38" s="405">
        <f t="shared" si="52"/>
        <v>761.87151249672331</v>
      </c>
      <c r="P38" s="405">
        <f t="shared" si="52"/>
        <v>777.10894274665782</v>
      </c>
      <c r="Q38" s="405">
        <f t="shared" si="52"/>
        <v>792.65112160159094</v>
      </c>
      <c r="R38" s="405">
        <f t="shared" si="52"/>
        <v>808.50414403362265</v>
      </c>
      <c r="S38" s="405">
        <f t="shared" si="52"/>
        <v>824.67422691429522</v>
      </c>
      <c r="T38" s="405">
        <f t="shared" si="52"/>
        <v>841.16771145258122</v>
      </c>
      <c r="U38" s="405">
        <f t="shared" si="52"/>
        <v>857.99106568163279</v>
      </c>
      <c r="V38" s="405">
        <f t="shared" si="52"/>
        <v>875.15088699526552</v>
      </c>
      <c r="W38" s="405">
        <f t="shared" si="52"/>
        <v>892.65390473517084</v>
      </c>
    </row>
    <row r="39" spans="1:24">
      <c r="A39" s="70"/>
      <c r="B39" s="80"/>
      <c r="C39" s="404"/>
      <c r="D39" s="409"/>
      <c r="E39" s="409"/>
      <c r="F39" s="409"/>
      <c r="G39" s="409"/>
      <c r="H39" s="409"/>
      <c r="I39" s="409"/>
      <c r="J39" s="409"/>
      <c r="K39" s="409"/>
      <c r="L39" s="409"/>
      <c r="M39" s="409"/>
      <c r="N39" s="409"/>
      <c r="O39" s="409"/>
      <c r="P39" s="409"/>
      <c r="Q39" s="409"/>
      <c r="R39" s="409"/>
      <c r="S39" s="409"/>
      <c r="T39" s="409"/>
      <c r="U39" s="409"/>
      <c r="V39" s="409"/>
      <c r="W39" s="409"/>
    </row>
    <row r="40" spans="1:24">
      <c r="A40" s="248" t="s">
        <v>212</v>
      </c>
      <c r="B40" s="97"/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4"/>
      <c r="T40" s="414"/>
      <c r="U40" s="414"/>
      <c r="V40" s="414"/>
      <c r="W40" s="414"/>
    </row>
    <row r="41" spans="1:24" s="32" customFormat="1">
      <c r="A41" s="254"/>
      <c r="B41" s="255"/>
      <c r="C41" s="416"/>
      <c r="D41" s="409"/>
      <c r="E41" s="409"/>
      <c r="F41" s="409"/>
      <c r="G41" s="409"/>
      <c r="H41" s="409"/>
      <c r="I41" s="409"/>
      <c r="J41" s="409"/>
      <c r="K41" s="409"/>
      <c r="L41" s="409"/>
      <c r="M41" s="409"/>
      <c r="N41" s="409"/>
      <c r="O41" s="409"/>
      <c r="P41" s="409"/>
      <c r="Q41" s="409"/>
      <c r="R41" s="409"/>
      <c r="S41" s="409"/>
      <c r="T41" s="409"/>
      <c r="U41" s="409"/>
      <c r="V41" s="409"/>
      <c r="W41" s="409"/>
    </row>
    <row r="42" spans="1:24" s="58" customFormat="1">
      <c r="A42" s="70" t="s">
        <v>26</v>
      </c>
      <c r="B42" s="80" t="s">
        <v>159</v>
      </c>
      <c r="C42" s="404">
        <v>0</v>
      </c>
      <c r="D42" s="405">
        <v>0</v>
      </c>
      <c r="E42" s="405">
        <v>0</v>
      </c>
      <c r="F42" s="405">
        <v>0</v>
      </c>
      <c r="G42" s="405">
        <v>0</v>
      </c>
      <c r="H42" s="405">
        <v>0</v>
      </c>
      <c r="I42" s="405">
        <v>1</v>
      </c>
      <c r="J42" s="405">
        <v>1</v>
      </c>
      <c r="K42" s="405">
        <v>1</v>
      </c>
      <c r="L42" s="405">
        <v>1</v>
      </c>
      <c r="M42" s="405">
        <v>1</v>
      </c>
      <c r="N42" s="405">
        <v>1.25</v>
      </c>
      <c r="O42" s="405">
        <v>1.25</v>
      </c>
      <c r="P42" s="405">
        <v>1.25</v>
      </c>
      <c r="Q42" s="405">
        <v>1.25</v>
      </c>
      <c r="R42" s="405">
        <v>1.25</v>
      </c>
      <c r="S42" s="405">
        <v>1.5</v>
      </c>
      <c r="T42" s="405">
        <v>1.5</v>
      </c>
      <c r="U42" s="405">
        <v>1.5</v>
      </c>
      <c r="V42" s="405">
        <v>1.5</v>
      </c>
      <c r="W42" s="405">
        <v>1.5</v>
      </c>
    </row>
    <row r="43" spans="1:24" s="96" customFormat="1">
      <c r="A43" s="33" t="s">
        <v>26</v>
      </c>
      <c r="B43" s="66" t="s">
        <v>139</v>
      </c>
      <c r="C43" s="577">
        <v>0</v>
      </c>
      <c r="D43" s="405">
        <v>0</v>
      </c>
      <c r="E43" s="405">
        <v>0</v>
      </c>
      <c r="F43" s="405">
        <v>0</v>
      </c>
      <c r="G43" s="405">
        <v>0</v>
      </c>
      <c r="H43" s="405">
        <v>0</v>
      </c>
      <c r="I43" s="405">
        <v>8</v>
      </c>
      <c r="J43" s="405">
        <v>8</v>
      </c>
      <c r="K43" s="405">
        <v>8</v>
      </c>
      <c r="L43" s="405">
        <v>8</v>
      </c>
      <c r="M43" s="405">
        <v>8</v>
      </c>
      <c r="N43" s="405">
        <f>N42*8</f>
        <v>10</v>
      </c>
      <c r="O43" s="405">
        <v>10</v>
      </c>
      <c r="P43" s="405">
        <v>10</v>
      </c>
      <c r="Q43" s="405">
        <v>10</v>
      </c>
      <c r="R43" s="405">
        <v>10</v>
      </c>
      <c r="S43" s="405">
        <f>S42*8</f>
        <v>12</v>
      </c>
      <c r="T43" s="405">
        <v>12</v>
      </c>
      <c r="U43" s="405">
        <v>12</v>
      </c>
      <c r="V43" s="405">
        <v>12</v>
      </c>
      <c r="W43" s="405">
        <v>12</v>
      </c>
    </row>
    <row r="44" spans="1:24" s="96" customFormat="1">
      <c r="A44" s="33" t="s">
        <v>283</v>
      </c>
      <c r="B44" s="66" t="s">
        <v>176</v>
      </c>
      <c r="C44" s="577">
        <v>0</v>
      </c>
      <c r="D44" s="405">
        <v>2</v>
      </c>
      <c r="E44" s="405">
        <f t="shared" ref="E44:W44" si="53">$D44*D$51</f>
        <v>2.04</v>
      </c>
      <c r="F44" s="405">
        <f t="shared" si="53"/>
        <v>2.0808</v>
      </c>
      <c r="G44" s="405">
        <f t="shared" si="53"/>
        <v>2.1224159999999999</v>
      </c>
      <c r="H44" s="405">
        <f t="shared" si="53"/>
        <v>2.16486432</v>
      </c>
      <c r="I44" s="405">
        <f t="shared" si="53"/>
        <v>2.2081616064</v>
      </c>
      <c r="J44" s="405">
        <f t="shared" si="53"/>
        <v>2.2523248385280001</v>
      </c>
      <c r="K44" s="405">
        <f t="shared" si="53"/>
        <v>2.2973713352985601</v>
      </c>
      <c r="L44" s="405">
        <f t="shared" si="53"/>
        <v>2.3433187620045315</v>
      </c>
      <c r="M44" s="405">
        <f t="shared" si="53"/>
        <v>2.3901851372446221</v>
      </c>
      <c r="N44" s="405">
        <f t="shared" si="53"/>
        <v>2.4379888399895147</v>
      </c>
      <c r="O44" s="405">
        <f t="shared" si="53"/>
        <v>2.4867486167893049</v>
      </c>
      <c r="P44" s="405">
        <f t="shared" si="53"/>
        <v>2.536483589125091</v>
      </c>
      <c r="Q44" s="405">
        <f t="shared" si="53"/>
        <v>2.5872132609075926</v>
      </c>
      <c r="R44" s="405">
        <f t="shared" si="53"/>
        <v>2.6389575261257447</v>
      </c>
      <c r="S44" s="405">
        <f t="shared" si="53"/>
        <v>2.6917366766482598</v>
      </c>
      <c r="T44" s="405">
        <f t="shared" si="53"/>
        <v>2.745571410181225</v>
      </c>
      <c r="U44" s="405">
        <f t="shared" si="53"/>
        <v>2.8004828383848497</v>
      </c>
      <c r="V44" s="405">
        <f t="shared" si="53"/>
        <v>2.8564924951525468</v>
      </c>
      <c r="W44" s="405">
        <f t="shared" si="53"/>
        <v>2.9136223450555976</v>
      </c>
    </row>
    <row r="45" spans="1:24" s="96" customFormat="1">
      <c r="A45" s="33" t="s">
        <v>216</v>
      </c>
      <c r="B45" s="66" t="s">
        <v>284</v>
      </c>
      <c r="C45" s="577">
        <v>0</v>
      </c>
      <c r="D45" s="405">
        <v>1000</v>
      </c>
      <c r="E45" s="405">
        <f t="shared" ref="E45:W45" si="54">$D45*D$51</f>
        <v>1020</v>
      </c>
      <c r="F45" s="405">
        <f t="shared" si="54"/>
        <v>1040.4000000000001</v>
      </c>
      <c r="G45" s="405">
        <f t="shared" si="54"/>
        <v>1061.2079999999999</v>
      </c>
      <c r="H45" s="405">
        <f t="shared" si="54"/>
        <v>1082.4321600000001</v>
      </c>
      <c r="I45" s="405">
        <f t="shared" si="54"/>
        <v>1104.0808032</v>
      </c>
      <c r="J45" s="405">
        <f t="shared" si="54"/>
        <v>1126.1624192640002</v>
      </c>
      <c r="K45" s="405">
        <f t="shared" si="54"/>
        <v>1148.68566764928</v>
      </c>
      <c r="L45" s="405">
        <f t="shared" si="54"/>
        <v>1171.6593810022657</v>
      </c>
      <c r="M45" s="405">
        <f t="shared" si="54"/>
        <v>1195.0925686223111</v>
      </c>
      <c r="N45" s="405">
        <f t="shared" si="54"/>
        <v>1218.9944199947574</v>
      </c>
      <c r="O45" s="405">
        <f t="shared" si="54"/>
        <v>1243.3743083946524</v>
      </c>
      <c r="P45" s="405">
        <f t="shared" si="54"/>
        <v>1268.2417945625455</v>
      </c>
      <c r="Q45" s="405">
        <f t="shared" si="54"/>
        <v>1293.6066304537962</v>
      </c>
      <c r="R45" s="405">
        <f t="shared" si="54"/>
        <v>1319.4787630628723</v>
      </c>
      <c r="S45" s="405">
        <f t="shared" si="54"/>
        <v>1345.8683383241298</v>
      </c>
      <c r="T45" s="405">
        <f t="shared" si="54"/>
        <v>1372.7857050906125</v>
      </c>
      <c r="U45" s="405">
        <f t="shared" si="54"/>
        <v>1400.2414191924249</v>
      </c>
      <c r="V45" s="405">
        <f t="shared" si="54"/>
        <v>1428.2462475762734</v>
      </c>
      <c r="W45" s="405">
        <f t="shared" si="54"/>
        <v>1456.8111725277988</v>
      </c>
    </row>
    <row r="46" spans="1:24" s="96" customFormat="1">
      <c r="A46" s="578" t="s">
        <v>175</v>
      </c>
      <c r="B46" s="579" t="s">
        <v>285</v>
      </c>
      <c r="C46" s="580">
        <v>0</v>
      </c>
      <c r="D46" s="405">
        <v>500</v>
      </c>
      <c r="E46" s="405">
        <v>500</v>
      </c>
      <c r="F46" s="405">
        <v>500</v>
      </c>
      <c r="G46" s="405">
        <v>500</v>
      </c>
      <c r="H46" s="405">
        <v>500</v>
      </c>
      <c r="I46" s="405">
        <v>550</v>
      </c>
      <c r="J46" s="405">
        <v>550</v>
      </c>
      <c r="K46" s="405">
        <v>550</v>
      </c>
      <c r="L46" s="405">
        <v>550</v>
      </c>
      <c r="M46" s="405">
        <v>550</v>
      </c>
      <c r="N46" s="405">
        <v>600</v>
      </c>
      <c r="O46" s="405">
        <v>600</v>
      </c>
      <c r="P46" s="405">
        <v>600</v>
      </c>
      <c r="Q46" s="405">
        <v>600</v>
      </c>
      <c r="R46" s="405">
        <v>600</v>
      </c>
      <c r="S46" s="405">
        <v>650</v>
      </c>
      <c r="T46" s="405">
        <v>650</v>
      </c>
      <c r="U46" s="405">
        <v>650</v>
      </c>
      <c r="V46" s="405">
        <v>650</v>
      </c>
      <c r="W46" s="405">
        <v>650</v>
      </c>
    </row>
    <row r="47" spans="1:24">
      <c r="A47" s="46"/>
      <c r="B47" s="45"/>
      <c r="C47" s="402"/>
      <c r="D47" s="46"/>
      <c r="E47" s="46"/>
      <c r="F47" s="46"/>
      <c r="G47" s="46"/>
      <c r="H47" s="45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</row>
    <row r="48" spans="1:24">
      <c r="A48" s="249" t="s">
        <v>14</v>
      </c>
      <c r="B48" s="250"/>
      <c r="C48" s="249"/>
      <c r="D48" s="249"/>
      <c r="E48" s="249"/>
      <c r="F48" s="249"/>
      <c r="G48" s="249"/>
      <c r="H48" s="250"/>
      <c r="I48" s="249"/>
      <c r="J48" s="249"/>
      <c r="K48" s="249"/>
      <c r="L48" s="249"/>
      <c r="M48" s="249"/>
      <c r="N48" s="249"/>
      <c r="O48" s="249"/>
      <c r="P48" s="249"/>
      <c r="Q48" s="249"/>
      <c r="R48" s="249"/>
      <c r="S48" s="249"/>
      <c r="T48" s="249"/>
      <c r="U48" s="249"/>
      <c r="V48" s="249"/>
      <c r="W48" s="249"/>
    </row>
    <row r="49" spans="1:24" s="32" customFormat="1">
      <c r="A49" s="257"/>
      <c r="B49" s="258"/>
      <c r="C49" s="403"/>
      <c r="D49" s="257"/>
      <c r="E49" s="257"/>
      <c r="F49" s="257"/>
      <c r="G49" s="257"/>
      <c r="H49" s="258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  <c r="V49" s="257"/>
      <c r="W49" s="257"/>
    </row>
    <row r="50" spans="1:24" s="32" customFormat="1">
      <c r="A50" s="252" t="s">
        <v>110</v>
      </c>
      <c r="B50" s="253"/>
      <c r="C50" s="400"/>
      <c r="D50" s="309">
        <f t="shared" ref="D50:X50" si="55">Rate_of_tariff_escalation</f>
        <v>0.02</v>
      </c>
      <c r="E50" s="309">
        <f t="shared" si="55"/>
        <v>0.02</v>
      </c>
      <c r="F50" s="309">
        <f t="shared" si="55"/>
        <v>0.02</v>
      </c>
      <c r="G50" s="309">
        <f t="shared" si="55"/>
        <v>0.02</v>
      </c>
      <c r="H50" s="309">
        <f t="shared" si="55"/>
        <v>0.02</v>
      </c>
      <c r="I50" s="309">
        <f t="shared" si="55"/>
        <v>0.02</v>
      </c>
      <c r="J50" s="309">
        <f t="shared" si="55"/>
        <v>0.02</v>
      </c>
      <c r="K50" s="309">
        <f t="shared" si="55"/>
        <v>0.02</v>
      </c>
      <c r="L50" s="309">
        <f t="shared" si="55"/>
        <v>0.02</v>
      </c>
      <c r="M50" s="309">
        <f t="shared" si="55"/>
        <v>0.02</v>
      </c>
      <c r="N50" s="309">
        <f t="shared" si="55"/>
        <v>0.02</v>
      </c>
      <c r="O50" s="309">
        <f t="shared" si="55"/>
        <v>0.02</v>
      </c>
      <c r="P50" s="309">
        <f t="shared" si="55"/>
        <v>0.02</v>
      </c>
      <c r="Q50" s="309">
        <f t="shared" si="55"/>
        <v>0.02</v>
      </c>
      <c r="R50" s="309">
        <f t="shared" si="55"/>
        <v>0.02</v>
      </c>
      <c r="S50" s="309">
        <f t="shared" si="55"/>
        <v>0.02</v>
      </c>
      <c r="T50" s="309">
        <f t="shared" si="55"/>
        <v>0.02</v>
      </c>
      <c r="U50" s="309">
        <f t="shared" si="55"/>
        <v>0.02</v>
      </c>
      <c r="V50" s="309">
        <f t="shared" si="55"/>
        <v>0.02</v>
      </c>
      <c r="W50" s="309">
        <f t="shared" si="55"/>
        <v>0.02</v>
      </c>
      <c r="X50" s="309">
        <f t="shared" si="55"/>
        <v>0.02</v>
      </c>
    </row>
    <row r="51" spans="1:24">
      <c r="A51" s="33" t="s">
        <v>142</v>
      </c>
      <c r="B51" s="66"/>
      <c r="C51" s="400"/>
      <c r="D51" s="310">
        <v>1.02</v>
      </c>
      <c r="E51" s="309">
        <f>D51*(1+Rate_of_tariff_escalation)</f>
        <v>1.0404</v>
      </c>
      <c r="F51" s="309">
        <f t="shared" ref="F51:I52" si="56">E51*(1+Rate_of_tariff_escalation)</f>
        <v>1.0612079999999999</v>
      </c>
      <c r="G51" s="309">
        <f t="shared" si="56"/>
        <v>1.08243216</v>
      </c>
      <c r="H51" s="309">
        <f t="shared" si="56"/>
        <v>1.1040808032</v>
      </c>
      <c r="I51" s="309">
        <f t="shared" si="56"/>
        <v>1.1261624192640001</v>
      </c>
      <c r="J51" s="309">
        <f t="shared" ref="J51:W51" si="57">I51*(1+Rate_of_cost_escalation)</f>
        <v>1.14868566764928</v>
      </c>
      <c r="K51" s="309">
        <f t="shared" si="57"/>
        <v>1.1716593810022657</v>
      </c>
      <c r="L51" s="309">
        <f t="shared" si="57"/>
        <v>1.1950925686223111</v>
      </c>
      <c r="M51" s="309">
        <f t="shared" si="57"/>
        <v>1.2189944199947573</v>
      </c>
      <c r="N51" s="309">
        <f t="shared" si="57"/>
        <v>1.2433743083946525</v>
      </c>
      <c r="O51" s="309">
        <f t="shared" si="57"/>
        <v>1.2682417945625455</v>
      </c>
      <c r="P51" s="309">
        <f t="shared" si="57"/>
        <v>1.2936066304537963</v>
      </c>
      <c r="Q51" s="309">
        <f t="shared" si="57"/>
        <v>1.3194787630628724</v>
      </c>
      <c r="R51" s="309">
        <f t="shared" si="57"/>
        <v>1.3458683383241299</v>
      </c>
      <c r="S51" s="309">
        <f t="shared" si="57"/>
        <v>1.3727857050906125</v>
      </c>
      <c r="T51" s="309">
        <f t="shared" si="57"/>
        <v>1.4002414191924248</v>
      </c>
      <c r="U51" s="309">
        <f t="shared" si="57"/>
        <v>1.4282462475762734</v>
      </c>
      <c r="V51" s="309">
        <f t="shared" si="57"/>
        <v>1.4568111725277988</v>
      </c>
      <c r="W51" s="309">
        <f t="shared" si="57"/>
        <v>1.4859473959783549</v>
      </c>
      <c r="X51" s="309"/>
    </row>
    <row r="52" spans="1:24">
      <c r="A52" s="33" t="s">
        <v>143</v>
      </c>
      <c r="B52" s="66"/>
      <c r="C52" s="400"/>
      <c r="D52" s="310">
        <v>1.02</v>
      </c>
      <c r="E52" s="309">
        <f>D52*(1+Rate_of_tariff_escalation)</f>
        <v>1.0404</v>
      </c>
      <c r="F52" s="309">
        <f t="shared" si="56"/>
        <v>1.0612079999999999</v>
      </c>
      <c r="G52" s="309">
        <f t="shared" ref="G52" si="58">F52*(1+Rate_of_tariff_escalation)</f>
        <v>1.08243216</v>
      </c>
      <c r="H52" s="309">
        <f t="shared" ref="H52" si="59">G52*(1+Rate_of_tariff_escalation)</f>
        <v>1.1040808032</v>
      </c>
      <c r="I52" s="309">
        <f t="shared" ref="I52" si="60">H52*(1+Rate_of_tariff_escalation)</f>
        <v>1.1261624192640001</v>
      </c>
      <c r="J52" s="309">
        <f t="shared" ref="J52" si="61">I52*(1+Rate_of_tariff_escalation)</f>
        <v>1.14868566764928</v>
      </c>
      <c r="K52" s="309">
        <f t="shared" ref="K52" si="62">J52*(1+Rate_of_tariff_escalation)</f>
        <v>1.1716593810022657</v>
      </c>
      <c r="L52" s="309">
        <f t="shared" ref="L52" si="63">K52*(1+Rate_of_tariff_escalation)</f>
        <v>1.1950925686223111</v>
      </c>
      <c r="M52" s="309">
        <f t="shared" ref="M52" si="64">L52*(1+Rate_of_tariff_escalation)</f>
        <v>1.2189944199947573</v>
      </c>
      <c r="N52" s="309">
        <f t="shared" ref="N52" si="65">M52*(1+Rate_of_tariff_escalation)</f>
        <v>1.2433743083946525</v>
      </c>
      <c r="O52" s="309">
        <f t="shared" ref="O52" si="66">N52*(1+Rate_of_tariff_escalation)</f>
        <v>1.2682417945625455</v>
      </c>
      <c r="P52" s="309">
        <f t="shared" ref="P52" si="67">O52*(1+Rate_of_tariff_escalation)</f>
        <v>1.2936066304537963</v>
      </c>
      <c r="Q52" s="309">
        <f t="shared" ref="Q52" si="68">P52*(1+Rate_of_tariff_escalation)</f>
        <v>1.3194787630628724</v>
      </c>
      <c r="R52" s="309">
        <f t="shared" ref="R52" si="69">Q52*(1+Rate_of_tariff_escalation)</f>
        <v>1.3458683383241299</v>
      </c>
      <c r="S52" s="309">
        <f t="shared" ref="S52" si="70">R52*(1+Rate_of_tariff_escalation)</f>
        <v>1.3727857050906125</v>
      </c>
      <c r="T52" s="309">
        <f t="shared" ref="T52" si="71">S52*(1+Rate_of_tariff_escalation)</f>
        <v>1.4002414191924248</v>
      </c>
      <c r="U52" s="309">
        <f t="shared" ref="U52" si="72">T52*(1+Rate_of_tariff_escalation)</f>
        <v>1.4282462475762734</v>
      </c>
      <c r="V52" s="309">
        <f t="shared" ref="V52" si="73">U52*(1+Rate_of_tariff_escalation)</f>
        <v>1.4568111725277988</v>
      </c>
      <c r="W52" s="309">
        <f t="shared" ref="W52" si="74">V52*(1+Rate_of_tariff_escalation)</f>
        <v>1.4859473959783549</v>
      </c>
      <c r="X52" s="309"/>
    </row>
    <row r="53" spans="1:24">
      <c r="C53" s="400"/>
    </row>
    <row r="54" spans="1:24">
      <c r="A54" s="131"/>
      <c r="B54" s="283"/>
      <c r="C54" s="131"/>
      <c r="D54" s="131"/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1"/>
      <c r="U54" s="131"/>
      <c r="V54" s="131"/>
      <c r="W54" s="131"/>
    </row>
    <row r="56" spans="1:24">
      <c r="E56" s="87"/>
    </row>
    <row r="57" spans="1:24">
      <c r="E57" s="87"/>
    </row>
    <row r="59" spans="1:24">
      <c r="D59" s="413"/>
    </row>
  </sheetData>
  <pageMargins left="0.7" right="0.7" top="0.75" bottom="0.75" header="0.3" footer="0.3"/>
  <pageSetup orientation="portrait" horizontalDpi="1200" verticalDpi="12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29"/>
  <sheetViews>
    <sheetView zoomScale="70" zoomScaleNormal="70" workbookViewId="0">
      <selection activeCell="C39" sqref="C39"/>
    </sheetView>
  </sheetViews>
  <sheetFormatPr defaultColWidth="9" defaultRowHeight="16.5"/>
  <cols>
    <col min="1" max="1" width="46.875" style="18" bestFit="1" customWidth="1"/>
    <col min="2" max="2" width="12" style="1" bestFit="1" customWidth="1"/>
    <col min="3" max="3" width="13.875" style="18" bestFit="1" customWidth="1"/>
    <col min="4" max="4" width="10.875" style="18" bestFit="1" customWidth="1"/>
    <col min="5" max="5" width="20.625" style="18" bestFit="1" customWidth="1"/>
    <col min="6" max="6" width="6.625" style="18" bestFit="1" customWidth="1"/>
    <col min="7" max="7" width="58.625" style="18" bestFit="1" customWidth="1"/>
    <col min="8" max="8" width="11.125" style="18" bestFit="1" customWidth="1"/>
    <col min="9" max="9" width="13.875" style="18" bestFit="1" customWidth="1"/>
    <col min="10" max="10" width="10.875" style="18" bestFit="1" customWidth="1"/>
    <col min="11" max="11" width="20.625" style="18" bestFit="1" customWidth="1"/>
    <col min="12" max="16384" width="9" style="18"/>
  </cols>
  <sheetData>
    <row r="1" spans="1:11" ht="18.75" thickBot="1">
      <c r="A1" s="11" t="str">
        <f>Intro!A1</f>
        <v>Town of Bar Harbor</v>
      </c>
      <c r="B1" s="81"/>
      <c r="C1" s="13"/>
      <c r="D1" s="13"/>
      <c r="E1" s="13"/>
      <c r="F1" s="13"/>
      <c r="G1" s="13"/>
      <c r="H1" s="17"/>
      <c r="I1" s="17"/>
      <c r="J1" s="17"/>
      <c r="K1" s="17"/>
    </row>
    <row r="2" spans="1:11" ht="17.25" thickBot="1">
      <c r="A2" s="380" t="str">
        <f>Intro!A2</f>
        <v>Ferry Property Business Plan</v>
      </c>
      <c r="B2" s="17"/>
      <c r="C2" s="13"/>
      <c r="D2" s="13"/>
      <c r="E2" s="13"/>
      <c r="F2" s="13"/>
      <c r="G2" s="13"/>
      <c r="H2" s="17"/>
      <c r="I2" s="17"/>
      <c r="J2" s="17"/>
      <c r="K2" s="17"/>
    </row>
    <row r="3" spans="1:11" s="381" customFormat="1" ht="14.25" thickBot="1">
      <c r="A3" s="384" t="str">
        <f>Intro!A3</f>
        <v>05.23.2018</v>
      </c>
      <c r="B3" s="394"/>
      <c r="C3" s="304"/>
      <c r="D3" s="304"/>
      <c r="E3" s="304"/>
      <c r="F3" s="304"/>
      <c r="G3" s="304"/>
      <c r="H3" s="387"/>
      <c r="I3" s="387"/>
      <c r="J3" s="387"/>
      <c r="K3" s="387"/>
    </row>
    <row r="4" spans="1:11" s="381" customFormat="1" ht="13.5">
      <c r="A4" s="384" t="str">
        <f ca="1">Intro!A4</f>
        <v>Town of Bar Harbor</v>
      </c>
      <c r="B4" s="387"/>
      <c r="C4" s="382"/>
      <c r="D4" s="382"/>
      <c r="E4" s="382"/>
      <c r="F4" s="382"/>
      <c r="G4" s="382"/>
      <c r="H4" s="387"/>
      <c r="I4" s="383">
        <f ca="1">NOW()</f>
        <v>43242.835659143515</v>
      </c>
      <c r="J4" s="387"/>
      <c r="K4" s="387"/>
    </row>
    <row r="5" spans="1:11">
      <c r="A5" s="244" t="s">
        <v>435</v>
      </c>
      <c r="B5" s="245"/>
      <c r="C5" s="244"/>
      <c r="D5" s="244"/>
      <c r="E5" s="244"/>
      <c r="F5" s="244"/>
      <c r="G5" s="244"/>
      <c r="H5" s="245"/>
      <c r="I5" s="245"/>
      <c r="J5" s="245"/>
      <c r="K5" s="245"/>
    </row>
    <row r="6" spans="1:11">
      <c r="C6" s="400"/>
    </row>
    <row r="7" spans="1:11" ht="17.25">
      <c r="A7" s="1201" t="str">
        <f>[1]Summary!A1</f>
        <v xml:space="preserve">Table 5 </v>
      </c>
      <c r="B7" s="1201"/>
      <c r="C7" s="1201"/>
      <c r="D7" s="1201"/>
      <c r="E7" s="1201"/>
      <c r="F7" s="816"/>
      <c r="G7" s="1201" t="str">
        <f>[1]Summary!G1</f>
        <v xml:space="preserve">Table 6 </v>
      </c>
      <c r="H7" s="1201"/>
      <c r="I7" s="1201"/>
      <c r="J7" s="1201"/>
      <c r="K7" s="1201"/>
    </row>
    <row r="8" spans="1:11" ht="17.25">
      <c r="A8" s="794" t="str">
        <f>[1]Summary!A2</f>
        <v>SUMMARY OF ESTIMATED PER CALL PORT CHARGES</v>
      </c>
      <c r="B8" s="794"/>
      <c r="C8" s="794"/>
      <c r="D8" s="809"/>
      <c r="E8" s="794"/>
      <c r="F8" s="816"/>
      <c r="G8" s="818" t="str">
        <f>[1]Summary!G2</f>
        <v>SUMMARY OF ESTIMATED PER PASSENGER PORT CHARGES</v>
      </c>
      <c r="H8" s="818"/>
      <c r="I8" s="818"/>
      <c r="J8" s="818"/>
      <c r="K8" s="818"/>
    </row>
    <row r="9" spans="1:11" ht="17.25">
      <c r="A9" s="1201"/>
      <c r="B9" s="1201"/>
      <c r="C9" s="1201"/>
      <c r="D9" s="1201"/>
      <c r="E9" s="1201"/>
      <c r="F9" s="816"/>
      <c r="G9" s="1201"/>
      <c r="H9" s="1201"/>
      <c r="I9" s="1201"/>
      <c r="J9" s="1201"/>
      <c r="K9" s="1201"/>
    </row>
    <row r="10" spans="1:11" ht="18" thickBot="1">
      <c r="A10" s="795"/>
      <c r="B10" s="801"/>
      <c r="C10" s="801"/>
      <c r="D10" s="801"/>
      <c r="E10" s="801"/>
      <c r="F10" s="816"/>
      <c r="G10" s="816"/>
      <c r="H10" s="816"/>
      <c r="I10" s="816"/>
      <c r="J10" s="816"/>
      <c r="K10" s="816"/>
    </row>
    <row r="11" spans="1:11" ht="16.5" customHeight="1">
      <c r="A11" s="1202" t="str">
        <f>[1]Summary!A5</f>
        <v>Summary of marine revenues</v>
      </c>
      <c r="B11" s="1203"/>
      <c r="C11" s="1203"/>
      <c r="D11" s="1203"/>
      <c r="E11" s="1204"/>
      <c r="F11" s="816"/>
      <c r="G11" s="1205" t="str">
        <f>[1]Summary!G5</f>
        <v>Summary of total revenues</v>
      </c>
      <c r="H11" s="1206"/>
      <c r="I11" s="1206"/>
      <c r="J11" s="1206"/>
      <c r="K11" s="1207"/>
    </row>
    <row r="12" spans="1:11" ht="15.95" customHeight="1">
      <c r="A12" s="796" t="str">
        <f>[1]Summary!A6</f>
        <v>Port</v>
      </c>
      <c r="B12" s="802" t="str">
        <f>[1]Summary!B6</f>
        <v>Large ship</v>
      </c>
      <c r="C12" s="802" t="str">
        <f>[1]Summary!C6</f>
        <v>Medium ship</v>
      </c>
      <c r="D12" s="802" t="str">
        <f>[1]Summary!D6</f>
        <v>Small Ship</v>
      </c>
      <c r="E12" s="1199" t="str">
        <f>[1]Summary!E6</f>
        <v>Weighted average</v>
      </c>
      <c r="F12" s="816"/>
      <c r="G12" s="796" t="str">
        <f>[1]Summary!G6</f>
        <v>Port</v>
      </c>
      <c r="H12" s="802" t="str">
        <f>[1]Summary!H6</f>
        <v>Large ship</v>
      </c>
      <c r="I12" s="802" t="str">
        <f>[1]Summary!I6</f>
        <v>Medium ship</v>
      </c>
      <c r="J12" s="802" t="str">
        <f>[1]Summary!J6</f>
        <v>Small Ship</v>
      </c>
      <c r="K12" s="1199" t="str">
        <f>[1]Summary!K6</f>
        <v>Weighted average</v>
      </c>
    </row>
    <row r="13" spans="1:11" ht="18" thickBot="1">
      <c r="A13" s="797" t="str">
        <f>[1]Summary!A7</f>
        <v>Percent mix of ships</v>
      </c>
      <c r="B13" s="803">
        <f>[1]Summary!B7</f>
        <v>0.25</v>
      </c>
      <c r="C13" s="803">
        <f>[1]Summary!C7</f>
        <v>0.6</v>
      </c>
      <c r="D13" s="803">
        <f>[1]Summary!D7</f>
        <v>0.15</v>
      </c>
      <c r="E13" s="1200"/>
      <c r="F13" s="816"/>
      <c r="G13" s="797" t="str">
        <f>[1]Summary!G7</f>
        <v>Percent mix of ships</v>
      </c>
      <c r="H13" s="803">
        <f>[1]Summary!H7</f>
        <v>0.25</v>
      </c>
      <c r="I13" s="803">
        <f>[1]Summary!I7</f>
        <v>0.6</v>
      </c>
      <c r="J13" s="803">
        <f>[1]Summary!J7</f>
        <v>0.15</v>
      </c>
      <c r="K13" s="1200"/>
    </row>
    <row r="14" spans="1:11" ht="17.25">
      <c r="A14" s="798" t="str">
        <f>[1]Summary!A8</f>
        <v>Homeport + POC</v>
      </c>
      <c r="B14" s="804">
        <f>[1]Summary!B8</f>
        <v>0</v>
      </c>
      <c r="C14" s="804">
        <f>[1]Summary!C8</f>
        <v>0</v>
      </c>
      <c r="D14" s="810">
        <f>[1]Summary!D8</f>
        <v>0</v>
      </c>
      <c r="E14" s="813">
        <f>[1]Summary!E8</f>
        <v>0</v>
      </c>
      <c r="F14" s="816"/>
      <c r="G14" s="798" t="str">
        <f>[1]Summary!G8</f>
        <v>Port of call</v>
      </c>
      <c r="H14" s="804">
        <f>[1]Summary!H8</f>
        <v>0</v>
      </c>
      <c r="I14" s="804">
        <f>[1]Summary!I8</f>
        <v>0</v>
      </c>
      <c r="J14" s="810">
        <f>[1]Summary!J8</f>
        <v>0</v>
      </c>
      <c r="K14" s="813">
        <f>[1]Summary!K8</f>
        <v>0</v>
      </c>
    </row>
    <row r="15" spans="1:11" ht="17.25">
      <c r="A15" s="799" t="str">
        <f>[1]Summary!A9</f>
        <v>Montreal</v>
      </c>
      <c r="B15" s="805">
        <f>[1]Summary!B9</f>
        <v>111253.428</v>
      </c>
      <c r="C15" s="807">
        <f>[1]Summary!C9</f>
        <v>72367.014720000006</v>
      </c>
      <c r="D15" s="811">
        <f>[1]Summary!D9</f>
        <v>47492.185883999999</v>
      </c>
      <c r="E15" s="814">
        <f>[1]Summary!E9</f>
        <v>78357.39371460001</v>
      </c>
      <c r="F15" s="817"/>
      <c r="G15" s="799" t="str">
        <f>[1]Summary!G9</f>
        <v>Montreal</v>
      </c>
      <c r="H15" s="807">
        <f>[1]Summary!H9</f>
        <v>13.9066785</v>
      </c>
      <c r="I15" s="807">
        <f>[1]Summary!I9</f>
        <v>13.501308716417912</v>
      </c>
      <c r="J15" s="811">
        <f>[1]Summary!J9</f>
        <v>13.662884316455695</v>
      </c>
      <c r="K15" s="819">
        <f>[1]Summary!K9</f>
        <v>13.6268875023191</v>
      </c>
    </row>
    <row r="16" spans="1:11" ht="17.25">
      <c r="A16" s="800" t="str">
        <f>[1]Summary!A10</f>
        <v>Quebec</v>
      </c>
      <c r="B16" s="806">
        <f>[1]Summary!B10</f>
        <v>113894.04000000001</v>
      </c>
      <c r="C16" s="808">
        <f>[1]Summary!C10</f>
        <v>73649.409599999999</v>
      </c>
      <c r="D16" s="812">
        <f>[1]Summary!D10</f>
        <v>48449.664120000001</v>
      </c>
      <c r="E16" s="815">
        <f>[1]Summary!E10</f>
        <v>79930.605377999993</v>
      </c>
      <c r="F16" s="817"/>
      <c r="G16" s="800" t="str">
        <f>[1]Summary!G10</f>
        <v>Quebec</v>
      </c>
      <c r="H16" s="808">
        <f>[1]Summary!H10</f>
        <v>14.543880000000001</v>
      </c>
      <c r="I16" s="808">
        <f>[1]Summary!I10</f>
        <v>14.198957014925373</v>
      </c>
      <c r="J16" s="812">
        <f>[1]Summary!J10</f>
        <v>14.645185304948217</v>
      </c>
      <c r="K16" s="820">
        <f>[1]Summary!K10</f>
        <v>14.352122004697456</v>
      </c>
    </row>
    <row r="17" spans="1:11" ht="16.5" customHeight="1">
      <c r="A17" s="800" t="str">
        <f>[1]Summary!A11</f>
        <v>Halifax</v>
      </c>
      <c r="B17" s="806">
        <f>[1]Summary!B11</f>
        <v>48644.075999999994</v>
      </c>
      <c r="C17" s="808">
        <f>[1]Summary!C11</f>
        <v>30882.234240000002</v>
      </c>
      <c r="D17" s="812">
        <f>[1]Summary!D11</f>
        <v>20469.191028000001</v>
      </c>
      <c r="E17" s="815">
        <f>[1]Summary!E11</f>
        <v>33760.738198200001</v>
      </c>
      <c r="F17" s="817"/>
      <c r="G17" s="800" t="str">
        <f>[1]Summary!G11</f>
        <v>Halifax</v>
      </c>
      <c r="H17" s="808">
        <f>[1]Summary!H11</f>
        <v>12.161018999999998</v>
      </c>
      <c r="I17" s="808">
        <f>[1]Summary!I11</f>
        <v>11.523221731343284</v>
      </c>
      <c r="J17" s="812">
        <f>[1]Summary!J11</f>
        <v>11.77744017721519</v>
      </c>
      <c r="K17" s="820">
        <f>[1]Summary!K11</f>
        <v>11.720803815388248</v>
      </c>
    </row>
    <row r="18" spans="1:11" ht="17.25">
      <c r="A18" s="800" t="str">
        <f>[1]Summary!A12</f>
        <v>St. John</v>
      </c>
      <c r="B18" s="806">
        <f>[1]Summary!B12</f>
        <v>44396.82</v>
      </c>
      <c r="C18" s="808">
        <f>[1]Summary!C12</f>
        <v>27871.7088</v>
      </c>
      <c r="D18" s="812">
        <f>[1]Summary!D12</f>
        <v>18559.458060000001</v>
      </c>
      <c r="E18" s="815">
        <f>[1]Summary!E12</f>
        <v>30606.148988999998</v>
      </c>
      <c r="F18" s="817"/>
      <c r="G18" s="800" t="str">
        <f>[1]Summary!G12</f>
        <v>St. John</v>
      </c>
      <c r="H18" s="808">
        <f>[1]Summary!H12</f>
        <v>11.099205</v>
      </c>
      <c r="I18" s="808">
        <f>[1]Summary!I12</f>
        <v>10.399891343283581</v>
      </c>
      <c r="J18" s="812">
        <f>[1]Summary!J12</f>
        <v>10.678629493670886</v>
      </c>
      <c r="K18" s="820">
        <f>[1]Summary!K12</f>
        <v>10.616530480020781</v>
      </c>
    </row>
    <row r="19" spans="1:11" ht="17.25">
      <c r="A19" s="800" t="str">
        <f>[1]Summary!A13</f>
        <v>Bar Harbor (OPL)</v>
      </c>
      <c r="B19" s="806">
        <f>[1]Summary!B13</f>
        <v>17480</v>
      </c>
      <c r="C19" s="808">
        <f>[1]Summary!C13</f>
        <v>11711.6</v>
      </c>
      <c r="D19" s="812">
        <f>[1]Summary!D13</f>
        <v>7595.06</v>
      </c>
      <c r="E19" s="815">
        <f>[1]Summary!E13</f>
        <v>12536.218999999999</v>
      </c>
      <c r="F19" s="817"/>
      <c r="G19" s="800" t="str">
        <f>[1]Summary!G13</f>
        <v>Bar Harbor (OPL)</v>
      </c>
      <c r="H19" s="808">
        <f>[1]Summary!H13</f>
        <v>8.8699999999999992</v>
      </c>
      <c r="I19" s="808">
        <f>[1]Summary!I13</f>
        <v>8.8699999999999992</v>
      </c>
      <c r="J19" s="812">
        <f>[1]Summary!J13</f>
        <v>8.870000000000001</v>
      </c>
      <c r="K19" s="820">
        <f>[1]Summary!K13</f>
        <v>8.8699999999999992</v>
      </c>
    </row>
    <row r="20" spans="1:11" ht="17.25">
      <c r="A20" s="800" t="str">
        <f>[1]Summary!A14</f>
        <v>Portland</v>
      </c>
      <c r="B20" s="806">
        <f>[1]Summary!B14</f>
        <v>44000</v>
      </c>
      <c r="C20" s="808">
        <f>[1]Summary!C14</f>
        <v>29480</v>
      </c>
      <c r="D20" s="812">
        <f>[1]Summary!D14</f>
        <v>19118</v>
      </c>
      <c r="E20" s="815">
        <f>[1]Summary!E14</f>
        <v>31555.7</v>
      </c>
      <c r="F20" s="817"/>
      <c r="G20" s="800" t="str">
        <f>[1]Summary!G14</f>
        <v>Portland</v>
      </c>
      <c r="H20" s="808">
        <f>[1]Summary!H14</f>
        <v>13.27</v>
      </c>
      <c r="I20" s="808">
        <f>[1]Summary!I14</f>
        <v>14.388059701492537</v>
      </c>
      <c r="J20" s="812">
        <f>[1]Summary!J14</f>
        <v>16.22439585730725</v>
      </c>
      <c r="K20" s="820">
        <f>[1]Summary!K14</f>
        <v>14.383995199491608</v>
      </c>
    </row>
    <row r="21" spans="1:11" ht="17.25">
      <c r="A21" s="800" t="str">
        <f>[1]Summary!A15</f>
        <v>Boston</v>
      </c>
      <c r="B21" s="806">
        <f>[1]Summary!B15</f>
        <v>129466.25</v>
      </c>
      <c r="C21" s="808">
        <f>[1]Summary!C15</f>
        <v>87325.25</v>
      </c>
      <c r="D21" s="812">
        <f>[1]Summary!D15</f>
        <v>57065.8</v>
      </c>
      <c r="E21" s="815">
        <f>[1]Summary!E15</f>
        <v>93321.58249999999</v>
      </c>
      <c r="F21" s="817"/>
      <c r="G21" s="800" t="str">
        <f>[1]Summary!G15</f>
        <v>Boston</v>
      </c>
      <c r="H21" s="808">
        <f>[1]Summary!H15</f>
        <v>20.95328125</v>
      </c>
      <c r="I21" s="808">
        <f>[1]Summary!I15</f>
        <v>21.062024253731344</v>
      </c>
      <c r="J21" s="812">
        <f>[1]Summary!J15</f>
        <v>21.187088607594937</v>
      </c>
      <c r="K21" s="820">
        <f>[1]Summary!K15</f>
        <v>21.053598155878049</v>
      </c>
    </row>
    <row r="22" spans="1:11" ht="17.25">
      <c r="A22" s="800" t="str">
        <f>[1]Summary!A16</f>
        <v>MCT (Manhattan) - Published</v>
      </c>
      <c r="B22" s="806">
        <f>[1]Summary!B16</f>
        <v>218920</v>
      </c>
      <c r="C22" s="808">
        <f>[1]Summary!C16</f>
        <v>143884.79999999999</v>
      </c>
      <c r="D22" s="812">
        <f>[1]Summary!D16</f>
        <v>94031.96</v>
      </c>
      <c r="E22" s="815">
        <f>[1]Summary!E16</f>
        <v>155165.674</v>
      </c>
      <c r="F22" s="817"/>
      <c r="G22" s="800" t="str">
        <f>[1]Summary!G16</f>
        <v>MCT (Manhattan) - Published</v>
      </c>
      <c r="H22" s="808">
        <f>[1]Summary!H16</f>
        <v>27.364999999999998</v>
      </c>
      <c r="I22" s="808">
        <f>[1]Summary!I16</f>
        <v>26.844179104477611</v>
      </c>
      <c r="J22" s="812">
        <f>[1]Summary!J16</f>
        <v>27.051772151898735</v>
      </c>
      <c r="K22" s="820">
        <f>[1]Summary!K16</f>
        <v>27.005523285471373</v>
      </c>
    </row>
    <row r="23" spans="1:11" ht="17.25">
      <c r="A23" s="800" t="str">
        <f>[1]Summary!A17</f>
        <v>MCT (Manhattan) - Contract (2017)</v>
      </c>
      <c r="B23" s="806">
        <f>[1]Summary!B17</f>
        <v>194200</v>
      </c>
      <c r="C23" s="808">
        <f>[1]Summary!C17</f>
        <v>128120</v>
      </c>
      <c r="D23" s="812">
        <f>[1]Summary!D17</f>
        <v>83602.2</v>
      </c>
      <c r="E23" s="815">
        <f>[1]Summary!E17</f>
        <v>137962.32999999999</v>
      </c>
      <c r="F23" s="817"/>
      <c r="G23" s="800" t="str">
        <f>[1]Summary!G17</f>
        <v>MCT (Manhattan) - Contract (2017)</v>
      </c>
      <c r="H23" s="808">
        <f>[1]Summary!H17</f>
        <v>24.274999999999999</v>
      </c>
      <c r="I23" s="808">
        <f>[1]Summary!I17</f>
        <v>23.902985074626866</v>
      </c>
      <c r="J23" s="812">
        <f>[1]Summary!J17</f>
        <v>24.05126582278481</v>
      </c>
      <c r="K23" s="820">
        <f>[1]Summary!K17</f>
        <v>24.01823091819384</v>
      </c>
    </row>
    <row r="24" spans="1:11" ht="17.25">
      <c r="A24" s="800" t="str">
        <f>[1]Summary!A18</f>
        <v>BCT (Brooklyn) - Published</v>
      </c>
      <c r="B24" s="806">
        <f>[1]Summary!B18</f>
        <v>218920</v>
      </c>
      <c r="C24" s="808">
        <f>[1]Summary!C18</f>
        <v>143884.79999999999</v>
      </c>
      <c r="D24" s="812">
        <f>[1]Summary!D18</f>
        <v>94031.96</v>
      </c>
      <c r="E24" s="815">
        <f>[1]Summary!E18</f>
        <v>155165.674</v>
      </c>
      <c r="F24" s="817"/>
      <c r="G24" s="800" t="str">
        <f>[1]Summary!G18</f>
        <v>BCT (Brooklyn) - Published</v>
      </c>
      <c r="H24" s="808">
        <f>[1]Summary!H18</f>
        <v>27.364999999999998</v>
      </c>
      <c r="I24" s="808">
        <f>[1]Summary!I18</f>
        <v>26.844179104477611</v>
      </c>
      <c r="J24" s="812">
        <f>[1]Summary!J18</f>
        <v>27.051772151898735</v>
      </c>
      <c r="K24" s="820">
        <f>[1]Summary!K18</f>
        <v>27.005523285471373</v>
      </c>
    </row>
    <row r="25" spans="1:11" ht="17.25">
      <c r="A25" s="800" t="str">
        <f>[1]Summary!A19</f>
        <v>BCT (Brooklyn) - Contract (2017)</v>
      </c>
      <c r="B25" s="806">
        <f>[1]Summary!B19</f>
        <v>170300</v>
      </c>
      <c r="C25" s="808">
        <f>[1]Summary!C19</f>
        <v>113104</v>
      </c>
      <c r="D25" s="812">
        <f>[1]Summary!D19</f>
        <v>73606.5</v>
      </c>
      <c r="E25" s="815">
        <f>[1]Summary!E19</f>
        <v>121478.375</v>
      </c>
      <c r="F25" s="817"/>
      <c r="G25" s="800" t="str">
        <f>[1]Summary!G19</f>
        <v>BCT (Brooklyn) - Contract (2017)</v>
      </c>
      <c r="H25" s="808">
        <f>[1]Summary!H19</f>
        <v>21.287500000000001</v>
      </c>
      <c r="I25" s="808">
        <f>[1]Summary!I19</f>
        <v>21.101492537313433</v>
      </c>
      <c r="J25" s="812">
        <f>[1]Summary!J19</f>
        <v>21.175632911392405</v>
      </c>
      <c r="K25" s="820">
        <f>[1]Summary!K19</f>
        <v>21.15911545909692</v>
      </c>
    </row>
    <row r="26" spans="1:11" s="341" customFormat="1" ht="18" thickBot="1">
      <c r="A26" s="821" t="str">
        <f>[1]Summary!A20</f>
        <v>CLCT (Bayonne)</v>
      </c>
      <c r="B26" s="822">
        <f>[1]Summary!B20</f>
        <v>0</v>
      </c>
      <c r="C26" s="823">
        <f>[1]Summary!C20</f>
        <v>0</v>
      </c>
      <c r="D26" s="824">
        <f>[1]Summary!D20</f>
        <v>0</v>
      </c>
      <c r="E26" s="825">
        <f>[1]Summary!E20</f>
        <v>0</v>
      </c>
      <c r="F26" s="826"/>
      <c r="G26" s="821" t="str">
        <f>[1]Summary!G20</f>
        <v>CLCT (Bayonne)</v>
      </c>
      <c r="H26" s="823">
        <f>[1]Summary!H20</f>
        <v>0</v>
      </c>
      <c r="I26" s="823">
        <f>[1]Summary!I20</f>
        <v>0</v>
      </c>
      <c r="J26" s="824">
        <f>[1]Summary!J20</f>
        <v>0</v>
      </c>
      <c r="K26" s="827">
        <f>[1]Summary!K20</f>
        <v>0</v>
      </c>
    </row>
    <row r="27" spans="1:11">
      <c r="E27" s="87"/>
    </row>
    <row r="29" spans="1:11">
      <c r="D29" s="413"/>
    </row>
  </sheetData>
  <mergeCells count="8">
    <mergeCell ref="E12:E13"/>
    <mergeCell ref="K12:K13"/>
    <mergeCell ref="A7:E7"/>
    <mergeCell ref="G7:K7"/>
    <mergeCell ref="A9:E9"/>
    <mergeCell ref="G9:K9"/>
    <mergeCell ref="A11:E11"/>
    <mergeCell ref="G11:K11"/>
  </mergeCells>
  <pageMargins left="0.7" right="0.7" top="0.75" bottom="0.75" header="0.3" footer="0.3"/>
  <pageSetup orientation="portrait" horizontalDpi="1200" verticalDpi="12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FD193"/>
  <sheetViews>
    <sheetView topLeftCell="A115" zoomScale="70" zoomScaleNormal="70" workbookViewId="0">
      <selection activeCell="M97" sqref="M97"/>
    </sheetView>
  </sheetViews>
  <sheetFormatPr defaultColWidth="9" defaultRowHeight="16.5"/>
  <cols>
    <col min="1" max="1" width="45.625" style="33" customWidth="1"/>
    <col min="2" max="2" width="18.375" style="33" bestFit="1" customWidth="1"/>
    <col min="3" max="3" width="18.125" style="33" bestFit="1" customWidth="1"/>
    <col min="4" max="4" width="16.25" style="109" bestFit="1" customWidth="1"/>
    <col min="5" max="5" width="13.125" style="33" bestFit="1" customWidth="1"/>
    <col min="6" max="6" width="20.5" style="33" bestFit="1" customWidth="1"/>
    <col min="7" max="7" width="20.25" style="33" bestFit="1" customWidth="1"/>
    <col min="8" max="8" width="26.75" style="33" bestFit="1" customWidth="1"/>
    <col min="9" max="9" width="12.125" style="33" bestFit="1" customWidth="1"/>
    <col min="10" max="10" width="13.875" style="33" bestFit="1" customWidth="1"/>
    <col min="11" max="11" width="7.75" style="166" bestFit="1" customWidth="1"/>
    <col min="12" max="18" width="15.875" style="33" bestFit="1" customWidth="1"/>
    <col min="19" max="22" width="17.5" style="33" bestFit="1" customWidth="1"/>
    <col min="23" max="23" width="17.125" style="33" bestFit="1" customWidth="1"/>
    <col min="24" max="24" width="16.75" style="33" bestFit="1" customWidth="1"/>
    <col min="25" max="25" width="16.375" style="33" bestFit="1" customWidth="1"/>
    <col min="26" max="28" width="17.125" style="33" bestFit="1" customWidth="1"/>
    <col min="29" max="31" width="17.5" style="33" bestFit="1" customWidth="1"/>
    <col min="32" max="32" width="22.625" style="33" bestFit="1" customWidth="1"/>
    <col min="33" max="33" width="12.625" style="33" bestFit="1" customWidth="1"/>
    <col min="34" max="16384" width="9" style="33"/>
  </cols>
  <sheetData>
    <row r="1" spans="1:31" ht="18.75" thickBot="1">
      <c r="A1" s="11" t="str">
        <f>Intro!A1</f>
        <v>Town of Bar Harbor</v>
      </c>
      <c r="B1" s="13"/>
      <c r="C1" s="13"/>
      <c r="D1" s="99"/>
      <c r="E1" s="14"/>
      <c r="F1" s="14"/>
      <c r="G1" s="34"/>
      <c r="H1" s="34"/>
      <c r="I1" s="34"/>
      <c r="J1" s="34"/>
      <c r="K1" s="16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</row>
    <row r="2" spans="1:31" ht="17.25" thickBot="1">
      <c r="A2" s="380" t="str">
        <f>Intro!A2</f>
        <v>Ferry Property Business Plan</v>
      </c>
      <c r="B2" s="13"/>
      <c r="C2" s="13"/>
      <c r="D2" s="99"/>
      <c r="E2" s="14"/>
      <c r="F2" s="14"/>
      <c r="G2" s="34"/>
      <c r="H2" s="34"/>
      <c r="I2" s="34"/>
      <c r="J2" s="34"/>
      <c r="K2" s="16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</row>
    <row r="3" spans="1:31" s="392" customFormat="1" ht="14.25" thickBot="1">
      <c r="A3" s="384" t="str">
        <f>Intro!A3</f>
        <v>05.23.2018</v>
      </c>
      <c r="B3" s="2"/>
      <c r="C3" s="382"/>
      <c r="D3" s="393"/>
      <c r="E3" s="385"/>
      <c r="F3" s="385"/>
      <c r="G3" s="389"/>
      <c r="H3" s="389"/>
      <c r="I3" s="389"/>
      <c r="J3" s="389"/>
      <c r="K3" s="390"/>
      <c r="L3" s="391"/>
      <c r="M3" s="391"/>
      <c r="N3" s="391"/>
      <c r="O3" s="391"/>
      <c r="P3" s="391"/>
      <c r="Q3" s="391"/>
      <c r="R3" s="391"/>
      <c r="S3" s="391"/>
      <c r="T3" s="391"/>
      <c r="U3" s="391"/>
      <c r="V3" s="391"/>
      <c r="W3" s="391"/>
      <c r="X3" s="391"/>
      <c r="Y3" s="391"/>
      <c r="Z3" s="391"/>
      <c r="AA3" s="391"/>
      <c r="AB3" s="391"/>
      <c r="AC3" s="391"/>
      <c r="AD3" s="391"/>
      <c r="AE3" s="391"/>
    </row>
    <row r="4" spans="1:31" s="392" customFormat="1" ht="13.5">
      <c r="A4" s="384" t="str">
        <f ca="1">Intro!A4</f>
        <v>Town of Bar Harbor</v>
      </c>
      <c r="B4" s="382"/>
      <c r="C4" s="382"/>
      <c r="D4" s="393"/>
      <c r="E4" s="383">
        <f ca="1">NOW()</f>
        <v>43242.835659143515</v>
      </c>
      <c r="F4" s="383"/>
      <c r="G4" s="389"/>
      <c r="H4" s="389"/>
      <c r="I4" s="389"/>
      <c r="J4" s="389"/>
      <c r="K4" s="390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  <c r="W4" s="391"/>
      <c r="X4" s="391"/>
      <c r="Y4" s="391"/>
      <c r="Z4" s="391"/>
      <c r="AA4" s="391"/>
      <c r="AB4" s="391"/>
      <c r="AC4" s="391"/>
      <c r="AD4" s="391"/>
      <c r="AE4" s="391"/>
    </row>
    <row r="5" spans="1:31">
      <c r="A5" s="231" t="s">
        <v>342</v>
      </c>
      <c r="B5" s="231"/>
      <c r="C5" s="232"/>
      <c r="D5" s="233"/>
      <c r="E5" s="232"/>
      <c r="F5" s="232"/>
      <c r="G5" s="234"/>
      <c r="H5" s="234"/>
      <c r="I5" s="234"/>
      <c r="J5" s="234"/>
      <c r="K5" s="235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1:31">
      <c r="A6" s="237"/>
      <c r="B6" s="237"/>
      <c r="C6" s="237"/>
      <c r="D6" s="238"/>
      <c r="E6" s="237"/>
      <c r="F6" s="237"/>
      <c r="G6" s="237"/>
      <c r="H6" s="237"/>
      <c r="I6" s="237"/>
      <c r="J6" s="237"/>
      <c r="K6" s="659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</row>
    <row r="7" spans="1:31" ht="48.75" customHeight="1">
      <c r="A7" s="239"/>
      <c r="B7" s="240" t="s">
        <v>45</v>
      </c>
      <c r="C7" s="241" t="s">
        <v>46</v>
      </c>
      <c r="D7" s="242" t="s">
        <v>47</v>
      </c>
      <c r="E7" s="240" t="s">
        <v>21</v>
      </c>
      <c r="F7" s="240" t="s">
        <v>48</v>
      </c>
      <c r="G7" s="240" t="s">
        <v>49</v>
      </c>
      <c r="H7" s="240" t="s">
        <v>59</v>
      </c>
      <c r="I7" s="240" t="s">
        <v>22</v>
      </c>
      <c r="J7" s="240" t="s">
        <v>50</v>
      </c>
      <c r="K7" s="243">
        <v>2018</v>
      </c>
      <c r="L7" s="243">
        <v>2019</v>
      </c>
      <c r="M7" s="243">
        <v>2020</v>
      </c>
      <c r="N7" s="243">
        <v>2021</v>
      </c>
      <c r="O7" s="243">
        <v>2022</v>
      </c>
      <c r="P7" s="243">
        <v>2023</v>
      </c>
      <c r="Q7" s="243">
        <v>2024</v>
      </c>
      <c r="R7" s="243">
        <v>2025</v>
      </c>
      <c r="S7" s="243">
        <v>2026</v>
      </c>
      <c r="T7" s="243">
        <v>2027</v>
      </c>
      <c r="U7" s="243">
        <v>2028</v>
      </c>
      <c r="V7" s="243">
        <v>2029</v>
      </c>
      <c r="W7" s="243">
        <v>2030</v>
      </c>
      <c r="X7" s="243">
        <v>2031</v>
      </c>
      <c r="Y7" s="243">
        <v>2032</v>
      </c>
      <c r="Z7" s="243">
        <v>2033</v>
      </c>
      <c r="AA7" s="243">
        <v>2034</v>
      </c>
      <c r="AB7" s="243">
        <v>2035</v>
      </c>
      <c r="AC7" s="243">
        <v>2036</v>
      </c>
      <c r="AD7" s="243">
        <v>2037</v>
      </c>
      <c r="AE7" s="243">
        <v>2038</v>
      </c>
    </row>
    <row r="8" spans="1:31" s="18" customFormat="1" ht="17.25" thickBot="1">
      <c r="K8" s="488"/>
    </row>
    <row r="9" spans="1:31" s="18" customFormat="1" ht="17.25" thickBot="1">
      <c r="A9" s="117" t="s">
        <v>381</v>
      </c>
      <c r="B9" s="286" t="s">
        <v>218</v>
      </c>
      <c r="K9" s="489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  <c r="Y9" s="327"/>
      <c r="Z9" s="327"/>
      <c r="AA9" s="327"/>
      <c r="AB9" s="327"/>
      <c r="AC9" s="327"/>
      <c r="AD9" s="327"/>
      <c r="AE9" s="327"/>
    </row>
    <row r="10" spans="1:31" s="18" customFormat="1">
      <c r="A10" s="649"/>
      <c r="B10" s="372"/>
      <c r="K10" s="489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  <c r="Y10" s="327"/>
      <c r="Z10" s="327"/>
      <c r="AA10" s="327"/>
      <c r="AB10" s="327"/>
      <c r="AC10" s="327"/>
      <c r="AD10" s="327"/>
      <c r="AE10" s="327"/>
    </row>
    <row r="11" spans="1:31">
      <c r="A11" s="38" t="s">
        <v>52</v>
      </c>
      <c r="B11" s="38"/>
      <c r="C11" s="38"/>
      <c r="D11" s="101"/>
      <c r="E11" s="38"/>
      <c r="F11" s="38"/>
      <c r="G11" s="37"/>
      <c r="H11" s="37"/>
      <c r="I11" s="38"/>
      <c r="J11" s="37"/>
      <c r="K11" s="660"/>
      <c r="L11" s="311">
        <f>'BH Tariffs'!D52</f>
        <v>1.02</v>
      </c>
      <c r="M11" s="311">
        <f>'BH Tariffs'!E52</f>
        <v>1.0404</v>
      </c>
      <c r="N11" s="311">
        <f>'BH Tariffs'!F52</f>
        <v>1.0612079999999999</v>
      </c>
      <c r="O11" s="311">
        <f>'BH Tariffs'!G52</f>
        <v>1.08243216</v>
      </c>
      <c r="P11" s="311">
        <f>'BH Tariffs'!H52</f>
        <v>1.1040808032</v>
      </c>
      <c r="Q11" s="311">
        <f>'BH Tariffs'!I52</f>
        <v>1.1261624192640001</v>
      </c>
      <c r="R11" s="311">
        <f>'BH Tariffs'!J52</f>
        <v>1.14868566764928</v>
      </c>
      <c r="S11" s="311">
        <f>'BH Tariffs'!K52</f>
        <v>1.1716593810022657</v>
      </c>
      <c r="T11" s="311">
        <f>'BH Tariffs'!L52</f>
        <v>1.1950925686223111</v>
      </c>
      <c r="U11" s="311">
        <f>'BH Tariffs'!M52</f>
        <v>1.2189944199947573</v>
      </c>
      <c r="V11" s="311">
        <f>'BH Tariffs'!N52</f>
        <v>1.2433743083946525</v>
      </c>
      <c r="W11" s="311">
        <f>'BH Tariffs'!O52</f>
        <v>1.2682417945625455</v>
      </c>
      <c r="X11" s="311">
        <f>'BH Tariffs'!P52</f>
        <v>1.2936066304537963</v>
      </c>
      <c r="Y11" s="311">
        <f>'BH Tariffs'!Q52</f>
        <v>1.3194787630628724</v>
      </c>
      <c r="Z11" s="311">
        <f>'BH Tariffs'!R52</f>
        <v>1.3458683383241299</v>
      </c>
      <c r="AA11" s="311">
        <f>'BH Tariffs'!S52</f>
        <v>1.3727857050906125</v>
      </c>
      <c r="AB11" s="311">
        <f>'BH Tariffs'!T52</f>
        <v>1.4002414191924248</v>
      </c>
      <c r="AC11" s="311">
        <f>'BH Tariffs'!U52</f>
        <v>1.4282462475762734</v>
      </c>
      <c r="AD11" s="311">
        <f>'BH Tariffs'!V52</f>
        <v>1.4568111725277988</v>
      </c>
      <c r="AE11" s="311">
        <f>'BH Tariffs'!W52</f>
        <v>1.4859473959783549</v>
      </c>
    </row>
    <row r="12" spans="1:31">
      <c r="A12" s="38" t="s">
        <v>58</v>
      </c>
      <c r="B12" s="38"/>
      <c r="C12" s="37"/>
      <c r="D12" s="76"/>
      <c r="E12" s="79">
        <v>0.2</v>
      </c>
      <c r="F12" s="172"/>
      <c r="G12" s="36"/>
      <c r="H12" s="36"/>
      <c r="I12" s="38"/>
      <c r="J12" s="36"/>
      <c r="K12" s="661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200"/>
      <c r="AC12" s="200"/>
      <c r="AD12" s="200"/>
      <c r="AE12" s="200"/>
    </row>
    <row r="13" spans="1:31">
      <c r="A13" s="38" t="s">
        <v>51</v>
      </c>
      <c r="B13" s="38"/>
      <c r="C13" s="37"/>
      <c r="D13" s="76"/>
      <c r="E13" s="79"/>
      <c r="F13" s="79">
        <v>0.4</v>
      </c>
      <c r="G13" s="36"/>
      <c r="H13" s="36"/>
      <c r="I13" s="38"/>
      <c r="J13" s="36"/>
      <c r="K13" s="661"/>
      <c r="L13" s="200"/>
      <c r="M13" s="200"/>
      <c r="N13" s="200"/>
      <c r="O13" s="200"/>
      <c r="P13" s="200"/>
      <c r="Q13" s="200"/>
      <c r="R13" s="200"/>
      <c r="S13" s="200"/>
      <c r="T13" s="200"/>
      <c r="U13" s="200"/>
      <c r="V13" s="200"/>
      <c r="W13" s="200"/>
      <c r="X13" s="200"/>
      <c r="Y13" s="200"/>
      <c r="Z13" s="200"/>
      <c r="AA13" s="200"/>
      <c r="AB13" s="200"/>
      <c r="AC13" s="200"/>
      <c r="AD13" s="200"/>
      <c r="AE13" s="200"/>
    </row>
    <row r="14" spans="1:31" s="18" customFormat="1">
      <c r="A14" s="649"/>
      <c r="B14" s="372"/>
      <c r="K14" s="489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7"/>
      <c r="X14" s="327"/>
      <c r="Y14" s="327"/>
      <c r="Z14" s="327"/>
      <c r="AA14" s="327"/>
      <c r="AB14" s="327"/>
      <c r="AC14" s="327"/>
      <c r="AD14" s="327"/>
      <c r="AE14" s="327"/>
    </row>
    <row r="15" spans="1:31" s="18" customFormat="1">
      <c r="K15" s="489"/>
      <c r="L15" s="327"/>
      <c r="M15" s="327"/>
      <c r="N15" s="327"/>
      <c r="O15" s="327"/>
      <c r="P15" s="327"/>
      <c r="Q15" s="327"/>
      <c r="R15" s="327"/>
      <c r="S15" s="327"/>
      <c r="T15" s="327"/>
      <c r="U15" s="327"/>
      <c r="V15" s="327"/>
      <c r="W15" s="327"/>
      <c r="X15" s="327"/>
      <c r="Y15" s="327"/>
      <c r="Z15" s="327"/>
      <c r="AA15" s="327"/>
      <c r="AB15" s="327"/>
      <c r="AC15" s="327"/>
      <c r="AD15" s="327"/>
      <c r="AE15" s="327"/>
    </row>
    <row r="16" spans="1:31" s="547" customFormat="1" ht="14.25">
      <c r="A16" s="547" t="s">
        <v>83</v>
      </c>
      <c r="K16" s="619"/>
      <c r="L16" s="620"/>
      <c r="M16" s="620"/>
      <c r="N16" s="620"/>
      <c r="O16" s="620"/>
      <c r="P16" s="620"/>
      <c r="Q16" s="620"/>
      <c r="R16" s="620"/>
      <c r="S16" s="620"/>
      <c r="T16" s="620"/>
      <c r="U16" s="620"/>
      <c r="V16" s="620"/>
      <c r="W16" s="620"/>
      <c r="X16" s="620"/>
      <c r="Y16" s="620"/>
      <c r="Z16" s="620"/>
      <c r="AA16" s="620"/>
      <c r="AB16" s="620"/>
      <c r="AC16" s="620"/>
      <c r="AD16" s="620"/>
      <c r="AE16" s="620"/>
    </row>
    <row r="17" spans="1:31" s="341" customFormat="1">
      <c r="A17" s="621" t="str">
        <f>'Cruise Projections'!A67</f>
        <v>Passengers</v>
      </c>
      <c r="B17" s="553"/>
      <c r="C17" s="553"/>
      <c r="K17" s="554">
        <f>'Cruise Projections'!T67</f>
        <v>0</v>
      </c>
      <c r="L17" s="555">
        <v>0</v>
      </c>
      <c r="M17" s="555">
        <f>'Cruise Projections'!V67</f>
        <v>85991.052936876848</v>
      </c>
      <c r="N17" s="555">
        <f>'Cruise Projections'!W67</f>
        <v>89860.6503190363</v>
      </c>
      <c r="O17" s="555">
        <f>'Cruise Projections'!X67</f>
        <v>93904.379583392918</v>
      </c>
      <c r="P17" s="555">
        <f>'Cruise Projections'!Y67</f>
        <v>98130.076664645603</v>
      </c>
      <c r="Q17" s="555">
        <f>'Cruise Projections'!Z67</f>
        <v>102545.93011455465</v>
      </c>
      <c r="R17" s="555">
        <f>'Cruise Projections'!AA67</f>
        <v>107160.49696970959</v>
      </c>
      <c r="S17" s="555">
        <f>'Cruise Projections'!AB67</f>
        <v>111982.71933334653</v>
      </c>
      <c r="T17" s="555">
        <f>'Cruise Projections'!AC67</f>
        <v>115342.20091334693</v>
      </c>
      <c r="U17" s="555">
        <f>'Cruise Projections'!AD67</f>
        <v>118802.46694074733</v>
      </c>
      <c r="V17" s="555">
        <f>'Cruise Projections'!AE67</f>
        <v>122366.54094896976</v>
      </c>
      <c r="W17" s="555">
        <f>'Cruise Projections'!AF67</f>
        <v>126037.53717743886</v>
      </c>
      <c r="X17" s="555">
        <f>'Cruise Projections'!AG67</f>
        <v>129818.66329276202</v>
      </c>
      <c r="Y17" s="555">
        <f>'Cruise Projections'!AH67</f>
        <v>133713.22319154488</v>
      </c>
      <c r="Z17" s="555">
        <f>'Cruise Projections'!AI67</f>
        <v>137724.61988729122</v>
      </c>
      <c r="AA17" s="555">
        <f>'Cruise Projections'!AJ67</f>
        <v>141856.35848390998</v>
      </c>
      <c r="AB17" s="555">
        <f>'Cruise Projections'!AK67</f>
        <v>146112.04923842728</v>
      </c>
      <c r="AC17" s="555">
        <f>'Cruise Projections'!AL67</f>
        <v>150495.4107155801</v>
      </c>
      <c r="AD17" s="555">
        <f>'Cruise Projections'!AM67</f>
        <v>155010.2730370475</v>
      </c>
      <c r="AE17" s="555">
        <f>'Cruise Projections'!AN67</f>
        <v>159660.58122815893</v>
      </c>
    </row>
    <row r="18" spans="1:31" s="341" customFormat="1">
      <c r="A18" s="621" t="str">
        <f>'Cruise Projections'!A68</f>
        <v>Calls</v>
      </c>
      <c r="B18" s="553"/>
      <c r="C18" s="553"/>
      <c r="K18" s="554">
        <f>'Cruise Projections'!T68</f>
        <v>0</v>
      </c>
      <c r="L18" s="555">
        <v>0</v>
      </c>
      <c r="M18" s="555">
        <f>'Cruise Projections'!V68</f>
        <v>31.102343084676253</v>
      </c>
      <c r="N18" s="555">
        <f>'Cruise Projections'!W68</f>
        <v>33.08079253393673</v>
      </c>
      <c r="O18" s="555">
        <f>'Cruise Projections'!X68</f>
        <v>34.751627733366121</v>
      </c>
      <c r="P18" s="555">
        <f>'Cruise Projections'!Y68</f>
        <v>35.893083709582015</v>
      </c>
      <c r="Q18" s="555">
        <f>'Cruise Projections'!Z68</f>
        <v>37.101192669283478</v>
      </c>
      <c r="R18" s="555">
        <f>'Cruise Projections'!AA68</f>
        <v>38.428851859015516</v>
      </c>
      <c r="S18" s="555">
        <f>'Cruise Projections'!AB68</f>
        <v>39.743393287481908</v>
      </c>
      <c r="T18" s="555">
        <f>'Cruise Projections'!AC68</f>
        <v>40.393144256705909</v>
      </c>
      <c r="U18" s="555">
        <f>'Cruise Projections'!AD68</f>
        <v>41.182784800148873</v>
      </c>
      <c r="V18" s="555">
        <f>'Cruise Projections'!AE68</f>
        <v>42.00581197297619</v>
      </c>
      <c r="W18" s="555">
        <f>'Cruise Projections'!AF68</f>
        <v>42.427677626093356</v>
      </c>
      <c r="X18" s="555">
        <f>'Cruise Projections'!AG68</f>
        <v>42.444707284491429</v>
      </c>
      <c r="Y18" s="555">
        <f>'Cruise Projections'!AH68</f>
        <v>42.366158474806085</v>
      </c>
      <c r="Z18" s="555">
        <f>'Cruise Projections'!AI68</f>
        <v>42.539206123732718</v>
      </c>
      <c r="AA18" s="555">
        <f>'Cruise Projections'!AJ68</f>
        <v>42.657554770462752</v>
      </c>
      <c r="AB18" s="555">
        <f>'Cruise Projections'!AK68</f>
        <v>42.717111591748328</v>
      </c>
      <c r="AC18" s="555">
        <f>'Cruise Projections'!AL68</f>
        <v>42.983945805620365</v>
      </c>
      <c r="AD18" s="555">
        <f>'Cruise Projections'!AM68</f>
        <v>43.051784597932915</v>
      </c>
      <c r="AE18" s="555">
        <f>'Cruise Projections'!AN68</f>
        <v>43.030880982919477</v>
      </c>
    </row>
    <row r="19" spans="1:31" s="341" customFormat="1">
      <c r="A19" s="621" t="str">
        <f>'Cruise Projections'!A69</f>
        <v>Passengers per Call</v>
      </c>
      <c r="B19" s="553"/>
      <c r="C19" s="553"/>
      <c r="K19" s="554">
        <f>'Cruise Projections'!T69</f>
        <v>0</v>
      </c>
      <c r="L19" s="555">
        <v>0</v>
      </c>
      <c r="M19" s="555">
        <f>'Cruise Projections'!V69</f>
        <v>2764.7773257071294</v>
      </c>
      <c r="N19" s="555">
        <f>'Cruise Projections'!W69</f>
        <v>2716.3995610700858</v>
      </c>
      <c r="O19" s="555">
        <f>'Cruise Projections'!X69</f>
        <v>2702.1577321177506</v>
      </c>
      <c r="P19" s="555">
        <f>'Cruise Projections'!Y69</f>
        <v>2733.9550276213467</v>
      </c>
      <c r="Q19" s="555">
        <f>'Cruise Projections'!Z69</f>
        <v>2763.9523890414889</v>
      </c>
      <c r="R19" s="555">
        <f>'Cruise Projections'!AA69</f>
        <v>2788.5427689292114</v>
      </c>
      <c r="S19" s="555">
        <f>'Cruise Projections'!AB69</f>
        <v>2817.6436401221445</v>
      </c>
      <c r="T19" s="555">
        <f>'Cruise Projections'!AC69</f>
        <v>2855.489540015154</v>
      </c>
      <c r="U19" s="555">
        <f>'Cruise Projections'!AD69</f>
        <v>2884.7604045542316</v>
      </c>
      <c r="V19" s="555">
        <f>'Cruise Projections'!AE69</f>
        <v>2913.0859564788902</v>
      </c>
      <c r="W19" s="555">
        <f>'Cruise Projections'!AF69</f>
        <v>2970.6442640623059</v>
      </c>
      <c r="X19" s="555">
        <f>'Cruise Projections'!AG69</f>
        <v>3058.5359541446419</v>
      </c>
      <c r="Y19" s="555">
        <f>'Cruise Projections'!AH69</f>
        <v>3156.1328193364575</v>
      </c>
      <c r="Z19" s="555">
        <f>'Cruise Projections'!AI69</f>
        <v>3237.5926218908526</v>
      </c>
      <c r="AA19" s="555">
        <f>'Cruise Projections'!AJ69</f>
        <v>3325.4685892622979</v>
      </c>
      <c r="AB19" s="555">
        <f>'Cruise Projections'!AK69</f>
        <v>3420.4571375245273</v>
      </c>
      <c r="AC19" s="555">
        <f>'Cruise Projections'!AL69</f>
        <v>3501.2004574019838</v>
      </c>
      <c r="AD19" s="555">
        <f>'Cruise Projections'!AM69</f>
        <v>3600.5539488016984</v>
      </c>
      <c r="AE19" s="555">
        <f>'Cruise Projections'!AN69</f>
        <v>3710.3721230233241</v>
      </c>
    </row>
    <row r="20" spans="1:31" s="341" customFormat="1">
      <c r="A20" s="552" t="s">
        <v>313</v>
      </c>
      <c r="B20" s="553"/>
      <c r="C20" s="553"/>
      <c r="K20" s="554">
        <f>'Cruise Projections'!T70</f>
        <v>0</v>
      </c>
      <c r="L20" s="555">
        <f>'Shuttle Projections'!C13</f>
        <v>0</v>
      </c>
      <c r="M20" s="555">
        <f>'Shuttle Projections'!D13</f>
        <v>0</v>
      </c>
      <c r="N20" s="555">
        <f>'Shuttle Projections'!E13</f>
        <v>0</v>
      </c>
      <c r="O20" s="555">
        <f>'Shuttle Projections'!F13</f>
        <v>0</v>
      </c>
      <c r="P20" s="555">
        <f>'Shuttle Projections'!G13</f>
        <v>0</v>
      </c>
      <c r="Q20" s="555">
        <f>'Shuttle Projections'!H13</f>
        <v>0</v>
      </c>
      <c r="R20" s="555">
        <f>'Shuttle Projections'!I13</f>
        <v>0</v>
      </c>
      <c r="S20" s="555">
        <f>'Shuttle Projections'!J13</f>
        <v>0</v>
      </c>
      <c r="T20" s="555">
        <f>'Shuttle Projections'!K13</f>
        <v>0</v>
      </c>
      <c r="U20" s="555">
        <f>'Shuttle Projections'!L13</f>
        <v>0</v>
      </c>
      <c r="V20" s="555">
        <f>'Shuttle Projections'!M13</f>
        <v>0</v>
      </c>
      <c r="W20" s="555">
        <f>'Shuttle Projections'!N13</f>
        <v>0</v>
      </c>
      <c r="X20" s="555">
        <f>'Shuttle Projections'!O13</f>
        <v>0</v>
      </c>
      <c r="Y20" s="555">
        <f>'Shuttle Projections'!P13</f>
        <v>0</v>
      </c>
      <c r="Z20" s="555">
        <f>'Shuttle Projections'!Q13</f>
        <v>0</v>
      </c>
      <c r="AA20" s="555">
        <f>'Shuttle Projections'!R13</f>
        <v>0</v>
      </c>
      <c r="AB20" s="555">
        <f>'Shuttle Projections'!S13</f>
        <v>0</v>
      </c>
      <c r="AC20" s="555">
        <f>'Shuttle Projections'!T13</f>
        <v>0</v>
      </c>
      <c r="AD20" s="555">
        <f>'Shuttle Projections'!U13</f>
        <v>0</v>
      </c>
      <c r="AE20" s="555">
        <f>'Shuttle Projections'!V13</f>
        <v>0</v>
      </c>
    </row>
    <row r="21" spans="1:31" s="18" customFormat="1">
      <c r="A21" s="54"/>
      <c r="B21" s="21"/>
      <c r="C21" s="21"/>
      <c r="K21" s="486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  <c r="Y21" s="313"/>
      <c r="Z21" s="313"/>
      <c r="AA21" s="313"/>
      <c r="AB21" s="313"/>
      <c r="AC21" s="313"/>
      <c r="AD21" s="313"/>
      <c r="AE21" s="313"/>
    </row>
    <row r="22" spans="1:31" s="547" customFormat="1" ht="14.25">
      <c r="A22" s="549" t="s">
        <v>163</v>
      </c>
      <c r="B22" s="550"/>
      <c r="C22" s="550"/>
      <c r="K22" s="610"/>
      <c r="L22" s="551"/>
      <c r="M22" s="551"/>
      <c r="N22" s="551"/>
      <c r="O22" s="551"/>
      <c r="P22" s="551"/>
      <c r="Q22" s="551"/>
      <c r="R22" s="551"/>
      <c r="S22" s="551"/>
      <c r="T22" s="551"/>
      <c r="U22" s="551"/>
      <c r="V22" s="551"/>
      <c r="W22" s="551"/>
      <c r="X22" s="551"/>
      <c r="Y22" s="551"/>
      <c r="Z22" s="551"/>
      <c r="AA22" s="551"/>
      <c r="AB22" s="551"/>
      <c r="AC22" s="551"/>
      <c r="AD22" s="551"/>
      <c r="AE22" s="551"/>
    </row>
    <row r="23" spans="1:31" s="341" customFormat="1">
      <c r="A23" s="552" t="str">
        <f>'International Ferry Projections'!A11</f>
        <v>Passengers</v>
      </c>
      <c r="B23" s="553"/>
      <c r="C23" s="553"/>
      <c r="K23" s="554">
        <f>'International Ferry Projections'!B11</f>
        <v>0</v>
      </c>
      <c r="L23" s="555">
        <f>'International Ferry Projections'!C11</f>
        <v>60000</v>
      </c>
      <c r="M23" s="555">
        <f>'International Ferry Projections'!D11</f>
        <v>70000</v>
      </c>
      <c r="N23" s="555">
        <f>'International Ferry Projections'!E11</f>
        <v>80000</v>
      </c>
      <c r="O23" s="555">
        <f>'International Ferry Projections'!F11</f>
        <v>80000</v>
      </c>
      <c r="P23" s="555">
        <f>'International Ferry Projections'!G11</f>
        <v>80000</v>
      </c>
      <c r="Q23" s="555">
        <f>'International Ferry Projections'!H11</f>
        <v>80000</v>
      </c>
      <c r="R23" s="555">
        <f>'International Ferry Projections'!I11</f>
        <v>80000</v>
      </c>
      <c r="S23" s="555">
        <f>'International Ferry Projections'!J11</f>
        <v>80000</v>
      </c>
      <c r="T23" s="555">
        <f>'International Ferry Projections'!K11</f>
        <v>80000</v>
      </c>
      <c r="U23" s="555">
        <f>'International Ferry Projections'!L11</f>
        <v>80000</v>
      </c>
      <c r="V23" s="555">
        <f>'International Ferry Projections'!M11</f>
        <v>80000</v>
      </c>
      <c r="W23" s="555">
        <f>'International Ferry Projections'!N11</f>
        <v>80000</v>
      </c>
      <c r="X23" s="555">
        <f>'International Ferry Projections'!O11</f>
        <v>80000</v>
      </c>
      <c r="Y23" s="555">
        <f>'International Ferry Projections'!P11</f>
        <v>80000</v>
      </c>
      <c r="Z23" s="555">
        <f>'International Ferry Projections'!Q11</f>
        <v>80000</v>
      </c>
      <c r="AA23" s="555">
        <f>'International Ferry Projections'!R11</f>
        <v>80000</v>
      </c>
      <c r="AB23" s="555">
        <f>'International Ferry Projections'!S11</f>
        <v>80000</v>
      </c>
      <c r="AC23" s="555">
        <f>'International Ferry Projections'!T11</f>
        <v>80000</v>
      </c>
      <c r="AD23" s="555">
        <f>'International Ferry Projections'!U11</f>
        <v>80000</v>
      </c>
      <c r="AE23" s="555">
        <f>'International Ferry Projections'!V11</f>
        <v>80000</v>
      </c>
    </row>
    <row r="24" spans="1:31" s="341" customFormat="1">
      <c r="A24" s="552" t="str">
        <f>'International Ferry Projections'!A12</f>
        <v>Cars</v>
      </c>
      <c r="B24" s="553"/>
      <c r="C24" s="553"/>
      <c r="K24" s="554">
        <f>'International Ferry Projections'!B12</f>
        <v>0</v>
      </c>
      <c r="L24" s="555">
        <f>'International Ferry Projections'!C12</f>
        <v>24000</v>
      </c>
      <c r="M24" s="555">
        <f>'International Ferry Projections'!D12</f>
        <v>28000</v>
      </c>
      <c r="N24" s="555">
        <f>'International Ferry Projections'!E12</f>
        <v>32000</v>
      </c>
      <c r="O24" s="555">
        <f>'International Ferry Projections'!F12</f>
        <v>32000</v>
      </c>
      <c r="P24" s="555">
        <f>'International Ferry Projections'!G12</f>
        <v>32000</v>
      </c>
      <c r="Q24" s="555">
        <f>'International Ferry Projections'!H12</f>
        <v>32000</v>
      </c>
      <c r="R24" s="555">
        <f>'International Ferry Projections'!I12</f>
        <v>32000</v>
      </c>
      <c r="S24" s="555">
        <f>'International Ferry Projections'!J12</f>
        <v>32000</v>
      </c>
      <c r="T24" s="555">
        <f>'International Ferry Projections'!K12</f>
        <v>32000</v>
      </c>
      <c r="U24" s="555">
        <f>'International Ferry Projections'!L12</f>
        <v>32000</v>
      </c>
      <c r="V24" s="555">
        <f>'International Ferry Projections'!M12</f>
        <v>32000</v>
      </c>
      <c r="W24" s="555">
        <f>'International Ferry Projections'!N12</f>
        <v>32000</v>
      </c>
      <c r="X24" s="555">
        <f>'International Ferry Projections'!O12</f>
        <v>32000</v>
      </c>
      <c r="Y24" s="555">
        <f>'International Ferry Projections'!P12</f>
        <v>32000</v>
      </c>
      <c r="Z24" s="555">
        <f>'International Ferry Projections'!Q12</f>
        <v>32000</v>
      </c>
      <c r="AA24" s="555">
        <f>'International Ferry Projections'!R12</f>
        <v>32000</v>
      </c>
      <c r="AB24" s="555">
        <f>'International Ferry Projections'!S12</f>
        <v>32000</v>
      </c>
      <c r="AC24" s="555">
        <f>'International Ferry Projections'!T12</f>
        <v>32000</v>
      </c>
      <c r="AD24" s="555">
        <f>'International Ferry Projections'!U12</f>
        <v>32000</v>
      </c>
      <c r="AE24" s="555">
        <f>'International Ferry Projections'!V12</f>
        <v>32000</v>
      </c>
    </row>
    <row r="25" spans="1:31" s="341" customFormat="1">
      <c r="A25" s="552" t="str">
        <f>'International Ferry Projections'!A13</f>
        <v>Buses</v>
      </c>
      <c r="B25" s="553"/>
      <c r="C25" s="553"/>
      <c r="K25" s="554">
        <f>'International Ferry Projections'!B13</f>
        <v>0</v>
      </c>
      <c r="L25" s="555">
        <f>'International Ferry Projections'!C13</f>
        <v>40</v>
      </c>
      <c r="M25" s="555">
        <f>'International Ferry Projections'!D13</f>
        <v>50</v>
      </c>
      <c r="N25" s="555">
        <f>'International Ferry Projections'!E13</f>
        <v>60</v>
      </c>
      <c r="O25" s="555">
        <f>'International Ferry Projections'!F13</f>
        <v>60</v>
      </c>
      <c r="P25" s="555">
        <f>'International Ferry Projections'!G13</f>
        <v>60</v>
      </c>
      <c r="Q25" s="555">
        <f>'International Ferry Projections'!H13</f>
        <v>60</v>
      </c>
      <c r="R25" s="555">
        <f>'International Ferry Projections'!I13</f>
        <v>60</v>
      </c>
      <c r="S25" s="555">
        <f>'International Ferry Projections'!J13</f>
        <v>60</v>
      </c>
      <c r="T25" s="555">
        <f>'International Ferry Projections'!K13</f>
        <v>60</v>
      </c>
      <c r="U25" s="555">
        <f>'International Ferry Projections'!L13</f>
        <v>60</v>
      </c>
      <c r="V25" s="555">
        <f>'International Ferry Projections'!M13</f>
        <v>60</v>
      </c>
      <c r="W25" s="555">
        <f>'International Ferry Projections'!N13</f>
        <v>60</v>
      </c>
      <c r="X25" s="555">
        <f>'International Ferry Projections'!O13</f>
        <v>60</v>
      </c>
      <c r="Y25" s="555">
        <f>'International Ferry Projections'!P13</f>
        <v>60</v>
      </c>
      <c r="Z25" s="555">
        <f>'International Ferry Projections'!Q13</f>
        <v>60</v>
      </c>
      <c r="AA25" s="555">
        <f>'International Ferry Projections'!R13</f>
        <v>60</v>
      </c>
      <c r="AB25" s="555">
        <f>'International Ferry Projections'!S13</f>
        <v>60</v>
      </c>
      <c r="AC25" s="555">
        <f>'International Ferry Projections'!T13</f>
        <v>60</v>
      </c>
      <c r="AD25" s="555">
        <f>'International Ferry Projections'!U13</f>
        <v>60</v>
      </c>
      <c r="AE25" s="555">
        <f>'International Ferry Projections'!V13</f>
        <v>60</v>
      </c>
    </row>
    <row r="26" spans="1:31" s="18" customFormat="1">
      <c r="A26" s="54"/>
      <c r="B26" s="21"/>
      <c r="C26" s="21"/>
      <c r="K26" s="486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</row>
    <row r="27" spans="1:31" s="582" customFormat="1">
      <c r="A27" s="293" t="str">
        <f>'BH Tariffs'!A30</f>
        <v>Local Ferry</v>
      </c>
      <c r="B27" s="581"/>
      <c r="C27" s="581"/>
      <c r="K27" s="486">
        <v>0</v>
      </c>
      <c r="L27" s="329"/>
      <c r="M27" s="329"/>
      <c r="N27" s="329"/>
      <c r="O27" s="329"/>
      <c r="P27" s="329"/>
      <c r="Q27" s="329"/>
      <c r="R27" s="329"/>
      <c r="S27" s="329"/>
      <c r="T27" s="329"/>
      <c r="U27" s="329"/>
      <c r="V27" s="329"/>
      <c r="W27" s="329"/>
      <c r="X27" s="329"/>
      <c r="Y27" s="329"/>
      <c r="Z27" s="329"/>
      <c r="AA27" s="329"/>
      <c r="AB27" s="329"/>
      <c r="AC27" s="329"/>
      <c r="AD27" s="329"/>
      <c r="AE27" s="329"/>
    </row>
    <row r="28" spans="1:31" s="96" customFormat="1">
      <c r="A28" s="54" t="str">
        <f>'BH Tariffs'!A31</f>
        <v>Dock Rent (6 Months Only)</v>
      </c>
      <c r="B28" s="487"/>
      <c r="C28" s="487"/>
      <c r="K28" s="486">
        <v>0</v>
      </c>
      <c r="L28" s="623" t="s">
        <v>286</v>
      </c>
      <c r="M28" s="623" t="s">
        <v>286</v>
      </c>
      <c r="N28" s="623" t="s">
        <v>286</v>
      </c>
      <c r="O28" s="623" t="s">
        <v>286</v>
      </c>
      <c r="P28" s="623" t="s">
        <v>286</v>
      </c>
      <c r="Q28" s="623" t="s">
        <v>286</v>
      </c>
      <c r="R28" s="623" t="s">
        <v>286</v>
      </c>
      <c r="S28" s="623" t="s">
        <v>286</v>
      </c>
      <c r="T28" s="623" t="s">
        <v>286</v>
      </c>
      <c r="U28" s="623" t="s">
        <v>286</v>
      </c>
      <c r="V28" s="623" t="s">
        <v>286</v>
      </c>
      <c r="W28" s="623" t="s">
        <v>286</v>
      </c>
      <c r="X28" s="623" t="s">
        <v>286</v>
      </c>
      <c r="Y28" s="623" t="s">
        <v>286</v>
      </c>
      <c r="Z28" s="623" t="s">
        <v>286</v>
      </c>
      <c r="AA28" s="623" t="s">
        <v>286</v>
      </c>
      <c r="AB28" s="623" t="s">
        <v>286</v>
      </c>
      <c r="AC28" s="623" t="s">
        <v>286</v>
      </c>
      <c r="AD28" s="623" t="s">
        <v>286</v>
      </c>
      <c r="AE28" s="623" t="s">
        <v>286</v>
      </c>
    </row>
    <row r="29" spans="1:31" s="341" customFormat="1">
      <c r="A29" s="552"/>
      <c r="B29" s="553"/>
      <c r="C29" s="553"/>
      <c r="K29" s="554"/>
      <c r="L29" s="555"/>
      <c r="M29" s="555"/>
      <c r="N29" s="555"/>
      <c r="O29" s="555"/>
      <c r="P29" s="555"/>
      <c r="Q29" s="555"/>
      <c r="R29" s="555"/>
      <c r="S29" s="555"/>
      <c r="T29" s="555"/>
      <c r="U29" s="555"/>
      <c r="V29" s="555"/>
      <c r="W29" s="555"/>
      <c r="X29" s="555"/>
      <c r="Y29" s="555"/>
      <c r="Z29" s="555"/>
      <c r="AA29" s="555"/>
      <c r="AB29" s="555"/>
      <c r="AC29" s="555"/>
      <c r="AD29" s="555"/>
      <c r="AE29" s="555"/>
    </row>
    <row r="30" spans="1:31" s="96" customFormat="1">
      <c r="A30" s="559" t="s">
        <v>227</v>
      </c>
      <c r="B30" s="487"/>
      <c r="C30" s="487"/>
      <c r="K30" s="486"/>
      <c r="L30" s="313"/>
      <c r="M30" s="313"/>
      <c r="N30" s="313"/>
      <c r="O30" s="313"/>
      <c r="P30" s="313"/>
      <c r="Q30" s="313"/>
      <c r="R30" s="313"/>
      <c r="S30" s="313"/>
      <c r="T30" s="313"/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</row>
    <row r="31" spans="1:31" s="96" customFormat="1">
      <c r="A31" s="559"/>
      <c r="B31" s="487"/>
      <c r="C31" s="487"/>
      <c r="K31" s="486"/>
      <c r="L31" s="313"/>
      <c r="M31" s="313"/>
      <c r="N31" s="313"/>
      <c r="O31" s="313"/>
      <c r="P31" s="313"/>
      <c r="Q31" s="313"/>
      <c r="R31" s="313"/>
      <c r="S31" s="313"/>
      <c r="T31" s="313"/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</row>
    <row r="32" spans="1:31" s="18" customFormat="1">
      <c r="A32" s="54" t="s">
        <v>420</v>
      </c>
      <c r="B32" s="21"/>
      <c r="C32" s="21"/>
      <c r="K32" s="486"/>
      <c r="L32" s="313">
        <f>'Marina Projections'!C9</f>
        <v>0</v>
      </c>
      <c r="M32" s="313">
        <f>'Marina Projections'!D9</f>
        <v>214</v>
      </c>
      <c r="N32" s="313">
        <f>'Marina Projections'!E9</f>
        <v>214</v>
      </c>
      <c r="O32" s="313">
        <f>'Marina Projections'!F9</f>
        <v>214</v>
      </c>
      <c r="P32" s="313">
        <f>'Marina Projections'!G9</f>
        <v>214</v>
      </c>
      <c r="Q32" s="313">
        <f>'Marina Projections'!H9</f>
        <v>214</v>
      </c>
      <c r="R32" s="313">
        <f>'Marina Projections'!I9</f>
        <v>214</v>
      </c>
      <c r="S32" s="313">
        <f>'Marina Projections'!J9</f>
        <v>214</v>
      </c>
      <c r="T32" s="313">
        <f>'Marina Projections'!K9</f>
        <v>214</v>
      </c>
      <c r="U32" s="313">
        <f>'Marina Projections'!L9</f>
        <v>214</v>
      </c>
      <c r="V32" s="313">
        <f>'Marina Projections'!M9</f>
        <v>214</v>
      </c>
      <c r="W32" s="313">
        <f>'Marina Projections'!N9</f>
        <v>214</v>
      </c>
      <c r="X32" s="313">
        <f>'Marina Projections'!O9</f>
        <v>214</v>
      </c>
      <c r="Y32" s="313">
        <f>'Marina Projections'!P9</f>
        <v>214</v>
      </c>
      <c r="Z32" s="313">
        <f>'Marina Projections'!Q9</f>
        <v>214</v>
      </c>
      <c r="AA32" s="313">
        <f>'Marina Projections'!R9</f>
        <v>214</v>
      </c>
      <c r="AB32" s="313">
        <f>'Marina Projections'!S9</f>
        <v>214</v>
      </c>
      <c r="AC32" s="313">
        <f>'Marina Projections'!T9</f>
        <v>214</v>
      </c>
      <c r="AD32" s="313">
        <f>'Marina Projections'!U9</f>
        <v>214</v>
      </c>
      <c r="AE32" s="313">
        <f>'Marina Projections'!V9</f>
        <v>214</v>
      </c>
    </row>
    <row r="33" spans="1:31" s="341" customFormat="1">
      <c r="A33" s="552" t="s">
        <v>205</v>
      </c>
      <c r="B33" s="553"/>
      <c r="C33" s="553"/>
      <c r="K33" s="554">
        <v>0</v>
      </c>
      <c r="L33" s="560"/>
      <c r="M33" s="560">
        <f>'Cruise Projections'!V27</f>
        <v>31.102343084676253</v>
      </c>
      <c r="N33" s="560">
        <f>'Cruise Projections'!W27</f>
        <v>33.08079253393673</v>
      </c>
      <c r="O33" s="560">
        <f>'Cruise Projections'!X27</f>
        <v>34.751627733366121</v>
      </c>
      <c r="P33" s="560">
        <f>'Cruise Projections'!Y27</f>
        <v>35.893083709582015</v>
      </c>
      <c r="Q33" s="560">
        <f>'Cruise Projections'!Z27</f>
        <v>37.101192669283478</v>
      </c>
      <c r="R33" s="560">
        <f>'Cruise Projections'!AA27</f>
        <v>38.428851859015516</v>
      </c>
      <c r="S33" s="560">
        <f>'Cruise Projections'!AB27</f>
        <v>39.743393287481908</v>
      </c>
      <c r="T33" s="560">
        <f>'Cruise Projections'!AC27</f>
        <v>40.393144256705909</v>
      </c>
      <c r="U33" s="560">
        <f>'Cruise Projections'!AD27</f>
        <v>41.182784800148873</v>
      </c>
      <c r="V33" s="560">
        <f>'Cruise Projections'!AE27</f>
        <v>42.00581197297619</v>
      </c>
      <c r="W33" s="560">
        <f>'Cruise Projections'!AF27</f>
        <v>42.427677626093356</v>
      </c>
      <c r="X33" s="560">
        <f>'Cruise Projections'!AG27</f>
        <v>42.444707284491429</v>
      </c>
      <c r="Y33" s="560">
        <f>'Cruise Projections'!AH27</f>
        <v>42.366158474806085</v>
      </c>
      <c r="Z33" s="560">
        <f>'Cruise Projections'!AI27</f>
        <v>42.539206123732718</v>
      </c>
      <c r="AA33" s="560">
        <f>'Cruise Projections'!AJ27</f>
        <v>42.657554770462752</v>
      </c>
      <c r="AB33" s="560">
        <f>'Cruise Projections'!AK27</f>
        <v>42.717111591748328</v>
      </c>
      <c r="AC33" s="560">
        <f>'Cruise Projections'!AL27</f>
        <v>42.983945805620365</v>
      </c>
      <c r="AD33" s="560">
        <f>'Cruise Projections'!AM27</f>
        <v>43.051784597932915</v>
      </c>
      <c r="AE33" s="560">
        <f>'Cruise Projections'!AN27</f>
        <v>43.030880982919477</v>
      </c>
    </row>
    <row r="34" spans="1:31" s="341" customFormat="1">
      <c r="A34" s="552" t="s">
        <v>219</v>
      </c>
      <c r="B34" s="553"/>
      <c r="C34" s="553"/>
      <c r="K34" s="554">
        <v>0</v>
      </c>
      <c r="L34" s="560">
        <v>150</v>
      </c>
      <c r="M34" s="560">
        <f>L34</f>
        <v>150</v>
      </c>
      <c r="N34" s="560">
        <f t="shared" ref="N34:AE34" si="0">M34</f>
        <v>150</v>
      </c>
      <c r="O34" s="560">
        <f t="shared" si="0"/>
        <v>150</v>
      </c>
      <c r="P34" s="560">
        <f t="shared" si="0"/>
        <v>150</v>
      </c>
      <c r="Q34" s="560">
        <f t="shared" si="0"/>
        <v>150</v>
      </c>
      <c r="R34" s="560">
        <f t="shared" si="0"/>
        <v>150</v>
      </c>
      <c r="S34" s="560">
        <f t="shared" si="0"/>
        <v>150</v>
      </c>
      <c r="T34" s="560">
        <f t="shared" si="0"/>
        <v>150</v>
      </c>
      <c r="U34" s="560">
        <f t="shared" si="0"/>
        <v>150</v>
      </c>
      <c r="V34" s="560">
        <f t="shared" si="0"/>
        <v>150</v>
      </c>
      <c r="W34" s="560">
        <f t="shared" si="0"/>
        <v>150</v>
      </c>
      <c r="X34" s="560">
        <f t="shared" si="0"/>
        <v>150</v>
      </c>
      <c r="Y34" s="560">
        <f t="shared" si="0"/>
        <v>150</v>
      </c>
      <c r="Z34" s="560">
        <f t="shared" si="0"/>
        <v>150</v>
      </c>
      <c r="AA34" s="560">
        <f t="shared" si="0"/>
        <v>150</v>
      </c>
      <c r="AB34" s="560">
        <f t="shared" si="0"/>
        <v>150</v>
      </c>
      <c r="AC34" s="560">
        <f t="shared" si="0"/>
        <v>150</v>
      </c>
      <c r="AD34" s="560">
        <f t="shared" si="0"/>
        <v>150</v>
      </c>
      <c r="AE34" s="560">
        <f t="shared" si="0"/>
        <v>150</v>
      </c>
    </row>
    <row r="35" spans="1:31" s="341" customFormat="1">
      <c r="A35" s="552" t="s">
        <v>220</v>
      </c>
      <c r="B35" s="553"/>
      <c r="C35" s="553"/>
      <c r="K35" s="554">
        <v>0</v>
      </c>
      <c r="L35" s="791">
        <v>0</v>
      </c>
      <c r="M35" s="791">
        <v>0</v>
      </c>
      <c r="N35" s="791">
        <v>0</v>
      </c>
      <c r="O35" s="791">
        <v>0</v>
      </c>
      <c r="P35" s="791">
        <v>0</v>
      </c>
      <c r="Q35" s="791">
        <v>0</v>
      </c>
      <c r="R35" s="791">
        <v>0</v>
      </c>
      <c r="S35" s="791">
        <v>0</v>
      </c>
      <c r="T35" s="791">
        <v>0</v>
      </c>
      <c r="U35" s="791">
        <v>0</v>
      </c>
      <c r="V35" s="791">
        <v>0</v>
      </c>
      <c r="W35" s="791">
        <v>0</v>
      </c>
      <c r="X35" s="791">
        <v>0</v>
      </c>
      <c r="Y35" s="791">
        <v>0</v>
      </c>
      <c r="Z35" s="791">
        <v>0</v>
      </c>
      <c r="AA35" s="791">
        <v>0</v>
      </c>
      <c r="AB35" s="791">
        <v>0</v>
      </c>
      <c r="AC35" s="791">
        <v>0</v>
      </c>
      <c r="AD35" s="791">
        <v>0</v>
      </c>
      <c r="AE35" s="791">
        <v>0</v>
      </c>
    </row>
    <row r="36" spans="1:31" s="96" customFormat="1">
      <c r="A36" s="54" t="s">
        <v>226</v>
      </c>
      <c r="B36" s="487"/>
      <c r="C36" s="487"/>
      <c r="K36" s="486">
        <v>0</v>
      </c>
      <c r="L36" s="330">
        <v>0</v>
      </c>
      <c r="M36" s="330">
        <v>125</v>
      </c>
      <c r="N36" s="330">
        <v>125</v>
      </c>
      <c r="O36" s="330">
        <v>125</v>
      </c>
      <c r="P36" s="330">
        <v>125</v>
      </c>
      <c r="Q36" s="330">
        <v>125</v>
      </c>
      <c r="R36" s="330">
        <v>125</v>
      </c>
      <c r="S36" s="330">
        <v>125</v>
      </c>
      <c r="T36" s="330">
        <v>125</v>
      </c>
      <c r="U36" s="330">
        <v>125</v>
      </c>
      <c r="V36" s="330">
        <v>125</v>
      </c>
      <c r="W36" s="330">
        <v>125</v>
      </c>
      <c r="X36" s="330">
        <v>125</v>
      </c>
      <c r="Y36" s="330">
        <v>125</v>
      </c>
      <c r="Z36" s="330">
        <v>125</v>
      </c>
      <c r="AA36" s="330">
        <v>125</v>
      </c>
      <c r="AB36" s="330">
        <v>125</v>
      </c>
      <c r="AC36" s="330">
        <v>125</v>
      </c>
      <c r="AD36" s="330">
        <v>125</v>
      </c>
      <c r="AE36" s="330">
        <v>125</v>
      </c>
    </row>
    <row r="37" spans="1:31" s="18" customFormat="1">
      <c r="A37" s="54"/>
      <c r="B37" s="21"/>
      <c r="C37" s="21"/>
      <c r="K37" s="486"/>
      <c r="L37" s="495"/>
      <c r="M37" s="495"/>
      <c r="N37" s="495"/>
      <c r="O37" s="495"/>
      <c r="P37" s="495"/>
      <c r="Q37" s="495"/>
      <c r="R37" s="495"/>
      <c r="S37" s="495"/>
      <c r="T37" s="495"/>
      <c r="U37" s="495"/>
      <c r="V37" s="495"/>
      <c r="W37" s="495"/>
      <c r="X37" s="495"/>
      <c r="Y37" s="495"/>
      <c r="Z37" s="495"/>
      <c r="AA37" s="495"/>
      <c r="AB37" s="495"/>
      <c r="AC37" s="495"/>
      <c r="AD37" s="495"/>
      <c r="AE37" s="495"/>
    </row>
    <row r="38" spans="1:31" s="341" customFormat="1">
      <c r="A38" s="552" t="s">
        <v>206</v>
      </c>
      <c r="B38" s="553"/>
      <c r="C38" s="553"/>
      <c r="K38" s="554">
        <v>0</v>
      </c>
      <c r="L38" s="555">
        <v>0</v>
      </c>
      <c r="M38" s="555">
        <f t="shared" ref="M38:AE38" si="1">M17/M33</f>
        <v>2764.7773257071294</v>
      </c>
      <c r="N38" s="555">
        <f t="shared" si="1"/>
        <v>2716.3995610700858</v>
      </c>
      <c r="O38" s="555">
        <f t="shared" si="1"/>
        <v>2702.1577321177506</v>
      </c>
      <c r="P38" s="555">
        <f t="shared" si="1"/>
        <v>2733.9550276213467</v>
      </c>
      <c r="Q38" s="555">
        <f t="shared" si="1"/>
        <v>2763.9523890414889</v>
      </c>
      <c r="R38" s="555">
        <f t="shared" si="1"/>
        <v>2788.5427689292114</v>
      </c>
      <c r="S38" s="555">
        <f t="shared" si="1"/>
        <v>2817.6436401221445</v>
      </c>
      <c r="T38" s="555">
        <f t="shared" si="1"/>
        <v>2855.489540015154</v>
      </c>
      <c r="U38" s="555">
        <f t="shared" si="1"/>
        <v>2884.7604045542316</v>
      </c>
      <c r="V38" s="555">
        <f t="shared" si="1"/>
        <v>2913.0859564788902</v>
      </c>
      <c r="W38" s="555">
        <f t="shared" si="1"/>
        <v>2970.6442640623059</v>
      </c>
      <c r="X38" s="555">
        <f t="shared" si="1"/>
        <v>3058.5359541446419</v>
      </c>
      <c r="Y38" s="555">
        <f t="shared" si="1"/>
        <v>3156.1328193364575</v>
      </c>
      <c r="Z38" s="555">
        <f t="shared" si="1"/>
        <v>3237.5926218908526</v>
      </c>
      <c r="AA38" s="555">
        <f t="shared" si="1"/>
        <v>3325.4685892622979</v>
      </c>
      <c r="AB38" s="555">
        <f t="shared" si="1"/>
        <v>3420.4571375245273</v>
      </c>
      <c r="AC38" s="555">
        <f t="shared" si="1"/>
        <v>3501.2004574019838</v>
      </c>
      <c r="AD38" s="555">
        <f t="shared" si="1"/>
        <v>3600.5539488016984</v>
      </c>
      <c r="AE38" s="555">
        <f t="shared" si="1"/>
        <v>3710.3721230233241</v>
      </c>
    </row>
    <row r="39" spans="1:31" s="341" customFormat="1">
      <c r="A39" s="552" t="s">
        <v>207</v>
      </c>
      <c r="B39" s="553"/>
      <c r="C39" s="553"/>
      <c r="K39" s="554">
        <v>0</v>
      </c>
      <c r="L39" s="555">
        <v>0</v>
      </c>
      <c r="M39" s="555">
        <v>5500</v>
      </c>
      <c r="N39" s="555">
        <v>5500</v>
      </c>
      <c r="O39" s="555">
        <v>5500</v>
      </c>
      <c r="P39" s="555">
        <v>5500</v>
      </c>
      <c r="Q39" s="555">
        <v>5500</v>
      </c>
      <c r="R39" s="555">
        <v>5500</v>
      </c>
      <c r="S39" s="555">
        <v>5500</v>
      </c>
      <c r="T39" s="555">
        <v>5500</v>
      </c>
      <c r="U39" s="555">
        <v>5500</v>
      </c>
      <c r="V39" s="555">
        <v>5500</v>
      </c>
      <c r="W39" s="555">
        <v>5500</v>
      </c>
      <c r="X39" s="555">
        <v>5500</v>
      </c>
      <c r="Y39" s="555">
        <v>5500</v>
      </c>
      <c r="Z39" s="555">
        <v>5500</v>
      </c>
      <c r="AA39" s="555">
        <v>5500</v>
      </c>
      <c r="AB39" s="555">
        <v>5500</v>
      </c>
      <c r="AC39" s="555">
        <v>5500</v>
      </c>
      <c r="AD39" s="555">
        <v>5500</v>
      </c>
      <c r="AE39" s="555">
        <v>5500</v>
      </c>
    </row>
    <row r="40" spans="1:31" s="341" customFormat="1">
      <c r="A40" s="552" t="s">
        <v>221</v>
      </c>
      <c r="B40" s="553"/>
      <c r="C40" s="553"/>
      <c r="K40" s="554">
        <v>0</v>
      </c>
      <c r="L40" s="560">
        <f>L23/L34</f>
        <v>400</v>
      </c>
      <c r="M40" s="560">
        <f t="shared" ref="M40:AE40" si="2">M23/M34</f>
        <v>466.66666666666669</v>
      </c>
      <c r="N40" s="560">
        <f t="shared" si="2"/>
        <v>533.33333333333337</v>
      </c>
      <c r="O40" s="560">
        <f t="shared" si="2"/>
        <v>533.33333333333337</v>
      </c>
      <c r="P40" s="560">
        <f t="shared" si="2"/>
        <v>533.33333333333337</v>
      </c>
      <c r="Q40" s="560">
        <f t="shared" si="2"/>
        <v>533.33333333333337</v>
      </c>
      <c r="R40" s="560">
        <f t="shared" si="2"/>
        <v>533.33333333333337</v>
      </c>
      <c r="S40" s="560">
        <f t="shared" si="2"/>
        <v>533.33333333333337</v>
      </c>
      <c r="T40" s="560">
        <f t="shared" si="2"/>
        <v>533.33333333333337</v>
      </c>
      <c r="U40" s="560">
        <f t="shared" si="2"/>
        <v>533.33333333333337</v>
      </c>
      <c r="V40" s="560">
        <f t="shared" si="2"/>
        <v>533.33333333333337</v>
      </c>
      <c r="W40" s="560">
        <f t="shared" si="2"/>
        <v>533.33333333333337</v>
      </c>
      <c r="X40" s="560">
        <f t="shared" si="2"/>
        <v>533.33333333333337</v>
      </c>
      <c r="Y40" s="560">
        <f t="shared" si="2"/>
        <v>533.33333333333337</v>
      </c>
      <c r="Z40" s="560">
        <f t="shared" si="2"/>
        <v>533.33333333333337</v>
      </c>
      <c r="AA40" s="560">
        <f t="shared" si="2"/>
        <v>533.33333333333337</v>
      </c>
      <c r="AB40" s="560">
        <f t="shared" si="2"/>
        <v>533.33333333333337</v>
      </c>
      <c r="AC40" s="560">
        <f t="shared" si="2"/>
        <v>533.33333333333337</v>
      </c>
      <c r="AD40" s="560">
        <f t="shared" si="2"/>
        <v>533.33333333333337</v>
      </c>
      <c r="AE40" s="560">
        <f t="shared" si="2"/>
        <v>533.33333333333337</v>
      </c>
    </row>
    <row r="41" spans="1:31" s="341" customFormat="1">
      <c r="A41" s="552" t="s">
        <v>222</v>
      </c>
      <c r="B41" s="553"/>
      <c r="C41" s="553"/>
      <c r="K41" s="554">
        <v>0</v>
      </c>
      <c r="L41" s="560">
        <v>800</v>
      </c>
      <c r="M41" s="560">
        <v>800</v>
      </c>
      <c r="N41" s="560">
        <v>800</v>
      </c>
      <c r="O41" s="560">
        <v>800</v>
      </c>
      <c r="P41" s="560">
        <v>800</v>
      </c>
      <c r="Q41" s="560">
        <v>800</v>
      </c>
      <c r="R41" s="560">
        <v>800</v>
      </c>
      <c r="S41" s="560">
        <v>800</v>
      </c>
      <c r="T41" s="560">
        <v>800</v>
      </c>
      <c r="U41" s="560">
        <v>800</v>
      </c>
      <c r="V41" s="560">
        <v>800</v>
      </c>
      <c r="W41" s="560">
        <v>800</v>
      </c>
      <c r="X41" s="560">
        <v>800</v>
      </c>
      <c r="Y41" s="560">
        <v>800</v>
      </c>
      <c r="Z41" s="560">
        <v>800</v>
      </c>
      <c r="AA41" s="560">
        <v>800</v>
      </c>
      <c r="AB41" s="560">
        <v>800</v>
      </c>
      <c r="AC41" s="560">
        <v>800</v>
      </c>
      <c r="AD41" s="560">
        <v>800</v>
      </c>
      <c r="AE41" s="560">
        <v>800</v>
      </c>
    </row>
    <row r="42" spans="1:31" s="341" customFormat="1">
      <c r="A42" s="552" t="s">
        <v>208</v>
      </c>
      <c r="B42" s="553"/>
      <c r="C42" s="553"/>
      <c r="K42" s="554">
        <v>0</v>
      </c>
      <c r="L42" s="560">
        <f>SUM(L39,L41)</f>
        <v>800</v>
      </c>
      <c r="M42" s="560">
        <f t="shared" ref="M42:AE42" si="3">SUM(M39,M41)</f>
        <v>6300</v>
      </c>
      <c r="N42" s="560">
        <f t="shared" si="3"/>
        <v>6300</v>
      </c>
      <c r="O42" s="560">
        <f t="shared" si="3"/>
        <v>6300</v>
      </c>
      <c r="P42" s="560">
        <f t="shared" si="3"/>
        <v>6300</v>
      </c>
      <c r="Q42" s="560">
        <f t="shared" si="3"/>
        <v>6300</v>
      </c>
      <c r="R42" s="560">
        <f t="shared" si="3"/>
        <v>6300</v>
      </c>
      <c r="S42" s="560">
        <f t="shared" si="3"/>
        <v>6300</v>
      </c>
      <c r="T42" s="560">
        <f t="shared" si="3"/>
        <v>6300</v>
      </c>
      <c r="U42" s="560">
        <f t="shared" si="3"/>
        <v>6300</v>
      </c>
      <c r="V42" s="560">
        <f t="shared" si="3"/>
        <v>6300</v>
      </c>
      <c r="W42" s="560">
        <f t="shared" si="3"/>
        <v>6300</v>
      </c>
      <c r="X42" s="560">
        <f t="shared" si="3"/>
        <v>6300</v>
      </c>
      <c r="Y42" s="560">
        <f t="shared" si="3"/>
        <v>6300</v>
      </c>
      <c r="Z42" s="560">
        <f t="shared" si="3"/>
        <v>6300</v>
      </c>
      <c r="AA42" s="560">
        <f t="shared" si="3"/>
        <v>6300</v>
      </c>
      <c r="AB42" s="560">
        <f t="shared" si="3"/>
        <v>6300</v>
      </c>
      <c r="AC42" s="560">
        <f t="shared" si="3"/>
        <v>6300</v>
      </c>
      <c r="AD42" s="560">
        <f t="shared" si="3"/>
        <v>6300</v>
      </c>
      <c r="AE42" s="560">
        <f t="shared" si="3"/>
        <v>6300</v>
      </c>
    </row>
    <row r="43" spans="1:31" s="18" customFormat="1">
      <c r="A43" s="54"/>
      <c r="B43" s="21"/>
      <c r="C43" s="21"/>
      <c r="K43" s="486"/>
      <c r="L43" s="330"/>
      <c r="M43" s="330"/>
      <c r="N43" s="330"/>
      <c r="O43" s="330"/>
      <c r="P43" s="330"/>
      <c r="Q43" s="330"/>
      <c r="R43" s="330"/>
      <c r="S43" s="330"/>
      <c r="T43" s="330"/>
      <c r="U43" s="330"/>
      <c r="V43" s="330"/>
      <c r="W43" s="330"/>
      <c r="X43" s="330"/>
      <c r="Y43" s="330"/>
      <c r="Z43" s="330"/>
      <c r="AA43" s="330"/>
      <c r="AB43" s="330"/>
      <c r="AC43" s="330"/>
      <c r="AD43" s="330"/>
      <c r="AE43" s="330"/>
    </row>
    <row r="44" spans="1:31" s="341" customFormat="1">
      <c r="A44" s="552" t="s">
        <v>223</v>
      </c>
      <c r="B44" s="557"/>
      <c r="C44" s="557"/>
      <c r="K44" s="554">
        <v>0</v>
      </c>
      <c r="L44" s="555">
        <f>(L24+L25)/L34</f>
        <v>160.26666666666668</v>
      </c>
      <c r="M44" s="555">
        <f t="shared" ref="M44:AE44" si="4">(M24+M25)/M34</f>
        <v>187</v>
      </c>
      <c r="N44" s="555">
        <f t="shared" si="4"/>
        <v>213.73333333333332</v>
      </c>
      <c r="O44" s="555">
        <f t="shared" si="4"/>
        <v>213.73333333333332</v>
      </c>
      <c r="P44" s="555">
        <f t="shared" si="4"/>
        <v>213.73333333333332</v>
      </c>
      <c r="Q44" s="555">
        <f t="shared" si="4"/>
        <v>213.73333333333332</v>
      </c>
      <c r="R44" s="555">
        <f t="shared" si="4"/>
        <v>213.73333333333332</v>
      </c>
      <c r="S44" s="555">
        <f t="shared" si="4"/>
        <v>213.73333333333332</v>
      </c>
      <c r="T44" s="555">
        <f t="shared" si="4"/>
        <v>213.73333333333332</v>
      </c>
      <c r="U44" s="555">
        <f t="shared" si="4"/>
        <v>213.73333333333332</v>
      </c>
      <c r="V44" s="555">
        <f t="shared" si="4"/>
        <v>213.73333333333332</v>
      </c>
      <c r="W44" s="555">
        <f t="shared" si="4"/>
        <v>213.73333333333332</v>
      </c>
      <c r="X44" s="555">
        <f t="shared" si="4"/>
        <v>213.73333333333332</v>
      </c>
      <c r="Y44" s="555">
        <f t="shared" si="4"/>
        <v>213.73333333333332</v>
      </c>
      <c r="Z44" s="555">
        <f t="shared" si="4"/>
        <v>213.73333333333332</v>
      </c>
      <c r="AA44" s="555">
        <f t="shared" si="4"/>
        <v>213.73333333333332</v>
      </c>
      <c r="AB44" s="555">
        <f t="shared" si="4"/>
        <v>213.73333333333332</v>
      </c>
      <c r="AC44" s="555">
        <f t="shared" si="4"/>
        <v>213.73333333333332</v>
      </c>
      <c r="AD44" s="555">
        <f t="shared" si="4"/>
        <v>213.73333333333332</v>
      </c>
      <c r="AE44" s="555">
        <f t="shared" si="4"/>
        <v>213.73333333333332</v>
      </c>
    </row>
    <row r="45" spans="1:31" s="18" customFormat="1">
      <c r="A45" s="54"/>
      <c r="B45" s="74"/>
      <c r="C45" s="74"/>
      <c r="K45" s="492"/>
      <c r="L45" s="308"/>
      <c r="M45" s="308"/>
      <c r="N45" s="308"/>
      <c r="O45" s="308"/>
      <c r="P45" s="308"/>
      <c r="Q45" s="308"/>
      <c r="R45" s="308"/>
      <c r="S45" s="308"/>
      <c r="T45" s="308"/>
      <c r="U45" s="308"/>
      <c r="V45" s="308"/>
      <c r="W45" s="308"/>
      <c r="X45" s="308"/>
      <c r="Y45" s="308"/>
      <c r="Z45" s="308"/>
      <c r="AA45" s="308"/>
      <c r="AB45" s="308"/>
      <c r="AC45" s="308"/>
      <c r="AD45" s="308"/>
      <c r="AE45" s="308"/>
    </row>
    <row r="46" spans="1:31" s="18" customFormat="1">
      <c r="A46" s="293" t="s">
        <v>26</v>
      </c>
      <c r="B46" s="74"/>
      <c r="C46" s="74"/>
      <c r="K46" s="492"/>
      <c r="L46" s="308"/>
      <c r="M46" s="308"/>
      <c r="N46" s="308"/>
      <c r="O46" s="308"/>
      <c r="P46" s="308"/>
      <c r="Q46" s="308"/>
      <c r="R46" s="308"/>
      <c r="S46" s="308"/>
      <c r="T46" s="308"/>
      <c r="U46" s="308"/>
      <c r="V46" s="308"/>
      <c r="W46" s="308"/>
      <c r="X46" s="308"/>
      <c r="Y46" s="308"/>
      <c r="Z46" s="308"/>
      <c r="AA46" s="308"/>
      <c r="AB46" s="308"/>
      <c r="AC46" s="308"/>
      <c r="AD46" s="308"/>
      <c r="AE46" s="308"/>
    </row>
    <row r="47" spans="1:31" s="18" customFormat="1">
      <c r="A47" s="54" t="s">
        <v>264</v>
      </c>
      <c r="B47" s="277"/>
      <c r="C47" s="74"/>
      <c r="K47" s="486">
        <v>0</v>
      </c>
      <c r="L47" s="313">
        <f>'Parking Projections'!C16/2</f>
        <v>1381.6770833333335</v>
      </c>
      <c r="M47" s="313">
        <f>'Parking Projections'!D16</f>
        <v>2763.354166666667</v>
      </c>
      <c r="N47" s="313">
        <f>'Parking Projections'!E16</f>
        <v>2763.354166666667</v>
      </c>
      <c r="O47" s="313">
        <f>'Parking Projections'!F16</f>
        <v>2763.354166666667</v>
      </c>
      <c r="P47" s="313">
        <f>'Parking Projections'!G16</f>
        <v>2763.354166666667</v>
      </c>
      <c r="Q47" s="313">
        <f>'Parking Projections'!H16</f>
        <v>2763.354166666667</v>
      </c>
      <c r="R47" s="313">
        <f>'Parking Projections'!I16</f>
        <v>2763.354166666667</v>
      </c>
      <c r="S47" s="313">
        <f>'Parking Projections'!J16</f>
        <v>2763.354166666667</v>
      </c>
      <c r="T47" s="313">
        <f>'Parking Projections'!K16</f>
        <v>2763.354166666667</v>
      </c>
      <c r="U47" s="313">
        <f>'Parking Projections'!L16</f>
        <v>2763.354166666667</v>
      </c>
      <c r="V47" s="313">
        <f>'Parking Projections'!M16</f>
        <v>2763.354166666667</v>
      </c>
      <c r="W47" s="313">
        <f>'Parking Projections'!N16</f>
        <v>2763.354166666667</v>
      </c>
      <c r="X47" s="313">
        <f>'Parking Projections'!O16</f>
        <v>2763.354166666667</v>
      </c>
      <c r="Y47" s="313">
        <f>'Parking Projections'!P16</f>
        <v>2763.354166666667</v>
      </c>
      <c r="Z47" s="313">
        <f>'Parking Projections'!Q16</f>
        <v>2763.354166666667</v>
      </c>
      <c r="AA47" s="313">
        <f>'Parking Projections'!R16</f>
        <v>2763.354166666667</v>
      </c>
      <c r="AB47" s="313">
        <f>'Parking Projections'!S16</f>
        <v>2763.354166666667</v>
      </c>
      <c r="AC47" s="313">
        <f>'Parking Projections'!T16</f>
        <v>2763.354166666667</v>
      </c>
      <c r="AD47" s="313">
        <f>'Parking Projections'!U16</f>
        <v>2763.354166666667</v>
      </c>
      <c r="AE47" s="313">
        <f>'Parking Projections'!V16</f>
        <v>2763.354166666667</v>
      </c>
    </row>
    <row r="48" spans="1:31" s="18" customFormat="1">
      <c r="A48" s="54" t="s">
        <v>267</v>
      </c>
      <c r="B48" s="277"/>
      <c r="C48" s="74"/>
      <c r="K48" s="486">
        <v>0</v>
      </c>
      <c r="L48" s="313">
        <f>'Parking Projections'!C20/2</f>
        <v>14009.916666666664</v>
      </c>
      <c r="M48" s="313">
        <f>'Parking Projections'!D20</f>
        <v>28019.833333333328</v>
      </c>
      <c r="N48" s="313">
        <f>'Parking Projections'!E20</f>
        <v>28019.833333333328</v>
      </c>
      <c r="O48" s="313">
        <f>'Parking Projections'!F20</f>
        <v>28019.833333333328</v>
      </c>
      <c r="P48" s="313">
        <f>'Parking Projections'!G20</f>
        <v>28019.833333333328</v>
      </c>
      <c r="Q48" s="313">
        <f>'Parking Projections'!H20</f>
        <v>28019.833333333328</v>
      </c>
      <c r="R48" s="313">
        <f>'Parking Projections'!I20</f>
        <v>28019.833333333328</v>
      </c>
      <c r="S48" s="313">
        <f>'Parking Projections'!J20</f>
        <v>28019.833333333328</v>
      </c>
      <c r="T48" s="313">
        <f>'Parking Projections'!K20</f>
        <v>28019.833333333328</v>
      </c>
      <c r="U48" s="313">
        <f>'Parking Projections'!L20</f>
        <v>28019.833333333328</v>
      </c>
      <c r="V48" s="313">
        <f>'Parking Projections'!M20</f>
        <v>28019.833333333328</v>
      </c>
      <c r="W48" s="313">
        <f>'Parking Projections'!N20</f>
        <v>28019.833333333328</v>
      </c>
      <c r="X48" s="313">
        <f>'Parking Projections'!O20</f>
        <v>28019.833333333328</v>
      </c>
      <c r="Y48" s="313">
        <f>'Parking Projections'!P20</f>
        <v>28019.833333333328</v>
      </c>
      <c r="Z48" s="313">
        <f>'Parking Projections'!Q20</f>
        <v>28019.833333333328</v>
      </c>
      <c r="AA48" s="313">
        <f>'Parking Projections'!R20</f>
        <v>28019.833333333328</v>
      </c>
      <c r="AB48" s="313">
        <f>'Parking Projections'!S20</f>
        <v>28019.833333333328</v>
      </c>
      <c r="AC48" s="313">
        <f>'Parking Projections'!T20</f>
        <v>28019.833333333328</v>
      </c>
      <c r="AD48" s="313">
        <f>'Parking Projections'!U20</f>
        <v>28019.833333333328</v>
      </c>
      <c r="AE48" s="313">
        <f>'Parking Projections'!V20</f>
        <v>28019.833333333328</v>
      </c>
    </row>
    <row r="49" spans="1:32 16384:16384" s="96" customFormat="1">
      <c r="A49" s="54" t="s">
        <v>274</v>
      </c>
      <c r="B49" s="435"/>
      <c r="C49" s="583"/>
      <c r="K49" s="486">
        <v>0</v>
      </c>
      <c r="L49" s="313">
        <f>SUM(L47:L48)</f>
        <v>15391.593749999998</v>
      </c>
      <c r="M49" s="313">
        <f>SUM(M47:M48)</f>
        <v>30783.187499999996</v>
      </c>
      <c r="N49" s="313">
        <f t="shared" ref="N49:AE49" si="5">SUM(N47:N48)</f>
        <v>30783.187499999996</v>
      </c>
      <c r="O49" s="313">
        <f t="shared" si="5"/>
        <v>30783.187499999996</v>
      </c>
      <c r="P49" s="313">
        <f t="shared" si="5"/>
        <v>30783.187499999996</v>
      </c>
      <c r="Q49" s="313">
        <f t="shared" si="5"/>
        <v>30783.187499999996</v>
      </c>
      <c r="R49" s="313">
        <f t="shared" si="5"/>
        <v>30783.187499999996</v>
      </c>
      <c r="S49" s="313">
        <f t="shared" si="5"/>
        <v>30783.187499999996</v>
      </c>
      <c r="T49" s="313">
        <f t="shared" si="5"/>
        <v>30783.187499999996</v>
      </c>
      <c r="U49" s="313">
        <f t="shared" si="5"/>
        <v>30783.187499999996</v>
      </c>
      <c r="V49" s="313">
        <f t="shared" si="5"/>
        <v>30783.187499999996</v>
      </c>
      <c r="W49" s="313">
        <f t="shared" si="5"/>
        <v>30783.187499999996</v>
      </c>
      <c r="X49" s="313">
        <f t="shared" si="5"/>
        <v>30783.187499999996</v>
      </c>
      <c r="Y49" s="313">
        <f t="shared" si="5"/>
        <v>30783.187499999996</v>
      </c>
      <c r="Z49" s="313">
        <f t="shared" si="5"/>
        <v>30783.187499999996</v>
      </c>
      <c r="AA49" s="313">
        <f t="shared" si="5"/>
        <v>30783.187499999996</v>
      </c>
      <c r="AB49" s="313">
        <f t="shared" si="5"/>
        <v>30783.187499999996</v>
      </c>
      <c r="AC49" s="313">
        <f t="shared" si="5"/>
        <v>30783.187499999996</v>
      </c>
      <c r="AD49" s="313">
        <f t="shared" si="5"/>
        <v>30783.187499999996</v>
      </c>
      <c r="AE49" s="313">
        <f t="shared" si="5"/>
        <v>30783.187499999996</v>
      </c>
    </row>
    <row r="50" spans="1:32 16384:16384" s="18" customFormat="1">
      <c r="A50" s="54"/>
      <c r="B50" s="277"/>
      <c r="C50" s="74"/>
      <c r="K50" s="499"/>
      <c r="L50" s="308"/>
      <c r="M50" s="308"/>
      <c r="N50" s="308"/>
      <c r="O50" s="308"/>
      <c r="P50" s="308"/>
      <c r="Q50" s="308"/>
      <c r="R50" s="308"/>
      <c r="S50" s="308"/>
      <c r="T50" s="308"/>
      <c r="U50" s="308"/>
      <c r="V50" s="308"/>
      <c r="W50" s="308"/>
      <c r="X50" s="308"/>
      <c r="Y50" s="308"/>
      <c r="Z50" s="308"/>
      <c r="AA50" s="308"/>
      <c r="AB50" s="308"/>
      <c r="AC50" s="308"/>
      <c r="AD50" s="308"/>
      <c r="AE50" s="308"/>
    </row>
    <row r="51" spans="1:32 16384:16384" s="341" customFormat="1">
      <c r="A51" s="552" t="s">
        <v>224</v>
      </c>
      <c r="B51" s="556"/>
      <c r="C51" s="557"/>
      <c r="K51" s="554">
        <v>0</v>
      </c>
      <c r="L51" s="558">
        <v>3</v>
      </c>
      <c r="M51" s="558">
        <v>3</v>
      </c>
      <c r="N51" s="558">
        <v>3</v>
      </c>
      <c r="O51" s="558">
        <v>3</v>
      </c>
      <c r="P51" s="558">
        <v>3</v>
      </c>
      <c r="Q51" s="558">
        <v>3</v>
      </c>
      <c r="R51" s="558">
        <v>3</v>
      </c>
      <c r="S51" s="558">
        <v>3</v>
      </c>
      <c r="T51" s="558">
        <v>3</v>
      </c>
      <c r="U51" s="558">
        <v>3</v>
      </c>
      <c r="V51" s="558">
        <v>3</v>
      </c>
      <c r="W51" s="558">
        <v>3</v>
      </c>
      <c r="X51" s="558">
        <v>3</v>
      </c>
      <c r="Y51" s="558">
        <v>3</v>
      </c>
      <c r="Z51" s="558">
        <v>3</v>
      </c>
      <c r="AA51" s="558">
        <v>3</v>
      </c>
      <c r="AB51" s="558">
        <v>3</v>
      </c>
      <c r="AC51" s="558">
        <v>3</v>
      </c>
      <c r="AD51" s="558">
        <v>3</v>
      </c>
      <c r="AE51" s="558">
        <v>3</v>
      </c>
    </row>
    <row r="52" spans="1:32 16384:16384" s="96" customFormat="1">
      <c r="A52" s="54" t="s">
        <v>225</v>
      </c>
      <c r="B52" s="435"/>
      <c r="C52" s="583"/>
      <c r="K52" s="486">
        <v>0</v>
      </c>
      <c r="L52" s="496">
        <v>1</v>
      </c>
      <c r="M52" s="496">
        <v>1</v>
      </c>
      <c r="N52" s="496">
        <v>1</v>
      </c>
      <c r="O52" s="496">
        <v>1</v>
      </c>
      <c r="P52" s="496">
        <v>1</v>
      </c>
      <c r="Q52" s="496">
        <v>1</v>
      </c>
      <c r="R52" s="496">
        <v>1</v>
      </c>
      <c r="S52" s="496">
        <v>1</v>
      </c>
      <c r="T52" s="496">
        <v>1</v>
      </c>
      <c r="U52" s="496">
        <v>1</v>
      </c>
      <c r="V52" s="496">
        <v>1</v>
      </c>
      <c r="W52" s="496">
        <v>1</v>
      </c>
      <c r="X52" s="496">
        <v>1</v>
      </c>
      <c r="Y52" s="496">
        <v>1</v>
      </c>
      <c r="Z52" s="496">
        <v>1</v>
      </c>
      <c r="AA52" s="496">
        <v>1</v>
      </c>
      <c r="AB52" s="496">
        <v>1</v>
      </c>
      <c r="AC52" s="496">
        <v>1</v>
      </c>
      <c r="AD52" s="496">
        <v>1</v>
      </c>
      <c r="AE52" s="496">
        <v>1</v>
      </c>
    </row>
    <row r="53" spans="1:32 16384:16384" s="18" customFormat="1">
      <c r="A53" s="54" t="s">
        <v>209</v>
      </c>
      <c r="B53" s="277"/>
      <c r="C53" s="74"/>
      <c r="K53" s="486">
        <v>0</v>
      </c>
      <c r="L53" s="496">
        <v>0.5</v>
      </c>
      <c r="M53" s="496">
        <v>0.5</v>
      </c>
      <c r="N53" s="496">
        <v>0.5</v>
      </c>
      <c r="O53" s="496">
        <v>0.5</v>
      </c>
      <c r="P53" s="496">
        <v>0.5</v>
      </c>
      <c r="Q53" s="496">
        <v>0.5</v>
      </c>
      <c r="R53" s="496">
        <v>0.5</v>
      </c>
      <c r="S53" s="496">
        <v>0.5</v>
      </c>
      <c r="T53" s="496">
        <v>0.5</v>
      </c>
      <c r="U53" s="496">
        <v>0.5</v>
      </c>
      <c r="V53" s="496">
        <v>0.5</v>
      </c>
      <c r="W53" s="496">
        <v>0.5</v>
      </c>
      <c r="X53" s="496">
        <v>0.5</v>
      </c>
      <c r="Y53" s="496">
        <v>0.5</v>
      </c>
      <c r="Z53" s="496">
        <v>0.5</v>
      </c>
      <c r="AA53" s="496">
        <v>0.5</v>
      </c>
      <c r="AB53" s="496">
        <v>0.5</v>
      </c>
      <c r="AC53" s="496">
        <v>0.5</v>
      </c>
      <c r="AD53" s="496">
        <v>0.5</v>
      </c>
      <c r="AE53" s="496">
        <v>0.5</v>
      </c>
    </row>
    <row r="54" spans="1:32 16384:16384" s="18" customFormat="1">
      <c r="A54" s="54" t="s">
        <v>289</v>
      </c>
      <c r="B54" s="277"/>
      <c r="C54" s="74"/>
      <c r="K54" s="486">
        <v>0</v>
      </c>
      <c r="L54" s="496">
        <f>SUM(L52:L53)/2</f>
        <v>0.75</v>
      </c>
      <c r="M54" s="496">
        <f t="shared" ref="M54:AE54" si="6">SUM(M52:M53)/2</f>
        <v>0.75</v>
      </c>
      <c r="N54" s="496">
        <f t="shared" si="6"/>
        <v>0.75</v>
      </c>
      <c r="O54" s="496">
        <f t="shared" si="6"/>
        <v>0.75</v>
      </c>
      <c r="P54" s="496">
        <f t="shared" si="6"/>
        <v>0.75</v>
      </c>
      <c r="Q54" s="496">
        <f t="shared" si="6"/>
        <v>0.75</v>
      </c>
      <c r="R54" s="496">
        <f t="shared" si="6"/>
        <v>0.75</v>
      </c>
      <c r="S54" s="496">
        <f t="shared" si="6"/>
        <v>0.75</v>
      </c>
      <c r="T54" s="496">
        <f t="shared" si="6"/>
        <v>0.75</v>
      </c>
      <c r="U54" s="496">
        <f t="shared" si="6"/>
        <v>0.75</v>
      </c>
      <c r="V54" s="496">
        <f t="shared" si="6"/>
        <v>0.75</v>
      </c>
      <c r="W54" s="496">
        <f t="shared" si="6"/>
        <v>0.75</v>
      </c>
      <c r="X54" s="496">
        <f t="shared" si="6"/>
        <v>0.75</v>
      </c>
      <c r="Y54" s="496">
        <f t="shared" si="6"/>
        <v>0.75</v>
      </c>
      <c r="Z54" s="496">
        <f t="shared" si="6"/>
        <v>0.75</v>
      </c>
      <c r="AA54" s="496">
        <f t="shared" si="6"/>
        <v>0.75</v>
      </c>
      <c r="AB54" s="496">
        <f t="shared" si="6"/>
        <v>0.75</v>
      </c>
      <c r="AC54" s="496">
        <f t="shared" si="6"/>
        <v>0.75</v>
      </c>
      <c r="AD54" s="496">
        <f t="shared" si="6"/>
        <v>0.75</v>
      </c>
      <c r="AE54" s="496">
        <f t="shared" si="6"/>
        <v>0.75</v>
      </c>
      <c r="XFD54" s="570">
        <f>SUM(K54:XFC54)</f>
        <v>15</v>
      </c>
    </row>
    <row r="55" spans="1:32 16384:16384" s="18" customFormat="1">
      <c r="A55" s="54"/>
      <c r="B55" s="277"/>
      <c r="C55" s="74"/>
      <c r="K55" s="486"/>
      <c r="L55" s="496"/>
      <c r="M55" s="496"/>
      <c r="N55" s="496"/>
      <c r="O55" s="496"/>
      <c r="P55" s="496"/>
      <c r="Q55" s="496"/>
      <c r="R55" s="496"/>
      <c r="S55" s="496"/>
      <c r="T55" s="496"/>
      <c r="U55" s="496"/>
      <c r="V55" s="496"/>
      <c r="W55" s="496"/>
      <c r="X55" s="496"/>
      <c r="Y55" s="496"/>
      <c r="Z55" s="496"/>
      <c r="AA55" s="496"/>
      <c r="AB55" s="496"/>
      <c r="AC55" s="496"/>
      <c r="AD55" s="496"/>
      <c r="AE55" s="496"/>
      <c r="XFD55" s="570"/>
    </row>
    <row r="56" spans="1:32 16384:16384" s="18" customFormat="1">
      <c r="A56" s="54" t="s">
        <v>312</v>
      </c>
      <c r="B56" s="277"/>
      <c r="C56" s="74"/>
      <c r="K56" s="486">
        <v>0</v>
      </c>
      <c r="L56" s="313">
        <f>'Shuttle Projections'!C22*0.5</f>
        <v>3595</v>
      </c>
      <c r="M56" s="313">
        <f>'Shuttle Projections'!D22</f>
        <v>7190</v>
      </c>
      <c r="N56" s="313">
        <f>'Shuttle Projections'!E22</f>
        <v>7190</v>
      </c>
      <c r="O56" s="313">
        <f>'Shuttle Projections'!F22</f>
        <v>7190</v>
      </c>
      <c r="P56" s="313">
        <f>'Shuttle Projections'!G22</f>
        <v>7190</v>
      </c>
      <c r="Q56" s="313">
        <f>'Shuttle Projections'!H22</f>
        <v>7190</v>
      </c>
      <c r="R56" s="313">
        <f>'Shuttle Projections'!I22</f>
        <v>7190</v>
      </c>
      <c r="S56" s="313">
        <f>'Shuttle Projections'!J22</f>
        <v>7190</v>
      </c>
      <c r="T56" s="313">
        <f>'Shuttle Projections'!K22</f>
        <v>7190</v>
      </c>
      <c r="U56" s="313">
        <f>'Shuttle Projections'!L22</f>
        <v>7190</v>
      </c>
      <c r="V56" s="313">
        <f>'Shuttle Projections'!M22</f>
        <v>7190</v>
      </c>
      <c r="W56" s="313">
        <f>'Shuttle Projections'!N22</f>
        <v>7190</v>
      </c>
      <c r="X56" s="313">
        <f>'Shuttle Projections'!O22</f>
        <v>7190</v>
      </c>
      <c r="Y56" s="313">
        <f>'Shuttle Projections'!P22</f>
        <v>7190</v>
      </c>
      <c r="Z56" s="313">
        <f>'Shuttle Projections'!Q22</f>
        <v>7190</v>
      </c>
      <c r="AA56" s="313">
        <f>'Shuttle Projections'!R22</f>
        <v>7190</v>
      </c>
      <c r="AB56" s="313">
        <f>'Shuttle Projections'!S22</f>
        <v>7190</v>
      </c>
      <c r="AC56" s="313">
        <f>'Shuttle Projections'!T22</f>
        <v>7190</v>
      </c>
      <c r="AD56" s="313">
        <f>'Shuttle Projections'!U22</f>
        <v>7190</v>
      </c>
      <c r="AE56" s="313">
        <f>'Shuttle Projections'!V22</f>
        <v>7190</v>
      </c>
      <c r="XFD56" s="570"/>
    </row>
    <row r="57" spans="1:32 16384:16384" s="18" customFormat="1">
      <c r="A57" s="54"/>
      <c r="B57" s="277"/>
      <c r="C57" s="74"/>
      <c r="K57" s="486"/>
      <c r="L57" s="308"/>
      <c r="M57" s="308"/>
      <c r="N57" s="308"/>
      <c r="O57" s="308"/>
      <c r="P57" s="308"/>
      <c r="Q57" s="308"/>
      <c r="R57" s="308"/>
      <c r="S57" s="308"/>
      <c r="T57" s="308"/>
      <c r="U57" s="308"/>
      <c r="V57" s="308"/>
      <c r="W57" s="308"/>
      <c r="X57" s="308"/>
      <c r="Y57" s="308"/>
      <c r="Z57" s="308"/>
      <c r="AA57" s="308"/>
      <c r="AB57" s="308"/>
      <c r="AC57" s="308"/>
      <c r="AD57" s="308"/>
      <c r="AE57" s="308"/>
    </row>
    <row r="58" spans="1:32 16384:16384" s="612" customFormat="1">
      <c r="A58" s="613" t="s">
        <v>292</v>
      </c>
      <c r="B58" s="614"/>
      <c r="C58" s="615"/>
      <c r="D58" s="717"/>
      <c r="E58" s="717"/>
      <c r="F58" s="717"/>
      <c r="G58" s="717"/>
      <c r="H58" s="717"/>
      <c r="I58" s="717"/>
      <c r="J58" s="717"/>
      <c r="K58" s="616">
        <v>0</v>
      </c>
      <c r="L58" s="617">
        <v>0</v>
      </c>
      <c r="M58" s="617">
        <v>0</v>
      </c>
      <c r="N58" s="617">
        <v>100000</v>
      </c>
      <c r="O58" s="617">
        <v>100000</v>
      </c>
      <c r="P58" s="617">
        <v>100000</v>
      </c>
      <c r="Q58" s="617">
        <v>100000</v>
      </c>
      <c r="R58" s="617">
        <v>100000</v>
      </c>
      <c r="S58" s="617">
        <v>100000</v>
      </c>
      <c r="T58" s="617">
        <v>100000</v>
      </c>
      <c r="U58" s="617">
        <v>100000</v>
      </c>
      <c r="V58" s="617">
        <v>100000</v>
      </c>
      <c r="W58" s="617">
        <v>100000</v>
      </c>
      <c r="X58" s="617">
        <v>100000</v>
      </c>
      <c r="Y58" s="617">
        <v>100000</v>
      </c>
      <c r="Z58" s="617">
        <v>100000</v>
      </c>
      <c r="AA58" s="617">
        <v>100000</v>
      </c>
      <c r="AB58" s="617">
        <v>100000</v>
      </c>
      <c r="AC58" s="617">
        <v>100000</v>
      </c>
      <c r="AD58" s="617">
        <v>100000</v>
      </c>
      <c r="AE58" s="618">
        <v>100000</v>
      </c>
    </row>
    <row r="59" spans="1:32 16384:16384" s="18" customFormat="1">
      <c r="A59" s="54"/>
      <c r="B59" s="277"/>
      <c r="C59" s="74"/>
      <c r="K59" s="486"/>
      <c r="L59" s="308"/>
      <c r="M59" s="308"/>
      <c r="N59" s="308"/>
      <c r="O59" s="308"/>
      <c r="P59" s="308"/>
      <c r="Q59" s="308"/>
      <c r="R59" s="308"/>
      <c r="S59" s="308"/>
      <c r="T59" s="308"/>
      <c r="U59" s="308"/>
      <c r="V59" s="308"/>
      <c r="W59" s="308"/>
      <c r="X59" s="308"/>
      <c r="Y59" s="308"/>
      <c r="Z59" s="308"/>
      <c r="AA59" s="308"/>
      <c r="AB59" s="308"/>
      <c r="AC59" s="308"/>
      <c r="AD59" s="308"/>
      <c r="AE59" s="308"/>
    </row>
    <row r="60" spans="1:32 16384:16384" s="582" customFormat="1">
      <c r="A60" s="293" t="str">
        <f>'BH Tariffs'!A33</f>
        <v>Recreational/Commercial Marina</v>
      </c>
      <c r="B60" s="584"/>
      <c r="C60" s="585"/>
      <c r="K60" s="486"/>
      <c r="L60" s="586"/>
      <c r="M60" s="586"/>
      <c r="N60" s="586"/>
      <c r="O60" s="586"/>
      <c r="P60" s="586"/>
      <c r="Q60" s="586"/>
      <c r="R60" s="586"/>
      <c r="S60" s="586"/>
      <c r="T60" s="586"/>
      <c r="U60" s="586"/>
      <c r="V60" s="586"/>
      <c r="W60" s="586"/>
      <c r="X60" s="586"/>
      <c r="Y60" s="586"/>
      <c r="Z60" s="586"/>
      <c r="AA60" s="586"/>
      <c r="AB60" s="586"/>
      <c r="AC60" s="586"/>
      <c r="AD60" s="586"/>
      <c r="AE60" s="586"/>
    </row>
    <row r="61" spans="1:32 16384:16384" s="96" customFormat="1">
      <c r="A61" s="54" t="s">
        <v>291</v>
      </c>
      <c r="B61" s="435"/>
      <c r="C61" s="583"/>
      <c r="K61" s="486">
        <v>0</v>
      </c>
      <c r="L61" s="313">
        <v>0</v>
      </c>
      <c r="M61" s="313">
        <f>'Marina Projections'!D13</f>
        <v>12</v>
      </c>
      <c r="N61" s="313">
        <f>'Marina Projections'!E13</f>
        <v>12</v>
      </c>
      <c r="O61" s="313">
        <f>'Marina Projections'!F13</f>
        <v>12</v>
      </c>
      <c r="P61" s="313">
        <f>'Marina Projections'!G13</f>
        <v>12</v>
      </c>
      <c r="Q61" s="313">
        <f>'Marina Projections'!H13</f>
        <v>12</v>
      </c>
      <c r="R61" s="313">
        <f>'Marina Projections'!I13</f>
        <v>12</v>
      </c>
      <c r="S61" s="313">
        <f>'Marina Projections'!J13</f>
        <v>12</v>
      </c>
      <c r="T61" s="313">
        <f>'Marina Projections'!K13</f>
        <v>12</v>
      </c>
      <c r="U61" s="313">
        <f>'Marina Projections'!L13</f>
        <v>12</v>
      </c>
      <c r="V61" s="313">
        <f>'Marina Projections'!M13</f>
        <v>12</v>
      </c>
      <c r="W61" s="313">
        <f>'Marina Projections'!N13</f>
        <v>12</v>
      </c>
      <c r="X61" s="313">
        <f>'Marina Projections'!O13</f>
        <v>12</v>
      </c>
      <c r="Y61" s="313">
        <f>'Marina Projections'!P13</f>
        <v>12</v>
      </c>
      <c r="Z61" s="313">
        <f>'Marina Projections'!Q13</f>
        <v>12</v>
      </c>
      <c r="AA61" s="313">
        <f>'Marina Projections'!R13</f>
        <v>12</v>
      </c>
      <c r="AB61" s="313">
        <f>'Marina Projections'!S13</f>
        <v>12</v>
      </c>
      <c r="AC61" s="313">
        <f>'Marina Projections'!T13</f>
        <v>12</v>
      </c>
      <c r="AD61" s="313">
        <f>'Marina Projections'!U13</f>
        <v>12</v>
      </c>
      <c r="AE61" s="313">
        <f>'Marina Projections'!V13</f>
        <v>12</v>
      </c>
    </row>
    <row r="62" spans="1:32 16384:16384" s="96" customFormat="1">
      <c r="A62" s="54" t="s">
        <v>293</v>
      </c>
      <c r="B62" s="435"/>
      <c r="C62" s="583"/>
      <c r="K62" s="486">
        <v>0</v>
      </c>
      <c r="L62" s="313">
        <v>0</v>
      </c>
      <c r="M62" s="313">
        <f>'Marina Projections'!D20</f>
        <v>9557.1731249999993</v>
      </c>
      <c r="N62" s="313">
        <f>'Marina Projections'!E20</f>
        <v>9557.1731249999993</v>
      </c>
      <c r="O62" s="313">
        <f>'Marina Projections'!F20</f>
        <v>9557.1731249999993</v>
      </c>
      <c r="P62" s="313">
        <f>'Marina Projections'!G20</f>
        <v>9557.1731249999993</v>
      </c>
      <c r="Q62" s="313">
        <f>'Marina Projections'!H20</f>
        <v>9557.1731249999993</v>
      </c>
      <c r="R62" s="313">
        <f>'Marina Projections'!I20</f>
        <v>9557.1731249999993</v>
      </c>
      <c r="S62" s="313">
        <f>'Marina Projections'!J20</f>
        <v>9557.1731249999993</v>
      </c>
      <c r="T62" s="313">
        <f>'Marina Projections'!K20</f>
        <v>9557.1731249999993</v>
      </c>
      <c r="U62" s="313">
        <f>'Marina Projections'!L20</f>
        <v>9557.1731249999993</v>
      </c>
      <c r="V62" s="313">
        <f>'Marina Projections'!M20</f>
        <v>9557.1731249999993</v>
      </c>
      <c r="W62" s="313">
        <f>'Marina Projections'!N20</f>
        <v>9557.1731249999993</v>
      </c>
      <c r="X62" s="313">
        <f>'Marina Projections'!O20</f>
        <v>9557.1731249999993</v>
      </c>
      <c r="Y62" s="313">
        <f>'Marina Projections'!P20</f>
        <v>9557.1731249999993</v>
      </c>
      <c r="Z62" s="313">
        <f>'Marina Projections'!Q20</f>
        <v>9557.1731249999993</v>
      </c>
      <c r="AA62" s="313">
        <f>'Marina Projections'!R20</f>
        <v>9557.1731249999993</v>
      </c>
      <c r="AB62" s="313">
        <f>'Marina Projections'!S20</f>
        <v>9557.1731249999993</v>
      </c>
      <c r="AC62" s="313">
        <f>'Marina Projections'!T20</f>
        <v>9557.1731249999993</v>
      </c>
      <c r="AD62" s="313">
        <f>'Marina Projections'!U20</f>
        <v>9557.1731249999993</v>
      </c>
      <c r="AE62" s="313">
        <f>'Marina Projections'!V20</f>
        <v>9557.1731249999993</v>
      </c>
    </row>
    <row r="63" spans="1:32 16384:16384" s="96" customFormat="1">
      <c r="A63" s="54" t="s">
        <v>294</v>
      </c>
      <c r="B63" s="435"/>
      <c r="C63" s="583"/>
      <c r="K63" s="486">
        <v>0</v>
      </c>
      <c r="L63" s="313">
        <v>0</v>
      </c>
      <c r="M63" s="313">
        <f>'Marina Projections'!C16</f>
        <v>359.1</v>
      </c>
      <c r="N63" s="313">
        <f>'Marina Projections'!D16</f>
        <v>359.1</v>
      </c>
      <c r="O63" s="313">
        <f>'Marina Projections'!E16</f>
        <v>359.1</v>
      </c>
      <c r="P63" s="313">
        <f>'Marina Projections'!F16</f>
        <v>359.1</v>
      </c>
      <c r="Q63" s="313">
        <f>'Marina Projections'!G16</f>
        <v>359.1</v>
      </c>
      <c r="R63" s="313">
        <f>'Marina Projections'!H16</f>
        <v>359.1</v>
      </c>
      <c r="S63" s="313">
        <f>'Marina Projections'!I16</f>
        <v>359.1</v>
      </c>
      <c r="T63" s="313">
        <f>'Marina Projections'!J16</f>
        <v>359.1</v>
      </c>
      <c r="U63" s="313">
        <f>'Marina Projections'!K16</f>
        <v>359.1</v>
      </c>
      <c r="V63" s="313">
        <f>'Marina Projections'!L16</f>
        <v>359.1</v>
      </c>
      <c r="W63" s="313">
        <f>'Marina Projections'!M16</f>
        <v>359.1</v>
      </c>
      <c r="X63" s="313">
        <f>'Marina Projections'!N16</f>
        <v>359.1</v>
      </c>
      <c r="Y63" s="313">
        <f>'Marina Projections'!O16</f>
        <v>359.1</v>
      </c>
      <c r="Z63" s="313">
        <f>'Marina Projections'!P16</f>
        <v>359.1</v>
      </c>
      <c r="AA63" s="313">
        <f>'Marina Projections'!Q16</f>
        <v>359.1</v>
      </c>
      <c r="AB63" s="313">
        <f>'Marina Projections'!R16</f>
        <v>359.1</v>
      </c>
      <c r="AC63" s="313">
        <f>'Marina Projections'!S16</f>
        <v>359.1</v>
      </c>
      <c r="AD63" s="313">
        <f>'Marina Projections'!T16</f>
        <v>359.1</v>
      </c>
      <c r="AE63" s="313">
        <f>'Marina Projections'!U16</f>
        <v>359.1</v>
      </c>
    </row>
    <row r="64" spans="1:32 16384:16384" s="167" customFormat="1">
      <c r="A64" s="497" t="s">
        <v>170</v>
      </c>
      <c r="B64" s="450"/>
      <c r="C64" s="498"/>
      <c r="K64" s="499">
        <v>0</v>
      </c>
      <c r="L64" s="587">
        <v>0</v>
      </c>
      <c r="M64" s="587">
        <v>0</v>
      </c>
      <c r="N64" s="587">
        <v>0</v>
      </c>
      <c r="O64" s="587">
        <v>0</v>
      </c>
      <c r="P64" s="587">
        <v>0</v>
      </c>
      <c r="Q64" s="587">
        <v>0</v>
      </c>
      <c r="R64" s="587">
        <v>0</v>
      </c>
      <c r="S64" s="587">
        <v>0</v>
      </c>
      <c r="T64" s="587">
        <v>0</v>
      </c>
      <c r="U64" s="587">
        <v>0</v>
      </c>
      <c r="V64" s="587">
        <v>0</v>
      </c>
      <c r="W64" s="587">
        <v>0</v>
      </c>
      <c r="X64" s="587">
        <v>0</v>
      </c>
      <c r="Y64" s="587">
        <v>0</v>
      </c>
      <c r="Z64" s="587">
        <v>0</v>
      </c>
      <c r="AA64" s="587">
        <v>0</v>
      </c>
      <c r="AB64" s="587">
        <v>0</v>
      </c>
      <c r="AC64" s="587">
        <v>0</v>
      </c>
      <c r="AD64" s="587">
        <v>0</v>
      </c>
      <c r="AE64" s="587">
        <v>0</v>
      </c>
      <c r="AF64" s="167" t="str">
        <f>'P&amp;L - Concept A2'!Y59</f>
        <v>cost recovery assumed</v>
      </c>
    </row>
    <row r="65" spans="1:32" s="167" customFormat="1">
      <c r="A65" s="497" t="s">
        <v>16</v>
      </c>
      <c r="B65" s="450"/>
      <c r="C65" s="498"/>
      <c r="K65" s="499">
        <v>0</v>
      </c>
      <c r="L65" s="587">
        <v>0</v>
      </c>
      <c r="M65" s="587">
        <v>0</v>
      </c>
      <c r="N65" s="587">
        <v>0</v>
      </c>
      <c r="O65" s="587">
        <v>0</v>
      </c>
      <c r="P65" s="587">
        <v>0</v>
      </c>
      <c r="Q65" s="587">
        <v>0</v>
      </c>
      <c r="R65" s="587">
        <v>0</v>
      </c>
      <c r="S65" s="587">
        <v>0</v>
      </c>
      <c r="T65" s="587">
        <v>0</v>
      </c>
      <c r="U65" s="587">
        <v>0</v>
      </c>
      <c r="V65" s="587">
        <v>0</v>
      </c>
      <c r="W65" s="587">
        <v>0</v>
      </c>
      <c r="X65" s="587">
        <v>0</v>
      </c>
      <c r="Y65" s="587">
        <v>0</v>
      </c>
      <c r="Z65" s="587">
        <v>0</v>
      </c>
      <c r="AA65" s="587">
        <v>0</v>
      </c>
      <c r="AB65" s="587">
        <v>0</v>
      </c>
      <c r="AC65" s="587">
        <v>0</v>
      </c>
      <c r="AD65" s="587">
        <v>0</v>
      </c>
      <c r="AE65" s="587">
        <v>0</v>
      </c>
      <c r="AF65" s="167" t="str">
        <f>'P&amp;L - Concept A2'!Y60</f>
        <v>cost recovery assumed</v>
      </c>
    </row>
    <row r="66" spans="1:32" s="18" customFormat="1">
      <c r="A66" s="54"/>
      <c r="B66" s="277"/>
      <c r="C66" s="74"/>
      <c r="K66" s="492"/>
      <c r="L66" s="308"/>
      <c r="M66" s="308"/>
      <c r="N66" s="308"/>
      <c r="O66" s="308"/>
      <c r="P66" s="308"/>
      <c r="Q66" s="308"/>
      <c r="R66" s="308"/>
      <c r="S66" s="308"/>
      <c r="T66" s="308"/>
      <c r="U66" s="308"/>
      <c r="V66" s="308"/>
      <c r="W66" s="308"/>
      <c r="X66" s="308"/>
      <c r="Y66" s="308"/>
      <c r="Z66" s="308"/>
      <c r="AA66" s="308"/>
      <c r="AB66" s="308"/>
      <c r="AC66" s="308"/>
      <c r="AD66" s="308"/>
      <c r="AE66" s="308"/>
    </row>
    <row r="67" spans="1:32" s="18" customFormat="1">
      <c r="A67" s="293" t="s">
        <v>2</v>
      </c>
      <c r="B67" s="277"/>
      <c r="C67" s="74"/>
      <c r="K67" s="492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</row>
    <row r="68" spans="1:32" s="96" customFormat="1">
      <c r="A68" s="54" t="s">
        <v>290</v>
      </c>
      <c r="B68" s="435">
        <v>500</v>
      </c>
      <c r="C68" s="487"/>
      <c r="K68" s="486">
        <v>0</v>
      </c>
      <c r="L68" s="313">
        <v>0</v>
      </c>
      <c r="M68" s="313">
        <v>0</v>
      </c>
      <c r="N68" s="313">
        <f t="shared" ref="N68:AE68" si="7">$B$68</f>
        <v>500</v>
      </c>
      <c r="O68" s="313">
        <f t="shared" si="7"/>
        <v>500</v>
      </c>
      <c r="P68" s="313">
        <f t="shared" si="7"/>
        <v>500</v>
      </c>
      <c r="Q68" s="313">
        <f t="shared" si="7"/>
        <v>500</v>
      </c>
      <c r="R68" s="313">
        <f t="shared" si="7"/>
        <v>500</v>
      </c>
      <c r="S68" s="313">
        <f t="shared" si="7"/>
        <v>500</v>
      </c>
      <c r="T68" s="313">
        <f t="shared" si="7"/>
        <v>500</v>
      </c>
      <c r="U68" s="313">
        <f t="shared" si="7"/>
        <v>500</v>
      </c>
      <c r="V68" s="313">
        <f t="shared" si="7"/>
        <v>500</v>
      </c>
      <c r="W68" s="313">
        <f t="shared" si="7"/>
        <v>500</v>
      </c>
      <c r="X68" s="313">
        <f t="shared" si="7"/>
        <v>500</v>
      </c>
      <c r="Y68" s="313">
        <f t="shared" si="7"/>
        <v>500</v>
      </c>
      <c r="Z68" s="313">
        <f t="shared" si="7"/>
        <v>500</v>
      </c>
      <c r="AA68" s="313">
        <f t="shared" si="7"/>
        <v>500</v>
      </c>
      <c r="AB68" s="313">
        <f t="shared" si="7"/>
        <v>500</v>
      </c>
      <c r="AC68" s="313">
        <f t="shared" si="7"/>
        <v>500</v>
      </c>
      <c r="AD68" s="313">
        <f t="shared" si="7"/>
        <v>500</v>
      </c>
      <c r="AE68" s="313">
        <f t="shared" si="7"/>
        <v>500</v>
      </c>
    </row>
    <row r="69" spans="1:32" s="96" customFormat="1">
      <c r="A69" s="54" t="s">
        <v>210</v>
      </c>
      <c r="B69" s="487"/>
      <c r="C69" s="487"/>
      <c r="K69" s="486">
        <v>0</v>
      </c>
      <c r="L69" s="313">
        <v>0</v>
      </c>
      <c r="M69" s="313">
        <v>1</v>
      </c>
      <c r="N69" s="313">
        <v>2</v>
      </c>
      <c r="O69" s="313">
        <v>2</v>
      </c>
      <c r="P69" s="313">
        <v>2</v>
      </c>
      <c r="Q69" s="313">
        <v>3</v>
      </c>
      <c r="R69" s="313">
        <v>3</v>
      </c>
      <c r="S69" s="313">
        <v>3</v>
      </c>
      <c r="T69" s="313">
        <v>3</v>
      </c>
      <c r="U69" s="313">
        <v>3</v>
      </c>
      <c r="V69" s="313">
        <v>4</v>
      </c>
      <c r="W69" s="313">
        <v>4</v>
      </c>
      <c r="X69" s="313">
        <v>4</v>
      </c>
      <c r="Y69" s="313">
        <v>4</v>
      </c>
      <c r="Z69" s="313">
        <v>4</v>
      </c>
      <c r="AA69" s="313">
        <v>5</v>
      </c>
      <c r="AB69" s="313">
        <v>5</v>
      </c>
      <c r="AC69" s="313">
        <v>5</v>
      </c>
      <c r="AD69" s="313">
        <v>5</v>
      </c>
      <c r="AE69" s="313">
        <v>5</v>
      </c>
    </row>
    <row r="70" spans="1:32" s="96" customFormat="1">
      <c r="A70" s="96" t="s">
        <v>211</v>
      </c>
      <c r="K70" s="486">
        <v>0</v>
      </c>
      <c r="L70" s="435">
        <v>0</v>
      </c>
      <c r="M70" s="435">
        <v>3</v>
      </c>
      <c r="N70" s="435">
        <v>3</v>
      </c>
      <c r="O70" s="435">
        <v>3</v>
      </c>
      <c r="P70" s="435">
        <v>3</v>
      </c>
      <c r="Q70" s="435">
        <v>3</v>
      </c>
      <c r="R70" s="435">
        <v>3</v>
      </c>
      <c r="S70" s="435">
        <v>3</v>
      </c>
      <c r="T70" s="435">
        <v>3</v>
      </c>
      <c r="U70" s="435">
        <v>3</v>
      </c>
      <c r="V70" s="435">
        <v>3</v>
      </c>
      <c r="W70" s="435">
        <v>3</v>
      </c>
      <c r="X70" s="435">
        <v>3</v>
      </c>
      <c r="Y70" s="435">
        <v>3</v>
      </c>
      <c r="Z70" s="435">
        <v>3</v>
      </c>
      <c r="AA70" s="435">
        <v>3</v>
      </c>
      <c r="AB70" s="435">
        <v>3</v>
      </c>
      <c r="AC70" s="435">
        <v>3</v>
      </c>
      <c r="AD70" s="435">
        <v>3</v>
      </c>
      <c r="AE70" s="435">
        <v>3</v>
      </c>
    </row>
    <row r="71" spans="1:32" s="96" customFormat="1">
      <c r="K71" s="486"/>
      <c r="L71" s="435"/>
      <c r="M71" s="435"/>
      <c r="N71" s="435"/>
      <c r="O71" s="435"/>
      <c r="P71" s="435"/>
      <c r="Q71" s="435"/>
      <c r="R71" s="435"/>
      <c r="S71" s="435"/>
      <c r="T71" s="435"/>
      <c r="U71" s="435"/>
      <c r="V71" s="435"/>
      <c r="W71" s="435"/>
      <c r="X71" s="435"/>
      <c r="Y71" s="435"/>
      <c r="Z71" s="435"/>
      <c r="AA71" s="435"/>
      <c r="AB71" s="435"/>
      <c r="AC71" s="435"/>
      <c r="AD71" s="435"/>
      <c r="AE71" s="435"/>
    </row>
    <row r="72" spans="1:32" s="18" customFormat="1">
      <c r="A72" s="28"/>
      <c r="K72" s="486"/>
      <c r="L72" s="331"/>
      <c r="M72" s="333"/>
      <c r="N72" s="331"/>
      <c r="O72" s="331"/>
      <c r="P72" s="331"/>
      <c r="Q72" s="331"/>
      <c r="R72" s="331"/>
      <c r="S72" s="331"/>
      <c r="T72" s="331"/>
      <c r="U72" s="331"/>
      <c r="V72" s="331"/>
      <c r="W72" s="331"/>
      <c r="X72" s="331"/>
      <c r="Y72" s="331"/>
      <c r="Z72" s="331"/>
      <c r="AA72" s="331"/>
      <c r="AB72" s="331"/>
      <c r="AC72" s="331"/>
      <c r="AD72" s="331"/>
      <c r="AE72" s="331"/>
    </row>
    <row r="73" spans="1:32">
      <c r="A73" s="168" t="s">
        <v>131</v>
      </c>
      <c r="B73" s="168"/>
      <c r="C73" s="169"/>
      <c r="D73" s="170"/>
      <c r="E73" s="171"/>
      <c r="F73" s="171"/>
      <c r="G73" s="171"/>
      <c r="H73" s="171"/>
      <c r="I73" s="168"/>
      <c r="J73" s="171"/>
      <c r="K73" s="681"/>
      <c r="L73" s="314"/>
      <c r="M73" s="314"/>
      <c r="N73" s="314"/>
      <c r="O73" s="314"/>
      <c r="P73" s="314"/>
      <c r="Q73" s="314"/>
      <c r="R73" s="314"/>
      <c r="S73" s="314"/>
      <c r="T73" s="314"/>
      <c r="U73" s="314"/>
      <c r="V73" s="314"/>
      <c r="W73" s="314"/>
      <c r="X73" s="314"/>
      <c r="Y73" s="314"/>
      <c r="Z73" s="314"/>
      <c r="AA73" s="314"/>
      <c r="AB73" s="314"/>
      <c r="AC73" s="314"/>
      <c r="AD73" s="314"/>
      <c r="AE73" s="314"/>
    </row>
    <row r="74" spans="1:32" s="252" customFormat="1">
      <c r="A74" s="183"/>
      <c r="B74" s="183"/>
      <c r="C74" s="364"/>
      <c r="D74" s="365"/>
      <c r="E74" s="184"/>
      <c r="F74" s="184"/>
      <c r="G74" s="184"/>
      <c r="H74" s="184"/>
      <c r="I74" s="183"/>
      <c r="J74" s="184"/>
      <c r="K74" s="664"/>
      <c r="L74" s="366"/>
      <c r="M74" s="366"/>
      <c r="N74" s="366"/>
      <c r="O74" s="366"/>
      <c r="P74" s="366"/>
      <c r="Q74" s="366"/>
      <c r="R74" s="366"/>
      <c r="S74" s="366"/>
      <c r="T74" s="366"/>
      <c r="U74" s="366"/>
      <c r="V74" s="366"/>
      <c r="W74" s="366"/>
      <c r="X74" s="366"/>
      <c r="Y74" s="366"/>
      <c r="Z74" s="366"/>
      <c r="AA74" s="366"/>
      <c r="AB74" s="366"/>
      <c r="AC74" s="366"/>
      <c r="AD74" s="366"/>
      <c r="AE74" s="366"/>
    </row>
    <row r="75" spans="1:32">
      <c r="A75" s="41" t="s">
        <v>13</v>
      </c>
      <c r="B75" s="41"/>
      <c r="C75" s="105"/>
      <c r="D75" s="106"/>
      <c r="E75" s="37"/>
      <c r="F75" s="37"/>
      <c r="G75" s="37"/>
      <c r="H75" s="37"/>
      <c r="I75" s="41"/>
      <c r="J75" s="37"/>
      <c r="K75" s="683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</row>
    <row r="76" spans="1:32">
      <c r="A76" s="96" t="s">
        <v>418</v>
      </c>
      <c r="B76" s="735" t="s">
        <v>12</v>
      </c>
      <c r="C76" s="663">
        <v>75000</v>
      </c>
      <c r="D76" s="736">
        <f t="shared" ref="D76:D77" si="8">C76/2080</f>
        <v>36.057692307692307</v>
      </c>
      <c r="E76" s="663">
        <v>0</v>
      </c>
      <c r="F76" s="663">
        <f>(C76*$F$13)</f>
        <v>30000</v>
      </c>
      <c r="G76" s="663">
        <f>SUM(C76,E76:F76)</f>
        <v>105000</v>
      </c>
      <c r="H76" s="663"/>
      <c r="I76" s="736"/>
      <c r="J76" s="663"/>
      <c r="K76" s="683">
        <v>0</v>
      </c>
      <c r="L76" s="665">
        <v>0</v>
      </c>
      <c r="M76" s="666">
        <f>G76</f>
        <v>105000</v>
      </c>
      <c r="N76" s="666">
        <f>($G$76*L11)</f>
        <v>107100</v>
      </c>
      <c r="O76" s="666">
        <f t="shared" ref="O76:AE76" si="9">($G$76*M11)</f>
        <v>109242</v>
      </c>
      <c r="P76" s="666">
        <f t="shared" si="9"/>
        <v>111426.84</v>
      </c>
      <c r="Q76" s="666">
        <f t="shared" si="9"/>
        <v>113655.3768</v>
      </c>
      <c r="R76" s="666">
        <f t="shared" si="9"/>
        <v>115928.48433600001</v>
      </c>
      <c r="S76" s="666">
        <f t="shared" si="9"/>
        <v>118247.05402272001</v>
      </c>
      <c r="T76" s="666">
        <f t="shared" si="9"/>
        <v>120611.9951031744</v>
      </c>
      <c r="U76" s="666">
        <f t="shared" si="9"/>
        <v>123024.2350052379</v>
      </c>
      <c r="V76" s="666">
        <f t="shared" si="9"/>
        <v>125484.71970534266</v>
      </c>
      <c r="W76" s="666">
        <f t="shared" si="9"/>
        <v>127994.41409944952</v>
      </c>
      <c r="X76" s="666">
        <f t="shared" si="9"/>
        <v>130554.30238143851</v>
      </c>
      <c r="Y76" s="666">
        <f t="shared" si="9"/>
        <v>133165.38842906727</v>
      </c>
      <c r="Z76" s="666">
        <f t="shared" si="9"/>
        <v>135828.69619764862</v>
      </c>
      <c r="AA76" s="666">
        <f t="shared" si="9"/>
        <v>138545.27012160158</v>
      </c>
      <c r="AB76" s="666">
        <f t="shared" si="9"/>
        <v>141316.17552403364</v>
      </c>
      <c r="AC76" s="666">
        <f t="shared" si="9"/>
        <v>144142.4990345143</v>
      </c>
      <c r="AD76" s="666">
        <f t="shared" si="9"/>
        <v>147025.34901520461</v>
      </c>
      <c r="AE76" s="666">
        <f t="shared" si="9"/>
        <v>149965.8559955087</v>
      </c>
    </row>
    <row r="77" spans="1:32">
      <c r="A77" s="96" t="s">
        <v>417</v>
      </c>
      <c r="B77" s="735" t="s">
        <v>12</v>
      </c>
      <c r="C77" s="663">
        <v>35000</v>
      </c>
      <c r="D77" s="736">
        <f t="shared" si="8"/>
        <v>16.826923076923077</v>
      </c>
      <c r="E77" s="663">
        <v>0</v>
      </c>
      <c r="F77" s="663">
        <f t="shared" ref="F77:F78" si="10">(C77*$F$13)</f>
        <v>14000</v>
      </c>
      <c r="G77" s="663">
        <f t="shared" ref="G77" si="11">SUM(C77,E77:F77)</f>
        <v>49000</v>
      </c>
      <c r="H77" s="663"/>
      <c r="I77" s="736"/>
      <c r="J77" s="663"/>
      <c r="K77" s="683">
        <v>0</v>
      </c>
      <c r="L77" s="665">
        <f>G77*0.25</f>
        <v>12250</v>
      </c>
      <c r="M77" s="666">
        <f>G77*0.5</f>
        <v>24500</v>
      </c>
      <c r="N77" s="666">
        <f>($G$77*0.5*L11)</f>
        <v>24990</v>
      </c>
      <c r="O77" s="666">
        <f t="shared" ref="O77:AE77" si="12">($G$77*0.5*M11)</f>
        <v>25489.8</v>
      </c>
      <c r="P77" s="666">
        <f t="shared" si="12"/>
        <v>25999.595999999998</v>
      </c>
      <c r="Q77" s="666">
        <f t="shared" si="12"/>
        <v>26519.587919999998</v>
      </c>
      <c r="R77" s="666">
        <f t="shared" si="12"/>
        <v>27049.979678399999</v>
      </c>
      <c r="S77" s="666">
        <f t="shared" si="12"/>
        <v>27590.979271968001</v>
      </c>
      <c r="T77" s="666">
        <f t="shared" si="12"/>
        <v>28142.798857407361</v>
      </c>
      <c r="U77" s="666">
        <f t="shared" si="12"/>
        <v>28705.654834555509</v>
      </c>
      <c r="V77" s="666">
        <f t="shared" si="12"/>
        <v>29279.767931246621</v>
      </c>
      <c r="W77" s="666">
        <f t="shared" si="12"/>
        <v>29865.363289871555</v>
      </c>
      <c r="X77" s="666">
        <f t="shared" si="12"/>
        <v>30462.670555668985</v>
      </c>
      <c r="Y77" s="666">
        <f t="shared" si="12"/>
        <v>31071.923966782364</v>
      </c>
      <c r="Z77" s="666">
        <f t="shared" si="12"/>
        <v>31693.362446118008</v>
      </c>
      <c r="AA77" s="666">
        <f t="shared" si="12"/>
        <v>32327.229695040372</v>
      </c>
      <c r="AB77" s="666">
        <f t="shared" si="12"/>
        <v>32973.774288941182</v>
      </c>
      <c r="AC77" s="666">
        <f t="shared" si="12"/>
        <v>33633.249774720003</v>
      </c>
      <c r="AD77" s="666">
        <f t="shared" si="12"/>
        <v>34305.914770214411</v>
      </c>
      <c r="AE77" s="666">
        <f t="shared" si="12"/>
        <v>34992.0330656187</v>
      </c>
    </row>
    <row r="78" spans="1:32">
      <c r="A78" s="737" t="s">
        <v>422</v>
      </c>
      <c r="B78" s="738" t="s">
        <v>15</v>
      </c>
      <c r="C78" s="739">
        <v>15000</v>
      </c>
      <c r="D78" s="740">
        <f t="shared" ref="D78" si="13">C78/2080</f>
        <v>7.2115384615384617</v>
      </c>
      <c r="E78" s="739">
        <f>C78*$L$15</f>
        <v>0</v>
      </c>
      <c r="F78" s="739">
        <f t="shared" si="10"/>
        <v>6000</v>
      </c>
      <c r="G78" s="739">
        <f t="shared" ref="G78" si="14">SUM(C78,E78:F78)</f>
        <v>21000</v>
      </c>
      <c r="H78" s="739"/>
      <c r="I78" s="740"/>
      <c r="J78" s="739"/>
      <c r="K78" s="741">
        <v>0</v>
      </c>
      <c r="L78" s="742">
        <v>0</v>
      </c>
      <c r="M78" s="742">
        <f t="shared" ref="M78" si="15">G78</f>
        <v>21000</v>
      </c>
      <c r="N78" s="742">
        <f t="shared" ref="N78:AE78" si="16">($G$78*L11)</f>
        <v>21420</v>
      </c>
      <c r="O78" s="742">
        <f t="shared" si="16"/>
        <v>21848.400000000001</v>
      </c>
      <c r="P78" s="742">
        <f t="shared" si="16"/>
        <v>22285.367999999999</v>
      </c>
      <c r="Q78" s="742">
        <f t="shared" si="16"/>
        <v>22731.075359999999</v>
      </c>
      <c r="R78" s="742">
        <f t="shared" si="16"/>
        <v>23185.6968672</v>
      </c>
      <c r="S78" s="742">
        <f t="shared" si="16"/>
        <v>23649.410804544001</v>
      </c>
      <c r="T78" s="742">
        <f t="shared" si="16"/>
        <v>24122.399020634883</v>
      </c>
      <c r="U78" s="742">
        <f t="shared" si="16"/>
        <v>24604.847001047579</v>
      </c>
      <c r="V78" s="742">
        <f t="shared" si="16"/>
        <v>25096.943941068534</v>
      </c>
      <c r="W78" s="742">
        <f t="shared" si="16"/>
        <v>25598.882819889903</v>
      </c>
      <c r="X78" s="742">
        <f t="shared" si="16"/>
        <v>26110.8604762877</v>
      </c>
      <c r="Y78" s="742">
        <f t="shared" si="16"/>
        <v>26633.077685813456</v>
      </c>
      <c r="Z78" s="742">
        <f t="shared" si="16"/>
        <v>27165.739239529721</v>
      </c>
      <c r="AA78" s="742">
        <f t="shared" si="16"/>
        <v>27709.054024320321</v>
      </c>
      <c r="AB78" s="742">
        <f t="shared" si="16"/>
        <v>28263.235104806728</v>
      </c>
      <c r="AC78" s="742">
        <f t="shared" si="16"/>
        <v>28828.499806902862</v>
      </c>
      <c r="AD78" s="742">
        <f t="shared" si="16"/>
        <v>29405.069803040922</v>
      </c>
      <c r="AE78" s="742">
        <f t="shared" si="16"/>
        <v>29993.17119910174</v>
      </c>
    </row>
    <row r="79" spans="1:32" s="56" customFormat="1" ht="14.25">
      <c r="A79" s="164" t="s">
        <v>416</v>
      </c>
      <c r="B79" s="164"/>
      <c r="C79" s="667">
        <f>SUM(C76:C78)</f>
        <v>125000</v>
      </c>
      <c r="D79" s="667"/>
      <c r="E79" s="667">
        <f>SUM(E76:E78)</f>
        <v>0</v>
      </c>
      <c r="F79" s="667">
        <f>SUM(F76:F78)</f>
        <v>50000</v>
      </c>
      <c r="G79" s="667">
        <f>SUM(G76:G78)</f>
        <v>175000</v>
      </c>
      <c r="H79" s="667"/>
      <c r="I79" s="668"/>
      <c r="J79" s="667"/>
      <c r="K79" s="685">
        <f>SUMIF($B76:$B78,"FT",K76:K78)</f>
        <v>0</v>
      </c>
      <c r="L79" s="669">
        <f t="shared" ref="L79:AE79" si="17">SUM(L76:L78)</f>
        <v>12250</v>
      </c>
      <c r="M79" s="669">
        <f t="shared" si="17"/>
        <v>150500</v>
      </c>
      <c r="N79" s="669">
        <f t="shared" si="17"/>
        <v>153510</v>
      </c>
      <c r="O79" s="669">
        <f t="shared" si="17"/>
        <v>156580.19999999998</v>
      </c>
      <c r="P79" s="669">
        <f t="shared" si="17"/>
        <v>159711.80399999997</v>
      </c>
      <c r="Q79" s="669">
        <f t="shared" si="17"/>
        <v>162906.04007999998</v>
      </c>
      <c r="R79" s="669">
        <f t="shared" si="17"/>
        <v>166164.16088159999</v>
      </c>
      <c r="S79" s="669">
        <f t="shared" si="17"/>
        <v>169487.444099232</v>
      </c>
      <c r="T79" s="669">
        <f t="shared" si="17"/>
        <v>172877.19298121665</v>
      </c>
      <c r="U79" s="669">
        <f t="shared" si="17"/>
        <v>176334.73684084098</v>
      </c>
      <c r="V79" s="669">
        <f t="shared" si="17"/>
        <v>179861.43157765782</v>
      </c>
      <c r="W79" s="669">
        <f t="shared" si="17"/>
        <v>183458.66020921097</v>
      </c>
      <c r="X79" s="669">
        <f t="shared" si="17"/>
        <v>187127.83341339519</v>
      </c>
      <c r="Y79" s="669">
        <f t="shared" si="17"/>
        <v>190870.39008166309</v>
      </c>
      <c r="Z79" s="669">
        <f t="shared" si="17"/>
        <v>194687.79788329633</v>
      </c>
      <c r="AA79" s="669">
        <f t="shared" si="17"/>
        <v>198581.5538409623</v>
      </c>
      <c r="AB79" s="669">
        <f t="shared" si="17"/>
        <v>202553.18491778153</v>
      </c>
      <c r="AC79" s="669">
        <f t="shared" si="17"/>
        <v>206604.24861613716</v>
      </c>
      <c r="AD79" s="669">
        <f t="shared" si="17"/>
        <v>210736.33358845994</v>
      </c>
      <c r="AE79" s="669">
        <f t="shared" si="17"/>
        <v>214951.06026022913</v>
      </c>
    </row>
    <row r="80" spans="1:32" s="56" customFormat="1" ht="14.25">
      <c r="A80" s="164"/>
      <c r="B80" s="164"/>
      <c r="C80" s="667"/>
      <c r="D80" s="667"/>
      <c r="E80" s="667"/>
      <c r="F80" s="667"/>
      <c r="G80" s="667"/>
      <c r="H80" s="667"/>
      <c r="I80" s="668"/>
      <c r="J80" s="667"/>
      <c r="K80" s="685"/>
      <c r="L80" s="669"/>
      <c r="M80" s="669"/>
      <c r="N80" s="669"/>
      <c r="O80" s="669"/>
      <c r="P80" s="669"/>
      <c r="Q80" s="669"/>
      <c r="R80" s="669"/>
      <c r="S80" s="669"/>
      <c r="T80" s="669"/>
      <c r="U80" s="669"/>
      <c r="V80" s="669"/>
      <c r="W80" s="669"/>
      <c r="X80" s="669"/>
      <c r="Y80" s="669"/>
      <c r="Z80" s="669"/>
      <c r="AA80" s="669"/>
      <c r="AB80" s="669"/>
      <c r="AC80" s="669"/>
      <c r="AD80" s="669"/>
      <c r="AE80" s="669"/>
    </row>
    <row r="81" spans="1:35">
      <c r="A81" s="37" t="s">
        <v>411</v>
      </c>
      <c r="B81" s="37"/>
      <c r="C81" s="57"/>
      <c r="E81" s="57"/>
      <c r="F81" s="57"/>
      <c r="G81" s="57"/>
      <c r="H81" s="57"/>
      <c r="I81" s="43"/>
      <c r="J81" s="42"/>
      <c r="K81" s="743">
        <f>COUNTIF(K76:K78,"&gt;100")</f>
        <v>0</v>
      </c>
      <c r="L81" s="496">
        <f t="shared" ref="L81:AE81" si="18">COUNTIF(L76:L77,"&gt;100")</f>
        <v>1</v>
      </c>
      <c r="M81" s="496">
        <f t="shared" si="18"/>
        <v>2</v>
      </c>
      <c r="N81" s="496">
        <f t="shared" si="18"/>
        <v>2</v>
      </c>
      <c r="O81" s="496">
        <f t="shared" si="18"/>
        <v>2</v>
      </c>
      <c r="P81" s="496">
        <f t="shared" si="18"/>
        <v>2</v>
      </c>
      <c r="Q81" s="496">
        <f t="shared" si="18"/>
        <v>2</v>
      </c>
      <c r="R81" s="496">
        <f t="shared" si="18"/>
        <v>2</v>
      </c>
      <c r="S81" s="496">
        <f t="shared" si="18"/>
        <v>2</v>
      </c>
      <c r="T81" s="496">
        <f t="shared" si="18"/>
        <v>2</v>
      </c>
      <c r="U81" s="496">
        <f t="shared" si="18"/>
        <v>2</v>
      </c>
      <c r="V81" s="496">
        <f t="shared" si="18"/>
        <v>2</v>
      </c>
      <c r="W81" s="496">
        <f t="shared" si="18"/>
        <v>2</v>
      </c>
      <c r="X81" s="496">
        <f t="shared" si="18"/>
        <v>2</v>
      </c>
      <c r="Y81" s="496">
        <f t="shared" si="18"/>
        <v>2</v>
      </c>
      <c r="Z81" s="496">
        <f t="shared" si="18"/>
        <v>2</v>
      </c>
      <c r="AA81" s="496">
        <f t="shared" si="18"/>
        <v>2</v>
      </c>
      <c r="AB81" s="496">
        <f t="shared" si="18"/>
        <v>2</v>
      </c>
      <c r="AC81" s="496">
        <f t="shared" si="18"/>
        <v>2</v>
      </c>
      <c r="AD81" s="496">
        <f t="shared" si="18"/>
        <v>2</v>
      </c>
      <c r="AE81" s="496">
        <f t="shared" si="18"/>
        <v>2</v>
      </c>
      <c r="AF81" s="744"/>
    </row>
    <row r="82" spans="1:35">
      <c r="A82" s="745" t="s">
        <v>412</v>
      </c>
      <c r="B82" s="745"/>
      <c r="C82" s="746"/>
      <c r="D82" s="116"/>
      <c r="E82" s="746"/>
      <c r="F82" s="746"/>
      <c r="G82" s="746"/>
      <c r="H82" s="746"/>
      <c r="I82" s="747"/>
      <c r="J82" s="748"/>
      <c r="K82" s="749">
        <f t="shared" ref="K82" si="19">K83-K81</f>
        <v>0</v>
      </c>
      <c r="L82" s="750">
        <f t="shared" ref="L82:AE82" si="20">COUNTIF(L78:L78,"&gt;100")</f>
        <v>0</v>
      </c>
      <c r="M82" s="750">
        <f t="shared" si="20"/>
        <v>1</v>
      </c>
      <c r="N82" s="750">
        <f t="shared" si="20"/>
        <v>1</v>
      </c>
      <c r="O82" s="750">
        <f t="shared" si="20"/>
        <v>1</v>
      </c>
      <c r="P82" s="750">
        <f t="shared" si="20"/>
        <v>1</v>
      </c>
      <c r="Q82" s="750">
        <f t="shared" si="20"/>
        <v>1</v>
      </c>
      <c r="R82" s="750">
        <f t="shared" si="20"/>
        <v>1</v>
      </c>
      <c r="S82" s="750">
        <f t="shared" si="20"/>
        <v>1</v>
      </c>
      <c r="T82" s="750">
        <f t="shared" si="20"/>
        <v>1</v>
      </c>
      <c r="U82" s="750">
        <f t="shared" si="20"/>
        <v>1</v>
      </c>
      <c r="V82" s="750">
        <f t="shared" si="20"/>
        <v>1</v>
      </c>
      <c r="W82" s="750">
        <f t="shared" si="20"/>
        <v>1</v>
      </c>
      <c r="X82" s="750">
        <f t="shared" si="20"/>
        <v>1</v>
      </c>
      <c r="Y82" s="750">
        <f t="shared" si="20"/>
        <v>1</v>
      </c>
      <c r="Z82" s="750">
        <f t="shared" si="20"/>
        <v>1</v>
      </c>
      <c r="AA82" s="750">
        <f t="shared" si="20"/>
        <v>1</v>
      </c>
      <c r="AB82" s="750">
        <f t="shared" si="20"/>
        <v>1</v>
      </c>
      <c r="AC82" s="750">
        <f t="shared" si="20"/>
        <v>1</v>
      </c>
      <c r="AD82" s="750">
        <f t="shared" si="20"/>
        <v>1</v>
      </c>
      <c r="AE82" s="750">
        <f t="shared" si="20"/>
        <v>1</v>
      </c>
    </row>
    <row r="83" spans="1:35" s="56" customFormat="1" ht="14.25">
      <c r="A83" s="164" t="s">
        <v>413</v>
      </c>
      <c r="B83" s="164"/>
      <c r="C83" s="75"/>
      <c r="D83" s="173"/>
      <c r="E83" s="75"/>
      <c r="F83" s="75"/>
      <c r="G83" s="75"/>
      <c r="H83" s="75"/>
      <c r="I83" s="174"/>
      <c r="J83" s="181"/>
      <c r="K83" s="751">
        <f>COUNTIF(K76:K78,"&gt;0")</f>
        <v>0</v>
      </c>
      <c r="L83" s="752">
        <f>SUM(L81:L82)</f>
        <v>1</v>
      </c>
      <c r="M83" s="752">
        <f t="shared" ref="M83:AE83" si="21">SUM(M81:M82)</f>
        <v>3</v>
      </c>
      <c r="N83" s="752">
        <f t="shared" si="21"/>
        <v>3</v>
      </c>
      <c r="O83" s="752">
        <f t="shared" si="21"/>
        <v>3</v>
      </c>
      <c r="P83" s="752">
        <f t="shared" si="21"/>
        <v>3</v>
      </c>
      <c r="Q83" s="752">
        <f t="shared" si="21"/>
        <v>3</v>
      </c>
      <c r="R83" s="752">
        <f t="shared" si="21"/>
        <v>3</v>
      </c>
      <c r="S83" s="752">
        <f t="shared" si="21"/>
        <v>3</v>
      </c>
      <c r="T83" s="752">
        <f t="shared" si="21"/>
        <v>3</v>
      </c>
      <c r="U83" s="752">
        <f t="shared" si="21"/>
        <v>3</v>
      </c>
      <c r="V83" s="752">
        <f t="shared" si="21"/>
        <v>3</v>
      </c>
      <c r="W83" s="752">
        <f t="shared" si="21"/>
        <v>3</v>
      </c>
      <c r="X83" s="752">
        <f t="shared" si="21"/>
        <v>3</v>
      </c>
      <c r="Y83" s="752">
        <f t="shared" si="21"/>
        <v>3</v>
      </c>
      <c r="Z83" s="752">
        <f t="shared" si="21"/>
        <v>3</v>
      </c>
      <c r="AA83" s="752">
        <f t="shared" si="21"/>
        <v>3</v>
      </c>
      <c r="AB83" s="752">
        <f t="shared" si="21"/>
        <v>3</v>
      </c>
      <c r="AC83" s="752">
        <f t="shared" si="21"/>
        <v>3</v>
      </c>
      <c r="AD83" s="752">
        <f t="shared" si="21"/>
        <v>3</v>
      </c>
      <c r="AE83" s="752">
        <f t="shared" si="21"/>
        <v>3</v>
      </c>
    </row>
    <row r="84" spans="1:35" s="56" customFormat="1" ht="14.25">
      <c r="A84" s="164"/>
      <c r="B84" s="164"/>
      <c r="C84" s="75"/>
      <c r="D84" s="173"/>
      <c r="E84" s="75"/>
      <c r="F84" s="75"/>
      <c r="G84" s="75"/>
      <c r="H84" s="75"/>
      <c r="I84" s="174"/>
      <c r="J84" s="181"/>
      <c r="K84" s="685"/>
      <c r="L84" s="315"/>
      <c r="M84" s="315"/>
      <c r="N84" s="315"/>
      <c r="O84" s="315"/>
      <c r="P84" s="315"/>
      <c r="Q84" s="315"/>
      <c r="R84" s="315"/>
      <c r="S84" s="315"/>
      <c r="T84" s="315"/>
      <c r="U84" s="315"/>
      <c r="V84" s="315"/>
      <c r="W84" s="315"/>
      <c r="X84" s="315"/>
      <c r="Y84" s="315"/>
      <c r="Z84" s="315"/>
      <c r="AA84" s="315"/>
      <c r="AB84" s="315"/>
      <c r="AC84" s="315"/>
      <c r="AD84" s="315"/>
      <c r="AE84" s="315"/>
    </row>
    <row r="85" spans="1:35">
      <c r="A85" s="48" t="s">
        <v>68</v>
      </c>
      <c r="B85" s="48"/>
      <c r="C85" s="77"/>
      <c r="D85" s="76"/>
      <c r="E85" s="57"/>
      <c r="F85" s="57"/>
      <c r="G85" s="77"/>
      <c r="H85" s="77"/>
      <c r="I85" s="50"/>
      <c r="J85" s="49"/>
      <c r="K85" s="683"/>
      <c r="L85" s="316"/>
      <c r="M85" s="316"/>
      <c r="N85" s="316"/>
      <c r="O85" s="316"/>
      <c r="P85" s="316"/>
      <c r="Q85" s="316"/>
      <c r="R85" s="316"/>
      <c r="S85" s="316"/>
      <c r="T85" s="316"/>
      <c r="U85" s="316"/>
      <c r="V85" s="316"/>
      <c r="W85" s="316"/>
      <c r="X85" s="316"/>
      <c r="Y85" s="316"/>
      <c r="Z85" s="316"/>
      <c r="AA85" s="316"/>
      <c r="AB85" s="316"/>
      <c r="AC85" s="316"/>
      <c r="AD85" s="316"/>
      <c r="AE85" s="316"/>
    </row>
    <row r="86" spans="1:35" s="68" customFormat="1" ht="14.25">
      <c r="A86" s="214" t="s">
        <v>80</v>
      </c>
      <c r="B86" s="189"/>
      <c r="C86" s="209"/>
      <c r="D86" s="210"/>
      <c r="E86" s="211"/>
      <c r="F86" s="211"/>
      <c r="G86" s="209"/>
      <c r="H86" s="209"/>
      <c r="I86" s="213"/>
      <c r="J86" s="212"/>
      <c r="K86" s="686"/>
      <c r="L86" s="317"/>
      <c r="M86" s="317"/>
      <c r="N86" s="317"/>
      <c r="O86" s="317"/>
      <c r="P86" s="317"/>
      <c r="Q86" s="317"/>
      <c r="R86" s="317"/>
      <c r="S86" s="317"/>
      <c r="T86" s="317"/>
      <c r="U86" s="317"/>
      <c r="V86" s="317"/>
      <c r="W86" s="317"/>
      <c r="X86" s="317"/>
      <c r="Y86" s="317"/>
      <c r="Z86" s="317"/>
      <c r="AA86" s="317"/>
      <c r="AB86" s="317"/>
      <c r="AC86" s="317"/>
      <c r="AD86" s="317"/>
      <c r="AE86" s="317"/>
    </row>
    <row r="87" spans="1:35">
      <c r="A87" s="37" t="s">
        <v>41</v>
      </c>
      <c r="B87" s="37"/>
      <c r="C87" s="110"/>
      <c r="D87" s="106"/>
      <c r="E87" s="57"/>
      <c r="F87" s="57"/>
      <c r="G87" s="57"/>
      <c r="H87" s="57"/>
      <c r="I87" s="51"/>
      <c r="J87" s="663"/>
      <c r="K87" s="683">
        <f>K$83*$J87*R$9</f>
        <v>0</v>
      </c>
      <c r="L87" s="666">
        <v>25000</v>
      </c>
      <c r="M87" s="666">
        <f>$L$87*L11</f>
        <v>25500</v>
      </c>
      <c r="N87" s="666">
        <f t="shared" ref="N87:AE87" si="22">$L$87*M11</f>
        <v>26010</v>
      </c>
      <c r="O87" s="666">
        <f t="shared" si="22"/>
        <v>26530.199999999997</v>
      </c>
      <c r="P87" s="666">
        <f t="shared" si="22"/>
        <v>27060.804</v>
      </c>
      <c r="Q87" s="666">
        <f t="shared" si="22"/>
        <v>27602.020080000002</v>
      </c>
      <c r="R87" s="666">
        <f t="shared" si="22"/>
        <v>28154.060481600001</v>
      </c>
      <c r="S87" s="666">
        <f t="shared" si="22"/>
        <v>28717.141691232002</v>
      </c>
      <c r="T87" s="666">
        <f t="shared" si="22"/>
        <v>29291.484525056643</v>
      </c>
      <c r="U87" s="666">
        <f t="shared" si="22"/>
        <v>29877.314215557777</v>
      </c>
      <c r="V87" s="666">
        <f t="shared" si="22"/>
        <v>30474.860499868933</v>
      </c>
      <c r="W87" s="666">
        <f t="shared" si="22"/>
        <v>31084.357709866312</v>
      </c>
      <c r="X87" s="666">
        <f t="shared" si="22"/>
        <v>31706.044864063639</v>
      </c>
      <c r="Y87" s="666">
        <f t="shared" si="22"/>
        <v>32340.165761344906</v>
      </c>
      <c r="Z87" s="666">
        <f t="shared" si="22"/>
        <v>32986.969076571811</v>
      </c>
      <c r="AA87" s="666">
        <f t="shared" si="22"/>
        <v>33646.708458103247</v>
      </c>
      <c r="AB87" s="666">
        <f t="shared" si="22"/>
        <v>34319.642627265312</v>
      </c>
      <c r="AC87" s="666">
        <f t="shared" si="22"/>
        <v>35006.03547981062</v>
      </c>
      <c r="AD87" s="666">
        <f t="shared" si="22"/>
        <v>35706.156189406836</v>
      </c>
      <c r="AE87" s="666">
        <f t="shared" si="22"/>
        <v>36420.279313194973</v>
      </c>
    </row>
    <row r="88" spans="1:35">
      <c r="A88" s="37" t="s">
        <v>424</v>
      </c>
      <c r="B88" s="37"/>
      <c r="C88" s="110"/>
      <c r="D88" s="106"/>
      <c r="E88" s="57"/>
      <c r="F88" s="57"/>
      <c r="G88" s="57"/>
      <c r="H88" s="57"/>
      <c r="I88" s="51"/>
      <c r="J88" s="663"/>
      <c r="K88" s="683">
        <f>K$83*$J88*R$9</f>
        <v>0</v>
      </c>
      <c r="L88" s="666">
        <v>10000</v>
      </c>
      <c r="M88" s="666">
        <v>500</v>
      </c>
      <c r="N88" s="666">
        <f>$M$88*M11</f>
        <v>520.20000000000005</v>
      </c>
      <c r="O88" s="666">
        <f>$M$88*N11</f>
        <v>530.60399999999993</v>
      </c>
      <c r="P88" s="666">
        <f>$M$88*O11</f>
        <v>541.21608000000003</v>
      </c>
      <c r="Q88" s="666">
        <v>5000</v>
      </c>
      <c r="R88" s="666">
        <f>$M$88*Q11</f>
        <v>563.08120963200008</v>
      </c>
      <c r="S88" s="666">
        <f>$M$88*R11</f>
        <v>574.34283382464002</v>
      </c>
      <c r="T88" s="666">
        <f>$M$88*S11</f>
        <v>585.82969050113286</v>
      </c>
      <c r="U88" s="666">
        <f>$M$88*T11</f>
        <v>597.54628431115555</v>
      </c>
      <c r="V88" s="666">
        <v>5000</v>
      </c>
      <c r="W88" s="666">
        <f>$M$88*V11</f>
        <v>621.68715419732621</v>
      </c>
      <c r="X88" s="666">
        <f>$M$88*W11</f>
        <v>634.12089728127273</v>
      </c>
      <c r="Y88" s="666">
        <f>$M$88*X11</f>
        <v>646.80331522689812</v>
      </c>
      <c r="Z88" s="666">
        <f>$M$88*Y11</f>
        <v>659.73938153143615</v>
      </c>
      <c r="AA88" s="666">
        <v>5000</v>
      </c>
      <c r="AB88" s="666">
        <f>$M$88*AA11</f>
        <v>686.39285254530625</v>
      </c>
      <c r="AC88" s="666">
        <f>$M$88*AB11</f>
        <v>700.12070959621246</v>
      </c>
      <c r="AD88" s="666">
        <f>$M$88*AC11</f>
        <v>714.1231237881367</v>
      </c>
      <c r="AE88" s="666">
        <f>$M$88*AD11</f>
        <v>728.40558626389941</v>
      </c>
    </row>
    <row r="89" spans="1:35">
      <c r="A89" s="37" t="s">
        <v>42</v>
      </c>
      <c r="B89" s="37"/>
      <c r="C89" s="110"/>
      <c r="D89" s="106"/>
      <c r="E89" s="57"/>
      <c r="F89" s="57"/>
      <c r="G89" s="57"/>
      <c r="H89" s="57"/>
      <c r="I89" s="51"/>
      <c r="J89" s="663"/>
      <c r="K89" s="683">
        <f>K$83*$J89*R$9</f>
        <v>0</v>
      </c>
      <c r="L89" s="666">
        <v>50000</v>
      </c>
      <c r="M89" s="666">
        <f t="shared" ref="M89:AE89" si="23">($L$89*L11)</f>
        <v>51000</v>
      </c>
      <c r="N89" s="666">
        <f t="shared" si="23"/>
        <v>52020</v>
      </c>
      <c r="O89" s="666">
        <f t="shared" si="23"/>
        <v>53060.399999999994</v>
      </c>
      <c r="P89" s="666">
        <f t="shared" si="23"/>
        <v>54121.608</v>
      </c>
      <c r="Q89" s="666">
        <f t="shared" si="23"/>
        <v>55204.040160000004</v>
      </c>
      <c r="R89" s="666">
        <f t="shared" si="23"/>
        <v>56308.120963200003</v>
      </c>
      <c r="S89" s="666">
        <f t="shared" si="23"/>
        <v>57434.283382464004</v>
      </c>
      <c r="T89" s="666">
        <f t="shared" si="23"/>
        <v>58582.969050113286</v>
      </c>
      <c r="U89" s="666">
        <f t="shared" si="23"/>
        <v>59754.628431115554</v>
      </c>
      <c r="V89" s="666">
        <f t="shared" si="23"/>
        <v>60949.720999737867</v>
      </c>
      <c r="W89" s="666">
        <f t="shared" si="23"/>
        <v>62168.715419732624</v>
      </c>
      <c r="X89" s="666">
        <f t="shared" si="23"/>
        <v>63412.089728127277</v>
      </c>
      <c r="Y89" s="666">
        <f t="shared" si="23"/>
        <v>64680.331522689812</v>
      </c>
      <c r="Z89" s="666">
        <f t="shared" si="23"/>
        <v>65973.938153143623</v>
      </c>
      <c r="AA89" s="666">
        <f t="shared" si="23"/>
        <v>67293.416916206494</v>
      </c>
      <c r="AB89" s="666">
        <f t="shared" si="23"/>
        <v>68639.285254530623</v>
      </c>
      <c r="AC89" s="666">
        <f t="shared" si="23"/>
        <v>70012.07095962124</v>
      </c>
      <c r="AD89" s="666">
        <f t="shared" si="23"/>
        <v>71412.312378813673</v>
      </c>
      <c r="AE89" s="666">
        <f t="shared" si="23"/>
        <v>72840.558626389946</v>
      </c>
    </row>
    <row r="90" spans="1:35">
      <c r="A90" s="37" t="s">
        <v>43</v>
      </c>
      <c r="B90" s="37"/>
      <c r="C90" s="110"/>
      <c r="D90" s="106"/>
      <c r="E90" s="57"/>
      <c r="F90" s="57"/>
      <c r="G90" s="57"/>
      <c r="H90" s="57"/>
      <c r="I90" s="51" t="s">
        <v>8</v>
      </c>
      <c r="J90" s="663">
        <v>500</v>
      </c>
      <c r="K90" s="683">
        <v>0</v>
      </c>
      <c r="L90" s="666">
        <f>J90*L83</f>
        <v>500</v>
      </c>
      <c r="M90" s="666">
        <f t="shared" ref="M90:AE90" si="24">$J$90*M83*L11</f>
        <v>1530</v>
      </c>
      <c r="N90" s="666">
        <f t="shared" si="24"/>
        <v>1560.6</v>
      </c>
      <c r="O90" s="666">
        <f t="shared" si="24"/>
        <v>1591.8119999999999</v>
      </c>
      <c r="P90" s="666">
        <f t="shared" si="24"/>
        <v>1623.64824</v>
      </c>
      <c r="Q90" s="666">
        <f t="shared" si="24"/>
        <v>1656.1212048</v>
      </c>
      <c r="R90" s="666">
        <f t="shared" si="24"/>
        <v>1689.243628896</v>
      </c>
      <c r="S90" s="666">
        <f t="shared" si="24"/>
        <v>1723.02850147392</v>
      </c>
      <c r="T90" s="666">
        <f t="shared" si="24"/>
        <v>1757.4890715033987</v>
      </c>
      <c r="U90" s="666">
        <f t="shared" si="24"/>
        <v>1792.6388529334665</v>
      </c>
      <c r="V90" s="666">
        <f t="shared" si="24"/>
        <v>1828.491629992136</v>
      </c>
      <c r="W90" s="666">
        <f t="shared" si="24"/>
        <v>1865.0614625919786</v>
      </c>
      <c r="X90" s="666">
        <f t="shared" si="24"/>
        <v>1902.3626918438183</v>
      </c>
      <c r="Y90" s="666">
        <f t="shared" si="24"/>
        <v>1940.4099456806944</v>
      </c>
      <c r="Z90" s="666">
        <f t="shared" si="24"/>
        <v>1979.2181445943086</v>
      </c>
      <c r="AA90" s="666">
        <f t="shared" si="24"/>
        <v>2018.8025074861948</v>
      </c>
      <c r="AB90" s="666">
        <f t="shared" si="24"/>
        <v>2059.1785576359189</v>
      </c>
      <c r="AC90" s="666">
        <f t="shared" si="24"/>
        <v>2100.3621287886372</v>
      </c>
      <c r="AD90" s="666">
        <f t="shared" si="24"/>
        <v>2142.3693713644102</v>
      </c>
      <c r="AE90" s="666">
        <f t="shared" si="24"/>
        <v>2185.2167587916983</v>
      </c>
    </row>
    <row r="91" spans="1:35">
      <c r="A91" s="37" t="s">
        <v>44</v>
      </c>
      <c r="B91" s="37"/>
      <c r="C91" s="110"/>
      <c r="D91" s="106"/>
      <c r="E91" s="57"/>
      <c r="F91" s="57"/>
      <c r="G91" s="57"/>
      <c r="H91" s="57"/>
      <c r="I91" s="51" t="s">
        <v>8</v>
      </c>
      <c r="J91" s="663">
        <v>250</v>
      </c>
      <c r="K91" s="683">
        <v>0</v>
      </c>
      <c r="L91" s="666">
        <f>J91*L83</f>
        <v>250</v>
      </c>
      <c r="M91" s="666">
        <f t="shared" ref="M91:AE91" si="25">$J$91*M83*L11</f>
        <v>765</v>
      </c>
      <c r="N91" s="666">
        <f t="shared" si="25"/>
        <v>780.3</v>
      </c>
      <c r="O91" s="666">
        <f t="shared" si="25"/>
        <v>795.90599999999995</v>
      </c>
      <c r="P91" s="666">
        <f t="shared" si="25"/>
        <v>811.82411999999999</v>
      </c>
      <c r="Q91" s="666">
        <f t="shared" si="25"/>
        <v>828.06060239999999</v>
      </c>
      <c r="R91" s="666">
        <f t="shared" si="25"/>
        <v>844.62181444800001</v>
      </c>
      <c r="S91" s="666">
        <f t="shared" si="25"/>
        <v>861.51425073695998</v>
      </c>
      <c r="T91" s="666">
        <f t="shared" si="25"/>
        <v>878.74453575169935</v>
      </c>
      <c r="U91" s="666">
        <f t="shared" si="25"/>
        <v>896.31942646673326</v>
      </c>
      <c r="V91" s="666">
        <f t="shared" si="25"/>
        <v>914.24581499606802</v>
      </c>
      <c r="W91" s="666">
        <f t="shared" si="25"/>
        <v>932.53073129598931</v>
      </c>
      <c r="X91" s="666">
        <f t="shared" si="25"/>
        <v>951.18134592190916</v>
      </c>
      <c r="Y91" s="666">
        <f t="shared" si="25"/>
        <v>970.20497284034718</v>
      </c>
      <c r="Z91" s="666">
        <f t="shared" si="25"/>
        <v>989.60907229715428</v>
      </c>
      <c r="AA91" s="666">
        <f t="shared" si="25"/>
        <v>1009.4012537430974</v>
      </c>
      <c r="AB91" s="666">
        <f t="shared" si="25"/>
        <v>1029.5892788179594</v>
      </c>
      <c r="AC91" s="666">
        <f t="shared" si="25"/>
        <v>1050.1810643943186</v>
      </c>
      <c r="AD91" s="666">
        <f t="shared" si="25"/>
        <v>1071.1846856822051</v>
      </c>
      <c r="AE91" s="666">
        <f t="shared" si="25"/>
        <v>1092.6083793958492</v>
      </c>
      <c r="AF91" s="44"/>
    </row>
    <row r="92" spans="1:35">
      <c r="A92" s="745" t="s">
        <v>2</v>
      </c>
      <c r="B92" s="745"/>
      <c r="C92" s="753"/>
      <c r="D92" s="754"/>
      <c r="E92" s="746"/>
      <c r="F92" s="746"/>
      <c r="G92" s="746"/>
      <c r="H92" s="746"/>
      <c r="I92" s="755"/>
      <c r="J92" s="739"/>
      <c r="K92" s="741">
        <v>0</v>
      </c>
      <c r="L92" s="742">
        <v>1000</v>
      </c>
      <c r="M92" s="742">
        <f t="shared" ref="M92:AE92" si="26">($L$92*L11)</f>
        <v>1020</v>
      </c>
      <c r="N92" s="742">
        <f t="shared" si="26"/>
        <v>1040.4000000000001</v>
      </c>
      <c r="O92" s="742">
        <f t="shared" si="26"/>
        <v>1061.2079999999999</v>
      </c>
      <c r="P92" s="742">
        <f t="shared" si="26"/>
        <v>1082.4321600000001</v>
      </c>
      <c r="Q92" s="742">
        <f t="shared" si="26"/>
        <v>1104.0808032</v>
      </c>
      <c r="R92" s="742">
        <f t="shared" si="26"/>
        <v>1126.1624192640002</v>
      </c>
      <c r="S92" s="742">
        <f t="shared" si="26"/>
        <v>1148.68566764928</v>
      </c>
      <c r="T92" s="742">
        <f t="shared" si="26"/>
        <v>1171.6593810022657</v>
      </c>
      <c r="U92" s="742">
        <f t="shared" si="26"/>
        <v>1195.0925686223111</v>
      </c>
      <c r="V92" s="742">
        <f t="shared" si="26"/>
        <v>1218.9944199947574</v>
      </c>
      <c r="W92" s="742">
        <f t="shared" si="26"/>
        <v>1243.3743083946524</v>
      </c>
      <c r="X92" s="742">
        <f t="shared" si="26"/>
        <v>1268.2417945625455</v>
      </c>
      <c r="Y92" s="742">
        <f t="shared" si="26"/>
        <v>1293.6066304537962</v>
      </c>
      <c r="Z92" s="742">
        <f t="shared" si="26"/>
        <v>1319.4787630628723</v>
      </c>
      <c r="AA92" s="742">
        <f t="shared" si="26"/>
        <v>1345.8683383241298</v>
      </c>
      <c r="AB92" s="742">
        <f t="shared" si="26"/>
        <v>1372.7857050906125</v>
      </c>
      <c r="AC92" s="742">
        <f t="shared" si="26"/>
        <v>1400.2414191924249</v>
      </c>
      <c r="AD92" s="742">
        <f t="shared" si="26"/>
        <v>1428.2462475762734</v>
      </c>
      <c r="AE92" s="742">
        <f t="shared" si="26"/>
        <v>1456.8111725277988</v>
      </c>
    </row>
    <row r="93" spans="1:35" s="56" customFormat="1" ht="14.25">
      <c r="A93" s="164" t="s">
        <v>409</v>
      </c>
      <c r="B93" s="215"/>
      <c r="C93" s="216"/>
      <c r="D93" s="217"/>
      <c r="E93" s="218"/>
      <c r="F93" s="218"/>
      <c r="G93" s="218"/>
      <c r="H93" s="218"/>
      <c r="I93" s="219"/>
      <c r="J93" s="756"/>
      <c r="K93" s="687">
        <f>SUM(K87:K92)</f>
        <v>0</v>
      </c>
      <c r="L93" s="757">
        <f>SUM(L87:L92)</f>
        <v>86750</v>
      </c>
      <c r="M93" s="757">
        <f t="shared" ref="M93:AE93" si="27">SUM(M87:M92)</f>
        <v>80315</v>
      </c>
      <c r="N93" s="757">
        <f t="shared" si="27"/>
        <v>81931.5</v>
      </c>
      <c r="O93" s="757">
        <f t="shared" si="27"/>
        <v>83570.13</v>
      </c>
      <c r="P93" s="757">
        <f t="shared" si="27"/>
        <v>85241.532599999991</v>
      </c>
      <c r="Q93" s="757">
        <f t="shared" si="27"/>
        <v>91394.322850400014</v>
      </c>
      <c r="R93" s="757">
        <f t="shared" si="27"/>
        <v>88685.290517040004</v>
      </c>
      <c r="S93" s="757">
        <f t="shared" si="27"/>
        <v>90458.996327380795</v>
      </c>
      <c r="T93" s="757">
        <f t="shared" si="27"/>
        <v>92268.176253928425</v>
      </c>
      <c r="U93" s="757">
        <f t="shared" si="27"/>
        <v>94113.539779006998</v>
      </c>
      <c r="V93" s="757">
        <f t="shared" si="27"/>
        <v>100386.31336458978</v>
      </c>
      <c r="W93" s="757">
        <f t="shared" si="27"/>
        <v>97915.726786078885</v>
      </c>
      <c r="X93" s="757">
        <f t="shared" si="27"/>
        <v>99874.041321800469</v>
      </c>
      <c r="Y93" s="757">
        <f t="shared" si="27"/>
        <v>101871.52214823647</v>
      </c>
      <c r="Z93" s="757">
        <f t="shared" si="27"/>
        <v>103908.9525912012</v>
      </c>
      <c r="AA93" s="757">
        <f t="shared" si="27"/>
        <v>110314.19747386317</v>
      </c>
      <c r="AB93" s="757">
        <f t="shared" si="27"/>
        <v>108106.87427588576</v>
      </c>
      <c r="AC93" s="757">
        <f t="shared" si="27"/>
        <v>110269.01176140344</v>
      </c>
      <c r="AD93" s="757">
        <f t="shared" si="27"/>
        <v>112474.39199663154</v>
      </c>
      <c r="AE93" s="757">
        <f t="shared" si="27"/>
        <v>114723.87983656416</v>
      </c>
    </row>
    <row r="94" spans="1:35" s="56" customFormat="1" ht="14.25">
      <c r="A94" s="164"/>
      <c r="B94" s="215"/>
      <c r="C94" s="216"/>
      <c r="D94" s="217"/>
      <c r="E94" s="218"/>
      <c r="F94" s="218"/>
      <c r="G94" s="218"/>
      <c r="H94" s="218"/>
      <c r="I94" s="219"/>
      <c r="J94" s="220"/>
      <c r="K94" s="687"/>
      <c r="L94" s="318"/>
      <c r="M94" s="318"/>
      <c r="N94" s="318"/>
      <c r="O94" s="318"/>
      <c r="P94" s="318"/>
      <c r="Q94" s="318"/>
      <c r="R94" s="318"/>
      <c r="S94" s="318"/>
      <c r="T94" s="318"/>
      <c r="U94" s="318"/>
      <c r="V94" s="318"/>
      <c r="W94" s="318"/>
      <c r="X94" s="318"/>
      <c r="Y94" s="318"/>
      <c r="Z94" s="318"/>
      <c r="AA94" s="318"/>
      <c r="AB94" s="318"/>
      <c r="AC94" s="318"/>
      <c r="AD94" s="318"/>
      <c r="AE94" s="318"/>
    </row>
    <row r="95" spans="1:35" s="56" customFormat="1" ht="14.25">
      <c r="A95" s="720" t="s">
        <v>26</v>
      </c>
      <c r="B95" s="215"/>
      <c r="C95" s="218"/>
      <c r="D95" s="721"/>
      <c r="E95" s="218"/>
      <c r="F95" s="218"/>
      <c r="G95" s="218"/>
      <c r="H95" s="218"/>
      <c r="I95" s="722"/>
      <c r="J95" s="220"/>
      <c r="K95" s="687"/>
      <c r="L95" s="318"/>
      <c r="M95" s="318"/>
      <c r="N95" s="318"/>
      <c r="O95" s="318"/>
      <c r="P95" s="318"/>
      <c r="Q95" s="318"/>
      <c r="R95" s="318"/>
      <c r="S95" s="318"/>
      <c r="T95" s="318"/>
      <c r="U95" s="318"/>
      <c r="V95" s="318"/>
      <c r="W95" s="318"/>
      <c r="X95" s="318"/>
      <c r="Y95" s="318"/>
      <c r="Z95" s="318"/>
      <c r="AA95" s="318"/>
      <c r="AB95" s="318"/>
      <c r="AC95" s="318"/>
      <c r="AD95" s="318"/>
      <c r="AE95" s="318"/>
      <c r="AF95" s="723"/>
      <c r="AG95" s="723"/>
      <c r="AH95" s="723"/>
      <c r="AI95" s="723"/>
    </row>
    <row r="96" spans="1:35">
      <c r="A96" s="190" t="s">
        <v>41</v>
      </c>
      <c r="B96" s="190"/>
      <c r="C96" s="194"/>
      <c r="D96" s="758"/>
      <c r="E96" s="194"/>
      <c r="F96" s="194"/>
      <c r="G96" s="759"/>
      <c r="H96" s="759"/>
      <c r="I96" s="760"/>
      <c r="J96" s="761"/>
      <c r="K96" s="689">
        <v>0</v>
      </c>
      <c r="L96" s="665">
        <v>1000</v>
      </c>
      <c r="M96" s="665">
        <f>$L$96*L11</f>
        <v>1020</v>
      </c>
      <c r="N96" s="665">
        <f t="shared" ref="N96:P96" si="28">$L$96*M11</f>
        <v>1040.4000000000001</v>
      </c>
      <c r="O96" s="665">
        <f t="shared" si="28"/>
        <v>1061.2079999999999</v>
      </c>
      <c r="P96" s="665">
        <f t="shared" si="28"/>
        <v>1082.4321600000001</v>
      </c>
      <c r="Q96" s="665">
        <v>25000</v>
      </c>
      <c r="R96" s="665">
        <f>$Q$96*L11</f>
        <v>25500</v>
      </c>
      <c r="S96" s="665">
        <f t="shared" ref="S96:AE96" si="29">$Q$96*M11</f>
        <v>26010</v>
      </c>
      <c r="T96" s="665">
        <f t="shared" si="29"/>
        <v>26530.199999999997</v>
      </c>
      <c r="U96" s="665">
        <f t="shared" si="29"/>
        <v>27060.804</v>
      </c>
      <c r="V96" s="665">
        <f t="shared" si="29"/>
        <v>27602.020080000002</v>
      </c>
      <c r="W96" s="665">
        <f t="shared" si="29"/>
        <v>28154.060481600001</v>
      </c>
      <c r="X96" s="665">
        <f t="shared" si="29"/>
        <v>28717.141691232002</v>
      </c>
      <c r="Y96" s="665">
        <f t="shared" si="29"/>
        <v>29291.484525056643</v>
      </c>
      <c r="Z96" s="665">
        <f t="shared" si="29"/>
        <v>29877.314215557777</v>
      </c>
      <c r="AA96" s="665">
        <f t="shared" si="29"/>
        <v>30474.860499868933</v>
      </c>
      <c r="AB96" s="665">
        <f t="shared" si="29"/>
        <v>31084.357709866312</v>
      </c>
      <c r="AC96" s="665">
        <f t="shared" si="29"/>
        <v>31706.044864063639</v>
      </c>
      <c r="AD96" s="665">
        <f t="shared" si="29"/>
        <v>32340.165761344906</v>
      </c>
      <c r="AE96" s="665">
        <f t="shared" si="29"/>
        <v>32986.969076571811</v>
      </c>
      <c r="AF96" s="55"/>
      <c r="AG96" s="55"/>
      <c r="AH96" s="55"/>
      <c r="AI96" s="55"/>
    </row>
    <row r="97" spans="1:33">
      <c r="A97" s="745" t="s">
        <v>302</v>
      </c>
      <c r="B97" s="745"/>
      <c r="C97" s="746"/>
      <c r="D97" s="116"/>
      <c r="E97" s="746"/>
      <c r="F97" s="746"/>
      <c r="G97" s="753"/>
      <c r="H97" s="753"/>
      <c r="I97" s="755"/>
      <c r="J97" s="762"/>
      <c r="K97" s="741">
        <v>0</v>
      </c>
      <c r="L97" s="742">
        <f>'Shuttle Projections'!C28/2</f>
        <v>233675</v>
      </c>
      <c r="M97" s="742">
        <f>'Shuttle Projections'!D28</f>
        <v>476697</v>
      </c>
      <c r="N97" s="742">
        <f>'Shuttle Projections'!E28</f>
        <v>486230.94000000006</v>
      </c>
      <c r="O97" s="742">
        <f>'Shuttle Projections'!F28</f>
        <v>495955.55879999994</v>
      </c>
      <c r="P97" s="742">
        <f>'Shuttle Projections'!G28</f>
        <v>505874.66997599998</v>
      </c>
      <c r="Q97" s="742">
        <f>'Shuttle Projections'!H28</f>
        <v>515992.16337552003</v>
      </c>
      <c r="R97" s="742">
        <f>'Shuttle Projections'!I28</f>
        <v>526312.00664303044</v>
      </c>
      <c r="S97" s="742">
        <f>'Shuttle Projections'!J28</f>
        <v>536838.24677589093</v>
      </c>
      <c r="T97" s="742">
        <f>'Shuttle Projections'!K28</f>
        <v>547575.01171140897</v>
      </c>
      <c r="U97" s="742">
        <f>'Shuttle Projections'!L28</f>
        <v>558526.51194563706</v>
      </c>
      <c r="V97" s="742">
        <f>'Shuttle Projections'!M28</f>
        <v>569697.04218454985</v>
      </c>
      <c r="W97" s="742">
        <f>'Shuttle Projections'!N28</f>
        <v>581090.98302824085</v>
      </c>
      <c r="X97" s="742">
        <f>'Shuttle Projections'!O28</f>
        <v>592712.80268880562</v>
      </c>
      <c r="Y97" s="742">
        <f>'Shuttle Projections'!P28</f>
        <v>604567.05874258175</v>
      </c>
      <c r="Z97" s="742">
        <f>'Shuttle Projections'!Q28</f>
        <v>616658.39991743339</v>
      </c>
      <c r="AA97" s="742">
        <f>'Shuttle Projections'!R28</f>
        <v>628991.5679157821</v>
      </c>
      <c r="AB97" s="742">
        <f>'Shuttle Projections'!S28</f>
        <v>641571.39927409776</v>
      </c>
      <c r="AC97" s="742">
        <f>'Shuttle Projections'!T28</f>
        <v>654402.82725957979</v>
      </c>
      <c r="AD97" s="742">
        <f>'Shuttle Projections'!U28</f>
        <v>667490.88380477135</v>
      </c>
      <c r="AE97" s="742">
        <f>'Shuttle Projections'!V28</f>
        <v>680840.70148086676</v>
      </c>
    </row>
    <row r="98" spans="1:33" s="56" customFormat="1" ht="14.25">
      <c r="A98" s="164" t="s">
        <v>410</v>
      </c>
      <c r="B98" s="164"/>
      <c r="C98" s="75"/>
      <c r="D98" s="173"/>
      <c r="E98" s="75"/>
      <c r="F98" s="75"/>
      <c r="G98" s="75"/>
      <c r="H98" s="75"/>
      <c r="I98" s="174"/>
      <c r="J98" s="175"/>
      <c r="K98" s="685">
        <v>0</v>
      </c>
      <c r="L98" s="669">
        <f>SUM(L96:L97)</f>
        <v>234675</v>
      </c>
      <c r="M98" s="669">
        <f t="shared" ref="M98:AE98" si="30">SUM(M96:M97)</f>
        <v>477717</v>
      </c>
      <c r="N98" s="669">
        <f t="shared" si="30"/>
        <v>487271.34000000008</v>
      </c>
      <c r="O98" s="669">
        <f t="shared" si="30"/>
        <v>497016.76679999992</v>
      </c>
      <c r="P98" s="669">
        <f t="shared" si="30"/>
        <v>506957.102136</v>
      </c>
      <c r="Q98" s="669">
        <f t="shared" si="30"/>
        <v>540992.16337552003</v>
      </c>
      <c r="R98" s="669">
        <f t="shared" si="30"/>
        <v>551812.00664303044</v>
      </c>
      <c r="S98" s="669">
        <f t="shared" si="30"/>
        <v>562848.24677589093</v>
      </c>
      <c r="T98" s="669">
        <f t="shared" si="30"/>
        <v>574105.21171140892</v>
      </c>
      <c r="U98" s="669">
        <f t="shared" si="30"/>
        <v>585587.31594563706</v>
      </c>
      <c r="V98" s="669">
        <f t="shared" si="30"/>
        <v>597299.0622645499</v>
      </c>
      <c r="W98" s="669">
        <f t="shared" si="30"/>
        <v>609245.04350984085</v>
      </c>
      <c r="X98" s="669">
        <f t="shared" si="30"/>
        <v>621429.9443800376</v>
      </c>
      <c r="Y98" s="669">
        <f t="shared" si="30"/>
        <v>633858.54326763842</v>
      </c>
      <c r="Z98" s="669">
        <f t="shared" si="30"/>
        <v>646535.71413299115</v>
      </c>
      <c r="AA98" s="669">
        <f t="shared" si="30"/>
        <v>659466.42841565108</v>
      </c>
      <c r="AB98" s="669">
        <f t="shared" si="30"/>
        <v>672655.75698396412</v>
      </c>
      <c r="AC98" s="669">
        <f t="shared" si="30"/>
        <v>686108.87212364341</v>
      </c>
      <c r="AD98" s="669">
        <f t="shared" si="30"/>
        <v>699831.0495661163</v>
      </c>
      <c r="AE98" s="669">
        <f t="shared" si="30"/>
        <v>713827.67055743863</v>
      </c>
    </row>
    <row r="99" spans="1:33" s="56" customFormat="1" ht="14.25">
      <c r="A99" s="164"/>
      <c r="B99" s="164"/>
      <c r="C99" s="75"/>
      <c r="D99" s="173"/>
      <c r="E99" s="75"/>
      <c r="F99" s="75"/>
      <c r="G99" s="75"/>
      <c r="H99" s="75"/>
      <c r="I99" s="174"/>
      <c r="J99" s="175"/>
      <c r="K99" s="685"/>
      <c r="L99" s="669"/>
      <c r="M99" s="669"/>
      <c r="N99" s="669"/>
      <c r="O99" s="669"/>
      <c r="P99" s="669"/>
      <c r="Q99" s="669"/>
      <c r="R99" s="669"/>
      <c r="S99" s="669"/>
      <c r="T99" s="669"/>
      <c r="U99" s="669"/>
      <c r="V99" s="669"/>
      <c r="W99" s="669"/>
      <c r="X99" s="669"/>
      <c r="Y99" s="669"/>
      <c r="Z99" s="669"/>
      <c r="AA99" s="669"/>
      <c r="AB99" s="669"/>
      <c r="AC99" s="669"/>
      <c r="AD99" s="669"/>
      <c r="AE99" s="669"/>
    </row>
    <row r="100" spans="1:33" s="56" customFormat="1" ht="14.25">
      <c r="A100" s="164" t="s">
        <v>78</v>
      </c>
      <c r="B100" s="164"/>
      <c r="C100" s="75"/>
      <c r="D100" s="173"/>
      <c r="E100" s="75"/>
      <c r="F100" s="75"/>
      <c r="G100" s="75"/>
      <c r="H100" s="75"/>
      <c r="I100" s="174"/>
      <c r="J100" s="175"/>
      <c r="K100" s="685">
        <v>0</v>
      </c>
      <c r="L100" s="669">
        <f>SUM(L93,L98)</f>
        <v>321425</v>
      </c>
      <c r="M100" s="669">
        <f t="shared" ref="M100:AE100" si="31">SUM(M93,M98)</f>
        <v>558032</v>
      </c>
      <c r="N100" s="669">
        <f t="shared" si="31"/>
        <v>569202.84000000008</v>
      </c>
      <c r="O100" s="669">
        <f t="shared" si="31"/>
        <v>580586.89679999999</v>
      </c>
      <c r="P100" s="669">
        <f t="shared" si="31"/>
        <v>592198.63473599998</v>
      </c>
      <c r="Q100" s="669">
        <f t="shared" si="31"/>
        <v>632386.48622592003</v>
      </c>
      <c r="R100" s="669">
        <f t="shared" si="31"/>
        <v>640497.29716007039</v>
      </c>
      <c r="S100" s="669">
        <f t="shared" si="31"/>
        <v>653307.2431032717</v>
      </c>
      <c r="T100" s="669">
        <f t="shared" si="31"/>
        <v>666373.38796533737</v>
      </c>
      <c r="U100" s="669">
        <f t="shared" si="31"/>
        <v>679700.85572464403</v>
      </c>
      <c r="V100" s="669">
        <f t="shared" si="31"/>
        <v>697685.37562913971</v>
      </c>
      <c r="W100" s="669">
        <f t="shared" si="31"/>
        <v>707160.77029591973</v>
      </c>
      <c r="X100" s="669">
        <f t="shared" si="31"/>
        <v>721303.98570183804</v>
      </c>
      <c r="Y100" s="669">
        <f t="shared" si="31"/>
        <v>735730.06541587494</v>
      </c>
      <c r="Z100" s="669">
        <f t="shared" si="31"/>
        <v>750444.66672419233</v>
      </c>
      <c r="AA100" s="669">
        <f t="shared" si="31"/>
        <v>769780.62588951422</v>
      </c>
      <c r="AB100" s="669">
        <f t="shared" si="31"/>
        <v>780762.63125984988</v>
      </c>
      <c r="AC100" s="669">
        <f t="shared" si="31"/>
        <v>796377.88388504682</v>
      </c>
      <c r="AD100" s="669">
        <f t="shared" si="31"/>
        <v>812305.44156274782</v>
      </c>
      <c r="AE100" s="669">
        <f t="shared" si="31"/>
        <v>828551.55039400281</v>
      </c>
    </row>
    <row r="101" spans="1:33">
      <c r="A101" s="47"/>
      <c r="B101" s="47"/>
      <c r="C101" s="78"/>
      <c r="D101" s="100"/>
      <c r="E101" s="78"/>
      <c r="F101" s="78"/>
      <c r="G101" s="78"/>
      <c r="H101" s="78"/>
      <c r="I101" s="52"/>
      <c r="J101" s="114"/>
      <c r="K101" s="683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</row>
    <row r="102" spans="1:33">
      <c r="A102" s="168" t="s">
        <v>25</v>
      </c>
      <c r="B102" s="168"/>
      <c r="C102" s="176"/>
      <c r="D102" s="177"/>
      <c r="E102" s="176"/>
      <c r="F102" s="176"/>
      <c r="G102" s="176"/>
      <c r="H102" s="176"/>
      <c r="I102" s="178"/>
      <c r="J102" s="179"/>
      <c r="K102" s="682"/>
      <c r="L102" s="319"/>
      <c r="M102" s="319"/>
      <c r="N102" s="319"/>
      <c r="O102" s="319"/>
      <c r="P102" s="319"/>
      <c r="Q102" s="319"/>
      <c r="R102" s="319"/>
      <c r="S102" s="319"/>
      <c r="T102" s="319"/>
      <c r="U102" s="319"/>
      <c r="V102" s="319"/>
      <c r="W102" s="319"/>
      <c r="X102" s="319"/>
      <c r="Y102" s="319"/>
      <c r="Z102" s="319"/>
      <c r="AA102" s="319"/>
      <c r="AB102" s="319"/>
      <c r="AC102" s="319"/>
      <c r="AD102" s="319"/>
      <c r="AE102" s="319"/>
    </row>
    <row r="103" spans="1:33" s="252" customFormat="1">
      <c r="A103" s="183"/>
      <c r="B103" s="183"/>
      <c r="C103" s="185"/>
      <c r="D103" s="186"/>
      <c r="E103" s="185"/>
      <c r="F103" s="185"/>
      <c r="G103" s="185"/>
      <c r="H103" s="185"/>
      <c r="I103" s="302"/>
      <c r="J103" s="188"/>
      <c r="K103" s="683"/>
      <c r="L103" s="320"/>
      <c r="M103" s="320"/>
      <c r="N103" s="320"/>
      <c r="O103" s="320"/>
      <c r="P103" s="320"/>
      <c r="Q103" s="320"/>
      <c r="R103" s="320"/>
      <c r="S103" s="320"/>
      <c r="T103" s="320"/>
      <c r="U103" s="320"/>
      <c r="V103" s="320"/>
      <c r="W103" s="320"/>
      <c r="X103" s="320"/>
      <c r="Y103" s="320"/>
      <c r="Z103" s="320"/>
      <c r="AA103" s="320"/>
      <c r="AB103" s="320"/>
      <c r="AC103" s="320"/>
      <c r="AD103" s="320"/>
      <c r="AE103" s="320"/>
    </row>
    <row r="104" spans="1:33">
      <c r="A104" s="37" t="s">
        <v>425</v>
      </c>
      <c r="B104" s="37"/>
      <c r="C104" s="57"/>
      <c r="E104" s="57"/>
      <c r="F104" s="57"/>
      <c r="G104" s="57"/>
      <c r="H104" s="998"/>
      <c r="I104" s="51" t="s">
        <v>532</v>
      </c>
      <c r="J104" s="624">
        <f>((6350/6)*7)+((6500/6)*7)</f>
        <v>14991.666666666666</v>
      </c>
      <c r="K104" s="683">
        <v>0</v>
      </c>
      <c r="L104" s="671">
        <f>J104</f>
        <v>14991.666666666666</v>
      </c>
      <c r="M104" s="671">
        <f>$L$104*L11</f>
        <v>15291.5</v>
      </c>
      <c r="N104" s="671">
        <f t="shared" ref="N104:AE104" si="32">$L$104*M11</f>
        <v>15597.33</v>
      </c>
      <c r="O104" s="671">
        <f t="shared" si="32"/>
        <v>15909.276599999997</v>
      </c>
      <c r="P104" s="671">
        <f t="shared" si="32"/>
        <v>16227.462131999999</v>
      </c>
      <c r="Q104" s="671">
        <f t="shared" si="32"/>
        <v>16552.011374639998</v>
      </c>
      <c r="R104" s="671">
        <f t="shared" si="32"/>
        <v>16883.0516021328</v>
      </c>
      <c r="S104" s="671">
        <f t="shared" si="32"/>
        <v>17220.712634175456</v>
      </c>
      <c r="T104" s="671">
        <f t="shared" si="32"/>
        <v>17565.126886858965</v>
      </c>
      <c r="U104" s="671">
        <f t="shared" si="32"/>
        <v>17916.429424596146</v>
      </c>
      <c r="V104" s="671">
        <f t="shared" si="32"/>
        <v>18274.758013088071</v>
      </c>
      <c r="W104" s="671">
        <f t="shared" si="32"/>
        <v>18640.253173349829</v>
      </c>
      <c r="X104" s="671">
        <f t="shared" si="32"/>
        <v>19013.058236816825</v>
      </c>
      <c r="Y104" s="671">
        <f t="shared" si="32"/>
        <v>19393.319401553163</v>
      </c>
      <c r="Z104" s="671">
        <f t="shared" si="32"/>
        <v>19781.185789584226</v>
      </c>
      <c r="AA104" s="671">
        <f t="shared" si="32"/>
        <v>20176.809505375913</v>
      </c>
      <c r="AB104" s="671">
        <f t="shared" si="32"/>
        <v>20580.345695483433</v>
      </c>
      <c r="AC104" s="671">
        <f t="shared" si="32"/>
        <v>20991.952609393102</v>
      </c>
      <c r="AD104" s="671">
        <f t="shared" si="32"/>
        <v>21411.791661580963</v>
      </c>
      <c r="AE104" s="671">
        <f t="shared" si="32"/>
        <v>21840.027494812584</v>
      </c>
    </row>
    <row r="105" spans="1:33">
      <c r="A105" s="37" t="s">
        <v>16</v>
      </c>
      <c r="B105" s="37"/>
      <c r="C105" s="57"/>
      <c r="E105" s="57"/>
      <c r="F105" s="57"/>
      <c r="G105" s="57"/>
      <c r="H105" s="998"/>
      <c r="I105" s="51" t="s">
        <v>17</v>
      </c>
      <c r="J105" s="624">
        <f>1250</f>
        <v>1250</v>
      </c>
      <c r="K105" s="683">
        <v>0</v>
      </c>
      <c r="L105" s="671">
        <f>J105*7</f>
        <v>8750</v>
      </c>
      <c r="M105" s="671">
        <f>$L$105*L11</f>
        <v>8925</v>
      </c>
      <c r="N105" s="671">
        <f t="shared" ref="N105:AE105" si="33">$L$105*M11</f>
        <v>9103.5</v>
      </c>
      <c r="O105" s="671">
        <f t="shared" si="33"/>
        <v>9285.57</v>
      </c>
      <c r="P105" s="671">
        <f t="shared" si="33"/>
        <v>9471.2813999999998</v>
      </c>
      <c r="Q105" s="671">
        <f t="shared" si="33"/>
        <v>9660.7070280000007</v>
      </c>
      <c r="R105" s="671">
        <f t="shared" si="33"/>
        <v>9853.9211685600003</v>
      </c>
      <c r="S105" s="671">
        <f t="shared" si="33"/>
        <v>10050.9995919312</v>
      </c>
      <c r="T105" s="671">
        <f t="shared" si="33"/>
        <v>10252.019583769825</v>
      </c>
      <c r="U105" s="671">
        <f t="shared" si="33"/>
        <v>10457.059975445221</v>
      </c>
      <c r="V105" s="671">
        <f t="shared" si="33"/>
        <v>10666.201174954127</v>
      </c>
      <c r="W105" s="671">
        <f t="shared" si="33"/>
        <v>10879.52519845321</v>
      </c>
      <c r="X105" s="671">
        <f t="shared" si="33"/>
        <v>11097.115702422274</v>
      </c>
      <c r="Y105" s="671">
        <f t="shared" si="33"/>
        <v>11319.058016470717</v>
      </c>
      <c r="Z105" s="671">
        <f t="shared" si="33"/>
        <v>11545.439176800133</v>
      </c>
      <c r="AA105" s="671">
        <f t="shared" si="33"/>
        <v>11776.347960336136</v>
      </c>
      <c r="AB105" s="671">
        <f t="shared" si="33"/>
        <v>12011.874919542859</v>
      </c>
      <c r="AC105" s="671">
        <f t="shared" si="33"/>
        <v>12252.112417933717</v>
      </c>
      <c r="AD105" s="671">
        <f t="shared" si="33"/>
        <v>12497.154666292392</v>
      </c>
      <c r="AE105" s="671">
        <f t="shared" si="33"/>
        <v>12747.09775961824</v>
      </c>
    </row>
    <row r="106" spans="1:33" s="702" customFormat="1">
      <c r="A106" s="701" t="s">
        <v>53</v>
      </c>
      <c r="B106" s="701"/>
      <c r="C106" s="705"/>
      <c r="D106" s="984"/>
      <c r="E106" s="705"/>
      <c r="F106" s="705"/>
      <c r="G106" s="705"/>
      <c r="H106" s="985"/>
      <c r="I106" s="706" t="s">
        <v>17</v>
      </c>
      <c r="J106" s="986">
        <v>0</v>
      </c>
      <c r="K106" s="987">
        <v>0</v>
      </c>
      <c r="L106" s="988">
        <f t="shared" ref="L106:L107" si="34">J106*12</f>
        <v>0</v>
      </c>
      <c r="M106" s="988">
        <f t="shared" ref="M106:AB107" si="35">L106*1.03</f>
        <v>0</v>
      </c>
      <c r="N106" s="988">
        <f t="shared" si="35"/>
        <v>0</v>
      </c>
      <c r="O106" s="988">
        <f t="shared" si="35"/>
        <v>0</v>
      </c>
      <c r="P106" s="988">
        <f t="shared" si="35"/>
        <v>0</v>
      </c>
      <c r="Q106" s="988">
        <f t="shared" si="35"/>
        <v>0</v>
      </c>
      <c r="R106" s="988">
        <f t="shared" si="35"/>
        <v>0</v>
      </c>
      <c r="S106" s="988">
        <f t="shared" si="35"/>
        <v>0</v>
      </c>
      <c r="T106" s="988">
        <f t="shared" si="35"/>
        <v>0</v>
      </c>
      <c r="U106" s="988">
        <f t="shared" si="35"/>
        <v>0</v>
      </c>
      <c r="V106" s="988">
        <f t="shared" si="35"/>
        <v>0</v>
      </c>
      <c r="W106" s="988">
        <f t="shared" si="35"/>
        <v>0</v>
      </c>
      <c r="X106" s="988">
        <f t="shared" si="35"/>
        <v>0</v>
      </c>
      <c r="Y106" s="988">
        <f t="shared" si="35"/>
        <v>0</v>
      </c>
      <c r="Z106" s="988">
        <f t="shared" si="35"/>
        <v>0</v>
      </c>
      <c r="AA106" s="988">
        <f t="shared" si="35"/>
        <v>0</v>
      </c>
      <c r="AB106" s="988">
        <f t="shared" si="35"/>
        <v>0</v>
      </c>
      <c r="AC106" s="988">
        <f t="shared" ref="AC106:AE107" si="36">AB106*1.03</f>
        <v>0</v>
      </c>
      <c r="AD106" s="988">
        <f t="shared" si="36"/>
        <v>0</v>
      </c>
      <c r="AE106" s="988">
        <f t="shared" si="36"/>
        <v>0</v>
      </c>
    </row>
    <row r="107" spans="1:33" s="702" customFormat="1">
      <c r="A107" s="989" t="s">
        <v>54</v>
      </c>
      <c r="B107" s="990"/>
      <c r="C107" s="991"/>
      <c r="D107" s="992"/>
      <c r="E107" s="991"/>
      <c r="F107" s="991"/>
      <c r="G107" s="991"/>
      <c r="H107" s="993"/>
      <c r="I107" s="994" t="s">
        <v>17</v>
      </c>
      <c r="J107" s="995">
        <v>0</v>
      </c>
      <c r="K107" s="996">
        <v>0</v>
      </c>
      <c r="L107" s="997">
        <f t="shared" si="34"/>
        <v>0</v>
      </c>
      <c r="M107" s="997">
        <f t="shared" si="35"/>
        <v>0</v>
      </c>
      <c r="N107" s="997">
        <f t="shared" si="35"/>
        <v>0</v>
      </c>
      <c r="O107" s="997">
        <f t="shared" si="35"/>
        <v>0</v>
      </c>
      <c r="P107" s="997">
        <f t="shared" si="35"/>
        <v>0</v>
      </c>
      <c r="Q107" s="997">
        <f t="shared" si="35"/>
        <v>0</v>
      </c>
      <c r="R107" s="997">
        <f t="shared" si="35"/>
        <v>0</v>
      </c>
      <c r="S107" s="997">
        <f t="shared" si="35"/>
        <v>0</v>
      </c>
      <c r="T107" s="997">
        <f t="shared" si="35"/>
        <v>0</v>
      </c>
      <c r="U107" s="997">
        <f t="shared" si="35"/>
        <v>0</v>
      </c>
      <c r="V107" s="997">
        <f t="shared" si="35"/>
        <v>0</v>
      </c>
      <c r="W107" s="997">
        <f t="shared" si="35"/>
        <v>0</v>
      </c>
      <c r="X107" s="997">
        <f t="shared" si="35"/>
        <v>0</v>
      </c>
      <c r="Y107" s="997">
        <f t="shared" si="35"/>
        <v>0</v>
      </c>
      <c r="Z107" s="997">
        <f t="shared" si="35"/>
        <v>0</v>
      </c>
      <c r="AA107" s="997">
        <f t="shared" si="35"/>
        <v>0</v>
      </c>
      <c r="AB107" s="997">
        <f t="shared" si="35"/>
        <v>0</v>
      </c>
      <c r="AC107" s="997">
        <f t="shared" si="36"/>
        <v>0</v>
      </c>
      <c r="AD107" s="997">
        <f t="shared" si="36"/>
        <v>0</v>
      </c>
      <c r="AE107" s="997">
        <f t="shared" si="36"/>
        <v>0</v>
      </c>
    </row>
    <row r="108" spans="1:33" s="56" customFormat="1" ht="14.25">
      <c r="A108" s="56" t="s">
        <v>55</v>
      </c>
      <c r="B108" s="164"/>
      <c r="C108" s="75"/>
      <c r="D108" s="173"/>
      <c r="E108" s="75"/>
      <c r="F108" s="75"/>
      <c r="G108" s="75"/>
      <c r="H108" s="75"/>
      <c r="I108" s="999"/>
      <c r="J108" s="1000"/>
      <c r="K108" s="685">
        <v>0</v>
      </c>
      <c r="L108" s="1001">
        <f>SUM(L104:L107)</f>
        <v>23741.666666666664</v>
      </c>
      <c r="M108" s="1001">
        <f t="shared" ref="M108:AE108" si="37">($L$108*L11)</f>
        <v>24216.499999999996</v>
      </c>
      <c r="N108" s="1001">
        <f t="shared" si="37"/>
        <v>24700.829999999998</v>
      </c>
      <c r="O108" s="1001">
        <f t="shared" si="37"/>
        <v>25194.846599999997</v>
      </c>
      <c r="P108" s="1001">
        <f t="shared" si="37"/>
        <v>25698.743531999997</v>
      </c>
      <c r="Q108" s="1001">
        <f t="shared" si="37"/>
        <v>26212.718402639999</v>
      </c>
      <c r="R108" s="1001">
        <f t="shared" si="37"/>
        <v>26736.972770692799</v>
      </c>
      <c r="S108" s="1001">
        <f t="shared" si="37"/>
        <v>27271.712226106654</v>
      </c>
      <c r="T108" s="1001">
        <f t="shared" si="37"/>
        <v>27817.146470628788</v>
      </c>
      <c r="U108" s="1001">
        <f t="shared" si="37"/>
        <v>28373.489400041366</v>
      </c>
      <c r="V108" s="1001">
        <f t="shared" si="37"/>
        <v>28940.959188042194</v>
      </c>
      <c r="W108" s="1001">
        <f t="shared" si="37"/>
        <v>29519.778371803037</v>
      </c>
      <c r="X108" s="1001">
        <f t="shared" si="37"/>
        <v>30110.173939239099</v>
      </c>
      <c r="Y108" s="1001">
        <f t="shared" si="37"/>
        <v>30712.377418023876</v>
      </c>
      <c r="Z108" s="1001">
        <f t="shared" si="37"/>
        <v>31326.624966384359</v>
      </c>
      <c r="AA108" s="1001">
        <f t="shared" si="37"/>
        <v>31953.157465712047</v>
      </c>
      <c r="AB108" s="1001">
        <f t="shared" si="37"/>
        <v>32592.220615026286</v>
      </c>
      <c r="AC108" s="1001">
        <f t="shared" si="37"/>
        <v>33244.065027326818</v>
      </c>
      <c r="AD108" s="1001">
        <f t="shared" si="37"/>
        <v>33908.946327873353</v>
      </c>
      <c r="AE108" s="1001">
        <f t="shared" si="37"/>
        <v>34587.125254430823</v>
      </c>
    </row>
    <row r="109" spans="1:33">
      <c r="A109" s="56"/>
      <c r="B109" s="37"/>
      <c r="C109" s="57"/>
      <c r="E109" s="57"/>
      <c r="F109" s="57"/>
      <c r="G109" s="57"/>
      <c r="H109" s="57"/>
      <c r="I109" s="51"/>
      <c r="J109" s="624"/>
      <c r="K109" s="683"/>
      <c r="L109" s="666"/>
      <c r="M109" s="666"/>
      <c r="N109" s="666"/>
      <c r="O109" s="666"/>
      <c r="P109" s="666"/>
      <c r="Q109" s="666"/>
      <c r="R109" s="666"/>
      <c r="S109" s="666"/>
      <c r="T109" s="666"/>
      <c r="U109" s="666"/>
      <c r="V109" s="666"/>
      <c r="W109" s="666"/>
      <c r="X109" s="666"/>
      <c r="Y109" s="666"/>
      <c r="Z109" s="666"/>
      <c r="AA109" s="666"/>
      <c r="AB109" s="666"/>
      <c r="AC109" s="666"/>
      <c r="AD109" s="666"/>
      <c r="AE109" s="666"/>
    </row>
    <row r="110" spans="1:33">
      <c r="A110" s="47" t="s">
        <v>7</v>
      </c>
      <c r="B110" s="47" t="s">
        <v>7</v>
      </c>
      <c r="C110" s="78" t="s">
        <v>7</v>
      </c>
      <c r="D110" s="100"/>
      <c r="E110" s="78" t="s">
        <v>7</v>
      </c>
      <c r="F110" s="78"/>
      <c r="G110" s="78" t="s">
        <v>7</v>
      </c>
      <c r="H110" s="78"/>
      <c r="I110" s="52" t="s">
        <v>7</v>
      </c>
      <c r="J110" s="672"/>
      <c r="K110" s="673"/>
      <c r="L110" s="672"/>
      <c r="M110" s="672"/>
      <c r="N110" s="672"/>
      <c r="O110" s="672"/>
      <c r="P110" s="672"/>
      <c r="Q110" s="672"/>
      <c r="R110" s="672"/>
      <c r="S110" s="672"/>
      <c r="T110" s="672"/>
      <c r="U110" s="672"/>
      <c r="V110" s="672"/>
      <c r="W110" s="672"/>
      <c r="X110" s="672"/>
      <c r="Y110" s="672"/>
      <c r="Z110" s="672"/>
      <c r="AA110" s="672"/>
      <c r="AB110" s="672"/>
      <c r="AC110" s="672"/>
      <c r="AD110" s="672"/>
      <c r="AE110" s="672"/>
    </row>
    <row r="111" spans="1:33">
      <c r="A111" s="47"/>
      <c r="B111" s="47"/>
      <c r="C111" s="78"/>
      <c r="D111" s="100"/>
      <c r="E111" s="78"/>
      <c r="F111" s="78"/>
      <c r="G111" s="78"/>
      <c r="H111" s="78"/>
      <c r="I111" s="52"/>
      <c r="J111" s="672"/>
      <c r="K111" s="683"/>
      <c r="L111" s="666"/>
      <c r="M111" s="666"/>
      <c r="N111" s="666"/>
      <c r="O111" s="666"/>
      <c r="P111" s="666"/>
      <c r="Q111" s="666"/>
      <c r="R111" s="666"/>
      <c r="S111" s="666"/>
      <c r="T111" s="666"/>
      <c r="U111" s="666"/>
      <c r="V111" s="666"/>
      <c r="W111" s="666"/>
      <c r="X111" s="666"/>
      <c r="Y111" s="666"/>
      <c r="Z111" s="666"/>
      <c r="AA111" s="666"/>
      <c r="AB111" s="666"/>
      <c r="AC111" s="666"/>
      <c r="AD111" s="666"/>
      <c r="AE111" s="666"/>
    </row>
    <row r="112" spans="1:33" s="56" customFormat="1" ht="14.25">
      <c r="A112" s="203" t="s">
        <v>303</v>
      </c>
      <c r="B112" s="203"/>
      <c r="C112" s="204"/>
      <c r="D112" s="205"/>
      <c r="E112" s="204"/>
      <c r="F112" s="204"/>
      <c r="G112" s="204"/>
      <c r="H112" s="204"/>
      <c r="I112" s="206"/>
      <c r="J112" s="674"/>
      <c r="K112" s="676">
        <f>SUM(K79,K100,K108)</f>
        <v>0</v>
      </c>
      <c r="L112" s="676">
        <f>SUM(L79,L100,L108)</f>
        <v>357416.66666666669</v>
      </c>
      <c r="M112" s="676">
        <f t="shared" ref="M112:AE112" si="38">SUM(M79,M100,M108)</f>
        <v>732748.5</v>
      </c>
      <c r="N112" s="676">
        <f t="shared" si="38"/>
        <v>747413.67</v>
      </c>
      <c r="O112" s="676">
        <f t="shared" si="38"/>
        <v>762361.94339999999</v>
      </c>
      <c r="P112" s="676">
        <f t="shared" si="38"/>
        <v>777609.18226799998</v>
      </c>
      <c r="Q112" s="676">
        <f t="shared" si="38"/>
        <v>821505.24470855994</v>
      </c>
      <c r="R112" s="676">
        <f t="shared" si="38"/>
        <v>833398.43081236316</v>
      </c>
      <c r="S112" s="676">
        <f t="shared" si="38"/>
        <v>850066.39942861034</v>
      </c>
      <c r="T112" s="676">
        <f t="shared" si="38"/>
        <v>867067.72741718276</v>
      </c>
      <c r="U112" s="676">
        <f t="shared" si="38"/>
        <v>884409.08196552645</v>
      </c>
      <c r="V112" s="676">
        <f t="shared" si="38"/>
        <v>906487.76639483974</v>
      </c>
      <c r="W112" s="676">
        <f t="shared" si="38"/>
        <v>920139.20887693367</v>
      </c>
      <c r="X112" s="676">
        <f t="shared" si="38"/>
        <v>938541.99305447238</v>
      </c>
      <c r="Y112" s="676">
        <f t="shared" si="38"/>
        <v>957312.83291556186</v>
      </c>
      <c r="Z112" s="676">
        <f t="shared" si="38"/>
        <v>976459.08957387297</v>
      </c>
      <c r="AA112" s="676">
        <f t="shared" si="38"/>
        <v>1000315.3371961886</v>
      </c>
      <c r="AB112" s="676">
        <f t="shared" si="38"/>
        <v>1015908.0367926577</v>
      </c>
      <c r="AC112" s="676">
        <f t="shared" si="38"/>
        <v>1036226.1975285108</v>
      </c>
      <c r="AD112" s="676">
        <f t="shared" si="38"/>
        <v>1056950.7214790811</v>
      </c>
      <c r="AE112" s="676">
        <f t="shared" si="38"/>
        <v>1078089.7359086629</v>
      </c>
      <c r="AG112" s="199"/>
    </row>
    <row r="113" spans="1:33">
      <c r="A113" s="37"/>
      <c r="B113" s="37"/>
      <c r="C113" s="57"/>
      <c r="E113" s="110"/>
      <c r="F113" s="110"/>
      <c r="G113" s="57"/>
      <c r="H113" s="57"/>
      <c r="I113" s="43"/>
      <c r="J113" s="44"/>
      <c r="K113" s="683"/>
      <c r="L113" s="115"/>
      <c r="M113" s="115"/>
      <c r="N113" s="115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5"/>
      <c r="Z113" s="115"/>
      <c r="AA113" s="115"/>
      <c r="AB113" s="115"/>
      <c r="AC113" s="115"/>
      <c r="AD113" s="115"/>
      <c r="AE113" s="115"/>
      <c r="AG113" s="199"/>
    </row>
    <row r="114" spans="1:33">
      <c r="A114" s="47" t="s">
        <v>7</v>
      </c>
      <c r="B114" s="47" t="s">
        <v>7</v>
      </c>
      <c r="C114" s="78" t="s">
        <v>7</v>
      </c>
      <c r="D114" s="100"/>
      <c r="E114" s="78" t="s">
        <v>7</v>
      </c>
      <c r="F114" s="78"/>
      <c r="G114" s="78" t="s">
        <v>7</v>
      </c>
      <c r="H114" s="78"/>
      <c r="I114" s="52" t="s">
        <v>7</v>
      </c>
      <c r="J114" s="114"/>
      <c r="K114" s="673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G114" s="199"/>
    </row>
    <row r="115" spans="1:33">
      <c r="A115" s="47"/>
      <c r="B115" s="47"/>
      <c r="C115" s="78"/>
      <c r="D115" s="100"/>
      <c r="E115" s="78"/>
      <c r="F115" s="78"/>
      <c r="G115" s="78"/>
      <c r="H115" s="78"/>
      <c r="I115" s="52"/>
      <c r="J115" s="114"/>
      <c r="K115" s="683"/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5"/>
      <c r="Z115" s="115"/>
      <c r="AA115" s="115"/>
      <c r="AB115" s="115"/>
      <c r="AC115" s="115"/>
      <c r="AD115" s="115"/>
      <c r="AE115" s="115"/>
      <c r="AG115" s="199"/>
    </row>
    <row r="116" spans="1:33">
      <c r="A116" s="168" t="s">
        <v>71</v>
      </c>
      <c r="B116" s="171"/>
      <c r="C116" s="176"/>
      <c r="D116" s="177"/>
      <c r="E116" s="176"/>
      <c r="F116" s="176"/>
      <c r="G116" s="176"/>
      <c r="H116" s="176"/>
      <c r="I116" s="182"/>
      <c r="J116" s="179"/>
      <c r="K116" s="682"/>
      <c r="L116" s="319"/>
      <c r="M116" s="319"/>
      <c r="N116" s="319"/>
      <c r="O116" s="319"/>
      <c r="P116" s="319"/>
      <c r="Q116" s="319"/>
      <c r="R116" s="319"/>
      <c r="S116" s="319"/>
      <c r="T116" s="319"/>
      <c r="U116" s="319"/>
      <c r="V116" s="319"/>
      <c r="W116" s="319"/>
      <c r="X116" s="319"/>
      <c r="Y116" s="319"/>
      <c r="Z116" s="319"/>
      <c r="AA116" s="319"/>
      <c r="AB116" s="319"/>
      <c r="AC116" s="319"/>
      <c r="AD116" s="319"/>
      <c r="AE116" s="319"/>
      <c r="AG116" s="199"/>
    </row>
    <row r="117" spans="1:33" s="252" customFormat="1">
      <c r="A117" s="183"/>
      <c r="B117" s="184"/>
      <c r="C117" s="185"/>
      <c r="D117" s="186"/>
      <c r="E117" s="185"/>
      <c r="F117" s="185"/>
      <c r="G117" s="185"/>
      <c r="H117" s="185"/>
      <c r="I117" s="187"/>
      <c r="J117" s="188"/>
      <c r="K117" s="683"/>
      <c r="L117" s="320"/>
      <c r="M117" s="320"/>
      <c r="N117" s="320"/>
      <c r="O117" s="320"/>
      <c r="P117" s="320"/>
      <c r="Q117" s="320"/>
      <c r="R117" s="320"/>
      <c r="S117" s="320"/>
      <c r="T117" s="320"/>
      <c r="U117" s="320"/>
      <c r="V117" s="320"/>
      <c r="W117" s="320"/>
      <c r="X117" s="320"/>
      <c r="Y117" s="320"/>
      <c r="Z117" s="320"/>
      <c r="AA117" s="320"/>
      <c r="AB117" s="320"/>
      <c r="AC117" s="320"/>
      <c r="AD117" s="320"/>
      <c r="AE117" s="320"/>
      <c r="AG117" s="363"/>
    </row>
    <row r="118" spans="1:33">
      <c r="A118" s="39" t="s">
        <v>0</v>
      </c>
      <c r="B118" s="39"/>
      <c r="C118" s="102"/>
      <c r="D118" s="103"/>
      <c r="E118" s="104"/>
      <c r="F118" s="104"/>
      <c r="G118" s="104"/>
      <c r="H118" s="104"/>
      <c r="I118" s="39"/>
      <c r="J118" s="104"/>
      <c r="K118" s="688"/>
      <c r="L118" s="335"/>
      <c r="M118" s="335"/>
      <c r="N118" s="335"/>
      <c r="O118" s="335"/>
      <c r="P118" s="335"/>
      <c r="Q118" s="335"/>
      <c r="R118" s="335"/>
      <c r="S118" s="335"/>
      <c r="T118" s="335"/>
      <c r="U118" s="335"/>
      <c r="V118" s="335"/>
      <c r="W118" s="335"/>
      <c r="X118" s="335"/>
      <c r="Y118" s="335"/>
      <c r="Z118" s="335"/>
      <c r="AA118" s="335"/>
      <c r="AB118" s="335"/>
      <c r="AC118" s="335"/>
      <c r="AD118" s="335"/>
      <c r="AE118" s="335"/>
    </row>
    <row r="119" spans="1:33">
      <c r="A119" s="41" t="s">
        <v>13</v>
      </c>
      <c r="B119" s="41"/>
      <c r="C119" s="105"/>
      <c r="D119" s="106"/>
      <c r="E119" s="37"/>
      <c r="F119" s="37"/>
      <c r="G119" s="37"/>
      <c r="H119" s="37"/>
      <c r="I119" s="41"/>
      <c r="J119" s="37"/>
      <c r="K119" s="683"/>
      <c r="L119" s="200"/>
      <c r="M119" s="200"/>
      <c r="N119" s="200"/>
      <c r="O119" s="200"/>
      <c r="P119" s="200"/>
      <c r="Q119" s="200"/>
      <c r="R119" s="200"/>
      <c r="S119" s="200"/>
      <c r="T119" s="200"/>
      <c r="U119" s="201"/>
      <c r="V119" s="323"/>
      <c r="W119" s="200"/>
      <c r="X119" s="200"/>
      <c r="Y119" s="200"/>
      <c r="Z119" s="200"/>
      <c r="AA119" s="200"/>
      <c r="AB119" s="200"/>
      <c r="AC119" s="200"/>
      <c r="AD119" s="200"/>
      <c r="AE119" s="201"/>
    </row>
    <row r="120" spans="1:33">
      <c r="A120" s="96" t="s">
        <v>56</v>
      </c>
      <c r="B120" s="735" t="s">
        <v>12</v>
      </c>
      <c r="C120" s="663">
        <v>55000</v>
      </c>
      <c r="D120" s="736">
        <f>C120/2080</f>
        <v>26.442307692307693</v>
      </c>
      <c r="E120" s="663">
        <v>0</v>
      </c>
      <c r="F120" s="663">
        <f>C120*$F$13</f>
        <v>22000</v>
      </c>
      <c r="G120" s="663">
        <f>SUM(C120,E120:F120)</f>
        <v>77000</v>
      </c>
      <c r="H120" s="736">
        <f>G120/2080*8</f>
        <v>296.15384615384613</v>
      </c>
      <c r="I120" s="736"/>
      <c r="J120" s="663"/>
      <c r="K120" s="683">
        <v>0</v>
      </c>
      <c r="L120" s="665">
        <v>0</v>
      </c>
      <c r="M120" s="665">
        <f>$H$120*M32*0.25</f>
        <v>15844.230769230768</v>
      </c>
      <c r="N120" s="665">
        <f t="shared" ref="N120:AE120" si="39">$M$120*M11</f>
        <v>16484.33769230769</v>
      </c>
      <c r="O120" s="665">
        <f t="shared" si="39"/>
        <v>16814.024446153842</v>
      </c>
      <c r="P120" s="665">
        <f t="shared" si="39"/>
        <v>17150.304935076922</v>
      </c>
      <c r="Q120" s="665">
        <f t="shared" si="39"/>
        <v>17493.31103377846</v>
      </c>
      <c r="R120" s="665">
        <f t="shared" si="39"/>
        <v>17843.177254454029</v>
      </c>
      <c r="S120" s="665">
        <f t="shared" si="39"/>
        <v>18200.040799543109</v>
      </c>
      <c r="T120" s="665">
        <f t="shared" si="39"/>
        <v>18564.041615533974</v>
      </c>
      <c r="U120" s="665">
        <f t="shared" si="39"/>
        <v>18935.322447844654</v>
      </c>
      <c r="V120" s="665">
        <f t="shared" si="39"/>
        <v>19314.028896801548</v>
      </c>
      <c r="W120" s="665">
        <f t="shared" si="39"/>
        <v>19700.30947473758</v>
      </c>
      <c r="X120" s="665">
        <f t="shared" si="39"/>
        <v>20094.31566423233</v>
      </c>
      <c r="Y120" s="665">
        <f t="shared" si="39"/>
        <v>20496.201977516976</v>
      </c>
      <c r="Z120" s="665">
        <f t="shared" si="39"/>
        <v>20906.126017067316</v>
      </c>
      <c r="AA120" s="665">
        <f t="shared" si="39"/>
        <v>21324.248537408665</v>
      </c>
      <c r="AB120" s="665">
        <f t="shared" si="39"/>
        <v>21750.733508156838</v>
      </c>
      <c r="AC120" s="665">
        <f t="shared" si="39"/>
        <v>22185.748178319976</v>
      </c>
      <c r="AD120" s="665">
        <f t="shared" si="39"/>
        <v>22629.463141886376</v>
      </c>
      <c r="AE120" s="665">
        <f t="shared" si="39"/>
        <v>23082.052404724102</v>
      </c>
    </row>
    <row r="121" spans="1:33">
      <c r="A121" s="96" t="s">
        <v>57</v>
      </c>
      <c r="B121" s="735" t="s">
        <v>15</v>
      </c>
      <c r="C121" s="663">
        <v>15000</v>
      </c>
      <c r="D121" s="736">
        <f>C121/2080</f>
        <v>7.2115384615384617</v>
      </c>
      <c r="E121" s="663">
        <f>C121*E12</f>
        <v>3000</v>
      </c>
      <c r="F121" s="663">
        <f t="shared" ref="F121:F122" si="40">C121*$F$13</f>
        <v>6000</v>
      </c>
      <c r="G121" s="663">
        <f t="shared" ref="G121:G122" si="41">SUM(C121,E121:F121)</f>
        <v>24000</v>
      </c>
      <c r="H121" s="736">
        <f>G121/2080*12</f>
        <v>138.46153846153845</v>
      </c>
      <c r="I121" s="736"/>
      <c r="J121" s="663"/>
      <c r="K121" s="683">
        <v>0</v>
      </c>
      <c r="L121" s="665">
        <v>0</v>
      </c>
      <c r="M121" s="665">
        <f>$H$121*M32*0.5</f>
        <v>14815.384615384615</v>
      </c>
      <c r="N121" s="665">
        <f t="shared" ref="N121:AE121" si="42">$M$121*M11</f>
        <v>15413.926153846154</v>
      </c>
      <c r="O121" s="665">
        <f t="shared" si="42"/>
        <v>15722.204676923076</v>
      </c>
      <c r="P121" s="665">
        <f t="shared" si="42"/>
        <v>16036.648770461537</v>
      </c>
      <c r="Q121" s="665">
        <f t="shared" si="42"/>
        <v>16357.381745870769</v>
      </c>
      <c r="R121" s="665">
        <f t="shared" si="42"/>
        <v>16684.529380788186</v>
      </c>
      <c r="S121" s="665">
        <f t="shared" si="42"/>
        <v>17018.219968403948</v>
      </c>
      <c r="T121" s="665">
        <f t="shared" si="42"/>
        <v>17358.58436777203</v>
      </c>
      <c r="U121" s="665">
        <f t="shared" si="42"/>
        <v>17705.756055127469</v>
      </c>
      <c r="V121" s="665">
        <f t="shared" si="42"/>
        <v>18059.871176230019</v>
      </c>
      <c r="W121" s="665">
        <f t="shared" si="42"/>
        <v>18421.068599754621</v>
      </c>
      <c r="X121" s="665">
        <f t="shared" si="42"/>
        <v>18789.489971749714</v>
      </c>
      <c r="Y121" s="665">
        <f t="shared" si="42"/>
        <v>19165.279771184705</v>
      </c>
      <c r="Z121" s="665">
        <f t="shared" si="42"/>
        <v>19548.5853666084</v>
      </c>
      <c r="AA121" s="665">
        <f t="shared" si="42"/>
        <v>19939.55707394057</v>
      </c>
      <c r="AB121" s="665">
        <f t="shared" si="42"/>
        <v>20338.348215419381</v>
      </c>
      <c r="AC121" s="665">
        <f t="shared" si="42"/>
        <v>20745.115179727771</v>
      </c>
      <c r="AD121" s="665">
        <f t="shared" si="42"/>
        <v>21160.017483322328</v>
      </c>
      <c r="AE121" s="665">
        <f t="shared" si="42"/>
        <v>21583.217832988772</v>
      </c>
    </row>
    <row r="122" spans="1:33">
      <c r="A122" s="737" t="s">
        <v>57</v>
      </c>
      <c r="B122" s="738" t="s">
        <v>15</v>
      </c>
      <c r="C122" s="739">
        <v>15000</v>
      </c>
      <c r="D122" s="740">
        <f>C122/2080</f>
        <v>7.2115384615384617</v>
      </c>
      <c r="E122" s="739">
        <f>C122*$E$12</f>
        <v>3000</v>
      </c>
      <c r="F122" s="739">
        <f t="shared" si="40"/>
        <v>6000</v>
      </c>
      <c r="G122" s="739">
        <f t="shared" si="41"/>
        <v>24000</v>
      </c>
      <c r="H122" s="740">
        <f t="shared" ref="H122" si="43">G122/2080*12</f>
        <v>138.46153846153845</v>
      </c>
      <c r="I122" s="740"/>
      <c r="J122" s="739"/>
      <c r="K122" s="741">
        <v>0</v>
      </c>
      <c r="L122" s="742">
        <v>0</v>
      </c>
      <c r="M122" s="742">
        <f>$H$122*M32*0.5</f>
        <v>14815.384615384615</v>
      </c>
      <c r="N122" s="742">
        <f t="shared" ref="N122:AE122" si="44">$M$122*M11</f>
        <v>15413.926153846154</v>
      </c>
      <c r="O122" s="742">
        <f t="shared" si="44"/>
        <v>15722.204676923076</v>
      </c>
      <c r="P122" s="742">
        <f t="shared" si="44"/>
        <v>16036.648770461537</v>
      </c>
      <c r="Q122" s="742">
        <f t="shared" si="44"/>
        <v>16357.381745870769</v>
      </c>
      <c r="R122" s="742">
        <f t="shared" si="44"/>
        <v>16684.529380788186</v>
      </c>
      <c r="S122" s="742">
        <f t="shared" si="44"/>
        <v>17018.219968403948</v>
      </c>
      <c r="T122" s="742">
        <f t="shared" si="44"/>
        <v>17358.58436777203</v>
      </c>
      <c r="U122" s="742">
        <f t="shared" si="44"/>
        <v>17705.756055127469</v>
      </c>
      <c r="V122" s="742">
        <f t="shared" si="44"/>
        <v>18059.871176230019</v>
      </c>
      <c r="W122" s="742">
        <f t="shared" si="44"/>
        <v>18421.068599754621</v>
      </c>
      <c r="X122" s="742">
        <f t="shared" si="44"/>
        <v>18789.489971749714</v>
      </c>
      <c r="Y122" s="742">
        <f t="shared" si="44"/>
        <v>19165.279771184705</v>
      </c>
      <c r="Z122" s="742">
        <f t="shared" si="44"/>
        <v>19548.5853666084</v>
      </c>
      <c r="AA122" s="742">
        <f t="shared" si="44"/>
        <v>19939.55707394057</v>
      </c>
      <c r="AB122" s="742">
        <f t="shared" si="44"/>
        <v>20338.348215419381</v>
      </c>
      <c r="AC122" s="742">
        <f t="shared" si="44"/>
        <v>20745.115179727771</v>
      </c>
      <c r="AD122" s="742">
        <f t="shared" si="44"/>
        <v>21160.017483322328</v>
      </c>
      <c r="AE122" s="742">
        <f t="shared" si="44"/>
        <v>21583.217832988772</v>
      </c>
    </row>
    <row r="123" spans="1:33">
      <c r="A123" s="164" t="s">
        <v>414</v>
      </c>
      <c r="B123" s="164"/>
      <c r="C123" s="667">
        <f>SUM(C120:C122)</f>
        <v>85000</v>
      </c>
      <c r="D123" s="667"/>
      <c r="E123" s="667">
        <f>SUM(E120:E122)</f>
        <v>6000</v>
      </c>
      <c r="F123" s="667">
        <f>SUM(F120:F122)</f>
        <v>34000</v>
      </c>
      <c r="G123" s="667">
        <f>SUM(G120:G122)</f>
        <v>125000</v>
      </c>
      <c r="H123" s="667">
        <f>SUM(H120:H122)</f>
        <v>573.07692307692309</v>
      </c>
      <c r="I123" s="668"/>
      <c r="J123" s="667"/>
      <c r="K123" s="685">
        <f>SUMIF($B120:$B122,"FT",K120:K122)</f>
        <v>0</v>
      </c>
      <c r="L123" s="669">
        <f>SUM(L120:L122)</f>
        <v>0</v>
      </c>
      <c r="M123" s="669">
        <f t="shared" ref="M123:AE123" si="45">SUM(M120:M122)</f>
        <v>45475</v>
      </c>
      <c r="N123" s="669">
        <f t="shared" si="45"/>
        <v>47312.19</v>
      </c>
      <c r="O123" s="669">
        <f t="shared" si="45"/>
        <v>48258.433799999999</v>
      </c>
      <c r="P123" s="669">
        <f t="shared" si="45"/>
        <v>49223.602475999993</v>
      </c>
      <c r="Q123" s="669">
        <f t="shared" si="45"/>
        <v>50208.074525520002</v>
      </c>
      <c r="R123" s="669">
        <f t="shared" si="45"/>
        <v>51212.236016030394</v>
      </c>
      <c r="S123" s="669">
        <f t="shared" si="45"/>
        <v>52236.480736351004</v>
      </c>
      <c r="T123" s="669">
        <f t="shared" si="45"/>
        <v>53281.210351078029</v>
      </c>
      <c r="U123" s="669">
        <f t="shared" si="45"/>
        <v>54346.834558099596</v>
      </c>
      <c r="V123" s="669">
        <f t="shared" si="45"/>
        <v>55433.771249261583</v>
      </c>
      <c r="W123" s="669">
        <f t="shared" si="45"/>
        <v>56542.446674246821</v>
      </c>
      <c r="X123" s="669">
        <f t="shared" si="45"/>
        <v>57673.295607731765</v>
      </c>
      <c r="Y123" s="669">
        <f t="shared" si="45"/>
        <v>58826.761519886393</v>
      </c>
      <c r="Z123" s="669">
        <f t="shared" si="45"/>
        <v>60003.29675028412</v>
      </c>
      <c r="AA123" s="669">
        <f t="shared" si="45"/>
        <v>61203.362685289801</v>
      </c>
      <c r="AB123" s="669">
        <f t="shared" si="45"/>
        <v>62427.4299389956</v>
      </c>
      <c r="AC123" s="669">
        <f t="shared" si="45"/>
        <v>63675.978537775518</v>
      </c>
      <c r="AD123" s="669">
        <f t="shared" si="45"/>
        <v>64949.498108531028</v>
      </c>
      <c r="AE123" s="669">
        <f t="shared" si="45"/>
        <v>66248.488070701642</v>
      </c>
    </row>
    <row r="124" spans="1:33">
      <c r="A124" s="37"/>
      <c r="B124" s="37"/>
      <c r="C124" s="663"/>
      <c r="D124" s="663"/>
      <c r="E124" s="663"/>
      <c r="F124" s="663"/>
      <c r="G124" s="663"/>
      <c r="H124" s="663"/>
      <c r="I124" s="670"/>
      <c r="J124" s="663"/>
      <c r="K124" s="683"/>
      <c r="L124" s="666"/>
      <c r="M124" s="666"/>
      <c r="N124" s="666"/>
      <c r="O124" s="666"/>
      <c r="P124" s="666"/>
      <c r="Q124" s="666"/>
      <c r="R124" s="666"/>
      <c r="S124" s="666"/>
      <c r="T124" s="666"/>
      <c r="U124" s="666"/>
      <c r="V124" s="666"/>
      <c r="W124" s="666"/>
      <c r="X124" s="666"/>
      <c r="Y124" s="666"/>
      <c r="Z124" s="666"/>
      <c r="AA124" s="666"/>
      <c r="AB124" s="666"/>
      <c r="AC124" s="666"/>
      <c r="AD124" s="666"/>
      <c r="AE124" s="666"/>
    </row>
    <row r="125" spans="1:33">
      <c r="A125" s="37" t="s">
        <v>11</v>
      </c>
      <c r="B125" s="37"/>
      <c r="C125" s="663"/>
      <c r="D125" s="663"/>
      <c r="E125" s="663"/>
      <c r="F125" s="663"/>
      <c r="G125" s="663"/>
      <c r="H125" s="663"/>
      <c r="I125" s="670"/>
      <c r="J125" s="663"/>
      <c r="K125" s="743">
        <f>COUNTIF(K120:K122,"&gt;100")</f>
        <v>0</v>
      </c>
      <c r="L125" s="496">
        <f>COUNTIF(L120,"&gt;100")</f>
        <v>0</v>
      </c>
      <c r="M125" s="496">
        <f t="shared" ref="M125:AE125" si="46">COUNTIF(M120,"&gt;100")</f>
        <v>1</v>
      </c>
      <c r="N125" s="496">
        <f t="shared" si="46"/>
        <v>1</v>
      </c>
      <c r="O125" s="496">
        <f t="shared" si="46"/>
        <v>1</v>
      </c>
      <c r="P125" s="496">
        <f t="shared" si="46"/>
        <v>1</v>
      </c>
      <c r="Q125" s="496">
        <f t="shared" si="46"/>
        <v>1</v>
      </c>
      <c r="R125" s="496">
        <f t="shared" si="46"/>
        <v>1</v>
      </c>
      <c r="S125" s="496">
        <f t="shared" si="46"/>
        <v>1</v>
      </c>
      <c r="T125" s="496">
        <f t="shared" si="46"/>
        <v>1</v>
      </c>
      <c r="U125" s="496">
        <f t="shared" si="46"/>
        <v>1</v>
      </c>
      <c r="V125" s="496">
        <f t="shared" si="46"/>
        <v>1</v>
      </c>
      <c r="W125" s="496">
        <f t="shared" si="46"/>
        <v>1</v>
      </c>
      <c r="X125" s="496">
        <f t="shared" si="46"/>
        <v>1</v>
      </c>
      <c r="Y125" s="496">
        <f t="shared" si="46"/>
        <v>1</v>
      </c>
      <c r="Z125" s="496">
        <f t="shared" si="46"/>
        <v>1</v>
      </c>
      <c r="AA125" s="496">
        <f t="shared" si="46"/>
        <v>1</v>
      </c>
      <c r="AB125" s="496">
        <f t="shared" si="46"/>
        <v>1</v>
      </c>
      <c r="AC125" s="496">
        <f t="shared" si="46"/>
        <v>1</v>
      </c>
      <c r="AD125" s="496">
        <f t="shared" si="46"/>
        <v>1</v>
      </c>
      <c r="AE125" s="496">
        <f t="shared" si="46"/>
        <v>1</v>
      </c>
    </row>
    <row r="126" spans="1:33">
      <c r="A126" s="745" t="s">
        <v>10</v>
      </c>
      <c r="B126" s="745"/>
      <c r="C126" s="739"/>
      <c r="D126" s="739"/>
      <c r="E126" s="739"/>
      <c r="F126" s="739"/>
      <c r="G126" s="739"/>
      <c r="H126" s="739"/>
      <c r="I126" s="763"/>
      <c r="J126" s="739"/>
      <c r="K126" s="749">
        <f t="shared" ref="K126" si="47">K127-K125</f>
        <v>0</v>
      </c>
      <c r="L126" s="750">
        <f>COUNTIF(L121:L122,"&gt;100")</f>
        <v>0</v>
      </c>
      <c r="M126" s="750">
        <f t="shared" ref="M126:AE126" si="48">COUNTIF(M121:M122,"&gt;100")</f>
        <v>2</v>
      </c>
      <c r="N126" s="750">
        <f t="shared" si="48"/>
        <v>2</v>
      </c>
      <c r="O126" s="750">
        <f t="shared" si="48"/>
        <v>2</v>
      </c>
      <c r="P126" s="750">
        <f t="shared" si="48"/>
        <v>2</v>
      </c>
      <c r="Q126" s="750">
        <f t="shared" si="48"/>
        <v>2</v>
      </c>
      <c r="R126" s="750">
        <f t="shared" si="48"/>
        <v>2</v>
      </c>
      <c r="S126" s="750">
        <f t="shared" si="48"/>
        <v>2</v>
      </c>
      <c r="T126" s="750">
        <f t="shared" si="48"/>
        <v>2</v>
      </c>
      <c r="U126" s="750">
        <f t="shared" si="48"/>
        <v>2</v>
      </c>
      <c r="V126" s="750">
        <f t="shared" si="48"/>
        <v>2</v>
      </c>
      <c r="W126" s="750">
        <f t="shared" si="48"/>
        <v>2</v>
      </c>
      <c r="X126" s="750">
        <f t="shared" si="48"/>
        <v>2</v>
      </c>
      <c r="Y126" s="750">
        <f t="shared" si="48"/>
        <v>2</v>
      </c>
      <c r="Z126" s="750">
        <f t="shared" si="48"/>
        <v>2</v>
      </c>
      <c r="AA126" s="750">
        <f t="shared" si="48"/>
        <v>2</v>
      </c>
      <c r="AB126" s="750">
        <f t="shared" si="48"/>
        <v>2</v>
      </c>
      <c r="AC126" s="750">
        <f t="shared" si="48"/>
        <v>2</v>
      </c>
      <c r="AD126" s="750">
        <f t="shared" si="48"/>
        <v>2</v>
      </c>
      <c r="AE126" s="750">
        <f t="shared" si="48"/>
        <v>2</v>
      </c>
    </row>
    <row r="127" spans="1:33">
      <c r="A127" s="164" t="s">
        <v>9</v>
      </c>
      <c r="B127" s="164"/>
      <c r="C127" s="667"/>
      <c r="D127" s="667"/>
      <c r="E127" s="667"/>
      <c r="F127" s="667"/>
      <c r="G127" s="667"/>
      <c r="H127" s="667"/>
      <c r="I127" s="668"/>
      <c r="J127" s="667"/>
      <c r="K127" s="751">
        <f t="shared" ref="K127:AE127" si="49">COUNTIF(K120:K122,"&gt;0")</f>
        <v>0</v>
      </c>
      <c r="L127" s="752">
        <f t="shared" si="49"/>
        <v>0</v>
      </c>
      <c r="M127" s="752">
        <f t="shared" si="49"/>
        <v>3</v>
      </c>
      <c r="N127" s="752">
        <f t="shared" si="49"/>
        <v>3</v>
      </c>
      <c r="O127" s="752">
        <f t="shared" si="49"/>
        <v>3</v>
      </c>
      <c r="P127" s="752">
        <f t="shared" si="49"/>
        <v>3</v>
      </c>
      <c r="Q127" s="752">
        <f t="shared" si="49"/>
        <v>3</v>
      </c>
      <c r="R127" s="752">
        <f t="shared" si="49"/>
        <v>3</v>
      </c>
      <c r="S127" s="752">
        <f t="shared" si="49"/>
        <v>3</v>
      </c>
      <c r="T127" s="752">
        <f t="shared" si="49"/>
        <v>3</v>
      </c>
      <c r="U127" s="752">
        <f t="shared" si="49"/>
        <v>3</v>
      </c>
      <c r="V127" s="752">
        <f t="shared" si="49"/>
        <v>3</v>
      </c>
      <c r="W127" s="752">
        <f t="shared" si="49"/>
        <v>3</v>
      </c>
      <c r="X127" s="752">
        <f t="shared" si="49"/>
        <v>3</v>
      </c>
      <c r="Y127" s="752">
        <f t="shared" si="49"/>
        <v>3</v>
      </c>
      <c r="Z127" s="752">
        <f t="shared" si="49"/>
        <v>3</v>
      </c>
      <c r="AA127" s="752">
        <f t="shared" si="49"/>
        <v>3</v>
      </c>
      <c r="AB127" s="752">
        <f t="shared" si="49"/>
        <v>3</v>
      </c>
      <c r="AC127" s="752">
        <f t="shared" si="49"/>
        <v>3</v>
      </c>
      <c r="AD127" s="752">
        <f t="shared" si="49"/>
        <v>3</v>
      </c>
      <c r="AE127" s="752">
        <f t="shared" si="49"/>
        <v>3</v>
      </c>
    </row>
    <row r="128" spans="1:33">
      <c r="A128" s="37"/>
      <c r="B128" s="37"/>
      <c r="C128" s="57"/>
      <c r="E128" s="57"/>
      <c r="F128" s="57"/>
      <c r="G128" s="57"/>
      <c r="H128" s="57"/>
      <c r="I128" s="43"/>
      <c r="J128" s="42"/>
      <c r="K128" s="683"/>
      <c r="L128" s="316"/>
      <c r="M128" s="316"/>
      <c r="N128" s="316"/>
      <c r="O128" s="316"/>
      <c r="P128" s="316"/>
      <c r="Q128" s="316"/>
      <c r="R128" s="316"/>
      <c r="S128" s="316"/>
      <c r="T128" s="316"/>
      <c r="U128" s="316"/>
      <c r="V128" s="316"/>
      <c r="W128" s="316"/>
      <c r="X128" s="316"/>
      <c r="Y128" s="316"/>
      <c r="Z128" s="316"/>
      <c r="AA128" s="316"/>
      <c r="AB128" s="316"/>
      <c r="AC128" s="316"/>
      <c r="AD128" s="316"/>
      <c r="AE128" s="316"/>
    </row>
    <row r="129" spans="1:33" s="55" customFormat="1">
      <c r="A129" s="190" t="s">
        <v>60</v>
      </c>
      <c r="B129" s="191"/>
      <c r="C129" s="192"/>
      <c r="D129" s="193"/>
      <c r="E129" s="194"/>
      <c r="F129" s="194"/>
      <c r="G129" s="192"/>
      <c r="H129" s="192"/>
      <c r="I129" s="195">
        <v>0.2</v>
      </c>
      <c r="J129" s="196"/>
      <c r="K129" s="683">
        <v>0</v>
      </c>
      <c r="L129" s="665">
        <f>$I$129*L123</f>
        <v>0</v>
      </c>
      <c r="M129" s="665">
        <f t="shared" ref="M129:AE129" si="50">$I$129*M123</f>
        <v>9095</v>
      </c>
      <c r="N129" s="665">
        <f t="shared" si="50"/>
        <v>9462.4380000000001</v>
      </c>
      <c r="O129" s="665">
        <f t="shared" si="50"/>
        <v>9651.6867600000005</v>
      </c>
      <c r="P129" s="665">
        <f t="shared" si="50"/>
        <v>9844.7204951999993</v>
      </c>
      <c r="Q129" s="665">
        <f t="shared" si="50"/>
        <v>10041.614905104001</v>
      </c>
      <c r="R129" s="665">
        <f t="shared" si="50"/>
        <v>10242.44720320608</v>
      </c>
      <c r="S129" s="665">
        <f t="shared" si="50"/>
        <v>10447.296147270201</v>
      </c>
      <c r="T129" s="665">
        <f t="shared" si="50"/>
        <v>10656.242070215607</v>
      </c>
      <c r="U129" s="665">
        <f t="shared" si="50"/>
        <v>10869.36691161992</v>
      </c>
      <c r="V129" s="665">
        <f t="shared" si="50"/>
        <v>11086.754249852318</v>
      </c>
      <c r="W129" s="665">
        <f t="shared" si="50"/>
        <v>11308.489334849364</v>
      </c>
      <c r="X129" s="665">
        <f t="shared" si="50"/>
        <v>11534.659121546354</v>
      </c>
      <c r="Y129" s="665">
        <f t="shared" si="50"/>
        <v>11765.352303977279</v>
      </c>
      <c r="Z129" s="665">
        <f t="shared" si="50"/>
        <v>12000.659350056825</v>
      </c>
      <c r="AA129" s="665">
        <f t="shared" si="50"/>
        <v>12240.672537057961</v>
      </c>
      <c r="AB129" s="665">
        <f t="shared" si="50"/>
        <v>12485.48598779912</v>
      </c>
      <c r="AC129" s="665">
        <f t="shared" si="50"/>
        <v>12735.195707555104</v>
      </c>
      <c r="AD129" s="665">
        <f t="shared" si="50"/>
        <v>12989.899621706207</v>
      </c>
      <c r="AE129" s="665">
        <f t="shared" si="50"/>
        <v>13249.697614140328</v>
      </c>
    </row>
    <row r="130" spans="1:33">
      <c r="A130" s="190"/>
      <c r="B130" s="191"/>
      <c r="C130" s="192"/>
      <c r="D130" s="193"/>
      <c r="E130" s="194"/>
      <c r="F130" s="194"/>
      <c r="G130" s="192"/>
      <c r="H130" s="192"/>
      <c r="I130" s="195"/>
      <c r="J130" s="196"/>
      <c r="K130" s="685"/>
      <c r="L130" s="665"/>
      <c r="M130" s="665"/>
      <c r="N130" s="665"/>
      <c r="O130" s="665"/>
      <c r="P130" s="665"/>
      <c r="Q130" s="665"/>
      <c r="R130" s="665"/>
      <c r="S130" s="665"/>
      <c r="T130" s="665"/>
      <c r="U130" s="665"/>
      <c r="V130" s="665"/>
      <c r="W130" s="665"/>
      <c r="X130" s="665"/>
      <c r="Y130" s="665"/>
      <c r="Z130" s="665"/>
      <c r="AA130" s="665"/>
      <c r="AB130" s="665"/>
      <c r="AC130" s="665"/>
      <c r="AD130" s="665"/>
      <c r="AE130" s="665"/>
    </row>
    <row r="131" spans="1:33">
      <c r="A131" s="164" t="s">
        <v>61</v>
      </c>
      <c r="B131" s="164"/>
      <c r="C131" s="75"/>
      <c r="D131" s="173"/>
      <c r="E131" s="75"/>
      <c r="F131" s="75"/>
      <c r="G131" s="75"/>
      <c r="H131" s="75"/>
      <c r="I131" s="174"/>
      <c r="J131" s="175"/>
      <c r="K131" s="685">
        <v>0</v>
      </c>
      <c r="L131" s="669">
        <f>SUM(L123,L129)</f>
        <v>0</v>
      </c>
      <c r="M131" s="669">
        <f t="shared" ref="M131:AE131" si="51">SUM(M123,M129)</f>
        <v>54570</v>
      </c>
      <c r="N131" s="669">
        <f t="shared" si="51"/>
        <v>56774.628000000004</v>
      </c>
      <c r="O131" s="669">
        <f t="shared" si="51"/>
        <v>57910.120559999996</v>
      </c>
      <c r="P131" s="669">
        <f t="shared" si="51"/>
        <v>59068.322971199988</v>
      </c>
      <c r="Q131" s="669">
        <f t="shared" si="51"/>
        <v>60249.689430623999</v>
      </c>
      <c r="R131" s="669">
        <f t="shared" si="51"/>
        <v>61454.683219236475</v>
      </c>
      <c r="S131" s="669">
        <f t="shared" si="51"/>
        <v>62683.776883621205</v>
      </c>
      <c r="T131" s="669">
        <f t="shared" si="51"/>
        <v>63937.452421293638</v>
      </c>
      <c r="U131" s="669">
        <f t="shared" si="51"/>
        <v>65216.201469719512</v>
      </c>
      <c r="V131" s="669">
        <f t="shared" si="51"/>
        <v>66520.525499113894</v>
      </c>
      <c r="W131" s="669">
        <f t="shared" si="51"/>
        <v>67850.936009096185</v>
      </c>
      <c r="X131" s="669">
        <f t="shared" si="51"/>
        <v>69207.954729278121</v>
      </c>
      <c r="Y131" s="669">
        <f t="shared" si="51"/>
        <v>70592.113823863678</v>
      </c>
      <c r="Z131" s="669">
        <f t="shared" si="51"/>
        <v>72003.956100340947</v>
      </c>
      <c r="AA131" s="669">
        <f t="shared" si="51"/>
        <v>73444.035222347768</v>
      </c>
      <c r="AB131" s="669">
        <f t="shared" si="51"/>
        <v>74912.915926794725</v>
      </c>
      <c r="AC131" s="669">
        <f t="shared" si="51"/>
        <v>76411.174245330621</v>
      </c>
      <c r="AD131" s="669">
        <f t="shared" si="51"/>
        <v>77939.397730237237</v>
      </c>
      <c r="AE131" s="669">
        <f t="shared" si="51"/>
        <v>79498.18568484197</v>
      </c>
    </row>
    <row r="132" spans="1:33">
      <c r="A132" s="183"/>
      <c r="B132" s="184"/>
      <c r="C132" s="185"/>
      <c r="D132" s="186"/>
      <c r="E132" s="185"/>
      <c r="F132" s="185"/>
      <c r="G132" s="185"/>
      <c r="H132" s="185"/>
      <c r="I132" s="187"/>
      <c r="J132" s="188"/>
      <c r="K132" s="683"/>
      <c r="L132" s="320"/>
      <c r="M132" s="320"/>
      <c r="N132" s="320"/>
      <c r="O132" s="320"/>
      <c r="P132" s="320"/>
      <c r="Q132" s="320"/>
      <c r="R132" s="320"/>
      <c r="S132" s="320"/>
      <c r="T132" s="320"/>
      <c r="U132" s="320"/>
      <c r="V132" s="320"/>
      <c r="W132" s="320"/>
      <c r="X132" s="320"/>
      <c r="Y132" s="320"/>
      <c r="Z132" s="320"/>
      <c r="AA132" s="320"/>
      <c r="AB132" s="320"/>
      <c r="AC132" s="320"/>
      <c r="AD132" s="320"/>
      <c r="AE132" s="320"/>
    </row>
    <row r="133" spans="1:33">
      <c r="A133" s="39" t="s">
        <v>4</v>
      </c>
      <c r="B133" s="39"/>
      <c r="C133" s="111"/>
      <c r="D133" s="112"/>
      <c r="E133" s="111"/>
      <c r="F133" s="111"/>
      <c r="G133" s="111"/>
      <c r="H133" s="111"/>
      <c r="I133" s="40"/>
      <c r="J133" s="113"/>
      <c r="K133" s="688"/>
      <c r="L133" s="321"/>
      <c r="M133" s="321"/>
      <c r="N133" s="321"/>
      <c r="O133" s="321"/>
      <c r="P133" s="321"/>
      <c r="Q133" s="321"/>
      <c r="R133" s="321"/>
      <c r="S133" s="321"/>
      <c r="T133" s="321"/>
      <c r="U133" s="321"/>
      <c r="V133" s="321"/>
      <c r="W133" s="321"/>
      <c r="X133" s="321"/>
      <c r="Y133" s="321"/>
      <c r="Z133" s="321"/>
      <c r="AA133" s="321"/>
      <c r="AB133" s="321"/>
      <c r="AC133" s="321"/>
      <c r="AD133" s="321"/>
      <c r="AE133" s="321"/>
    </row>
    <row r="134" spans="1:33">
      <c r="A134" s="41" t="s">
        <v>13</v>
      </c>
      <c r="B134" s="41"/>
      <c r="C134" s="105"/>
      <c r="D134" s="106"/>
      <c r="E134" s="37"/>
      <c r="F134" s="37"/>
      <c r="G134" s="37"/>
      <c r="H134" s="37"/>
      <c r="I134" s="41"/>
      <c r="J134" s="37"/>
      <c r="K134" s="683"/>
      <c r="L134" s="200"/>
      <c r="M134" s="200"/>
      <c r="N134" s="200"/>
      <c r="O134" s="200"/>
      <c r="P134" s="200"/>
      <c r="Q134" s="200"/>
      <c r="R134" s="200"/>
      <c r="S134" s="200"/>
      <c r="T134" s="200"/>
      <c r="U134" s="201"/>
      <c r="V134" s="323"/>
      <c r="W134" s="200"/>
      <c r="X134" s="200"/>
      <c r="Y134" s="200"/>
      <c r="Z134" s="200"/>
      <c r="AA134" s="200"/>
      <c r="AB134" s="200"/>
      <c r="AC134" s="200"/>
      <c r="AD134" s="200"/>
      <c r="AE134" s="201"/>
    </row>
    <row r="135" spans="1:33">
      <c r="A135" s="33" t="s">
        <v>65</v>
      </c>
      <c r="B135" s="735" t="s">
        <v>12</v>
      </c>
      <c r="C135" s="663">
        <v>65000</v>
      </c>
      <c r="D135" s="736">
        <f>C135/2080</f>
        <v>31.25</v>
      </c>
      <c r="E135" s="663">
        <v>0</v>
      </c>
      <c r="F135" s="663">
        <f>C135*$F$13</f>
        <v>26000</v>
      </c>
      <c r="G135" s="663">
        <f>SUM(C135,E135:F135)</f>
        <v>91000</v>
      </c>
      <c r="H135" s="736">
        <f>G135/2080*8</f>
        <v>350</v>
      </c>
      <c r="I135" s="764"/>
      <c r="J135" s="765"/>
      <c r="K135" s="683">
        <v>0</v>
      </c>
      <c r="L135" s="665">
        <v>0</v>
      </c>
      <c r="M135" s="665">
        <f>$H$135*M32*0.25</f>
        <v>18725</v>
      </c>
      <c r="N135" s="665">
        <f t="shared" ref="N135:AE135" si="52">$M$135*L11</f>
        <v>19099.5</v>
      </c>
      <c r="O135" s="665">
        <f t="shared" si="52"/>
        <v>19481.490000000002</v>
      </c>
      <c r="P135" s="665">
        <f t="shared" si="52"/>
        <v>19871.1198</v>
      </c>
      <c r="Q135" s="665">
        <f t="shared" si="52"/>
        <v>20268.542195999999</v>
      </c>
      <c r="R135" s="665">
        <f t="shared" si="52"/>
        <v>20673.91303992</v>
      </c>
      <c r="S135" s="665">
        <f t="shared" si="52"/>
        <v>21087.391300718402</v>
      </c>
      <c r="T135" s="665">
        <f t="shared" si="52"/>
        <v>21509.139126732767</v>
      </c>
      <c r="U135" s="665">
        <f t="shared" si="52"/>
        <v>21939.321909267426</v>
      </c>
      <c r="V135" s="665">
        <f t="shared" si="52"/>
        <v>22378.108347452773</v>
      </c>
      <c r="W135" s="665">
        <f t="shared" si="52"/>
        <v>22825.670514401831</v>
      </c>
      <c r="X135" s="665">
        <f t="shared" si="52"/>
        <v>23282.183924689867</v>
      </c>
      <c r="Y135" s="665">
        <f t="shared" si="52"/>
        <v>23747.827603183665</v>
      </c>
      <c r="Z135" s="665">
        <f t="shared" si="52"/>
        <v>24222.784155247336</v>
      </c>
      <c r="AA135" s="665">
        <f t="shared" si="52"/>
        <v>24707.239838352285</v>
      </c>
      <c r="AB135" s="665">
        <f t="shared" si="52"/>
        <v>25201.384635119332</v>
      </c>
      <c r="AC135" s="665">
        <f t="shared" si="52"/>
        <v>25705.412327821719</v>
      </c>
      <c r="AD135" s="665">
        <f t="shared" si="52"/>
        <v>26219.520574378155</v>
      </c>
      <c r="AE135" s="665">
        <f t="shared" si="52"/>
        <v>26743.910985865718</v>
      </c>
    </row>
    <row r="136" spans="1:33">
      <c r="A136" s="37" t="s">
        <v>62</v>
      </c>
      <c r="B136" s="735" t="s">
        <v>12</v>
      </c>
      <c r="C136" s="663">
        <v>85000</v>
      </c>
      <c r="D136" s="736">
        <f>C136/2080</f>
        <v>40.865384615384613</v>
      </c>
      <c r="E136" s="663">
        <f>C136*$L$15</f>
        <v>0</v>
      </c>
      <c r="F136" s="663">
        <f t="shared" ref="F136:F139" si="53">C136*$F$13</f>
        <v>34000</v>
      </c>
      <c r="G136" s="663">
        <f t="shared" ref="G136:G139" si="54">SUM(C136,E136:F136)</f>
        <v>119000</v>
      </c>
      <c r="H136" s="736">
        <f>G136/2080*8</f>
        <v>457.69230769230768</v>
      </c>
      <c r="I136" s="764"/>
      <c r="J136" s="765"/>
      <c r="K136" s="683">
        <v>0</v>
      </c>
      <c r="L136" s="665">
        <v>0</v>
      </c>
      <c r="M136" s="665">
        <f>$H$136*M32*0.1</f>
        <v>9794.6153846153848</v>
      </c>
      <c r="N136" s="665">
        <f t="shared" ref="N136:AE136" si="55">$M$136*L11</f>
        <v>9990.5076923076922</v>
      </c>
      <c r="O136" s="665">
        <f t="shared" si="55"/>
        <v>10190.317846153846</v>
      </c>
      <c r="P136" s="665">
        <f t="shared" si="55"/>
        <v>10394.124203076923</v>
      </c>
      <c r="Q136" s="665">
        <f t="shared" si="55"/>
        <v>10602.006687138461</v>
      </c>
      <c r="R136" s="665">
        <f t="shared" si="55"/>
        <v>10814.046820881231</v>
      </c>
      <c r="S136" s="665">
        <f t="shared" si="55"/>
        <v>11030.327757298855</v>
      </c>
      <c r="T136" s="665">
        <f t="shared" si="55"/>
        <v>11250.934312444833</v>
      </c>
      <c r="U136" s="665">
        <f t="shared" si="55"/>
        <v>11475.95299869373</v>
      </c>
      <c r="V136" s="665">
        <f t="shared" si="55"/>
        <v>11705.472058667605</v>
      </c>
      <c r="W136" s="665">
        <f t="shared" si="55"/>
        <v>11939.581499840959</v>
      </c>
      <c r="X136" s="665">
        <f t="shared" si="55"/>
        <v>12178.373129837777</v>
      </c>
      <c r="Y136" s="665">
        <f t="shared" si="55"/>
        <v>12421.940592434532</v>
      </c>
      <c r="Z136" s="665">
        <f t="shared" si="55"/>
        <v>12670.379404283221</v>
      </c>
      <c r="AA136" s="665">
        <f t="shared" si="55"/>
        <v>12923.786992368889</v>
      </c>
      <c r="AB136" s="665">
        <f t="shared" si="55"/>
        <v>13182.262732216266</v>
      </c>
      <c r="AC136" s="665">
        <f t="shared" si="55"/>
        <v>13445.907986860591</v>
      </c>
      <c r="AD136" s="665">
        <f t="shared" si="55"/>
        <v>13714.826146597805</v>
      </c>
      <c r="AE136" s="665">
        <f t="shared" si="55"/>
        <v>13989.122669529761</v>
      </c>
    </row>
    <row r="137" spans="1:33">
      <c r="A137" s="37" t="s">
        <v>419</v>
      </c>
      <c r="B137" s="735" t="s">
        <v>12</v>
      </c>
      <c r="C137" s="663">
        <v>75000</v>
      </c>
      <c r="D137" s="736">
        <f>C137/2080</f>
        <v>36.057692307692307</v>
      </c>
      <c r="E137" s="663">
        <f>C137*$L$15</f>
        <v>0</v>
      </c>
      <c r="F137" s="663">
        <f t="shared" si="53"/>
        <v>30000</v>
      </c>
      <c r="G137" s="663">
        <f t="shared" ref="G137" si="56">SUM(C137,E137:F137)</f>
        <v>105000</v>
      </c>
      <c r="H137" s="736">
        <f>G137/2080*8</f>
        <v>403.84615384615387</v>
      </c>
      <c r="I137" s="764"/>
      <c r="J137" s="765"/>
      <c r="K137" s="683">
        <v>0</v>
      </c>
      <c r="L137" s="665">
        <v>0</v>
      </c>
      <c r="M137" s="665">
        <f>$H$137*M32*0.1</f>
        <v>8642.3076923076933</v>
      </c>
      <c r="N137" s="665">
        <f t="shared" ref="N137:AE137" si="57">$M$137*L11</f>
        <v>8815.1538461538476</v>
      </c>
      <c r="O137" s="665">
        <f t="shared" si="57"/>
        <v>8991.4569230769248</v>
      </c>
      <c r="P137" s="665">
        <f t="shared" si="57"/>
        <v>9171.2860615384616</v>
      </c>
      <c r="Q137" s="665">
        <f t="shared" si="57"/>
        <v>9354.7117827692309</v>
      </c>
      <c r="R137" s="665">
        <f t="shared" si="57"/>
        <v>9541.8060184246169</v>
      </c>
      <c r="S137" s="665">
        <f t="shared" si="57"/>
        <v>9732.6421387931096</v>
      </c>
      <c r="T137" s="665">
        <f t="shared" si="57"/>
        <v>9927.2949815689717</v>
      </c>
      <c r="U137" s="665">
        <f t="shared" si="57"/>
        <v>10125.840881200351</v>
      </c>
      <c r="V137" s="665">
        <f t="shared" si="57"/>
        <v>10328.357698824359</v>
      </c>
      <c r="W137" s="665">
        <f t="shared" si="57"/>
        <v>10534.924852800847</v>
      </c>
      <c r="X137" s="665">
        <f t="shared" si="57"/>
        <v>10745.623349856864</v>
      </c>
      <c r="Y137" s="665">
        <f t="shared" si="57"/>
        <v>10960.535816854001</v>
      </c>
      <c r="Z137" s="665">
        <f t="shared" si="57"/>
        <v>11179.746533191079</v>
      </c>
      <c r="AA137" s="665">
        <f t="shared" si="57"/>
        <v>11403.341463854902</v>
      </c>
      <c r="AB137" s="665">
        <f t="shared" si="57"/>
        <v>11631.408293132001</v>
      </c>
      <c r="AC137" s="665">
        <f t="shared" si="57"/>
        <v>11864.03645899464</v>
      </c>
      <c r="AD137" s="665">
        <f t="shared" si="57"/>
        <v>12101.317188174535</v>
      </c>
      <c r="AE137" s="665">
        <f t="shared" si="57"/>
        <v>12343.343531938026</v>
      </c>
    </row>
    <row r="138" spans="1:33">
      <c r="A138" s="37" t="s">
        <v>63</v>
      </c>
      <c r="B138" s="735" t="s">
        <v>15</v>
      </c>
      <c r="C138" s="663">
        <v>15000</v>
      </c>
      <c r="D138" s="736">
        <f t="shared" ref="D138:D139" si="58">C138/2080</f>
        <v>7.2115384615384617</v>
      </c>
      <c r="E138" s="663">
        <f>C138*$L$15</f>
        <v>0</v>
      </c>
      <c r="F138" s="663">
        <f t="shared" si="53"/>
        <v>6000</v>
      </c>
      <c r="G138" s="663">
        <f t="shared" si="54"/>
        <v>21000</v>
      </c>
      <c r="H138" s="736">
        <f t="shared" ref="H138:H139" si="59">G138/2080*8</f>
        <v>80.769230769230774</v>
      </c>
      <c r="I138" s="764"/>
      <c r="J138" s="765"/>
      <c r="K138" s="683">
        <v>0</v>
      </c>
      <c r="L138" s="665">
        <v>0</v>
      </c>
      <c r="M138" s="665">
        <f>($H$138*M32)*0.5</f>
        <v>8642.3076923076933</v>
      </c>
      <c r="N138" s="665">
        <f t="shared" ref="N138:AE138" si="60">$M$138*L11</f>
        <v>8815.1538461538476</v>
      </c>
      <c r="O138" s="665">
        <f t="shared" si="60"/>
        <v>8991.4569230769248</v>
      </c>
      <c r="P138" s="665">
        <f t="shared" si="60"/>
        <v>9171.2860615384616</v>
      </c>
      <c r="Q138" s="665">
        <f t="shared" si="60"/>
        <v>9354.7117827692309</v>
      </c>
      <c r="R138" s="665">
        <f t="shared" si="60"/>
        <v>9541.8060184246169</v>
      </c>
      <c r="S138" s="665">
        <f t="shared" si="60"/>
        <v>9732.6421387931096</v>
      </c>
      <c r="T138" s="665">
        <f t="shared" si="60"/>
        <v>9927.2949815689717</v>
      </c>
      <c r="U138" s="665">
        <f t="shared" si="60"/>
        <v>10125.840881200351</v>
      </c>
      <c r="V138" s="665">
        <f t="shared" si="60"/>
        <v>10328.357698824359</v>
      </c>
      <c r="W138" s="665">
        <f t="shared" si="60"/>
        <v>10534.924852800847</v>
      </c>
      <c r="X138" s="665">
        <f t="shared" si="60"/>
        <v>10745.623349856864</v>
      </c>
      <c r="Y138" s="665">
        <f t="shared" si="60"/>
        <v>10960.535816854001</v>
      </c>
      <c r="Z138" s="665">
        <f t="shared" si="60"/>
        <v>11179.746533191079</v>
      </c>
      <c r="AA138" s="665">
        <f t="shared" si="60"/>
        <v>11403.341463854902</v>
      </c>
      <c r="AB138" s="665">
        <f t="shared" si="60"/>
        <v>11631.408293132001</v>
      </c>
      <c r="AC138" s="665">
        <f t="shared" si="60"/>
        <v>11864.03645899464</v>
      </c>
      <c r="AD138" s="665">
        <f t="shared" si="60"/>
        <v>12101.317188174535</v>
      </c>
      <c r="AE138" s="665">
        <f t="shared" si="60"/>
        <v>12343.343531938026</v>
      </c>
    </row>
    <row r="139" spans="1:33">
      <c r="A139" s="745" t="s">
        <v>63</v>
      </c>
      <c r="B139" s="738" t="s">
        <v>15</v>
      </c>
      <c r="C139" s="739">
        <v>15000</v>
      </c>
      <c r="D139" s="740">
        <f t="shared" si="58"/>
        <v>7.2115384615384617</v>
      </c>
      <c r="E139" s="739">
        <f>C139*$L$15</f>
        <v>0</v>
      </c>
      <c r="F139" s="739">
        <f t="shared" si="53"/>
        <v>6000</v>
      </c>
      <c r="G139" s="739">
        <f t="shared" si="54"/>
        <v>21000</v>
      </c>
      <c r="H139" s="740">
        <f t="shared" si="59"/>
        <v>80.769230769230774</v>
      </c>
      <c r="I139" s="766"/>
      <c r="J139" s="767"/>
      <c r="K139" s="741">
        <v>0</v>
      </c>
      <c r="L139" s="742">
        <v>0</v>
      </c>
      <c r="M139" s="742">
        <f>($H$139*M32)*0.5</f>
        <v>8642.3076923076933</v>
      </c>
      <c r="N139" s="742">
        <f t="shared" ref="N139:AE139" si="61">$M$139*L11</f>
        <v>8815.1538461538476</v>
      </c>
      <c r="O139" s="742">
        <f t="shared" si="61"/>
        <v>8991.4569230769248</v>
      </c>
      <c r="P139" s="742">
        <f t="shared" si="61"/>
        <v>9171.2860615384616</v>
      </c>
      <c r="Q139" s="742">
        <f t="shared" si="61"/>
        <v>9354.7117827692309</v>
      </c>
      <c r="R139" s="742">
        <f t="shared" si="61"/>
        <v>9541.8060184246169</v>
      </c>
      <c r="S139" s="742">
        <f t="shared" si="61"/>
        <v>9732.6421387931096</v>
      </c>
      <c r="T139" s="742">
        <f t="shared" si="61"/>
        <v>9927.2949815689717</v>
      </c>
      <c r="U139" s="742">
        <f t="shared" si="61"/>
        <v>10125.840881200351</v>
      </c>
      <c r="V139" s="742">
        <f t="shared" si="61"/>
        <v>10328.357698824359</v>
      </c>
      <c r="W139" s="742">
        <f t="shared" si="61"/>
        <v>10534.924852800847</v>
      </c>
      <c r="X139" s="742">
        <f t="shared" si="61"/>
        <v>10745.623349856864</v>
      </c>
      <c r="Y139" s="742">
        <f t="shared" si="61"/>
        <v>10960.535816854001</v>
      </c>
      <c r="Z139" s="742">
        <f t="shared" si="61"/>
        <v>11179.746533191079</v>
      </c>
      <c r="AA139" s="742">
        <f t="shared" si="61"/>
        <v>11403.341463854902</v>
      </c>
      <c r="AB139" s="742">
        <f t="shared" si="61"/>
        <v>11631.408293132001</v>
      </c>
      <c r="AC139" s="742">
        <f t="shared" si="61"/>
        <v>11864.03645899464</v>
      </c>
      <c r="AD139" s="742">
        <f t="shared" si="61"/>
        <v>12101.317188174535</v>
      </c>
      <c r="AE139" s="742">
        <f t="shared" si="61"/>
        <v>12343.343531938026</v>
      </c>
    </row>
    <row r="140" spans="1:33" s="56" customFormat="1" ht="14.25">
      <c r="A140" s="164" t="s">
        <v>415</v>
      </c>
      <c r="B140" s="164"/>
      <c r="C140" s="667">
        <f>SUM(C135:C139)</f>
        <v>255000</v>
      </c>
      <c r="D140" s="667"/>
      <c r="E140" s="667">
        <f>SUM(E135:E139)</f>
        <v>0</v>
      </c>
      <c r="F140" s="667">
        <f>SUM(F135:F139)</f>
        <v>102000</v>
      </c>
      <c r="G140" s="667">
        <f>SUM(G135:G139)</f>
        <v>357000</v>
      </c>
      <c r="H140" s="667">
        <f>SUM(H135:H139)</f>
        <v>1373.0769230769229</v>
      </c>
      <c r="I140" s="768"/>
      <c r="J140" s="769"/>
      <c r="K140" s="685">
        <f>SUMIF($B135:$B139,"FT",K135:K139)</f>
        <v>0</v>
      </c>
      <c r="L140" s="669">
        <f>SUMIF($B135:$B139,"FT",L135:L139)</f>
        <v>0</v>
      </c>
      <c r="M140" s="669">
        <f>SUM(M135:M139)</f>
        <v>54446.538461538468</v>
      </c>
      <c r="N140" s="669">
        <f t="shared" ref="N140:AE140" si="62">SUM(N135:N139)</f>
        <v>55535.469230769231</v>
      </c>
      <c r="O140" s="669">
        <f t="shared" si="62"/>
        <v>56646.178615384626</v>
      </c>
      <c r="P140" s="669">
        <f t="shared" si="62"/>
        <v>57779.102187692311</v>
      </c>
      <c r="Q140" s="669">
        <f t="shared" si="62"/>
        <v>58934.684231446139</v>
      </c>
      <c r="R140" s="669">
        <f t="shared" si="62"/>
        <v>60113.377916075071</v>
      </c>
      <c r="S140" s="669">
        <f t="shared" si="62"/>
        <v>61315.645474396588</v>
      </c>
      <c r="T140" s="669">
        <f t="shared" si="62"/>
        <v>62541.958383884514</v>
      </c>
      <c r="U140" s="669">
        <f t="shared" si="62"/>
        <v>63792.797551562195</v>
      </c>
      <c r="V140" s="669">
        <f t="shared" si="62"/>
        <v>65068.653502593457</v>
      </c>
      <c r="W140" s="669">
        <f t="shared" si="62"/>
        <v>66370.026572645322</v>
      </c>
      <c r="X140" s="669">
        <f t="shared" si="62"/>
        <v>67697.427104098228</v>
      </c>
      <c r="Y140" s="669">
        <f t="shared" si="62"/>
        <v>69051.375646180197</v>
      </c>
      <c r="Z140" s="669">
        <f t="shared" si="62"/>
        <v>70432.403159103793</v>
      </c>
      <c r="AA140" s="669">
        <f t="shared" si="62"/>
        <v>71841.051222285882</v>
      </c>
      <c r="AB140" s="669">
        <f t="shared" si="62"/>
        <v>73277.872246731597</v>
      </c>
      <c r="AC140" s="669">
        <f t="shared" si="62"/>
        <v>74743.429691666228</v>
      </c>
      <c r="AD140" s="669">
        <f t="shared" si="62"/>
        <v>76238.298285499564</v>
      </c>
      <c r="AE140" s="669">
        <f t="shared" si="62"/>
        <v>77763.064251209551</v>
      </c>
    </row>
    <row r="141" spans="1:33">
      <c r="A141" s="37"/>
      <c r="B141" s="37"/>
      <c r="C141" s="663"/>
      <c r="D141" s="663"/>
      <c r="E141" s="663"/>
      <c r="F141" s="663"/>
      <c r="G141" s="663"/>
      <c r="H141" s="663"/>
      <c r="I141" s="107"/>
      <c r="J141" s="108"/>
      <c r="K141" s="683"/>
      <c r="L141" s="666"/>
      <c r="M141" s="666"/>
      <c r="N141" s="666"/>
      <c r="O141" s="666"/>
      <c r="P141" s="666"/>
      <c r="Q141" s="666"/>
      <c r="R141" s="666"/>
      <c r="S141" s="666"/>
      <c r="T141" s="666"/>
      <c r="U141" s="666"/>
      <c r="V141" s="666"/>
      <c r="W141" s="666"/>
      <c r="X141" s="666"/>
      <c r="Y141" s="666"/>
      <c r="Z141" s="666"/>
      <c r="AA141" s="666"/>
      <c r="AB141" s="666"/>
      <c r="AC141" s="666"/>
      <c r="AD141" s="666"/>
      <c r="AE141" s="666"/>
    </row>
    <row r="142" spans="1:33">
      <c r="A142" s="37" t="s">
        <v>11</v>
      </c>
      <c r="B142" s="37"/>
      <c r="C142" s="57"/>
      <c r="E142" s="57"/>
      <c r="F142" s="57"/>
      <c r="G142" s="57"/>
      <c r="H142" s="57"/>
      <c r="I142" s="43"/>
      <c r="J142" s="42"/>
      <c r="K142" s="770">
        <f>COUNTIF(K135:K139,"&gt;100")</f>
        <v>0</v>
      </c>
      <c r="L142" s="771">
        <f>COUNTIF(L135:L137,"&gt;100")</f>
        <v>0</v>
      </c>
      <c r="M142" s="771">
        <f t="shared" ref="M142:AE142" si="63">COUNTIF(M135:M137,"&gt;100")</f>
        <v>3</v>
      </c>
      <c r="N142" s="771">
        <f t="shared" si="63"/>
        <v>3</v>
      </c>
      <c r="O142" s="771">
        <f t="shared" si="63"/>
        <v>3</v>
      </c>
      <c r="P142" s="771">
        <f t="shared" si="63"/>
        <v>3</v>
      </c>
      <c r="Q142" s="771">
        <f t="shared" si="63"/>
        <v>3</v>
      </c>
      <c r="R142" s="771">
        <f t="shared" si="63"/>
        <v>3</v>
      </c>
      <c r="S142" s="771">
        <f t="shared" si="63"/>
        <v>3</v>
      </c>
      <c r="T142" s="771">
        <f t="shared" si="63"/>
        <v>3</v>
      </c>
      <c r="U142" s="771">
        <f t="shared" si="63"/>
        <v>3</v>
      </c>
      <c r="V142" s="771">
        <f t="shared" si="63"/>
        <v>3</v>
      </c>
      <c r="W142" s="771">
        <f t="shared" si="63"/>
        <v>3</v>
      </c>
      <c r="X142" s="771">
        <f t="shared" si="63"/>
        <v>3</v>
      </c>
      <c r="Y142" s="771">
        <f t="shared" si="63"/>
        <v>3</v>
      </c>
      <c r="Z142" s="771">
        <f t="shared" si="63"/>
        <v>3</v>
      </c>
      <c r="AA142" s="771">
        <f t="shared" si="63"/>
        <v>3</v>
      </c>
      <c r="AB142" s="771">
        <f t="shared" si="63"/>
        <v>3</v>
      </c>
      <c r="AC142" s="771">
        <f t="shared" si="63"/>
        <v>3</v>
      </c>
      <c r="AD142" s="771">
        <f t="shared" si="63"/>
        <v>3</v>
      </c>
      <c r="AE142" s="771">
        <f t="shared" si="63"/>
        <v>3</v>
      </c>
      <c r="AF142" s="772"/>
      <c r="AG142" s="772"/>
    </row>
    <row r="143" spans="1:33">
      <c r="A143" s="745" t="s">
        <v>10</v>
      </c>
      <c r="B143" s="745"/>
      <c r="C143" s="746"/>
      <c r="D143" s="116"/>
      <c r="E143" s="746"/>
      <c r="F143" s="746"/>
      <c r="G143" s="746"/>
      <c r="H143" s="746"/>
      <c r="I143" s="747"/>
      <c r="J143" s="748"/>
      <c r="K143" s="773">
        <v>0</v>
      </c>
      <c r="L143" s="774">
        <f>COUNTIF(L138:L139,"&gt;100")</f>
        <v>0</v>
      </c>
      <c r="M143" s="774">
        <f t="shared" ref="M143:AE143" si="64">COUNTIF(M138:M139,"&gt;100")</f>
        <v>2</v>
      </c>
      <c r="N143" s="774">
        <f t="shared" si="64"/>
        <v>2</v>
      </c>
      <c r="O143" s="774">
        <f t="shared" si="64"/>
        <v>2</v>
      </c>
      <c r="P143" s="774">
        <f t="shared" si="64"/>
        <v>2</v>
      </c>
      <c r="Q143" s="774">
        <f t="shared" si="64"/>
        <v>2</v>
      </c>
      <c r="R143" s="774">
        <f t="shared" si="64"/>
        <v>2</v>
      </c>
      <c r="S143" s="774">
        <f t="shared" si="64"/>
        <v>2</v>
      </c>
      <c r="T143" s="774">
        <f t="shared" si="64"/>
        <v>2</v>
      </c>
      <c r="U143" s="774">
        <f t="shared" si="64"/>
        <v>2</v>
      </c>
      <c r="V143" s="774">
        <f t="shared" si="64"/>
        <v>2</v>
      </c>
      <c r="W143" s="774">
        <f t="shared" si="64"/>
        <v>2</v>
      </c>
      <c r="X143" s="774">
        <f t="shared" si="64"/>
        <v>2</v>
      </c>
      <c r="Y143" s="774">
        <f t="shared" si="64"/>
        <v>2</v>
      </c>
      <c r="Z143" s="774">
        <f t="shared" si="64"/>
        <v>2</v>
      </c>
      <c r="AA143" s="774">
        <f t="shared" si="64"/>
        <v>2</v>
      </c>
      <c r="AB143" s="774">
        <f t="shared" si="64"/>
        <v>2</v>
      </c>
      <c r="AC143" s="774">
        <f t="shared" si="64"/>
        <v>2</v>
      </c>
      <c r="AD143" s="774">
        <f t="shared" si="64"/>
        <v>2</v>
      </c>
      <c r="AE143" s="774">
        <f t="shared" si="64"/>
        <v>2</v>
      </c>
      <c r="AF143" s="772"/>
      <c r="AG143" s="772"/>
    </row>
    <row r="144" spans="1:33" s="56" customFormat="1" ht="14.25">
      <c r="A144" s="164" t="s">
        <v>9</v>
      </c>
      <c r="B144" s="164"/>
      <c r="C144" s="75"/>
      <c r="D144" s="173"/>
      <c r="E144" s="75"/>
      <c r="F144" s="75"/>
      <c r="G144" s="75"/>
      <c r="H144" s="75"/>
      <c r="I144" s="174"/>
      <c r="J144" s="181"/>
      <c r="K144" s="775">
        <v>0</v>
      </c>
      <c r="L144" s="776">
        <f>SUM(L142:L143)</f>
        <v>0</v>
      </c>
      <c r="M144" s="776">
        <f t="shared" ref="M144:AE144" si="65">COUNTIF(M135:M139,"&gt;0")</f>
        <v>5</v>
      </c>
      <c r="N144" s="776">
        <f t="shared" si="65"/>
        <v>5</v>
      </c>
      <c r="O144" s="776">
        <f t="shared" si="65"/>
        <v>5</v>
      </c>
      <c r="P144" s="776">
        <f t="shared" si="65"/>
        <v>5</v>
      </c>
      <c r="Q144" s="776">
        <f t="shared" si="65"/>
        <v>5</v>
      </c>
      <c r="R144" s="776">
        <f t="shared" si="65"/>
        <v>5</v>
      </c>
      <c r="S144" s="776">
        <f t="shared" si="65"/>
        <v>5</v>
      </c>
      <c r="T144" s="776">
        <f t="shared" si="65"/>
        <v>5</v>
      </c>
      <c r="U144" s="776">
        <f t="shared" si="65"/>
        <v>5</v>
      </c>
      <c r="V144" s="776">
        <f t="shared" si="65"/>
        <v>5</v>
      </c>
      <c r="W144" s="776">
        <f t="shared" si="65"/>
        <v>5</v>
      </c>
      <c r="X144" s="776">
        <f t="shared" si="65"/>
        <v>5</v>
      </c>
      <c r="Y144" s="776">
        <f t="shared" si="65"/>
        <v>5</v>
      </c>
      <c r="Z144" s="776">
        <f t="shared" si="65"/>
        <v>5</v>
      </c>
      <c r="AA144" s="776">
        <f t="shared" si="65"/>
        <v>5</v>
      </c>
      <c r="AB144" s="776">
        <f t="shared" si="65"/>
        <v>5</v>
      </c>
      <c r="AC144" s="776">
        <f t="shared" si="65"/>
        <v>5</v>
      </c>
      <c r="AD144" s="776">
        <f t="shared" si="65"/>
        <v>5</v>
      </c>
      <c r="AE144" s="776">
        <f t="shared" si="65"/>
        <v>5</v>
      </c>
      <c r="AF144" s="723"/>
      <c r="AG144" s="723"/>
    </row>
    <row r="145" spans="1:33">
      <c r="B145" s="37"/>
      <c r="C145" s="57"/>
      <c r="E145" s="57"/>
      <c r="F145" s="57"/>
      <c r="G145" s="57"/>
      <c r="H145" s="57"/>
      <c r="I145" s="43"/>
      <c r="J145" s="42"/>
      <c r="K145" s="683"/>
      <c r="L145" s="316"/>
      <c r="M145" s="316"/>
      <c r="N145" s="316"/>
      <c r="O145" s="316"/>
      <c r="P145" s="316"/>
      <c r="Q145" s="316"/>
      <c r="R145" s="316"/>
      <c r="S145" s="316"/>
      <c r="T145" s="316"/>
      <c r="U145" s="316"/>
      <c r="V145" s="316"/>
      <c r="W145" s="316"/>
      <c r="X145" s="316"/>
      <c r="Y145" s="316"/>
      <c r="Z145" s="316"/>
      <c r="AA145" s="316"/>
      <c r="AB145" s="316"/>
      <c r="AC145" s="316"/>
      <c r="AD145" s="316"/>
      <c r="AE145" s="316"/>
    </row>
    <row r="146" spans="1:33">
      <c r="A146" s="33" t="s">
        <v>60</v>
      </c>
      <c r="B146" s="191"/>
      <c r="C146" s="192"/>
      <c r="D146" s="193"/>
      <c r="E146" s="194"/>
      <c r="F146" s="194"/>
      <c r="G146" s="192"/>
      <c r="H146" s="192"/>
      <c r="I146" s="195">
        <v>0.2</v>
      </c>
      <c r="J146" s="196"/>
      <c r="K146" s="689">
        <v>0</v>
      </c>
      <c r="L146" s="665">
        <f t="shared" ref="L146:AE146" si="66">L140*$I$146</f>
        <v>0</v>
      </c>
      <c r="M146" s="665">
        <f t="shared" si="66"/>
        <v>10889.307692307695</v>
      </c>
      <c r="N146" s="665">
        <f t="shared" si="66"/>
        <v>11107.093846153846</v>
      </c>
      <c r="O146" s="665">
        <f t="shared" si="66"/>
        <v>11329.235723076927</v>
      </c>
      <c r="P146" s="665">
        <f t="shared" si="66"/>
        <v>11555.820437538463</v>
      </c>
      <c r="Q146" s="665">
        <f t="shared" si="66"/>
        <v>11786.936846289229</v>
      </c>
      <c r="R146" s="665">
        <f t="shared" si="66"/>
        <v>12022.675583215016</v>
      </c>
      <c r="S146" s="665">
        <f t="shared" si="66"/>
        <v>12263.129094879318</v>
      </c>
      <c r="T146" s="665">
        <f t="shared" si="66"/>
        <v>12508.391676776904</v>
      </c>
      <c r="U146" s="665">
        <f t="shared" si="66"/>
        <v>12758.55951031244</v>
      </c>
      <c r="V146" s="665">
        <f t="shared" si="66"/>
        <v>13013.730700518692</v>
      </c>
      <c r="W146" s="665">
        <f t="shared" si="66"/>
        <v>13274.005314529066</v>
      </c>
      <c r="X146" s="665">
        <f t="shared" si="66"/>
        <v>13539.485420819647</v>
      </c>
      <c r="Y146" s="665">
        <f t="shared" si="66"/>
        <v>13810.275129236041</v>
      </c>
      <c r="Z146" s="665">
        <f t="shared" si="66"/>
        <v>14086.480631820759</v>
      </c>
      <c r="AA146" s="665">
        <f t="shared" si="66"/>
        <v>14368.210244457177</v>
      </c>
      <c r="AB146" s="665">
        <f t="shared" si="66"/>
        <v>14655.574449346321</v>
      </c>
      <c r="AC146" s="665">
        <f t="shared" si="66"/>
        <v>14948.685938333247</v>
      </c>
      <c r="AD146" s="665">
        <f t="shared" si="66"/>
        <v>15247.659657099914</v>
      </c>
      <c r="AE146" s="665">
        <f t="shared" si="66"/>
        <v>15552.612850241911</v>
      </c>
    </row>
    <row r="147" spans="1:33">
      <c r="B147" s="191"/>
      <c r="C147" s="192"/>
      <c r="D147" s="193"/>
      <c r="E147" s="194"/>
      <c r="F147" s="194"/>
      <c r="G147" s="192"/>
      <c r="H147" s="192"/>
      <c r="I147" s="195"/>
      <c r="J147" s="196"/>
      <c r="K147" s="689"/>
      <c r="L147" s="665"/>
      <c r="M147" s="665"/>
      <c r="N147" s="665"/>
      <c r="O147" s="665"/>
      <c r="P147" s="665"/>
      <c r="Q147" s="665"/>
      <c r="R147" s="665"/>
      <c r="S147" s="665"/>
      <c r="T147" s="665"/>
      <c r="U147" s="665"/>
      <c r="V147" s="665"/>
      <c r="W147" s="665"/>
      <c r="X147" s="665"/>
      <c r="Y147" s="665"/>
      <c r="Z147" s="665"/>
      <c r="AA147" s="665"/>
      <c r="AB147" s="665"/>
      <c r="AC147" s="665"/>
      <c r="AD147" s="665"/>
      <c r="AE147" s="665"/>
    </row>
    <row r="148" spans="1:33" s="197" customFormat="1" ht="14.25">
      <c r="A148" s="197" t="s">
        <v>68</v>
      </c>
      <c r="D148" s="198"/>
      <c r="K148" s="690"/>
      <c r="L148" s="677"/>
      <c r="M148" s="677"/>
      <c r="N148" s="677"/>
      <c r="O148" s="677"/>
      <c r="P148" s="677"/>
      <c r="Q148" s="677"/>
      <c r="R148" s="677"/>
      <c r="S148" s="677"/>
      <c r="T148" s="677"/>
      <c r="U148" s="677"/>
      <c r="V148" s="677"/>
      <c r="W148" s="677"/>
      <c r="X148" s="677"/>
      <c r="Y148" s="677"/>
      <c r="Z148" s="677"/>
      <c r="AA148" s="677"/>
      <c r="AB148" s="677"/>
      <c r="AC148" s="677"/>
      <c r="AD148" s="677"/>
      <c r="AE148" s="677"/>
    </row>
    <row r="149" spans="1:33">
      <c r="A149" s="37" t="s">
        <v>423</v>
      </c>
      <c r="B149" s="37"/>
      <c r="C149" s="110"/>
      <c r="D149" s="106"/>
      <c r="E149" s="57"/>
      <c r="F149" s="57"/>
      <c r="G149" s="57"/>
      <c r="H149" s="57"/>
      <c r="I149" s="49"/>
      <c r="J149" s="44"/>
      <c r="K149" s="683">
        <f>COUNTIF(K$115:K$122,"&gt;0")*$J149*R$9</f>
        <v>0</v>
      </c>
      <c r="L149" s="666">
        <v>0</v>
      </c>
      <c r="M149" s="666">
        <v>10000</v>
      </c>
      <c r="N149" s="666">
        <f t="shared" ref="N149:AE149" si="67">$M$149*L11</f>
        <v>10200</v>
      </c>
      <c r="O149" s="666">
        <f t="shared" si="67"/>
        <v>10404</v>
      </c>
      <c r="P149" s="666">
        <f t="shared" si="67"/>
        <v>10612.08</v>
      </c>
      <c r="Q149" s="666">
        <f t="shared" si="67"/>
        <v>10824.321599999999</v>
      </c>
      <c r="R149" s="666">
        <f t="shared" si="67"/>
        <v>11040.808032000001</v>
      </c>
      <c r="S149" s="666">
        <f t="shared" si="67"/>
        <v>11261.62419264</v>
      </c>
      <c r="T149" s="666">
        <f t="shared" si="67"/>
        <v>11486.8566764928</v>
      </c>
      <c r="U149" s="666">
        <f t="shared" si="67"/>
        <v>11716.593810022658</v>
      </c>
      <c r="V149" s="666">
        <f t="shared" si="67"/>
        <v>11950.92568622311</v>
      </c>
      <c r="W149" s="666">
        <f t="shared" si="67"/>
        <v>12189.944199947573</v>
      </c>
      <c r="X149" s="666">
        <f t="shared" si="67"/>
        <v>12433.743083946525</v>
      </c>
      <c r="Y149" s="666">
        <f t="shared" si="67"/>
        <v>12682.417945625455</v>
      </c>
      <c r="Z149" s="666">
        <f t="shared" si="67"/>
        <v>12936.066304537962</v>
      </c>
      <c r="AA149" s="666">
        <f t="shared" si="67"/>
        <v>13194.787630628723</v>
      </c>
      <c r="AB149" s="666">
        <f t="shared" si="67"/>
        <v>13458.683383241299</v>
      </c>
      <c r="AC149" s="666">
        <f t="shared" si="67"/>
        <v>13727.857050906125</v>
      </c>
      <c r="AD149" s="666">
        <f t="shared" si="67"/>
        <v>14002.414191924248</v>
      </c>
      <c r="AE149" s="666">
        <f t="shared" si="67"/>
        <v>14282.462475762733</v>
      </c>
    </row>
    <row r="150" spans="1:33">
      <c r="A150" s="37" t="s">
        <v>67</v>
      </c>
      <c r="B150" s="37"/>
      <c r="C150" s="110"/>
      <c r="D150" s="106"/>
      <c r="E150" s="57"/>
      <c r="F150" s="57"/>
      <c r="G150" s="57"/>
      <c r="H150" s="57"/>
      <c r="I150" s="51"/>
      <c r="J150" s="44"/>
      <c r="K150" s="683">
        <v>0</v>
      </c>
      <c r="L150" s="666">
        <v>0</v>
      </c>
      <c r="M150" s="666">
        <v>10000</v>
      </c>
      <c r="N150" s="666">
        <f t="shared" ref="N150:AE150" si="68">$M$150*L11</f>
        <v>10200</v>
      </c>
      <c r="O150" s="666">
        <f t="shared" si="68"/>
        <v>10404</v>
      </c>
      <c r="P150" s="666">
        <f t="shared" si="68"/>
        <v>10612.08</v>
      </c>
      <c r="Q150" s="666">
        <f t="shared" si="68"/>
        <v>10824.321599999999</v>
      </c>
      <c r="R150" s="666">
        <f t="shared" si="68"/>
        <v>11040.808032000001</v>
      </c>
      <c r="S150" s="666">
        <f t="shared" si="68"/>
        <v>11261.62419264</v>
      </c>
      <c r="T150" s="666">
        <f t="shared" si="68"/>
        <v>11486.8566764928</v>
      </c>
      <c r="U150" s="666">
        <f t="shared" si="68"/>
        <v>11716.593810022658</v>
      </c>
      <c r="V150" s="666">
        <f t="shared" si="68"/>
        <v>11950.92568622311</v>
      </c>
      <c r="W150" s="666">
        <f t="shared" si="68"/>
        <v>12189.944199947573</v>
      </c>
      <c r="X150" s="666">
        <f t="shared" si="68"/>
        <v>12433.743083946525</v>
      </c>
      <c r="Y150" s="666">
        <f t="shared" si="68"/>
        <v>12682.417945625455</v>
      </c>
      <c r="Z150" s="666">
        <f t="shared" si="68"/>
        <v>12936.066304537962</v>
      </c>
      <c r="AA150" s="666">
        <f t="shared" si="68"/>
        <v>13194.787630628723</v>
      </c>
      <c r="AB150" s="666">
        <f t="shared" si="68"/>
        <v>13458.683383241299</v>
      </c>
      <c r="AC150" s="666">
        <f t="shared" si="68"/>
        <v>13727.857050906125</v>
      </c>
      <c r="AD150" s="666">
        <f t="shared" si="68"/>
        <v>14002.414191924248</v>
      </c>
      <c r="AE150" s="666">
        <f t="shared" si="68"/>
        <v>14282.462475762733</v>
      </c>
    </row>
    <row r="151" spans="1:33">
      <c r="A151" s="180" t="s">
        <v>2</v>
      </c>
      <c r="B151" s="777"/>
      <c r="C151" s="778"/>
      <c r="D151" s="779"/>
      <c r="E151" s="746"/>
      <c r="F151" s="746"/>
      <c r="G151" s="778"/>
      <c r="H151" s="778"/>
      <c r="I151" s="780"/>
      <c r="J151" s="781"/>
      <c r="K151" s="741">
        <v>0</v>
      </c>
      <c r="L151" s="742">
        <v>0</v>
      </c>
      <c r="M151" s="742">
        <v>0</v>
      </c>
      <c r="N151" s="742">
        <v>0</v>
      </c>
      <c r="O151" s="742">
        <v>0</v>
      </c>
      <c r="P151" s="742">
        <v>0</v>
      </c>
      <c r="Q151" s="742">
        <v>0</v>
      </c>
      <c r="R151" s="742">
        <v>0</v>
      </c>
      <c r="S151" s="742">
        <v>0</v>
      </c>
      <c r="T151" s="742">
        <v>0</v>
      </c>
      <c r="U151" s="742">
        <v>0</v>
      </c>
      <c r="V151" s="742">
        <v>0</v>
      </c>
      <c r="W151" s="742">
        <v>0</v>
      </c>
      <c r="X151" s="742">
        <v>0</v>
      </c>
      <c r="Y151" s="742">
        <v>0</v>
      </c>
      <c r="Z151" s="742">
        <v>0</v>
      </c>
      <c r="AA151" s="742">
        <v>0</v>
      </c>
      <c r="AB151" s="742">
        <v>0</v>
      </c>
      <c r="AC151" s="742">
        <v>0</v>
      </c>
      <c r="AD151" s="742">
        <v>0</v>
      </c>
      <c r="AE151" s="742">
        <v>0</v>
      </c>
    </row>
    <row r="152" spans="1:33" s="56" customFormat="1" ht="14.25">
      <c r="A152" s="164" t="s">
        <v>78</v>
      </c>
      <c r="B152" s="164"/>
      <c r="C152" s="75"/>
      <c r="D152" s="173"/>
      <c r="E152" s="75"/>
      <c r="F152" s="75"/>
      <c r="G152" s="75"/>
      <c r="H152" s="75"/>
      <c r="I152" s="174"/>
      <c r="J152" s="175"/>
      <c r="K152" s="685">
        <v>0</v>
      </c>
      <c r="L152" s="669">
        <f t="shared" ref="L152:AE152" si="69">SUM(L149:L151)</f>
        <v>0</v>
      </c>
      <c r="M152" s="669">
        <f t="shared" si="69"/>
        <v>20000</v>
      </c>
      <c r="N152" s="669">
        <f t="shared" si="69"/>
        <v>20400</v>
      </c>
      <c r="O152" s="669">
        <f t="shared" si="69"/>
        <v>20808</v>
      </c>
      <c r="P152" s="669">
        <f t="shared" si="69"/>
        <v>21224.16</v>
      </c>
      <c r="Q152" s="669">
        <f t="shared" si="69"/>
        <v>21648.643199999999</v>
      </c>
      <c r="R152" s="669">
        <f t="shared" si="69"/>
        <v>22081.616064000002</v>
      </c>
      <c r="S152" s="669">
        <f t="shared" si="69"/>
        <v>22523.24838528</v>
      </c>
      <c r="T152" s="669">
        <f t="shared" si="69"/>
        <v>22973.7133529856</v>
      </c>
      <c r="U152" s="669">
        <f t="shared" si="69"/>
        <v>23433.187620045315</v>
      </c>
      <c r="V152" s="669">
        <f t="shared" si="69"/>
        <v>23901.851372446221</v>
      </c>
      <c r="W152" s="669">
        <f t="shared" si="69"/>
        <v>24379.888399895146</v>
      </c>
      <c r="X152" s="669">
        <f t="shared" si="69"/>
        <v>24867.48616789305</v>
      </c>
      <c r="Y152" s="669">
        <f t="shared" si="69"/>
        <v>25364.83589125091</v>
      </c>
      <c r="Z152" s="669">
        <f t="shared" si="69"/>
        <v>25872.132609075925</v>
      </c>
      <c r="AA152" s="669">
        <f t="shared" si="69"/>
        <v>26389.575261257447</v>
      </c>
      <c r="AB152" s="669">
        <f t="shared" si="69"/>
        <v>26917.366766482599</v>
      </c>
      <c r="AC152" s="669">
        <f t="shared" si="69"/>
        <v>27455.714101812249</v>
      </c>
      <c r="AD152" s="669">
        <f t="shared" si="69"/>
        <v>28004.828383848497</v>
      </c>
      <c r="AE152" s="669">
        <f t="shared" si="69"/>
        <v>28564.924951525467</v>
      </c>
    </row>
    <row r="153" spans="1:33" s="56" customFormat="1" ht="14.25">
      <c r="A153" s="164"/>
      <c r="B153" s="164"/>
      <c r="C153" s="75"/>
      <c r="D153" s="173"/>
      <c r="E153" s="75"/>
      <c r="F153" s="75"/>
      <c r="G153" s="75"/>
      <c r="H153" s="75"/>
      <c r="I153" s="174"/>
      <c r="J153" s="175"/>
      <c r="K153" s="685"/>
      <c r="L153" s="669"/>
      <c r="M153" s="669"/>
      <c r="N153" s="669"/>
      <c r="O153" s="669"/>
      <c r="P153" s="669"/>
      <c r="Q153" s="669"/>
      <c r="R153" s="669"/>
      <c r="S153" s="669"/>
      <c r="T153" s="669"/>
      <c r="U153" s="669"/>
      <c r="V153" s="669"/>
      <c r="W153" s="669"/>
      <c r="X153" s="669"/>
      <c r="Y153" s="669"/>
      <c r="Z153" s="669"/>
      <c r="AA153" s="669"/>
      <c r="AB153" s="669"/>
      <c r="AC153" s="669"/>
      <c r="AD153" s="669"/>
      <c r="AE153" s="669"/>
    </row>
    <row r="154" spans="1:33" s="56" customFormat="1" ht="14.25">
      <c r="A154" s="164" t="s">
        <v>66</v>
      </c>
      <c r="B154" s="164"/>
      <c r="C154" s="75"/>
      <c r="D154" s="173"/>
      <c r="E154" s="75"/>
      <c r="F154" s="75"/>
      <c r="G154" s="75"/>
      <c r="H154" s="75"/>
      <c r="I154" s="174"/>
      <c r="J154" s="175"/>
      <c r="K154" s="685">
        <v>0</v>
      </c>
      <c r="L154" s="669">
        <f>SUM(L140,L152)</f>
        <v>0</v>
      </c>
      <c r="M154" s="669">
        <f>SUM(M140,M146, M152)</f>
        <v>85335.846153846156</v>
      </c>
      <c r="N154" s="669">
        <f t="shared" ref="N154:AE154" si="70">SUM(N140,N146, N152)</f>
        <v>87042.563076923077</v>
      </c>
      <c r="O154" s="669">
        <f t="shared" si="70"/>
        <v>88783.41433846156</v>
      </c>
      <c r="P154" s="669">
        <f t="shared" si="70"/>
        <v>90559.082625230774</v>
      </c>
      <c r="Q154" s="669">
        <f t="shared" si="70"/>
        <v>92370.264277735376</v>
      </c>
      <c r="R154" s="669">
        <f t="shared" si="70"/>
        <v>94217.669563290081</v>
      </c>
      <c r="S154" s="669">
        <f t="shared" si="70"/>
        <v>96102.022954555898</v>
      </c>
      <c r="T154" s="669">
        <f t="shared" si="70"/>
        <v>98024.063413647003</v>
      </c>
      <c r="U154" s="669">
        <f t="shared" si="70"/>
        <v>99984.544681919942</v>
      </c>
      <c r="V154" s="669">
        <f t="shared" si="70"/>
        <v>101984.23557555837</v>
      </c>
      <c r="W154" s="669">
        <f t="shared" si="70"/>
        <v>104023.92028706953</v>
      </c>
      <c r="X154" s="669">
        <f t="shared" si="70"/>
        <v>106104.39869281092</v>
      </c>
      <c r="Y154" s="669">
        <f t="shared" si="70"/>
        <v>108226.48666666714</v>
      </c>
      <c r="Z154" s="669">
        <f t="shared" si="70"/>
        <v>110391.01640000047</v>
      </c>
      <c r="AA154" s="669">
        <f t="shared" si="70"/>
        <v>112598.8367280005</v>
      </c>
      <c r="AB154" s="669">
        <f t="shared" si="70"/>
        <v>114850.8134625605</v>
      </c>
      <c r="AC154" s="669">
        <f t="shared" si="70"/>
        <v>117147.82973181173</v>
      </c>
      <c r="AD154" s="669">
        <f t="shared" si="70"/>
        <v>119490.78632644797</v>
      </c>
      <c r="AE154" s="669">
        <f t="shared" si="70"/>
        <v>121880.60205297693</v>
      </c>
    </row>
    <row r="155" spans="1:33" s="56" customFormat="1" ht="14.25">
      <c r="A155" s="164"/>
      <c r="B155" s="164"/>
      <c r="C155" s="75"/>
      <c r="D155" s="173"/>
      <c r="E155" s="75"/>
      <c r="F155" s="75"/>
      <c r="G155" s="75"/>
      <c r="H155" s="75"/>
      <c r="I155" s="174"/>
      <c r="J155" s="175"/>
      <c r="K155" s="685"/>
      <c r="L155" s="669"/>
      <c r="M155" s="669"/>
      <c r="N155" s="669"/>
      <c r="O155" s="669"/>
      <c r="P155" s="669"/>
      <c r="Q155" s="669"/>
      <c r="R155" s="669"/>
      <c r="S155" s="669"/>
      <c r="T155" s="669"/>
      <c r="U155" s="669"/>
      <c r="V155" s="669"/>
      <c r="W155" s="669"/>
      <c r="X155" s="669"/>
      <c r="Y155" s="669"/>
      <c r="Z155" s="669"/>
      <c r="AA155" s="669"/>
      <c r="AB155" s="669"/>
      <c r="AC155" s="669"/>
      <c r="AD155" s="669"/>
      <c r="AE155" s="669"/>
    </row>
    <row r="156" spans="1:33">
      <c r="A156" s="47" t="s">
        <v>7</v>
      </c>
      <c r="B156" s="47" t="s">
        <v>7</v>
      </c>
      <c r="C156" s="78" t="s">
        <v>7</v>
      </c>
      <c r="D156" s="100"/>
      <c r="E156" s="78" t="s">
        <v>7</v>
      </c>
      <c r="F156" s="78"/>
      <c r="G156" s="78" t="s">
        <v>7</v>
      </c>
      <c r="H156" s="78"/>
      <c r="I156" s="52" t="s">
        <v>7</v>
      </c>
      <c r="J156" s="114"/>
      <c r="K156" s="673"/>
      <c r="L156" s="672"/>
      <c r="M156" s="672"/>
      <c r="N156" s="672"/>
      <c r="O156" s="672"/>
      <c r="P156" s="672"/>
      <c r="Q156" s="672"/>
      <c r="R156" s="672"/>
      <c r="S156" s="672"/>
      <c r="T156" s="672"/>
      <c r="U156" s="672"/>
      <c r="V156" s="672"/>
      <c r="W156" s="672"/>
      <c r="X156" s="672"/>
      <c r="Y156" s="672"/>
      <c r="Z156" s="672"/>
      <c r="AA156" s="672"/>
      <c r="AB156" s="672"/>
      <c r="AC156" s="672"/>
      <c r="AD156" s="672"/>
      <c r="AE156" s="672"/>
    </row>
    <row r="157" spans="1:33">
      <c r="A157" s="47"/>
      <c r="B157" s="47"/>
      <c r="C157" s="78"/>
      <c r="D157" s="100"/>
      <c r="E157" s="78"/>
      <c r="F157" s="78"/>
      <c r="G157" s="78"/>
      <c r="H157" s="78"/>
      <c r="I157" s="52"/>
      <c r="J157" s="114"/>
      <c r="K157" s="664"/>
      <c r="L157" s="666"/>
      <c r="M157" s="666"/>
      <c r="N157" s="666"/>
      <c r="O157" s="666"/>
      <c r="P157" s="666"/>
      <c r="Q157" s="666"/>
      <c r="R157" s="666"/>
      <c r="S157" s="666"/>
      <c r="T157" s="666"/>
      <c r="U157" s="666"/>
      <c r="V157" s="666"/>
      <c r="W157" s="666"/>
      <c r="X157" s="666"/>
      <c r="Y157" s="666"/>
      <c r="Z157" s="666"/>
      <c r="AA157" s="666"/>
      <c r="AB157" s="666"/>
      <c r="AC157" s="666"/>
      <c r="AD157" s="666"/>
      <c r="AE157" s="666"/>
    </row>
    <row r="158" spans="1:33" s="56" customFormat="1" ht="14.25">
      <c r="A158" s="203" t="s">
        <v>79</v>
      </c>
      <c r="B158" s="203"/>
      <c r="C158" s="204"/>
      <c r="D158" s="205"/>
      <c r="E158" s="204"/>
      <c r="F158" s="204"/>
      <c r="G158" s="204"/>
      <c r="H158" s="204"/>
      <c r="I158" s="206"/>
      <c r="J158" s="207"/>
      <c r="K158" s="675">
        <v>0</v>
      </c>
      <c r="L158" s="676">
        <f t="shared" ref="L158:AE158" si="71">SUM(L131,L154)</f>
        <v>0</v>
      </c>
      <c r="M158" s="676">
        <f t="shared" si="71"/>
        <v>139905.84615384616</v>
      </c>
      <c r="N158" s="676">
        <f t="shared" si="71"/>
        <v>143817.19107692307</v>
      </c>
      <c r="O158" s="676">
        <f t="shared" si="71"/>
        <v>146693.53489846154</v>
      </c>
      <c r="P158" s="676">
        <f t="shared" si="71"/>
        <v>149627.40559643076</v>
      </c>
      <c r="Q158" s="676">
        <f t="shared" si="71"/>
        <v>152619.95370835939</v>
      </c>
      <c r="R158" s="676">
        <f t="shared" si="71"/>
        <v>155672.35278252655</v>
      </c>
      <c r="S158" s="676">
        <f t="shared" si="71"/>
        <v>158785.7998381771</v>
      </c>
      <c r="T158" s="676">
        <f t="shared" si="71"/>
        <v>161961.51583494066</v>
      </c>
      <c r="U158" s="676">
        <f t="shared" si="71"/>
        <v>165200.74615163944</v>
      </c>
      <c r="V158" s="676">
        <f t="shared" si="71"/>
        <v>168504.76107467228</v>
      </c>
      <c r="W158" s="676">
        <f t="shared" si="71"/>
        <v>171874.85629616573</v>
      </c>
      <c r="X158" s="676">
        <f t="shared" si="71"/>
        <v>175312.35342208904</v>
      </c>
      <c r="Y158" s="676">
        <f t="shared" si="71"/>
        <v>178818.60049053084</v>
      </c>
      <c r="Z158" s="676">
        <f t="shared" si="71"/>
        <v>182394.97250034142</v>
      </c>
      <c r="AA158" s="676">
        <f t="shared" si="71"/>
        <v>186042.87195034826</v>
      </c>
      <c r="AB158" s="676">
        <f t="shared" si="71"/>
        <v>189763.72938935523</v>
      </c>
      <c r="AC158" s="676">
        <f t="shared" si="71"/>
        <v>193559.00397714233</v>
      </c>
      <c r="AD158" s="676">
        <f t="shared" si="71"/>
        <v>197430.18405668519</v>
      </c>
      <c r="AE158" s="676">
        <f t="shared" si="71"/>
        <v>201378.7877378189</v>
      </c>
      <c r="AG158" s="199"/>
    </row>
    <row r="159" spans="1:33">
      <c r="K159" s="664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</row>
    <row r="160" spans="1:33">
      <c r="A160" s="47" t="s">
        <v>7</v>
      </c>
      <c r="B160" s="47" t="s">
        <v>7</v>
      </c>
      <c r="C160" s="78" t="s">
        <v>7</v>
      </c>
      <c r="D160" s="100"/>
      <c r="E160" s="78" t="s">
        <v>7</v>
      </c>
      <c r="F160" s="78"/>
      <c r="G160" s="78" t="s">
        <v>7</v>
      </c>
      <c r="H160" s="78"/>
      <c r="I160" s="52" t="s">
        <v>7</v>
      </c>
      <c r="J160" s="114"/>
      <c r="K160" s="673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</row>
    <row r="161" spans="1:33">
      <c r="K161" s="664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G161" s="199"/>
    </row>
    <row r="162" spans="1:33" s="56" customFormat="1" ht="14.25">
      <c r="A162" s="208" t="s">
        <v>115</v>
      </c>
      <c r="B162" s="208"/>
      <c r="C162" s="208"/>
      <c r="D162" s="202"/>
      <c r="E162" s="208"/>
      <c r="F162" s="208"/>
      <c r="G162" s="208"/>
      <c r="H162" s="208"/>
      <c r="I162" s="208"/>
      <c r="J162" s="208"/>
      <c r="K162" s="678">
        <f>SUM(K152,K112)</f>
        <v>0</v>
      </c>
      <c r="L162" s="678">
        <f t="shared" ref="L162:AE162" si="72">SUM(L112,L158)</f>
        <v>357416.66666666669</v>
      </c>
      <c r="M162" s="678">
        <f t="shared" si="72"/>
        <v>872654.34615384613</v>
      </c>
      <c r="N162" s="678">
        <f t="shared" si="72"/>
        <v>891230.86107692309</v>
      </c>
      <c r="O162" s="678">
        <f t="shared" si="72"/>
        <v>909055.47829846153</v>
      </c>
      <c r="P162" s="678">
        <f t="shared" si="72"/>
        <v>927236.58786443074</v>
      </c>
      <c r="Q162" s="678">
        <f t="shared" si="72"/>
        <v>974125.19841691933</v>
      </c>
      <c r="R162" s="678">
        <f t="shared" si="72"/>
        <v>989070.78359488968</v>
      </c>
      <c r="S162" s="678">
        <f t="shared" si="72"/>
        <v>1008852.1992667874</v>
      </c>
      <c r="T162" s="678">
        <f t="shared" si="72"/>
        <v>1029029.2432521235</v>
      </c>
      <c r="U162" s="678">
        <f t="shared" si="72"/>
        <v>1049609.8281171659</v>
      </c>
      <c r="V162" s="678">
        <f t="shared" si="72"/>
        <v>1074992.5274695121</v>
      </c>
      <c r="W162" s="678">
        <f t="shared" si="72"/>
        <v>1092014.0651730993</v>
      </c>
      <c r="X162" s="678">
        <f t="shared" si="72"/>
        <v>1113854.3464765614</v>
      </c>
      <c r="Y162" s="678">
        <f t="shared" si="72"/>
        <v>1136131.4334060927</v>
      </c>
      <c r="Z162" s="678">
        <f t="shared" si="72"/>
        <v>1158854.0620742145</v>
      </c>
      <c r="AA162" s="678">
        <f t="shared" si="72"/>
        <v>1186358.2091465369</v>
      </c>
      <c r="AB162" s="678">
        <f t="shared" si="72"/>
        <v>1205671.7661820129</v>
      </c>
      <c r="AC162" s="678">
        <f t="shared" si="72"/>
        <v>1229785.2015056531</v>
      </c>
      <c r="AD162" s="678">
        <f t="shared" si="72"/>
        <v>1254380.9055357664</v>
      </c>
      <c r="AE162" s="678">
        <f t="shared" si="72"/>
        <v>1279468.5236464818</v>
      </c>
      <c r="AG162" s="199"/>
    </row>
    <row r="163" spans="1:33">
      <c r="K163" s="664"/>
      <c r="L163" s="666"/>
      <c r="M163" s="666"/>
      <c r="N163" s="666"/>
      <c r="O163" s="666"/>
      <c r="P163" s="666"/>
      <c r="Q163" s="666"/>
      <c r="R163" s="666"/>
      <c r="S163" s="666"/>
      <c r="T163" s="666"/>
      <c r="U163" s="666"/>
      <c r="V163" s="666"/>
      <c r="W163" s="666"/>
      <c r="X163" s="666"/>
      <c r="Y163" s="666"/>
      <c r="Z163" s="666"/>
      <c r="AA163" s="666"/>
      <c r="AB163" s="666"/>
      <c r="AC163" s="666"/>
      <c r="AD163" s="666"/>
      <c r="AE163" s="666"/>
      <c r="AG163" s="199"/>
    </row>
    <row r="164" spans="1:33">
      <c r="A164" s="251"/>
      <c r="B164" s="251"/>
      <c r="C164" s="251"/>
      <c r="D164" s="259"/>
      <c r="E164" s="251"/>
      <c r="F164" s="251"/>
      <c r="G164" s="251"/>
      <c r="H164" s="251"/>
      <c r="I164" s="251"/>
      <c r="J164" s="251"/>
      <c r="K164" s="679"/>
      <c r="L164" s="680"/>
      <c r="M164" s="680"/>
      <c r="N164" s="680"/>
      <c r="O164" s="680"/>
      <c r="P164" s="680"/>
      <c r="Q164" s="680"/>
      <c r="R164" s="680"/>
      <c r="S164" s="680"/>
      <c r="T164" s="680"/>
      <c r="U164" s="680"/>
      <c r="V164" s="680"/>
      <c r="W164" s="680"/>
      <c r="X164" s="680"/>
      <c r="Y164" s="680"/>
      <c r="Z164" s="680"/>
      <c r="AA164" s="680"/>
      <c r="AB164" s="680"/>
      <c r="AC164" s="680"/>
      <c r="AD164" s="680"/>
      <c r="AE164" s="680"/>
      <c r="AG164" s="199"/>
    </row>
    <row r="165" spans="1:33">
      <c r="K165" s="664"/>
      <c r="L165" s="666"/>
      <c r="M165" s="666"/>
      <c r="N165" s="666"/>
      <c r="O165" s="666"/>
      <c r="P165" s="666"/>
      <c r="Q165" s="666"/>
      <c r="R165" s="666"/>
      <c r="S165" s="666"/>
      <c r="T165" s="666"/>
      <c r="U165" s="666"/>
      <c r="V165" s="666"/>
      <c r="W165" s="666"/>
      <c r="X165" s="666"/>
      <c r="Y165" s="666"/>
      <c r="Z165" s="666"/>
      <c r="AA165" s="666"/>
      <c r="AB165" s="666"/>
      <c r="AC165" s="666"/>
      <c r="AD165" s="666"/>
      <c r="AE165" s="666"/>
      <c r="AG165" s="199"/>
    </row>
    <row r="166" spans="1:33">
      <c r="A166" s="249" t="s">
        <v>84</v>
      </c>
      <c r="B166" s="281"/>
      <c r="C166" s="281"/>
      <c r="D166" s="177"/>
      <c r="E166" s="281"/>
      <c r="F166" s="281"/>
      <c r="G166" s="281"/>
      <c r="H166" s="281"/>
      <c r="I166" s="281"/>
      <c r="J166" s="281"/>
      <c r="K166" s="681"/>
      <c r="L166" s="682"/>
      <c r="M166" s="682"/>
      <c r="N166" s="682"/>
      <c r="O166" s="682"/>
      <c r="P166" s="682"/>
      <c r="Q166" s="682"/>
      <c r="R166" s="682"/>
      <c r="S166" s="682"/>
      <c r="T166" s="682"/>
      <c r="U166" s="682"/>
      <c r="V166" s="682"/>
      <c r="W166" s="682"/>
      <c r="X166" s="682"/>
      <c r="Y166" s="682"/>
      <c r="Z166" s="682"/>
      <c r="AA166" s="682"/>
      <c r="AB166" s="682"/>
      <c r="AC166" s="682"/>
      <c r="AD166" s="682"/>
      <c r="AE166" s="682"/>
      <c r="AG166" s="199"/>
    </row>
    <row r="167" spans="1:33" s="252" customFormat="1">
      <c r="A167" s="257"/>
      <c r="D167" s="186"/>
      <c r="K167" s="664"/>
      <c r="L167" s="671"/>
      <c r="M167" s="671"/>
      <c r="N167" s="671"/>
      <c r="O167" s="671"/>
      <c r="P167" s="671"/>
      <c r="Q167" s="671"/>
      <c r="R167" s="671"/>
      <c r="S167" s="671"/>
      <c r="T167" s="671"/>
      <c r="U167" s="671"/>
      <c r="V167" s="671"/>
      <c r="W167" s="671"/>
      <c r="X167" s="671"/>
      <c r="Y167" s="671"/>
      <c r="Z167" s="671"/>
      <c r="AA167" s="671"/>
      <c r="AB167" s="671"/>
      <c r="AC167" s="671"/>
      <c r="AD167" s="671"/>
      <c r="AE167" s="671"/>
      <c r="AG167" s="363"/>
    </row>
    <row r="168" spans="1:33">
      <c r="A168" s="96" t="s">
        <v>136</v>
      </c>
      <c r="B168" s="37"/>
      <c r="C168" s="110"/>
      <c r="D168" s="106"/>
      <c r="E168" s="57"/>
      <c r="F168" s="57"/>
      <c r="G168" s="57"/>
      <c r="H168" s="57"/>
      <c r="I168" s="51"/>
      <c r="J168" s="44"/>
      <c r="K168" s="514"/>
      <c r="L168" s="515"/>
      <c r="M168" s="515"/>
      <c r="N168" s="515"/>
      <c r="O168" s="515"/>
      <c r="P168" s="515"/>
      <c r="Q168" s="515"/>
      <c r="R168" s="515"/>
      <c r="S168" s="515"/>
      <c r="T168" s="515"/>
      <c r="U168" s="515"/>
      <c r="V168" s="515"/>
      <c r="W168" s="515"/>
      <c r="X168" s="515"/>
      <c r="Y168" s="515"/>
      <c r="Z168" s="515"/>
      <c r="AA168" s="515"/>
      <c r="AB168" s="515"/>
      <c r="AC168" s="515"/>
      <c r="AD168" s="515"/>
      <c r="AE168" s="515"/>
      <c r="AG168" s="199"/>
    </row>
    <row r="169" spans="1:33">
      <c r="A169" s="37" t="s">
        <v>456</v>
      </c>
      <c r="K169" s="683">
        <v>0</v>
      </c>
      <c r="L169" s="663">
        <v>0</v>
      </c>
      <c r="M169" s="663">
        <v>44105</v>
      </c>
      <c r="N169" s="663">
        <f t="shared" ref="N169:AE169" si="73">$M$169*L11</f>
        <v>44987.1</v>
      </c>
      <c r="O169" s="663">
        <f t="shared" si="73"/>
        <v>45886.841999999997</v>
      </c>
      <c r="P169" s="663">
        <f t="shared" si="73"/>
        <v>46804.578839999995</v>
      </c>
      <c r="Q169" s="663">
        <f t="shared" si="73"/>
        <v>47740.6704168</v>
      </c>
      <c r="R169" s="663">
        <f t="shared" si="73"/>
        <v>48695.483825135998</v>
      </c>
      <c r="S169" s="663">
        <f t="shared" si="73"/>
        <v>49669.393501638726</v>
      </c>
      <c r="T169" s="663">
        <f t="shared" si="73"/>
        <v>50662.781371671495</v>
      </c>
      <c r="U169" s="663">
        <f t="shared" si="73"/>
        <v>51676.03699910493</v>
      </c>
      <c r="V169" s="663">
        <f t="shared" si="73"/>
        <v>52709.557739087031</v>
      </c>
      <c r="W169" s="663">
        <f t="shared" si="73"/>
        <v>53763.748893868775</v>
      </c>
      <c r="X169" s="663">
        <f t="shared" si="73"/>
        <v>54839.023871746147</v>
      </c>
      <c r="Y169" s="663">
        <f t="shared" si="73"/>
        <v>55935.804349181068</v>
      </c>
      <c r="Z169" s="663">
        <f t="shared" si="73"/>
        <v>57054.520436164683</v>
      </c>
      <c r="AA169" s="663">
        <f t="shared" si="73"/>
        <v>58195.61084488799</v>
      </c>
      <c r="AB169" s="663">
        <f t="shared" si="73"/>
        <v>59359.523061785745</v>
      </c>
      <c r="AC169" s="663">
        <f t="shared" si="73"/>
        <v>60546.713523021463</v>
      </c>
      <c r="AD169" s="663">
        <f t="shared" si="73"/>
        <v>61757.647793481898</v>
      </c>
      <c r="AE169" s="663">
        <f t="shared" si="73"/>
        <v>62992.80074935154</v>
      </c>
    </row>
    <row r="170" spans="1:33">
      <c r="K170" s="881"/>
    </row>
    <row r="171" spans="1:33">
      <c r="A171" s="37" t="s">
        <v>576</v>
      </c>
      <c r="B171" s="37"/>
      <c r="C171" s="110"/>
      <c r="D171" s="106"/>
      <c r="E171" s="57"/>
      <c r="F171" s="57"/>
      <c r="G171" s="57"/>
      <c r="H171" s="57"/>
      <c r="I171" s="51"/>
      <c r="J171" s="44"/>
      <c r="K171" s="683">
        <v>0</v>
      </c>
      <c r="L171" s="666">
        <f>'Capital Financing'!$B$11</f>
        <v>563901.24</v>
      </c>
      <c r="M171" s="666">
        <f>'Capital Financing'!$B$11</f>
        <v>563901.24</v>
      </c>
      <c r="N171" s="666">
        <f>'Capital Financing'!$B$11</f>
        <v>563901.24</v>
      </c>
      <c r="O171" s="666">
        <f>'Capital Financing'!$B$11</f>
        <v>563901.24</v>
      </c>
      <c r="P171" s="666">
        <f>'Capital Financing'!$B$11</f>
        <v>563901.24</v>
      </c>
      <c r="Q171" s="666">
        <f>'Capital Financing'!$B$11</f>
        <v>563901.24</v>
      </c>
      <c r="R171" s="666">
        <f>'Capital Financing'!$B$11</f>
        <v>563901.24</v>
      </c>
      <c r="S171" s="666">
        <f>'Capital Financing'!$B$11</f>
        <v>563901.24</v>
      </c>
      <c r="T171" s="666">
        <f>'Capital Financing'!$B$11</f>
        <v>563901.24</v>
      </c>
      <c r="U171" s="666">
        <f>'Capital Financing'!$B$11</f>
        <v>563901.24</v>
      </c>
      <c r="V171" s="666">
        <f>'Capital Financing'!$B$11</f>
        <v>563901.24</v>
      </c>
      <c r="W171" s="666">
        <f>'Capital Financing'!$B$11</f>
        <v>563901.24</v>
      </c>
      <c r="X171" s="666">
        <f>'Capital Financing'!$B$11</f>
        <v>563901.24</v>
      </c>
      <c r="Y171" s="666">
        <f>'Capital Financing'!$B$11</f>
        <v>563901.24</v>
      </c>
      <c r="Z171" s="666">
        <f>'Capital Financing'!$B$11</f>
        <v>563901.24</v>
      </c>
      <c r="AA171" s="666">
        <f>'Capital Financing'!$B$11</f>
        <v>563901.24</v>
      </c>
      <c r="AB171" s="666">
        <f>'Capital Financing'!$B$11</f>
        <v>563901.24</v>
      </c>
      <c r="AC171" s="666">
        <f>'Capital Financing'!$B$11</f>
        <v>563901.24</v>
      </c>
      <c r="AD171" s="666">
        <f>'Capital Financing'!$B$11</f>
        <v>563901.24</v>
      </c>
      <c r="AE171" s="666">
        <f>'Capital Financing'!$B$11</f>
        <v>563901.24</v>
      </c>
      <c r="AG171" s="199"/>
    </row>
    <row r="172" spans="1:33" s="702" customFormat="1">
      <c r="A172" s="341" t="s">
        <v>315</v>
      </c>
      <c r="B172" s="701"/>
      <c r="C172" s="703"/>
      <c r="D172" s="704"/>
      <c r="E172" s="705"/>
      <c r="F172" s="705"/>
      <c r="G172" s="705"/>
      <c r="H172" s="705"/>
      <c r="I172" s="706"/>
      <c r="J172" s="707"/>
      <c r="K172" s="699">
        <v>0</v>
      </c>
      <c r="L172" s="700">
        <v>0</v>
      </c>
      <c r="M172" s="700">
        <v>0</v>
      </c>
      <c r="N172" s="700">
        <v>0</v>
      </c>
      <c r="O172" s="700">
        <v>0</v>
      </c>
      <c r="P172" s="700">
        <v>0</v>
      </c>
      <c r="Q172" s="700">
        <v>0</v>
      </c>
      <c r="R172" s="700">
        <v>0</v>
      </c>
      <c r="S172" s="700">
        <v>0</v>
      </c>
      <c r="T172" s="700">
        <v>0</v>
      </c>
      <c r="U172" s="700">
        <v>0</v>
      </c>
      <c r="V172" s="700">
        <v>0</v>
      </c>
      <c r="W172" s="700">
        <v>0</v>
      </c>
      <c r="X172" s="700">
        <v>0</v>
      </c>
      <c r="Y172" s="700">
        <v>0</v>
      </c>
      <c r="Z172" s="700">
        <v>0</v>
      </c>
      <c r="AA172" s="700">
        <v>0</v>
      </c>
      <c r="AB172" s="700">
        <v>0</v>
      </c>
      <c r="AC172" s="700">
        <v>0</v>
      </c>
      <c r="AD172" s="700">
        <v>0</v>
      </c>
      <c r="AE172" s="700">
        <v>0</v>
      </c>
      <c r="AG172" s="708"/>
    </row>
    <row r="173" spans="1:33">
      <c r="A173" s="180" t="s">
        <v>316</v>
      </c>
      <c r="B173" s="180"/>
      <c r="C173" s="180"/>
      <c r="D173" s="116"/>
      <c r="E173" s="180"/>
      <c r="F173" s="180"/>
      <c r="G173" s="180"/>
      <c r="H173" s="180"/>
      <c r="I173" s="180"/>
      <c r="J173" s="180"/>
      <c r="K173" s="505">
        <v>0</v>
      </c>
      <c r="L173" s="506">
        <v>246000</v>
      </c>
      <c r="M173" s="506">
        <v>246000</v>
      </c>
      <c r="N173" s="506">
        <v>246000</v>
      </c>
      <c r="O173" s="506">
        <v>246000</v>
      </c>
      <c r="P173" s="506">
        <v>246000</v>
      </c>
      <c r="Q173" s="506">
        <v>246000</v>
      </c>
      <c r="R173" s="506">
        <v>246000</v>
      </c>
      <c r="S173" s="506">
        <v>246000</v>
      </c>
      <c r="T173" s="506">
        <v>246000</v>
      </c>
      <c r="U173" s="506">
        <v>246000</v>
      </c>
      <c r="V173" s="506">
        <v>246000</v>
      </c>
      <c r="W173" s="506">
        <v>246000</v>
      </c>
      <c r="X173" s="506">
        <v>246000</v>
      </c>
      <c r="Y173" s="506">
        <v>246000</v>
      </c>
      <c r="Z173" s="506">
        <v>246000</v>
      </c>
      <c r="AA173" s="506">
        <v>246000</v>
      </c>
      <c r="AB173" s="506">
        <v>246000</v>
      </c>
      <c r="AC173" s="506">
        <v>246000</v>
      </c>
      <c r="AD173" s="506">
        <v>246000</v>
      </c>
      <c r="AE173" s="506">
        <v>246000</v>
      </c>
      <c r="AG173" s="199"/>
    </row>
    <row r="174" spans="1:33" s="56" customFormat="1" ht="14.25">
      <c r="A174" s="56" t="s">
        <v>134</v>
      </c>
      <c r="D174" s="173"/>
      <c r="K174" s="524">
        <f t="shared" ref="K174:AE174" si="74">SUM(K168:K173)</f>
        <v>0</v>
      </c>
      <c r="L174" s="525">
        <f t="shared" si="74"/>
        <v>809901.24</v>
      </c>
      <c r="M174" s="525">
        <f t="shared" si="74"/>
        <v>854006.24</v>
      </c>
      <c r="N174" s="525">
        <f t="shared" si="74"/>
        <v>854888.34</v>
      </c>
      <c r="O174" s="525">
        <f t="shared" si="74"/>
        <v>855788.08199999994</v>
      </c>
      <c r="P174" s="525">
        <f t="shared" si="74"/>
        <v>856705.81883999996</v>
      </c>
      <c r="Q174" s="525">
        <f t="shared" si="74"/>
        <v>857641.91041679995</v>
      </c>
      <c r="R174" s="525">
        <f t="shared" si="74"/>
        <v>858596.72382513597</v>
      </c>
      <c r="S174" s="525">
        <f t="shared" si="74"/>
        <v>859570.63350163866</v>
      </c>
      <c r="T174" s="525">
        <f t="shared" si="74"/>
        <v>860564.02137167146</v>
      </c>
      <c r="U174" s="525">
        <f t="shared" si="74"/>
        <v>861577.27699910488</v>
      </c>
      <c r="V174" s="525">
        <f t="shared" si="74"/>
        <v>862610.79773908702</v>
      </c>
      <c r="W174" s="525">
        <f t="shared" si="74"/>
        <v>863664.98889386875</v>
      </c>
      <c r="X174" s="525">
        <f t="shared" si="74"/>
        <v>864740.26387174614</v>
      </c>
      <c r="Y174" s="525">
        <f t="shared" si="74"/>
        <v>865837.044349181</v>
      </c>
      <c r="Z174" s="525">
        <f t="shared" si="74"/>
        <v>866955.76043616468</v>
      </c>
      <c r="AA174" s="525">
        <f t="shared" si="74"/>
        <v>868096.85084488802</v>
      </c>
      <c r="AB174" s="525">
        <f t="shared" si="74"/>
        <v>869260.76306178572</v>
      </c>
      <c r="AC174" s="525">
        <f t="shared" si="74"/>
        <v>870447.95352302142</v>
      </c>
      <c r="AD174" s="525">
        <f t="shared" si="74"/>
        <v>871658.88779348193</v>
      </c>
      <c r="AE174" s="525">
        <f t="shared" si="74"/>
        <v>872894.04074935149</v>
      </c>
      <c r="AG174" s="199"/>
    </row>
    <row r="175" spans="1:33">
      <c r="K175" s="683"/>
      <c r="L175" s="666"/>
      <c r="M175" s="666"/>
      <c r="N175" s="666"/>
      <c r="O175" s="666"/>
      <c r="P175" s="666"/>
      <c r="Q175" s="666"/>
      <c r="R175" s="666"/>
      <c r="S175" s="666"/>
      <c r="T175" s="666"/>
      <c r="U175" s="666"/>
      <c r="V175" s="666"/>
      <c r="W175" s="666"/>
      <c r="X175" s="666"/>
      <c r="Y175" s="666"/>
      <c r="Z175" s="666"/>
      <c r="AA175" s="666"/>
      <c r="AB175" s="666"/>
      <c r="AC175" s="666"/>
      <c r="AD175" s="666"/>
      <c r="AE175" s="666"/>
      <c r="AG175" s="199"/>
    </row>
    <row r="176" spans="1:33" s="56" customFormat="1" ht="14.25">
      <c r="A176" s="208" t="s">
        <v>86</v>
      </c>
      <c r="B176" s="718">
        <f>SUM(L176:AE176)</f>
        <v>17205407.638216924</v>
      </c>
      <c r="C176" s="208"/>
      <c r="D176" s="202"/>
      <c r="E176" s="208"/>
      <c r="F176" s="208"/>
      <c r="G176" s="208"/>
      <c r="H176" s="208"/>
      <c r="I176" s="208"/>
      <c r="J176" s="208"/>
      <c r="K176" s="678">
        <f>SUM(K169:K169)</f>
        <v>0</v>
      </c>
      <c r="L176" s="678">
        <f>L174</f>
        <v>809901.24</v>
      </c>
      <c r="M176" s="678">
        <f t="shared" ref="M176:AE176" si="75">M174</f>
        <v>854006.24</v>
      </c>
      <c r="N176" s="678">
        <f t="shared" si="75"/>
        <v>854888.34</v>
      </c>
      <c r="O176" s="678">
        <f t="shared" si="75"/>
        <v>855788.08199999994</v>
      </c>
      <c r="P176" s="678">
        <f t="shared" si="75"/>
        <v>856705.81883999996</v>
      </c>
      <c r="Q176" s="678">
        <f t="shared" si="75"/>
        <v>857641.91041679995</v>
      </c>
      <c r="R176" s="678">
        <f t="shared" si="75"/>
        <v>858596.72382513597</v>
      </c>
      <c r="S176" s="678">
        <f t="shared" si="75"/>
        <v>859570.63350163866</v>
      </c>
      <c r="T176" s="678">
        <f t="shared" si="75"/>
        <v>860564.02137167146</v>
      </c>
      <c r="U176" s="678">
        <f t="shared" si="75"/>
        <v>861577.27699910488</v>
      </c>
      <c r="V176" s="678">
        <f t="shared" si="75"/>
        <v>862610.79773908702</v>
      </c>
      <c r="W176" s="678">
        <f t="shared" si="75"/>
        <v>863664.98889386875</v>
      </c>
      <c r="X176" s="678">
        <f t="shared" si="75"/>
        <v>864740.26387174614</v>
      </c>
      <c r="Y176" s="678">
        <f t="shared" si="75"/>
        <v>865837.044349181</v>
      </c>
      <c r="Z176" s="678">
        <f t="shared" si="75"/>
        <v>866955.76043616468</v>
      </c>
      <c r="AA176" s="678">
        <f t="shared" si="75"/>
        <v>868096.85084488802</v>
      </c>
      <c r="AB176" s="678">
        <f t="shared" si="75"/>
        <v>869260.76306178572</v>
      </c>
      <c r="AC176" s="678">
        <f t="shared" si="75"/>
        <v>870447.95352302142</v>
      </c>
      <c r="AD176" s="678">
        <f t="shared" si="75"/>
        <v>871658.88779348193</v>
      </c>
      <c r="AE176" s="678">
        <f t="shared" si="75"/>
        <v>872894.04074935149</v>
      </c>
      <c r="AG176" s="199"/>
    </row>
    <row r="177" spans="1:31">
      <c r="K177" s="662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1"/>
      <c r="Y177" s="201"/>
      <c r="Z177" s="201"/>
      <c r="AA177" s="201"/>
      <c r="AB177" s="201"/>
      <c r="AC177" s="201"/>
      <c r="AD177" s="201"/>
      <c r="AE177" s="201"/>
    </row>
    <row r="178" spans="1:31">
      <c r="A178" s="251"/>
      <c r="B178" s="251"/>
      <c r="C178" s="251"/>
      <c r="D178" s="259"/>
      <c r="E178" s="251"/>
      <c r="F178" s="251"/>
      <c r="G178" s="251"/>
      <c r="H178" s="251"/>
      <c r="I178" s="251"/>
      <c r="J178" s="251"/>
      <c r="K178" s="324"/>
      <c r="L178" s="325"/>
      <c r="M178" s="325"/>
      <c r="N178" s="325"/>
      <c r="O178" s="325"/>
      <c r="P178" s="325"/>
      <c r="Q178" s="325"/>
      <c r="R178" s="325"/>
      <c r="S178" s="325"/>
      <c r="T178" s="325"/>
      <c r="U178" s="325"/>
      <c r="V178" s="325"/>
      <c r="W178" s="325"/>
      <c r="X178" s="325"/>
      <c r="Y178" s="325"/>
      <c r="Z178" s="325"/>
      <c r="AA178" s="325"/>
      <c r="AB178" s="325"/>
      <c r="AC178" s="325"/>
      <c r="AD178" s="325"/>
      <c r="AE178" s="325"/>
    </row>
    <row r="179" spans="1:31">
      <c r="K179" s="322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1"/>
      <c r="Y179" s="201"/>
      <c r="Z179" s="201"/>
      <c r="AA179" s="201"/>
      <c r="AB179" s="201"/>
      <c r="AC179" s="201"/>
      <c r="AD179" s="201"/>
      <c r="AE179" s="201"/>
    </row>
    <row r="180" spans="1:31">
      <c r="A180"/>
      <c r="K180" s="322"/>
      <c r="L180" s="201"/>
      <c r="M180" s="201"/>
      <c r="N180" s="201"/>
      <c r="O180" s="201"/>
      <c r="P180" s="201"/>
      <c r="Q180" s="960"/>
      <c r="R180" s="201"/>
      <c r="S180" s="201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</row>
    <row r="181" spans="1:31">
      <c r="A181"/>
      <c r="K181" s="322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</row>
    <row r="182" spans="1:31">
      <c r="K182" s="322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  <c r="AA182" s="201"/>
      <c r="AB182" s="201"/>
      <c r="AC182" s="201"/>
      <c r="AD182" s="201"/>
      <c r="AE182" s="201"/>
    </row>
    <row r="183" spans="1:31">
      <c r="K183" s="322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</row>
    <row r="184" spans="1:31">
      <c r="K184" s="322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  <c r="AA184" s="201"/>
      <c r="AB184" s="201"/>
      <c r="AC184" s="201"/>
      <c r="AD184" s="201"/>
      <c r="AE184" s="201"/>
    </row>
    <row r="185" spans="1:31">
      <c r="K185" s="322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</row>
    <row r="186" spans="1:31">
      <c r="K186" s="322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</row>
    <row r="187" spans="1:31">
      <c r="K187" s="322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</row>
    <row r="188" spans="1:31">
      <c r="K188" s="322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</row>
    <row r="189" spans="1:31">
      <c r="K189" s="322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</row>
    <row r="190" spans="1:31">
      <c r="K190" s="322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</row>
    <row r="191" spans="1:31">
      <c r="K191" s="322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</row>
    <row r="192" spans="1:31">
      <c r="K192" s="322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</row>
    <row r="193" spans="11:31">
      <c r="K193" s="322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201"/>
      <c r="AE193" s="20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FD194"/>
  <sheetViews>
    <sheetView topLeftCell="D139" zoomScale="70" zoomScaleNormal="70" workbookViewId="0">
      <selection activeCell="Q113" sqref="Q113"/>
    </sheetView>
  </sheetViews>
  <sheetFormatPr defaultColWidth="9" defaultRowHeight="16.5"/>
  <cols>
    <col min="1" max="1" width="45.625" style="33" customWidth="1"/>
    <col min="2" max="2" width="18.875" style="33" bestFit="1" customWidth="1"/>
    <col min="3" max="3" width="18.125" style="33" bestFit="1" customWidth="1"/>
    <col min="4" max="4" width="16.25" style="109" bestFit="1" customWidth="1"/>
    <col min="5" max="5" width="13.125" style="33" bestFit="1" customWidth="1"/>
    <col min="6" max="6" width="20.5" style="33" bestFit="1" customWidth="1"/>
    <col min="7" max="7" width="20.25" style="33" bestFit="1" customWidth="1"/>
    <col min="8" max="8" width="21.75" style="33" bestFit="1" customWidth="1"/>
    <col min="9" max="9" width="12.125" style="33" bestFit="1" customWidth="1"/>
    <col min="10" max="10" width="13.875" style="33" bestFit="1" customWidth="1"/>
    <col min="11" max="11" width="7.75" style="166" bestFit="1" customWidth="1"/>
    <col min="12" max="12" width="17.125" style="33" bestFit="1" customWidth="1"/>
    <col min="13" max="14" width="17.5" style="33" bestFit="1" customWidth="1"/>
    <col min="15" max="15" width="17.125" style="33" bestFit="1" customWidth="1"/>
    <col min="16" max="16" width="17.5" style="33" bestFit="1" customWidth="1"/>
    <col min="17" max="17" width="17.125" style="33" bestFit="1" customWidth="1"/>
    <col min="18" max="19" width="17.5" style="33" bestFit="1" customWidth="1"/>
    <col min="20" max="20" width="17.125" style="33" bestFit="1" customWidth="1"/>
    <col min="21" max="21" width="17.5" style="33" bestFit="1" customWidth="1"/>
    <col min="22" max="22" width="17.125" style="33" bestFit="1" customWidth="1"/>
    <col min="23" max="31" width="17.5" style="33" bestFit="1" customWidth="1"/>
    <col min="32" max="32" width="22.625" style="33" bestFit="1" customWidth="1"/>
    <col min="33" max="33" width="12.625" style="33" bestFit="1" customWidth="1"/>
    <col min="34" max="16384" width="9" style="33"/>
  </cols>
  <sheetData>
    <row r="1" spans="1:31" ht="18.75" thickBot="1">
      <c r="A1" s="11" t="str">
        <f>Intro!A1</f>
        <v>Town of Bar Harbor</v>
      </c>
      <c r="B1" s="13"/>
      <c r="C1" s="13"/>
      <c r="D1" s="99"/>
      <c r="E1" s="14"/>
      <c r="F1" s="14"/>
      <c r="G1" s="34"/>
      <c r="H1" s="34"/>
      <c r="I1" s="34"/>
      <c r="J1" s="34"/>
      <c r="K1" s="16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</row>
    <row r="2" spans="1:31" ht="17.25" thickBot="1">
      <c r="A2" s="380" t="str">
        <f>Intro!A2</f>
        <v>Ferry Property Business Plan</v>
      </c>
      <c r="B2" s="13"/>
      <c r="C2" s="13"/>
      <c r="D2" s="99"/>
      <c r="E2" s="14"/>
      <c r="F2" s="14"/>
      <c r="G2" s="34"/>
      <c r="H2" s="34"/>
      <c r="I2" s="34"/>
      <c r="J2" s="34"/>
      <c r="K2" s="16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</row>
    <row r="3" spans="1:31" s="392" customFormat="1" ht="14.25" thickBot="1">
      <c r="A3" s="384" t="str">
        <f>Intro!A3</f>
        <v>05.23.2018</v>
      </c>
      <c r="B3" s="2"/>
      <c r="C3" s="382"/>
      <c r="D3" s="393"/>
      <c r="E3" s="385"/>
      <c r="F3" s="385"/>
      <c r="G3" s="389"/>
      <c r="H3" s="389"/>
      <c r="I3" s="389"/>
      <c r="J3" s="389"/>
      <c r="K3" s="390"/>
      <c r="L3" s="391"/>
      <c r="M3" s="391"/>
      <c r="N3" s="391"/>
      <c r="O3" s="391"/>
      <c r="P3" s="391"/>
      <c r="Q3" s="391"/>
      <c r="R3" s="391"/>
      <c r="S3" s="391"/>
      <c r="T3" s="391"/>
      <c r="U3" s="391"/>
      <c r="V3" s="391"/>
      <c r="W3" s="391"/>
      <c r="X3" s="391"/>
      <c r="Y3" s="391"/>
      <c r="Z3" s="391"/>
      <c r="AA3" s="391"/>
      <c r="AB3" s="391"/>
      <c r="AC3" s="391"/>
      <c r="AD3" s="391"/>
      <c r="AE3" s="391"/>
    </row>
    <row r="4" spans="1:31" s="392" customFormat="1" ht="13.5">
      <c r="A4" s="384" t="str">
        <f ca="1">Intro!A4</f>
        <v>Town of Bar Harbor</v>
      </c>
      <c r="B4" s="382"/>
      <c r="C4" s="382"/>
      <c r="D4" s="393"/>
      <c r="E4" s="383">
        <f ca="1">NOW()</f>
        <v>43242.835659143515</v>
      </c>
      <c r="F4" s="383"/>
      <c r="G4" s="389"/>
      <c r="H4" s="389"/>
      <c r="I4" s="389"/>
      <c r="J4" s="389"/>
      <c r="K4" s="390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  <c r="W4" s="391"/>
      <c r="X4" s="391"/>
      <c r="Y4" s="391"/>
      <c r="Z4" s="391"/>
      <c r="AA4" s="391"/>
      <c r="AB4" s="391"/>
      <c r="AC4" s="391"/>
      <c r="AD4" s="391"/>
      <c r="AE4" s="391"/>
    </row>
    <row r="5" spans="1:31">
      <c r="A5" s="231" t="s">
        <v>342</v>
      </c>
      <c r="B5" s="231"/>
      <c r="C5" s="232"/>
      <c r="D5" s="233"/>
      <c r="E5" s="232"/>
      <c r="F5" s="232"/>
      <c r="G5" s="234"/>
      <c r="H5" s="234"/>
      <c r="I5" s="234"/>
      <c r="J5" s="234"/>
      <c r="K5" s="235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1:31">
      <c r="A6" s="237"/>
      <c r="B6" s="237"/>
      <c r="C6" s="237"/>
      <c r="D6" s="238"/>
      <c r="E6" s="237"/>
      <c r="F6" s="237"/>
      <c r="G6" s="237"/>
      <c r="H6" s="237"/>
      <c r="I6" s="237"/>
      <c r="J6" s="237"/>
      <c r="K6" s="659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</row>
    <row r="7" spans="1:31" ht="48.75" customHeight="1">
      <c r="A7" s="239"/>
      <c r="B7" s="240" t="s">
        <v>45</v>
      </c>
      <c r="C7" s="241" t="s">
        <v>46</v>
      </c>
      <c r="D7" s="242" t="s">
        <v>47</v>
      </c>
      <c r="E7" s="240" t="s">
        <v>21</v>
      </c>
      <c r="F7" s="240" t="s">
        <v>48</v>
      </c>
      <c r="G7" s="240" t="s">
        <v>49</v>
      </c>
      <c r="H7" s="240" t="s">
        <v>59</v>
      </c>
      <c r="I7" s="240" t="s">
        <v>22</v>
      </c>
      <c r="J7" s="240" t="s">
        <v>50</v>
      </c>
      <c r="K7" s="243">
        <v>2018</v>
      </c>
      <c r="L7" s="243">
        <v>2019</v>
      </c>
      <c r="M7" s="243">
        <v>2020</v>
      </c>
      <c r="N7" s="243">
        <v>2021</v>
      </c>
      <c r="O7" s="243">
        <v>2022</v>
      </c>
      <c r="P7" s="243">
        <v>2023</v>
      </c>
      <c r="Q7" s="243">
        <v>2024</v>
      </c>
      <c r="R7" s="243">
        <v>2025</v>
      </c>
      <c r="S7" s="243">
        <v>2026</v>
      </c>
      <c r="T7" s="243">
        <v>2027</v>
      </c>
      <c r="U7" s="243">
        <v>2028</v>
      </c>
      <c r="V7" s="243">
        <v>2029</v>
      </c>
      <c r="W7" s="243">
        <v>2030</v>
      </c>
      <c r="X7" s="243">
        <v>2031</v>
      </c>
      <c r="Y7" s="243">
        <v>2032</v>
      </c>
      <c r="Z7" s="243">
        <v>2033</v>
      </c>
      <c r="AA7" s="243">
        <v>2034</v>
      </c>
      <c r="AB7" s="243">
        <v>2035</v>
      </c>
      <c r="AC7" s="243">
        <v>2036</v>
      </c>
      <c r="AD7" s="243">
        <v>2037</v>
      </c>
      <c r="AE7" s="243">
        <v>2038</v>
      </c>
    </row>
    <row r="8" spans="1:31" s="18" customFormat="1" ht="17.25" thickBot="1">
      <c r="K8" s="488"/>
    </row>
    <row r="9" spans="1:31" s="18" customFormat="1" ht="17.25" thickBot="1">
      <c r="A9" s="117" t="s">
        <v>381</v>
      </c>
      <c r="B9" s="286" t="s">
        <v>218</v>
      </c>
      <c r="K9" s="489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  <c r="Y9" s="327"/>
      <c r="Z9" s="327"/>
      <c r="AA9" s="327"/>
      <c r="AB9" s="327"/>
      <c r="AC9" s="327"/>
      <c r="AD9" s="327"/>
      <c r="AE9" s="327"/>
    </row>
    <row r="10" spans="1:31" s="18" customFormat="1">
      <c r="A10" s="649"/>
      <c r="B10" s="372"/>
      <c r="K10" s="489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  <c r="Y10" s="327"/>
      <c r="Z10" s="327"/>
      <c r="AA10" s="327"/>
      <c r="AB10" s="327"/>
      <c r="AC10" s="327"/>
      <c r="AD10" s="327"/>
      <c r="AE10" s="327"/>
    </row>
    <row r="11" spans="1:31">
      <c r="A11" s="38" t="s">
        <v>52</v>
      </c>
      <c r="B11" s="38"/>
      <c r="C11" s="38"/>
      <c r="D11" s="101"/>
      <c r="E11" s="38"/>
      <c r="F11" s="38"/>
      <c r="G11" s="37"/>
      <c r="H11" s="37"/>
      <c r="I11" s="38"/>
      <c r="J11" s="37"/>
      <c r="K11" s="784">
        <f>'OPEX - Concept A1'!K11</f>
        <v>0</v>
      </c>
      <c r="L11" s="311">
        <f>'BH Tariffs'!D52</f>
        <v>1.02</v>
      </c>
      <c r="M11" s="311">
        <f>'BH Tariffs'!E52</f>
        <v>1.0404</v>
      </c>
      <c r="N11" s="311">
        <f>'BH Tariffs'!F52</f>
        <v>1.0612079999999999</v>
      </c>
      <c r="O11" s="311">
        <f>'BH Tariffs'!G52</f>
        <v>1.08243216</v>
      </c>
      <c r="P11" s="311">
        <f>'BH Tariffs'!H52</f>
        <v>1.1040808032</v>
      </c>
      <c r="Q11" s="311">
        <f>'BH Tariffs'!I52</f>
        <v>1.1261624192640001</v>
      </c>
      <c r="R11" s="311">
        <f>'BH Tariffs'!J52</f>
        <v>1.14868566764928</v>
      </c>
      <c r="S11" s="311">
        <f>'BH Tariffs'!K52</f>
        <v>1.1716593810022657</v>
      </c>
      <c r="T11" s="311">
        <f>'BH Tariffs'!L52</f>
        <v>1.1950925686223111</v>
      </c>
      <c r="U11" s="311">
        <f>'BH Tariffs'!M52</f>
        <v>1.2189944199947573</v>
      </c>
      <c r="V11" s="311">
        <f>'BH Tariffs'!N52</f>
        <v>1.2433743083946525</v>
      </c>
      <c r="W11" s="311">
        <f>'BH Tariffs'!O52</f>
        <v>1.2682417945625455</v>
      </c>
      <c r="X11" s="311">
        <f>'BH Tariffs'!P52</f>
        <v>1.2936066304537963</v>
      </c>
      <c r="Y11" s="311">
        <f>'BH Tariffs'!Q52</f>
        <v>1.3194787630628724</v>
      </c>
      <c r="Z11" s="311">
        <f>'BH Tariffs'!R52</f>
        <v>1.3458683383241299</v>
      </c>
      <c r="AA11" s="311">
        <f>'BH Tariffs'!S52</f>
        <v>1.3727857050906125</v>
      </c>
      <c r="AB11" s="311">
        <f>'BH Tariffs'!T52</f>
        <v>1.4002414191924248</v>
      </c>
      <c r="AC11" s="311">
        <f>'BH Tariffs'!U52</f>
        <v>1.4282462475762734</v>
      </c>
      <c r="AD11" s="311">
        <f>'BH Tariffs'!V52</f>
        <v>1.4568111725277988</v>
      </c>
      <c r="AE11" s="311">
        <f>'BH Tariffs'!W52</f>
        <v>1.4859473959783549</v>
      </c>
    </row>
    <row r="12" spans="1:31">
      <c r="A12" s="38" t="s">
        <v>58</v>
      </c>
      <c r="B12" s="38"/>
      <c r="C12" s="37"/>
      <c r="D12" s="76"/>
      <c r="E12" s="79">
        <v>0.2</v>
      </c>
      <c r="F12" s="172"/>
      <c r="G12" s="36"/>
      <c r="H12" s="36"/>
      <c r="I12" s="38"/>
      <c r="J12" s="36"/>
      <c r="K12" s="661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200"/>
      <c r="AC12" s="200"/>
      <c r="AD12" s="200"/>
      <c r="AE12" s="200"/>
    </row>
    <row r="13" spans="1:31">
      <c r="A13" s="38" t="s">
        <v>51</v>
      </c>
      <c r="B13" s="38"/>
      <c r="C13" s="37"/>
      <c r="D13" s="76"/>
      <c r="E13" s="79"/>
      <c r="F13" s="79">
        <v>0.4</v>
      </c>
      <c r="G13" s="36"/>
      <c r="H13" s="36"/>
      <c r="I13" s="38"/>
      <c r="J13" s="36"/>
      <c r="K13" s="661"/>
      <c r="L13" s="200"/>
      <c r="M13" s="200"/>
      <c r="N13" s="200"/>
      <c r="O13" s="200"/>
      <c r="P13" s="200"/>
      <c r="Q13" s="200"/>
      <c r="R13" s="200"/>
      <c r="S13" s="200"/>
      <c r="T13" s="200"/>
      <c r="U13" s="200"/>
      <c r="V13" s="200"/>
      <c r="W13" s="200"/>
      <c r="X13" s="200"/>
      <c r="Y13" s="200"/>
      <c r="Z13" s="200"/>
      <c r="AA13" s="200"/>
      <c r="AB13" s="200"/>
      <c r="AC13" s="200"/>
      <c r="AD13" s="200"/>
      <c r="AE13" s="200"/>
    </row>
    <row r="14" spans="1:31" s="18" customFormat="1">
      <c r="A14" s="649"/>
      <c r="B14" s="372"/>
      <c r="K14" s="489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7"/>
      <c r="X14" s="327"/>
      <c r="Y14" s="327"/>
      <c r="Z14" s="327"/>
      <c r="AA14" s="327"/>
      <c r="AB14" s="327"/>
      <c r="AC14" s="327"/>
      <c r="AD14" s="327"/>
      <c r="AE14" s="327"/>
    </row>
    <row r="15" spans="1:31" s="18" customFormat="1">
      <c r="K15" s="489"/>
      <c r="L15" s="327"/>
      <c r="M15" s="327"/>
      <c r="N15" s="327"/>
      <c r="O15" s="327"/>
      <c r="P15" s="327"/>
      <c r="Q15" s="327"/>
      <c r="R15" s="327"/>
      <c r="S15" s="327"/>
      <c r="T15" s="327"/>
      <c r="U15" s="327"/>
      <c r="V15" s="327"/>
      <c r="W15" s="327"/>
      <c r="X15" s="327"/>
      <c r="Y15" s="327"/>
      <c r="Z15" s="327"/>
      <c r="AA15" s="327"/>
      <c r="AB15" s="327"/>
      <c r="AC15" s="327"/>
      <c r="AD15" s="327"/>
      <c r="AE15" s="327"/>
    </row>
    <row r="16" spans="1:31" s="547" customFormat="1" ht="14.25">
      <c r="A16" s="547" t="s">
        <v>83</v>
      </c>
      <c r="K16" s="619"/>
      <c r="L16" s="620"/>
      <c r="M16" s="620"/>
      <c r="N16" s="620"/>
      <c r="O16" s="620"/>
      <c r="P16" s="620"/>
      <c r="Q16" s="620"/>
      <c r="R16" s="620"/>
      <c r="S16" s="620"/>
      <c r="T16" s="620"/>
      <c r="U16" s="620"/>
      <c r="V16" s="620"/>
      <c r="W16" s="620"/>
      <c r="X16" s="620"/>
      <c r="Y16" s="620"/>
      <c r="Z16" s="620"/>
      <c r="AA16" s="620"/>
      <c r="AB16" s="620"/>
      <c r="AC16" s="620"/>
      <c r="AD16" s="620"/>
      <c r="AE16" s="620"/>
    </row>
    <row r="17" spans="1:31" s="341" customFormat="1">
      <c r="A17" s="621" t="str">
        <f>'Cruise Projections'!A67</f>
        <v>Passengers</v>
      </c>
      <c r="B17" s="553"/>
      <c r="C17" s="553"/>
      <c r="K17" s="554">
        <f>'P&amp;L - Concept A2'!D12</f>
        <v>0</v>
      </c>
      <c r="L17" s="555">
        <f>'P&amp;L - Concept A2'!E12</f>
        <v>0</v>
      </c>
      <c r="M17" s="555">
        <f>'P&amp;L - Concept A2'!F12</f>
        <v>0</v>
      </c>
      <c r="N17" s="555">
        <f>'P&amp;L - Concept A2'!G12</f>
        <v>0</v>
      </c>
      <c r="O17" s="555">
        <f>'P&amp;L - Concept A2'!H12</f>
        <v>0</v>
      </c>
      <c r="P17" s="555">
        <f>'P&amp;L - Concept A2'!I12</f>
        <v>0</v>
      </c>
      <c r="Q17" s="555">
        <f>'P&amp;L - Concept A2'!J12</f>
        <v>0</v>
      </c>
      <c r="R17" s="555">
        <f>'P&amp;L - Concept A2'!K12</f>
        <v>0</v>
      </c>
      <c r="S17" s="555">
        <f>'P&amp;L - Concept A2'!L12</f>
        <v>0</v>
      </c>
      <c r="T17" s="555">
        <f>'P&amp;L - Concept A2'!M12</f>
        <v>0</v>
      </c>
      <c r="U17" s="555">
        <f>'P&amp;L - Concept A2'!N12</f>
        <v>0</v>
      </c>
      <c r="V17" s="555">
        <f>'P&amp;L - Concept A2'!O12</f>
        <v>0</v>
      </c>
      <c r="W17" s="555">
        <f>'P&amp;L - Concept A2'!P12</f>
        <v>0</v>
      </c>
      <c r="X17" s="555">
        <f>'P&amp;L - Concept A2'!Q12</f>
        <v>0</v>
      </c>
      <c r="Y17" s="555">
        <f>'P&amp;L - Concept A2'!R12</f>
        <v>0</v>
      </c>
      <c r="Z17" s="555">
        <f>'P&amp;L - Concept A2'!S12</f>
        <v>0</v>
      </c>
      <c r="AA17" s="555">
        <f>'P&amp;L - Concept A2'!T12</f>
        <v>0</v>
      </c>
      <c r="AB17" s="555">
        <f>'P&amp;L - Concept A2'!U12</f>
        <v>0</v>
      </c>
      <c r="AC17" s="555">
        <f>'P&amp;L - Concept A2'!V12</f>
        <v>0</v>
      </c>
      <c r="AD17" s="555">
        <f>'P&amp;L - Concept A2'!W12</f>
        <v>0</v>
      </c>
      <c r="AE17" s="555">
        <f>'P&amp;L - Concept A2'!X12</f>
        <v>0</v>
      </c>
    </row>
    <row r="18" spans="1:31" s="341" customFormat="1">
      <c r="A18" s="621" t="str">
        <f>'Cruise Projections'!A68</f>
        <v>Calls</v>
      </c>
      <c r="B18" s="553"/>
      <c r="C18" s="553"/>
      <c r="K18" s="554">
        <f>'P&amp;L - Concept A2'!D13</f>
        <v>0</v>
      </c>
      <c r="L18" s="555">
        <f>'P&amp;L - Concept A2'!E13</f>
        <v>0</v>
      </c>
      <c r="M18" s="555">
        <f>'P&amp;L - Concept A2'!F13</f>
        <v>0</v>
      </c>
      <c r="N18" s="555">
        <f>'P&amp;L - Concept A2'!G13</f>
        <v>0</v>
      </c>
      <c r="O18" s="555">
        <f>'P&amp;L - Concept A2'!H13</f>
        <v>0</v>
      </c>
      <c r="P18" s="555">
        <f>'P&amp;L - Concept A2'!I13</f>
        <v>0</v>
      </c>
      <c r="Q18" s="555">
        <f>'P&amp;L - Concept A2'!J13</f>
        <v>0</v>
      </c>
      <c r="R18" s="555">
        <f>'P&amp;L - Concept A2'!K13</f>
        <v>0</v>
      </c>
      <c r="S18" s="555">
        <f>'P&amp;L - Concept A2'!L13</f>
        <v>0</v>
      </c>
      <c r="T18" s="555">
        <f>'P&amp;L - Concept A2'!M13</f>
        <v>0</v>
      </c>
      <c r="U18" s="555">
        <f>'P&amp;L - Concept A2'!N13</f>
        <v>0</v>
      </c>
      <c r="V18" s="555">
        <f>'P&amp;L - Concept A2'!O13</f>
        <v>0</v>
      </c>
      <c r="W18" s="555">
        <f>'P&amp;L - Concept A2'!P13</f>
        <v>0</v>
      </c>
      <c r="X18" s="555">
        <f>'P&amp;L - Concept A2'!Q13</f>
        <v>0</v>
      </c>
      <c r="Y18" s="555">
        <f>'P&amp;L - Concept A2'!R13</f>
        <v>0</v>
      </c>
      <c r="Z18" s="555">
        <f>'P&amp;L - Concept A2'!S13</f>
        <v>0</v>
      </c>
      <c r="AA18" s="555">
        <f>'P&amp;L - Concept A2'!T13</f>
        <v>0</v>
      </c>
      <c r="AB18" s="555">
        <f>'P&amp;L - Concept A2'!U13</f>
        <v>0</v>
      </c>
      <c r="AC18" s="555">
        <f>'P&amp;L - Concept A2'!V13</f>
        <v>0</v>
      </c>
      <c r="AD18" s="555">
        <f>'P&amp;L - Concept A2'!W13</f>
        <v>0</v>
      </c>
      <c r="AE18" s="555">
        <f>'P&amp;L - Concept A2'!X13</f>
        <v>0</v>
      </c>
    </row>
    <row r="19" spans="1:31" s="341" customFormat="1">
      <c r="A19" s="621" t="str">
        <f>'Cruise Projections'!A69</f>
        <v>Passengers per Call</v>
      </c>
      <c r="B19" s="553"/>
      <c r="C19" s="553"/>
      <c r="K19" s="554">
        <f>'P&amp;L - Concept A2'!D14</f>
        <v>0</v>
      </c>
      <c r="L19" s="555">
        <f>'P&amp;L - Concept A2'!E14</f>
        <v>0</v>
      </c>
      <c r="M19" s="555">
        <f>'P&amp;L - Concept A2'!F14</f>
        <v>0</v>
      </c>
      <c r="N19" s="555">
        <f>'P&amp;L - Concept A2'!G14</f>
        <v>0</v>
      </c>
      <c r="O19" s="555">
        <f>'P&amp;L - Concept A2'!H14</f>
        <v>0</v>
      </c>
      <c r="P19" s="555">
        <f>'P&amp;L - Concept A2'!I14</f>
        <v>0</v>
      </c>
      <c r="Q19" s="555">
        <f>'P&amp;L - Concept A2'!J14</f>
        <v>0</v>
      </c>
      <c r="R19" s="555">
        <f>'P&amp;L - Concept A2'!K14</f>
        <v>0</v>
      </c>
      <c r="S19" s="555">
        <f>'P&amp;L - Concept A2'!L14</f>
        <v>0</v>
      </c>
      <c r="T19" s="555">
        <f>'P&amp;L - Concept A2'!M14</f>
        <v>0</v>
      </c>
      <c r="U19" s="555">
        <f>'P&amp;L - Concept A2'!N14</f>
        <v>0</v>
      </c>
      <c r="V19" s="555">
        <f>'P&amp;L - Concept A2'!O14</f>
        <v>0</v>
      </c>
      <c r="W19" s="555">
        <f>'P&amp;L - Concept A2'!P14</f>
        <v>0</v>
      </c>
      <c r="X19" s="555">
        <f>'P&amp;L - Concept A2'!Q14</f>
        <v>0</v>
      </c>
      <c r="Y19" s="555">
        <f>'P&amp;L - Concept A2'!R14</f>
        <v>0</v>
      </c>
      <c r="Z19" s="555">
        <f>'P&amp;L - Concept A2'!S14</f>
        <v>0</v>
      </c>
      <c r="AA19" s="555">
        <f>'P&amp;L - Concept A2'!T14</f>
        <v>0</v>
      </c>
      <c r="AB19" s="555">
        <f>'P&amp;L - Concept A2'!U14</f>
        <v>0</v>
      </c>
      <c r="AC19" s="555">
        <f>'P&amp;L - Concept A2'!V14</f>
        <v>0</v>
      </c>
      <c r="AD19" s="555">
        <f>'P&amp;L - Concept A2'!W14</f>
        <v>0</v>
      </c>
      <c r="AE19" s="555">
        <f>'P&amp;L - Concept A2'!X14</f>
        <v>0</v>
      </c>
    </row>
    <row r="20" spans="1:31" s="341" customFormat="1">
      <c r="A20" s="552" t="s">
        <v>313</v>
      </c>
      <c r="B20" s="553"/>
      <c r="C20" s="553"/>
      <c r="K20" s="554">
        <f>'P&amp;L - Concept A2'!D15</f>
        <v>0</v>
      </c>
      <c r="L20" s="555">
        <f>'P&amp;L - Concept A2'!E15</f>
        <v>0</v>
      </c>
      <c r="M20" s="555">
        <f>'P&amp;L - Concept A2'!F15</f>
        <v>0</v>
      </c>
      <c r="N20" s="555">
        <f>'P&amp;L - Concept A2'!G15</f>
        <v>0</v>
      </c>
      <c r="O20" s="555">
        <f>'P&amp;L - Concept A2'!H15</f>
        <v>0</v>
      </c>
      <c r="P20" s="555">
        <f>'P&amp;L - Concept A2'!I15</f>
        <v>0</v>
      </c>
      <c r="Q20" s="555">
        <f>'P&amp;L - Concept A2'!J15</f>
        <v>0</v>
      </c>
      <c r="R20" s="555">
        <f>'P&amp;L - Concept A2'!K15</f>
        <v>0</v>
      </c>
      <c r="S20" s="555">
        <f>'P&amp;L - Concept A2'!L15</f>
        <v>0</v>
      </c>
      <c r="T20" s="555">
        <f>'P&amp;L - Concept A2'!M15</f>
        <v>0</v>
      </c>
      <c r="U20" s="555">
        <f>'P&amp;L - Concept A2'!N15</f>
        <v>0</v>
      </c>
      <c r="V20" s="555">
        <f>'P&amp;L - Concept A2'!O15</f>
        <v>0</v>
      </c>
      <c r="W20" s="555">
        <f>'P&amp;L - Concept A2'!P15</f>
        <v>0</v>
      </c>
      <c r="X20" s="555">
        <f>'P&amp;L - Concept A2'!Q15</f>
        <v>0</v>
      </c>
      <c r="Y20" s="555">
        <f>'P&amp;L - Concept A2'!R15</f>
        <v>0</v>
      </c>
      <c r="Z20" s="555">
        <f>'P&amp;L - Concept A2'!S15</f>
        <v>0</v>
      </c>
      <c r="AA20" s="555">
        <f>'P&amp;L - Concept A2'!T15</f>
        <v>0</v>
      </c>
      <c r="AB20" s="555">
        <f>'P&amp;L - Concept A2'!U15</f>
        <v>0</v>
      </c>
      <c r="AC20" s="555">
        <f>'P&amp;L - Concept A2'!V15</f>
        <v>0</v>
      </c>
      <c r="AD20" s="555">
        <f>'P&amp;L - Concept A2'!W15</f>
        <v>0</v>
      </c>
      <c r="AE20" s="555">
        <f>'P&amp;L - Concept A2'!X15</f>
        <v>0</v>
      </c>
    </row>
    <row r="21" spans="1:31" s="18" customFormat="1">
      <c r="A21" s="54"/>
      <c r="B21" s="21"/>
      <c r="C21" s="21"/>
      <c r="K21" s="486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  <c r="Y21" s="313"/>
      <c r="Z21" s="313"/>
      <c r="AA21" s="313"/>
      <c r="AB21" s="313"/>
      <c r="AC21" s="313"/>
      <c r="AD21" s="313"/>
      <c r="AE21" s="313"/>
    </row>
    <row r="22" spans="1:31" s="547" customFormat="1" ht="14.25">
      <c r="A22" s="549" t="s">
        <v>163</v>
      </c>
      <c r="B22" s="550"/>
      <c r="C22" s="550"/>
      <c r="K22" s="610"/>
      <c r="L22" s="551"/>
      <c r="M22" s="551"/>
      <c r="N22" s="551"/>
      <c r="O22" s="551"/>
      <c r="P22" s="551"/>
      <c r="Q22" s="551"/>
      <c r="R22" s="551"/>
      <c r="S22" s="551"/>
      <c r="T22" s="551"/>
      <c r="U22" s="551"/>
      <c r="V22" s="551"/>
      <c r="W22" s="551"/>
      <c r="X22" s="551"/>
      <c r="Y22" s="551"/>
      <c r="Z22" s="551"/>
      <c r="AA22" s="551"/>
      <c r="AB22" s="551"/>
      <c r="AC22" s="551"/>
      <c r="AD22" s="551"/>
      <c r="AE22" s="551"/>
    </row>
    <row r="23" spans="1:31" s="341" customFormat="1">
      <c r="A23" s="552" t="str">
        <f>'International Ferry Projections'!A11</f>
        <v>Passengers</v>
      </c>
      <c r="B23" s="553"/>
      <c r="C23" s="553"/>
      <c r="K23" s="554">
        <f>'P&amp;L - Concept A2'!D18</f>
        <v>0</v>
      </c>
      <c r="L23" s="555">
        <f>'P&amp;L - Concept A2'!E18</f>
        <v>60000</v>
      </c>
      <c r="M23" s="555">
        <f>'P&amp;L - Concept A2'!F18</f>
        <v>70000</v>
      </c>
      <c r="N23" s="555">
        <f>'P&amp;L - Concept A2'!G18</f>
        <v>80000</v>
      </c>
      <c r="O23" s="555">
        <f>'P&amp;L - Concept A2'!H18</f>
        <v>80000</v>
      </c>
      <c r="P23" s="555">
        <f>'P&amp;L - Concept A2'!I18</f>
        <v>80000</v>
      </c>
      <c r="Q23" s="555">
        <f>'P&amp;L - Concept A2'!J18</f>
        <v>80000</v>
      </c>
      <c r="R23" s="555">
        <f>'P&amp;L - Concept A2'!K18</f>
        <v>80000</v>
      </c>
      <c r="S23" s="555">
        <f>'P&amp;L - Concept A2'!L18</f>
        <v>80000</v>
      </c>
      <c r="T23" s="555">
        <f>'P&amp;L - Concept A2'!M18</f>
        <v>80000</v>
      </c>
      <c r="U23" s="555">
        <f>'P&amp;L - Concept A2'!N18</f>
        <v>80000</v>
      </c>
      <c r="V23" s="555">
        <f>'P&amp;L - Concept A2'!O18</f>
        <v>80000</v>
      </c>
      <c r="W23" s="555">
        <f>'P&amp;L - Concept A2'!P18</f>
        <v>80000</v>
      </c>
      <c r="X23" s="555">
        <f>'P&amp;L - Concept A2'!Q18</f>
        <v>80000</v>
      </c>
      <c r="Y23" s="555">
        <f>'P&amp;L - Concept A2'!R18</f>
        <v>80000</v>
      </c>
      <c r="Z23" s="555">
        <f>'P&amp;L - Concept A2'!S18</f>
        <v>80000</v>
      </c>
      <c r="AA23" s="555">
        <f>'P&amp;L - Concept A2'!T18</f>
        <v>80000</v>
      </c>
      <c r="AB23" s="555">
        <f>'P&amp;L - Concept A2'!U18</f>
        <v>80000</v>
      </c>
      <c r="AC23" s="555">
        <f>'P&amp;L - Concept A2'!V18</f>
        <v>80000</v>
      </c>
      <c r="AD23" s="555">
        <f>'P&amp;L - Concept A2'!W18</f>
        <v>80000</v>
      </c>
      <c r="AE23" s="555">
        <f>'P&amp;L - Concept A2'!X18</f>
        <v>80000</v>
      </c>
    </row>
    <row r="24" spans="1:31" s="341" customFormat="1">
      <c r="A24" s="552" t="str">
        <f>'International Ferry Projections'!A12</f>
        <v>Cars</v>
      </c>
      <c r="B24" s="553"/>
      <c r="C24" s="553"/>
      <c r="K24" s="554">
        <f>'P&amp;L - Concept A2'!D19</f>
        <v>0</v>
      </c>
      <c r="L24" s="555">
        <f>'P&amp;L - Concept A2'!E19</f>
        <v>24000</v>
      </c>
      <c r="M24" s="555">
        <f>'P&amp;L - Concept A2'!F19</f>
        <v>28000</v>
      </c>
      <c r="N24" s="555">
        <f>'P&amp;L - Concept A2'!G19</f>
        <v>32000</v>
      </c>
      <c r="O24" s="555">
        <f>'P&amp;L - Concept A2'!H19</f>
        <v>32000</v>
      </c>
      <c r="P24" s="555">
        <f>'P&amp;L - Concept A2'!I19</f>
        <v>32000</v>
      </c>
      <c r="Q24" s="555">
        <f>'P&amp;L - Concept A2'!J19</f>
        <v>32000</v>
      </c>
      <c r="R24" s="555">
        <f>'P&amp;L - Concept A2'!K19</f>
        <v>32000</v>
      </c>
      <c r="S24" s="555">
        <f>'P&amp;L - Concept A2'!L19</f>
        <v>32000</v>
      </c>
      <c r="T24" s="555">
        <f>'P&amp;L - Concept A2'!M19</f>
        <v>32000</v>
      </c>
      <c r="U24" s="555">
        <f>'P&amp;L - Concept A2'!N19</f>
        <v>32000</v>
      </c>
      <c r="V24" s="555">
        <f>'P&amp;L - Concept A2'!O19</f>
        <v>32000</v>
      </c>
      <c r="W24" s="555">
        <f>'P&amp;L - Concept A2'!P19</f>
        <v>32000</v>
      </c>
      <c r="X24" s="555">
        <f>'P&amp;L - Concept A2'!Q19</f>
        <v>32000</v>
      </c>
      <c r="Y24" s="555">
        <f>'P&amp;L - Concept A2'!R19</f>
        <v>32000</v>
      </c>
      <c r="Z24" s="555">
        <f>'P&amp;L - Concept A2'!S19</f>
        <v>32000</v>
      </c>
      <c r="AA24" s="555">
        <f>'P&amp;L - Concept A2'!T19</f>
        <v>32000</v>
      </c>
      <c r="AB24" s="555">
        <f>'P&amp;L - Concept A2'!U19</f>
        <v>32000</v>
      </c>
      <c r="AC24" s="555">
        <f>'P&amp;L - Concept A2'!V19</f>
        <v>32000</v>
      </c>
      <c r="AD24" s="555">
        <f>'P&amp;L - Concept A2'!W19</f>
        <v>32000</v>
      </c>
      <c r="AE24" s="555">
        <f>'P&amp;L - Concept A2'!X19</f>
        <v>32000</v>
      </c>
    </row>
    <row r="25" spans="1:31" s="341" customFormat="1">
      <c r="A25" s="552" t="str">
        <f>'International Ferry Projections'!A13</f>
        <v>Buses</v>
      </c>
      <c r="B25" s="553"/>
      <c r="C25" s="553"/>
      <c r="K25" s="554">
        <f>'P&amp;L - Concept A2'!D20</f>
        <v>0</v>
      </c>
      <c r="L25" s="555">
        <f>'P&amp;L - Concept A2'!E20</f>
        <v>40</v>
      </c>
      <c r="M25" s="555">
        <f>'P&amp;L - Concept A2'!F20</f>
        <v>50</v>
      </c>
      <c r="N25" s="555">
        <f>'P&amp;L - Concept A2'!G20</f>
        <v>60</v>
      </c>
      <c r="O25" s="555">
        <f>'P&amp;L - Concept A2'!H20</f>
        <v>60</v>
      </c>
      <c r="P25" s="555">
        <f>'P&amp;L - Concept A2'!I20</f>
        <v>60</v>
      </c>
      <c r="Q25" s="555">
        <f>'P&amp;L - Concept A2'!J20</f>
        <v>60</v>
      </c>
      <c r="R25" s="555">
        <f>'P&amp;L - Concept A2'!K20</f>
        <v>60</v>
      </c>
      <c r="S25" s="555">
        <f>'P&amp;L - Concept A2'!L20</f>
        <v>60</v>
      </c>
      <c r="T25" s="555">
        <f>'P&amp;L - Concept A2'!M20</f>
        <v>60</v>
      </c>
      <c r="U25" s="555">
        <f>'P&amp;L - Concept A2'!N20</f>
        <v>60</v>
      </c>
      <c r="V25" s="555">
        <f>'P&amp;L - Concept A2'!O20</f>
        <v>60</v>
      </c>
      <c r="W25" s="555">
        <f>'P&amp;L - Concept A2'!P20</f>
        <v>60</v>
      </c>
      <c r="X25" s="555">
        <f>'P&amp;L - Concept A2'!Q20</f>
        <v>60</v>
      </c>
      <c r="Y25" s="555">
        <f>'P&amp;L - Concept A2'!R20</f>
        <v>60</v>
      </c>
      <c r="Z25" s="555">
        <f>'P&amp;L - Concept A2'!S20</f>
        <v>60</v>
      </c>
      <c r="AA25" s="555">
        <f>'P&amp;L - Concept A2'!T20</f>
        <v>60</v>
      </c>
      <c r="AB25" s="555">
        <f>'P&amp;L - Concept A2'!U20</f>
        <v>60</v>
      </c>
      <c r="AC25" s="555">
        <f>'P&amp;L - Concept A2'!V20</f>
        <v>60</v>
      </c>
      <c r="AD25" s="555">
        <f>'P&amp;L - Concept A2'!W20</f>
        <v>60</v>
      </c>
      <c r="AE25" s="555">
        <f>'P&amp;L - Concept A2'!X20</f>
        <v>60</v>
      </c>
    </row>
    <row r="26" spans="1:31" s="18" customFormat="1">
      <c r="A26" s="54"/>
      <c r="B26" s="21"/>
      <c r="C26" s="21"/>
      <c r="K26" s="486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</row>
    <row r="27" spans="1:31" s="582" customFormat="1">
      <c r="A27" s="293" t="str">
        <f>'BH Tariffs'!A30</f>
        <v>Local Ferry</v>
      </c>
      <c r="B27" s="581"/>
      <c r="C27" s="581"/>
      <c r="K27" s="486"/>
      <c r="L27" s="329"/>
      <c r="M27" s="329"/>
      <c r="N27" s="329"/>
      <c r="O27" s="329"/>
      <c r="P27" s="329"/>
      <c r="Q27" s="329"/>
      <c r="R27" s="329"/>
      <c r="S27" s="329"/>
      <c r="T27" s="329"/>
      <c r="U27" s="329"/>
      <c r="V27" s="329"/>
      <c r="W27" s="329"/>
      <c r="X27" s="329"/>
      <c r="Y27" s="329"/>
      <c r="Z27" s="329"/>
      <c r="AA27" s="329"/>
      <c r="AB27" s="329"/>
      <c r="AC27" s="329"/>
      <c r="AD27" s="329"/>
      <c r="AE27" s="329"/>
    </row>
    <row r="28" spans="1:31" s="96" customFormat="1">
      <c r="A28" s="54" t="str">
        <f>'BH Tariffs'!A31</f>
        <v>Dock Rent (6 Months Only)</v>
      </c>
      <c r="B28" s="487"/>
      <c r="C28" s="487"/>
      <c r="K28" s="486">
        <f>'P&amp;L - Concept A2'!D23</f>
        <v>0</v>
      </c>
      <c r="L28" s="623" t="str">
        <f>'P&amp;L - Concept A2'!E23</f>
        <v>see Tariff</v>
      </c>
      <c r="M28" s="623" t="str">
        <f>'P&amp;L - Concept A2'!F23</f>
        <v>see Tariff</v>
      </c>
      <c r="N28" s="623" t="str">
        <f>'P&amp;L - Concept A2'!G23</f>
        <v>see Tariff</v>
      </c>
      <c r="O28" s="623" t="str">
        <f>'P&amp;L - Concept A2'!H23</f>
        <v>see Tariff</v>
      </c>
      <c r="P28" s="623" t="str">
        <f>'P&amp;L - Concept A2'!I23</f>
        <v>see Tariff</v>
      </c>
      <c r="Q28" s="623" t="str">
        <f>'P&amp;L - Concept A2'!J23</f>
        <v>see Tariff</v>
      </c>
      <c r="R28" s="623" t="str">
        <f>'P&amp;L - Concept A2'!K23</f>
        <v>see Tariff</v>
      </c>
      <c r="S28" s="623" t="str">
        <f>'P&amp;L - Concept A2'!L23</f>
        <v>see Tariff</v>
      </c>
      <c r="T28" s="623" t="str">
        <f>'P&amp;L - Concept A2'!M23</f>
        <v>see Tariff</v>
      </c>
      <c r="U28" s="623" t="str">
        <f>'P&amp;L - Concept A2'!N23</f>
        <v>see Tariff</v>
      </c>
      <c r="V28" s="623" t="str">
        <f>'P&amp;L - Concept A2'!O23</f>
        <v>see Tariff</v>
      </c>
      <c r="W28" s="623" t="str">
        <f>'P&amp;L - Concept A2'!P23</f>
        <v>see Tariff</v>
      </c>
      <c r="X28" s="623" t="str">
        <f>'P&amp;L - Concept A2'!Q23</f>
        <v>see Tariff</v>
      </c>
      <c r="Y28" s="623" t="str">
        <f>'P&amp;L - Concept A2'!R23</f>
        <v>see Tariff</v>
      </c>
      <c r="Z28" s="623" t="str">
        <f>'P&amp;L - Concept A2'!S23</f>
        <v>see Tariff</v>
      </c>
      <c r="AA28" s="623" t="str">
        <f>'P&amp;L - Concept A2'!T23</f>
        <v>see Tariff</v>
      </c>
      <c r="AB28" s="623" t="str">
        <f>'P&amp;L - Concept A2'!U23</f>
        <v>see Tariff</v>
      </c>
      <c r="AC28" s="623" t="str">
        <f>'P&amp;L - Concept A2'!V23</f>
        <v>see Tariff</v>
      </c>
      <c r="AD28" s="623" t="str">
        <f>'P&amp;L - Concept A2'!W23</f>
        <v>see Tariff</v>
      </c>
      <c r="AE28" s="623" t="str">
        <f>'P&amp;L - Concept A2'!X23</f>
        <v>see Tariff</v>
      </c>
    </row>
    <row r="29" spans="1:31" s="341" customFormat="1">
      <c r="A29" s="552"/>
      <c r="B29" s="553"/>
      <c r="C29" s="553"/>
      <c r="K29" s="554"/>
      <c r="L29" s="555"/>
      <c r="M29" s="555"/>
      <c r="N29" s="555"/>
      <c r="O29" s="555"/>
      <c r="P29" s="555"/>
      <c r="Q29" s="555"/>
      <c r="R29" s="555"/>
      <c r="S29" s="555"/>
      <c r="T29" s="555"/>
      <c r="U29" s="555"/>
      <c r="V29" s="555"/>
      <c r="W29" s="555"/>
      <c r="X29" s="555"/>
      <c r="Y29" s="555"/>
      <c r="Z29" s="555"/>
      <c r="AA29" s="555"/>
      <c r="AB29" s="555"/>
      <c r="AC29" s="555"/>
      <c r="AD29" s="555"/>
      <c r="AE29" s="555"/>
    </row>
    <row r="30" spans="1:31" s="96" customFormat="1">
      <c r="A30" s="559" t="s">
        <v>227</v>
      </c>
      <c r="B30" s="487"/>
      <c r="C30" s="487"/>
      <c r="K30" s="486"/>
      <c r="L30" s="313"/>
      <c r="M30" s="313"/>
      <c r="N30" s="313"/>
      <c r="O30" s="313"/>
      <c r="P30" s="313"/>
      <c r="Q30" s="313"/>
      <c r="R30" s="313"/>
      <c r="S30" s="313"/>
      <c r="T30" s="313"/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</row>
    <row r="31" spans="1:31" s="96" customFormat="1">
      <c r="A31" s="559"/>
      <c r="B31" s="487"/>
      <c r="C31" s="487"/>
      <c r="K31" s="486"/>
      <c r="L31" s="313"/>
      <c r="M31" s="313"/>
      <c r="N31" s="313"/>
      <c r="O31" s="313"/>
      <c r="P31" s="313"/>
      <c r="Q31" s="313"/>
      <c r="R31" s="313"/>
      <c r="S31" s="313"/>
      <c r="T31" s="313"/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</row>
    <row r="32" spans="1:31" s="18" customFormat="1">
      <c r="A32" s="54" t="s">
        <v>420</v>
      </c>
      <c r="B32" s="21"/>
      <c r="C32" s="21"/>
      <c r="K32" s="486">
        <f>'P&amp;L - Concept A2'!D27</f>
        <v>0</v>
      </c>
      <c r="L32" s="313">
        <f>'P&amp;L - Concept A2'!E27</f>
        <v>0</v>
      </c>
      <c r="M32" s="313">
        <f>'P&amp;L - Concept A2'!F27</f>
        <v>214</v>
      </c>
      <c r="N32" s="313">
        <f>'P&amp;L - Concept A2'!G27</f>
        <v>214</v>
      </c>
      <c r="O32" s="313">
        <f>'P&amp;L - Concept A2'!H27</f>
        <v>214</v>
      </c>
      <c r="P32" s="313">
        <f>'P&amp;L - Concept A2'!I27</f>
        <v>214</v>
      </c>
      <c r="Q32" s="313">
        <f>'P&amp;L - Concept A2'!J27</f>
        <v>214</v>
      </c>
      <c r="R32" s="313">
        <f>'P&amp;L - Concept A2'!K27</f>
        <v>214</v>
      </c>
      <c r="S32" s="313">
        <f>'P&amp;L - Concept A2'!L27</f>
        <v>214</v>
      </c>
      <c r="T32" s="313">
        <f>'P&amp;L - Concept A2'!M27</f>
        <v>214</v>
      </c>
      <c r="U32" s="313">
        <f>'P&amp;L - Concept A2'!N27</f>
        <v>214</v>
      </c>
      <c r="V32" s="313">
        <f>'P&amp;L - Concept A2'!O27</f>
        <v>214</v>
      </c>
      <c r="W32" s="313">
        <f>'P&amp;L - Concept A2'!P27</f>
        <v>214</v>
      </c>
      <c r="X32" s="313">
        <f>'P&amp;L - Concept A2'!Q27</f>
        <v>214</v>
      </c>
      <c r="Y32" s="313">
        <f>'P&amp;L - Concept A2'!R27</f>
        <v>214</v>
      </c>
      <c r="Z32" s="313">
        <f>'P&amp;L - Concept A2'!S27</f>
        <v>214</v>
      </c>
      <c r="AA32" s="313">
        <f>'P&amp;L - Concept A2'!T27</f>
        <v>214</v>
      </c>
      <c r="AB32" s="313">
        <f>'P&amp;L - Concept A2'!U27</f>
        <v>214</v>
      </c>
      <c r="AC32" s="313">
        <f>'P&amp;L - Concept A2'!V27</f>
        <v>214</v>
      </c>
      <c r="AD32" s="313">
        <f>'P&amp;L - Concept A2'!W27</f>
        <v>214</v>
      </c>
      <c r="AE32" s="313">
        <f>'P&amp;L - Concept A2'!X27</f>
        <v>214</v>
      </c>
    </row>
    <row r="33" spans="1:31" s="341" customFormat="1">
      <c r="A33" s="552" t="s">
        <v>205</v>
      </c>
      <c r="B33" s="553"/>
      <c r="C33" s="553"/>
      <c r="K33" s="554">
        <f>'P&amp;L - Concept A2'!D28</f>
        <v>0</v>
      </c>
      <c r="L33" s="560">
        <f>'P&amp;L - Concept A2'!E28</f>
        <v>0</v>
      </c>
      <c r="M33" s="560">
        <f>'P&amp;L - Concept A2'!F28</f>
        <v>31.102343084676253</v>
      </c>
      <c r="N33" s="560">
        <f>'P&amp;L - Concept A2'!G28</f>
        <v>33.08079253393673</v>
      </c>
      <c r="O33" s="560">
        <f>'P&amp;L - Concept A2'!H28</f>
        <v>34.751627733366121</v>
      </c>
      <c r="P33" s="560">
        <f>'P&amp;L - Concept A2'!I28</f>
        <v>35.893083709582015</v>
      </c>
      <c r="Q33" s="560">
        <f>'P&amp;L - Concept A2'!J28</f>
        <v>37.101192669283478</v>
      </c>
      <c r="R33" s="560">
        <f>'P&amp;L - Concept A2'!K28</f>
        <v>38.428851859015516</v>
      </c>
      <c r="S33" s="560">
        <f>'P&amp;L - Concept A2'!L28</f>
        <v>39.743393287481908</v>
      </c>
      <c r="T33" s="560">
        <f>'P&amp;L - Concept A2'!M28</f>
        <v>40.393144256705909</v>
      </c>
      <c r="U33" s="560">
        <f>'P&amp;L - Concept A2'!N28</f>
        <v>41.182784800148873</v>
      </c>
      <c r="V33" s="560">
        <f>'P&amp;L - Concept A2'!O28</f>
        <v>42.00581197297619</v>
      </c>
      <c r="W33" s="560">
        <f>'P&amp;L - Concept A2'!P28</f>
        <v>42.427677626093356</v>
      </c>
      <c r="X33" s="560">
        <f>'P&amp;L - Concept A2'!Q28</f>
        <v>42.444707284491429</v>
      </c>
      <c r="Y33" s="560">
        <f>'P&amp;L - Concept A2'!R28</f>
        <v>42.366158474806085</v>
      </c>
      <c r="Z33" s="560">
        <f>'P&amp;L - Concept A2'!S28</f>
        <v>42.539206123732718</v>
      </c>
      <c r="AA33" s="560">
        <f>'P&amp;L - Concept A2'!T28</f>
        <v>42.657554770462752</v>
      </c>
      <c r="AB33" s="560">
        <f>'P&amp;L - Concept A2'!U28</f>
        <v>42.717111591748328</v>
      </c>
      <c r="AC33" s="560">
        <f>'P&amp;L - Concept A2'!V28</f>
        <v>42.983945805620365</v>
      </c>
      <c r="AD33" s="560">
        <f>'P&amp;L - Concept A2'!W28</f>
        <v>43.051784597932915</v>
      </c>
      <c r="AE33" s="560">
        <f>'P&amp;L - Concept A2'!X28</f>
        <v>43.030880982919477</v>
      </c>
    </row>
    <row r="34" spans="1:31" s="341" customFormat="1">
      <c r="A34" s="552" t="s">
        <v>219</v>
      </c>
      <c r="B34" s="553"/>
      <c r="C34" s="553"/>
      <c r="K34" s="554">
        <f>'P&amp;L - Concept A2'!D29</f>
        <v>0</v>
      </c>
      <c r="L34" s="560">
        <f>'P&amp;L - Concept A2'!E29</f>
        <v>150</v>
      </c>
      <c r="M34" s="560">
        <f>'P&amp;L - Concept A2'!F29</f>
        <v>150</v>
      </c>
      <c r="N34" s="560">
        <f>'P&amp;L - Concept A2'!G29</f>
        <v>150</v>
      </c>
      <c r="O34" s="560">
        <f>'P&amp;L - Concept A2'!H29</f>
        <v>150</v>
      </c>
      <c r="P34" s="560">
        <f>'P&amp;L - Concept A2'!I29</f>
        <v>150</v>
      </c>
      <c r="Q34" s="560">
        <f>'P&amp;L - Concept A2'!J29</f>
        <v>150</v>
      </c>
      <c r="R34" s="560">
        <f>'P&amp;L - Concept A2'!K29</f>
        <v>150</v>
      </c>
      <c r="S34" s="560">
        <f>'P&amp;L - Concept A2'!L29</f>
        <v>150</v>
      </c>
      <c r="T34" s="560">
        <f>'P&amp;L - Concept A2'!M29</f>
        <v>150</v>
      </c>
      <c r="U34" s="560">
        <f>'P&amp;L - Concept A2'!N29</f>
        <v>150</v>
      </c>
      <c r="V34" s="560">
        <f>'P&amp;L - Concept A2'!O29</f>
        <v>150</v>
      </c>
      <c r="W34" s="560">
        <f>'P&amp;L - Concept A2'!P29</f>
        <v>150</v>
      </c>
      <c r="X34" s="560">
        <f>'P&amp;L - Concept A2'!Q29</f>
        <v>150</v>
      </c>
      <c r="Y34" s="560">
        <f>'P&amp;L - Concept A2'!R29</f>
        <v>150</v>
      </c>
      <c r="Z34" s="560">
        <f>'P&amp;L - Concept A2'!S29</f>
        <v>150</v>
      </c>
      <c r="AA34" s="560">
        <f>'P&amp;L - Concept A2'!T29</f>
        <v>150</v>
      </c>
      <c r="AB34" s="560">
        <f>'P&amp;L - Concept A2'!U29</f>
        <v>150</v>
      </c>
      <c r="AC34" s="560">
        <f>'P&amp;L - Concept A2'!V29</f>
        <v>150</v>
      </c>
      <c r="AD34" s="560">
        <f>'P&amp;L - Concept A2'!W29</f>
        <v>150</v>
      </c>
      <c r="AE34" s="560">
        <f>'P&amp;L - Concept A2'!X29</f>
        <v>150</v>
      </c>
    </row>
    <row r="35" spans="1:31" s="341" customFormat="1">
      <c r="A35" s="552" t="s">
        <v>220</v>
      </c>
      <c r="B35" s="553"/>
      <c r="C35" s="553"/>
      <c r="K35" s="554">
        <f>'P&amp;L - Concept A2'!D30</f>
        <v>0</v>
      </c>
      <c r="L35" s="791">
        <v>0</v>
      </c>
      <c r="M35" s="791">
        <v>0</v>
      </c>
      <c r="N35" s="791">
        <v>0</v>
      </c>
      <c r="O35" s="791">
        <v>0</v>
      </c>
      <c r="P35" s="791">
        <v>0</v>
      </c>
      <c r="Q35" s="791">
        <v>0</v>
      </c>
      <c r="R35" s="791">
        <v>0</v>
      </c>
      <c r="S35" s="791">
        <v>0</v>
      </c>
      <c r="T35" s="791">
        <v>0</v>
      </c>
      <c r="U35" s="791">
        <v>0</v>
      </c>
      <c r="V35" s="791">
        <v>0</v>
      </c>
      <c r="W35" s="791">
        <v>0</v>
      </c>
      <c r="X35" s="791">
        <v>0</v>
      </c>
      <c r="Y35" s="791">
        <v>0</v>
      </c>
      <c r="Z35" s="791">
        <v>0</v>
      </c>
      <c r="AA35" s="791">
        <v>0</v>
      </c>
      <c r="AB35" s="791">
        <v>0</v>
      </c>
      <c r="AC35" s="791">
        <v>0</v>
      </c>
      <c r="AD35" s="791">
        <v>0</v>
      </c>
      <c r="AE35" s="791">
        <v>0</v>
      </c>
    </row>
    <row r="36" spans="1:31" s="96" customFormat="1">
      <c r="A36" s="54" t="s">
        <v>226</v>
      </c>
      <c r="B36" s="487"/>
      <c r="C36" s="487"/>
      <c r="K36" s="486">
        <f>'P&amp;L - Concept A2'!D31</f>
        <v>0</v>
      </c>
      <c r="L36" s="330">
        <f>'P&amp;L - Concept A2'!E31</f>
        <v>0</v>
      </c>
      <c r="M36" s="330">
        <f>'P&amp;L - Concept A2'!F31</f>
        <v>125</v>
      </c>
      <c r="N36" s="330">
        <f>'P&amp;L - Concept A2'!G31</f>
        <v>125</v>
      </c>
      <c r="O36" s="330">
        <f>'P&amp;L - Concept A2'!H31</f>
        <v>125</v>
      </c>
      <c r="P36" s="330">
        <f>'P&amp;L - Concept A2'!I31</f>
        <v>125</v>
      </c>
      <c r="Q36" s="330">
        <f>'P&amp;L - Concept A2'!J31</f>
        <v>125</v>
      </c>
      <c r="R36" s="330">
        <f>'P&amp;L - Concept A2'!K31</f>
        <v>125</v>
      </c>
      <c r="S36" s="330">
        <f>'P&amp;L - Concept A2'!L31</f>
        <v>125</v>
      </c>
      <c r="T36" s="330">
        <f>'P&amp;L - Concept A2'!M31</f>
        <v>125</v>
      </c>
      <c r="U36" s="330">
        <f>'P&amp;L - Concept A2'!N31</f>
        <v>125</v>
      </c>
      <c r="V36" s="330">
        <f>'P&amp;L - Concept A2'!O31</f>
        <v>125</v>
      </c>
      <c r="W36" s="330">
        <f>'P&amp;L - Concept A2'!P31</f>
        <v>125</v>
      </c>
      <c r="X36" s="330">
        <f>'P&amp;L - Concept A2'!Q31</f>
        <v>125</v>
      </c>
      <c r="Y36" s="330">
        <f>'P&amp;L - Concept A2'!R31</f>
        <v>125</v>
      </c>
      <c r="Z36" s="330">
        <f>'P&amp;L - Concept A2'!S31</f>
        <v>125</v>
      </c>
      <c r="AA36" s="330">
        <f>'P&amp;L - Concept A2'!T31</f>
        <v>125</v>
      </c>
      <c r="AB36" s="330">
        <f>'P&amp;L - Concept A2'!U31</f>
        <v>125</v>
      </c>
      <c r="AC36" s="330">
        <f>'P&amp;L - Concept A2'!V31</f>
        <v>125</v>
      </c>
      <c r="AD36" s="330">
        <f>'P&amp;L - Concept A2'!W31</f>
        <v>125</v>
      </c>
      <c r="AE36" s="330">
        <f>'P&amp;L - Concept A2'!X31</f>
        <v>125</v>
      </c>
    </row>
    <row r="37" spans="1:31" s="18" customFormat="1">
      <c r="A37" s="54"/>
      <c r="B37" s="21"/>
      <c r="C37" s="21"/>
      <c r="K37" s="486"/>
      <c r="L37" s="495"/>
      <c r="M37" s="495"/>
      <c r="N37" s="495"/>
      <c r="O37" s="495"/>
      <c r="P37" s="495"/>
      <c r="Q37" s="495"/>
      <c r="R37" s="495"/>
      <c r="S37" s="495"/>
      <c r="T37" s="495"/>
      <c r="U37" s="495"/>
      <c r="V37" s="495"/>
      <c r="W37" s="495"/>
      <c r="X37" s="495"/>
      <c r="Y37" s="495"/>
      <c r="Z37" s="495"/>
      <c r="AA37" s="495"/>
      <c r="AB37" s="495"/>
      <c r="AC37" s="495"/>
      <c r="AD37" s="495"/>
      <c r="AE37" s="495"/>
    </row>
    <row r="38" spans="1:31" s="341" customFormat="1">
      <c r="A38" s="552" t="s">
        <v>206</v>
      </c>
      <c r="B38" s="553"/>
      <c r="C38" s="553"/>
      <c r="K38" s="554">
        <f>'P&amp;L - Concept A2'!D33</f>
        <v>0</v>
      </c>
      <c r="L38" s="555">
        <f>'P&amp;L - Concept A2'!E33</f>
        <v>0</v>
      </c>
      <c r="M38" s="555">
        <f>'P&amp;L - Concept A2'!F33</f>
        <v>0</v>
      </c>
      <c r="N38" s="555">
        <f>'P&amp;L - Concept A2'!G33</f>
        <v>0</v>
      </c>
      <c r="O38" s="555">
        <f>'P&amp;L - Concept A2'!H33</f>
        <v>0</v>
      </c>
      <c r="P38" s="555">
        <f>'P&amp;L - Concept A2'!I33</f>
        <v>0</v>
      </c>
      <c r="Q38" s="555">
        <f>'P&amp;L - Concept A2'!J33</f>
        <v>0</v>
      </c>
      <c r="R38" s="555">
        <f>'P&amp;L - Concept A2'!K33</f>
        <v>0</v>
      </c>
      <c r="S38" s="555">
        <f>'P&amp;L - Concept A2'!L33</f>
        <v>0</v>
      </c>
      <c r="T38" s="555">
        <f>'P&amp;L - Concept A2'!M33</f>
        <v>0</v>
      </c>
      <c r="U38" s="555">
        <f>'P&amp;L - Concept A2'!N33</f>
        <v>0</v>
      </c>
      <c r="V38" s="555">
        <f>'P&amp;L - Concept A2'!O33</f>
        <v>0</v>
      </c>
      <c r="W38" s="555">
        <f>'P&amp;L - Concept A2'!P33</f>
        <v>0</v>
      </c>
      <c r="X38" s="555">
        <f>'P&amp;L - Concept A2'!Q33</f>
        <v>0</v>
      </c>
      <c r="Y38" s="555">
        <f>'P&amp;L - Concept A2'!R33</f>
        <v>0</v>
      </c>
      <c r="Z38" s="555">
        <f>'P&amp;L - Concept A2'!S33</f>
        <v>0</v>
      </c>
      <c r="AA38" s="555">
        <f>'P&amp;L - Concept A2'!T33</f>
        <v>0</v>
      </c>
      <c r="AB38" s="555">
        <f>'P&amp;L - Concept A2'!U33</f>
        <v>0</v>
      </c>
      <c r="AC38" s="555">
        <f>'P&amp;L - Concept A2'!V33</f>
        <v>0</v>
      </c>
      <c r="AD38" s="555">
        <f>'P&amp;L - Concept A2'!W33</f>
        <v>0</v>
      </c>
      <c r="AE38" s="555">
        <f>'P&amp;L - Concept A2'!X33</f>
        <v>0</v>
      </c>
    </row>
    <row r="39" spans="1:31" s="341" customFormat="1">
      <c r="A39" s="552" t="s">
        <v>207</v>
      </c>
      <c r="B39" s="553"/>
      <c r="C39" s="553"/>
      <c r="K39" s="554">
        <f>'P&amp;L - Concept A2'!D34</f>
        <v>0</v>
      </c>
      <c r="L39" s="555">
        <f>'P&amp;L - Concept A2'!E34</f>
        <v>0</v>
      </c>
      <c r="M39" s="555">
        <f>'P&amp;L - Concept A2'!F34</f>
        <v>5500</v>
      </c>
      <c r="N39" s="555">
        <f>'P&amp;L - Concept A2'!G34</f>
        <v>5500</v>
      </c>
      <c r="O39" s="555">
        <f>'P&amp;L - Concept A2'!H34</f>
        <v>5500</v>
      </c>
      <c r="P39" s="555">
        <f>'P&amp;L - Concept A2'!I34</f>
        <v>5500</v>
      </c>
      <c r="Q39" s="555">
        <f>'P&amp;L - Concept A2'!J34</f>
        <v>5500</v>
      </c>
      <c r="R39" s="555">
        <f>'P&amp;L - Concept A2'!K34</f>
        <v>5500</v>
      </c>
      <c r="S39" s="555">
        <f>'P&amp;L - Concept A2'!L34</f>
        <v>5500</v>
      </c>
      <c r="T39" s="555">
        <f>'P&amp;L - Concept A2'!M34</f>
        <v>5500</v>
      </c>
      <c r="U39" s="555">
        <f>'P&amp;L - Concept A2'!N34</f>
        <v>5500</v>
      </c>
      <c r="V39" s="555">
        <f>'P&amp;L - Concept A2'!O34</f>
        <v>5500</v>
      </c>
      <c r="W39" s="555">
        <f>'P&amp;L - Concept A2'!P34</f>
        <v>5500</v>
      </c>
      <c r="X39" s="555">
        <f>'P&amp;L - Concept A2'!Q34</f>
        <v>5500</v>
      </c>
      <c r="Y39" s="555">
        <f>'P&amp;L - Concept A2'!R34</f>
        <v>5500</v>
      </c>
      <c r="Z39" s="555">
        <f>'P&amp;L - Concept A2'!S34</f>
        <v>5500</v>
      </c>
      <c r="AA39" s="555">
        <f>'P&amp;L - Concept A2'!T34</f>
        <v>5500</v>
      </c>
      <c r="AB39" s="555">
        <f>'P&amp;L - Concept A2'!U34</f>
        <v>5500</v>
      </c>
      <c r="AC39" s="555">
        <f>'P&amp;L - Concept A2'!V34</f>
        <v>5500</v>
      </c>
      <c r="AD39" s="555">
        <f>'P&amp;L - Concept A2'!W34</f>
        <v>5500</v>
      </c>
      <c r="AE39" s="555">
        <f>'P&amp;L - Concept A2'!X34</f>
        <v>5500</v>
      </c>
    </row>
    <row r="40" spans="1:31" s="341" customFormat="1">
      <c r="A40" s="552" t="s">
        <v>221</v>
      </c>
      <c r="B40" s="553"/>
      <c r="C40" s="553"/>
      <c r="K40" s="554">
        <f>'P&amp;L - Concept A2'!D35</f>
        <v>0</v>
      </c>
      <c r="L40" s="560">
        <f>'P&amp;L - Concept A2'!E35</f>
        <v>400</v>
      </c>
      <c r="M40" s="560">
        <f>'P&amp;L - Concept A2'!F35</f>
        <v>466.66666666666669</v>
      </c>
      <c r="N40" s="560">
        <f>'P&amp;L - Concept A2'!G35</f>
        <v>533.33333333333337</v>
      </c>
      <c r="O40" s="560">
        <f>'P&amp;L - Concept A2'!H35</f>
        <v>533.33333333333337</v>
      </c>
      <c r="P40" s="560">
        <f>'P&amp;L - Concept A2'!I35</f>
        <v>533.33333333333337</v>
      </c>
      <c r="Q40" s="560">
        <f>'P&amp;L - Concept A2'!J35</f>
        <v>533.33333333333337</v>
      </c>
      <c r="R40" s="560">
        <f>'P&amp;L - Concept A2'!K35</f>
        <v>533.33333333333337</v>
      </c>
      <c r="S40" s="560">
        <f>'P&amp;L - Concept A2'!L35</f>
        <v>533.33333333333337</v>
      </c>
      <c r="T40" s="560">
        <f>'P&amp;L - Concept A2'!M35</f>
        <v>533.33333333333337</v>
      </c>
      <c r="U40" s="560">
        <f>'P&amp;L - Concept A2'!N35</f>
        <v>533.33333333333337</v>
      </c>
      <c r="V40" s="560">
        <f>'P&amp;L - Concept A2'!O35</f>
        <v>533.33333333333337</v>
      </c>
      <c r="W40" s="560">
        <f>'P&amp;L - Concept A2'!P35</f>
        <v>533.33333333333337</v>
      </c>
      <c r="X40" s="560">
        <f>'P&amp;L - Concept A2'!Q35</f>
        <v>533.33333333333337</v>
      </c>
      <c r="Y40" s="560">
        <f>'P&amp;L - Concept A2'!R35</f>
        <v>533.33333333333337</v>
      </c>
      <c r="Z40" s="560">
        <f>'P&amp;L - Concept A2'!S35</f>
        <v>533.33333333333337</v>
      </c>
      <c r="AA40" s="560">
        <f>'P&amp;L - Concept A2'!T35</f>
        <v>533.33333333333337</v>
      </c>
      <c r="AB40" s="560">
        <f>'P&amp;L - Concept A2'!U35</f>
        <v>533.33333333333337</v>
      </c>
      <c r="AC40" s="560">
        <f>'P&amp;L - Concept A2'!V35</f>
        <v>533.33333333333337</v>
      </c>
      <c r="AD40" s="560">
        <f>'P&amp;L - Concept A2'!W35</f>
        <v>533.33333333333337</v>
      </c>
      <c r="AE40" s="560">
        <f>'P&amp;L - Concept A2'!X35</f>
        <v>533.33333333333337</v>
      </c>
    </row>
    <row r="41" spans="1:31" s="341" customFormat="1">
      <c r="A41" s="552" t="s">
        <v>222</v>
      </c>
      <c r="B41" s="553"/>
      <c r="C41" s="553"/>
      <c r="K41" s="554">
        <f>'P&amp;L - Concept A2'!D36</f>
        <v>0</v>
      </c>
      <c r="L41" s="560">
        <f>'P&amp;L - Concept A2'!E36</f>
        <v>800</v>
      </c>
      <c r="M41" s="560">
        <f>'P&amp;L - Concept A2'!F36</f>
        <v>800</v>
      </c>
      <c r="N41" s="560">
        <f>'P&amp;L - Concept A2'!G36</f>
        <v>800</v>
      </c>
      <c r="O41" s="560">
        <f>'P&amp;L - Concept A2'!H36</f>
        <v>800</v>
      </c>
      <c r="P41" s="560">
        <f>'P&amp;L - Concept A2'!I36</f>
        <v>800</v>
      </c>
      <c r="Q41" s="560">
        <f>'P&amp;L - Concept A2'!J36</f>
        <v>800</v>
      </c>
      <c r="R41" s="560">
        <f>'P&amp;L - Concept A2'!K36</f>
        <v>800</v>
      </c>
      <c r="S41" s="560">
        <f>'P&amp;L - Concept A2'!L36</f>
        <v>800</v>
      </c>
      <c r="T41" s="560">
        <f>'P&amp;L - Concept A2'!M36</f>
        <v>800</v>
      </c>
      <c r="U41" s="560">
        <f>'P&amp;L - Concept A2'!N36</f>
        <v>800</v>
      </c>
      <c r="V41" s="560">
        <f>'P&amp;L - Concept A2'!O36</f>
        <v>800</v>
      </c>
      <c r="W41" s="560">
        <f>'P&amp;L - Concept A2'!P36</f>
        <v>800</v>
      </c>
      <c r="X41" s="560">
        <f>'P&amp;L - Concept A2'!Q36</f>
        <v>800</v>
      </c>
      <c r="Y41" s="560">
        <f>'P&amp;L - Concept A2'!R36</f>
        <v>800</v>
      </c>
      <c r="Z41" s="560">
        <f>'P&amp;L - Concept A2'!S36</f>
        <v>800</v>
      </c>
      <c r="AA41" s="560">
        <f>'P&amp;L - Concept A2'!T36</f>
        <v>800</v>
      </c>
      <c r="AB41" s="560">
        <f>'P&amp;L - Concept A2'!U36</f>
        <v>800</v>
      </c>
      <c r="AC41" s="560">
        <f>'P&amp;L - Concept A2'!V36</f>
        <v>800</v>
      </c>
      <c r="AD41" s="560">
        <f>'P&amp;L - Concept A2'!W36</f>
        <v>800</v>
      </c>
      <c r="AE41" s="560">
        <f>'P&amp;L - Concept A2'!X36</f>
        <v>800</v>
      </c>
    </row>
    <row r="42" spans="1:31" s="341" customFormat="1">
      <c r="A42" s="552" t="s">
        <v>208</v>
      </c>
      <c r="B42" s="553"/>
      <c r="C42" s="553"/>
      <c r="K42" s="554">
        <f>'P&amp;L - Concept A2'!D37</f>
        <v>0</v>
      </c>
      <c r="L42" s="560">
        <f>'P&amp;L - Concept A2'!E37</f>
        <v>800</v>
      </c>
      <c r="M42" s="560">
        <f>'P&amp;L - Concept A2'!F37</f>
        <v>6300</v>
      </c>
      <c r="N42" s="560">
        <f>'P&amp;L - Concept A2'!G37</f>
        <v>6300</v>
      </c>
      <c r="O42" s="560">
        <f>'P&amp;L - Concept A2'!H37</f>
        <v>6300</v>
      </c>
      <c r="P42" s="560">
        <f>'P&amp;L - Concept A2'!I37</f>
        <v>6300</v>
      </c>
      <c r="Q42" s="560">
        <f>'P&amp;L - Concept A2'!J37</f>
        <v>6300</v>
      </c>
      <c r="R42" s="560">
        <f>'P&amp;L - Concept A2'!K37</f>
        <v>6300</v>
      </c>
      <c r="S42" s="560">
        <f>'P&amp;L - Concept A2'!L37</f>
        <v>6300</v>
      </c>
      <c r="T42" s="560">
        <f>'P&amp;L - Concept A2'!M37</f>
        <v>6300</v>
      </c>
      <c r="U42" s="560">
        <f>'P&amp;L - Concept A2'!N37</f>
        <v>6300</v>
      </c>
      <c r="V42" s="560">
        <f>'P&amp;L - Concept A2'!O37</f>
        <v>6300</v>
      </c>
      <c r="W42" s="560">
        <f>'P&amp;L - Concept A2'!P37</f>
        <v>6300</v>
      </c>
      <c r="X42" s="560">
        <f>'P&amp;L - Concept A2'!Q37</f>
        <v>6300</v>
      </c>
      <c r="Y42" s="560">
        <f>'P&amp;L - Concept A2'!R37</f>
        <v>6300</v>
      </c>
      <c r="Z42" s="560">
        <f>'P&amp;L - Concept A2'!S37</f>
        <v>6300</v>
      </c>
      <c r="AA42" s="560">
        <f>'P&amp;L - Concept A2'!T37</f>
        <v>6300</v>
      </c>
      <c r="AB42" s="560">
        <f>'P&amp;L - Concept A2'!U37</f>
        <v>6300</v>
      </c>
      <c r="AC42" s="560">
        <f>'P&amp;L - Concept A2'!V37</f>
        <v>6300</v>
      </c>
      <c r="AD42" s="560">
        <f>'P&amp;L - Concept A2'!W37</f>
        <v>6300</v>
      </c>
      <c r="AE42" s="560">
        <f>'P&amp;L - Concept A2'!X37</f>
        <v>6300</v>
      </c>
    </row>
    <row r="43" spans="1:31" s="18" customFormat="1">
      <c r="A43" s="54"/>
      <c r="B43" s="21"/>
      <c r="C43" s="21"/>
      <c r="K43" s="486"/>
      <c r="L43" s="330"/>
      <c r="M43" s="330"/>
      <c r="N43" s="330"/>
      <c r="O43" s="330"/>
      <c r="P43" s="330"/>
      <c r="Q43" s="330"/>
      <c r="R43" s="330"/>
      <c r="S43" s="330"/>
      <c r="T43" s="330"/>
      <c r="U43" s="330"/>
      <c r="V43" s="330"/>
      <c r="W43" s="330"/>
      <c r="X43" s="330"/>
      <c r="Y43" s="330"/>
      <c r="Z43" s="330"/>
      <c r="AA43" s="330"/>
      <c r="AB43" s="330"/>
      <c r="AC43" s="330"/>
      <c r="AD43" s="330"/>
      <c r="AE43" s="330"/>
    </row>
    <row r="44" spans="1:31" s="341" customFormat="1">
      <c r="A44" s="552" t="s">
        <v>223</v>
      </c>
      <c r="B44" s="557"/>
      <c r="C44" s="557"/>
      <c r="K44" s="554">
        <f>'P&amp;L - Concept A2'!D39</f>
        <v>0</v>
      </c>
      <c r="L44" s="555">
        <f>'P&amp;L - Concept A2'!E39</f>
        <v>160.26666666666668</v>
      </c>
      <c r="M44" s="555">
        <f>'P&amp;L - Concept A2'!F39</f>
        <v>187</v>
      </c>
      <c r="N44" s="555">
        <f>'P&amp;L - Concept A2'!G39</f>
        <v>213.73333333333332</v>
      </c>
      <c r="O44" s="555">
        <f>'P&amp;L - Concept A2'!H39</f>
        <v>213.73333333333332</v>
      </c>
      <c r="P44" s="555">
        <f>'P&amp;L - Concept A2'!I39</f>
        <v>213.73333333333332</v>
      </c>
      <c r="Q44" s="555">
        <f>'P&amp;L - Concept A2'!J39</f>
        <v>213.73333333333332</v>
      </c>
      <c r="R44" s="555">
        <f>'P&amp;L - Concept A2'!K39</f>
        <v>213.73333333333332</v>
      </c>
      <c r="S44" s="555">
        <f>'P&amp;L - Concept A2'!L39</f>
        <v>213.73333333333332</v>
      </c>
      <c r="T44" s="555">
        <f>'P&amp;L - Concept A2'!M39</f>
        <v>213.73333333333332</v>
      </c>
      <c r="U44" s="555">
        <f>'P&amp;L - Concept A2'!N39</f>
        <v>213.73333333333332</v>
      </c>
      <c r="V44" s="555">
        <f>'P&amp;L - Concept A2'!O39</f>
        <v>213.73333333333332</v>
      </c>
      <c r="W44" s="555">
        <f>'P&amp;L - Concept A2'!P39</f>
        <v>213.73333333333332</v>
      </c>
      <c r="X44" s="555">
        <f>'P&amp;L - Concept A2'!Q39</f>
        <v>213.73333333333332</v>
      </c>
      <c r="Y44" s="555">
        <f>'P&amp;L - Concept A2'!R39</f>
        <v>213.73333333333332</v>
      </c>
      <c r="Z44" s="555">
        <f>'P&amp;L - Concept A2'!S39</f>
        <v>213.73333333333332</v>
      </c>
      <c r="AA44" s="555">
        <f>'P&amp;L - Concept A2'!T39</f>
        <v>213.73333333333332</v>
      </c>
      <c r="AB44" s="555">
        <f>'P&amp;L - Concept A2'!U39</f>
        <v>213.73333333333332</v>
      </c>
      <c r="AC44" s="555">
        <f>'P&amp;L - Concept A2'!V39</f>
        <v>213.73333333333332</v>
      </c>
      <c r="AD44" s="555">
        <f>'P&amp;L - Concept A2'!W39</f>
        <v>213.73333333333332</v>
      </c>
      <c r="AE44" s="555">
        <f>'P&amp;L - Concept A2'!X39</f>
        <v>213.73333333333332</v>
      </c>
    </row>
    <row r="45" spans="1:31" s="18" customFormat="1">
      <c r="A45" s="54"/>
      <c r="B45" s="74"/>
      <c r="C45" s="74"/>
      <c r="K45" s="492"/>
      <c r="L45" s="308"/>
      <c r="M45" s="308"/>
      <c r="N45" s="308"/>
      <c r="O45" s="308"/>
      <c r="P45" s="308"/>
      <c r="Q45" s="308"/>
      <c r="R45" s="308"/>
      <c r="S45" s="308"/>
      <c r="T45" s="308"/>
      <c r="U45" s="308"/>
      <c r="V45" s="308"/>
      <c r="W45" s="308"/>
      <c r="X45" s="308"/>
      <c r="Y45" s="308"/>
      <c r="Z45" s="308"/>
      <c r="AA45" s="308"/>
      <c r="AB45" s="308"/>
      <c r="AC45" s="308"/>
      <c r="AD45" s="308"/>
      <c r="AE45" s="308"/>
    </row>
    <row r="46" spans="1:31" s="18" customFormat="1">
      <c r="A46" s="293" t="s">
        <v>26</v>
      </c>
      <c r="B46" s="74"/>
      <c r="C46" s="74"/>
      <c r="K46" s="492"/>
      <c r="L46" s="308"/>
      <c r="M46" s="308"/>
      <c r="N46" s="308"/>
      <c r="O46" s="308"/>
      <c r="P46" s="308"/>
      <c r="Q46" s="308"/>
      <c r="R46" s="308"/>
      <c r="S46" s="308"/>
      <c r="T46" s="308"/>
      <c r="U46" s="308"/>
      <c r="V46" s="308"/>
      <c r="W46" s="308"/>
      <c r="X46" s="308"/>
      <c r="Y46" s="308"/>
      <c r="Z46" s="308"/>
      <c r="AA46" s="308"/>
      <c r="AB46" s="308"/>
      <c r="AC46" s="308"/>
      <c r="AD46" s="308"/>
      <c r="AE46" s="308"/>
    </row>
    <row r="47" spans="1:31" s="18" customFormat="1">
      <c r="A47" s="54" t="s">
        <v>264</v>
      </c>
      <c r="B47" s="277"/>
      <c r="C47" s="74"/>
      <c r="K47" s="486">
        <f>'P&amp;L - Concept A2'!D42</f>
        <v>0</v>
      </c>
      <c r="L47" s="313">
        <f>'P&amp;L - Concept A2'!E42</f>
        <v>1922.3333333333337</v>
      </c>
      <c r="M47" s="313">
        <f>'P&amp;L - Concept A2'!F42</f>
        <v>3844.6666666666674</v>
      </c>
      <c r="N47" s="313">
        <f>'P&amp;L - Concept A2'!G42</f>
        <v>3844.6666666666674</v>
      </c>
      <c r="O47" s="313">
        <f>'P&amp;L - Concept A2'!H42</f>
        <v>3844.6666666666674</v>
      </c>
      <c r="P47" s="313">
        <f>'P&amp;L - Concept A2'!I42</f>
        <v>3844.6666666666674</v>
      </c>
      <c r="Q47" s="313">
        <f>'P&amp;L - Concept A2'!J42</f>
        <v>3844.6666666666674</v>
      </c>
      <c r="R47" s="313">
        <f>'P&amp;L - Concept A2'!K42</f>
        <v>3844.6666666666674</v>
      </c>
      <c r="S47" s="313">
        <f>'P&amp;L - Concept A2'!L42</f>
        <v>3844.6666666666674</v>
      </c>
      <c r="T47" s="313">
        <f>'P&amp;L - Concept A2'!M42</f>
        <v>3844.6666666666674</v>
      </c>
      <c r="U47" s="313">
        <f>'P&amp;L - Concept A2'!N42</f>
        <v>3844.6666666666674</v>
      </c>
      <c r="V47" s="313">
        <f>'P&amp;L - Concept A2'!O42</f>
        <v>3844.6666666666674</v>
      </c>
      <c r="W47" s="313">
        <f>'P&amp;L - Concept A2'!P42</f>
        <v>3844.6666666666674</v>
      </c>
      <c r="X47" s="313">
        <f>'P&amp;L - Concept A2'!Q42</f>
        <v>3844.6666666666674</v>
      </c>
      <c r="Y47" s="313">
        <f>'P&amp;L - Concept A2'!R42</f>
        <v>3844.6666666666674</v>
      </c>
      <c r="Z47" s="313">
        <f>'P&amp;L - Concept A2'!S42</f>
        <v>3844.6666666666674</v>
      </c>
      <c r="AA47" s="313">
        <f>'P&amp;L - Concept A2'!T42</f>
        <v>3844.6666666666674</v>
      </c>
      <c r="AB47" s="313">
        <f>'P&amp;L - Concept A2'!U42</f>
        <v>3844.6666666666674</v>
      </c>
      <c r="AC47" s="313">
        <f>'P&amp;L - Concept A2'!V42</f>
        <v>3844.6666666666674</v>
      </c>
      <c r="AD47" s="313">
        <f>'P&amp;L - Concept A2'!W42</f>
        <v>3844.6666666666674</v>
      </c>
      <c r="AE47" s="313">
        <f>'P&amp;L - Concept A2'!X42</f>
        <v>3844.6666666666674</v>
      </c>
    </row>
    <row r="48" spans="1:31" s="18" customFormat="1">
      <c r="A48" s="54" t="s">
        <v>267</v>
      </c>
      <c r="B48" s="277"/>
      <c r="C48" s="74"/>
      <c r="K48" s="486">
        <f>'P&amp;L - Concept A2'!D43</f>
        <v>0</v>
      </c>
      <c r="L48" s="313">
        <f>'P&amp;L - Concept A2'!E43</f>
        <v>13243.416666666662</v>
      </c>
      <c r="M48" s="313">
        <f>'P&amp;L - Concept A2'!F43</f>
        <v>26486.833333333325</v>
      </c>
      <c r="N48" s="313">
        <f>'P&amp;L - Concept A2'!G43</f>
        <v>26486.833333333325</v>
      </c>
      <c r="O48" s="313">
        <f>'P&amp;L - Concept A2'!H43</f>
        <v>26486.833333333325</v>
      </c>
      <c r="P48" s="313">
        <f>'P&amp;L - Concept A2'!I43</f>
        <v>26486.833333333325</v>
      </c>
      <c r="Q48" s="313">
        <f>'P&amp;L - Concept A2'!J43</f>
        <v>26486.833333333325</v>
      </c>
      <c r="R48" s="313">
        <f>'P&amp;L - Concept A2'!K43</f>
        <v>26486.833333333325</v>
      </c>
      <c r="S48" s="313">
        <f>'P&amp;L - Concept A2'!L43</f>
        <v>26486.833333333325</v>
      </c>
      <c r="T48" s="313">
        <f>'P&amp;L - Concept A2'!M43</f>
        <v>26486.833333333325</v>
      </c>
      <c r="U48" s="313">
        <f>'P&amp;L - Concept A2'!N43</f>
        <v>26486.833333333325</v>
      </c>
      <c r="V48" s="313">
        <f>'P&amp;L - Concept A2'!O43</f>
        <v>26486.833333333325</v>
      </c>
      <c r="W48" s="313">
        <f>'P&amp;L - Concept A2'!P43</f>
        <v>26486.833333333325</v>
      </c>
      <c r="X48" s="313">
        <f>'P&amp;L - Concept A2'!Q43</f>
        <v>26486.833333333325</v>
      </c>
      <c r="Y48" s="313">
        <f>'P&amp;L - Concept A2'!R43</f>
        <v>26486.833333333325</v>
      </c>
      <c r="Z48" s="313">
        <f>'P&amp;L - Concept A2'!S43</f>
        <v>26486.833333333325</v>
      </c>
      <c r="AA48" s="313">
        <f>'P&amp;L - Concept A2'!T43</f>
        <v>26486.833333333325</v>
      </c>
      <c r="AB48" s="313">
        <f>'P&amp;L - Concept A2'!U43</f>
        <v>26486.833333333325</v>
      </c>
      <c r="AC48" s="313">
        <f>'P&amp;L - Concept A2'!V43</f>
        <v>26486.833333333325</v>
      </c>
      <c r="AD48" s="313">
        <f>'P&amp;L - Concept A2'!W43</f>
        <v>26486.833333333325</v>
      </c>
      <c r="AE48" s="313">
        <f>'P&amp;L - Concept A2'!X43</f>
        <v>26486.833333333325</v>
      </c>
    </row>
    <row r="49" spans="1:32 16384:16384" s="96" customFormat="1">
      <c r="A49" s="54" t="s">
        <v>274</v>
      </c>
      <c r="B49" s="435"/>
      <c r="C49" s="583"/>
      <c r="K49" s="486">
        <f>'P&amp;L - Concept A2'!D44</f>
        <v>0</v>
      </c>
      <c r="L49" s="313">
        <f>'P&amp;L - Concept A2'!E44</f>
        <v>15165.749999999996</v>
      </c>
      <c r="M49" s="313">
        <f>'P&amp;L - Concept A2'!F44</f>
        <v>30331.499999999993</v>
      </c>
      <c r="N49" s="313">
        <f>'P&amp;L - Concept A2'!G44</f>
        <v>30331.499999999993</v>
      </c>
      <c r="O49" s="313">
        <f>'P&amp;L - Concept A2'!H44</f>
        <v>30331.499999999993</v>
      </c>
      <c r="P49" s="313">
        <f>'P&amp;L - Concept A2'!I44</f>
        <v>30331.499999999993</v>
      </c>
      <c r="Q49" s="313">
        <f>'P&amp;L - Concept A2'!J44</f>
        <v>30331.499999999993</v>
      </c>
      <c r="R49" s="313">
        <f>'P&amp;L - Concept A2'!K44</f>
        <v>30331.499999999993</v>
      </c>
      <c r="S49" s="313">
        <f>'P&amp;L - Concept A2'!L44</f>
        <v>30331.499999999993</v>
      </c>
      <c r="T49" s="313">
        <f>'P&amp;L - Concept A2'!M44</f>
        <v>30331.499999999993</v>
      </c>
      <c r="U49" s="313">
        <f>'P&amp;L - Concept A2'!N44</f>
        <v>30331.499999999993</v>
      </c>
      <c r="V49" s="313">
        <f>'P&amp;L - Concept A2'!O44</f>
        <v>30331.499999999993</v>
      </c>
      <c r="W49" s="313">
        <f>'P&amp;L - Concept A2'!P44</f>
        <v>30331.499999999993</v>
      </c>
      <c r="X49" s="313">
        <f>'P&amp;L - Concept A2'!Q44</f>
        <v>30331.499999999993</v>
      </c>
      <c r="Y49" s="313">
        <f>'P&amp;L - Concept A2'!R44</f>
        <v>30331.499999999993</v>
      </c>
      <c r="Z49" s="313">
        <f>'P&amp;L - Concept A2'!S44</f>
        <v>30331.499999999993</v>
      </c>
      <c r="AA49" s="313">
        <f>'P&amp;L - Concept A2'!T44</f>
        <v>30331.499999999993</v>
      </c>
      <c r="AB49" s="313">
        <f>'P&amp;L - Concept A2'!U44</f>
        <v>30331.499999999993</v>
      </c>
      <c r="AC49" s="313">
        <f>'P&amp;L - Concept A2'!V44</f>
        <v>30331.499999999993</v>
      </c>
      <c r="AD49" s="313">
        <f>'P&amp;L - Concept A2'!W44</f>
        <v>30331.499999999993</v>
      </c>
      <c r="AE49" s="313">
        <f>'P&amp;L - Concept A2'!X44</f>
        <v>30331.499999999993</v>
      </c>
    </row>
    <row r="50" spans="1:32 16384:16384" s="18" customFormat="1">
      <c r="A50" s="54"/>
      <c r="B50" s="277"/>
      <c r="C50" s="74"/>
      <c r="K50" s="499"/>
      <c r="L50" s="308"/>
      <c r="M50" s="308"/>
      <c r="N50" s="308"/>
      <c r="O50" s="308"/>
      <c r="P50" s="308"/>
      <c r="Q50" s="308"/>
      <c r="R50" s="308"/>
      <c r="S50" s="308"/>
      <c r="T50" s="308"/>
      <c r="U50" s="308"/>
      <c r="V50" s="308"/>
      <c r="W50" s="308"/>
      <c r="X50" s="308"/>
      <c r="Y50" s="308"/>
      <c r="Z50" s="308"/>
      <c r="AA50" s="308"/>
      <c r="AB50" s="308"/>
      <c r="AC50" s="308"/>
      <c r="AD50" s="308"/>
      <c r="AE50" s="308"/>
    </row>
    <row r="51" spans="1:32 16384:16384" s="341" customFormat="1">
      <c r="A51" s="552" t="s">
        <v>224</v>
      </c>
      <c r="B51" s="556"/>
      <c r="C51" s="557"/>
      <c r="K51" s="554">
        <f>'P&amp;L - Concept A2'!D46</f>
        <v>0</v>
      </c>
      <c r="L51" s="558">
        <f>'P&amp;L - Concept A2'!E46</f>
        <v>3</v>
      </c>
      <c r="M51" s="558">
        <f>'P&amp;L - Concept A2'!F46</f>
        <v>3</v>
      </c>
      <c r="N51" s="558">
        <f>'P&amp;L - Concept A2'!G46</f>
        <v>3</v>
      </c>
      <c r="O51" s="558">
        <f>'P&amp;L - Concept A2'!H46</f>
        <v>3</v>
      </c>
      <c r="P51" s="558">
        <f>'P&amp;L - Concept A2'!I46</f>
        <v>3</v>
      </c>
      <c r="Q51" s="558">
        <f>'P&amp;L - Concept A2'!J46</f>
        <v>3</v>
      </c>
      <c r="R51" s="558">
        <f>'P&amp;L - Concept A2'!K46</f>
        <v>3</v>
      </c>
      <c r="S51" s="558">
        <f>'P&amp;L - Concept A2'!L46</f>
        <v>3</v>
      </c>
      <c r="T51" s="558">
        <f>'P&amp;L - Concept A2'!M46</f>
        <v>3</v>
      </c>
      <c r="U51" s="558">
        <f>'P&amp;L - Concept A2'!N46</f>
        <v>3</v>
      </c>
      <c r="V51" s="558">
        <f>'P&amp;L - Concept A2'!O46</f>
        <v>3</v>
      </c>
      <c r="W51" s="558">
        <f>'P&amp;L - Concept A2'!P46</f>
        <v>3</v>
      </c>
      <c r="X51" s="558">
        <f>'P&amp;L - Concept A2'!Q46</f>
        <v>3</v>
      </c>
      <c r="Y51" s="558">
        <f>'P&amp;L - Concept A2'!R46</f>
        <v>3</v>
      </c>
      <c r="Z51" s="558">
        <f>'P&amp;L - Concept A2'!S46</f>
        <v>3</v>
      </c>
      <c r="AA51" s="558">
        <f>'P&amp;L - Concept A2'!T46</f>
        <v>3</v>
      </c>
      <c r="AB51" s="558">
        <f>'P&amp;L - Concept A2'!U46</f>
        <v>3</v>
      </c>
      <c r="AC51" s="558">
        <f>'P&amp;L - Concept A2'!V46</f>
        <v>3</v>
      </c>
      <c r="AD51" s="558">
        <f>'P&amp;L - Concept A2'!W46</f>
        <v>3</v>
      </c>
      <c r="AE51" s="558">
        <f>'P&amp;L - Concept A2'!X46</f>
        <v>3</v>
      </c>
    </row>
    <row r="52" spans="1:32 16384:16384" s="96" customFormat="1">
      <c r="A52" s="54" t="s">
        <v>225</v>
      </c>
      <c r="B52" s="435"/>
      <c r="C52" s="583"/>
      <c r="K52" s="486">
        <f>'P&amp;L - Concept A2'!D47</f>
        <v>0</v>
      </c>
      <c r="L52" s="496">
        <f>'P&amp;L - Concept A2'!E47</f>
        <v>1</v>
      </c>
      <c r="M52" s="496">
        <f>'P&amp;L - Concept A2'!F47</f>
        <v>1</v>
      </c>
      <c r="N52" s="496">
        <f>'P&amp;L - Concept A2'!G47</f>
        <v>1</v>
      </c>
      <c r="O52" s="496">
        <f>'P&amp;L - Concept A2'!H47</f>
        <v>1</v>
      </c>
      <c r="P52" s="496">
        <f>'P&amp;L - Concept A2'!I47</f>
        <v>1</v>
      </c>
      <c r="Q52" s="496">
        <f>'P&amp;L - Concept A2'!J47</f>
        <v>1</v>
      </c>
      <c r="R52" s="496">
        <f>'P&amp;L - Concept A2'!K47</f>
        <v>1</v>
      </c>
      <c r="S52" s="496">
        <f>'P&amp;L - Concept A2'!L47</f>
        <v>1</v>
      </c>
      <c r="T52" s="496">
        <f>'P&amp;L - Concept A2'!M47</f>
        <v>1</v>
      </c>
      <c r="U52" s="496">
        <f>'P&amp;L - Concept A2'!N47</f>
        <v>1</v>
      </c>
      <c r="V52" s="496">
        <f>'P&amp;L - Concept A2'!O47</f>
        <v>1</v>
      </c>
      <c r="W52" s="496">
        <f>'P&amp;L - Concept A2'!P47</f>
        <v>1</v>
      </c>
      <c r="X52" s="496">
        <f>'P&amp;L - Concept A2'!Q47</f>
        <v>1</v>
      </c>
      <c r="Y52" s="496">
        <f>'P&amp;L - Concept A2'!R47</f>
        <v>1</v>
      </c>
      <c r="Z52" s="496">
        <f>'P&amp;L - Concept A2'!S47</f>
        <v>1</v>
      </c>
      <c r="AA52" s="496">
        <f>'P&amp;L - Concept A2'!T47</f>
        <v>1</v>
      </c>
      <c r="AB52" s="496">
        <f>'P&amp;L - Concept A2'!U47</f>
        <v>1</v>
      </c>
      <c r="AC52" s="496">
        <f>'P&amp;L - Concept A2'!V47</f>
        <v>1</v>
      </c>
      <c r="AD52" s="496">
        <f>'P&amp;L - Concept A2'!W47</f>
        <v>1</v>
      </c>
      <c r="AE52" s="496">
        <f>'P&amp;L - Concept A2'!X47</f>
        <v>1</v>
      </c>
    </row>
    <row r="53" spans="1:32 16384:16384" s="18" customFormat="1">
      <c r="A53" s="54" t="s">
        <v>209</v>
      </c>
      <c r="B53" s="277"/>
      <c r="C53" s="74"/>
      <c r="K53" s="486">
        <f>'P&amp;L - Concept A2'!D48</f>
        <v>0</v>
      </c>
      <c r="L53" s="496">
        <f>'P&amp;L - Concept A2'!E48</f>
        <v>0.5</v>
      </c>
      <c r="M53" s="496">
        <f>'P&amp;L - Concept A2'!F48</f>
        <v>0.5</v>
      </c>
      <c r="N53" s="496">
        <f>'P&amp;L - Concept A2'!G48</f>
        <v>0.5</v>
      </c>
      <c r="O53" s="496">
        <f>'P&amp;L - Concept A2'!H48</f>
        <v>0.5</v>
      </c>
      <c r="P53" s="496">
        <f>'P&amp;L - Concept A2'!I48</f>
        <v>0.5</v>
      </c>
      <c r="Q53" s="496">
        <f>'P&amp;L - Concept A2'!J48</f>
        <v>0.5</v>
      </c>
      <c r="R53" s="496">
        <f>'P&amp;L - Concept A2'!K48</f>
        <v>0.5</v>
      </c>
      <c r="S53" s="496">
        <f>'P&amp;L - Concept A2'!L48</f>
        <v>0.5</v>
      </c>
      <c r="T53" s="496">
        <f>'P&amp;L - Concept A2'!M48</f>
        <v>0.5</v>
      </c>
      <c r="U53" s="496">
        <f>'P&amp;L - Concept A2'!N48</f>
        <v>0.5</v>
      </c>
      <c r="V53" s="496">
        <f>'P&amp;L - Concept A2'!O48</f>
        <v>0.5</v>
      </c>
      <c r="W53" s="496">
        <f>'P&amp;L - Concept A2'!P48</f>
        <v>0.5</v>
      </c>
      <c r="X53" s="496">
        <f>'P&amp;L - Concept A2'!Q48</f>
        <v>0.5</v>
      </c>
      <c r="Y53" s="496">
        <f>'P&amp;L - Concept A2'!R48</f>
        <v>0.5</v>
      </c>
      <c r="Z53" s="496">
        <f>'P&amp;L - Concept A2'!S48</f>
        <v>0.5</v>
      </c>
      <c r="AA53" s="496">
        <f>'P&amp;L - Concept A2'!T48</f>
        <v>0.5</v>
      </c>
      <c r="AB53" s="496">
        <f>'P&amp;L - Concept A2'!U48</f>
        <v>0.5</v>
      </c>
      <c r="AC53" s="496">
        <f>'P&amp;L - Concept A2'!V48</f>
        <v>0.5</v>
      </c>
      <c r="AD53" s="496">
        <f>'P&amp;L - Concept A2'!W48</f>
        <v>0.5</v>
      </c>
      <c r="AE53" s="496">
        <f>'P&amp;L - Concept A2'!X48</f>
        <v>0.5</v>
      </c>
    </row>
    <row r="54" spans="1:32 16384:16384" s="18" customFormat="1">
      <c r="A54" s="54" t="s">
        <v>289</v>
      </c>
      <c r="B54" s="277"/>
      <c r="C54" s="74"/>
      <c r="K54" s="486">
        <f>'P&amp;L - Concept A2'!D49</f>
        <v>0</v>
      </c>
      <c r="L54" s="496">
        <f>'P&amp;L - Concept A2'!E49</f>
        <v>0.75</v>
      </c>
      <c r="M54" s="496">
        <f>'P&amp;L - Concept A2'!F49</f>
        <v>0.75</v>
      </c>
      <c r="N54" s="496">
        <f>'P&amp;L - Concept A2'!G49</f>
        <v>0.75</v>
      </c>
      <c r="O54" s="496">
        <f>'P&amp;L - Concept A2'!H49</f>
        <v>0.75</v>
      </c>
      <c r="P54" s="496">
        <f>'P&amp;L - Concept A2'!I49</f>
        <v>0.75</v>
      </c>
      <c r="Q54" s="496">
        <f>'P&amp;L - Concept A2'!J49</f>
        <v>0.75</v>
      </c>
      <c r="R54" s="496">
        <f>'P&amp;L - Concept A2'!K49</f>
        <v>0.75</v>
      </c>
      <c r="S54" s="496">
        <f>'P&amp;L - Concept A2'!L49</f>
        <v>0.75</v>
      </c>
      <c r="T54" s="496">
        <f>'P&amp;L - Concept A2'!M49</f>
        <v>0.75</v>
      </c>
      <c r="U54" s="496">
        <f>'P&amp;L - Concept A2'!N49</f>
        <v>0.75</v>
      </c>
      <c r="V54" s="496">
        <f>'P&amp;L - Concept A2'!O49</f>
        <v>0.75</v>
      </c>
      <c r="W54" s="496">
        <f>'P&amp;L - Concept A2'!P49</f>
        <v>0.75</v>
      </c>
      <c r="X54" s="496">
        <f>'P&amp;L - Concept A2'!Q49</f>
        <v>0.75</v>
      </c>
      <c r="Y54" s="496">
        <f>'P&amp;L - Concept A2'!R49</f>
        <v>0.75</v>
      </c>
      <c r="Z54" s="496">
        <f>'P&amp;L - Concept A2'!S49</f>
        <v>0.75</v>
      </c>
      <c r="AA54" s="496">
        <f>'P&amp;L - Concept A2'!T49</f>
        <v>0.75</v>
      </c>
      <c r="AB54" s="496">
        <f>'P&amp;L - Concept A2'!U49</f>
        <v>0.75</v>
      </c>
      <c r="AC54" s="496">
        <f>'P&amp;L - Concept A2'!V49</f>
        <v>0.75</v>
      </c>
      <c r="AD54" s="496">
        <f>'P&amp;L - Concept A2'!W49</f>
        <v>0.75</v>
      </c>
      <c r="AE54" s="496">
        <f>'P&amp;L - Concept A2'!X49</f>
        <v>0.75</v>
      </c>
      <c r="XFD54" s="570">
        <f>SUM(K54:XFC54)</f>
        <v>15</v>
      </c>
    </row>
    <row r="55" spans="1:32 16384:16384" s="18" customFormat="1">
      <c r="A55" s="54"/>
      <c r="B55" s="277"/>
      <c r="C55" s="74"/>
      <c r="K55" s="486">
        <f>'P&amp;L - Concept A2'!D50</f>
        <v>0</v>
      </c>
      <c r="L55" s="496">
        <f>'P&amp;L - Concept A2'!E50</f>
        <v>0</v>
      </c>
      <c r="M55" s="496">
        <f>'P&amp;L - Concept A2'!F50</f>
        <v>0</v>
      </c>
      <c r="N55" s="496">
        <f>'P&amp;L - Concept A2'!G50</f>
        <v>0</v>
      </c>
      <c r="O55" s="496">
        <f>'P&amp;L - Concept A2'!H50</f>
        <v>0</v>
      </c>
      <c r="P55" s="496">
        <f>'P&amp;L - Concept A2'!I50</f>
        <v>0</v>
      </c>
      <c r="Q55" s="496">
        <f>'P&amp;L - Concept A2'!J50</f>
        <v>0</v>
      </c>
      <c r="R55" s="496">
        <f>'P&amp;L - Concept A2'!K50</f>
        <v>0</v>
      </c>
      <c r="S55" s="496">
        <f>'P&amp;L - Concept A2'!L50</f>
        <v>0</v>
      </c>
      <c r="T55" s="496">
        <f>'P&amp;L - Concept A2'!M50</f>
        <v>0</v>
      </c>
      <c r="U55" s="496">
        <f>'P&amp;L - Concept A2'!N50</f>
        <v>0</v>
      </c>
      <c r="V55" s="496">
        <f>'P&amp;L - Concept A2'!O50</f>
        <v>0</v>
      </c>
      <c r="W55" s="496">
        <f>'P&amp;L - Concept A2'!P50</f>
        <v>0</v>
      </c>
      <c r="X55" s="496">
        <f>'P&amp;L - Concept A2'!Q50</f>
        <v>0</v>
      </c>
      <c r="Y55" s="496">
        <f>'P&amp;L - Concept A2'!R50</f>
        <v>0</v>
      </c>
      <c r="Z55" s="496">
        <f>'P&amp;L - Concept A2'!S50</f>
        <v>0</v>
      </c>
      <c r="AA55" s="496">
        <f>'P&amp;L - Concept A2'!T50</f>
        <v>0</v>
      </c>
      <c r="AB55" s="496">
        <f>'P&amp;L - Concept A2'!U50</f>
        <v>0</v>
      </c>
      <c r="AC55" s="496">
        <f>'P&amp;L - Concept A2'!V50</f>
        <v>0</v>
      </c>
      <c r="AD55" s="496">
        <f>'P&amp;L - Concept A2'!W50</f>
        <v>0</v>
      </c>
      <c r="AE55" s="496">
        <f>'P&amp;L - Concept A2'!X50</f>
        <v>0</v>
      </c>
      <c r="XFD55" s="570"/>
    </row>
    <row r="56" spans="1:32 16384:16384" s="18" customFormat="1">
      <c r="A56" s="54" t="s">
        <v>312</v>
      </c>
      <c r="B56" s="277"/>
      <c r="C56" s="74"/>
      <c r="K56" s="486">
        <f>'P&amp;L - Concept A2'!D51</f>
        <v>0</v>
      </c>
      <c r="L56" s="313">
        <f>'OPEX - Concept A1'!L56</f>
        <v>3595</v>
      </c>
      <c r="M56" s="313">
        <f>'OPEX - Concept A1'!M56</f>
        <v>7190</v>
      </c>
      <c r="N56" s="313">
        <f>'OPEX - Concept A1'!N56</f>
        <v>7190</v>
      </c>
      <c r="O56" s="313">
        <f>'OPEX - Concept A1'!O56</f>
        <v>7190</v>
      </c>
      <c r="P56" s="313">
        <f>'OPEX - Concept A1'!P56</f>
        <v>7190</v>
      </c>
      <c r="Q56" s="313">
        <f>'OPEX - Concept A1'!Q56</f>
        <v>7190</v>
      </c>
      <c r="R56" s="313">
        <f>'OPEX - Concept A1'!R56</f>
        <v>7190</v>
      </c>
      <c r="S56" s="313">
        <f>'OPEX - Concept A1'!S56</f>
        <v>7190</v>
      </c>
      <c r="T56" s="313">
        <f>'OPEX - Concept A1'!T56</f>
        <v>7190</v>
      </c>
      <c r="U56" s="313">
        <f>'OPEX - Concept A1'!U56</f>
        <v>7190</v>
      </c>
      <c r="V56" s="313">
        <f>'OPEX - Concept A1'!V56</f>
        <v>7190</v>
      </c>
      <c r="W56" s="313">
        <f>'OPEX - Concept A1'!W56</f>
        <v>7190</v>
      </c>
      <c r="X56" s="313">
        <f>'OPEX - Concept A1'!X56</f>
        <v>7190</v>
      </c>
      <c r="Y56" s="313">
        <f>'OPEX - Concept A1'!Y56</f>
        <v>7190</v>
      </c>
      <c r="Z56" s="313">
        <f>'OPEX - Concept A1'!Z56</f>
        <v>7190</v>
      </c>
      <c r="AA56" s="313">
        <f>'OPEX - Concept A1'!AA56</f>
        <v>7190</v>
      </c>
      <c r="AB56" s="313">
        <f>'OPEX - Concept A1'!AB56</f>
        <v>7190</v>
      </c>
      <c r="AC56" s="313">
        <f>'OPEX - Concept A1'!AC56</f>
        <v>7190</v>
      </c>
      <c r="AD56" s="313">
        <f>'OPEX - Concept A1'!AD56</f>
        <v>7190</v>
      </c>
      <c r="AE56" s="313">
        <f>'OPEX - Concept A1'!AE56</f>
        <v>7190</v>
      </c>
      <c r="XFD56" s="570"/>
    </row>
    <row r="57" spans="1:32 16384:16384" s="18" customFormat="1">
      <c r="A57" s="54"/>
      <c r="B57" s="277"/>
      <c r="C57" s="74"/>
      <c r="K57" s="486"/>
      <c r="L57" s="308"/>
      <c r="M57" s="308"/>
      <c r="N57" s="308"/>
      <c r="O57" s="308"/>
      <c r="P57" s="308"/>
      <c r="Q57" s="308"/>
      <c r="R57" s="308"/>
      <c r="S57" s="308"/>
      <c r="T57" s="308"/>
      <c r="U57" s="308"/>
      <c r="V57" s="308"/>
      <c r="W57" s="308"/>
      <c r="X57" s="308"/>
      <c r="Y57" s="308"/>
      <c r="Z57" s="308"/>
      <c r="AA57" s="308"/>
      <c r="AB57" s="308"/>
      <c r="AC57" s="308"/>
      <c r="AD57" s="308"/>
      <c r="AE57" s="308"/>
    </row>
    <row r="58" spans="1:32 16384:16384" s="612" customFormat="1">
      <c r="A58" s="613" t="s">
        <v>292</v>
      </c>
      <c r="B58" s="614"/>
      <c r="C58" s="615"/>
      <c r="D58" s="717"/>
      <c r="E58" s="717"/>
      <c r="F58" s="717"/>
      <c r="G58" s="717"/>
      <c r="H58" s="717"/>
      <c r="I58" s="717"/>
      <c r="J58" s="717"/>
      <c r="K58" s="616">
        <f>'P&amp;L - Concept A2'!D53</f>
        <v>0</v>
      </c>
      <c r="L58" s="617">
        <f>'P&amp;L - Concept A2'!E53</f>
        <v>0</v>
      </c>
      <c r="M58" s="617">
        <f>'P&amp;L - Concept A2'!F53</f>
        <v>0</v>
      </c>
      <c r="N58" s="617">
        <f>'P&amp;L - Concept A2'!G53</f>
        <v>100000</v>
      </c>
      <c r="O58" s="617">
        <f>'P&amp;L - Concept A2'!H53</f>
        <v>100000</v>
      </c>
      <c r="P58" s="617">
        <f>'P&amp;L - Concept A2'!I53</f>
        <v>100000</v>
      </c>
      <c r="Q58" s="617">
        <f>'P&amp;L - Concept A2'!J53</f>
        <v>100000</v>
      </c>
      <c r="R58" s="617">
        <f>'P&amp;L - Concept A2'!K53</f>
        <v>100000</v>
      </c>
      <c r="S58" s="617">
        <f>'P&amp;L - Concept A2'!L53</f>
        <v>100000</v>
      </c>
      <c r="T58" s="617">
        <f>'P&amp;L - Concept A2'!M53</f>
        <v>100000</v>
      </c>
      <c r="U58" s="617">
        <f>'P&amp;L - Concept A2'!N53</f>
        <v>100000</v>
      </c>
      <c r="V58" s="617">
        <f>'P&amp;L - Concept A2'!O53</f>
        <v>100000</v>
      </c>
      <c r="W58" s="617">
        <f>'P&amp;L - Concept A2'!P53</f>
        <v>100000</v>
      </c>
      <c r="X58" s="617">
        <f>'P&amp;L - Concept A2'!Q53</f>
        <v>100000</v>
      </c>
      <c r="Y58" s="617">
        <f>'P&amp;L - Concept A2'!R53</f>
        <v>100000</v>
      </c>
      <c r="Z58" s="617">
        <f>'P&amp;L - Concept A2'!S53</f>
        <v>100000</v>
      </c>
      <c r="AA58" s="617">
        <f>'P&amp;L - Concept A2'!T53</f>
        <v>100000</v>
      </c>
      <c r="AB58" s="617">
        <f>'P&amp;L - Concept A2'!U53</f>
        <v>100000</v>
      </c>
      <c r="AC58" s="617">
        <f>'P&amp;L - Concept A2'!V53</f>
        <v>100000</v>
      </c>
      <c r="AD58" s="617">
        <f>'P&amp;L - Concept A2'!W53</f>
        <v>100000</v>
      </c>
      <c r="AE58" s="618">
        <f>'P&amp;L - Concept A2'!X53</f>
        <v>100000</v>
      </c>
    </row>
    <row r="59" spans="1:32 16384:16384" s="18" customFormat="1">
      <c r="A59" s="54"/>
      <c r="B59" s="277"/>
      <c r="C59" s="74"/>
      <c r="K59" s="486"/>
      <c r="L59" s="308"/>
      <c r="M59" s="308"/>
      <c r="N59" s="308"/>
      <c r="O59" s="308"/>
      <c r="P59" s="308"/>
      <c r="Q59" s="308"/>
      <c r="R59" s="308"/>
      <c r="S59" s="308"/>
      <c r="T59" s="308"/>
      <c r="U59" s="308"/>
      <c r="V59" s="308"/>
      <c r="W59" s="308"/>
      <c r="X59" s="308"/>
      <c r="Y59" s="308"/>
      <c r="Z59" s="308"/>
      <c r="AA59" s="308"/>
      <c r="AB59" s="308"/>
      <c r="AC59" s="308"/>
      <c r="AD59" s="308"/>
      <c r="AE59" s="308"/>
    </row>
    <row r="60" spans="1:32 16384:16384" s="582" customFormat="1">
      <c r="A60" s="293" t="str">
        <f>'BH Tariffs'!A33</f>
        <v>Recreational/Commercial Marina</v>
      </c>
      <c r="B60" s="584"/>
      <c r="C60" s="585"/>
      <c r="K60" s="486"/>
      <c r="L60" s="586"/>
      <c r="M60" s="586"/>
      <c r="N60" s="586"/>
      <c r="O60" s="586"/>
      <c r="P60" s="586"/>
      <c r="Q60" s="586"/>
      <c r="R60" s="586"/>
      <c r="S60" s="586"/>
      <c r="T60" s="586"/>
      <c r="U60" s="586"/>
      <c r="V60" s="586"/>
      <c r="W60" s="586"/>
      <c r="X60" s="586"/>
      <c r="Y60" s="586"/>
      <c r="Z60" s="586"/>
      <c r="AA60" s="586"/>
      <c r="AB60" s="586"/>
      <c r="AC60" s="586"/>
      <c r="AD60" s="586"/>
      <c r="AE60" s="586"/>
    </row>
    <row r="61" spans="1:32 16384:16384" s="96" customFormat="1">
      <c r="A61" s="54" t="s">
        <v>291</v>
      </c>
      <c r="B61" s="435"/>
      <c r="C61" s="583"/>
      <c r="K61" s="486">
        <f>'P&amp;L - Concept A2'!D56</f>
        <v>0</v>
      </c>
      <c r="L61" s="313">
        <f>'P&amp;L - Concept A2'!E56</f>
        <v>0</v>
      </c>
      <c r="M61" s="313">
        <f>'P&amp;L - Concept A2'!F56</f>
        <v>48</v>
      </c>
      <c r="N61" s="313">
        <f>'P&amp;L - Concept A2'!G56</f>
        <v>48</v>
      </c>
      <c r="O61" s="313">
        <f>'P&amp;L - Concept A2'!H56</f>
        <v>48</v>
      </c>
      <c r="P61" s="313">
        <f>'P&amp;L - Concept A2'!I56</f>
        <v>48</v>
      </c>
      <c r="Q61" s="313">
        <f>'P&amp;L - Concept A2'!J56</f>
        <v>48</v>
      </c>
      <c r="R61" s="313">
        <f>'P&amp;L - Concept A2'!K56</f>
        <v>48</v>
      </c>
      <c r="S61" s="313">
        <f>'P&amp;L - Concept A2'!L56</f>
        <v>48</v>
      </c>
      <c r="T61" s="313">
        <f>'P&amp;L - Concept A2'!M56</f>
        <v>48</v>
      </c>
      <c r="U61" s="313">
        <f>'P&amp;L - Concept A2'!N56</f>
        <v>48</v>
      </c>
      <c r="V61" s="313">
        <f>'P&amp;L - Concept A2'!O56</f>
        <v>48</v>
      </c>
      <c r="W61" s="313">
        <f>'P&amp;L - Concept A2'!P56</f>
        <v>48</v>
      </c>
      <c r="X61" s="313">
        <f>'P&amp;L - Concept A2'!Q56</f>
        <v>48</v>
      </c>
      <c r="Y61" s="313">
        <f>'P&amp;L - Concept A2'!R56</f>
        <v>48</v>
      </c>
      <c r="Z61" s="313">
        <f>'P&amp;L - Concept A2'!S56</f>
        <v>48</v>
      </c>
      <c r="AA61" s="313">
        <f>'P&amp;L - Concept A2'!T56</f>
        <v>48</v>
      </c>
      <c r="AB61" s="313">
        <f>'P&amp;L - Concept A2'!U56</f>
        <v>48</v>
      </c>
      <c r="AC61" s="313">
        <f>'P&amp;L - Concept A2'!V56</f>
        <v>48</v>
      </c>
      <c r="AD61" s="313">
        <f>'P&amp;L - Concept A2'!W56</f>
        <v>48</v>
      </c>
      <c r="AE61" s="313">
        <f>'P&amp;L - Concept A2'!X56</f>
        <v>48</v>
      </c>
    </row>
    <row r="62" spans="1:32 16384:16384" s="96" customFormat="1">
      <c r="A62" s="54" t="s">
        <v>293</v>
      </c>
      <c r="B62" s="435"/>
      <c r="C62" s="583"/>
      <c r="K62" s="486">
        <f>'P&amp;L - Concept A2'!D57</f>
        <v>0</v>
      </c>
      <c r="L62" s="313">
        <f>'P&amp;L - Concept A2'!E57</f>
        <v>0</v>
      </c>
      <c r="M62" s="313">
        <f>'P&amp;L - Concept A2'!F57</f>
        <v>45131.095312500001</v>
      </c>
      <c r="N62" s="313">
        <f>'P&amp;L - Concept A2'!G57</f>
        <v>45131.095312500001</v>
      </c>
      <c r="O62" s="313">
        <f>'P&amp;L - Concept A2'!H57</f>
        <v>45131.095312500001</v>
      </c>
      <c r="P62" s="313">
        <f>'P&amp;L - Concept A2'!I57</f>
        <v>45131.095312500001</v>
      </c>
      <c r="Q62" s="313">
        <f>'P&amp;L - Concept A2'!J57</f>
        <v>45131.095312500001</v>
      </c>
      <c r="R62" s="313">
        <f>'P&amp;L - Concept A2'!K57</f>
        <v>45131.095312500001</v>
      </c>
      <c r="S62" s="313">
        <f>'P&amp;L - Concept A2'!L57</f>
        <v>45131.095312500001</v>
      </c>
      <c r="T62" s="313">
        <f>'P&amp;L - Concept A2'!M57</f>
        <v>45131.095312500001</v>
      </c>
      <c r="U62" s="313">
        <f>'P&amp;L - Concept A2'!N57</f>
        <v>45131.095312500001</v>
      </c>
      <c r="V62" s="313">
        <f>'P&amp;L - Concept A2'!O57</f>
        <v>45131.095312500001</v>
      </c>
      <c r="W62" s="313">
        <f>'P&amp;L - Concept A2'!P57</f>
        <v>45131.095312500001</v>
      </c>
      <c r="X62" s="313">
        <f>'P&amp;L - Concept A2'!Q57</f>
        <v>45131.095312500001</v>
      </c>
      <c r="Y62" s="313">
        <f>'P&amp;L - Concept A2'!R57</f>
        <v>45131.095312500001</v>
      </c>
      <c r="Z62" s="313">
        <f>'P&amp;L - Concept A2'!S57</f>
        <v>45131.095312500001</v>
      </c>
      <c r="AA62" s="313">
        <f>'P&amp;L - Concept A2'!T57</f>
        <v>45131.095312500001</v>
      </c>
      <c r="AB62" s="313">
        <f>'P&amp;L - Concept A2'!U57</f>
        <v>45131.095312500001</v>
      </c>
      <c r="AC62" s="313">
        <f>'P&amp;L - Concept A2'!V57</f>
        <v>45131.095312500001</v>
      </c>
      <c r="AD62" s="313">
        <f>'P&amp;L - Concept A2'!W57</f>
        <v>45131.095312500001</v>
      </c>
      <c r="AE62" s="313">
        <f>'P&amp;L - Concept A2'!X57</f>
        <v>45131.095312500001</v>
      </c>
    </row>
    <row r="63" spans="1:32 16384:16384" s="96" customFormat="1">
      <c r="A63" s="54" t="s">
        <v>294</v>
      </c>
      <c r="B63" s="435"/>
      <c r="C63" s="583"/>
      <c r="K63" s="486">
        <f>'P&amp;L - Concept A2'!D58</f>
        <v>0</v>
      </c>
      <c r="L63" s="313">
        <f>'P&amp;L - Concept A2'!E58</f>
        <v>0</v>
      </c>
      <c r="M63" s="313">
        <f>'P&amp;L - Concept A2'!F58</f>
        <v>1695.75</v>
      </c>
      <c r="N63" s="313">
        <f>'P&amp;L - Concept A2'!G58</f>
        <v>1695.75</v>
      </c>
      <c r="O63" s="313">
        <f>'P&amp;L - Concept A2'!H58</f>
        <v>1695.75</v>
      </c>
      <c r="P63" s="313">
        <f>'P&amp;L - Concept A2'!I58</f>
        <v>1695.75</v>
      </c>
      <c r="Q63" s="313">
        <f>'P&amp;L - Concept A2'!J58</f>
        <v>1695.75</v>
      </c>
      <c r="R63" s="313">
        <f>'P&amp;L - Concept A2'!K58</f>
        <v>1695.75</v>
      </c>
      <c r="S63" s="313">
        <f>'P&amp;L - Concept A2'!L58</f>
        <v>1695.75</v>
      </c>
      <c r="T63" s="313">
        <f>'P&amp;L - Concept A2'!M58</f>
        <v>1695.75</v>
      </c>
      <c r="U63" s="313">
        <f>'P&amp;L - Concept A2'!N58</f>
        <v>1695.75</v>
      </c>
      <c r="V63" s="313">
        <f>'P&amp;L - Concept A2'!O58</f>
        <v>1695.75</v>
      </c>
      <c r="W63" s="313">
        <f>'P&amp;L - Concept A2'!P58</f>
        <v>1695.75</v>
      </c>
      <c r="X63" s="313">
        <f>'P&amp;L - Concept A2'!Q58</f>
        <v>1695.75</v>
      </c>
      <c r="Y63" s="313">
        <f>'P&amp;L - Concept A2'!R58</f>
        <v>1695.75</v>
      </c>
      <c r="Z63" s="313">
        <f>'P&amp;L - Concept A2'!S58</f>
        <v>1695.75</v>
      </c>
      <c r="AA63" s="313">
        <f>'P&amp;L - Concept A2'!T58</f>
        <v>1695.75</v>
      </c>
      <c r="AB63" s="313">
        <f>'P&amp;L - Concept A2'!U58</f>
        <v>1695.75</v>
      </c>
      <c r="AC63" s="313">
        <f>'P&amp;L - Concept A2'!V58</f>
        <v>1695.75</v>
      </c>
      <c r="AD63" s="313">
        <f>'P&amp;L - Concept A2'!W58</f>
        <v>1695.75</v>
      </c>
      <c r="AE63" s="313">
        <f>'P&amp;L - Concept A2'!X58</f>
        <v>1695.75</v>
      </c>
    </row>
    <row r="64" spans="1:32 16384:16384" s="167" customFormat="1">
      <c r="A64" s="497" t="s">
        <v>170</v>
      </c>
      <c r="B64" s="450"/>
      <c r="C64" s="498"/>
      <c r="K64" s="499">
        <f>'P&amp;L - Concept A2'!D59</f>
        <v>0</v>
      </c>
      <c r="L64" s="587">
        <f>'P&amp;L - Concept A2'!E59</f>
        <v>0</v>
      </c>
      <c r="M64" s="587">
        <f>'P&amp;L - Concept A2'!F59</f>
        <v>0</v>
      </c>
      <c r="N64" s="587">
        <f>'P&amp;L - Concept A2'!G59</f>
        <v>0</v>
      </c>
      <c r="O64" s="587">
        <f>'P&amp;L - Concept A2'!H59</f>
        <v>0</v>
      </c>
      <c r="P64" s="587">
        <f>'P&amp;L - Concept A2'!I59</f>
        <v>0</v>
      </c>
      <c r="Q64" s="587">
        <f>'P&amp;L - Concept A2'!J59</f>
        <v>0</v>
      </c>
      <c r="R64" s="587">
        <f>'P&amp;L - Concept A2'!K59</f>
        <v>0</v>
      </c>
      <c r="S64" s="587">
        <f>'P&amp;L - Concept A2'!L59</f>
        <v>0</v>
      </c>
      <c r="T64" s="587">
        <f>'P&amp;L - Concept A2'!M59</f>
        <v>0</v>
      </c>
      <c r="U64" s="587">
        <f>'P&amp;L - Concept A2'!N59</f>
        <v>0</v>
      </c>
      <c r="V64" s="587">
        <f>'P&amp;L - Concept A2'!O59</f>
        <v>0</v>
      </c>
      <c r="W64" s="587">
        <f>'P&amp;L - Concept A2'!P59</f>
        <v>0</v>
      </c>
      <c r="X64" s="587">
        <f>'P&amp;L - Concept A2'!Q59</f>
        <v>0</v>
      </c>
      <c r="Y64" s="587">
        <f>'P&amp;L - Concept A2'!R59</f>
        <v>0</v>
      </c>
      <c r="Z64" s="587">
        <f>'P&amp;L - Concept A2'!S59</f>
        <v>0</v>
      </c>
      <c r="AA64" s="587">
        <f>'P&amp;L - Concept A2'!T59</f>
        <v>0</v>
      </c>
      <c r="AB64" s="587">
        <f>'P&amp;L - Concept A2'!U59</f>
        <v>0</v>
      </c>
      <c r="AC64" s="587">
        <f>'P&amp;L - Concept A2'!V59</f>
        <v>0</v>
      </c>
      <c r="AD64" s="587">
        <f>'P&amp;L - Concept A2'!W59</f>
        <v>0</v>
      </c>
      <c r="AE64" s="587">
        <f>'P&amp;L - Concept A2'!X59</f>
        <v>0</v>
      </c>
      <c r="AF64" s="167" t="str">
        <f>'P&amp;L - Concept A2'!Y59</f>
        <v>cost recovery assumed</v>
      </c>
    </row>
    <row r="65" spans="1:32" s="167" customFormat="1">
      <c r="A65" s="497" t="s">
        <v>16</v>
      </c>
      <c r="B65" s="450"/>
      <c r="C65" s="498"/>
      <c r="K65" s="499">
        <f>'P&amp;L - Concept A2'!D60</f>
        <v>0</v>
      </c>
      <c r="L65" s="587">
        <f>'P&amp;L - Concept A2'!E60</f>
        <v>0</v>
      </c>
      <c r="M65" s="587">
        <f>'P&amp;L - Concept A2'!F60</f>
        <v>0</v>
      </c>
      <c r="N65" s="587">
        <f>'P&amp;L - Concept A2'!G60</f>
        <v>0</v>
      </c>
      <c r="O65" s="587">
        <f>'P&amp;L - Concept A2'!H60</f>
        <v>0</v>
      </c>
      <c r="P65" s="587">
        <f>'P&amp;L - Concept A2'!I60</f>
        <v>0</v>
      </c>
      <c r="Q65" s="587">
        <f>'P&amp;L - Concept A2'!J60</f>
        <v>0</v>
      </c>
      <c r="R65" s="587">
        <f>'P&amp;L - Concept A2'!K60</f>
        <v>0</v>
      </c>
      <c r="S65" s="587">
        <f>'P&amp;L - Concept A2'!L60</f>
        <v>0</v>
      </c>
      <c r="T65" s="587">
        <f>'P&amp;L - Concept A2'!M60</f>
        <v>0</v>
      </c>
      <c r="U65" s="587">
        <f>'P&amp;L - Concept A2'!N60</f>
        <v>0</v>
      </c>
      <c r="V65" s="587">
        <f>'P&amp;L - Concept A2'!O60</f>
        <v>0</v>
      </c>
      <c r="W65" s="587">
        <f>'P&amp;L - Concept A2'!P60</f>
        <v>0</v>
      </c>
      <c r="X65" s="587">
        <f>'P&amp;L - Concept A2'!Q60</f>
        <v>0</v>
      </c>
      <c r="Y65" s="587">
        <f>'P&amp;L - Concept A2'!R60</f>
        <v>0</v>
      </c>
      <c r="Z65" s="587">
        <f>'P&amp;L - Concept A2'!S60</f>
        <v>0</v>
      </c>
      <c r="AA65" s="587">
        <f>'P&amp;L - Concept A2'!T60</f>
        <v>0</v>
      </c>
      <c r="AB65" s="587">
        <f>'P&amp;L - Concept A2'!U60</f>
        <v>0</v>
      </c>
      <c r="AC65" s="587">
        <f>'P&amp;L - Concept A2'!V60</f>
        <v>0</v>
      </c>
      <c r="AD65" s="587">
        <f>'P&amp;L - Concept A2'!W60</f>
        <v>0</v>
      </c>
      <c r="AE65" s="587">
        <f>'P&amp;L - Concept A2'!X60</f>
        <v>0</v>
      </c>
      <c r="AF65" s="167" t="str">
        <f>'P&amp;L - Concept A2'!Y60</f>
        <v>cost recovery assumed</v>
      </c>
    </row>
    <row r="66" spans="1:32" s="18" customFormat="1">
      <c r="A66" s="54"/>
      <c r="B66" s="277"/>
      <c r="C66" s="74"/>
      <c r="K66" s="492"/>
      <c r="L66" s="308"/>
      <c r="M66" s="308"/>
      <c r="N66" s="308"/>
      <c r="O66" s="308"/>
      <c r="P66" s="308"/>
      <c r="Q66" s="308"/>
      <c r="R66" s="308"/>
      <c r="S66" s="308"/>
      <c r="T66" s="308"/>
      <c r="U66" s="308"/>
      <c r="V66" s="308"/>
      <c r="W66" s="308"/>
      <c r="X66" s="308"/>
      <c r="Y66" s="308"/>
      <c r="Z66" s="308"/>
      <c r="AA66" s="308"/>
      <c r="AB66" s="308"/>
      <c r="AC66" s="308"/>
      <c r="AD66" s="308"/>
      <c r="AE66" s="308"/>
    </row>
    <row r="67" spans="1:32" s="18" customFormat="1">
      <c r="A67" s="293" t="s">
        <v>2</v>
      </c>
      <c r="B67" s="277"/>
      <c r="C67" s="74"/>
      <c r="K67" s="492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</row>
    <row r="68" spans="1:32" s="96" customFormat="1">
      <c r="A68" s="54" t="s">
        <v>290</v>
      </c>
      <c r="B68" s="435">
        <v>500</v>
      </c>
      <c r="C68" s="487"/>
      <c r="K68" s="486">
        <f>'P&amp;L - Concept A2'!D63</f>
        <v>0</v>
      </c>
      <c r="L68" s="313">
        <f>'P&amp;L - Concept A2'!E63</f>
        <v>0</v>
      </c>
      <c r="M68" s="313">
        <f>'P&amp;L - Concept A2'!F63</f>
        <v>0</v>
      </c>
      <c r="N68" s="313">
        <f>'P&amp;L - Concept A2'!G63</f>
        <v>500</v>
      </c>
      <c r="O68" s="313">
        <f>'P&amp;L - Concept A2'!H63</f>
        <v>500</v>
      </c>
      <c r="P68" s="313">
        <f>'P&amp;L - Concept A2'!I63</f>
        <v>500</v>
      </c>
      <c r="Q68" s="313">
        <f>'P&amp;L - Concept A2'!J63</f>
        <v>500</v>
      </c>
      <c r="R68" s="313">
        <f>'P&amp;L - Concept A2'!K63</f>
        <v>500</v>
      </c>
      <c r="S68" s="313">
        <f>'P&amp;L - Concept A2'!L63</f>
        <v>500</v>
      </c>
      <c r="T68" s="313">
        <f>'P&amp;L - Concept A2'!M63</f>
        <v>500</v>
      </c>
      <c r="U68" s="313">
        <f>'P&amp;L - Concept A2'!N63</f>
        <v>500</v>
      </c>
      <c r="V68" s="313">
        <f>'P&amp;L - Concept A2'!O63</f>
        <v>500</v>
      </c>
      <c r="W68" s="313">
        <f>'P&amp;L - Concept A2'!P63</f>
        <v>500</v>
      </c>
      <c r="X68" s="313">
        <f>'P&amp;L - Concept A2'!Q63</f>
        <v>500</v>
      </c>
      <c r="Y68" s="313">
        <f>'P&amp;L - Concept A2'!R63</f>
        <v>500</v>
      </c>
      <c r="Z68" s="313">
        <f>'P&amp;L - Concept A2'!S63</f>
        <v>500</v>
      </c>
      <c r="AA68" s="313">
        <f>'P&amp;L - Concept A2'!T63</f>
        <v>500</v>
      </c>
      <c r="AB68" s="313">
        <f>'P&amp;L - Concept A2'!U63</f>
        <v>500</v>
      </c>
      <c r="AC68" s="313">
        <f>'P&amp;L - Concept A2'!V63</f>
        <v>500</v>
      </c>
      <c r="AD68" s="313">
        <f>'P&amp;L - Concept A2'!W63</f>
        <v>500</v>
      </c>
      <c r="AE68" s="313">
        <f>'P&amp;L - Concept A2'!X63</f>
        <v>500</v>
      </c>
    </row>
    <row r="69" spans="1:32" s="96" customFormat="1">
      <c r="A69" s="54" t="s">
        <v>210</v>
      </c>
      <c r="B69" s="487"/>
      <c r="C69" s="487"/>
      <c r="K69" s="486">
        <f>'P&amp;L - Concept A2'!D65</f>
        <v>0</v>
      </c>
      <c r="L69" s="313">
        <f>'P&amp;L - Concept A2'!E65</f>
        <v>0</v>
      </c>
      <c r="M69" s="313">
        <f>'P&amp;L - Concept A2'!F65</f>
        <v>1</v>
      </c>
      <c r="N69" s="313">
        <f>'P&amp;L - Concept A2'!G65</f>
        <v>2</v>
      </c>
      <c r="O69" s="313">
        <f>'P&amp;L - Concept A2'!H65</f>
        <v>2</v>
      </c>
      <c r="P69" s="313">
        <f>'P&amp;L - Concept A2'!I65</f>
        <v>2</v>
      </c>
      <c r="Q69" s="313">
        <f>'P&amp;L - Concept A2'!J65</f>
        <v>3</v>
      </c>
      <c r="R69" s="313">
        <f>'P&amp;L - Concept A2'!K65</f>
        <v>3</v>
      </c>
      <c r="S69" s="313">
        <f>'P&amp;L - Concept A2'!L65</f>
        <v>3</v>
      </c>
      <c r="T69" s="313">
        <f>'P&amp;L - Concept A2'!M65</f>
        <v>3</v>
      </c>
      <c r="U69" s="313">
        <f>'P&amp;L - Concept A2'!N65</f>
        <v>3</v>
      </c>
      <c r="V69" s="313">
        <f>'P&amp;L - Concept A2'!O65</f>
        <v>4</v>
      </c>
      <c r="W69" s="313">
        <f>'P&amp;L - Concept A2'!P65</f>
        <v>4</v>
      </c>
      <c r="X69" s="313">
        <f>'P&amp;L - Concept A2'!Q65</f>
        <v>4</v>
      </c>
      <c r="Y69" s="313">
        <f>'P&amp;L - Concept A2'!R65</f>
        <v>4</v>
      </c>
      <c r="Z69" s="313">
        <f>'P&amp;L - Concept A2'!S65</f>
        <v>4</v>
      </c>
      <c r="AA69" s="313">
        <f>'P&amp;L - Concept A2'!T65</f>
        <v>5</v>
      </c>
      <c r="AB69" s="313">
        <f>'P&amp;L - Concept A2'!U65</f>
        <v>5</v>
      </c>
      <c r="AC69" s="313">
        <f>'P&amp;L - Concept A2'!V65</f>
        <v>5</v>
      </c>
      <c r="AD69" s="313">
        <f>'P&amp;L - Concept A2'!W65</f>
        <v>5</v>
      </c>
      <c r="AE69" s="313">
        <f>'P&amp;L - Concept A2'!X65</f>
        <v>5</v>
      </c>
    </row>
    <row r="70" spans="1:32" s="96" customFormat="1">
      <c r="A70" s="96" t="s">
        <v>211</v>
      </c>
      <c r="K70" s="486">
        <f>'P&amp;L - Concept A2'!D66</f>
        <v>0</v>
      </c>
      <c r="L70" s="435">
        <f>'P&amp;L - Concept A2'!E66</f>
        <v>0</v>
      </c>
      <c r="M70" s="435">
        <f>'P&amp;L - Concept A2'!F66</f>
        <v>3</v>
      </c>
      <c r="N70" s="435">
        <f>'P&amp;L - Concept A2'!G66</f>
        <v>3</v>
      </c>
      <c r="O70" s="435">
        <f>'P&amp;L - Concept A2'!H66</f>
        <v>3</v>
      </c>
      <c r="P70" s="435">
        <f>'P&amp;L - Concept A2'!I66</f>
        <v>3</v>
      </c>
      <c r="Q70" s="435">
        <f>'P&amp;L - Concept A2'!J66</f>
        <v>3</v>
      </c>
      <c r="R70" s="435">
        <f>'P&amp;L - Concept A2'!K66</f>
        <v>3</v>
      </c>
      <c r="S70" s="435">
        <f>'P&amp;L - Concept A2'!L66</f>
        <v>3</v>
      </c>
      <c r="T70" s="435">
        <f>'P&amp;L - Concept A2'!M66</f>
        <v>3</v>
      </c>
      <c r="U70" s="435">
        <f>'P&amp;L - Concept A2'!N66</f>
        <v>3</v>
      </c>
      <c r="V70" s="435">
        <f>'P&amp;L - Concept A2'!O66</f>
        <v>3</v>
      </c>
      <c r="W70" s="435">
        <f>'P&amp;L - Concept A2'!P66</f>
        <v>3</v>
      </c>
      <c r="X70" s="435">
        <f>'P&amp;L - Concept A2'!Q66</f>
        <v>3</v>
      </c>
      <c r="Y70" s="435">
        <f>'P&amp;L - Concept A2'!R66</f>
        <v>3</v>
      </c>
      <c r="Z70" s="435">
        <f>'P&amp;L - Concept A2'!S66</f>
        <v>3</v>
      </c>
      <c r="AA70" s="435">
        <f>'P&amp;L - Concept A2'!T66</f>
        <v>3</v>
      </c>
      <c r="AB70" s="435">
        <f>'P&amp;L - Concept A2'!U66</f>
        <v>3</v>
      </c>
      <c r="AC70" s="435">
        <f>'P&amp;L - Concept A2'!V66</f>
        <v>3</v>
      </c>
      <c r="AD70" s="435">
        <f>'P&amp;L - Concept A2'!W66</f>
        <v>3</v>
      </c>
      <c r="AE70" s="435">
        <f>'P&amp;L - Concept A2'!X66</f>
        <v>3</v>
      </c>
    </row>
    <row r="71" spans="1:32" s="96" customFormat="1">
      <c r="K71" s="486"/>
      <c r="L71" s="435"/>
      <c r="M71" s="435"/>
      <c r="N71" s="435"/>
      <c r="O71" s="435"/>
      <c r="P71" s="435"/>
      <c r="Q71" s="435"/>
      <c r="R71" s="435"/>
      <c r="S71" s="435"/>
      <c r="T71" s="435"/>
      <c r="U71" s="435"/>
      <c r="V71" s="435"/>
      <c r="W71" s="435"/>
      <c r="X71" s="435"/>
      <c r="Y71" s="435"/>
      <c r="Z71" s="435"/>
      <c r="AA71" s="435"/>
      <c r="AB71" s="435"/>
      <c r="AC71" s="435"/>
      <c r="AD71" s="435"/>
      <c r="AE71" s="435"/>
    </row>
    <row r="72" spans="1:32" s="18" customFormat="1">
      <c r="A72" s="28"/>
      <c r="K72" s="486"/>
      <c r="L72" s="331"/>
      <c r="M72" s="333"/>
      <c r="N72" s="331"/>
      <c r="O72" s="331"/>
      <c r="P72" s="331"/>
      <c r="Q72" s="331"/>
      <c r="R72" s="331"/>
      <c r="S72" s="331"/>
      <c r="T72" s="331"/>
      <c r="U72" s="331"/>
      <c r="V72" s="331"/>
      <c r="W72" s="331"/>
      <c r="X72" s="331"/>
      <c r="Y72" s="331"/>
      <c r="Z72" s="331"/>
      <c r="AA72" s="331"/>
      <c r="AB72" s="331"/>
      <c r="AC72" s="331"/>
      <c r="AD72" s="331"/>
      <c r="AE72" s="331"/>
    </row>
    <row r="73" spans="1:32">
      <c r="A73" s="168" t="s">
        <v>131</v>
      </c>
      <c r="B73" s="168"/>
      <c r="C73" s="169"/>
      <c r="D73" s="170"/>
      <c r="E73" s="171"/>
      <c r="F73" s="171"/>
      <c r="G73" s="171"/>
      <c r="H73" s="171"/>
      <c r="I73" s="168"/>
      <c r="J73" s="171"/>
      <c r="K73" s="681"/>
      <c r="L73" s="314"/>
      <c r="M73" s="314"/>
      <c r="N73" s="314"/>
      <c r="O73" s="314"/>
      <c r="P73" s="314"/>
      <c r="Q73" s="314"/>
      <c r="R73" s="314"/>
      <c r="S73" s="314"/>
      <c r="T73" s="314"/>
      <c r="U73" s="314"/>
      <c r="V73" s="314"/>
      <c r="W73" s="314"/>
      <c r="X73" s="314"/>
      <c r="Y73" s="314"/>
      <c r="Z73" s="314"/>
      <c r="AA73" s="314"/>
      <c r="AB73" s="314"/>
      <c r="AC73" s="314"/>
      <c r="AD73" s="314"/>
      <c r="AE73" s="314"/>
    </row>
    <row r="74" spans="1:32" s="252" customFormat="1">
      <c r="A74" s="183"/>
      <c r="B74" s="183"/>
      <c r="C74" s="364"/>
      <c r="D74" s="365"/>
      <c r="E74" s="184"/>
      <c r="F74" s="184"/>
      <c r="G74" s="184"/>
      <c r="H74" s="184"/>
      <c r="I74" s="183"/>
      <c r="J74" s="184"/>
      <c r="K74" s="664"/>
      <c r="L74" s="366"/>
      <c r="M74" s="366"/>
      <c r="N74" s="366"/>
      <c r="O74" s="366"/>
      <c r="P74" s="366"/>
      <c r="Q74" s="366"/>
      <c r="R74" s="366"/>
      <c r="S74" s="366"/>
      <c r="T74" s="366"/>
      <c r="U74" s="366"/>
      <c r="V74" s="366"/>
      <c r="W74" s="366"/>
      <c r="X74" s="366"/>
      <c r="Y74" s="366"/>
      <c r="Z74" s="366"/>
      <c r="AA74" s="366"/>
      <c r="AB74" s="366"/>
      <c r="AC74" s="366"/>
      <c r="AD74" s="366"/>
      <c r="AE74" s="366"/>
    </row>
    <row r="75" spans="1:32">
      <c r="A75" s="41" t="s">
        <v>13</v>
      </c>
      <c r="B75" s="41"/>
      <c r="C75" s="105"/>
      <c r="D75" s="106"/>
      <c r="E75" s="37"/>
      <c r="F75" s="37"/>
      <c r="G75" s="37"/>
      <c r="H75" s="37"/>
      <c r="I75" s="41"/>
      <c r="J75" s="37"/>
      <c r="K75" s="683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</row>
    <row r="76" spans="1:32">
      <c r="A76" s="96" t="s">
        <v>418</v>
      </c>
      <c r="B76" s="735" t="s">
        <v>12</v>
      </c>
      <c r="C76" s="663">
        <v>75000</v>
      </c>
      <c r="D76" s="736">
        <f t="shared" ref="D76:D79" si="0">C76/2080</f>
        <v>36.057692307692307</v>
      </c>
      <c r="E76" s="663">
        <v>0</v>
      </c>
      <c r="F76" s="663">
        <f>(C76*$F$13)</f>
        <v>30000</v>
      </c>
      <c r="G76" s="663">
        <f>SUM(C76,E76:F76)</f>
        <v>105000</v>
      </c>
      <c r="H76" s="663"/>
      <c r="I76" s="736"/>
      <c r="J76" s="663"/>
      <c r="K76" s="683">
        <v>0</v>
      </c>
      <c r="L76" s="665">
        <v>0</v>
      </c>
      <c r="M76" s="666">
        <f>G76</f>
        <v>105000</v>
      </c>
      <c r="N76" s="666">
        <f>($G$76*L11)</f>
        <v>107100</v>
      </c>
      <c r="O76" s="666">
        <f t="shared" ref="O76:AE76" si="1">($G$76*M11)</f>
        <v>109242</v>
      </c>
      <c r="P76" s="666">
        <f t="shared" si="1"/>
        <v>111426.84</v>
      </c>
      <c r="Q76" s="666">
        <f t="shared" si="1"/>
        <v>113655.3768</v>
      </c>
      <c r="R76" s="666">
        <f t="shared" si="1"/>
        <v>115928.48433600001</v>
      </c>
      <c r="S76" s="666">
        <f t="shared" si="1"/>
        <v>118247.05402272001</v>
      </c>
      <c r="T76" s="666">
        <f t="shared" si="1"/>
        <v>120611.9951031744</v>
      </c>
      <c r="U76" s="666">
        <f t="shared" si="1"/>
        <v>123024.2350052379</v>
      </c>
      <c r="V76" s="666">
        <f t="shared" si="1"/>
        <v>125484.71970534266</v>
      </c>
      <c r="W76" s="666">
        <f t="shared" si="1"/>
        <v>127994.41409944952</v>
      </c>
      <c r="X76" s="666">
        <f t="shared" si="1"/>
        <v>130554.30238143851</v>
      </c>
      <c r="Y76" s="666">
        <f t="shared" si="1"/>
        <v>133165.38842906727</v>
      </c>
      <c r="Z76" s="666">
        <f t="shared" si="1"/>
        <v>135828.69619764862</v>
      </c>
      <c r="AA76" s="666">
        <f t="shared" si="1"/>
        <v>138545.27012160158</v>
      </c>
      <c r="AB76" s="666">
        <f t="shared" si="1"/>
        <v>141316.17552403364</v>
      </c>
      <c r="AC76" s="666">
        <f t="shared" si="1"/>
        <v>144142.4990345143</v>
      </c>
      <c r="AD76" s="666">
        <f t="shared" si="1"/>
        <v>147025.34901520461</v>
      </c>
      <c r="AE76" s="666">
        <f t="shared" si="1"/>
        <v>149965.8559955087</v>
      </c>
    </row>
    <row r="77" spans="1:32">
      <c r="A77" s="96" t="s">
        <v>417</v>
      </c>
      <c r="B77" s="735" t="s">
        <v>12</v>
      </c>
      <c r="C77" s="663">
        <v>35000</v>
      </c>
      <c r="D77" s="736">
        <f t="shared" si="0"/>
        <v>16.826923076923077</v>
      </c>
      <c r="E77" s="663">
        <v>0</v>
      </c>
      <c r="F77" s="663">
        <f t="shared" ref="F77:F79" si="2">(C77*$F$13)</f>
        <v>14000</v>
      </c>
      <c r="G77" s="663">
        <f t="shared" ref="G77:G79" si="3">SUM(C77,E77:F77)</f>
        <v>49000</v>
      </c>
      <c r="H77" s="663"/>
      <c r="I77" s="736"/>
      <c r="J77" s="663"/>
      <c r="K77" s="683">
        <v>0</v>
      </c>
      <c r="L77" s="665">
        <f>G77*0.25</f>
        <v>12250</v>
      </c>
      <c r="M77" s="666">
        <f>G77*0.5</f>
        <v>24500</v>
      </c>
      <c r="N77" s="666">
        <f>($G$77*0.5*L11)</f>
        <v>24990</v>
      </c>
      <c r="O77" s="666">
        <f t="shared" ref="O77:AE77" si="4">($G$77*0.5*M11)</f>
        <v>25489.8</v>
      </c>
      <c r="P77" s="666">
        <f t="shared" si="4"/>
        <v>25999.595999999998</v>
      </c>
      <c r="Q77" s="666">
        <f t="shared" si="4"/>
        <v>26519.587919999998</v>
      </c>
      <c r="R77" s="666">
        <f t="shared" si="4"/>
        <v>27049.979678399999</v>
      </c>
      <c r="S77" s="666">
        <f t="shared" si="4"/>
        <v>27590.979271968001</v>
      </c>
      <c r="T77" s="666">
        <f t="shared" si="4"/>
        <v>28142.798857407361</v>
      </c>
      <c r="U77" s="666">
        <f t="shared" si="4"/>
        <v>28705.654834555509</v>
      </c>
      <c r="V77" s="666">
        <f t="shared" si="4"/>
        <v>29279.767931246621</v>
      </c>
      <c r="W77" s="666">
        <f t="shared" si="4"/>
        <v>29865.363289871555</v>
      </c>
      <c r="X77" s="666">
        <f t="shared" si="4"/>
        <v>30462.670555668985</v>
      </c>
      <c r="Y77" s="666">
        <f t="shared" si="4"/>
        <v>31071.923966782364</v>
      </c>
      <c r="Z77" s="666">
        <f t="shared" si="4"/>
        <v>31693.362446118008</v>
      </c>
      <c r="AA77" s="666">
        <f t="shared" si="4"/>
        <v>32327.229695040372</v>
      </c>
      <c r="AB77" s="666">
        <f t="shared" si="4"/>
        <v>32973.774288941182</v>
      </c>
      <c r="AC77" s="666">
        <f t="shared" si="4"/>
        <v>33633.249774720003</v>
      </c>
      <c r="AD77" s="666">
        <f t="shared" si="4"/>
        <v>34305.914770214411</v>
      </c>
      <c r="AE77" s="666">
        <f t="shared" si="4"/>
        <v>34992.0330656187</v>
      </c>
    </row>
    <row r="78" spans="1:32">
      <c r="A78" s="96" t="s">
        <v>422</v>
      </c>
      <c r="B78" s="735" t="s">
        <v>15</v>
      </c>
      <c r="C78" s="663">
        <v>15000</v>
      </c>
      <c r="D78" s="736">
        <f t="shared" si="0"/>
        <v>7.2115384615384617</v>
      </c>
      <c r="E78" s="663">
        <f>C78*$L$15</f>
        <v>0</v>
      </c>
      <c r="F78" s="663">
        <f t="shared" si="2"/>
        <v>6000</v>
      </c>
      <c r="G78" s="663">
        <f t="shared" si="3"/>
        <v>21000</v>
      </c>
      <c r="H78" s="663"/>
      <c r="I78" s="736"/>
      <c r="J78" s="663"/>
      <c r="K78" s="683">
        <v>0</v>
      </c>
      <c r="L78" s="665">
        <v>0</v>
      </c>
      <c r="M78" s="666">
        <f t="shared" ref="M78" si="5">G78</f>
        <v>21000</v>
      </c>
      <c r="N78" s="666">
        <f>($G$78*L11)</f>
        <v>21420</v>
      </c>
      <c r="O78" s="666">
        <f t="shared" ref="O78:AE78" si="6">($G$78*M11)</f>
        <v>21848.400000000001</v>
      </c>
      <c r="P78" s="666">
        <f t="shared" si="6"/>
        <v>22285.367999999999</v>
      </c>
      <c r="Q78" s="666">
        <f t="shared" si="6"/>
        <v>22731.075359999999</v>
      </c>
      <c r="R78" s="666">
        <f t="shared" si="6"/>
        <v>23185.6968672</v>
      </c>
      <c r="S78" s="666">
        <f t="shared" si="6"/>
        <v>23649.410804544001</v>
      </c>
      <c r="T78" s="666">
        <f t="shared" si="6"/>
        <v>24122.399020634883</v>
      </c>
      <c r="U78" s="666">
        <f t="shared" si="6"/>
        <v>24604.847001047579</v>
      </c>
      <c r="V78" s="666">
        <f t="shared" si="6"/>
        <v>25096.943941068534</v>
      </c>
      <c r="W78" s="666">
        <f t="shared" si="6"/>
        <v>25598.882819889903</v>
      </c>
      <c r="X78" s="666">
        <f t="shared" si="6"/>
        <v>26110.8604762877</v>
      </c>
      <c r="Y78" s="666">
        <f t="shared" si="6"/>
        <v>26633.077685813456</v>
      </c>
      <c r="Z78" s="666">
        <f t="shared" si="6"/>
        <v>27165.739239529721</v>
      </c>
      <c r="AA78" s="666">
        <f t="shared" si="6"/>
        <v>27709.054024320321</v>
      </c>
      <c r="AB78" s="666">
        <f t="shared" si="6"/>
        <v>28263.235104806728</v>
      </c>
      <c r="AC78" s="666">
        <f t="shared" si="6"/>
        <v>28828.499806902862</v>
      </c>
      <c r="AD78" s="666">
        <f t="shared" si="6"/>
        <v>29405.069803040922</v>
      </c>
      <c r="AE78" s="666">
        <f t="shared" si="6"/>
        <v>29993.17119910174</v>
      </c>
    </row>
    <row r="79" spans="1:32">
      <c r="A79" s="737" t="s">
        <v>422</v>
      </c>
      <c r="B79" s="738" t="s">
        <v>15</v>
      </c>
      <c r="C79" s="739">
        <v>15000</v>
      </c>
      <c r="D79" s="740">
        <f t="shared" si="0"/>
        <v>7.2115384615384617</v>
      </c>
      <c r="E79" s="739">
        <f>C79*$L$15</f>
        <v>0</v>
      </c>
      <c r="F79" s="739">
        <f t="shared" si="2"/>
        <v>6000</v>
      </c>
      <c r="G79" s="739">
        <f t="shared" si="3"/>
        <v>21000</v>
      </c>
      <c r="H79" s="739"/>
      <c r="I79" s="740"/>
      <c r="J79" s="739"/>
      <c r="K79" s="741">
        <v>0</v>
      </c>
      <c r="L79" s="742">
        <v>0</v>
      </c>
      <c r="M79" s="742">
        <f t="shared" ref="M79" si="7">G79</f>
        <v>21000</v>
      </c>
      <c r="N79" s="742">
        <f>($G$79*L11)</f>
        <v>21420</v>
      </c>
      <c r="O79" s="742">
        <f t="shared" ref="O79:AE79" si="8">($G$79*M11)</f>
        <v>21848.400000000001</v>
      </c>
      <c r="P79" s="742">
        <f t="shared" si="8"/>
        <v>22285.367999999999</v>
      </c>
      <c r="Q79" s="742">
        <f t="shared" si="8"/>
        <v>22731.075359999999</v>
      </c>
      <c r="R79" s="742">
        <f t="shared" si="8"/>
        <v>23185.6968672</v>
      </c>
      <c r="S79" s="742">
        <f t="shared" si="8"/>
        <v>23649.410804544001</v>
      </c>
      <c r="T79" s="742">
        <f t="shared" si="8"/>
        <v>24122.399020634883</v>
      </c>
      <c r="U79" s="742">
        <f t="shared" si="8"/>
        <v>24604.847001047579</v>
      </c>
      <c r="V79" s="742">
        <f t="shared" si="8"/>
        <v>25096.943941068534</v>
      </c>
      <c r="W79" s="742">
        <f t="shared" si="8"/>
        <v>25598.882819889903</v>
      </c>
      <c r="X79" s="742">
        <f t="shared" si="8"/>
        <v>26110.8604762877</v>
      </c>
      <c r="Y79" s="742">
        <f t="shared" si="8"/>
        <v>26633.077685813456</v>
      </c>
      <c r="Z79" s="742">
        <f t="shared" si="8"/>
        <v>27165.739239529721</v>
      </c>
      <c r="AA79" s="742">
        <f t="shared" si="8"/>
        <v>27709.054024320321</v>
      </c>
      <c r="AB79" s="742">
        <f t="shared" si="8"/>
        <v>28263.235104806728</v>
      </c>
      <c r="AC79" s="742">
        <f t="shared" si="8"/>
        <v>28828.499806902862</v>
      </c>
      <c r="AD79" s="742">
        <f t="shared" si="8"/>
        <v>29405.069803040922</v>
      </c>
      <c r="AE79" s="742">
        <f t="shared" si="8"/>
        <v>29993.17119910174</v>
      </c>
    </row>
    <row r="80" spans="1:32" s="56" customFormat="1" ht="14.25">
      <c r="A80" s="164" t="s">
        <v>416</v>
      </c>
      <c r="B80" s="164"/>
      <c r="C80" s="667">
        <f>SUM(C76:C79)</f>
        <v>140000</v>
      </c>
      <c r="D80" s="667"/>
      <c r="E80" s="667">
        <f>SUM(E76:E79)</f>
        <v>0</v>
      </c>
      <c r="F80" s="667">
        <f>SUM(F76:F79)</f>
        <v>56000</v>
      </c>
      <c r="G80" s="667">
        <f>SUM(G76:G79)</f>
        <v>196000</v>
      </c>
      <c r="H80" s="667"/>
      <c r="I80" s="668"/>
      <c r="J80" s="667"/>
      <c r="K80" s="685">
        <f>SUMIF($B76:$B79,"FT",K76:K79)</f>
        <v>0</v>
      </c>
      <c r="L80" s="669">
        <f t="shared" ref="L80:AE80" si="9">SUM(L76:L79)</f>
        <v>12250</v>
      </c>
      <c r="M80" s="669">
        <f t="shared" si="9"/>
        <v>171500</v>
      </c>
      <c r="N80" s="669">
        <f t="shared" si="9"/>
        <v>174930</v>
      </c>
      <c r="O80" s="669">
        <f t="shared" si="9"/>
        <v>178428.59999999998</v>
      </c>
      <c r="P80" s="669">
        <f t="shared" si="9"/>
        <v>181997.17199999996</v>
      </c>
      <c r="Q80" s="669">
        <f t="shared" si="9"/>
        <v>185637.11543999997</v>
      </c>
      <c r="R80" s="669">
        <f t="shared" si="9"/>
        <v>189349.85774879999</v>
      </c>
      <c r="S80" s="669">
        <f t="shared" si="9"/>
        <v>193136.85490377599</v>
      </c>
      <c r="T80" s="669">
        <f t="shared" si="9"/>
        <v>196999.59200185153</v>
      </c>
      <c r="U80" s="669">
        <f t="shared" si="9"/>
        <v>200939.58384188855</v>
      </c>
      <c r="V80" s="669">
        <f t="shared" si="9"/>
        <v>204958.37551872636</v>
      </c>
      <c r="W80" s="669">
        <f t="shared" si="9"/>
        <v>209057.54302910087</v>
      </c>
      <c r="X80" s="669">
        <f t="shared" si="9"/>
        <v>213238.69388968288</v>
      </c>
      <c r="Y80" s="669">
        <f t="shared" si="9"/>
        <v>217503.46776747654</v>
      </c>
      <c r="Z80" s="669">
        <f t="shared" si="9"/>
        <v>221853.53712282603</v>
      </c>
      <c r="AA80" s="669">
        <f t="shared" si="9"/>
        <v>226290.60786528263</v>
      </c>
      <c r="AB80" s="669">
        <f t="shared" si="9"/>
        <v>230816.42002258825</v>
      </c>
      <c r="AC80" s="669">
        <f t="shared" si="9"/>
        <v>235432.74842304003</v>
      </c>
      <c r="AD80" s="669">
        <f t="shared" si="9"/>
        <v>240141.40339150085</v>
      </c>
      <c r="AE80" s="669">
        <f t="shared" si="9"/>
        <v>244944.23145933088</v>
      </c>
    </row>
    <row r="81" spans="1:35" s="56" customFormat="1" ht="14.25">
      <c r="A81" s="164"/>
      <c r="B81" s="164"/>
      <c r="C81" s="667"/>
      <c r="D81" s="667"/>
      <c r="E81" s="667"/>
      <c r="F81" s="667"/>
      <c r="G81" s="667"/>
      <c r="H81" s="667"/>
      <c r="I81" s="668"/>
      <c r="J81" s="667"/>
      <c r="K81" s="685"/>
      <c r="L81" s="669"/>
      <c r="M81" s="669"/>
      <c r="N81" s="669"/>
      <c r="O81" s="669"/>
      <c r="P81" s="669"/>
      <c r="Q81" s="669"/>
      <c r="R81" s="669"/>
      <c r="S81" s="669"/>
      <c r="T81" s="669"/>
      <c r="U81" s="669"/>
      <c r="V81" s="669"/>
      <c r="W81" s="669"/>
      <c r="X81" s="669"/>
      <c r="Y81" s="669"/>
      <c r="Z81" s="669"/>
      <c r="AA81" s="669"/>
      <c r="AB81" s="669"/>
      <c r="AC81" s="669"/>
      <c r="AD81" s="669"/>
      <c r="AE81" s="669"/>
    </row>
    <row r="82" spans="1:35">
      <c r="A82" s="37" t="s">
        <v>411</v>
      </c>
      <c r="B82" s="37"/>
      <c r="C82" s="57"/>
      <c r="E82" s="57"/>
      <c r="F82" s="57"/>
      <c r="G82" s="57"/>
      <c r="H82" s="57"/>
      <c r="I82" s="43"/>
      <c r="J82" s="42"/>
      <c r="K82" s="743">
        <f>COUNTIF(K76:K79,"&gt;100")</f>
        <v>0</v>
      </c>
      <c r="L82" s="496">
        <f t="shared" ref="L82:AE82" si="10">COUNTIF(L76:L77,"&gt;100")</f>
        <v>1</v>
      </c>
      <c r="M82" s="496">
        <f t="shared" si="10"/>
        <v>2</v>
      </c>
      <c r="N82" s="496">
        <f t="shared" si="10"/>
        <v>2</v>
      </c>
      <c r="O82" s="496">
        <f t="shared" si="10"/>
        <v>2</v>
      </c>
      <c r="P82" s="496">
        <f t="shared" si="10"/>
        <v>2</v>
      </c>
      <c r="Q82" s="496">
        <f t="shared" si="10"/>
        <v>2</v>
      </c>
      <c r="R82" s="496">
        <f t="shared" si="10"/>
        <v>2</v>
      </c>
      <c r="S82" s="496">
        <f t="shared" si="10"/>
        <v>2</v>
      </c>
      <c r="T82" s="496">
        <f t="shared" si="10"/>
        <v>2</v>
      </c>
      <c r="U82" s="496">
        <f t="shared" si="10"/>
        <v>2</v>
      </c>
      <c r="V82" s="496">
        <f t="shared" si="10"/>
        <v>2</v>
      </c>
      <c r="W82" s="496">
        <f t="shared" si="10"/>
        <v>2</v>
      </c>
      <c r="X82" s="496">
        <f t="shared" si="10"/>
        <v>2</v>
      </c>
      <c r="Y82" s="496">
        <f t="shared" si="10"/>
        <v>2</v>
      </c>
      <c r="Z82" s="496">
        <f t="shared" si="10"/>
        <v>2</v>
      </c>
      <c r="AA82" s="496">
        <f t="shared" si="10"/>
        <v>2</v>
      </c>
      <c r="AB82" s="496">
        <f t="shared" si="10"/>
        <v>2</v>
      </c>
      <c r="AC82" s="496">
        <f t="shared" si="10"/>
        <v>2</v>
      </c>
      <c r="AD82" s="496">
        <f t="shared" si="10"/>
        <v>2</v>
      </c>
      <c r="AE82" s="496">
        <f t="shared" si="10"/>
        <v>2</v>
      </c>
      <c r="AF82" s="744"/>
    </row>
    <row r="83" spans="1:35">
      <c r="A83" s="745" t="s">
        <v>412</v>
      </c>
      <c r="B83" s="745"/>
      <c r="C83" s="746"/>
      <c r="D83" s="116"/>
      <c r="E83" s="746"/>
      <c r="F83" s="746"/>
      <c r="G83" s="746"/>
      <c r="H83" s="746"/>
      <c r="I83" s="747"/>
      <c r="J83" s="748"/>
      <c r="K83" s="749">
        <f t="shared" ref="K83" si="11">K84-K82</f>
        <v>0</v>
      </c>
      <c r="L83" s="750">
        <f t="shared" ref="L83:AE83" si="12">COUNTIF(L78:L79,"&gt;100")</f>
        <v>0</v>
      </c>
      <c r="M83" s="750">
        <f t="shared" si="12"/>
        <v>2</v>
      </c>
      <c r="N83" s="750">
        <f t="shared" si="12"/>
        <v>2</v>
      </c>
      <c r="O83" s="750">
        <f t="shared" si="12"/>
        <v>2</v>
      </c>
      <c r="P83" s="750">
        <f t="shared" si="12"/>
        <v>2</v>
      </c>
      <c r="Q83" s="750">
        <f t="shared" si="12"/>
        <v>2</v>
      </c>
      <c r="R83" s="750">
        <f t="shared" si="12"/>
        <v>2</v>
      </c>
      <c r="S83" s="750">
        <f t="shared" si="12"/>
        <v>2</v>
      </c>
      <c r="T83" s="750">
        <f t="shared" si="12"/>
        <v>2</v>
      </c>
      <c r="U83" s="750">
        <f t="shared" si="12"/>
        <v>2</v>
      </c>
      <c r="V83" s="750">
        <f t="shared" si="12"/>
        <v>2</v>
      </c>
      <c r="W83" s="750">
        <f t="shared" si="12"/>
        <v>2</v>
      </c>
      <c r="X83" s="750">
        <f t="shared" si="12"/>
        <v>2</v>
      </c>
      <c r="Y83" s="750">
        <f t="shared" si="12"/>
        <v>2</v>
      </c>
      <c r="Z83" s="750">
        <f t="shared" si="12"/>
        <v>2</v>
      </c>
      <c r="AA83" s="750">
        <f t="shared" si="12"/>
        <v>2</v>
      </c>
      <c r="AB83" s="750">
        <f t="shared" si="12"/>
        <v>2</v>
      </c>
      <c r="AC83" s="750">
        <f t="shared" si="12"/>
        <v>2</v>
      </c>
      <c r="AD83" s="750">
        <f t="shared" si="12"/>
        <v>2</v>
      </c>
      <c r="AE83" s="750">
        <f t="shared" si="12"/>
        <v>2</v>
      </c>
    </row>
    <row r="84" spans="1:35" s="56" customFormat="1" ht="14.25">
      <c r="A84" s="164" t="s">
        <v>413</v>
      </c>
      <c r="B84" s="164"/>
      <c r="C84" s="75"/>
      <c r="D84" s="173"/>
      <c r="E84" s="75"/>
      <c r="F84" s="75"/>
      <c r="G84" s="75"/>
      <c r="H84" s="75"/>
      <c r="I84" s="174"/>
      <c r="J84" s="181"/>
      <c r="K84" s="751">
        <f>COUNTIF(K76:K79,"&gt;0")</f>
        <v>0</v>
      </c>
      <c r="L84" s="752">
        <f>SUM(L82:L83)</f>
        <v>1</v>
      </c>
      <c r="M84" s="752">
        <f t="shared" ref="M84:AE84" si="13">SUM(M82:M83)</f>
        <v>4</v>
      </c>
      <c r="N84" s="752">
        <f t="shared" si="13"/>
        <v>4</v>
      </c>
      <c r="O84" s="752">
        <f t="shared" si="13"/>
        <v>4</v>
      </c>
      <c r="P84" s="752">
        <f t="shared" si="13"/>
        <v>4</v>
      </c>
      <c r="Q84" s="752">
        <f t="shared" si="13"/>
        <v>4</v>
      </c>
      <c r="R84" s="752">
        <f t="shared" si="13"/>
        <v>4</v>
      </c>
      <c r="S84" s="752">
        <f t="shared" si="13"/>
        <v>4</v>
      </c>
      <c r="T84" s="752">
        <f t="shared" si="13"/>
        <v>4</v>
      </c>
      <c r="U84" s="752">
        <f t="shared" si="13"/>
        <v>4</v>
      </c>
      <c r="V84" s="752">
        <f t="shared" si="13"/>
        <v>4</v>
      </c>
      <c r="W84" s="752">
        <f t="shared" si="13"/>
        <v>4</v>
      </c>
      <c r="X84" s="752">
        <f t="shared" si="13"/>
        <v>4</v>
      </c>
      <c r="Y84" s="752">
        <f t="shared" si="13"/>
        <v>4</v>
      </c>
      <c r="Z84" s="752">
        <f t="shared" si="13"/>
        <v>4</v>
      </c>
      <c r="AA84" s="752">
        <f t="shared" si="13"/>
        <v>4</v>
      </c>
      <c r="AB84" s="752">
        <f t="shared" si="13"/>
        <v>4</v>
      </c>
      <c r="AC84" s="752">
        <f t="shared" si="13"/>
        <v>4</v>
      </c>
      <c r="AD84" s="752">
        <f t="shared" si="13"/>
        <v>4</v>
      </c>
      <c r="AE84" s="752">
        <f t="shared" si="13"/>
        <v>4</v>
      </c>
    </row>
    <row r="85" spans="1:35" s="56" customFormat="1" ht="14.25">
      <c r="A85" s="164"/>
      <c r="B85" s="164"/>
      <c r="C85" s="75"/>
      <c r="D85" s="173"/>
      <c r="E85" s="75"/>
      <c r="F85" s="75"/>
      <c r="G85" s="75"/>
      <c r="H85" s="75"/>
      <c r="I85" s="174"/>
      <c r="J85" s="181"/>
      <c r="K85" s="685"/>
      <c r="L85" s="315"/>
      <c r="M85" s="315"/>
      <c r="N85" s="315"/>
      <c r="O85" s="315"/>
      <c r="P85" s="315"/>
      <c r="Q85" s="315"/>
      <c r="R85" s="315"/>
      <c r="S85" s="315"/>
      <c r="T85" s="315"/>
      <c r="U85" s="315"/>
      <c r="V85" s="315"/>
      <c r="W85" s="315"/>
      <c r="X85" s="315"/>
      <c r="Y85" s="315"/>
      <c r="Z85" s="315"/>
      <c r="AA85" s="315"/>
      <c r="AB85" s="315"/>
      <c r="AC85" s="315"/>
      <c r="AD85" s="315"/>
      <c r="AE85" s="315"/>
    </row>
    <row r="86" spans="1:35">
      <c r="A86" s="48" t="s">
        <v>68</v>
      </c>
      <c r="B86" s="48"/>
      <c r="C86" s="77"/>
      <c r="D86" s="76"/>
      <c r="E86" s="57"/>
      <c r="F86" s="57"/>
      <c r="G86" s="77"/>
      <c r="H86" s="77"/>
      <c r="I86" s="50"/>
      <c r="J86" s="49"/>
      <c r="K86" s="683"/>
      <c r="L86" s="316"/>
      <c r="M86" s="316"/>
      <c r="N86" s="316"/>
      <c r="O86" s="316"/>
      <c r="P86" s="316"/>
      <c r="Q86" s="316"/>
      <c r="R86" s="316"/>
      <c r="S86" s="316"/>
      <c r="T86" s="316"/>
      <c r="U86" s="316"/>
      <c r="V86" s="316"/>
      <c r="W86" s="316"/>
      <c r="X86" s="316"/>
      <c r="Y86" s="316"/>
      <c r="Z86" s="316"/>
      <c r="AA86" s="316"/>
      <c r="AB86" s="316"/>
      <c r="AC86" s="316"/>
      <c r="AD86" s="316"/>
      <c r="AE86" s="316"/>
    </row>
    <row r="87" spans="1:35" s="68" customFormat="1" ht="14.25">
      <c r="A87" s="214" t="s">
        <v>80</v>
      </c>
      <c r="B87" s="189"/>
      <c r="C87" s="209"/>
      <c r="D87" s="210"/>
      <c r="E87" s="211"/>
      <c r="F87" s="211"/>
      <c r="G87" s="209"/>
      <c r="H87" s="209"/>
      <c r="I87" s="213"/>
      <c r="J87" s="212"/>
      <c r="K87" s="686"/>
      <c r="L87" s="317"/>
      <c r="M87" s="317"/>
      <c r="N87" s="317"/>
      <c r="O87" s="317"/>
      <c r="P87" s="317"/>
      <c r="Q87" s="317"/>
      <c r="R87" s="317"/>
      <c r="S87" s="317"/>
      <c r="T87" s="317"/>
      <c r="U87" s="317"/>
      <c r="V87" s="317"/>
      <c r="W87" s="317"/>
      <c r="X87" s="317"/>
      <c r="Y87" s="317"/>
      <c r="Z87" s="317"/>
      <c r="AA87" s="317"/>
      <c r="AB87" s="317"/>
      <c r="AC87" s="317"/>
      <c r="AD87" s="317"/>
      <c r="AE87" s="317"/>
    </row>
    <row r="88" spans="1:35">
      <c r="A88" s="37" t="s">
        <v>41</v>
      </c>
      <c r="B88" s="37"/>
      <c r="C88" s="110"/>
      <c r="D88" s="106"/>
      <c r="E88" s="57"/>
      <c r="F88" s="57"/>
      <c r="G88" s="57"/>
      <c r="H88" s="57"/>
      <c r="I88" s="51"/>
      <c r="J88" s="663"/>
      <c r="K88" s="683">
        <f>K$84*$J88*R$9</f>
        <v>0</v>
      </c>
      <c r="L88" s="666">
        <v>25000</v>
      </c>
      <c r="M88" s="666">
        <f>$L$88*L11</f>
        <v>25500</v>
      </c>
      <c r="N88" s="666">
        <f t="shared" ref="N88:P88" si="14">$L$88*M11</f>
        <v>26010</v>
      </c>
      <c r="O88" s="666">
        <f t="shared" si="14"/>
        <v>26530.199999999997</v>
      </c>
      <c r="P88" s="666">
        <f t="shared" si="14"/>
        <v>27060.804</v>
      </c>
      <c r="Q88" s="666">
        <f t="shared" ref="Q88" si="15">$L$88*P11</f>
        <v>27602.020080000002</v>
      </c>
      <c r="R88" s="666">
        <f t="shared" ref="R88" si="16">$L$88*Q11</f>
        <v>28154.060481600001</v>
      </c>
      <c r="S88" s="666">
        <f t="shared" ref="S88" si="17">$L$88*R11</f>
        <v>28717.141691232002</v>
      </c>
      <c r="T88" s="666">
        <f t="shared" ref="T88" si="18">$L$88*S11</f>
        <v>29291.484525056643</v>
      </c>
      <c r="U88" s="666">
        <f t="shared" ref="U88" si="19">$L$88*T11</f>
        <v>29877.314215557777</v>
      </c>
      <c r="V88" s="666">
        <f t="shared" ref="V88" si="20">$L$88*U11</f>
        <v>30474.860499868933</v>
      </c>
      <c r="W88" s="666">
        <f t="shared" ref="W88" si="21">$L$88*V11</f>
        <v>31084.357709866312</v>
      </c>
      <c r="X88" s="666">
        <f t="shared" ref="X88" si="22">$L$88*W11</f>
        <v>31706.044864063639</v>
      </c>
      <c r="Y88" s="666">
        <f t="shared" ref="Y88" si="23">$L$88*X11</f>
        <v>32340.165761344906</v>
      </c>
      <c r="Z88" s="666">
        <f t="shared" ref="Z88" si="24">$L$88*Y11</f>
        <v>32986.969076571811</v>
      </c>
      <c r="AA88" s="666">
        <f t="shared" ref="AA88" si="25">$L$88*Z11</f>
        <v>33646.708458103247</v>
      </c>
      <c r="AB88" s="666">
        <f t="shared" ref="AB88" si="26">$L$88*AA11</f>
        <v>34319.642627265312</v>
      </c>
      <c r="AC88" s="666">
        <f t="shared" ref="AC88" si="27">$L$88*AB11</f>
        <v>35006.03547981062</v>
      </c>
      <c r="AD88" s="666">
        <f t="shared" ref="AD88" si="28">$L$88*AC11</f>
        <v>35706.156189406836</v>
      </c>
      <c r="AE88" s="666">
        <f t="shared" ref="AE88" si="29">$L$88*AD11</f>
        <v>36420.279313194973</v>
      </c>
    </row>
    <row r="89" spans="1:35">
      <c r="A89" s="37" t="s">
        <v>424</v>
      </c>
      <c r="B89" s="37"/>
      <c r="C89" s="110"/>
      <c r="D89" s="106"/>
      <c r="E89" s="57"/>
      <c r="F89" s="57"/>
      <c r="G89" s="57"/>
      <c r="H89" s="57"/>
      <c r="I89" s="51"/>
      <c r="J89" s="663"/>
      <c r="K89" s="683">
        <f>K$84*$J89*R$9</f>
        <v>0</v>
      </c>
      <c r="L89" s="666">
        <v>10000</v>
      </c>
      <c r="M89" s="666">
        <v>500</v>
      </c>
      <c r="N89" s="666">
        <f>$M$89*M11</f>
        <v>520.20000000000005</v>
      </c>
      <c r="O89" s="666">
        <f>$M$89*N11</f>
        <v>530.60399999999993</v>
      </c>
      <c r="P89" s="666">
        <f>$M$89*O11</f>
        <v>541.21608000000003</v>
      </c>
      <c r="Q89" s="666">
        <v>5000</v>
      </c>
      <c r="R89" s="666">
        <f>$M$89*Q11</f>
        <v>563.08120963200008</v>
      </c>
      <c r="S89" s="666">
        <f>$M$89*R11</f>
        <v>574.34283382464002</v>
      </c>
      <c r="T89" s="666">
        <f>$M$89*S11</f>
        <v>585.82969050113286</v>
      </c>
      <c r="U89" s="666">
        <f>$M$89*T11</f>
        <v>597.54628431115555</v>
      </c>
      <c r="V89" s="666">
        <v>5000</v>
      </c>
      <c r="W89" s="666">
        <f>$M$89*V11</f>
        <v>621.68715419732621</v>
      </c>
      <c r="X89" s="666">
        <f>$M$89*W11</f>
        <v>634.12089728127273</v>
      </c>
      <c r="Y89" s="666">
        <f>$M$89*X11</f>
        <v>646.80331522689812</v>
      </c>
      <c r="Z89" s="666">
        <f>$M$89*Y11</f>
        <v>659.73938153143615</v>
      </c>
      <c r="AA89" s="666">
        <v>5000</v>
      </c>
      <c r="AB89" s="666">
        <f>$M$89*AA11</f>
        <v>686.39285254530625</v>
      </c>
      <c r="AC89" s="666">
        <f>$M$89*AB11</f>
        <v>700.12070959621246</v>
      </c>
      <c r="AD89" s="666">
        <f>$M$89*AC11</f>
        <v>714.1231237881367</v>
      </c>
      <c r="AE89" s="666">
        <f>$M$89*AD11</f>
        <v>728.40558626389941</v>
      </c>
    </row>
    <row r="90" spans="1:35">
      <c r="A90" s="37" t="s">
        <v>42</v>
      </c>
      <c r="B90" s="37"/>
      <c r="C90" s="110"/>
      <c r="D90" s="106"/>
      <c r="E90" s="57"/>
      <c r="F90" s="57"/>
      <c r="G90" s="57"/>
      <c r="H90" s="57"/>
      <c r="I90" s="51"/>
      <c r="J90" s="663"/>
      <c r="K90" s="683">
        <f>K$84*$J90*R$9</f>
        <v>0</v>
      </c>
      <c r="L90" s="666">
        <v>50000</v>
      </c>
      <c r="M90" s="666">
        <f t="shared" ref="M90:AE90" si="30">($L$90*L11)</f>
        <v>51000</v>
      </c>
      <c r="N90" s="666">
        <f t="shared" si="30"/>
        <v>52020</v>
      </c>
      <c r="O90" s="666">
        <f t="shared" si="30"/>
        <v>53060.399999999994</v>
      </c>
      <c r="P90" s="666">
        <f t="shared" si="30"/>
        <v>54121.608</v>
      </c>
      <c r="Q90" s="666">
        <f t="shared" si="30"/>
        <v>55204.040160000004</v>
      </c>
      <c r="R90" s="666">
        <f t="shared" si="30"/>
        <v>56308.120963200003</v>
      </c>
      <c r="S90" s="666">
        <f t="shared" si="30"/>
        <v>57434.283382464004</v>
      </c>
      <c r="T90" s="666">
        <f t="shared" si="30"/>
        <v>58582.969050113286</v>
      </c>
      <c r="U90" s="666">
        <f t="shared" si="30"/>
        <v>59754.628431115554</v>
      </c>
      <c r="V90" s="666">
        <f t="shared" si="30"/>
        <v>60949.720999737867</v>
      </c>
      <c r="W90" s="666">
        <f t="shared" si="30"/>
        <v>62168.715419732624</v>
      </c>
      <c r="X90" s="666">
        <f t="shared" si="30"/>
        <v>63412.089728127277</v>
      </c>
      <c r="Y90" s="666">
        <f t="shared" si="30"/>
        <v>64680.331522689812</v>
      </c>
      <c r="Z90" s="666">
        <f t="shared" si="30"/>
        <v>65973.938153143623</v>
      </c>
      <c r="AA90" s="666">
        <f t="shared" si="30"/>
        <v>67293.416916206494</v>
      </c>
      <c r="AB90" s="666">
        <f t="shared" si="30"/>
        <v>68639.285254530623</v>
      </c>
      <c r="AC90" s="666">
        <f t="shared" si="30"/>
        <v>70012.07095962124</v>
      </c>
      <c r="AD90" s="666">
        <f t="shared" si="30"/>
        <v>71412.312378813673</v>
      </c>
      <c r="AE90" s="666">
        <f t="shared" si="30"/>
        <v>72840.558626389946</v>
      </c>
    </row>
    <row r="91" spans="1:35">
      <c r="A91" s="37" t="s">
        <v>43</v>
      </c>
      <c r="B91" s="37"/>
      <c r="C91" s="110"/>
      <c r="D91" s="106"/>
      <c r="E91" s="57"/>
      <c r="F91" s="57"/>
      <c r="G91" s="57"/>
      <c r="H91" s="57"/>
      <c r="I91" s="51" t="s">
        <v>8</v>
      </c>
      <c r="J91" s="663">
        <v>500</v>
      </c>
      <c r="K91" s="683">
        <v>0</v>
      </c>
      <c r="L91" s="666">
        <f>J91*L84</f>
        <v>500</v>
      </c>
      <c r="M91" s="666">
        <f t="shared" ref="M91:AE91" si="31">$J$91*M84*L11</f>
        <v>2040</v>
      </c>
      <c r="N91" s="666">
        <f t="shared" si="31"/>
        <v>2080.8000000000002</v>
      </c>
      <c r="O91" s="666">
        <f t="shared" si="31"/>
        <v>2122.4159999999997</v>
      </c>
      <c r="P91" s="666">
        <f t="shared" si="31"/>
        <v>2164.8643200000001</v>
      </c>
      <c r="Q91" s="666">
        <f t="shared" si="31"/>
        <v>2208.1616064</v>
      </c>
      <c r="R91" s="666">
        <f t="shared" si="31"/>
        <v>2252.3248385280003</v>
      </c>
      <c r="S91" s="666">
        <f t="shared" si="31"/>
        <v>2297.3713352985601</v>
      </c>
      <c r="T91" s="666">
        <f t="shared" si="31"/>
        <v>2343.3187620045314</v>
      </c>
      <c r="U91" s="666">
        <f t="shared" si="31"/>
        <v>2390.1851372446222</v>
      </c>
      <c r="V91" s="666">
        <f t="shared" si="31"/>
        <v>2437.9888399895149</v>
      </c>
      <c r="W91" s="666">
        <f t="shared" si="31"/>
        <v>2486.7486167893048</v>
      </c>
      <c r="X91" s="666">
        <f t="shared" si="31"/>
        <v>2536.4835891250909</v>
      </c>
      <c r="Y91" s="666">
        <f t="shared" si="31"/>
        <v>2587.2132609075925</v>
      </c>
      <c r="Z91" s="666">
        <f t="shared" si="31"/>
        <v>2638.9575261257446</v>
      </c>
      <c r="AA91" s="666">
        <f t="shared" si="31"/>
        <v>2691.7366766482596</v>
      </c>
      <c r="AB91" s="666">
        <f t="shared" si="31"/>
        <v>2745.571410181225</v>
      </c>
      <c r="AC91" s="666">
        <f t="shared" si="31"/>
        <v>2800.4828383848499</v>
      </c>
      <c r="AD91" s="666">
        <f t="shared" si="31"/>
        <v>2856.4924951525468</v>
      </c>
      <c r="AE91" s="666">
        <f t="shared" si="31"/>
        <v>2913.6223450555976</v>
      </c>
    </row>
    <row r="92" spans="1:35">
      <c r="A92" s="37" t="s">
        <v>44</v>
      </c>
      <c r="B92" s="37"/>
      <c r="C92" s="110"/>
      <c r="D92" s="106"/>
      <c r="E92" s="57"/>
      <c r="F92" s="57"/>
      <c r="G92" s="57"/>
      <c r="H92" s="57"/>
      <c r="I92" s="51" t="s">
        <v>8</v>
      </c>
      <c r="J92" s="663">
        <v>250</v>
      </c>
      <c r="K92" s="683">
        <v>0</v>
      </c>
      <c r="L92" s="666">
        <f>J92*L84</f>
        <v>250</v>
      </c>
      <c r="M92" s="666">
        <f t="shared" ref="M92:AE92" si="32">$J$92*M84*L11</f>
        <v>1020</v>
      </c>
      <c r="N92" s="666">
        <f t="shared" si="32"/>
        <v>1040.4000000000001</v>
      </c>
      <c r="O92" s="666">
        <f t="shared" si="32"/>
        <v>1061.2079999999999</v>
      </c>
      <c r="P92" s="666">
        <f t="shared" si="32"/>
        <v>1082.4321600000001</v>
      </c>
      <c r="Q92" s="666">
        <f t="shared" si="32"/>
        <v>1104.0808032</v>
      </c>
      <c r="R92" s="666">
        <f t="shared" si="32"/>
        <v>1126.1624192640002</v>
      </c>
      <c r="S92" s="666">
        <f t="shared" si="32"/>
        <v>1148.68566764928</v>
      </c>
      <c r="T92" s="666">
        <f t="shared" si="32"/>
        <v>1171.6593810022657</v>
      </c>
      <c r="U92" s="666">
        <f t="shared" si="32"/>
        <v>1195.0925686223111</v>
      </c>
      <c r="V92" s="666">
        <f t="shared" si="32"/>
        <v>1218.9944199947574</v>
      </c>
      <c r="W92" s="666">
        <f t="shared" si="32"/>
        <v>1243.3743083946524</v>
      </c>
      <c r="X92" s="666">
        <f t="shared" si="32"/>
        <v>1268.2417945625455</v>
      </c>
      <c r="Y92" s="666">
        <f t="shared" si="32"/>
        <v>1293.6066304537962</v>
      </c>
      <c r="Z92" s="666">
        <f t="shared" si="32"/>
        <v>1319.4787630628723</v>
      </c>
      <c r="AA92" s="666">
        <f t="shared" si="32"/>
        <v>1345.8683383241298</v>
      </c>
      <c r="AB92" s="666">
        <f t="shared" si="32"/>
        <v>1372.7857050906125</v>
      </c>
      <c r="AC92" s="666">
        <f t="shared" si="32"/>
        <v>1400.2414191924249</v>
      </c>
      <c r="AD92" s="666">
        <f t="shared" si="32"/>
        <v>1428.2462475762734</v>
      </c>
      <c r="AE92" s="666">
        <f t="shared" si="32"/>
        <v>1456.8111725277988</v>
      </c>
      <c r="AF92" s="44"/>
    </row>
    <row r="93" spans="1:35">
      <c r="A93" s="745" t="s">
        <v>2</v>
      </c>
      <c r="B93" s="745"/>
      <c r="C93" s="753"/>
      <c r="D93" s="754"/>
      <c r="E93" s="746"/>
      <c r="F93" s="746"/>
      <c r="G93" s="746"/>
      <c r="H93" s="746"/>
      <c r="I93" s="755"/>
      <c r="J93" s="739"/>
      <c r="K93" s="741">
        <v>0</v>
      </c>
      <c r="L93" s="742">
        <v>1000</v>
      </c>
      <c r="M93" s="742">
        <f t="shared" ref="M93:AE93" si="33">($L$93*L11)</f>
        <v>1020</v>
      </c>
      <c r="N93" s="742">
        <f t="shared" si="33"/>
        <v>1040.4000000000001</v>
      </c>
      <c r="O93" s="742">
        <f t="shared" si="33"/>
        <v>1061.2079999999999</v>
      </c>
      <c r="P93" s="742">
        <f t="shared" si="33"/>
        <v>1082.4321600000001</v>
      </c>
      <c r="Q93" s="742">
        <f t="shared" si="33"/>
        <v>1104.0808032</v>
      </c>
      <c r="R93" s="742">
        <f t="shared" si="33"/>
        <v>1126.1624192640002</v>
      </c>
      <c r="S93" s="742">
        <f t="shared" si="33"/>
        <v>1148.68566764928</v>
      </c>
      <c r="T93" s="742">
        <f t="shared" si="33"/>
        <v>1171.6593810022657</v>
      </c>
      <c r="U93" s="742">
        <f t="shared" si="33"/>
        <v>1195.0925686223111</v>
      </c>
      <c r="V93" s="742">
        <f t="shared" si="33"/>
        <v>1218.9944199947574</v>
      </c>
      <c r="W93" s="742">
        <f t="shared" si="33"/>
        <v>1243.3743083946524</v>
      </c>
      <c r="X93" s="742">
        <f t="shared" si="33"/>
        <v>1268.2417945625455</v>
      </c>
      <c r="Y93" s="742">
        <f t="shared" si="33"/>
        <v>1293.6066304537962</v>
      </c>
      <c r="Z93" s="742">
        <f t="shared" si="33"/>
        <v>1319.4787630628723</v>
      </c>
      <c r="AA93" s="742">
        <f t="shared" si="33"/>
        <v>1345.8683383241298</v>
      </c>
      <c r="AB93" s="742">
        <f t="shared" si="33"/>
        <v>1372.7857050906125</v>
      </c>
      <c r="AC93" s="742">
        <f t="shared" si="33"/>
        <v>1400.2414191924249</v>
      </c>
      <c r="AD93" s="742">
        <f t="shared" si="33"/>
        <v>1428.2462475762734</v>
      </c>
      <c r="AE93" s="742">
        <f t="shared" si="33"/>
        <v>1456.8111725277988</v>
      </c>
    </row>
    <row r="94" spans="1:35" s="56" customFormat="1" ht="14.25">
      <c r="A94" s="164" t="s">
        <v>409</v>
      </c>
      <c r="B94" s="215"/>
      <c r="C94" s="216"/>
      <c r="D94" s="217"/>
      <c r="E94" s="218"/>
      <c r="F94" s="218"/>
      <c r="G94" s="218"/>
      <c r="H94" s="218"/>
      <c r="I94" s="219"/>
      <c r="J94" s="756"/>
      <c r="K94" s="687">
        <f>SUM(K88:K93)</f>
        <v>0</v>
      </c>
      <c r="L94" s="757">
        <f>SUM(L88:L93)</f>
        <v>86750</v>
      </c>
      <c r="M94" s="757">
        <f t="shared" ref="M94:AE94" si="34">SUM(M88:M93)</f>
        <v>81080</v>
      </c>
      <c r="N94" s="757">
        <f t="shared" si="34"/>
        <v>82711.799999999988</v>
      </c>
      <c r="O94" s="757">
        <f t="shared" si="34"/>
        <v>84366.035999999993</v>
      </c>
      <c r="P94" s="757">
        <f t="shared" si="34"/>
        <v>86053.356719999982</v>
      </c>
      <c r="Q94" s="757">
        <f t="shared" si="34"/>
        <v>92222.383452800015</v>
      </c>
      <c r="R94" s="757">
        <f t="shared" si="34"/>
        <v>89529.912331488013</v>
      </c>
      <c r="S94" s="757">
        <f t="shared" si="34"/>
        <v>91320.510578117755</v>
      </c>
      <c r="T94" s="757">
        <f t="shared" si="34"/>
        <v>93146.920789680124</v>
      </c>
      <c r="U94" s="757">
        <f t="shared" si="34"/>
        <v>95009.859205473724</v>
      </c>
      <c r="V94" s="757">
        <f t="shared" si="34"/>
        <v>101300.55917958585</v>
      </c>
      <c r="W94" s="757">
        <f t="shared" si="34"/>
        <v>98848.257517374863</v>
      </c>
      <c r="X94" s="757">
        <f t="shared" si="34"/>
        <v>100825.22266772237</v>
      </c>
      <c r="Y94" s="757">
        <f t="shared" si="34"/>
        <v>102841.72712107681</v>
      </c>
      <c r="Z94" s="757">
        <f t="shared" si="34"/>
        <v>104898.56166349835</v>
      </c>
      <c r="AA94" s="757">
        <f t="shared" si="34"/>
        <v>111323.59872760627</v>
      </c>
      <c r="AB94" s="757">
        <f t="shared" si="34"/>
        <v>109136.4635547037</v>
      </c>
      <c r="AC94" s="757">
        <f t="shared" si="34"/>
        <v>111319.19282579776</v>
      </c>
      <c r="AD94" s="757">
        <f t="shared" si="34"/>
        <v>113545.57668231374</v>
      </c>
      <c r="AE94" s="757">
        <f t="shared" si="34"/>
        <v>115816.48821596001</v>
      </c>
    </row>
    <row r="95" spans="1:35" s="56" customFormat="1" ht="14.25">
      <c r="A95" s="164"/>
      <c r="B95" s="215"/>
      <c r="C95" s="216"/>
      <c r="D95" s="217"/>
      <c r="E95" s="218"/>
      <c r="F95" s="218"/>
      <c r="G95" s="218"/>
      <c r="H95" s="218"/>
      <c r="I95" s="219"/>
      <c r="J95" s="220"/>
      <c r="K95" s="687"/>
      <c r="L95" s="318"/>
      <c r="M95" s="318"/>
      <c r="N95" s="318"/>
      <c r="O95" s="318"/>
      <c r="P95" s="318"/>
      <c r="Q95" s="318"/>
      <c r="R95" s="318"/>
      <c r="S95" s="318"/>
      <c r="T95" s="318"/>
      <c r="U95" s="318"/>
      <c r="V95" s="318"/>
      <c r="W95" s="318"/>
      <c r="X95" s="318"/>
      <c r="Y95" s="318"/>
      <c r="Z95" s="318"/>
      <c r="AA95" s="318"/>
      <c r="AB95" s="318"/>
      <c r="AC95" s="318"/>
      <c r="AD95" s="318"/>
      <c r="AE95" s="318"/>
    </row>
    <row r="96" spans="1:35" s="56" customFormat="1" ht="14.25">
      <c r="A96" s="720" t="s">
        <v>26</v>
      </c>
      <c r="B96" s="215"/>
      <c r="C96" s="218"/>
      <c r="D96" s="721"/>
      <c r="E96" s="218"/>
      <c r="F96" s="218"/>
      <c r="G96" s="218">
        <f>SUM(Q94,Q97,Q109,Q132,Q155)</f>
        <v>296055.0555637994</v>
      </c>
      <c r="H96" s="218"/>
      <c r="I96" s="722"/>
      <c r="J96" s="220"/>
      <c r="K96" s="687"/>
      <c r="L96" s="318"/>
      <c r="M96" s="318"/>
      <c r="N96" s="318"/>
      <c r="O96" s="318"/>
      <c r="P96" s="318"/>
      <c r="Q96" s="318"/>
      <c r="R96" s="318"/>
      <c r="S96" s="318"/>
      <c r="T96" s="318"/>
      <c r="U96" s="318"/>
      <c r="V96" s="318"/>
      <c r="W96" s="318"/>
      <c r="X96" s="318"/>
      <c r="Y96" s="318"/>
      <c r="Z96" s="318"/>
      <c r="AA96" s="318"/>
      <c r="AB96" s="318"/>
      <c r="AC96" s="318"/>
      <c r="AD96" s="318"/>
      <c r="AE96" s="318"/>
      <c r="AF96" s="723"/>
      <c r="AG96" s="723"/>
      <c r="AH96" s="723"/>
      <c r="AI96" s="723"/>
    </row>
    <row r="97" spans="1:35">
      <c r="A97" s="190" t="s">
        <v>41</v>
      </c>
      <c r="B97" s="190"/>
      <c r="C97" s="194"/>
      <c r="D97" s="758"/>
      <c r="E97" s="194"/>
      <c r="F97" s="194"/>
      <c r="G97" s="759"/>
      <c r="H97" s="759"/>
      <c r="I97" s="760"/>
      <c r="J97" s="761"/>
      <c r="K97" s="689">
        <v>0</v>
      </c>
      <c r="L97" s="665">
        <v>1000</v>
      </c>
      <c r="M97" s="665">
        <f>$L$97*L11</f>
        <v>1020</v>
      </c>
      <c r="N97" s="665">
        <f t="shared" ref="N97:P97" si="35">$L$97*M11</f>
        <v>1040.4000000000001</v>
      </c>
      <c r="O97" s="665">
        <f t="shared" si="35"/>
        <v>1061.2079999999999</v>
      </c>
      <c r="P97" s="665">
        <f t="shared" si="35"/>
        <v>1082.4321600000001</v>
      </c>
      <c r="Q97" s="665">
        <v>25000</v>
      </c>
      <c r="R97" s="665">
        <f>$Q$97*L11</f>
        <v>25500</v>
      </c>
      <c r="S97" s="665">
        <f t="shared" ref="S97:AE97" si="36">$Q$97*M11</f>
        <v>26010</v>
      </c>
      <c r="T97" s="665">
        <f t="shared" si="36"/>
        <v>26530.199999999997</v>
      </c>
      <c r="U97" s="665">
        <f t="shared" si="36"/>
        <v>27060.804</v>
      </c>
      <c r="V97" s="665">
        <f t="shared" si="36"/>
        <v>27602.020080000002</v>
      </c>
      <c r="W97" s="665">
        <f t="shared" si="36"/>
        <v>28154.060481600001</v>
      </c>
      <c r="X97" s="665">
        <f t="shared" si="36"/>
        <v>28717.141691232002</v>
      </c>
      <c r="Y97" s="665">
        <f t="shared" si="36"/>
        <v>29291.484525056643</v>
      </c>
      <c r="Z97" s="665">
        <f t="shared" si="36"/>
        <v>29877.314215557777</v>
      </c>
      <c r="AA97" s="665">
        <f t="shared" si="36"/>
        <v>30474.860499868933</v>
      </c>
      <c r="AB97" s="665">
        <f t="shared" si="36"/>
        <v>31084.357709866312</v>
      </c>
      <c r="AC97" s="665">
        <f t="shared" si="36"/>
        <v>31706.044864063639</v>
      </c>
      <c r="AD97" s="665">
        <f t="shared" si="36"/>
        <v>32340.165761344906</v>
      </c>
      <c r="AE97" s="665">
        <f t="shared" si="36"/>
        <v>32986.969076571811</v>
      </c>
      <c r="AF97" s="55"/>
      <c r="AG97" s="55"/>
      <c r="AH97" s="55"/>
      <c r="AI97" s="55"/>
    </row>
    <row r="98" spans="1:35">
      <c r="A98" s="745" t="s">
        <v>302</v>
      </c>
      <c r="B98" s="745"/>
      <c r="C98" s="746"/>
      <c r="D98" s="116"/>
      <c r="E98" s="746"/>
      <c r="F98" s="746"/>
      <c r="G98" s="753"/>
      <c r="H98" s="753"/>
      <c r="I98" s="755"/>
      <c r="J98" s="762"/>
      <c r="K98" s="741">
        <v>0</v>
      </c>
      <c r="L98" s="742">
        <f>'Shuttle Projections'!C28/2</f>
        <v>233675</v>
      </c>
      <c r="M98" s="742">
        <f>'Shuttle Projections'!D28</f>
        <v>476697</v>
      </c>
      <c r="N98" s="742">
        <f>'Shuttle Projections'!E28</f>
        <v>486230.94000000006</v>
      </c>
      <c r="O98" s="742">
        <f>'Shuttle Projections'!F28</f>
        <v>495955.55879999994</v>
      </c>
      <c r="P98" s="742">
        <f>'Shuttle Projections'!G28</f>
        <v>505874.66997599998</v>
      </c>
      <c r="Q98" s="742">
        <f>'Shuttle Projections'!H28</f>
        <v>515992.16337552003</v>
      </c>
      <c r="R98" s="742">
        <f>'Shuttle Projections'!I28</f>
        <v>526312.00664303044</v>
      </c>
      <c r="S98" s="742">
        <f>'Shuttle Projections'!J28</f>
        <v>536838.24677589093</v>
      </c>
      <c r="T98" s="742">
        <f>'Shuttle Projections'!K28</f>
        <v>547575.01171140897</v>
      </c>
      <c r="U98" s="742">
        <f>'Shuttle Projections'!L28</f>
        <v>558526.51194563706</v>
      </c>
      <c r="V98" s="742">
        <f>'Shuttle Projections'!M28</f>
        <v>569697.04218454985</v>
      </c>
      <c r="W98" s="742">
        <f>'Shuttle Projections'!N28</f>
        <v>581090.98302824085</v>
      </c>
      <c r="X98" s="742">
        <f>'Shuttle Projections'!O28</f>
        <v>592712.80268880562</v>
      </c>
      <c r="Y98" s="742">
        <f>'Shuttle Projections'!P28</f>
        <v>604567.05874258175</v>
      </c>
      <c r="Z98" s="742">
        <f>'Shuttle Projections'!Q28</f>
        <v>616658.39991743339</v>
      </c>
      <c r="AA98" s="742">
        <f>'Shuttle Projections'!R28</f>
        <v>628991.5679157821</v>
      </c>
      <c r="AB98" s="742">
        <f>'Shuttle Projections'!S28</f>
        <v>641571.39927409776</v>
      </c>
      <c r="AC98" s="742">
        <f>'Shuttle Projections'!T28</f>
        <v>654402.82725957979</v>
      </c>
      <c r="AD98" s="742">
        <f>'Shuttle Projections'!U28</f>
        <v>667490.88380477135</v>
      </c>
      <c r="AE98" s="742">
        <f>'Shuttle Projections'!V28</f>
        <v>680840.70148086676</v>
      </c>
    </row>
    <row r="99" spans="1:35" s="56" customFormat="1" ht="14.25">
      <c r="A99" s="164" t="s">
        <v>410</v>
      </c>
      <c r="B99" s="164"/>
      <c r="C99" s="75"/>
      <c r="D99" s="173"/>
      <c r="E99" s="75"/>
      <c r="F99" s="75"/>
      <c r="G99" s="75"/>
      <c r="H99" s="75"/>
      <c r="I99" s="174"/>
      <c r="J99" s="175"/>
      <c r="K99" s="685">
        <v>0</v>
      </c>
      <c r="L99" s="669">
        <f>SUM(L97:L98)</f>
        <v>234675</v>
      </c>
      <c r="M99" s="669">
        <f t="shared" ref="M99:AE99" si="37">SUM(M97:M98)</f>
        <v>477717</v>
      </c>
      <c r="N99" s="669">
        <f t="shared" si="37"/>
        <v>487271.34000000008</v>
      </c>
      <c r="O99" s="669">
        <f t="shared" si="37"/>
        <v>497016.76679999992</v>
      </c>
      <c r="P99" s="669">
        <f t="shared" si="37"/>
        <v>506957.102136</v>
      </c>
      <c r="Q99" s="669">
        <f t="shared" si="37"/>
        <v>540992.16337552003</v>
      </c>
      <c r="R99" s="669">
        <f t="shared" si="37"/>
        <v>551812.00664303044</v>
      </c>
      <c r="S99" s="669">
        <f t="shared" si="37"/>
        <v>562848.24677589093</v>
      </c>
      <c r="T99" s="669">
        <f t="shared" si="37"/>
        <v>574105.21171140892</v>
      </c>
      <c r="U99" s="669">
        <f t="shared" si="37"/>
        <v>585587.31594563706</v>
      </c>
      <c r="V99" s="669">
        <f t="shared" si="37"/>
        <v>597299.0622645499</v>
      </c>
      <c r="W99" s="669">
        <f t="shared" si="37"/>
        <v>609245.04350984085</v>
      </c>
      <c r="X99" s="669">
        <f t="shared" si="37"/>
        <v>621429.9443800376</v>
      </c>
      <c r="Y99" s="669">
        <f t="shared" si="37"/>
        <v>633858.54326763842</v>
      </c>
      <c r="Z99" s="669">
        <f t="shared" si="37"/>
        <v>646535.71413299115</v>
      </c>
      <c r="AA99" s="669">
        <f t="shared" si="37"/>
        <v>659466.42841565108</v>
      </c>
      <c r="AB99" s="669">
        <f t="shared" si="37"/>
        <v>672655.75698396412</v>
      </c>
      <c r="AC99" s="669">
        <f t="shared" si="37"/>
        <v>686108.87212364341</v>
      </c>
      <c r="AD99" s="669">
        <f t="shared" si="37"/>
        <v>699831.0495661163</v>
      </c>
      <c r="AE99" s="669">
        <f t="shared" si="37"/>
        <v>713827.67055743863</v>
      </c>
    </row>
    <row r="100" spans="1:35" s="56" customFormat="1" ht="14.25">
      <c r="A100" s="164"/>
      <c r="B100" s="164"/>
      <c r="C100" s="75"/>
      <c r="D100" s="173"/>
      <c r="E100" s="75"/>
      <c r="F100" s="75"/>
      <c r="G100" s="75"/>
      <c r="H100" s="75"/>
      <c r="I100" s="174"/>
      <c r="J100" s="175"/>
      <c r="K100" s="685"/>
      <c r="L100" s="669"/>
      <c r="M100" s="669"/>
      <c r="N100" s="669"/>
      <c r="O100" s="669"/>
      <c r="P100" s="669"/>
      <c r="Q100" s="669"/>
      <c r="R100" s="669"/>
      <c r="S100" s="669"/>
      <c r="T100" s="669"/>
      <c r="U100" s="669"/>
      <c r="V100" s="669"/>
      <c r="W100" s="669"/>
      <c r="X100" s="669"/>
      <c r="Y100" s="669"/>
      <c r="Z100" s="669"/>
      <c r="AA100" s="669"/>
      <c r="AB100" s="669"/>
      <c r="AC100" s="669"/>
      <c r="AD100" s="669"/>
      <c r="AE100" s="669"/>
    </row>
    <row r="101" spans="1:35" s="56" customFormat="1" ht="14.25">
      <c r="A101" s="164" t="s">
        <v>78</v>
      </c>
      <c r="B101" s="164"/>
      <c r="C101" s="75"/>
      <c r="D101" s="173"/>
      <c r="E101" s="75"/>
      <c r="F101" s="75"/>
      <c r="G101" s="75"/>
      <c r="H101" s="75"/>
      <c r="I101" s="174"/>
      <c r="J101" s="175"/>
      <c r="K101" s="685">
        <v>0</v>
      </c>
      <c r="L101" s="669">
        <f>SUM(L94,L99)</f>
        <v>321425</v>
      </c>
      <c r="M101" s="669">
        <f t="shared" ref="M101:AE101" si="38">SUM(M94,M99)</f>
        <v>558797</v>
      </c>
      <c r="N101" s="669">
        <f t="shared" si="38"/>
        <v>569983.14000000013</v>
      </c>
      <c r="O101" s="669">
        <f t="shared" si="38"/>
        <v>581382.80279999995</v>
      </c>
      <c r="P101" s="669">
        <f t="shared" si="38"/>
        <v>593010.45885599998</v>
      </c>
      <c r="Q101" s="669">
        <f t="shared" si="38"/>
        <v>633214.54682832002</v>
      </c>
      <c r="R101" s="669">
        <f t="shared" si="38"/>
        <v>641341.91897451843</v>
      </c>
      <c r="S101" s="669">
        <f t="shared" si="38"/>
        <v>654168.75735400873</v>
      </c>
      <c r="T101" s="669">
        <f t="shared" si="38"/>
        <v>667252.13250108901</v>
      </c>
      <c r="U101" s="669">
        <f t="shared" si="38"/>
        <v>680597.17515111074</v>
      </c>
      <c r="V101" s="669">
        <f t="shared" si="38"/>
        <v>698599.62144413579</v>
      </c>
      <c r="W101" s="669">
        <f t="shared" si="38"/>
        <v>708093.30102721567</v>
      </c>
      <c r="X101" s="669">
        <f t="shared" si="38"/>
        <v>722255.16704775998</v>
      </c>
      <c r="Y101" s="669">
        <f t="shared" si="38"/>
        <v>736700.2703887152</v>
      </c>
      <c r="Z101" s="669">
        <f t="shared" si="38"/>
        <v>751434.27579648956</v>
      </c>
      <c r="AA101" s="669">
        <f t="shared" si="38"/>
        <v>770790.02714325732</v>
      </c>
      <c r="AB101" s="669">
        <f t="shared" si="38"/>
        <v>781792.22053866787</v>
      </c>
      <c r="AC101" s="669">
        <f t="shared" si="38"/>
        <v>797428.06494944112</v>
      </c>
      <c r="AD101" s="669">
        <f t="shared" si="38"/>
        <v>813376.62624843</v>
      </c>
      <c r="AE101" s="669">
        <f t="shared" si="38"/>
        <v>829644.15877339861</v>
      </c>
    </row>
    <row r="102" spans="1:35">
      <c r="A102" s="47"/>
      <c r="B102" s="47"/>
      <c r="C102" s="78"/>
      <c r="D102" s="100"/>
      <c r="E102" s="78"/>
      <c r="F102" s="78"/>
      <c r="G102" s="78"/>
      <c r="H102" s="78"/>
      <c r="I102" s="52"/>
      <c r="J102" s="114"/>
      <c r="K102" s="683"/>
      <c r="L102" s="115"/>
      <c r="M102" s="115"/>
      <c r="N102" s="115"/>
      <c r="O102" s="115"/>
      <c r="P102" s="115"/>
      <c r="Q102" s="115"/>
      <c r="R102" s="115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</row>
    <row r="103" spans="1:35">
      <c r="A103" s="168" t="s">
        <v>25</v>
      </c>
      <c r="B103" s="168"/>
      <c r="C103" s="176"/>
      <c r="D103" s="177"/>
      <c r="E103" s="176"/>
      <c r="F103" s="176"/>
      <c r="G103" s="176"/>
      <c r="H103" s="176"/>
      <c r="I103" s="178"/>
      <c r="J103" s="179"/>
      <c r="K103" s="682"/>
      <c r="L103" s="319"/>
      <c r="M103" s="319"/>
      <c r="N103" s="319"/>
      <c r="O103" s="319"/>
      <c r="P103" s="319"/>
      <c r="Q103" s="319"/>
      <c r="R103" s="319"/>
      <c r="S103" s="319"/>
      <c r="T103" s="319"/>
      <c r="U103" s="319"/>
      <c r="V103" s="319"/>
      <c r="W103" s="319"/>
      <c r="X103" s="319"/>
      <c r="Y103" s="319"/>
      <c r="Z103" s="319"/>
      <c r="AA103" s="319"/>
      <c r="AB103" s="319"/>
      <c r="AC103" s="319"/>
      <c r="AD103" s="319"/>
      <c r="AE103" s="319"/>
    </row>
    <row r="104" spans="1:35" s="252" customFormat="1">
      <c r="A104" s="183"/>
      <c r="B104" s="183"/>
      <c r="C104" s="185"/>
      <c r="D104" s="186"/>
      <c r="E104" s="185"/>
      <c r="F104" s="185"/>
      <c r="G104" s="185"/>
      <c r="H104" s="185"/>
      <c r="I104" s="302"/>
      <c r="J104" s="188"/>
      <c r="K104" s="683"/>
      <c r="L104" s="320"/>
      <c r="M104" s="320"/>
      <c r="N104" s="320"/>
      <c r="O104" s="320"/>
      <c r="P104" s="320"/>
      <c r="Q104" s="320"/>
      <c r="R104" s="320"/>
      <c r="S104" s="320"/>
      <c r="T104" s="320"/>
      <c r="U104" s="320"/>
      <c r="V104" s="320"/>
      <c r="W104" s="320"/>
      <c r="X104" s="320"/>
      <c r="Y104" s="320"/>
      <c r="Z104" s="320"/>
      <c r="AA104" s="320"/>
      <c r="AB104" s="320"/>
      <c r="AC104" s="320"/>
      <c r="AD104" s="320"/>
      <c r="AE104" s="320"/>
    </row>
    <row r="105" spans="1:35">
      <c r="A105" s="37" t="s">
        <v>425</v>
      </c>
      <c r="B105" s="37"/>
      <c r="C105" s="57"/>
      <c r="E105" s="57"/>
      <c r="F105" s="57"/>
      <c r="G105" s="57"/>
      <c r="H105" s="998"/>
      <c r="I105" s="51" t="s">
        <v>532</v>
      </c>
      <c r="J105" s="624">
        <f>((6350/6)*7)+((6500/6)*7)</f>
        <v>14991.666666666666</v>
      </c>
      <c r="K105" s="683">
        <v>0</v>
      </c>
      <c r="L105" s="671">
        <f>J105</f>
        <v>14991.666666666666</v>
      </c>
      <c r="M105" s="671">
        <f>$L$105*L11</f>
        <v>15291.5</v>
      </c>
      <c r="N105" s="671">
        <f t="shared" ref="N105:AE105" si="39">$L$105*M11</f>
        <v>15597.33</v>
      </c>
      <c r="O105" s="671">
        <f t="shared" si="39"/>
        <v>15909.276599999997</v>
      </c>
      <c r="P105" s="671">
        <f t="shared" si="39"/>
        <v>16227.462131999999</v>
      </c>
      <c r="Q105" s="671">
        <f t="shared" si="39"/>
        <v>16552.011374639998</v>
      </c>
      <c r="R105" s="671">
        <f t="shared" si="39"/>
        <v>16883.0516021328</v>
      </c>
      <c r="S105" s="671">
        <f t="shared" si="39"/>
        <v>17220.712634175456</v>
      </c>
      <c r="T105" s="671">
        <f t="shared" si="39"/>
        <v>17565.126886858965</v>
      </c>
      <c r="U105" s="671">
        <f t="shared" si="39"/>
        <v>17916.429424596146</v>
      </c>
      <c r="V105" s="671">
        <f t="shared" si="39"/>
        <v>18274.758013088071</v>
      </c>
      <c r="W105" s="671">
        <f t="shared" si="39"/>
        <v>18640.253173349829</v>
      </c>
      <c r="X105" s="671">
        <f t="shared" si="39"/>
        <v>19013.058236816825</v>
      </c>
      <c r="Y105" s="671">
        <f t="shared" si="39"/>
        <v>19393.319401553163</v>
      </c>
      <c r="Z105" s="671">
        <f t="shared" si="39"/>
        <v>19781.185789584226</v>
      </c>
      <c r="AA105" s="671">
        <f t="shared" si="39"/>
        <v>20176.809505375913</v>
      </c>
      <c r="AB105" s="671">
        <f t="shared" si="39"/>
        <v>20580.345695483433</v>
      </c>
      <c r="AC105" s="671">
        <f t="shared" si="39"/>
        <v>20991.952609393102</v>
      </c>
      <c r="AD105" s="671">
        <f t="shared" si="39"/>
        <v>21411.791661580963</v>
      </c>
      <c r="AE105" s="671">
        <f t="shared" si="39"/>
        <v>21840.027494812584</v>
      </c>
    </row>
    <row r="106" spans="1:35">
      <c r="A106" s="37" t="s">
        <v>16</v>
      </c>
      <c r="B106" s="37"/>
      <c r="C106" s="57"/>
      <c r="E106" s="57"/>
      <c r="F106" s="57"/>
      <c r="G106" s="57"/>
      <c r="H106" s="998"/>
      <c r="I106" s="51" t="s">
        <v>17</v>
      </c>
      <c r="J106" s="624">
        <f>1250</f>
        <v>1250</v>
      </c>
      <c r="K106" s="683">
        <v>0</v>
      </c>
      <c r="L106" s="671">
        <f>J106*7</f>
        <v>8750</v>
      </c>
      <c r="M106" s="671">
        <f>$L$106*L11</f>
        <v>8925</v>
      </c>
      <c r="N106" s="671">
        <f t="shared" ref="N106:AE106" si="40">$L$106*M11</f>
        <v>9103.5</v>
      </c>
      <c r="O106" s="671">
        <f t="shared" si="40"/>
        <v>9285.57</v>
      </c>
      <c r="P106" s="671">
        <f t="shared" si="40"/>
        <v>9471.2813999999998</v>
      </c>
      <c r="Q106" s="671">
        <f t="shared" si="40"/>
        <v>9660.7070280000007</v>
      </c>
      <c r="R106" s="671">
        <f t="shared" si="40"/>
        <v>9853.9211685600003</v>
      </c>
      <c r="S106" s="671">
        <f t="shared" si="40"/>
        <v>10050.9995919312</v>
      </c>
      <c r="T106" s="671">
        <f t="shared" si="40"/>
        <v>10252.019583769825</v>
      </c>
      <c r="U106" s="671">
        <f t="shared" si="40"/>
        <v>10457.059975445221</v>
      </c>
      <c r="V106" s="671">
        <f t="shared" si="40"/>
        <v>10666.201174954127</v>
      </c>
      <c r="W106" s="671">
        <f t="shared" si="40"/>
        <v>10879.52519845321</v>
      </c>
      <c r="X106" s="671">
        <f t="shared" si="40"/>
        <v>11097.115702422274</v>
      </c>
      <c r="Y106" s="671">
        <f t="shared" si="40"/>
        <v>11319.058016470717</v>
      </c>
      <c r="Z106" s="671">
        <f t="shared" si="40"/>
        <v>11545.439176800133</v>
      </c>
      <c r="AA106" s="671">
        <f t="shared" si="40"/>
        <v>11776.347960336136</v>
      </c>
      <c r="AB106" s="671">
        <f t="shared" si="40"/>
        <v>12011.874919542859</v>
      </c>
      <c r="AC106" s="671">
        <f t="shared" si="40"/>
        <v>12252.112417933717</v>
      </c>
      <c r="AD106" s="671">
        <f t="shared" si="40"/>
        <v>12497.154666292392</v>
      </c>
      <c r="AE106" s="671">
        <f t="shared" si="40"/>
        <v>12747.09775961824</v>
      </c>
    </row>
    <row r="107" spans="1:35" s="702" customFormat="1">
      <c r="A107" s="701" t="s">
        <v>53</v>
      </c>
      <c r="B107" s="701"/>
      <c r="C107" s="705"/>
      <c r="D107" s="984"/>
      <c r="E107" s="705"/>
      <c r="F107" s="705"/>
      <c r="G107" s="705"/>
      <c r="H107" s="985"/>
      <c r="I107" s="706" t="s">
        <v>17</v>
      </c>
      <c r="J107" s="986">
        <v>0</v>
      </c>
      <c r="K107" s="987">
        <v>0</v>
      </c>
      <c r="L107" s="988">
        <f t="shared" ref="L107:L108" si="41">J107*12</f>
        <v>0</v>
      </c>
      <c r="M107" s="988">
        <f t="shared" ref="M107:AB108" si="42">L107*1.03</f>
        <v>0</v>
      </c>
      <c r="N107" s="988">
        <f t="shared" si="42"/>
        <v>0</v>
      </c>
      <c r="O107" s="988">
        <f t="shared" si="42"/>
        <v>0</v>
      </c>
      <c r="P107" s="988">
        <f t="shared" si="42"/>
        <v>0</v>
      </c>
      <c r="Q107" s="988">
        <f t="shared" si="42"/>
        <v>0</v>
      </c>
      <c r="R107" s="988">
        <f t="shared" si="42"/>
        <v>0</v>
      </c>
      <c r="S107" s="988">
        <f t="shared" si="42"/>
        <v>0</v>
      </c>
      <c r="T107" s="988">
        <f t="shared" si="42"/>
        <v>0</v>
      </c>
      <c r="U107" s="988">
        <f t="shared" si="42"/>
        <v>0</v>
      </c>
      <c r="V107" s="988">
        <f t="shared" si="42"/>
        <v>0</v>
      </c>
      <c r="W107" s="988">
        <f t="shared" si="42"/>
        <v>0</v>
      </c>
      <c r="X107" s="988">
        <f t="shared" si="42"/>
        <v>0</v>
      </c>
      <c r="Y107" s="988">
        <f t="shared" si="42"/>
        <v>0</v>
      </c>
      <c r="Z107" s="988">
        <f t="shared" si="42"/>
        <v>0</v>
      </c>
      <c r="AA107" s="988">
        <f t="shared" si="42"/>
        <v>0</v>
      </c>
      <c r="AB107" s="988">
        <f t="shared" si="42"/>
        <v>0</v>
      </c>
      <c r="AC107" s="988">
        <f t="shared" ref="AC107:AE108" si="43">AB107*1.03</f>
        <v>0</v>
      </c>
      <c r="AD107" s="988">
        <f t="shared" si="43"/>
        <v>0</v>
      </c>
      <c r="AE107" s="988">
        <f t="shared" si="43"/>
        <v>0</v>
      </c>
    </row>
    <row r="108" spans="1:35" s="702" customFormat="1">
      <c r="A108" s="989" t="s">
        <v>54</v>
      </c>
      <c r="B108" s="990"/>
      <c r="C108" s="991"/>
      <c r="D108" s="992"/>
      <c r="E108" s="991"/>
      <c r="F108" s="991"/>
      <c r="G108" s="991"/>
      <c r="H108" s="993"/>
      <c r="I108" s="994" t="s">
        <v>17</v>
      </c>
      <c r="J108" s="995">
        <v>0</v>
      </c>
      <c r="K108" s="996">
        <v>0</v>
      </c>
      <c r="L108" s="997">
        <f t="shared" si="41"/>
        <v>0</v>
      </c>
      <c r="M108" s="997">
        <f t="shared" si="42"/>
        <v>0</v>
      </c>
      <c r="N108" s="997">
        <f t="shared" si="42"/>
        <v>0</v>
      </c>
      <c r="O108" s="997">
        <f t="shared" si="42"/>
        <v>0</v>
      </c>
      <c r="P108" s="997">
        <f t="shared" si="42"/>
        <v>0</v>
      </c>
      <c r="Q108" s="997">
        <f t="shared" si="42"/>
        <v>0</v>
      </c>
      <c r="R108" s="997">
        <f t="shared" si="42"/>
        <v>0</v>
      </c>
      <c r="S108" s="997">
        <f t="shared" si="42"/>
        <v>0</v>
      </c>
      <c r="T108" s="997">
        <f t="shared" si="42"/>
        <v>0</v>
      </c>
      <c r="U108" s="997">
        <f t="shared" si="42"/>
        <v>0</v>
      </c>
      <c r="V108" s="997">
        <f t="shared" si="42"/>
        <v>0</v>
      </c>
      <c r="W108" s="997">
        <f t="shared" si="42"/>
        <v>0</v>
      </c>
      <c r="X108" s="997">
        <f t="shared" si="42"/>
        <v>0</v>
      </c>
      <c r="Y108" s="997">
        <f t="shared" si="42"/>
        <v>0</v>
      </c>
      <c r="Z108" s="997">
        <f t="shared" si="42"/>
        <v>0</v>
      </c>
      <c r="AA108" s="997">
        <f t="shared" si="42"/>
        <v>0</v>
      </c>
      <c r="AB108" s="997">
        <f t="shared" si="42"/>
        <v>0</v>
      </c>
      <c r="AC108" s="997">
        <f t="shared" si="43"/>
        <v>0</v>
      </c>
      <c r="AD108" s="997">
        <f t="shared" si="43"/>
        <v>0</v>
      </c>
      <c r="AE108" s="997">
        <f t="shared" si="43"/>
        <v>0</v>
      </c>
    </row>
    <row r="109" spans="1:35" s="56" customFormat="1" ht="14.25">
      <c r="A109" s="56" t="s">
        <v>55</v>
      </c>
      <c r="B109" s="164"/>
      <c r="C109" s="75"/>
      <c r="D109" s="173"/>
      <c r="E109" s="75"/>
      <c r="F109" s="75"/>
      <c r="G109" s="75"/>
      <c r="H109" s="75"/>
      <c r="I109" s="999"/>
      <c r="J109" s="1000"/>
      <c r="K109" s="685">
        <v>0</v>
      </c>
      <c r="L109" s="1001">
        <f>SUM(L105:L108)</f>
        <v>23741.666666666664</v>
      </c>
      <c r="M109" s="1001">
        <f t="shared" ref="M109:AE109" si="44">SUM(M105:M108)</f>
        <v>24216.5</v>
      </c>
      <c r="N109" s="1001">
        <f t="shared" si="44"/>
        <v>24700.83</v>
      </c>
      <c r="O109" s="1001">
        <f t="shared" si="44"/>
        <v>25194.846599999997</v>
      </c>
      <c r="P109" s="1001">
        <f t="shared" si="44"/>
        <v>25698.743532</v>
      </c>
      <c r="Q109" s="1001">
        <f t="shared" si="44"/>
        <v>26212.718402639999</v>
      </c>
      <c r="R109" s="1001">
        <f t="shared" si="44"/>
        <v>26736.972770692802</v>
      </c>
      <c r="S109" s="1001">
        <f t="shared" si="44"/>
        <v>27271.712226106654</v>
      </c>
      <c r="T109" s="1001">
        <f t="shared" si="44"/>
        <v>27817.146470628788</v>
      </c>
      <c r="U109" s="1001">
        <f t="shared" si="44"/>
        <v>28373.48940004137</v>
      </c>
      <c r="V109" s="1001">
        <f t="shared" si="44"/>
        <v>28940.959188042198</v>
      </c>
      <c r="W109" s="1001">
        <f t="shared" si="44"/>
        <v>29519.77837180304</v>
      </c>
      <c r="X109" s="1001">
        <f t="shared" si="44"/>
        <v>30110.173939239099</v>
      </c>
      <c r="Y109" s="1001">
        <f t="shared" si="44"/>
        <v>30712.37741802388</v>
      </c>
      <c r="Z109" s="1001">
        <f t="shared" si="44"/>
        <v>31326.624966384359</v>
      </c>
      <c r="AA109" s="1001">
        <f t="shared" si="44"/>
        <v>31953.157465712051</v>
      </c>
      <c r="AB109" s="1001">
        <f t="shared" si="44"/>
        <v>32592.220615026294</v>
      </c>
      <c r="AC109" s="1001">
        <f t="shared" si="44"/>
        <v>33244.065027326818</v>
      </c>
      <c r="AD109" s="1001">
        <f t="shared" si="44"/>
        <v>33908.946327873353</v>
      </c>
      <c r="AE109" s="1001">
        <f t="shared" si="44"/>
        <v>34587.125254430823</v>
      </c>
    </row>
    <row r="110" spans="1:35">
      <c r="A110" s="56"/>
      <c r="B110" s="37"/>
      <c r="C110" s="57"/>
      <c r="E110" s="57"/>
      <c r="F110" s="57"/>
      <c r="G110" s="57"/>
      <c r="H110" s="57"/>
      <c r="I110" s="51"/>
      <c r="J110" s="624"/>
      <c r="K110" s="683"/>
      <c r="L110" s="666"/>
      <c r="M110" s="666"/>
      <c r="N110" s="666"/>
      <c r="O110" s="666"/>
      <c r="P110" s="666"/>
      <c r="Q110" s="666"/>
      <c r="R110" s="666"/>
      <c r="S110" s="666"/>
      <c r="T110" s="666"/>
      <c r="U110" s="666"/>
      <c r="V110" s="666"/>
      <c r="W110" s="666"/>
      <c r="X110" s="666"/>
      <c r="Y110" s="666"/>
      <c r="Z110" s="666"/>
      <c r="AA110" s="666"/>
      <c r="AB110" s="666"/>
      <c r="AC110" s="666"/>
      <c r="AD110" s="666"/>
      <c r="AE110" s="666"/>
    </row>
    <row r="111" spans="1:35">
      <c r="A111" s="47" t="s">
        <v>7</v>
      </c>
      <c r="B111" s="47" t="s">
        <v>7</v>
      </c>
      <c r="C111" s="78" t="s">
        <v>7</v>
      </c>
      <c r="D111" s="100"/>
      <c r="E111" s="78" t="s">
        <v>7</v>
      </c>
      <c r="F111" s="78"/>
      <c r="G111" s="78" t="s">
        <v>7</v>
      </c>
      <c r="H111" s="78"/>
      <c r="I111" s="52" t="s">
        <v>7</v>
      </c>
      <c r="J111" s="672"/>
      <c r="K111" s="673"/>
      <c r="L111" s="672"/>
      <c r="M111" s="672"/>
      <c r="N111" s="672"/>
      <c r="O111" s="672"/>
      <c r="P111" s="672"/>
      <c r="Q111" s="672"/>
      <c r="R111" s="672"/>
      <c r="S111" s="672"/>
      <c r="T111" s="672"/>
      <c r="U111" s="672"/>
      <c r="V111" s="672"/>
      <c r="W111" s="672"/>
      <c r="X111" s="672"/>
      <c r="Y111" s="672"/>
      <c r="Z111" s="672"/>
      <c r="AA111" s="672"/>
      <c r="AB111" s="672"/>
      <c r="AC111" s="672"/>
      <c r="AD111" s="672"/>
      <c r="AE111" s="672"/>
    </row>
    <row r="112" spans="1:35">
      <c r="A112" s="47"/>
      <c r="B112" s="47"/>
      <c r="C112" s="78"/>
      <c r="D112" s="100"/>
      <c r="E112" s="78"/>
      <c r="F112" s="78"/>
      <c r="G112" s="78"/>
      <c r="H112" s="78"/>
      <c r="I112" s="52"/>
      <c r="J112" s="672"/>
      <c r="K112" s="683"/>
      <c r="L112" s="666"/>
      <c r="M112" s="666"/>
      <c r="N112" s="666"/>
      <c r="O112" s="666"/>
      <c r="P112" s="666"/>
      <c r="Q112" s="666"/>
      <c r="R112" s="666"/>
      <c r="S112" s="666"/>
      <c r="T112" s="666"/>
      <c r="U112" s="666"/>
      <c r="V112" s="666"/>
      <c r="W112" s="666"/>
      <c r="X112" s="666"/>
      <c r="Y112" s="666"/>
      <c r="Z112" s="666"/>
      <c r="AA112" s="666"/>
      <c r="AB112" s="666"/>
      <c r="AC112" s="666"/>
      <c r="AD112" s="666"/>
      <c r="AE112" s="666"/>
    </row>
    <row r="113" spans="1:33" s="56" customFormat="1" ht="14.25">
      <c r="A113" s="203" t="s">
        <v>303</v>
      </c>
      <c r="B113" s="203"/>
      <c r="C113" s="204"/>
      <c r="D113" s="205"/>
      <c r="E113" s="204"/>
      <c r="F113" s="204"/>
      <c r="G113" s="204"/>
      <c r="H113" s="204"/>
      <c r="I113" s="206"/>
      <c r="J113" s="674"/>
      <c r="K113" s="676">
        <f>SUM(K80,K101,K109)</f>
        <v>0</v>
      </c>
      <c r="L113" s="676">
        <f>SUM(L80,L101,L109)</f>
        <v>357416.66666666669</v>
      </c>
      <c r="M113" s="676">
        <f t="shared" ref="M113:AE113" si="45">SUM(M80,M101,M109)</f>
        <v>754513.5</v>
      </c>
      <c r="N113" s="676">
        <f t="shared" si="45"/>
        <v>769613.97000000009</v>
      </c>
      <c r="O113" s="676">
        <f t="shared" si="45"/>
        <v>785006.24939999997</v>
      </c>
      <c r="P113" s="676">
        <f t="shared" si="45"/>
        <v>800706.37438799988</v>
      </c>
      <c r="Q113" s="676">
        <f t="shared" si="45"/>
        <v>845064.38067095994</v>
      </c>
      <c r="R113" s="676">
        <f t="shared" si="45"/>
        <v>857428.74949401116</v>
      </c>
      <c r="S113" s="676">
        <f t="shared" si="45"/>
        <v>874577.32448389137</v>
      </c>
      <c r="T113" s="676">
        <f t="shared" si="45"/>
        <v>892068.87097356934</v>
      </c>
      <c r="U113" s="676">
        <f t="shared" si="45"/>
        <v>909910.24839304073</v>
      </c>
      <c r="V113" s="676">
        <f t="shared" si="45"/>
        <v>932498.9561509043</v>
      </c>
      <c r="W113" s="676">
        <f t="shared" si="45"/>
        <v>946670.62242811953</v>
      </c>
      <c r="X113" s="676">
        <f t="shared" si="45"/>
        <v>965604.03487668198</v>
      </c>
      <c r="Y113" s="676">
        <f t="shared" si="45"/>
        <v>984916.11557421566</v>
      </c>
      <c r="Z113" s="676">
        <f t="shared" si="45"/>
        <v>1004614.4378857</v>
      </c>
      <c r="AA113" s="676">
        <f t="shared" si="45"/>
        <v>1029033.7924742521</v>
      </c>
      <c r="AB113" s="676">
        <f t="shared" si="45"/>
        <v>1045200.8611762824</v>
      </c>
      <c r="AC113" s="676">
        <f t="shared" si="45"/>
        <v>1066104.878399808</v>
      </c>
      <c r="AD113" s="676">
        <f t="shared" si="45"/>
        <v>1087426.9759678042</v>
      </c>
      <c r="AE113" s="676">
        <f t="shared" si="45"/>
        <v>1109175.5154871603</v>
      </c>
      <c r="AG113" s="199"/>
    </row>
    <row r="114" spans="1:33">
      <c r="A114" s="37"/>
      <c r="B114" s="37"/>
      <c r="C114" s="57"/>
      <c r="E114" s="110"/>
      <c r="F114" s="110"/>
      <c r="G114" s="57"/>
      <c r="H114" s="57"/>
      <c r="I114" s="43"/>
      <c r="J114" s="44"/>
      <c r="K114" s="683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5"/>
      <c r="Z114" s="115"/>
      <c r="AA114" s="115"/>
      <c r="AB114" s="115"/>
      <c r="AC114" s="115"/>
      <c r="AD114" s="115"/>
      <c r="AE114" s="115"/>
      <c r="AG114" s="199"/>
    </row>
    <row r="115" spans="1:33">
      <c r="A115" s="47" t="s">
        <v>7</v>
      </c>
      <c r="B115" s="47" t="s">
        <v>7</v>
      </c>
      <c r="C115" s="78" t="s">
        <v>7</v>
      </c>
      <c r="D115" s="100"/>
      <c r="E115" s="78" t="s">
        <v>7</v>
      </c>
      <c r="F115" s="78"/>
      <c r="G115" s="78" t="s">
        <v>7</v>
      </c>
      <c r="H115" s="78"/>
      <c r="I115" s="52" t="s">
        <v>7</v>
      </c>
      <c r="J115" s="114"/>
      <c r="K115" s="673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G115" s="199"/>
    </row>
    <row r="116" spans="1:33">
      <c r="A116" s="47"/>
      <c r="B116" s="47"/>
      <c r="C116" s="78"/>
      <c r="D116" s="100"/>
      <c r="E116" s="78"/>
      <c r="F116" s="78"/>
      <c r="G116" s="78"/>
      <c r="H116" s="78"/>
      <c r="I116" s="52"/>
      <c r="J116" s="114"/>
      <c r="K116" s="683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5"/>
      <c r="Z116" s="115"/>
      <c r="AA116" s="115"/>
      <c r="AB116" s="115"/>
      <c r="AC116" s="115"/>
      <c r="AD116" s="115"/>
      <c r="AE116" s="115"/>
      <c r="AG116" s="199"/>
    </row>
    <row r="117" spans="1:33">
      <c r="A117" s="168" t="s">
        <v>71</v>
      </c>
      <c r="B117" s="171"/>
      <c r="C117" s="176"/>
      <c r="D117" s="177"/>
      <c r="E117" s="176"/>
      <c r="F117" s="176"/>
      <c r="G117" s="176"/>
      <c r="H117" s="176"/>
      <c r="I117" s="182"/>
      <c r="J117" s="179"/>
      <c r="K117" s="682"/>
      <c r="L117" s="319"/>
      <c r="M117" s="319"/>
      <c r="N117" s="319"/>
      <c r="O117" s="319"/>
      <c r="P117" s="319"/>
      <c r="Q117" s="319"/>
      <c r="R117" s="319"/>
      <c r="S117" s="319"/>
      <c r="T117" s="319"/>
      <c r="U117" s="319"/>
      <c r="V117" s="319"/>
      <c r="W117" s="319"/>
      <c r="X117" s="319"/>
      <c r="Y117" s="319"/>
      <c r="Z117" s="319"/>
      <c r="AA117" s="319"/>
      <c r="AB117" s="319"/>
      <c r="AC117" s="319"/>
      <c r="AD117" s="319"/>
      <c r="AE117" s="319"/>
      <c r="AG117" s="199"/>
    </row>
    <row r="118" spans="1:33" s="252" customFormat="1">
      <c r="A118" s="183"/>
      <c r="B118" s="184"/>
      <c r="C118" s="185"/>
      <c r="D118" s="186"/>
      <c r="E118" s="185"/>
      <c r="F118" s="185"/>
      <c r="G118" s="185"/>
      <c r="H118" s="185"/>
      <c r="I118" s="187"/>
      <c r="J118" s="188"/>
      <c r="K118" s="683"/>
      <c r="L118" s="320"/>
      <c r="M118" s="320"/>
      <c r="N118" s="320"/>
      <c r="O118" s="320"/>
      <c r="P118" s="320"/>
      <c r="Q118" s="320"/>
      <c r="R118" s="320"/>
      <c r="S118" s="320"/>
      <c r="T118" s="320"/>
      <c r="U118" s="320"/>
      <c r="V118" s="320"/>
      <c r="W118" s="320"/>
      <c r="X118" s="320"/>
      <c r="Y118" s="320"/>
      <c r="Z118" s="320"/>
      <c r="AA118" s="320"/>
      <c r="AB118" s="320"/>
      <c r="AC118" s="320"/>
      <c r="AD118" s="320"/>
      <c r="AE118" s="320"/>
      <c r="AG118" s="363"/>
    </row>
    <row r="119" spans="1:33">
      <c r="A119" s="39" t="s">
        <v>0</v>
      </c>
      <c r="B119" s="39"/>
      <c r="C119" s="102"/>
      <c r="D119" s="103"/>
      <c r="E119" s="104"/>
      <c r="F119" s="104"/>
      <c r="G119" s="104"/>
      <c r="H119" s="104"/>
      <c r="I119" s="39"/>
      <c r="J119" s="104"/>
      <c r="K119" s="688"/>
      <c r="L119" s="335"/>
      <c r="M119" s="335"/>
      <c r="N119" s="335"/>
      <c r="O119" s="335"/>
      <c r="P119" s="335"/>
      <c r="Q119" s="335"/>
      <c r="R119" s="335"/>
      <c r="S119" s="335"/>
      <c r="T119" s="335"/>
      <c r="U119" s="335"/>
      <c r="V119" s="335"/>
      <c r="W119" s="335"/>
      <c r="X119" s="335"/>
      <c r="Y119" s="335"/>
      <c r="Z119" s="335"/>
      <c r="AA119" s="335"/>
      <c r="AB119" s="335"/>
      <c r="AC119" s="335"/>
      <c r="AD119" s="335"/>
      <c r="AE119" s="335"/>
    </row>
    <row r="120" spans="1:33">
      <c r="A120" s="41" t="s">
        <v>13</v>
      </c>
      <c r="B120" s="41"/>
      <c r="C120" s="105"/>
      <c r="D120" s="106"/>
      <c r="E120" s="37"/>
      <c r="F120" s="37"/>
      <c r="G120" s="37"/>
      <c r="H120" s="37"/>
      <c r="I120" s="41"/>
      <c r="J120" s="37"/>
      <c r="K120" s="683"/>
      <c r="L120" s="200"/>
      <c r="M120" s="200"/>
      <c r="N120" s="200"/>
      <c r="O120" s="200"/>
      <c r="P120" s="200"/>
      <c r="Q120" s="200"/>
      <c r="R120" s="200"/>
      <c r="S120" s="200"/>
      <c r="T120" s="200"/>
      <c r="U120" s="201"/>
      <c r="V120" s="323"/>
      <c r="W120" s="200"/>
      <c r="X120" s="200"/>
      <c r="Y120" s="200"/>
      <c r="Z120" s="200"/>
      <c r="AA120" s="200"/>
      <c r="AB120" s="200"/>
      <c r="AC120" s="200"/>
      <c r="AD120" s="200"/>
      <c r="AE120" s="201"/>
    </row>
    <row r="121" spans="1:33">
      <c r="A121" s="96" t="s">
        <v>56</v>
      </c>
      <c r="B121" s="735" t="s">
        <v>12</v>
      </c>
      <c r="C121" s="663">
        <v>55000</v>
      </c>
      <c r="D121" s="736">
        <f>C121/2080</f>
        <v>26.442307692307693</v>
      </c>
      <c r="E121" s="663">
        <v>0</v>
      </c>
      <c r="F121" s="663">
        <f>C121*$F$13</f>
        <v>22000</v>
      </c>
      <c r="G121" s="663">
        <f>SUM(C121,E121:F121)</f>
        <v>77000</v>
      </c>
      <c r="H121" s="736">
        <f>G121/2080*8</f>
        <v>296.15384615384613</v>
      </c>
      <c r="I121" s="736"/>
      <c r="J121" s="663"/>
      <c r="K121" s="683">
        <v>0</v>
      </c>
      <c r="L121" s="665">
        <v>0</v>
      </c>
      <c r="M121" s="665">
        <f>$H$121*M32*0.25</f>
        <v>15844.230769230768</v>
      </c>
      <c r="N121" s="665">
        <f t="shared" ref="N121:AE121" si="46">$M$121*M11</f>
        <v>16484.33769230769</v>
      </c>
      <c r="O121" s="665">
        <f t="shared" si="46"/>
        <v>16814.024446153842</v>
      </c>
      <c r="P121" s="665">
        <f t="shared" si="46"/>
        <v>17150.304935076922</v>
      </c>
      <c r="Q121" s="665">
        <f t="shared" si="46"/>
        <v>17493.31103377846</v>
      </c>
      <c r="R121" s="665">
        <f t="shared" si="46"/>
        <v>17843.177254454029</v>
      </c>
      <c r="S121" s="665">
        <f t="shared" si="46"/>
        <v>18200.040799543109</v>
      </c>
      <c r="T121" s="665">
        <f t="shared" si="46"/>
        <v>18564.041615533974</v>
      </c>
      <c r="U121" s="665">
        <f t="shared" si="46"/>
        <v>18935.322447844654</v>
      </c>
      <c r="V121" s="665">
        <f t="shared" si="46"/>
        <v>19314.028896801548</v>
      </c>
      <c r="W121" s="665">
        <f t="shared" si="46"/>
        <v>19700.30947473758</v>
      </c>
      <c r="X121" s="665">
        <f t="shared" si="46"/>
        <v>20094.31566423233</v>
      </c>
      <c r="Y121" s="665">
        <f t="shared" si="46"/>
        <v>20496.201977516976</v>
      </c>
      <c r="Z121" s="665">
        <f t="shared" si="46"/>
        <v>20906.126017067316</v>
      </c>
      <c r="AA121" s="665">
        <f t="shared" si="46"/>
        <v>21324.248537408665</v>
      </c>
      <c r="AB121" s="665">
        <f t="shared" si="46"/>
        <v>21750.733508156838</v>
      </c>
      <c r="AC121" s="665">
        <f t="shared" si="46"/>
        <v>22185.748178319976</v>
      </c>
      <c r="AD121" s="665">
        <f t="shared" si="46"/>
        <v>22629.463141886376</v>
      </c>
      <c r="AE121" s="665">
        <f t="shared" si="46"/>
        <v>23082.052404724102</v>
      </c>
    </row>
    <row r="122" spans="1:33">
      <c r="A122" s="96" t="s">
        <v>57</v>
      </c>
      <c r="B122" s="735" t="s">
        <v>15</v>
      </c>
      <c r="C122" s="663">
        <v>15000</v>
      </c>
      <c r="D122" s="736">
        <f>C122/2080</f>
        <v>7.2115384615384617</v>
      </c>
      <c r="E122" s="663">
        <f>C122*E12</f>
        <v>3000</v>
      </c>
      <c r="F122" s="663">
        <f t="shared" ref="F122:F123" si="47">C122*$F$13</f>
        <v>6000</v>
      </c>
      <c r="G122" s="663">
        <f t="shared" ref="G122:G123" si="48">SUM(C122,E122:F122)</f>
        <v>24000</v>
      </c>
      <c r="H122" s="736">
        <f>G122/2080*12</f>
        <v>138.46153846153845</v>
      </c>
      <c r="I122" s="736"/>
      <c r="J122" s="663"/>
      <c r="K122" s="683">
        <v>0</v>
      </c>
      <c r="L122" s="665">
        <v>0</v>
      </c>
      <c r="M122" s="665">
        <f>$H$122*M32*0.5</f>
        <v>14815.384615384615</v>
      </c>
      <c r="N122" s="665">
        <f t="shared" ref="N122:AE122" si="49">$M$122*M11</f>
        <v>15413.926153846154</v>
      </c>
      <c r="O122" s="665">
        <f t="shared" si="49"/>
        <v>15722.204676923076</v>
      </c>
      <c r="P122" s="665">
        <f t="shared" si="49"/>
        <v>16036.648770461537</v>
      </c>
      <c r="Q122" s="665">
        <f t="shared" si="49"/>
        <v>16357.381745870769</v>
      </c>
      <c r="R122" s="665">
        <f t="shared" si="49"/>
        <v>16684.529380788186</v>
      </c>
      <c r="S122" s="665">
        <f t="shared" si="49"/>
        <v>17018.219968403948</v>
      </c>
      <c r="T122" s="665">
        <f t="shared" si="49"/>
        <v>17358.58436777203</v>
      </c>
      <c r="U122" s="665">
        <f t="shared" si="49"/>
        <v>17705.756055127469</v>
      </c>
      <c r="V122" s="665">
        <f t="shared" si="49"/>
        <v>18059.871176230019</v>
      </c>
      <c r="W122" s="665">
        <f t="shared" si="49"/>
        <v>18421.068599754621</v>
      </c>
      <c r="X122" s="665">
        <f t="shared" si="49"/>
        <v>18789.489971749714</v>
      </c>
      <c r="Y122" s="665">
        <f t="shared" si="49"/>
        <v>19165.279771184705</v>
      </c>
      <c r="Z122" s="665">
        <f t="shared" si="49"/>
        <v>19548.5853666084</v>
      </c>
      <c r="AA122" s="665">
        <f t="shared" si="49"/>
        <v>19939.55707394057</v>
      </c>
      <c r="AB122" s="665">
        <f t="shared" si="49"/>
        <v>20338.348215419381</v>
      </c>
      <c r="AC122" s="665">
        <f t="shared" si="49"/>
        <v>20745.115179727771</v>
      </c>
      <c r="AD122" s="665">
        <f t="shared" si="49"/>
        <v>21160.017483322328</v>
      </c>
      <c r="AE122" s="665">
        <f t="shared" si="49"/>
        <v>21583.217832988772</v>
      </c>
    </row>
    <row r="123" spans="1:33">
      <c r="A123" s="737" t="s">
        <v>57</v>
      </c>
      <c r="B123" s="738" t="s">
        <v>15</v>
      </c>
      <c r="C123" s="739">
        <v>15000</v>
      </c>
      <c r="D123" s="740">
        <f>C123/2080</f>
        <v>7.2115384615384617</v>
      </c>
      <c r="E123" s="739">
        <f>C123*$E$12</f>
        <v>3000</v>
      </c>
      <c r="F123" s="739">
        <f t="shared" si="47"/>
        <v>6000</v>
      </c>
      <c r="G123" s="739">
        <f t="shared" si="48"/>
        <v>24000</v>
      </c>
      <c r="H123" s="740">
        <f t="shared" ref="H123" si="50">G123/2080*12</f>
        <v>138.46153846153845</v>
      </c>
      <c r="I123" s="740"/>
      <c r="J123" s="739"/>
      <c r="K123" s="741">
        <v>0</v>
      </c>
      <c r="L123" s="742">
        <v>0</v>
      </c>
      <c r="M123" s="742">
        <f>$H$123*M32*0.5</f>
        <v>14815.384615384615</v>
      </c>
      <c r="N123" s="742">
        <f t="shared" ref="N123:AE123" si="51">$M$123*M11</f>
        <v>15413.926153846154</v>
      </c>
      <c r="O123" s="742">
        <f t="shared" si="51"/>
        <v>15722.204676923076</v>
      </c>
      <c r="P123" s="742">
        <f t="shared" si="51"/>
        <v>16036.648770461537</v>
      </c>
      <c r="Q123" s="742">
        <f t="shared" si="51"/>
        <v>16357.381745870769</v>
      </c>
      <c r="R123" s="742">
        <f t="shared" si="51"/>
        <v>16684.529380788186</v>
      </c>
      <c r="S123" s="742">
        <f t="shared" si="51"/>
        <v>17018.219968403948</v>
      </c>
      <c r="T123" s="742">
        <f t="shared" si="51"/>
        <v>17358.58436777203</v>
      </c>
      <c r="U123" s="742">
        <f t="shared" si="51"/>
        <v>17705.756055127469</v>
      </c>
      <c r="V123" s="742">
        <f t="shared" si="51"/>
        <v>18059.871176230019</v>
      </c>
      <c r="W123" s="742">
        <f t="shared" si="51"/>
        <v>18421.068599754621</v>
      </c>
      <c r="X123" s="742">
        <f t="shared" si="51"/>
        <v>18789.489971749714</v>
      </c>
      <c r="Y123" s="742">
        <f t="shared" si="51"/>
        <v>19165.279771184705</v>
      </c>
      <c r="Z123" s="742">
        <f t="shared" si="51"/>
        <v>19548.5853666084</v>
      </c>
      <c r="AA123" s="742">
        <f t="shared" si="51"/>
        <v>19939.55707394057</v>
      </c>
      <c r="AB123" s="742">
        <f t="shared" si="51"/>
        <v>20338.348215419381</v>
      </c>
      <c r="AC123" s="742">
        <f t="shared" si="51"/>
        <v>20745.115179727771</v>
      </c>
      <c r="AD123" s="742">
        <f t="shared" si="51"/>
        <v>21160.017483322328</v>
      </c>
      <c r="AE123" s="742">
        <f t="shared" si="51"/>
        <v>21583.217832988772</v>
      </c>
    </row>
    <row r="124" spans="1:33">
      <c r="A124" s="164" t="s">
        <v>414</v>
      </c>
      <c r="B124" s="164"/>
      <c r="C124" s="667">
        <f>SUM(C121:C123)</f>
        <v>85000</v>
      </c>
      <c r="D124" s="667"/>
      <c r="E124" s="667">
        <f>SUM(E121:E123)</f>
        <v>6000</v>
      </c>
      <c r="F124" s="667">
        <f>SUM(F121:F123)</f>
        <v>34000</v>
      </c>
      <c r="G124" s="667">
        <f>SUM(G121:G123)</f>
        <v>125000</v>
      </c>
      <c r="H124" s="667">
        <f>SUM(H121:H123)</f>
        <v>573.07692307692309</v>
      </c>
      <c r="I124" s="668"/>
      <c r="J124" s="667"/>
      <c r="K124" s="685">
        <f>SUMIF($B121:$B123,"FT",K121:K123)</f>
        <v>0</v>
      </c>
      <c r="L124" s="669">
        <f>SUM(L121:L123)</f>
        <v>0</v>
      </c>
      <c r="M124" s="669">
        <f t="shared" ref="M124:AE124" si="52">SUM(M121:M123)</f>
        <v>45475</v>
      </c>
      <c r="N124" s="669">
        <f t="shared" si="52"/>
        <v>47312.19</v>
      </c>
      <c r="O124" s="669">
        <f t="shared" si="52"/>
        <v>48258.433799999999</v>
      </c>
      <c r="P124" s="669">
        <f t="shared" si="52"/>
        <v>49223.602475999993</v>
      </c>
      <c r="Q124" s="669">
        <f t="shared" si="52"/>
        <v>50208.074525520002</v>
      </c>
      <c r="R124" s="669">
        <f t="shared" si="52"/>
        <v>51212.236016030394</v>
      </c>
      <c r="S124" s="669">
        <f t="shared" si="52"/>
        <v>52236.480736351004</v>
      </c>
      <c r="T124" s="669">
        <f t="shared" si="52"/>
        <v>53281.210351078029</v>
      </c>
      <c r="U124" s="669">
        <f t="shared" si="52"/>
        <v>54346.834558099596</v>
      </c>
      <c r="V124" s="669">
        <f t="shared" si="52"/>
        <v>55433.771249261583</v>
      </c>
      <c r="W124" s="669">
        <f t="shared" si="52"/>
        <v>56542.446674246821</v>
      </c>
      <c r="X124" s="669">
        <f t="shared" si="52"/>
        <v>57673.295607731765</v>
      </c>
      <c r="Y124" s="669">
        <f t="shared" si="52"/>
        <v>58826.761519886393</v>
      </c>
      <c r="Z124" s="669">
        <f t="shared" si="52"/>
        <v>60003.29675028412</v>
      </c>
      <c r="AA124" s="669">
        <f t="shared" si="52"/>
        <v>61203.362685289801</v>
      </c>
      <c r="AB124" s="669">
        <f t="shared" si="52"/>
        <v>62427.4299389956</v>
      </c>
      <c r="AC124" s="669">
        <f t="shared" si="52"/>
        <v>63675.978537775518</v>
      </c>
      <c r="AD124" s="669">
        <f t="shared" si="52"/>
        <v>64949.498108531028</v>
      </c>
      <c r="AE124" s="669">
        <f t="shared" si="52"/>
        <v>66248.488070701642</v>
      </c>
    </row>
    <row r="125" spans="1:33">
      <c r="A125" s="37"/>
      <c r="B125" s="37"/>
      <c r="C125" s="663"/>
      <c r="D125" s="663"/>
      <c r="E125" s="663"/>
      <c r="F125" s="663"/>
      <c r="G125" s="663"/>
      <c r="H125" s="663"/>
      <c r="I125" s="670"/>
      <c r="J125" s="663"/>
      <c r="K125" s="683"/>
      <c r="L125" s="666"/>
      <c r="M125" s="666"/>
      <c r="N125" s="666"/>
      <c r="O125" s="666"/>
      <c r="P125" s="666"/>
      <c r="Q125" s="666"/>
      <c r="R125" s="666"/>
      <c r="S125" s="666"/>
      <c r="T125" s="666"/>
      <c r="U125" s="666"/>
      <c r="V125" s="666"/>
      <c r="W125" s="666"/>
      <c r="X125" s="666"/>
      <c r="Y125" s="666"/>
      <c r="Z125" s="666"/>
      <c r="AA125" s="666"/>
      <c r="AB125" s="666"/>
      <c r="AC125" s="666"/>
      <c r="AD125" s="666"/>
      <c r="AE125" s="666"/>
    </row>
    <row r="126" spans="1:33">
      <c r="A126" s="37" t="s">
        <v>11</v>
      </c>
      <c r="B126" s="37"/>
      <c r="C126" s="663"/>
      <c r="D126" s="663"/>
      <c r="E126" s="663"/>
      <c r="F126" s="663"/>
      <c r="G126" s="663"/>
      <c r="H126" s="663"/>
      <c r="I126" s="670"/>
      <c r="J126" s="663"/>
      <c r="K126" s="743">
        <f>COUNTIF(K121:K123,"&gt;100")</f>
        <v>0</v>
      </c>
      <c r="L126" s="496">
        <f>COUNTIF(L121,"&gt;100")</f>
        <v>0</v>
      </c>
      <c r="M126" s="496">
        <f t="shared" ref="M126:AE126" si="53">COUNTIF(M121,"&gt;100")</f>
        <v>1</v>
      </c>
      <c r="N126" s="496">
        <f t="shared" si="53"/>
        <v>1</v>
      </c>
      <c r="O126" s="496">
        <f t="shared" si="53"/>
        <v>1</v>
      </c>
      <c r="P126" s="496">
        <f t="shared" si="53"/>
        <v>1</v>
      </c>
      <c r="Q126" s="496">
        <f t="shared" si="53"/>
        <v>1</v>
      </c>
      <c r="R126" s="496">
        <f t="shared" si="53"/>
        <v>1</v>
      </c>
      <c r="S126" s="496">
        <f t="shared" si="53"/>
        <v>1</v>
      </c>
      <c r="T126" s="496">
        <f t="shared" si="53"/>
        <v>1</v>
      </c>
      <c r="U126" s="496">
        <f t="shared" si="53"/>
        <v>1</v>
      </c>
      <c r="V126" s="496">
        <f t="shared" si="53"/>
        <v>1</v>
      </c>
      <c r="W126" s="496">
        <f t="shared" si="53"/>
        <v>1</v>
      </c>
      <c r="X126" s="496">
        <f t="shared" si="53"/>
        <v>1</v>
      </c>
      <c r="Y126" s="496">
        <f t="shared" si="53"/>
        <v>1</v>
      </c>
      <c r="Z126" s="496">
        <f t="shared" si="53"/>
        <v>1</v>
      </c>
      <c r="AA126" s="496">
        <f t="shared" si="53"/>
        <v>1</v>
      </c>
      <c r="AB126" s="496">
        <f t="shared" si="53"/>
        <v>1</v>
      </c>
      <c r="AC126" s="496">
        <f t="shared" si="53"/>
        <v>1</v>
      </c>
      <c r="AD126" s="496">
        <f t="shared" si="53"/>
        <v>1</v>
      </c>
      <c r="AE126" s="496">
        <f t="shared" si="53"/>
        <v>1</v>
      </c>
    </row>
    <row r="127" spans="1:33">
      <c r="A127" s="745" t="s">
        <v>10</v>
      </c>
      <c r="B127" s="745"/>
      <c r="C127" s="739"/>
      <c r="D127" s="739"/>
      <c r="E127" s="739"/>
      <c r="F127" s="739"/>
      <c r="G127" s="739"/>
      <c r="H127" s="739"/>
      <c r="I127" s="763"/>
      <c r="J127" s="739"/>
      <c r="K127" s="749">
        <f t="shared" ref="K127" si="54">K128-K126</f>
        <v>0</v>
      </c>
      <c r="L127" s="750">
        <f>COUNTIF(L122:L123,"&gt;100")</f>
        <v>0</v>
      </c>
      <c r="M127" s="750">
        <f t="shared" ref="M127:AE127" si="55">COUNTIF(M122:M123,"&gt;100")</f>
        <v>2</v>
      </c>
      <c r="N127" s="750">
        <f t="shared" si="55"/>
        <v>2</v>
      </c>
      <c r="O127" s="750">
        <f t="shared" si="55"/>
        <v>2</v>
      </c>
      <c r="P127" s="750">
        <f t="shared" si="55"/>
        <v>2</v>
      </c>
      <c r="Q127" s="750">
        <f t="shared" si="55"/>
        <v>2</v>
      </c>
      <c r="R127" s="750">
        <f t="shared" si="55"/>
        <v>2</v>
      </c>
      <c r="S127" s="750">
        <f t="shared" si="55"/>
        <v>2</v>
      </c>
      <c r="T127" s="750">
        <f t="shared" si="55"/>
        <v>2</v>
      </c>
      <c r="U127" s="750">
        <f t="shared" si="55"/>
        <v>2</v>
      </c>
      <c r="V127" s="750">
        <f t="shared" si="55"/>
        <v>2</v>
      </c>
      <c r="W127" s="750">
        <f t="shared" si="55"/>
        <v>2</v>
      </c>
      <c r="X127" s="750">
        <f t="shared" si="55"/>
        <v>2</v>
      </c>
      <c r="Y127" s="750">
        <f t="shared" si="55"/>
        <v>2</v>
      </c>
      <c r="Z127" s="750">
        <f t="shared" si="55"/>
        <v>2</v>
      </c>
      <c r="AA127" s="750">
        <f t="shared" si="55"/>
        <v>2</v>
      </c>
      <c r="AB127" s="750">
        <f t="shared" si="55"/>
        <v>2</v>
      </c>
      <c r="AC127" s="750">
        <f t="shared" si="55"/>
        <v>2</v>
      </c>
      <c r="AD127" s="750">
        <f t="shared" si="55"/>
        <v>2</v>
      </c>
      <c r="AE127" s="750">
        <f t="shared" si="55"/>
        <v>2</v>
      </c>
    </row>
    <row r="128" spans="1:33">
      <c r="A128" s="164" t="s">
        <v>9</v>
      </c>
      <c r="B128" s="164"/>
      <c r="C128" s="667"/>
      <c r="D128" s="667"/>
      <c r="E128" s="667"/>
      <c r="F128" s="667"/>
      <c r="G128" s="667"/>
      <c r="H128" s="667"/>
      <c r="I128" s="668"/>
      <c r="J128" s="667"/>
      <c r="K128" s="751">
        <f t="shared" ref="K128:AE128" si="56">COUNTIF(K121:K123,"&gt;0")</f>
        <v>0</v>
      </c>
      <c r="L128" s="752">
        <f t="shared" si="56"/>
        <v>0</v>
      </c>
      <c r="M128" s="752">
        <f t="shared" si="56"/>
        <v>3</v>
      </c>
      <c r="N128" s="752">
        <f t="shared" si="56"/>
        <v>3</v>
      </c>
      <c r="O128" s="752">
        <f t="shared" si="56"/>
        <v>3</v>
      </c>
      <c r="P128" s="752">
        <f t="shared" si="56"/>
        <v>3</v>
      </c>
      <c r="Q128" s="752">
        <f t="shared" si="56"/>
        <v>3</v>
      </c>
      <c r="R128" s="752">
        <f t="shared" si="56"/>
        <v>3</v>
      </c>
      <c r="S128" s="752">
        <f t="shared" si="56"/>
        <v>3</v>
      </c>
      <c r="T128" s="752">
        <f t="shared" si="56"/>
        <v>3</v>
      </c>
      <c r="U128" s="752">
        <f t="shared" si="56"/>
        <v>3</v>
      </c>
      <c r="V128" s="752">
        <f t="shared" si="56"/>
        <v>3</v>
      </c>
      <c r="W128" s="752">
        <f t="shared" si="56"/>
        <v>3</v>
      </c>
      <c r="X128" s="752">
        <f t="shared" si="56"/>
        <v>3</v>
      </c>
      <c r="Y128" s="752">
        <f t="shared" si="56"/>
        <v>3</v>
      </c>
      <c r="Z128" s="752">
        <f t="shared" si="56"/>
        <v>3</v>
      </c>
      <c r="AA128" s="752">
        <f t="shared" si="56"/>
        <v>3</v>
      </c>
      <c r="AB128" s="752">
        <f t="shared" si="56"/>
        <v>3</v>
      </c>
      <c r="AC128" s="752">
        <f t="shared" si="56"/>
        <v>3</v>
      </c>
      <c r="AD128" s="752">
        <f t="shared" si="56"/>
        <v>3</v>
      </c>
      <c r="AE128" s="752">
        <f t="shared" si="56"/>
        <v>3</v>
      </c>
    </row>
    <row r="129" spans="1:33">
      <c r="A129" s="37"/>
      <c r="B129" s="37"/>
      <c r="C129" s="57"/>
      <c r="E129" s="57"/>
      <c r="F129" s="57"/>
      <c r="G129" s="57"/>
      <c r="H129" s="57"/>
      <c r="I129" s="43"/>
      <c r="J129" s="42"/>
      <c r="K129" s="683"/>
      <c r="L129" s="316"/>
      <c r="M129" s="316"/>
      <c r="N129" s="316"/>
      <c r="O129" s="316"/>
      <c r="P129" s="316"/>
      <c r="Q129" s="316"/>
      <c r="R129" s="316"/>
      <c r="S129" s="316"/>
      <c r="T129" s="316"/>
      <c r="U129" s="316"/>
      <c r="V129" s="316"/>
      <c r="W129" s="316"/>
      <c r="X129" s="316"/>
      <c r="Y129" s="316"/>
      <c r="Z129" s="316"/>
      <c r="AA129" s="316"/>
      <c r="AB129" s="316"/>
      <c r="AC129" s="316"/>
      <c r="AD129" s="316"/>
      <c r="AE129" s="316"/>
    </row>
    <row r="130" spans="1:33" s="55" customFormat="1">
      <c r="A130" s="190" t="s">
        <v>60</v>
      </c>
      <c r="B130" s="191"/>
      <c r="C130" s="192"/>
      <c r="D130" s="193"/>
      <c r="E130" s="194"/>
      <c r="F130" s="194"/>
      <c r="G130" s="192"/>
      <c r="H130" s="192"/>
      <c r="I130" s="195">
        <v>0.2</v>
      </c>
      <c r="J130" s="196"/>
      <c r="K130" s="683">
        <v>0</v>
      </c>
      <c r="L130" s="665">
        <f>$I$130*L124</f>
        <v>0</v>
      </c>
      <c r="M130" s="665">
        <f t="shared" ref="M130:AE130" si="57">$I$130*M124</f>
        <v>9095</v>
      </c>
      <c r="N130" s="665">
        <f t="shared" si="57"/>
        <v>9462.4380000000001</v>
      </c>
      <c r="O130" s="665">
        <f t="shared" si="57"/>
        <v>9651.6867600000005</v>
      </c>
      <c r="P130" s="665">
        <f t="shared" si="57"/>
        <v>9844.7204951999993</v>
      </c>
      <c r="Q130" s="665">
        <f t="shared" si="57"/>
        <v>10041.614905104001</v>
      </c>
      <c r="R130" s="665">
        <f t="shared" si="57"/>
        <v>10242.44720320608</v>
      </c>
      <c r="S130" s="665">
        <f t="shared" si="57"/>
        <v>10447.296147270201</v>
      </c>
      <c r="T130" s="665">
        <f t="shared" si="57"/>
        <v>10656.242070215607</v>
      </c>
      <c r="U130" s="665">
        <f t="shared" si="57"/>
        <v>10869.36691161992</v>
      </c>
      <c r="V130" s="665">
        <f t="shared" si="57"/>
        <v>11086.754249852318</v>
      </c>
      <c r="W130" s="665">
        <f t="shared" si="57"/>
        <v>11308.489334849364</v>
      </c>
      <c r="X130" s="665">
        <f t="shared" si="57"/>
        <v>11534.659121546354</v>
      </c>
      <c r="Y130" s="665">
        <f t="shared" si="57"/>
        <v>11765.352303977279</v>
      </c>
      <c r="Z130" s="665">
        <f t="shared" si="57"/>
        <v>12000.659350056825</v>
      </c>
      <c r="AA130" s="665">
        <f t="shared" si="57"/>
        <v>12240.672537057961</v>
      </c>
      <c r="AB130" s="665">
        <f t="shared" si="57"/>
        <v>12485.48598779912</v>
      </c>
      <c r="AC130" s="665">
        <f t="shared" si="57"/>
        <v>12735.195707555104</v>
      </c>
      <c r="AD130" s="665">
        <f t="shared" si="57"/>
        <v>12989.899621706207</v>
      </c>
      <c r="AE130" s="665">
        <f t="shared" si="57"/>
        <v>13249.697614140328</v>
      </c>
    </row>
    <row r="131" spans="1:33">
      <c r="A131" s="190"/>
      <c r="B131" s="191"/>
      <c r="C131" s="192"/>
      <c r="D131" s="193"/>
      <c r="E131" s="194"/>
      <c r="F131" s="194"/>
      <c r="G131" s="192"/>
      <c r="H131" s="192"/>
      <c r="I131" s="195"/>
      <c r="J131" s="196"/>
      <c r="K131" s="685"/>
      <c r="L131" s="665"/>
      <c r="M131" s="665"/>
      <c r="N131" s="665"/>
      <c r="O131" s="665"/>
      <c r="P131" s="665"/>
      <c r="Q131" s="665"/>
      <c r="R131" s="665"/>
      <c r="S131" s="665"/>
      <c r="T131" s="665"/>
      <c r="U131" s="665"/>
      <c r="V131" s="665"/>
      <c r="W131" s="665"/>
      <c r="X131" s="665"/>
      <c r="Y131" s="665"/>
      <c r="Z131" s="665"/>
      <c r="AA131" s="665"/>
      <c r="AB131" s="665"/>
      <c r="AC131" s="665"/>
      <c r="AD131" s="665"/>
      <c r="AE131" s="665"/>
    </row>
    <row r="132" spans="1:33">
      <c r="A132" s="164" t="s">
        <v>61</v>
      </c>
      <c r="B132" s="164"/>
      <c r="C132" s="75"/>
      <c r="D132" s="173"/>
      <c r="E132" s="75"/>
      <c r="F132" s="75"/>
      <c r="G132" s="75"/>
      <c r="H132" s="75"/>
      <c r="I132" s="174"/>
      <c r="J132" s="175"/>
      <c r="K132" s="685">
        <v>0</v>
      </c>
      <c r="L132" s="669">
        <f>SUM(L124,L130)</f>
        <v>0</v>
      </c>
      <c r="M132" s="669">
        <f t="shared" ref="M132:AE132" si="58">SUM(M124,M130)</f>
        <v>54570</v>
      </c>
      <c r="N132" s="669">
        <f t="shared" si="58"/>
        <v>56774.628000000004</v>
      </c>
      <c r="O132" s="669">
        <f t="shared" si="58"/>
        <v>57910.120559999996</v>
      </c>
      <c r="P132" s="669">
        <f t="shared" si="58"/>
        <v>59068.322971199988</v>
      </c>
      <c r="Q132" s="669">
        <f t="shared" si="58"/>
        <v>60249.689430623999</v>
      </c>
      <c r="R132" s="669">
        <f t="shared" si="58"/>
        <v>61454.683219236475</v>
      </c>
      <c r="S132" s="669">
        <f t="shared" si="58"/>
        <v>62683.776883621205</v>
      </c>
      <c r="T132" s="669">
        <f t="shared" si="58"/>
        <v>63937.452421293638</v>
      </c>
      <c r="U132" s="669">
        <f t="shared" si="58"/>
        <v>65216.201469719512</v>
      </c>
      <c r="V132" s="669">
        <f t="shared" si="58"/>
        <v>66520.525499113894</v>
      </c>
      <c r="W132" s="669">
        <f t="shared" si="58"/>
        <v>67850.936009096185</v>
      </c>
      <c r="X132" s="669">
        <f t="shared" si="58"/>
        <v>69207.954729278121</v>
      </c>
      <c r="Y132" s="669">
        <f t="shared" si="58"/>
        <v>70592.113823863678</v>
      </c>
      <c r="Z132" s="669">
        <f t="shared" si="58"/>
        <v>72003.956100340947</v>
      </c>
      <c r="AA132" s="669">
        <f t="shared" si="58"/>
        <v>73444.035222347768</v>
      </c>
      <c r="AB132" s="669">
        <f t="shared" si="58"/>
        <v>74912.915926794725</v>
      </c>
      <c r="AC132" s="669">
        <f t="shared" si="58"/>
        <v>76411.174245330621</v>
      </c>
      <c r="AD132" s="669">
        <f t="shared" si="58"/>
        <v>77939.397730237237</v>
      </c>
      <c r="AE132" s="669">
        <f t="shared" si="58"/>
        <v>79498.18568484197</v>
      </c>
    </row>
    <row r="133" spans="1:33">
      <c r="A133" s="183"/>
      <c r="B133" s="184"/>
      <c r="C133" s="185"/>
      <c r="D133" s="186"/>
      <c r="E133" s="185"/>
      <c r="F133" s="185"/>
      <c r="G133" s="185"/>
      <c r="H133" s="185"/>
      <c r="I133" s="187"/>
      <c r="J133" s="188"/>
      <c r="K133" s="683"/>
      <c r="L133" s="320"/>
      <c r="M133" s="320"/>
      <c r="N133" s="320"/>
      <c r="O133" s="320"/>
      <c r="P133" s="320"/>
      <c r="Q133" s="320"/>
      <c r="R133" s="320"/>
      <c r="S133" s="320"/>
      <c r="T133" s="320"/>
      <c r="U133" s="320"/>
      <c r="V133" s="320"/>
      <c r="W133" s="320"/>
      <c r="X133" s="320"/>
      <c r="Y133" s="320"/>
      <c r="Z133" s="320"/>
      <c r="AA133" s="320"/>
      <c r="AB133" s="320"/>
      <c r="AC133" s="320"/>
      <c r="AD133" s="320"/>
      <c r="AE133" s="320"/>
    </row>
    <row r="134" spans="1:33">
      <c r="A134" s="39" t="s">
        <v>4</v>
      </c>
      <c r="B134" s="39"/>
      <c r="C134" s="111"/>
      <c r="D134" s="112"/>
      <c r="E134" s="111"/>
      <c r="F134" s="111"/>
      <c r="G134" s="111"/>
      <c r="H134" s="111"/>
      <c r="I134" s="40"/>
      <c r="J134" s="113"/>
      <c r="K134" s="688"/>
      <c r="L134" s="321"/>
      <c r="M134" s="321"/>
      <c r="N134" s="321"/>
      <c r="O134" s="321"/>
      <c r="P134" s="321"/>
      <c r="Q134" s="321"/>
      <c r="R134" s="321"/>
      <c r="S134" s="321"/>
      <c r="T134" s="321"/>
      <c r="U134" s="321"/>
      <c r="V134" s="321"/>
      <c r="W134" s="321"/>
      <c r="X134" s="321"/>
      <c r="Y134" s="321"/>
      <c r="Z134" s="321"/>
      <c r="AA134" s="321"/>
      <c r="AB134" s="321"/>
      <c r="AC134" s="321"/>
      <c r="AD134" s="321"/>
      <c r="AE134" s="321"/>
    </row>
    <row r="135" spans="1:33">
      <c r="A135" s="41" t="s">
        <v>13</v>
      </c>
      <c r="B135" s="41"/>
      <c r="C135" s="105"/>
      <c r="D135" s="106"/>
      <c r="E135" s="37"/>
      <c r="F135" s="37"/>
      <c r="G135" s="37"/>
      <c r="H135" s="37"/>
      <c r="I135" s="41"/>
      <c r="J135" s="37"/>
      <c r="K135" s="683"/>
      <c r="L135" s="200"/>
      <c r="M135" s="200"/>
      <c r="N135" s="200"/>
      <c r="O135" s="200"/>
      <c r="P135" s="200"/>
      <c r="Q135" s="200"/>
      <c r="R135" s="200"/>
      <c r="S135" s="200"/>
      <c r="T135" s="200"/>
      <c r="U135" s="201"/>
      <c r="V135" s="323"/>
      <c r="W135" s="200"/>
      <c r="X135" s="200"/>
      <c r="Y135" s="200"/>
      <c r="Z135" s="200"/>
      <c r="AA135" s="200"/>
      <c r="AB135" s="200"/>
      <c r="AC135" s="200"/>
      <c r="AD135" s="200"/>
      <c r="AE135" s="201"/>
    </row>
    <row r="136" spans="1:33">
      <c r="A136" s="33" t="s">
        <v>65</v>
      </c>
      <c r="B136" s="735" t="s">
        <v>12</v>
      </c>
      <c r="C136" s="663">
        <v>65000</v>
      </c>
      <c r="D136" s="736">
        <f>C136/2080</f>
        <v>31.25</v>
      </c>
      <c r="E136" s="663">
        <v>0</v>
      </c>
      <c r="F136" s="663">
        <f>C136*$F$13</f>
        <v>26000</v>
      </c>
      <c r="G136" s="663">
        <f>SUM(C136,E136:F136)</f>
        <v>91000</v>
      </c>
      <c r="H136" s="736">
        <f>G136/2080*8</f>
        <v>350</v>
      </c>
      <c r="I136" s="764"/>
      <c r="J136" s="765"/>
      <c r="K136" s="683">
        <v>0</v>
      </c>
      <c r="L136" s="665">
        <v>0</v>
      </c>
      <c r="M136" s="665">
        <f>$H$136*M32*0.25</f>
        <v>18725</v>
      </c>
      <c r="N136" s="665">
        <f t="shared" ref="N136:AE136" si="59">$M$136*L11</f>
        <v>19099.5</v>
      </c>
      <c r="O136" s="665">
        <f t="shared" si="59"/>
        <v>19481.490000000002</v>
      </c>
      <c r="P136" s="665">
        <f t="shared" si="59"/>
        <v>19871.1198</v>
      </c>
      <c r="Q136" s="665">
        <f t="shared" si="59"/>
        <v>20268.542195999999</v>
      </c>
      <c r="R136" s="665">
        <f t="shared" si="59"/>
        <v>20673.91303992</v>
      </c>
      <c r="S136" s="665">
        <f t="shared" si="59"/>
        <v>21087.391300718402</v>
      </c>
      <c r="T136" s="665">
        <f t="shared" si="59"/>
        <v>21509.139126732767</v>
      </c>
      <c r="U136" s="665">
        <f t="shared" si="59"/>
        <v>21939.321909267426</v>
      </c>
      <c r="V136" s="665">
        <f t="shared" si="59"/>
        <v>22378.108347452773</v>
      </c>
      <c r="W136" s="665">
        <f t="shared" si="59"/>
        <v>22825.670514401831</v>
      </c>
      <c r="X136" s="665">
        <f t="shared" si="59"/>
        <v>23282.183924689867</v>
      </c>
      <c r="Y136" s="665">
        <f t="shared" si="59"/>
        <v>23747.827603183665</v>
      </c>
      <c r="Z136" s="665">
        <f t="shared" si="59"/>
        <v>24222.784155247336</v>
      </c>
      <c r="AA136" s="665">
        <f t="shared" si="59"/>
        <v>24707.239838352285</v>
      </c>
      <c r="AB136" s="665">
        <f t="shared" si="59"/>
        <v>25201.384635119332</v>
      </c>
      <c r="AC136" s="665">
        <f t="shared" si="59"/>
        <v>25705.412327821719</v>
      </c>
      <c r="AD136" s="665">
        <f t="shared" si="59"/>
        <v>26219.520574378155</v>
      </c>
      <c r="AE136" s="665">
        <f t="shared" si="59"/>
        <v>26743.910985865718</v>
      </c>
    </row>
    <row r="137" spans="1:33">
      <c r="A137" s="37" t="s">
        <v>62</v>
      </c>
      <c r="B137" s="735" t="s">
        <v>12</v>
      </c>
      <c r="C137" s="663">
        <v>85000</v>
      </c>
      <c r="D137" s="736">
        <f>C137/2080</f>
        <v>40.865384615384613</v>
      </c>
      <c r="E137" s="663">
        <f>C137*$L$15</f>
        <v>0</v>
      </c>
      <c r="F137" s="663">
        <f t="shared" ref="F137:F140" si="60">C137*$F$13</f>
        <v>34000</v>
      </c>
      <c r="G137" s="663">
        <f t="shared" ref="G137:G140" si="61">SUM(C137,E137:F137)</f>
        <v>119000</v>
      </c>
      <c r="H137" s="736">
        <f>G137/2080*8</f>
        <v>457.69230769230768</v>
      </c>
      <c r="I137" s="764"/>
      <c r="J137" s="765"/>
      <c r="K137" s="683">
        <v>0</v>
      </c>
      <c r="L137" s="665">
        <v>0</v>
      </c>
      <c r="M137" s="665">
        <f>$H$137*M32*0.1</f>
        <v>9794.6153846153848</v>
      </c>
      <c r="N137" s="665">
        <f t="shared" ref="N137:AE137" si="62">$M$137*L11</f>
        <v>9990.5076923076922</v>
      </c>
      <c r="O137" s="665">
        <f t="shared" si="62"/>
        <v>10190.317846153846</v>
      </c>
      <c r="P137" s="665">
        <f t="shared" si="62"/>
        <v>10394.124203076923</v>
      </c>
      <c r="Q137" s="665">
        <f t="shared" si="62"/>
        <v>10602.006687138461</v>
      </c>
      <c r="R137" s="665">
        <f t="shared" si="62"/>
        <v>10814.046820881231</v>
      </c>
      <c r="S137" s="665">
        <f t="shared" si="62"/>
        <v>11030.327757298855</v>
      </c>
      <c r="T137" s="665">
        <f t="shared" si="62"/>
        <v>11250.934312444833</v>
      </c>
      <c r="U137" s="665">
        <f t="shared" si="62"/>
        <v>11475.95299869373</v>
      </c>
      <c r="V137" s="665">
        <f t="shared" si="62"/>
        <v>11705.472058667605</v>
      </c>
      <c r="W137" s="665">
        <f t="shared" si="62"/>
        <v>11939.581499840959</v>
      </c>
      <c r="X137" s="665">
        <f t="shared" si="62"/>
        <v>12178.373129837777</v>
      </c>
      <c r="Y137" s="665">
        <f t="shared" si="62"/>
        <v>12421.940592434532</v>
      </c>
      <c r="Z137" s="665">
        <f t="shared" si="62"/>
        <v>12670.379404283221</v>
      </c>
      <c r="AA137" s="665">
        <f t="shared" si="62"/>
        <v>12923.786992368889</v>
      </c>
      <c r="AB137" s="665">
        <f t="shared" si="62"/>
        <v>13182.262732216266</v>
      </c>
      <c r="AC137" s="665">
        <f t="shared" si="62"/>
        <v>13445.907986860591</v>
      </c>
      <c r="AD137" s="665">
        <f t="shared" si="62"/>
        <v>13714.826146597805</v>
      </c>
      <c r="AE137" s="665">
        <f t="shared" si="62"/>
        <v>13989.122669529761</v>
      </c>
    </row>
    <row r="138" spans="1:33">
      <c r="A138" s="37" t="s">
        <v>419</v>
      </c>
      <c r="B138" s="735" t="s">
        <v>12</v>
      </c>
      <c r="C138" s="663">
        <v>75000</v>
      </c>
      <c r="D138" s="736">
        <f>C138/2080</f>
        <v>36.057692307692307</v>
      </c>
      <c r="E138" s="663">
        <f>C138*$L$15</f>
        <v>0</v>
      </c>
      <c r="F138" s="663">
        <f t="shared" si="60"/>
        <v>30000</v>
      </c>
      <c r="G138" s="663">
        <f t="shared" si="61"/>
        <v>105000</v>
      </c>
      <c r="H138" s="736">
        <f>G138/2080*8</f>
        <v>403.84615384615387</v>
      </c>
      <c r="I138" s="764"/>
      <c r="J138" s="765"/>
      <c r="K138" s="683">
        <v>0</v>
      </c>
      <c r="L138" s="665">
        <v>0</v>
      </c>
      <c r="M138" s="665">
        <f>$H$138*M32*0.1</f>
        <v>8642.3076923076933</v>
      </c>
      <c r="N138" s="665">
        <f t="shared" ref="N138:AE138" si="63">$M$138*L11</f>
        <v>8815.1538461538476</v>
      </c>
      <c r="O138" s="665">
        <f t="shared" si="63"/>
        <v>8991.4569230769248</v>
      </c>
      <c r="P138" s="665">
        <f t="shared" si="63"/>
        <v>9171.2860615384616</v>
      </c>
      <c r="Q138" s="665">
        <f t="shared" si="63"/>
        <v>9354.7117827692309</v>
      </c>
      <c r="R138" s="665">
        <f t="shared" si="63"/>
        <v>9541.8060184246169</v>
      </c>
      <c r="S138" s="665">
        <f t="shared" si="63"/>
        <v>9732.6421387931096</v>
      </c>
      <c r="T138" s="665">
        <f t="shared" si="63"/>
        <v>9927.2949815689717</v>
      </c>
      <c r="U138" s="665">
        <f t="shared" si="63"/>
        <v>10125.840881200351</v>
      </c>
      <c r="V138" s="665">
        <f t="shared" si="63"/>
        <v>10328.357698824359</v>
      </c>
      <c r="W138" s="665">
        <f t="shared" si="63"/>
        <v>10534.924852800847</v>
      </c>
      <c r="X138" s="665">
        <f t="shared" si="63"/>
        <v>10745.623349856864</v>
      </c>
      <c r="Y138" s="665">
        <f t="shared" si="63"/>
        <v>10960.535816854001</v>
      </c>
      <c r="Z138" s="665">
        <f t="shared" si="63"/>
        <v>11179.746533191079</v>
      </c>
      <c r="AA138" s="665">
        <f t="shared" si="63"/>
        <v>11403.341463854902</v>
      </c>
      <c r="AB138" s="665">
        <f t="shared" si="63"/>
        <v>11631.408293132001</v>
      </c>
      <c r="AC138" s="665">
        <f t="shared" si="63"/>
        <v>11864.03645899464</v>
      </c>
      <c r="AD138" s="665">
        <f t="shared" si="63"/>
        <v>12101.317188174535</v>
      </c>
      <c r="AE138" s="665">
        <f t="shared" si="63"/>
        <v>12343.343531938026</v>
      </c>
    </row>
    <row r="139" spans="1:33">
      <c r="A139" s="37" t="s">
        <v>63</v>
      </c>
      <c r="B139" s="735" t="s">
        <v>15</v>
      </c>
      <c r="C139" s="663">
        <v>15000</v>
      </c>
      <c r="D139" s="736">
        <f t="shared" ref="D139:D140" si="64">C139/2080</f>
        <v>7.2115384615384617</v>
      </c>
      <c r="E139" s="663">
        <f>C139*$L$15</f>
        <v>0</v>
      </c>
      <c r="F139" s="663">
        <f t="shared" si="60"/>
        <v>6000</v>
      </c>
      <c r="G139" s="663">
        <f t="shared" si="61"/>
        <v>21000</v>
      </c>
      <c r="H139" s="736">
        <f t="shared" ref="H139:H140" si="65">G139/2080*8</f>
        <v>80.769230769230774</v>
      </c>
      <c r="I139" s="764"/>
      <c r="J139" s="765"/>
      <c r="K139" s="683">
        <v>0</v>
      </c>
      <c r="L139" s="665">
        <v>0</v>
      </c>
      <c r="M139" s="665">
        <f>($H$139*M32)*0.5</f>
        <v>8642.3076923076933</v>
      </c>
      <c r="N139" s="665">
        <f t="shared" ref="N139:AE139" si="66">$M$139*L11</f>
        <v>8815.1538461538476</v>
      </c>
      <c r="O139" s="665">
        <f t="shared" si="66"/>
        <v>8991.4569230769248</v>
      </c>
      <c r="P139" s="665">
        <f t="shared" si="66"/>
        <v>9171.2860615384616</v>
      </c>
      <c r="Q139" s="665">
        <f t="shared" si="66"/>
        <v>9354.7117827692309</v>
      </c>
      <c r="R139" s="665">
        <f t="shared" si="66"/>
        <v>9541.8060184246169</v>
      </c>
      <c r="S139" s="665">
        <f t="shared" si="66"/>
        <v>9732.6421387931096</v>
      </c>
      <c r="T139" s="665">
        <f t="shared" si="66"/>
        <v>9927.2949815689717</v>
      </c>
      <c r="U139" s="665">
        <f t="shared" si="66"/>
        <v>10125.840881200351</v>
      </c>
      <c r="V139" s="665">
        <f t="shared" si="66"/>
        <v>10328.357698824359</v>
      </c>
      <c r="W139" s="665">
        <f t="shared" si="66"/>
        <v>10534.924852800847</v>
      </c>
      <c r="X139" s="665">
        <f t="shared" si="66"/>
        <v>10745.623349856864</v>
      </c>
      <c r="Y139" s="665">
        <f t="shared" si="66"/>
        <v>10960.535816854001</v>
      </c>
      <c r="Z139" s="665">
        <f t="shared" si="66"/>
        <v>11179.746533191079</v>
      </c>
      <c r="AA139" s="665">
        <f t="shared" si="66"/>
        <v>11403.341463854902</v>
      </c>
      <c r="AB139" s="665">
        <f t="shared" si="66"/>
        <v>11631.408293132001</v>
      </c>
      <c r="AC139" s="665">
        <f t="shared" si="66"/>
        <v>11864.03645899464</v>
      </c>
      <c r="AD139" s="665">
        <f t="shared" si="66"/>
        <v>12101.317188174535</v>
      </c>
      <c r="AE139" s="665">
        <f t="shared" si="66"/>
        <v>12343.343531938026</v>
      </c>
    </row>
    <row r="140" spans="1:33">
      <c r="A140" s="745" t="s">
        <v>63</v>
      </c>
      <c r="B140" s="738" t="s">
        <v>15</v>
      </c>
      <c r="C140" s="739">
        <v>15000</v>
      </c>
      <c r="D140" s="740">
        <f t="shared" si="64"/>
        <v>7.2115384615384617</v>
      </c>
      <c r="E140" s="739">
        <f>C140*$L$15</f>
        <v>0</v>
      </c>
      <c r="F140" s="739">
        <f t="shared" si="60"/>
        <v>6000</v>
      </c>
      <c r="G140" s="739">
        <f t="shared" si="61"/>
        <v>21000</v>
      </c>
      <c r="H140" s="740">
        <f t="shared" si="65"/>
        <v>80.769230769230774</v>
      </c>
      <c r="I140" s="766"/>
      <c r="J140" s="767"/>
      <c r="K140" s="741">
        <v>0</v>
      </c>
      <c r="L140" s="742">
        <v>0</v>
      </c>
      <c r="M140" s="742">
        <f>($H$140*M32)*0.5</f>
        <v>8642.3076923076933</v>
      </c>
      <c r="N140" s="742">
        <f t="shared" ref="N140:AE140" si="67">$M$140*L11</f>
        <v>8815.1538461538476</v>
      </c>
      <c r="O140" s="742">
        <f t="shared" si="67"/>
        <v>8991.4569230769248</v>
      </c>
      <c r="P140" s="742">
        <f t="shared" si="67"/>
        <v>9171.2860615384616</v>
      </c>
      <c r="Q140" s="742">
        <f t="shared" si="67"/>
        <v>9354.7117827692309</v>
      </c>
      <c r="R140" s="742">
        <f t="shared" si="67"/>
        <v>9541.8060184246169</v>
      </c>
      <c r="S140" s="742">
        <f t="shared" si="67"/>
        <v>9732.6421387931096</v>
      </c>
      <c r="T140" s="742">
        <f t="shared" si="67"/>
        <v>9927.2949815689717</v>
      </c>
      <c r="U140" s="742">
        <f t="shared" si="67"/>
        <v>10125.840881200351</v>
      </c>
      <c r="V140" s="742">
        <f t="shared" si="67"/>
        <v>10328.357698824359</v>
      </c>
      <c r="W140" s="742">
        <f t="shared" si="67"/>
        <v>10534.924852800847</v>
      </c>
      <c r="X140" s="742">
        <f t="shared" si="67"/>
        <v>10745.623349856864</v>
      </c>
      <c r="Y140" s="742">
        <f t="shared" si="67"/>
        <v>10960.535816854001</v>
      </c>
      <c r="Z140" s="742">
        <f t="shared" si="67"/>
        <v>11179.746533191079</v>
      </c>
      <c r="AA140" s="742">
        <f t="shared" si="67"/>
        <v>11403.341463854902</v>
      </c>
      <c r="AB140" s="742">
        <f t="shared" si="67"/>
        <v>11631.408293132001</v>
      </c>
      <c r="AC140" s="742">
        <f t="shared" si="67"/>
        <v>11864.03645899464</v>
      </c>
      <c r="AD140" s="742">
        <f t="shared" si="67"/>
        <v>12101.317188174535</v>
      </c>
      <c r="AE140" s="742">
        <f t="shared" si="67"/>
        <v>12343.343531938026</v>
      </c>
    </row>
    <row r="141" spans="1:33" s="56" customFormat="1" ht="14.25">
      <c r="A141" s="164" t="s">
        <v>415</v>
      </c>
      <c r="B141" s="164"/>
      <c r="C141" s="667">
        <f>SUM(C136:C140)</f>
        <v>255000</v>
      </c>
      <c r="D141" s="667"/>
      <c r="E141" s="667">
        <f>SUM(E136:E140)</f>
        <v>0</v>
      </c>
      <c r="F141" s="667">
        <f>SUM(F136:F140)</f>
        <v>102000</v>
      </c>
      <c r="G141" s="667">
        <f>SUM(G136:G140)</f>
        <v>357000</v>
      </c>
      <c r="H141" s="667">
        <f>SUM(H136:H140)</f>
        <v>1373.0769230769229</v>
      </c>
      <c r="I141" s="768"/>
      <c r="J141" s="769"/>
      <c r="K141" s="685">
        <f>SUMIF($B136:$B140,"FT",K136:K140)</f>
        <v>0</v>
      </c>
      <c r="L141" s="669">
        <f>SUMIF($B136:$B140,"FT",L136:L140)</f>
        <v>0</v>
      </c>
      <c r="M141" s="669">
        <f>SUM(M136:M140)</f>
        <v>54446.538461538468</v>
      </c>
      <c r="N141" s="669">
        <f t="shared" ref="N141:AE141" si="68">SUM(N136:N140)</f>
        <v>55535.469230769231</v>
      </c>
      <c r="O141" s="669">
        <f t="shared" si="68"/>
        <v>56646.178615384626</v>
      </c>
      <c r="P141" s="669">
        <f t="shared" si="68"/>
        <v>57779.102187692311</v>
      </c>
      <c r="Q141" s="669">
        <f t="shared" si="68"/>
        <v>58934.684231446139</v>
      </c>
      <c r="R141" s="669">
        <f t="shared" si="68"/>
        <v>60113.377916075071</v>
      </c>
      <c r="S141" s="669">
        <f t="shared" si="68"/>
        <v>61315.645474396588</v>
      </c>
      <c r="T141" s="669">
        <f t="shared" si="68"/>
        <v>62541.958383884514</v>
      </c>
      <c r="U141" s="669">
        <f t="shared" si="68"/>
        <v>63792.797551562195</v>
      </c>
      <c r="V141" s="669">
        <f t="shared" si="68"/>
        <v>65068.653502593457</v>
      </c>
      <c r="W141" s="669">
        <f t="shared" si="68"/>
        <v>66370.026572645322</v>
      </c>
      <c r="X141" s="669">
        <f t="shared" si="68"/>
        <v>67697.427104098228</v>
      </c>
      <c r="Y141" s="669">
        <f t="shared" si="68"/>
        <v>69051.375646180197</v>
      </c>
      <c r="Z141" s="669">
        <f t="shared" si="68"/>
        <v>70432.403159103793</v>
      </c>
      <c r="AA141" s="669">
        <f t="shared" si="68"/>
        <v>71841.051222285882</v>
      </c>
      <c r="AB141" s="669">
        <f t="shared" si="68"/>
        <v>73277.872246731597</v>
      </c>
      <c r="AC141" s="669">
        <f t="shared" si="68"/>
        <v>74743.429691666228</v>
      </c>
      <c r="AD141" s="669">
        <f t="shared" si="68"/>
        <v>76238.298285499564</v>
      </c>
      <c r="AE141" s="669">
        <f t="shared" si="68"/>
        <v>77763.064251209551</v>
      </c>
    </row>
    <row r="142" spans="1:33">
      <c r="A142" s="37"/>
      <c r="B142" s="37"/>
      <c r="C142" s="663"/>
      <c r="D142" s="663"/>
      <c r="E142" s="663"/>
      <c r="F142" s="663"/>
      <c r="G142" s="663"/>
      <c r="H142" s="663"/>
      <c r="I142" s="107"/>
      <c r="J142" s="108"/>
      <c r="K142" s="683"/>
      <c r="L142" s="666"/>
      <c r="M142" s="666"/>
      <c r="N142" s="666"/>
      <c r="O142" s="666"/>
      <c r="P142" s="666"/>
      <c r="Q142" s="666"/>
      <c r="R142" s="666"/>
      <c r="S142" s="666"/>
      <c r="T142" s="666"/>
      <c r="U142" s="666"/>
      <c r="V142" s="666"/>
      <c r="W142" s="666"/>
      <c r="X142" s="666"/>
      <c r="Y142" s="666"/>
      <c r="Z142" s="666"/>
      <c r="AA142" s="666"/>
      <c r="AB142" s="666"/>
      <c r="AC142" s="666"/>
      <c r="AD142" s="666"/>
      <c r="AE142" s="666"/>
    </row>
    <row r="143" spans="1:33">
      <c r="A143" s="37" t="s">
        <v>11</v>
      </c>
      <c r="B143" s="37"/>
      <c r="C143" s="57"/>
      <c r="E143" s="57"/>
      <c r="F143" s="57"/>
      <c r="G143" s="57"/>
      <c r="H143" s="57"/>
      <c r="I143" s="43"/>
      <c r="J143" s="42"/>
      <c r="K143" s="770">
        <f>COUNTIF(K136:K140,"&gt;100")</f>
        <v>0</v>
      </c>
      <c r="L143" s="771">
        <f>COUNTIF(L136:L138,"&gt;100")</f>
        <v>0</v>
      </c>
      <c r="M143" s="771">
        <f t="shared" ref="M143:AE143" si="69">COUNTIF(M136:M138,"&gt;100")</f>
        <v>3</v>
      </c>
      <c r="N143" s="771">
        <f t="shared" si="69"/>
        <v>3</v>
      </c>
      <c r="O143" s="771">
        <f t="shared" si="69"/>
        <v>3</v>
      </c>
      <c r="P143" s="771">
        <f t="shared" si="69"/>
        <v>3</v>
      </c>
      <c r="Q143" s="771">
        <f t="shared" si="69"/>
        <v>3</v>
      </c>
      <c r="R143" s="771">
        <f t="shared" si="69"/>
        <v>3</v>
      </c>
      <c r="S143" s="771">
        <f t="shared" si="69"/>
        <v>3</v>
      </c>
      <c r="T143" s="771">
        <f t="shared" si="69"/>
        <v>3</v>
      </c>
      <c r="U143" s="771">
        <f t="shared" si="69"/>
        <v>3</v>
      </c>
      <c r="V143" s="771">
        <f t="shared" si="69"/>
        <v>3</v>
      </c>
      <c r="W143" s="771">
        <f t="shared" si="69"/>
        <v>3</v>
      </c>
      <c r="X143" s="771">
        <f t="shared" si="69"/>
        <v>3</v>
      </c>
      <c r="Y143" s="771">
        <f t="shared" si="69"/>
        <v>3</v>
      </c>
      <c r="Z143" s="771">
        <f t="shared" si="69"/>
        <v>3</v>
      </c>
      <c r="AA143" s="771">
        <f t="shared" si="69"/>
        <v>3</v>
      </c>
      <c r="AB143" s="771">
        <f t="shared" si="69"/>
        <v>3</v>
      </c>
      <c r="AC143" s="771">
        <f t="shared" si="69"/>
        <v>3</v>
      </c>
      <c r="AD143" s="771">
        <f t="shared" si="69"/>
        <v>3</v>
      </c>
      <c r="AE143" s="771">
        <f t="shared" si="69"/>
        <v>3</v>
      </c>
      <c r="AF143" s="772"/>
      <c r="AG143" s="772"/>
    </row>
    <row r="144" spans="1:33">
      <c r="A144" s="745" t="s">
        <v>10</v>
      </c>
      <c r="B144" s="745"/>
      <c r="C144" s="746"/>
      <c r="D144" s="116"/>
      <c r="E144" s="746"/>
      <c r="F144" s="746"/>
      <c r="G144" s="746"/>
      <c r="H144" s="746"/>
      <c r="I144" s="747"/>
      <c r="J144" s="748"/>
      <c r="K144" s="773">
        <v>0</v>
      </c>
      <c r="L144" s="774">
        <f>COUNTIF(L139:L140,"&gt;100")</f>
        <v>0</v>
      </c>
      <c r="M144" s="774">
        <f t="shared" ref="M144:AE144" si="70">COUNTIF(M139:M140,"&gt;100")</f>
        <v>2</v>
      </c>
      <c r="N144" s="774">
        <f t="shared" si="70"/>
        <v>2</v>
      </c>
      <c r="O144" s="774">
        <f t="shared" si="70"/>
        <v>2</v>
      </c>
      <c r="P144" s="774">
        <f t="shared" si="70"/>
        <v>2</v>
      </c>
      <c r="Q144" s="774">
        <f t="shared" si="70"/>
        <v>2</v>
      </c>
      <c r="R144" s="774">
        <f t="shared" si="70"/>
        <v>2</v>
      </c>
      <c r="S144" s="774">
        <f t="shared" si="70"/>
        <v>2</v>
      </c>
      <c r="T144" s="774">
        <f t="shared" si="70"/>
        <v>2</v>
      </c>
      <c r="U144" s="774">
        <f t="shared" si="70"/>
        <v>2</v>
      </c>
      <c r="V144" s="774">
        <f t="shared" si="70"/>
        <v>2</v>
      </c>
      <c r="W144" s="774">
        <f t="shared" si="70"/>
        <v>2</v>
      </c>
      <c r="X144" s="774">
        <f t="shared" si="70"/>
        <v>2</v>
      </c>
      <c r="Y144" s="774">
        <f t="shared" si="70"/>
        <v>2</v>
      </c>
      <c r="Z144" s="774">
        <f t="shared" si="70"/>
        <v>2</v>
      </c>
      <c r="AA144" s="774">
        <f t="shared" si="70"/>
        <v>2</v>
      </c>
      <c r="AB144" s="774">
        <f t="shared" si="70"/>
        <v>2</v>
      </c>
      <c r="AC144" s="774">
        <f t="shared" si="70"/>
        <v>2</v>
      </c>
      <c r="AD144" s="774">
        <f t="shared" si="70"/>
        <v>2</v>
      </c>
      <c r="AE144" s="774">
        <f t="shared" si="70"/>
        <v>2</v>
      </c>
      <c r="AF144" s="772"/>
      <c r="AG144" s="772"/>
    </row>
    <row r="145" spans="1:33" s="56" customFormat="1" ht="14.25">
      <c r="A145" s="164" t="s">
        <v>9</v>
      </c>
      <c r="B145" s="164"/>
      <c r="C145" s="75"/>
      <c r="D145" s="173"/>
      <c r="E145" s="75"/>
      <c r="F145" s="75"/>
      <c r="G145" s="75"/>
      <c r="H145" s="75"/>
      <c r="I145" s="174"/>
      <c r="J145" s="181"/>
      <c r="K145" s="775">
        <v>0</v>
      </c>
      <c r="L145" s="776">
        <f>SUM(L143:L144)</f>
        <v>0</v>
      </c>
      <c r="M145" s="776">
        <f t="shared" ref="M145:AE145" si="71">COUNTIF(M136:M140,"&gt;0")</f>
        <v>5</v>
      </c>
      <c r="N145" s="776">
        <f t="shared" si="71"/>
        <v>5</v>
      </c>
      <c r="O145" s="776">
        <f t="shared" si="71"/>
        <v>5</v>
      </c>
      <c r="P145" s="776">
        <f t="shared" si="71"/>
        <v>5</v>
      </c>
      <c r="Q145" s="776">
        <f t="shared" si="71"/>
        <v>5</v>
      </c>
      <c r="R145" s="776">
        <f t="shared" si="71"/>
        <v>5</v>
      </c>
      <c r="S145" s="776">
        <f t="shared" si="71"/>
        <v>5</v>
      </c>
      <c r="T145" s="776">
        <f t="shared" si="71"/>
        <v>5</v>
      </c>
      <c r="U145" s="776">
        <f t="shared" si="71"/>
        <v>5</v>
      </c>
      <c r="V145" s="776">
        <f t="shared" si="71"/>
        <v>5</v>
      </c>
      <c r="W145" s="776">
        <f t="shared" si="71"/>
        <v>5</v>
      </c>
      <c r="X145" s="776">
        <f t="shared" si="71"/>
        <v>5</v>
      </c>
      <c r="Y145" s="776">
        <f t="shared" si="71"/>
        <v>5</v>
      </c>
      <c r="Z145" s="776">
        <f t="shared" si="71"/>
        <v>5</v>
      </c>
      <c r="AA145" s="776">
        <f t="shared" si="71"/>
        <v>5</v>
      </c>
      <c r="AB145" s="776">
        <f t="shared" si="71"/>
        <v>5</v>
      </c>
      <c r="AC145" s="776">
        <f t="shared" si="71"/>
        <v>5</v>
      </c>
      <c r="AD145" s="776">
        <f t="shared" si="71"/>
        <v>5</v>
      </c>
      <c r="AE145" s="776">
        <f t="shared" si="71"/>
        <v>5</v>
      </c>
      <c r="AF145" s="723"/>
      <c r="AG145" s="723"/>
    </row>
    <row r="146" spans="1:33">
      <c r="B146" s="37"/>
      <c r="C146" s="57"/>
      <c r="E146" s="57"/>
      <c r="F146" s="57"/>
      <c r="G146" s="57"/>
      <c r="H146" s="57"/>
      <c r="I146" s="43"/>
      <c r="J146" s="42"/>
      <c r="K146" s="683"/>
      <c r="L146" s="316"/>
      <c r="M146" s="316"/>
      <c r="N146" s="316"/>
      <c r="O146" s="316"/>
      <c r="P146" s="316"/>
      <c r="Q146" s="316"/>
      <c r="R146" s="316"/>
      <c r="S146" s="316"/>
      <c r="T146" s="316"/>
      <c r="U146" s="316"/>
      <c r="V146" s="316"/>
      <c r="W146" s="316"/>
      <c r="X146" s="316"/>
      <c r="Y146" s="316"/>
      <c r="Z146" s="316"/>
      <c r="AA146" s="316"/>
      <c r="AB146" s="316"/>
      <c r="AC146" s="316"/>
      <c r="AD146" s="316"/>
      <c r="AE146" s="316"/>
    </row>
    <row r="147" spans="1:33">
      <c r="A147" s="33" t="s">
        <v>60</v>
      </c>
      <c r="B147" s="191"/>
      <c r="C147" s="192"/>
      <c r="D147" s="193"/>
      <c r="E147" s="194"/>
      <c r="F147" s="194"/>
      <c r="G147" s="192"/>
      <c r="H147" s="192"/>
      <c r="I147" s="195">
        <v>0.2</v>
      </c>
      <c r="J147" s="196"/>
      <c r="K147" s="689">
        <v>0</v>
      </c>
      <c r="L147" s="665">
        <f t="shared" ref="L147:AE147" si="72">L141*$I$147</f>
        <v>0</v>
      </c>
      <c r="M147" s="665">
        <f t="shared" si="72"/>
        <v>10889.307692307695</v>
      </c>
      <c r="N147" s="665">
        <f t="shared" si="72"/>
        <v>11107.093846153846</v>
      </c>
      <c r="O147" s="665">
        <f t="shared" si="72"/>
        <v>11329.235723076927</v>
      </c>
      <c r="P147" s="665">
        <f t="shared" si="72"/>
        <v>11555.820437538463</v>
      </c>
      <c r="Q147" s="665">
        <f t="shared" si="72"/>
        <v>11786.936846289229</v>
      </c>
      <c r="R147" s="665">
        <f t="shared" si="72"/>
        <v>12022.675583215016</v>
      </c>
      <c r="S147" s="665">
        <f t="shared" si="72"/>
        <v>12263.129094879318</v>
      </c>
      <c r="T147" s="665">
        <f t="shared" si="72"/>
        <v>12508.391676776904</v>
      </c>
      <c r="U147" s="665">
        <f t="shared" si="72"/>
        <v>12758.55951031244</v>
      </c>
      <c r="V147" s="665">
        <f t="shared" si="72"/>
        <v>13013.730700518692</v>
      </c>
      <c r="W147" s="665">
        <f t="shared" si="72"/>
        <v>13274.005314529066</v>
      </c>
      <c r="X147" s="665">
        <f t="shared" si="72"/>
        <v>13539.485420819647</v>
      </c>
      <c r="Y147" s="665">
        <f t="shared" si="72"/>
        <v>13810.275129236041</v>
      </c>
      <c r="Z147" s="665">
        <f t="shared" si="72"/>
        <v>14086.480631820759</v>
      </c>
      <c r="AA147" s="665">
        <f t="shared" si="72"/>
        <v>14368.210244457177</v>
      </c>
      <c r="AB147" s="665">
        <f t="shared" si="72"/>
        <v>14655.574449346321</v>
      </c>
      <c r="AC147" s="665">
        <f t="shared" si="72"/>
        <v>14948.685938333247</v>
      </c>
      <c r="AD147" s="665">
        <f t="shared" si="72"/>
        <v>15247.659657099914</v>
      </c>
      <c r="AE147" s="665">
        <f t="shared" si="72"/>
        <v>15552.612850241911</v>
      </c>
    </row>
    <row r="148" spans="1:33">
      <c r="B148" s="191"/>
      <c r="C148" s="192"/>
      <c r="D148" s="193"/>
      <c r="E148" s="194"/>
      <c r="F148" s="194"/>
      <c r="G148" s="192"/>
      <c r="H148" s="192"/>
      <c r="I148" s="195"/>
      <c r="J148" s="196"/>
      <c r="K148" s="689"/>
      <c r="L148" s="665"/>
      <c r="M148" s="665"/>
      <c r="N148" s="665"/>
      <c r="O148" s="665"/>
      <c r="P148" s="665"/>
      <c r="Q148" s="665"/>
      <c r="R148" s="665"/>
      <c r="S148" s="665"/>
      <c r="T148" s="665"/>
      <c r="U148" s="665"/>
      <c r="V148" s="665"/>
      <c r="W148" s="665"/>
      <c r="X148" s="665"/>
      <c r="Y148" s="665"/>
      <c r="Z148" s="665"/>
      <c r="AA148" s="665"/>
      <c r="AB148" s="665"/>
      <c r="AC148" s="665"/>
      <c r="AD148" s="665"/>
      <c r="AE148" s="665"/>
    </row>
    <row r="149" spans="1:33" s="197" customFormat="1" ht="14.25">
      <c r="A149" s="197" t="s">
        <v>68</v>
      </c>
      <c r="D149" s="198"/>
      <c r="K149" s="690"/>
      <c r="L149" s="677"/>
      <c r="M149" s="677"/>
      <c r="N149" s="677"/>
      <c r="O149" s="677"/>
      <c r="P149" s="677"/>
      <c r="Q149" s="677"/>
      <c r="R149" s="677"/>
      <c r="S149" s="677"/>
      <c r="T149" s="677"/>
      <c r="U149" s="677"/>
      <c r="V149" s="677"/>
      <c r="W149" s="677"/>
      <c r="X149" s="677"/>
      <c r="Y149" s="677"/>
      <c r="Z149" s="677"/>
      <c r="AA149" s="677"/>
      <c r="AB149" s="677"/>
      <c r="AC149" s="677"/>
      <c r="AD149" s="677"/>
      <c r="AE149" s="677"/>
    </row>
    <row r="150" spans="1:33">
      <c r="A150" s="37" t="s">
        <v>423</v>
      </c>
      <c r="B150" s="37"/>
      <c r="C150" s="110"/>
      <c r="D150" s="106"/>
      <c r="E150" s="57"/>
      <c r="F150" s="57"/>
      <c r="G150" s="57"/>
      <c r="H150" s="57"/>
      <c r="I150" s="49"/>
      <c r="J150" s="44"/>
      <c r="K150" s="683">
        <f>COUNTIF(K$116:K$123,"&gt;0")*$J150*R$9</f>
        <v>0</v>
      </c>
      <c r="L150" s="666">
        <v>0</v>
      </c>
      <c r="M150" s="666">
        <v>10000</v>
      </c>
      <c r="N150" s="666">
        <f t="shared" ref="N150:AE150" si="73">$M$150*L11</f>
        <v>10200</v>
      </c>
      <c r="O150" s="666">
        <f t="shared" si="73"/>
        <v>10404</v>
      </c>
      <c r="P150" s="666">
        <f t="shared" si="73"/>
        <v>10612.08</v>
      </c>
      <c r="Q150" s="666">
        <f t="shared" si="73"/>
        <v>10824.321599999999</v>
      </c>
      <c r="R150" s="666">
        <f t="shared" si="73"/>
        <v>11040.808032000001</v>
      </c>
      <c r="S150" s="666">
        <f t="shared" si="73"/>
        <v>11261.62419264</v>
      </c>
      <c r="T150" s="666">
        <f t="shared" si="73"/>
        <v>11486.8566764928</v>
      </c>
      <c r="U150" s="666">
        <f t="shared" si="73"/>
        <v>11716.593810022658</v>
      </c>
      <c r="V150" s="666">
        <f t="shared" si="73"/>
        <v>11950.92568622311</v>
      </c>
      <c r="W150" s="666">
        <f t="shared" si="73"/>
        <v>12189.944199947573</v>
      </c>
      <c r="X150" s="666">
        <f t="shared" si="73"/>
        <v>12433.743083946525</v>
      </c>
      <c r="Y150" s="666">
        <f t="shared" si="73"/>
        <v>12682.417945625455</v>
      </c>
      <c r="Z150" s="666">
        <f t="shared" si="73"/>
        <v>12936.066304537962</v>
      </c>
      <c r="AA150" s="666">
        <f t="shared" si="73"/>
        <v>13194.787630628723</v>
      </c>
      <c r="AB150" s="666">
        <f t="shared" si="73"/>
        <v>13458.683383241299</v>
      </c>
      <c r="AC150" s="666">
        <f t="shared" si="73"/>
        <v>13727.857050906125</v>
      </c>
      <c r="AD150" s="666">
        <f t="shared" si="73"/>
        <v>14002.414191924248</v>
      </c>
      <c r="AE150" s="666">
        <f t="shared" si="73"/>
        <v>14282.462475762733</v>
      </c>
    </row>
    <row r="151" spans="1:33">
      <c r="A151" s="37" t="s">
        <v>67</v>
      </c>
      <c r="B151" s="37"/>
      <c r="C151" s="110"/>
      <c r="D151" s="106"/>
      <c r="E151" s="57"/>
      <c r="F151" s="57"/>
      <c r="G151" s="57"/>
      <c r="H151" s="57"/>
      <c r="I151" s="51"/>
      <c r="J151" s="44"/>
      <c r="K151" s="683">
        <v>0</v>
      </c>
      <c r="L151" s="666">
        <v>0</v>
      </c>
      <c r="M151" s="666">
        <v>10000</v>
      </c>
      <c r="N151" s="666">
        <f t="shared" ref="N151:AE151" si="74">$M$151*L11</f>
        <v>10200</v>
      </c>
      <c r="O151" s="666">
        <f t="shared" si="74"/>
        <v>10404</v>
      </c>
      <c r="P151" s="666">
        <f t="shared" si="74"/>
        <v>10612.08</v>
      </c>
      <c r="Q151" s="666">
        <f t="shared" si="74"/>
        <v>10824.321599999999</v>
      </c>
      <c r="R151" s="666">
        <f t="shared" si="74"/>
        <v>11040.808032000001</v>
      </c>
      <c r="S151" s="666">
        <f t="shared" si="74"/>
        <v>11261.62419264</v>
      </c>
      <c r="T151" s="666">
        <f t="shared" si="74"/>
        <v>11486.8566764928</v>
      </c>
      <c r="U151" s="666">
        <f t="shared" si="74"/>
        <v>11716.593810022658</v>
      </c>
      <c r="V151" s="666">
        <f t="shared" si="74"/>
        <v>11950.92568622311</v>
      </c>
      <c r="W151" s="666">
        <f t="shared" si="74"/>
        <v>12189.944199947573</v>
      </c>
      <c r="X151" s="666">
        <f t="shared" si="74"/>
        <v>12433.743083946525</v>
      </c>
      <c r="Y151" s="666">
        <f t="shared" si="74"/>
        <v>12682.417945625455</v>
      </c>
      <c r="Z151" s="666">
        <f t="shared" si="74"/>
        <v>12936.066304537962</v>
      </c>
      <c r="AA151" s="666">
        <f t="shared" si="74"/>
        <v>13194.787630628723</v>
      </c>
      <c r="AB151" s="666">
        <f t="shared" si="74"/>
        <v>13458.683383241299</v>
      </c>
      <c r="AC151" s="666">
        <f t="shared" si="74"/>
        <v>13727.857050906125</v>
      </c>
      <c r="AD151" s="666">
        <f t="shared" si="74"/>
        <v>14002.414191924248</v>
      </c>
      <c r="AE151" s="666">
        <f t="shared" si="74"/>
        <v>14282.462475762733</v>
      </c>
    </row>
    <row r="152" spans="1:33">
      <c r="A152" s="180" t="s">
        <v>2</v>
      </c>
      <c r="B152" s="777"/>
      <c r="C152" s="778"/>
      <c r="D152" s="779"/>
      <c r="E152" s="746"/>
      <c r="F152" s="746"/>
      <c r="G152" s="778"/>
      <c r="H152" s="778"/>
      <c r="I152" s="780"/>
      <c r="J152" s="781"/>
      <c r="K152" s="741">
        <v>0</v>
      </c>
      <c r="L152" s="742">
        <v>0</v>
      </c>
      <c r="M152" s="742">
        <v>0</v>
      </c>
      <c r="N152" s="742">
        <v>0</v>
      </c>
      <c r="O152" s="742">
        <v>0</v>
      </c>
      <c r="P152" s="742">
        <v>0</v>
      </c>
      <c r="Q152" s="742">
        <v>0</v>
      </c>
      <c r="R152" s="742">
        <v>0</v>
      </c>
      <c r="S152" s="742">
        <v>0</v>
      </c>
      <c r="T152" s="742">
        <v>0</v>
      </c>
      <c r="U152" s="742">
        <v>0</v>
      </c>
      <c r="V152" s="742">
        <v>0</v>
      </c>
      <c r="W152" s="742">
        <v>0</v>
      </c>
      <c r="X152" s="742">
        <v>0</v>
      </c>
      <c r="Y152" s="742">
        <v>0</v>
      </c>
      <c r="Z152" s="742">
        <v>0</v>
      </c>
      <c r="AA152" s="742">
        <v>0</v>
      </c>
      <c r="AB152" s="742">
        <v>0</v>
      </c>
      <c r="AC152" s="742">
        <v>0</v>
      </c>
      <c r="AD152" s="742">
        <v>0</v>
      </c>
      <c r="AE152" s="742">
        <v>0</v>
      </c>
    </row>
    <row r="153" spans="1:33" s="56" customFormat="1" ht="14.25">
      <c r="A153" s="164" t="s">
        <v>78</v>
      </c>
      <c r="B153" s="164"/>
      <c r="C153" s="75"/>
      <c r="D153" s="173"/>
      <c r="E153" s="75"/>
      <c r="F153" s="75"/>
      <c r="G153" s="75"/>
      <c r="H153" s="75"/>
      <c r="I153" s="174"/>
      <c r="J153" s="175"/>
      <c r="K153" s="685">
        <v>0</v>
      </c>
      <c r="L153" s="669">
        <f t="shared" ref="L153:AE153" si="75">SUM(L150:L152)</f>
        <v>0</v>
      </c>
      <c r="M153" s="669">
        <f t="shared" si="75"/>
        <v>20000</v>
      </c>
      <c r="N153" s="669">
        <f t="shared" si="75"/>
        <v>20400</v>
      </c>
      <c r="O153" s="669">
        <f t="shared" si="75"/>
        <v>20808</v>
      </c>
      <c r="P153" s="669">
        <f t="shared" si="75"/>
        <v>21224.16</v>
      </c>
      <c r="Q153" s="669">
        <f t="shared" si="75"/>
        <v>21648.643199999999</v>
      </c>
      <c r="R153" s="669">
        <f t="shared" si="75"/>
        <v>22081.616064000002</v>
      </c>
      <c r="S153" s="669">
        <f t="shared" si="75"/>
        <v>22523.24838528</v>
      </c>
      <c r="T153" s="669">
        <f t="shared" si="75"/>
        <v>22973.7133529856</v>
      </c>
      <c r="U153" s="669">
        <f t="shared" si="75"/>
        <v>23433.187620045315</v>
      </c>
      <c r="V153" s="669">
        <f t="shared" si="75"/>
        <v>23901.851372446221</v>
      </c>
      <c r="W153" s="669">
        <f t="shared" si="75"/>
        <v>24379.888399895146</v>
      </c>
      <c r="X153" s="669">
        <f t="shared" si="75"/>
        <v>24867.48616789305</v>
      </c>
      <c r="Y153" s="669">
        <f t="shared" si="75"/>
        <v>25364.83589125091</v>
      </c>
      <c r="Z153" s="669">
        <f t="shared" si="75"/>
        <v>25872.132609075925</v>
      </c>
      <c r="AA153" s="669">
        <f t="shared" si="75"/>
        <v>26389.575261257447</v>
      </c>
      <c r="AB153" s="669">
        <f t="shared" si="75"/>
        <v>26917.366766482599</v>
      </c>
      <c r="AC153" s="669">
        <f t="shared" si="75"/>
        <v>27455.714101812249</v>
      </c>
      <c r="AD153" s="669">
        <f t="shared" si="75"/>
        <v>28004.828383848497</v>
      </c>
      <c r="AE153" s="669">
        <f t="shared" si="75"/>
        <v>28564.924951525467</v>
      </c>
    </row>
    <row r="154" spans="1:33" s="56" customFormat="1" ht="14.25">
      <c r="A154" s="164"/>
      <c r="B154" s="164"/>
      <c r="C154" s="75"/>
      <c r="D154" s="173"/>
      <c r="E154" s="75"/>
      <c r="F154" s="75"/>
      <c r="G154" s="75"/>
      <c r="H154" s="75"/>
      <c r="I154" s="174"/>
      <c r="J154" s="175"/>
      <c r="K154" s="685"/>
      <c r="L154" s="669"/>
      <c r="M154" s="669"/>
      <c r="N154" s="669"/>
      <c r="O154" s="669"/>
      <c r="P154" s="669"/>
      <c r="Q154" s="669"/>
      <c r="R154" s="669"/>
      <c r="S154" s="669"/>
      <c r="T154" s="669"/>
      <c r="U154" s="669"/>
      <c r="V154" s="669"/>
      <c r="W154" s="669"/>
      <c r="X154" s="669"/>
      <c r="Y154" s="669"/>
      <c r="Z154" s="669"/>
      <c r="AA154" s="669"/>
      <c r="AB154" s="669"/>
      <c r="AC154" s="669"/>
      <c r="AD154" s="669"/>
      <c r="AE154" s="669"/>
    </row>
    <row r="155" spans="1:33" s="56" customFormat="1" ht="14.25">
      <c r="A155" s="164" t="s">
        <v>66</v>
      </c>
      <c r="B155" s="164"/>
      <c r="C155" s="75"/>
      <c r="D155" s="173"/>
      <c r="E155" s="75"/>
      <c r="F155" s="75"/>
      <c r="G155" s="75"/>
      <c r="H155" s="75"/>
      <c r="I155" s="174"/>
      <c r="J155" s="175"/>
      <c r="K155" s="685">
        <v>0</v>
      </c>
      <c r="L155" s="669">
        <f>SUM(L141,L153)</f>
        <v>0</v>
      </c>
      <c r="M155" s="669">
        <f>SUM(M141,M147,M153)</f>
        <v>85335.846153846156</v>
      </c>
      <c r="N155" s="669">
        <f t="shared" ref="N155:AE155" si="76">SUM(N141,N147,N153)</f>
        <v>87042.563076923077</v>
      </c>
      <c r="O155" s="669">
        <f t="shared" si="76"/>
        <v>88783.41433846156</v>
      </c>
      <c r="P155" s="669">
        <f t="shared" si="76"/>
        <v>90559.082625230774</v>
      </c>
      <c r="Q155" s="669">
        <f t="shared" si="76"/>
        <v>92370.264277735376</v>
      </c>
      <c r="R155" s="669">
        <f t="shared" si="76"/>
        <v>94217.669563290081</v>
      </c>
      <c r="S155" s="669">
        <f t="shared" si="76"/>
        <v>96102.022954555898</v>
      </c>
      <c r="T155" s="669">
        <f t="shared" si="76"/>
        <v>98024.063413647003</v>
      </c>
      <c r="U155" s="669">
        <f t="shared" si="76"/>
        <v>99984.544681919942</v>
      </c>
      <c r="V155" s="669">
        <f t="shared" si="76"/>
        <v>101984.23557555837</v>
      </c>
      <c r="W155" s="669">
        <f t="shared" si="76"/>
        <v>104023.92028706953</v>
      </c>
      <c r="X155" s="669">
        <f t="shared" si="76"/>
        <v>106104.39869281092</v>
      </c>
      <c r="Y155" s="669">
        <f t="shared" si="76"/>
        <v>108226.48666666714</v>
      </c>
      <c r="Z155" s="669">
        <f t="shared" si="76"/>
        <v>110391.01640000047</v>
      </c>
      <c r="AA155" s="669">
        <f t="shared" si="76"/>
        <v>112598.8367280005</v>
      </c>
      <c r="AB155" s="669">
        <f t="shared" si="76"/>
        <v>114850.8134625605</v>
      </c>
      <c r="AC155" s="669">
        <f t="shared" si="76"/>
        <v>117147.82973181173</v>
      </c>
      <c r="AD155" s="669">
        <f t="shared" si="76"/>
        <v>119490.78632644797</v>
      </c>
      <c r="AE155" s="669">
        <f t="shared" si="76"/>
        <v>121880.60205297693</v>
      </c>
    </row>
    <row r="156" spans="1:33" s="56" customFormat="1" ht="14.25">
      <c r="A156" s="164"/>
      <c r="B156" s="164"/>
      <c r="C156" s="75"/>
      <c r="D156" s="173"/>
      <c r="E156" s="75"/>
      <c r="F156" s="75"/>
      <c r="G156" s="75"/>
      <c r="H156" s="75"/>
      <c r="I156" s="174"/>
      <c r="J156" s="175"/>
      <c r="K156" s="685"/>
      <c r="L156" s="669"/>
      <c r="M156" s="669"/>
      <c r="N156" s="669"/>
      <c r="O156" s="669"/>
      <c r="P156" s="669"/>
      <c r="Q156" s="669"/>
      <c r="R156" s="669"/>
      <c r="S156" s="669"/>
      <c r="T156" s="669"/>
      <c r="U156" s="669"/>
      <c r="V156" s="669"/>
      <c r="W156" s="669"/>
      <c r="X156" s="669"/>
      <c r="Y156" s="669"/>
      <c r="Z156" s="669"/>
      <c r="AA156" s="669"/>
      <c r="AB156" s="669"/>
      <c r="AC156" s="669"/>
      <c r="AD156" s="669"/>
      <c r="AE156" s="669"/>
    </row>
    <row r="157" spans="1:33">
      <c r="A157" s="47" t="s">
        <v>7</v>
      </c>
      <c r="B157" s="47" t="s">
        <v>7</v>
      </c>
      <c r="C157" s="78" t="s">
        <v>7</v>
      </c>
      <c r="D157" s="100"/>
      <c r="E157" s="78" t="s">
        <v>7</v>
      </c>
      <c r="F157" s="78"/>
      <c r="G157" s="78" t="s">
        <v>7</v>
      </c>
      <c r="H157" s="78"/>
      <c r="I157" s="52" t="s">
        <v>7</v>
      </c>
      <c r="J157" s="114"/>
      <c r="K157" s="673"/>
      <c r="L157" s="672"/>
      <c r="M157" s="672"/>
      <c r="N157" s="672"/>
      <c r="O157" s="672"/>
      <c r="P157" s="672"/>
      <c r="Q157" s="672"/>
      <c r="R157" s="672"/>
      <c r="S157" s="672"/>
      <c r="T157" s="672"/>
      <c r="U157" s="672"/>
      <c r="V157" s="672"/>
      <c r="W157" s="672"/>
      <c r="X157" s="672"/>
      <c r="Y157" s="672"/>
      <c r="Z157" s="672"/>
      <c r="AA157" s="672"/>
      <c r="AB157" s="672"/>
      <c r="AC157" s="672"/>
      <c r="AD157" s="672"/>
      <c r="AE157" s="672"/>
    </row>
    <row r="158" spans="1:33">
      <c r="A158" s="47"/>
      <c r="B158" s="47"/>
      <c r="C158" s="78"/>
      <c r="D158" s="100"/>
      <c r="E158" s="78"/>
      <c r="F158" s="78"/>
      <c r="G158" s="78"/>
      <c r="H158" s="78"/>
      <c r="I158" s="52"/>
      <c r="J158" s="114"/>
      <c r="K158" s="664"/>
      <c r="L158" s="666"/>
      <c r="M158" s="666"/>
      <c r="N158" s="666"/>
      <c r="O158" s="666"/>
      <c r="P158" s="666"/>
      <c r="Q158" s="666"/>
      <c r="R158" s="666"/>
      <c r="S158" s="666"/>
      <c r="T158" s="666"/>
      <c r="U158" s="666"/>
      <c r="V158" s="666"/>
      <c r="W158" s="666"/>
      <c r="X158" s="666"/>
      <c r="Y158" s="666"/>
      <c r="Z158" s="666"/>
      <c r="AA158" s="666"/>
      <c r="AB158" s="666"/>
      <c r="AC158" s="666"/>
      <c r="AD158" s="666"/>
      <c r="AE158" s="666"/>
    </row>
    <row r="159" spans="1:33" s="56" customFormat="1" ht="14.25">
      <c r="A159" s="203" t="s">
        <v>79</v>
      </c>
      <c r="B159" s="203"/>
      <c r="C159" s="204"/>
      <c r="D159" s="205"/>
      <c r="E159" s="204"/>
      <c r="F159" s="204"/>
      <c r="G159" s="204"/>
      <c r="H159" s="204"/>
      <c r="I159" s="206"/>
      <c r="J159" s="207"/>
      <c r="K159" s="675">
        <v>0</v>
      </c>
      <c r="L159" s="676">
        <f t="shared" ref="L159:AE159" si="77">SUM(L132,L155)</f>
        <v>0</v>
      </c>
      <c r="M159" s="676">
        <f t="shared" si="77"/>
        <v>139905.84615384616</v>
      </c>
      <c r="N159" s="676">
        <f t="shared" si="77"/>
        <v>143817.19107692307</v>
      </c>
      <c r="O159" s="676">
        <f t="shared" si="77"/>
        <v>146693.53489846154</v>
      </c>
      <c r="P159" s="676">
        <f t="shared" si="77"/>
        <v>149627.40559643076</v>
      </c>
      <c r="Q159" s="676">
        <f t="shared" si="77"/>
        <v>152619.95370835939</v>
      </c>
      <c r="R159" s="676">
        <f t="shared" si="77"/>
        <v>155672.35278252655</v>
      </c>
      <c r="S159" s="676">
        <f t="shared" si="77"/>
        <v>158785.7998381771</v>
      </c>
      <c r="T159" s="676">
        <f t="shared" si="77"/>
        <v>161961.51583494066</v>
      </c>
      <c r="U159" s="676">
        <f t="shared" si="77"/>
        <v>165200.74615163944</v>
      </c>
      <c r="V159" s="676">
        <f t="shared" si="77"/>
        <v>168504.76107467228</v>
      </c>
      <c r="W159" s="676">
        <f t="shared" si="77"/>
        <v>171874.85629616573</v>
      </c>
      <c r="X159" s="676">
        <f t="shared" si="77"/>
        <v>175312.35342208904</v>
      </c>
      <c r="Y159" s="676">
        <f t="shared" si="77"/>
        <v>178818.60049053084</v>
      </c>
      <c r="Z159" s="676">
        <f t="shared" si="77"/>
        <v>182394.97250034142</v>
      </c>
      <c r="AA159" s="676">
        <f t="shared" si="77"/>
        <v>186042.87195034826</v>
      </c>
      <c r="AB159" s="676">
        <f t="shared" si="77"/>
        <v>189763.72938935523</v>
      </c>
      <c r="AC159" s="676">
        <f t="shared" si="77"/>
        <v>193559.00397714233</v>
      </c>
      <c r="AD159" s="676">
        <f t="shared" si="77"/>
        <v>197430.18405668519</v>
      </c>
      <c r="AE159" s="676">
        <f t="shared" si="77"/>
        <v>201378.7877378189</v>
      </c>
      <c r="AG159" s="199"/>
    </row>
    <row r="160" spans="1:33">
      <c r="K160" s="664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</row>
    <row r="161" spans="1:33">
      <c r="A161" s="47" t="s">
        <v>7</v>
      </c>
      <c r="B161" s="47" t="s">
        <v>7</v>
      </c>
      <c r="C161" s="78" t="s">
        <v>7</v>
      </c>
      <c r="D161" s="100"/>
      <c r="E161" s="78" t="s">
        <v>7</v>
      </c>
      <c r="F161" s="78"/>
      <c r="G161" s="78" t="s">
        <v>7</v>
      </c>
      <c r="H161" s="78"/>
      <c r="I161" s="52" t="s">
        <v>7</v>
      </c>
      <c r="J161" s="114"/>
      <c r="K161" s="673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</row>
    <row r="162" spans="1:33">
      <c r="K162" s="664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G162" s="199"/>
    </row>
    <row r="163" spans="1:33" s="56" customFormat="1" ht="14.25">
      <c r="A163" s="208" t="s">
        <v>115</v>
      </c>
      <c r="B163" s="208"/>
      <c r="C163" s="208"/>
      <c r="D163" s="202"/>
      <c r="E163" s="208"/>
      <c r="F163" s="208"/>
      <c r="G163" s="208"/>
      <c r="H163" s="208"/>
      <c r="I163" s="208"/>
      <c r="J163" s="208"/>
      <c r="K163" s="678">
        <f>SUM(K153,K113)</f>
        <v>0</v>
      </c>
      <c r="L163" s="678">
        <f t="shared" ref="L163:AE163" si="78">SUM(L113,L159)</f>
        <v>357416.66666666669</v>
      </c>
      <c r="M163" s="678">
        <f t="shared" si="78"/>
        <v>894419.34615384613</v>
      </c>
      <c r="N163" s="678">
        <f t="shared" si="78"/>
        <v>913431.16107692313</v>
      </c>
      <c r="O163" s="678">
        <f t="shared" si="78"/>
        <v>931699.78429846151</v>
      </c>
      <c r="P163" s="678">
        <f t="shared" si="78"/>
        <v>950333.77998443064</v>
      </c>
      <c r="Q163" s="678">
        <f t="shared" si="78"/>
        <v>997684.33437931933</v>
      </c>
      <c r="R163" s="678">
        <f t="shared" si="78"/>
        <v>1013101.1022765377</v>
      </c>
      <c r="S163" s="678">
        <f t="shared" si="78"/>
        <v>1033363.1243220684</v>
      </c>
      <c r="T163" s="678">
        <f t="shared" si="78"/>
        <v>1054030.3868085099</v>
      </c>
      <c r="U163" s="678">
        <f t="shared" si="78"/>
        <v>1075110.9945446802</v>
      </c>
      <c r="V163" s="678">
        <f t="shared" si="78"/>
        <v>1101003.7172255765</v>
      </c>
      <c r="W163" s="678">
        <f t="shared" si="78"/>
        <v>1118545.4787242853</v>
      </c>
      <c r="X163" s="678">
        <f t="shared" si="78"/>
        <v>1140916.3882987711</v>
      </c>
      <c r="Y163" s="678">
        <f t="shared" si="78"/>
        <v>1163734.7160647465</v>
      </c>
      <c r="Z163" s="678">
        <f t="shared" si="78"/>
        <v>1187009.4103860415</v>
      </c>
      <c r="AA163" s="678">
        <f t="shared" si="78"/>
        <v>1215076.6644246003</v>
      </c>
      <c r="AB163" s="678">
        <f t="shared" si="78"/>
        <v>1234964.5905656377</v>
      </c>
      <c r="AC163" s="678">
        <f t="shared" si="78"/>
        <v>1259663.8823769502</v>
      </c>
      <c r="AD163" s="678">
        <f t="shared" si="78"/>
        <v>1284857.1600244893</v>
      </c>
      <c r="AE163" s="678">
        <f t="shared" si="78"/>
        <v>1310554.3032249792</v>
      </c>
      <c r="AG163" s="199"/>
    </row>
    <row r="164" spans="1:33">
      <c r="K164" s="664"/>
      <c r="L164" s="666"/>
      <c r="M164" s="666"/>
      <c r="N164" s="666"/>
      <c r="O164" s="666"/>
      <c r="P164" s="666"/>
      <c r="Q164" s="666"/>
      <c r="R164" s="666"/>
      <c r="S164" s="666"/>
      <c r="T164" s="666"/>
      <c r="U164" s="666"/>
      <c r="V164" s="666"/>
      <c r="W164" s="666"/>
      <c r="X164" s="666"/>
      <c r="Y164" s="666"/>
      <c r="Z164" s="666"/>
      <c r="AA164" s="666"/>
      <c r="AB164" s="666"/>
      <c r="AC164" s="666"/>
      <c r="AD164" s="666"/>
      <c r="AE164" s="666"/>
      <c r="AG164" s="199"/>
    </row>
    <row r="165" spans="1:33">
      <c r="A165" s="251"/>
      <c r="B165" s="251"/>
      <c r="C165" s="251"/>
      <c r="D165" s="259"/>
      <c r="E165" s="251"/>
      <c r="F165" s="251"/>
      <c r="G165" s="251"/>
      <c r="H165" s="251"/>
      <c r="I165" s="251"/>
      <c r="J165" s="251"/>
      <c r="K165" s="679"/>
      <c r="L165" s="680"/>
      <c r="M165" s="680"/>
      <c r="N165" s="680"/>
      <c r="O165" s="680"/>
      <c r="P165" s="680"/>
      <c r="Q165" s="680"/>
      <c r="R165" s="680"/>
      <c r="S165" s="680"/>
      <c r="T165" s="680"/>
      <c r="U165" s="680"/>
      <c r="V165" s="680"/>
      <c r="W165" s="680"/>
      <c r="X165" s="680"/>
      <c r="Y165" s="680"/>
      <c r="Z165" s="680"/>
      <c r="AA165" s="680"/>
      <c r="AB165" s="680"/>
      <c r="AC165" s="680"/>
      <c r="AD165" s="680"/>
      <c r="AE165" s="680"/>
      <c r="AG165" s="199"/>
    </row>
    <row r="166" spans="1:33">
      <c r="K166" s="664"/>
      <c r="L166" s="666"/>
      <c r="M166" s="666"/>
      <c r="N166" s="666"/>
      <c r="O166" s="666"/>
      <c r="P166" s="666"/>
      <c r="Q166" s="666"/>
      <c r="R166" s="666"/>
      <c r="S166" s="666"/>
      <c r="T166" s="666"/>
      <c r="U166" s="666"/>
      <c r="V166" s="666"/>
      <c r="W166" s="666"/>
      <c r="X166" s="666"/>
      <c r="Y166" s="666"/>
      <c r="Z166" s="666"/>
      <c r="AA166" s="666"/>
      <c r="AB166" s="666"/>
      <c r="AC166" s="666"/>
      <c r="AD166" s="666"/>
      <c r="AE166" s="666"/>
      <c r="AG166" s="199"/>
    </row>
    <row r="167" spans="1:33">
      <c r="A167" s="249" t="s">
        <v>84</v>
      </c>
      <c r="B167" s="281"/>
      <c r="C167" s="281"/>
      <c r="D167" s="177"/>
      <c r="E167" s="281"/>
      <c r="F167" s="281"/>
      <c r="G167" s="281"/>
      <c r="H167" s="281"/>
      <c r="I167" s="281"/>
      <c r="J167" s="281"/>
      <c r="K167" s="681"/>
      <c r="L167" s="682"/>
      <c r="M167" s="682"/>
      <c r="N167" s="682"/>
      <c r="O167" s="682"/>
      <c r="P167" s="682"/>
      <c r="Q167" s="682"/>
      <c r="R167" s="682"/>
      <c r="S167" s="682"/>
      <c r="T167" s="682"/>
      <c r="U167" s="682"/>
      <c r="V167" s="682"/>
      <c r="W167" s="682"/>
      <c r="X167" s="682"/>
      <c r="Y167" s="682"/>
      <c r="Z167" s="682"/>
      <c r="AA167" s="682"/>
      <c r="AB167" s="682"/>
      <c r="AC167" s="682"/>
      <c r="AD167" s="682"/>
      <c r="AE167" s="682"/>
      <c r="AG167" s="199"/>
    </row>
    <row r="168" spans="1:33" s="252" customFormat="1">
      <c r="A168" s="257"/>
      <c r="D168" s="186"/>
      <c r="K168" s="664"/>
      <c r="L168" s="671"/>
      <c r="M168" s="671"/>
      <c r="N168" s="671"/>
      <c r="O168" s="671"/>
      <c r="P168" s="671"/>
      <c r="Q168" s="671"/>
      <c r="R168" s="671"/>
      <c r="S168" s="671"/>
      <c r="T168" s="671"/>
      <c r="U168" s="671"/>
      <c r="V168" s="671"/>
      <c r="W168" s="671"/>
      <c r="X168" s="671"/>
      <c r="Y168" s="671"/>
      <c r="Z168" s="671"/>
      <c r="AA168" s="671"/>
      <c r="AB168" s="671"/>
      <c r="AC168" s="671"/>
      <c r="AD168" s="671"/>
      <c r="AE168" s="671"/>
      <c r="AG168" s="363"/>
    </row>
    <row r="169" spans="1:33">
      <c r="A169" s="96" t="s">
        <v>136</v>
      </c>
      <c r="B169" s="37"/>
      <c r="C169" s="110"/>
      <c r="D169" s="106"/>
      <c r="E169" s="57"/>
      <c r="F169" s="57"/>
      <c r="G169" s="57"/>
      <c r="H169" s="57"/>
      <c r="I169" s="51"/>
      <c r="J169" s="44"/>
      <c r="K169" s="514"/>
      <c r="L169" s="515"/>
      <c r="M169" s="515"/>
      <c r="N169" s="515"/>
      <c r="O169" s="515"/>
      <c r="P169" s="515"/>
      <c r="Q169" s="515"/>
      <c r="R169" s="515"/>
      <c r="S169" s="515"/>
      <c r="T169" s="515"/>
      <c r="U169" s="515"/>
      <c r="V169" s="515"/>
      <c r="W169" s="515"/>
      <c r="X169" s="515"/>
      <c r="Y169" s="515"/>
      <c r="Z169" s="515"/>
      <c r="AA169" s="515"/>
      <c r="AB169" s="515"/>
      <c r="AC169" s="515"/>
      <c r="AD169" s="515"/>
      <c r="AE169" s="515"/>
      <c r="AG169" s="199"/>
    </row>
    <row r="170" spans="1:33">
      <c r="A170" s="37" t="s">
        <v>456</v>
      </c>
      <c r="K170" s="683">
        <v>0</v>
      </c>
      <c r="L170" s="663">
        <v>0</v>
      </c>
      <c r="M170" s="663">
        <f>59545</f>
        <v>59545</v>
      </c>
      <c r="N170" s="663">
        <f t="shared" ref="N170:AE170" si="79">$M$170*L11</f>
        <v>60735.9</v>
      </c>
      <c r="O170" s="663">
        <f t="shared" si="79"/>
        <v>61950.618000000002</v>
      </c>
      <c r="P170" s="663">
        <f t="shared" si="79"/>
        <v>63189.630359999996</v>
      </c>
      <c r="Q170" s="663">
        <f t="shared" si="79"/>
        <v>64453.4229672</v>
      </c>
      <c r="R170" s="663">
        <f t="shared" si="79"/>
        <v>65742.491426544002</v>
      </c>
      <c r="S170" s="663">
        <f t="shared" si="79"/>
        <v>67057.341255074891</v>
      </c>
      <c r="T170" s="663">
        <f t="shared" si="79"/>
        <v>68398.488080176379</v>
      </c>
      <c r="U170" s="663">
        <f t="shared" si="79"/>
        <v>69766.45784177992</v>
      </c>
      <c r="V170" s="663">
        <f t="shared" si="79"/>
        <v>71161.786998615513</v>
      </c>
      <c r="W170" s="663">
        <f t="shared" si="79"/>
        <v>72585.022738587824</v>
      </c>
      <c r="X170" s="663">
        <f t="shared" si="79"/>
        <v>74036.723193359576</v>
      </c>
      <c r="Y170" s="663">
        <f t="shared" si="79"/>
        <v>75517.457657226769</v>
      </c>
      <c r="Z170" s="663">
        <f t="shared" si="79"/>
        <v>77027.806810371301</v>
      </c>
      <c r="AA170" s="663">
        <f t="shared" si="79"/>
        <v>78568.362946578738</v>
      </c>
      <c r="AB170" s="663">
        <f t="shared" si="79"/>
        <v>80139.730205510321</v>
      </c>
      <c r="AC170" s="663">
        <f t="shared" si="79"/>
        <v>81742.524809620518</v>
      </c>
      <c r="AD170" s="663">
        <f t="shared" si="79"/>
        <v>83377.375305812937</v>
      </c>
      <c r="AE170" s="663">
        <f t="shared" si="79"/>
        <v>85044.922811929195</v>
      </c>
    </row>
    <row r="171" spans="1:33">
      <c r="K171" s="684"/>
    </row>
    <row r="172" spans="1:33">
      <c r="A172" s="1103" t="s">
        <v>576</v>
      </c>
      <c r="K172" s="683">
        <v>0</v>
      </c>
      <c r="L172" s="882">
        <f>'Capital Financing'!$B$22</f>
        <v>666572.76</v>
      </c>
      <c r="M172" s="882">
        <f>'Capital Financing'!$B$22</f>
        <v>666572.76</v>
      </c>
      <c r="N172" s="882">
        <f>'Capital Financing'!$B$22</f>
        <v>666572.76</v>
      </c>
      <c r="O172" s="882">
        <f>'Capital Financing'!$B$22</f>
        <v>666572.76</v>
      </c>
      <c r="P172" s="882">
        <f>'Capital Financing'!$B$22</f>
        <v>666572.76</v>
      </c>
      <c r="Q172" s="882">
        <f>'Capital Financing'!$B$22</f>
        <v>666572.76</v>
      </c>
      <c r="R172" s="882">
        <f>'Capital Financing'!$B$22</f>
        <v>666572.76</v>
      </c>
      <c r="S172" s="882">
        <f>'Capital Financing'!$B$22</f>
        <v>666572.76</v>
      </c>
      <c r="T172" s="882">
        <f>'Capital Financing'!$B$22</f>
        <v>666572.76</v>
      </c>
      <c r="U172" s="882">
        <f>'Capital Financing'!$B$22</f>
        <v>666572.76</v>
      </c>
      <c r="V172" s="882">
        <f>'Capital Financing'!$B$22</f>
        <v>666572.76</v>
      </c>
      <c r="W172" s="882">
        <f>'Capital Financing'!$B$22</f>
        <v>666572.76</v>
      </c>
      <c r="X172" s="882">
        <f>'Capital Financing'!$B$22</f>
        <v>666572.76</v>
      </c>
      <c r="Y172" s="882">
        <f>'Capital Financing'!$B$22</f>
        <v>666572.76</v>
      </c>
      <c r="Z172" s="882">
        <f>'Capital Financing'!$B$22</f>
        <v>666572.76</v>
      </c>
      <c r="AA172" s="882">
        <f>'Capital Financing'!$B$22</f>
        <v>666572.76</v>
      </c>
      <c r="AB172" s="882">
        <f>'Capital Financing'!$B$22</f>
        <v>666572.76</v>
      </c>
      <c r="AC172" s="882">
        <f>'Capital Financing'!$B$22</f>
        <v>666572.76</v>
      </c>
      <c r="AD172" s="882">
        <f>'Capital Financing'!$B$22</f>
        <v>666572.76</v>
      </c>
      <c r="AE172" s="882">
        <f>'Capital Financing'!$B$22</f>
        <v>666572.76</v>
      </c>
    </row>
    <row r="173" spans="1:33" s="702" customFormat="1">
      <c r="A173" s="341" t="s">
        <v>315</v>
      </c>
      <c r="B173" s="701"/>
      <c r="C173" s="703"/>
      <c r="D173" s="704"/>
      <c r="E173" s="705"/>
      <c r="F173" s="705"/>
      <c r="G173" s="705"/>
      <c r="H173" s="705"/>
      <c r="I173" s="706"/>
      <c r="J173" s="707"/>
      <c r="K173" s="699">
        <v>0</v>
      </c>
      <c r="L173" s="700">
        <v>0</v>
      </c>
      <c r="M173" s="700">
        <v>0</v>
      </c>
      <c r="N173" s="700">
        <v>0</v>
      </c>
      <c r="O173" s="700">
        <v>0</v>
      </c>
      <c r="P173" s="700">
        <v>0</v>
      </c>
      <c r="Q173" s="700">
        <v>0</v>
      </c>
      <c r="R173" s="700">
        <v>0</v>
      </c>
      <c r="S173" s="700">
        <v>0</v>
      </c>
      <c r="T173" s="700">
        <v>0</v>
      </c>
      <c r="U173" s="700">
        <v>0</v>
      </c>
      <c r="V173" s="700">
        <v>0</v>
      </c>
      <c r="W173" s="700">
        <v>0</v>
      </c>
      <c r="X173" s="700">
        <v>0</v>
      </c>
      <c r="Y173" s="700">
        <v>0</v>
      </c>
      <c r="Z173" s="700">
        <v>0</v>
      </c>
      <c r="AA173" s="700">
        <v>0</v>
      </c>
      <c r="AB173" s="700">
        <v>0</v>
      </c>
      <c r="AC173" s="700">
        <v>0</v>
      </c>
      <c r="AD173" s="700">
        <v>0</v>
      </c>
      <c r="AE173" s="700">
        <v>0</v>
      </c>
      <c r="AG173" s="708"/>
    </row>
    <row r="174" spans="1:33">
      <c r="A174" s="180" t="s">
        <v>316</v>
      </c>
      <c r="B174" s="180"/>
      <c r="C174" s="180"/>
      <c r="D174" s="116"/>
      <c r="E174" s="180"/>
      <c r="F174" s="180"/>
      <c r="G174" s="180"/>
      <c r="H174" s="180"/>
      <c r="I174" s="180"/>
      <c r="J174" s="180"/>
      <c r="K174" s="505">
        <v>0</v>
      </c>
      <c r="L174" s="506">
        <v>246000</v>
      </c>
      <c r="M174" s="506">
        <v>246000</v>
      </c>
      <c r="N174" s="506">
        <v>246000</v>
      </c>
      <c r="O174" s="506">
        <v>246000</v>
      </c>
      <c r="P174" s="506">
        <v>246000</v>
      </c>
      <c r="Q174" s="506">
        <v>246000</v>
      </c>
      <c r="R174" s="506">
        <v>246000</v>
      </c>
      <c r="S174" s="506">
        <v>246000</v>
      </c>
      <c r="T174" s="506">
        <v>246000</v>
      </c>
      <c r="U174" s="506">
        <v>246000</v>
      </c>
      <c r="V174" s="506">
        <v>246000</v>
      </c>
      <c r="W174" s="506">
        <v>246000</v>
      </c>
      <c r="X174" s="506">
        <v>246000</v>
      </c>
      <c r="Y174" s="506">
        <v>246000</v>
      </c>
      <c r="Z174" s="506">
        <v>246000</v>
      </c>
      <c r="AA174" s="506">
        <v>246000</v>
      </c>
      <c r="AB174" s="506">
        <v>246000</v>
      </c>
      <c r="AC174" s="506">
        <v>246000</v>
      </c>
      <c r="AD174" s="506">
        <v>246000</v>
      </c>
      <c r="AE174" s="506">
        <v>246000</v>
      </c>
      <c r="AG174" s="199"/>
    </row>
    <row r="175" spans="1:33" s="56" customFormat="1" ht="14.25">
      <c r="A175" s="56" t="s">
        <v>134</v>
      </c>
      <c r="D175" s="173"/>
      <c r="K175" s="524">
        <f t="shared" ref="K175:AE175" si="80">SUM(K169:K174)</f>
        <v>0</v>
      </c>
      <c r="L175" s="525">
        <f t="shared" si="80"/>
        <v>912572.76</v>
      </c>
      <c r="M175" s="525">
        <f t="shared" si="80"/>
        <v>972117.76</v>
      </c>
      <c r="N175" s="525">
        <f t="shared" si="80"/>
        <v>973308.66</v>
      </c>
      <c r="O175" s="525">
        <f t="shared" si="80"/>
        <v>974523.37800000003</v>
      </c>
      <c r="P175" s="525">
        <f t="shared" si="80"/>
        <v>975762.39035999996</v>
      </c>
      <c r="Q175" s="525">
        <f t="shared" si="80"/>
        <v>977026.18296720006</v>
      </c>
      <c r="R175" s="525">
        <f t="shared" si="80"/>
        <v>978315.25142654404</v>
      </c>
      <c r="S175" s="525">
        <f t="shared" si="80"/>
        <v>979630.10125507484</v>
      </c>
      <c r="T175" s="525">
        <f t="shared" si="80"/>
        <v>980971.24808017642</v>
      </c>
      <c r="U175" s="525">
        <f t="shared" si="80"/>
        <v>982339.21784177993</v>
      </c>
      <c r="V175" s="525">
        <f t="shared" si="80"/>
        <v>983734.54699861549</v>
      </c>
      <c r="W175" s="525">
        <f t="shared" si="80"/>
        <v>985157.78273858782</v>
      </c>
      <c r="X175" s="525">
        <f t="shared" si="80"/>
        <v>986609.48319335957</v>
      </c>
      <c r="Y175" s="525">
        <f t="shared" si="80"/>
        <v>988090.21765722684</v>
      </c>
      <c r="Z175" s="525">
        <f t="shared" si="80"/>
        <v>989600.56681037135</v>
      </c>
      <c r="AA175" s="525">
        <f t="shared" si="80"/>
        <v>991141.12294657878</v>
      </c>
      <c r="AB175" s="525">
        <f t="shared" si="80"/>
        <v>992712.49020551029</v>
      </c>
      <c r="AC175" s="525">
        <f t="shared" si="80"/>
        <v>994315.28480962059</v>
      </c>
      <c r="AD175" s="525">
        <f t="shared" si="80"/>
        <v>995950.13530581293</v>
      </c>
      <c r="AE175" s="525">
        <f t="shared" si="80"/>
        <v>997617.68281192915</v>
      </c>
      <c r="AG175" s="199"/>
    </row>
    <row r="176" spans="1:33">
      <c r="K176" s="683"/>
      <c r="L176" s="666"/>
      <c r="M176" s="666"/>
      <c r="N176" s="666"/>
      <c r="O176" s="666"/>
      <c r="P176" s="666"/>
      <c r="Q176" s="666"/>
      <c r="R176" s="666"/>
      <c r="S176" s="666"/>
      <c r="T176" s="666"/>
      <c r="U176" s="666"/>
      <c r="V176" s="666"/>
      <c r="W176" s="666"/>
      <c r="X176" s="666"/>
      <c r="Y176" s="666"/>
      <c r="Z176" s="666"/>
      <c r="AA176" s="666"/>
      <c r="AB176" s="666"/>
      <c r="AC176" s="666"/>
      <c r="AD176" s="666"/>
      <c r="AE176" s="666"/>
      <c r="AG176" s="199"/>
    </row>
    <row r="177" spans="1:33" s="56" customFormat="1" ht="14.25">
      <c r="A177" s="208" t="s">
        <v>86</v>
      </c>
      <c r="B177" s="718">
        <f>SUM(L177:AE177)</f>
        <v>19611496.263408393</v>
      </c>
      <c r="C177" s="208"/>
      <c r="D177" s="202"/>
      <c r="E177" s="208"/>
      <c r="F177" s="208"/>
      <c r="G177" s="208"/>
      <c r="H177" s="208"/>
      <c r="I177" s="208"/>
      <c r="J177" s="208"/>
      <c r="K177" s="678">
        <f>SUM(K171:K171)</f>
        <v>0</v>
      </c>
      <c r="L177" s="678">
        <f>L175</f>
        <v>912572.76</v>
      </c>
      <c r="M177" s="678">
        <f t="shared" ref="M177:AE177" si="81">M175</f>
        <v>972117.76</v>
      </c>
      <c r="N177" s="678">
        <f t="shared" si="81"/>
        <v>973308.66</v>
      </c>
      <c r="O177" s="678">
        <f t="shared" si="81"/>
        <v>974523.37800000003</v>
      </c>
      <c r="P177" s="678">
        <f t="shared" si="81"/>
        <v>975762.39035999996</v>
      </c>
      <c r="Q177" s="678">
        <f t="shared" si="81"/>
        <v>977026.18296720006</v>
      </c>
      <c r="R177" s="678">
        <f t="shared" si="81"/>
        <v>978315.25142654404</v>
      </c>
      <c r="S177" s="678">
        <f t="shared" si="81"/>
        <v>979630.10125507484</v>
      </c>
      <c r="T177" s="678">
        <f t="shared" si="81"/>
        <v>980971.24808017642</v>
      </c>
      <c r="U177" s="678">
        <f t="shared" si="81"/>
        <v>982339.21784177993</v>
      </c>
      <c r="V177" s="678">
        <f t="shared" si="81"/>
        <v>983734.54699861549</v>
      </c>
      <c r="W177" s="678">
        <f t="shared" si="81"/>
        <v>985157.78273858782</v>
      </c>
      <c r="X177" s="678">
        <f t="shared" si="81"/>
        <v>986609.48319335957</v>
      </c>
      <c r="Y177" s="678">
        <f t="shared" si="81"/>
        <v>988090.21765722684</v>
      </c>
      <c r="Z177" s="678">
        <f t="shared" si="81"/>
        <v>989600.56681037135</v>
      </c>
      <c r="AA177" s="678">
        <f t="shared" si="81"/>
        <v>991141.12294657878</v>
      </c>
      <c r="AB177" s="678">
        <f t="shared" si="81"/>
        <v>992712.49020551029</v>
      </c>
      <c r="AC177" s="678">
        <f t="shared" si="81"/>
        <v>994315.28480962059</v>
      </c>
      <c r="AD177" s="678">
        <f t="shared" si="81"/>
        <v>995950.13530581293</v>
      </c>
      <c r="AE177" s="678">
        <f t="shared" si="81"/>
        <v>997617.68281192915</v>
      </c>
      <c r="AG177" s="199"/>
    </row>
    <row r="178" spans="1:33">
      <c r="K178" s="662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1"/>
      <c r="Y178" s="201"/>
      <c r="Z178" s="201"/>
      <c r="AA178" s="201"/>
      <c r="AB178" s="201"/>
      <c r="AC178" s="201"/>
      <c r="AD178" s="201"/>
      <c r="AE178" s="201"/>
    </row>
    <row r="179" spans="1:33">
      <c r="A179" s="251"/>
      <c r="B179" s="251"/>
      <c r="C179" s="251"/>
      <c r="D179" s="259"/>
      <c r="E179" s="251"/>
      <c r="F179" s="251"/>
      <c r="G179" s="251"/>
      <c r="H179" s="251"/>
      <c r="I179" s="251"/>
      <c r="J179" s="251"/>
      <c r="K179" s="324"/>
      <c r="L179" s="325"/>
      <c r="M179" s="325"/>
      <c r="N179" s="325"/>
      <c r="O179" s="325"/>
      <c r="P179" s="325"/>
      <c r="Q179" s="325"/>
      <c r="R179" s="325"/>
      <c r="S179" s="325"/>
      <c r="T179" s="325"/>
      <c r="U179" s="325"/>
      <c r="V179" s="325"/>
      <c r="W179" s="325"/>
      <c r="X179" s="325"/>
      <c r="Y179" s="325"/>
      <c r="Z179" s="325"/>
      <c r="AA179" s="325"/>
      <c r="AB179" s="325"/>
      <c r="AC179" s="325"/>
      <c r="AD179" s="325"/>
      <c r="AE179" s="325"/>
    </row>
    <row r="180" spans="1:33">
      <c r="K180" s="322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</row>
    <row r="181" spans="1:33">
      <c r="A181"/>
      <c r="K181" s="322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</row>
    <row r="182" spans="1:33">
      <c r="A182"/>
      <c r="K182" s="322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  <c r="AA182" s="201"/>
      <c r="AB182" s="201"/>
      <c r="AC182" s="201"/>
      <c r="AD182" s="201"/>
      <c r="AE182" s="201"/>
    </row>
    <row r="183" spans="1:33">
      <c r="K183" s="322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</row>
    <row r="184" spans="1:33">
      <c r="K184" s="322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  <c r="AA184" s="201"/>
      <c r="AB184" s="201"/>
      <c r="AC184" s="201"/>
      <c r="AD184" s="201"/>
      <c r="AE184" s="201"/>
    </row>
    <row r="185" spans="1:33">
      <c r="K185" s="322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</row>
    <row r="186" spans="1:33">
      <c r="K186" s="322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</row>
    <row r="187" spans="1:33">
      <c r="K187" s="322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</row>
    <row r="188" spans="1:33">
      <c r="K188" s="322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</row>
    <row r="189" spans="1:33">
      <c r="K189" s="322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</row>
    <row r="190" spans="1:33">
      <c r="K190" s="322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</row>
    <row r="191" spans="1:33">
      <c r="K191" s="322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</row>
    <row r="192" spans="1:33">
      <c r="K192" s="322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</row>
    <row r="193" spans="11:31">
      <c r="K193" s="322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201"/>
      <c r="AE193" s="201"/>
    </row>
    <row r="194" spans="11:31">
      <c r="K194" s="322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1"/>
      <c r="Z194" s="201"/>
      <c r="AA194" s="201"/>
      <c r="AB194" s="201"/>
      <c r="AC194" s="201"/>
      <c r="AD194" s="201"/>
      <c r="AE194" s="201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A421"/>
  <sheetViews>
    <sheetView zoomScale="55" zoomScaleNormal="55" workbookViewId="0">
      <selection activeCell="H353" sqref="H353:H400"/>
    </sheetView>
  </sheetViews>
  <sheetFormatPr defaultColWidth="9" defaultRowHeight="16.5"/>
  <cols>
    <col min="1" max="1" width="47" style="18" bestFit="1" customWidth="1"/>
    <col min="2" max="2" width="9.5" style="18" bestFit="1" customWidth="1"/>
    <col min="3" max="3" width="16.5" style="18" bestFit="1" customWidth="1"/>
    <col min="4" max="4" width="14.875" style="18" bestFit="1" customWidth="1"/>
    <col min="5" max="5" width="16" style="18" bestFit="1" customWidth="1"/>
    <col min="6" max="6" width="16.5" style="18" bestFit="1" customWidth="1"/>
    <col min="7" max="7" width="15.75" style="18" bestFit="1" customWidth="1"/>
    <col min="8" max="11" width="14.625" style="18" bestFit="1" customWidth="1"/>
    <col min="12" max="13" width="14.5" style="18" bestFit="1" customWidth="1"/>
    <col min="14" max="15" width="14.625" style="18" bestFit="1" customWidth="1"/>
    <col min="16" max="16" width="14.5" style="18" bestFit="1" customWidth="1"/>
    <col min="17" max="17" width="14.625" style="18" bestFit="1" customWidth="1"/>
    <col min="18" max="18" width="14" style="18" bestFit="1" customWidth="1"/>
    <col min="19" max="19" width="15.625" style="18" bestFit="1" customWidth="1"/>
    <col min="20" max="22" width="15.125" style="18" bestFit="1" customWidth="1"/>
    <col min="23" max="23" width="17.375" style="899" bestFit="1" customWidth="1"/>
    <col min="24" max="24" width="13" style="900" bestFit="1" customWidth="1"/>
    <col min="25" max="25" width="9" style="900"/>
    <col min="26" max="26" width="13" style="900" bestFit="1" customWidth="1"/>
    <col min="27" max="27" width="13.125" style="900" bestFit="1" customWidth="1"/>
    <col min="28" max="16384" width="9" style="18"/>
  </cols>
  <sheetData>
    <row r="1" spans="1:27" ht="18.75" thickBot="1">
      <c r="A1" s="11" t="str">
        <f>Intro!A1</f>
        <v>Town of Bar Harbor</v>
      </c>
      <c r="B1" s="2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</row>
    <row r="2" spans="1:27" ht="17.25" thickBot="1">
      <c r="A2" s="380" t="str">
        <f>Intro!A2</f>
        <v>Ferry Property Business Plan</v>
      </c>
      <c r="B2" s="13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</row>
    <row r="3" spans="1:27" s="381" customFormat="1" ht="14.25" thickBot="1">
      <c r="A3" s="384" t="str">
        <f>Intro!A3</f>
        <v>05.23.2018</v>
      </c>
      <c r="B3" s="382"/>
      <c r="C3" s="387"/>
      <c r="D3" s="387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901"/>
      <c r="X3" s="902"/>
      <c r="Y3" s="902"/>
      <c r="Z3" s="902"/>
      <c r="AA3" s="902"/>
    </row>
    <row r="4" spans="1:27" s="381" customFormat="1" ht="13.5">
      <c r="A4" s="384" t="str">
        <f ca="1">Intro!A4</f>
        <v>Town of Bar Harbor</v>
      </c>
      <c r="B4" s="382"/>
      <c r="C4" s="387"/>
      <c r="D4" s="387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  <c r="Q4" s="387"/>
      <c r="R4" s="387"/>
      <c r="S4" s="387"/>
      <c r="T4" s="387"/>
      <c r="U4" s="387"/>
      <c r="V4" s="387"/>
      <c r="W4" s="901"/>
      <c r="X4" s="902"/>
      <c r="Y4" s="902"/>
      <c r="Z4" s="902"/>
      <c r="AA4" s="902"/>
    </row>
    <row r="5" spans="1:27">
      <c r="A5" s="244" t="s">
        <v>344</v>
      </c>
      <c r="B5" s="244"/>
      <c r="C5" s="245"/>
      <c r="D5" s="245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</row>
    <row r="7" spans="1:27">
      <c r="A7" s="29"/>
      <c r="B7" s="72"/>
      <c r="C7" s="71">
        <v>2019</v>
      </c>
      <c r="D7" s="71">
        <v>2020</v>
      </c>
      <c r="E7" s="71">
        <v>2021</v>
      </c>
      <c r="F7" s="71">
        <v>2022</v>
      </c>
      <c r="G7" s="71">
        <v>2023</v>
      </c>
      <c r="H7" s="71">
        <v>2024</v>
      </c>
      <c r="I7" s="71">
        <v>2025</v>
      </c>
      <c r="J7" s="71">
        <v>2026</v>
      </c>
      <c r="K7" s="71">
        <v>2027</v>
      </c>
      <c r="L7" s="71">
        <v>2028</v>
      </c>
      <c r="M7" s="71">
        <v>2029</v>
      </c>
      <c r="N7" s="71">
        <v>2030</v>
      </c>
      <c r="O7" s="71">
        <v>2031</v>
      </c>
      <c r="P7" s="71">
        <v>2032</v>
      </c>
      <c r="Q7" s="71">
        <v>2033</v>
      </c>
      <c r="R7" s="71">
        <v>2034</v>
      </c>
      <c r="S7" s="71">
        <v>2035</v>
      </c>
      <c r="T7" s="71">
        <v>2036</v>
      </c>
      <c r="U7" s="71">
        <v>2037</v>
      </c>
      <c r="V7" s="71">
        <v>2038</v>
      </c>
    </row>
    <row r="9" spans="1:27">
      <c r="A9" s="266" t="s">
        <v>349</v>
      </c>
      <c r="B9" s="266"/>
      <c r="C9" s="268"/>
      <c r="D9" s="268"/>
      <c r="E9" s="268"/>
      <c r="F9" s="268"/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/>
      <c r="U9" s="268"/>
      <c r="V9" s="268"/>
      <c r="W9" s="903"/>
    </row>
    <row r="10" spans="1:27" s="32" customFormat="1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903"/>
      <c r="X10" s="904"/>
      <c r="Y10" s="904"/>
      <c r="Z10" s="904"/>
      <c r="AA10" s="904"/>
    </row>
    <row r="11" spans="1:27">
      <c r="A11" s="32" t="s">
        <v>148</v>
      </c>
      <c r="B11" s="32"/>
      <c r="C11" s="625">
        <f>'P&amp;L - Concept A1'!E119</f>
        <v>58025</v>
      </c>
      <c r="D11" s="625">
        <f>'P&amp;L - Concept A1'!F119</f>
        <v>609067.14306875004</v>
      </c>
      <c r="E11" s="625">
        <f>'P&amp;L - Concept A1'!G119</f>
        <v>721738.48593012511</v>
      </c>
      <c r="F11" s="625">
        <f>'P&amp;L - Concept A1'!H119</f>
        <v>734153.25564872741</v>
      </c>
      <c r="G11" s="625">
        <f>'P&amp;L - Concept A1'!I119</f>
        <v>746816.32076170202</v>
      </c>
      <c r="H11" s="625">
        <f>'P&amp;L - Concept A1'!J119</f>
        <v>1006648.1471769362</v>
      </c>
      <c r="I11" s="625">
        <f>'P&amp;L - Concept A1'!K119</f>
        <v>1019822.8001204749</v>
      </c>
      <c r="J11" s="625">
        <f>'P&amp;L - Concept A1'!L119</f>
        <v>1033260.9461228843</v>
      </c>
      <c r="K11" s="625">
        <f>'P&amp;L - Concept A1'!M119</f>
        <v>1046967.8550453421</v>
      </c>
      <c r="L11" s="625">
        <f>'P&amp;L - Concept A1'!N119</f>
        <v>1060948.9021462488</v>
      </c>
      <c r="M11" s="625">
        <f>'P&amp;L - Concept A1'!O119</f>
        <v>1137525.9451891738</v>
      </c>
      <c r="N11" s="625">
        <f>'P&amp;L - Concept A1'!P119</f>
        <v>1152071.8265929574</v>
      </c>
      <c r="O11" s="625">
        <f>'P&amp;L - Concept A1'!Q119</f>
        <v>1166908.6256248164</v>
      </c>
      <c r="P11" s="625">
        <f>'P&amp;L - Concept A1'!R119</f>
        <v>1182042.1606373126</v>
      </c>
      <c r="Q11" s="625">
        <f>'P&amp;L - Concept A1'!S119</f>
        <v>1197478.3663500592</v>
      </c>
      <c r="R11" s="625">
        <f>'P&amp;L - Concept A1'!T119</f>
        <v>1275639.6711770603</v>
      </c>
      <c r="S11" s="625">
        <f>'P&amp;L - Concept A1'!U119</f>
        <v>1291699.4996006014</v>
      </c>
      <c r="T11" s="625">
        <f>'P&amp;L - Concept A1'!V119</f>
        <v>1308080.5245926136</v>
      </c>
      <c r="U11" s="625">
        <f>'P&amp;L - Concept A1'!W119</f>
        <v>1324789.170084466</v>
      </c>
      <c r="V11" s="625">
        <f>'P&amp;L - Concept A1'!X119</f>
        <v>1341831.9884861552</v>
      </c>
      <c r="W11" s="903">
        <f t="shared" ref="W11:W18" si="0">SUM(C11:V11)</f>
        <v>20415516.634356406</v>
      </c>
    </row>
    <row r="12" spans="1:27">
      <c r="A12" s="369" t="s">
        <v>140</v>
      </c>
      <c r="B12" s="369"/>
      <c r="C12" s="626">
        <f>'P&amp;L - Concept A1'!E152</f>
        <v>357416.66666666663</v>
      </c>
      <c r="D12" s="626">
        <f>'P&amp;L - Concept A1'!F152</f>
        <v>872654.34615384613</v>
      </c>
      <c r="E12" s="626">
        <f>'P&amp;L - Concept A1'!G152</f>
        <v>891230.86107692309</v>
      </c>
      <c r="F12" s="626">
        <f>'P&amp;L - Concept A1'!H152</f>
        <v>909055.47829846141</v>
      </c>
      <c r="G12" s="626">
        <f>'P&amp;L - Concept A1'!I152</f>
        <v>927236.58786443074</v>
      </c>
      <c r="H12" s="626">
        <f>'P&amp;L - Concept A1'!J152</f>
        <v>974125.19841691933</v>
      </c>
      <c r="I12" s="626">
        <f>'P&amp;L - Concept A1'!K152</f>
        <v>989070.7835948898</v>
      </c>
      <c r="J12" s="626">
        <f>'P&amp;L - Concept A1'!L152</f>
        <v>1008852.1992667876</v>
      </c>
      <c r="K12" s="626">
        <f>'P&amp;L - Concept A1'!M152</f>
        <v>1029029.2432521235</v>
      </c>
      <c r="L12" s="626">
        <f>'P&amp;L - Concept A1'!N152</f>
        <v>1049609.8281171657</v>
      </c>
      <c r="M12" s="626">
        <f>'P&amp;L - Concept A1'!O152</f>
        <v>1074992.5274695118</v>
      </c>
      <c r="N12" s="626">
        <f>'P&amp;L - Concept A1'!P152</f>
        <v>1092014.0651730995</v>
      </c>
      <c r="O12" s="626">
        <f>'P&amp;L - Concept A1'!Q152</f>
        <v>1113854.3464765614</v>
      </c>
      <c r="P12" s="626">
        <f>'P&amp;L - Concept A1'!R152</f>
        <v>1136131.4334060927</v>
      </c>
      <c r="Q12" s="626">
        <f>'P&amp;L - Concept A1'!S152</f>
        <v>1158854.0620742145</v>
      </c>
      <c r="R12" s="626">
        <f>'P&amp;L - Concept A1'!T152</f>
        <v>1186358.2091465369</v>
      </c>
      <c r="S12" s="626">
        <f>'P&amp;L - Concept A1'!U152</f>
        <v>1205671.7661820129</v>
      </c>
      <c r="T12" s="626">
        <f>'P&amp;L - Concept A1'!V152</f>
        <v>1229785.2015056531</v>
      </c>
      <c r="U12" s="626">
        <f>'P&amp;L - Concept A1'!W152</f>
        <v>1254380.9055357664</v>
      </c>
      <c r="V12" s="626">
        <f>'P&amp;L - Concept A1'!X152</f>
        <v>1279468.5236464816</v>
      </c>
      <c r="W12" s="903">
        <f t="shared" si="0"/>
        <v>20739792.23332414</v>
      </c>
    </row>
    <row r="13" spans="1:27">
      <c r="A13" s="26" t="s">
        <v>116</v>
      </c>
      <c r="B13" s="26"/>
      <c r="C13" s="625">
        <f>'P&amp;L - Concept A1'!E156</f>
        <v>-299391.66666666663</v>
      </c>
      <c r="D13" s="625">
        <f>'P&amp;L - Concept A1'!F156</f>
        <v>-263587.20308509609</v>
      </c>
      <c r="E13" s="625">
        <f>'P&amp;L - Concept A1'!G156</f>
        <v>-169492.37514679797</v>
      </c>
      <c r="F13" s="625">
        <f>'P&amp;L - Concept A1'!H156</f>
        <v>-174902.222649734</v>
      </c>
      <c r="G13" s="625">
        <f>'P&amp;L - Concept A1'!I156</f>
        <v>-180420.26710272871</v>
      </c>
      <c r="H13" s="625">
        <f>'P&amp;L - Concept A1'!J156</f>
        <v>32522.948760016821</v>
      </c>
      <c r="I13" s="625">
        <f>'P&amp;L - Concept A1'!K156</f>
        <v>30752.016525585088</v>
      </c>
      <c r="J13" s="625">
        <f>'P&amp;L - Concept A1'!L156</f>
        <v>24408.746856096666</v>
      </c>
      <c r="K13" s="625">
        <f>'P&amp;L - Concept A1'!M156</f>
        <v>17938.611793218646</v>
      </c>
      <c r="L13" s="625">
        <f>'P&amp;L - Concept A1'!N156</f>
        <v>11339.074029083131</v>
      </c>
      <c r="M13" s="625">
        <f>'P&amp;L - Concept A1'!O156</f>
        <v>62533.417719661957</v>
      </c>
      <c r="N13" s="625">
        <f>'P&amp;L - Concept A1'!P156</f>
        <v>60057.761419857852</v>
      </c>
      <c r="O13" s="625">
        <f>'P&amp;L - Concept A1'!Q156</f>
        <v>53054.279148255009</v>
      </c>
      <c r="P13" s="625">
        <f>'P&amp;L - Concept A1'!R156</f>
        <v>45910.727231219877</v>
      </c>
      <c r="Q13" s="625">
        <f>'P&amp;L - Concept A1'!S156</f>
        <v>38624.304275844712</v>
      </c>
      <c r="R13" s="625">
        <f>'P&amp;L - Concept A1'!T156</f>
        <v>89281.462030523457</v>
      </c>
      <c r="S13" s="625">
        <f>'P&amp;L - Concept A1'!U156</f>
        <v>86027.733418588527</v>
      </c>
      <c r="T13" s="625">
        <f>'P&amp;L - Concept A1'!V156</f>
        <v>78295.323086960474</v>
      </c>
      <c r="U13" s="625">
        <f>'P&amp;L - Concept A1'!W156</f>
        <v>70408.264548699604</v>
      </c>
      <c r="V13" s="625">
        <f>'P&amp;L - Concept A1'!X156</f>
        <v>62363.464839673601</v>
      </c>
      <c r="W13" s="903">
        <f t="shared" si="0"/>
        <v>-324275.5989677381</v>
      </c>
    </row>
    <row r="14" spans="1:27">
      <c r="A14" s="32"/>
      <c r="B14" s="32"/>
      <c r="C14" s="625"/>
      <c r="D14" s="625"/>
      <c r="E14" s="625"/>
      <c r="F14" s="625"/>
      <c r="G14" s="625"/>
      <c r="H14" s="625"/>
      <c r="I14" s="625"/>
      <c r="J14" s="625"/>
      <c r="K14" s="625"/>
      <c r="L14" s="625"/>
      <c r="M14" s="625"/>
      <c r="N14" s="625"/>
      <c r="O14" s="625"/>
      <c r="P14" s="625"/>
      <c r="Q14" s="625"/>
      <c r="R14" s="625"/>
      <c r="S14" s="625"/>
      <c r="T14" s="625"/>
      <c r="U14" s="625"/>
      <c r="V14" s="625"/>
      <c r="W14" s="903"/>
    </row>
    <row r="15" spans="1:27">
      <c r="A15" s="32" t="s">
        <v>136</v>
      </c>
      <c r="B15" s="32"/>
      <c r="C15" s="625">
        <f>'P&amp;L - Concept A1'!E164</f>
        <v>0</v>
      </c>
      <c r="D15" s="625">
        <f>'P&amp;L - Concept A1'!F164</f>
        <v>44105</v>
      </c>
      <c r="E15" s="625">
        <f>'P&amp;L - Concept A1'!G164</f>
        <v>44987.1</v>
      </c>
      <c r="F15" s="625">
        <f>'P&amp;L - Concept A1'!H164</f>
        <v>45886.841999999997</v>
      </c>
      <c r="G15" s="625">
        <f>'P&amp;L - Concept A1'!I164</f>
        <v>46804.578839999995</v>
      </c>
      <c r="H15" s="625">
        <f>'P&amp;L - Concept A1'!J164</f>
        <v>47740.6704168</v>
      </c>
      <c r="I15" s="625">
        <f>'P&amp;L - Concept A1'!K164</f>
        <v>48695.483825135998</v>
      </c>
      <c r="J15" s="625">
        <f>'P&amp;L - Concept A1'!L164</f>
        <v>49669.393501638726</v>
      </c>
      <c r="K15" s="625">
        <f>'P&amp;L - Concept A1'!M164</f>
        <v>50662.781371671495</v>
      </c>
      <c r="L15" s="625">
        <f>'P&amp;L - Concept A1'!N164</f>
        <v>51676.03699910493</v>
      </c>
      <c r="M15" s="625">
        <f>'P&amp;L - Concept A1'!O164</f>
        <v>52709.557739087031</v>
      </c>
      <c r="N15" s="625">
        <f>'P&amp;L - Concept A1'!P164</f>
        <v>53763.748893868775</v>
      </c>
      <c r="O15" s="625">
        <f>'P&amp;L - Concept A1'!Q164</f>
        <v>54839.023871746147</v>
      </c>
      <c r="P15" s="625">
        <f>'P&amp;L - Concept A1'!R164</f>
        <v>55935.804349181068</v>
      </c>
      <c r="Q15" s="625">
        <f>'P&amp;L - Concept A1'!S164</f>
        <v>57054.520436164683</v>
      </c>
      <c r="R15" s="625">
        <f>'P&amp;L - Concept A1'!T164</f>
        <v>58195.61084488799</v>
      </c>
      <c r="S15" s="625">
        <f>'P&amp;L - Concept A1'!U164</f>
        <v>59359.523061785745</v>
      </c>
      <c r="T15" s="625">
        <f>'P&amp;L - Concept A1'!V164</f>
        <v>60546.713523021463</v>
      </c>
      <c r="U15" s="625">
        <f>'P&amp;L - Concept A1'!W164</f>
        <v>61757.647793481898</v>
      </c>
      <c r="V15" s="625">
        <f>'P&amp;L - Concept A1'!X164</f>
        <v>62992.80074935154</v>
      </c>
      <c r="W15" s="903">
        <f t="shared" si="0"/>
        <v>1007382.8382169276</v>
      </c>
    </row>
    <row r="16" spans="1:27">
      <c r="A16" s="32" t="s">
        <v>127</v>
      </c>
      <c r="B16" s="32"/>
      <c r="C16" s="625">
        <f>SUM('P&amp;L - Concept A1'!E165:E167)</f>
        <v>809901.24</v>
      </c>
      <c r="D16" s="625">
        <f>SUM('P&amp;L - Concept A1'!F165:F167)</f>
        <v>809901.24</v>
      </c>
      <c r="E16" s="625">
        <f>SUM('P&amp;L - Concept A1'!G165:G167)</f>
        <v>809901.24</v>
      </c>
      <c r="F16" s="625">
        <f>SUM('P&amp;L - Concept A1'!H165:H167)</f>
        <v>809901.24</v>
      </c>
      <c r="G16" s="625">
        <f>SUM('P&amp;L - Concept A1'!I165:I167)</f>
        <v>809901.24</v>
      </c>
      <c r="H16" s="625">
        <f>SUM('P&amp;L - Concept A1'!J165:J167)</f>
        <v>809901.24</v>
      </c>
      <c r="I16" s="625">
        <f>SUM('P&amp;L - Concept A1'!K165:K167)</f>
        <v>809901.24</v>
      </c>
      <c r="J16" s="625">
        <f>SUM('P&amp;L - Concept A1'!L165:L167)</f>
        <v>809901.24</v>
      </c>
      <c r="K16" s="625">
        <f>SUM('P&amp;L - Concept A1'!M165:M167)</f>
        <v>809901.24</v>
      </c>
      <c r="L16" s="625">
        <f>SUM('P&amp;L - Concept A1'!N165:N167)</f>
        <v>809901.24</v>
      </c>
      <c r="M16" s="625">
        <f>SUM('P&amp;L - Concept A1'!O165:O167)</f>
        <v>809901.24</v>
      </c>
      <c r="N16" s="625">
        <f>SUM('P&amp;L - Concept A1'!P165:P167)</f>
        <v>809901.24</v>
      </c>
      <c r="O16" s="625">
        <f>SUM('P&amp;L - Concept A1'!Q165:Q167)</f>
        <v>809901.24</v>
      </c>
      <c r="P16" s="625">
        <f>SUM('P&amp;L - Concept A1'!R165:R167)</f>
        <v>809901.24</v>
      </c>
      <c r="Q16" s="625">
        <f>SUM('P&amp;L - Concept A1'!S165:S167)</f>
        <v>809901.24</v>
      </c>
      <c r="R16" s="625">
        <f>SUM('P&amp;L - Concept A1'!T165:T167)</f>
        <v>809901.24</v>
      </c>
      <c r="S16" s="625">
        <f>SUM('P&amp;L - Concept A1'!U165:U167)</f>
        <v>809901.24</v>
      </c>
      <c r="T16" s="625">
        <f>SUM('P&amp;L - Concept A1'!V165:V167)</f>
        <v>809901.24</v>
      </c>
      <c r="U16" s="625">
        <f>SUM('P&amp;L - Concept A1'!W165:W167)</f>
        <v>809901.24</v>
      </c>
      <c r="V16" s="625">
        <f>SUM('P&amp;L - Concept A1'!X165:X167)</f>
        <v>809901.24</v>
      </c>
      <c r="W16" s="903">
        <f t="shared" si="0"/>
        <v>16198024.800000003</v>
      </c>
      <c r="X16" s="900">
        <f>SUM(W15:W16)</f>
        <v>17205407.638216931</v>
      </c>
    </row>
    <row r="17" spans="1:27">
      <c r="A17" s="32"/>
      <c r="B17" s="32"/>
      <c r="C17" s="625"/>
      <c r="D17" s="625"/>
      <c r="E17" s="625"/>
      <c r="F17" s="625"/>
      <c r="G17" s="625"/>
      <c r="H17" s="625"/>
      <c r="I17" s="625"/>
      <c r="J17" s="625"/>
      <c r="K17" s="625"/>
      <c r="L17" s="625"/>
      <c r="M17" s="625"/>
      <c r="N17" s="625"/>
      <c r="O17" s="625"/>
      <c r="P17" s="625"/>
      <c r="Q17" s="625"/>
      <c r="R17" s="625"/>
      <c r="S17" s="625"/>
      <c r="T17" s="625"/>
      <c r="U17" s="625"/>
      <c r="V17" s="625"/>
      <c r="W17" s="903"/>
    </row>
    <row r="18" spans="1:27">
      <c r="A18" s="32" t="s">
        <v>138</v>
      </c>
      <c r="B18" s="32"/>
      <c r="C18" s="625">
        <f>'P&amp;L - Concept A1'!E170</f>
        <v>-299391.66666666663</v>
      </c>
      <c r="D18" s="625">
        <f>'P&amp;L - Concept A1'!F170</f>
        <v>-307692.20308509609</v>
      </c>
      <c r="E18" s="625">
        <f>'P&amp;L - Concept A1'!G170</f>
        <v>-214479.47514679798</v>
      </c>
      <c r="F18" s="625">
        <f>'P&amp;L - Concept A1'!H170</f>
        <v>-220789.06464973401</v>
      </c>
      <c r="G18" s="625">
        <f>'P&amp;L - Concept A1'!I170</f>
        <v>-227224.84594272872</v>
      </c>
      <c r="H18" s="625">
        <f>'P&amp;L - Concept A1'!J170</f>
        <v>-15217.721656783178</v>
      </c>
      <c r="I18" s="625">
        <f>'P&amp;L - Concept A1'!K170</f>
        <v>-17943.46729955091</v>
      </c>
      <c r="J18" s="625">
        <f>'P&amp;L - Concept A1'!L170</f>
        <v>-25260.64664554206</v>
      </c>
      <c r="K18" s="625">
        <f>'P&amp;L - Concept A1'!M170</f>
        <v>-32724.169578452849</v>
      </c>
      <c r="L18" s="625">
        <f>'P&amp;L - Concept A1'!N170</f>
        <v>-40336.962970021799</v>
      </c>
      <c r="M18" s="625">
        <f>'P&amp;L - Concept A1'!O170</f>
        <v>9823.8599805749254</v>
      </c>
      <c r="N18" s="625">
        <f>'P&amp;L - Concept A1'!P170</f>
        <v>6294.0125259890774</v>
      </c>
      <c r="O18" s="625">
        <f>'P&amp;L - Concept A1'!Q170</f>
        <v>-1784.7447234911378</v>
      </c>
      <c r="P18" s="625">
        <f>'P&amp;L - Concept A1'!R170</f>
        <v>-10025.077117961191</v>
      </c>
      <c r="Q18" s="625">
        <f>'P&amp;L - Concept A1'!S170</f>
        <v>-18430.216160319971</v>
      </c>
      <c r="R18" s="625">
        <f>'P&amp;L - Concept A1'!T170</f>
        <v>31085.851185635467</v>
      </c>
      <c r="S18" s="625">
        <f>'P&amp;L - Concept A1'!U170</f>
        <v>26668.210356802781</v>
      </c>
      <c r="T18" s="625">
        <f>'P&amp;L - Concept A1'!V170</f>
        <v>17748.609563939011</v>
      </c>
      <c r="U18" s="625">
        <f>'P&amp;L - Concept A1'!W170</f>
        <v>8650.6167552177067</v>
      </c>
      <c r="V18" s="625">
        <f>'P&amp;L - Concept A1'!X170</f>
        <v>-629.33590967793862</v>
      </c>
      <c r="W18" s="1057">
        <f t="shared" si="0"/>
        <v>-1331658.4371846656</v>
      </c>
    </row>
    <row r="19" spans="1:27">
      <c r="A19" s="32"/>
      <c r="B19" s="32"/>
      <c r="C19" s="625"/>
      <c r="D19" s="625"/>
      <c r="E19" s="625"/>
      <c r="F19" s="625"/>
      <c r="G19" s="625"/>
      <c r="H19" s="625"/>
      <c r="I19" s="625"/>
      <c r="J19" s="625"/>
      <c r="K19" s="625"/>
      <c r="L19" s="625"/>
      <c r="M19" s="625"/>
      <c r="N19" s="625"/>
      <c r="O19" s="625"/>
      <c r="P19" s="625"/>
      <c r="Q19" s="625"/>
      <c r="R19" s="625"/>
      <c r="S19" s="625"/>
      <c r="T19" s="625"/>
      <c r="U19" s="625"/>
      <c r="V19" s="625"/>
      <c r="W19" s="903"/>
    </row>
    <row r="20" spans="1:27">
      <c r="A20" s="300" t="s">
        <v>130</v>
      </c>
      <c r="B20" s="300"/>
      <c r="C20" s="628">
        <f>'P&amp;L - Concept A1'!E174</f>
        <v>-1109292.9066666667</v>
      </c>
      <c r="D20" s="628">
        <f>'P&amp;L - Concept A1'!F174</f>
        <v>-1117593.4430850961</v>
      </c>
      <c r="E20" s="628">
        <f>'P&amp;L - Concept A1'!G174</f>
        <v>-1024380.7151467979</v>
      </c>
      <c r="F20" s="628">
        <f>'P&amp;L - Concept A1'!H174</f>
        <v>-1030690.3046497339</v>
      </c>
      <c r="G20" s="628">
        <f>'P&amp;L - Concept A1'!I174</f>
        <v>-1037126.0859427287</v>
      </c>
      <c r="H20" s="628">
        <f>'P&amp;L - Concept A1'!J174</f>
        <v>-825118.96165678313</v>
      </c>
      <c r="I20" s="628">
        <f>'P&amp;L - Concept A1'!K174</f>
        <v>-827844.70729955088</v>
      </c>
      <c r="J20" s="628">
        <f>'P&amp;L - Concept A1'!L174</f>
        <v>-835161.88664554199</v>
      </c>
      <c r="K20" s="628">
        <f>'P&amp;L - Concept A1'!M174</f>
        <v>-842625.40957845282</v>
      </c>
      <c r="L20" s="628">
        <f>'P&amp;L - Concept A1'!N174</f>
        <v>-850238.20297002175</v>
      </c>
      <c r="M20" s="628">
        <f>'P&amp;L - Concept A1'!O174</f>
        <v>-800077.38001942507</v>
      </c>
      <c r="N20" s="628">
        <f>'P&amp;L - Concept A1'!P174</f>
        <v>-803607.2274740109</v>
      </c>
      <c r="O20" s="628">
        <f>'P&amp;L - Concept A1'!Q174</f>
        <v>-811685.98472349113</v>
      </c>
      <c r="P20" s="628">
        <f>'P&amp;L - Concept A1'!R174</f>
        <v>-819926.31711796112</v>
      </c>
      <c r="Q20" s="628">
        <f>'P&amp;L - Concept A1'!S174</f>
        <v>-828331.45616031997</v>
      </c>
      <c r="R20" s="628">
        <f>'P&amp;L - Concept A1'!T174</f>
        <v>-778815.38881436456</v>
      </c>
      <c r="S20" s="628">
        <f>'P&amp;L - Concept A1'!U174</f>
        <v>-783233.02964319719</v>
      </c>
      <c r="T20" s="628">
        <f>'P&amp;L - Concept A1'!V174</f>
        <v>-792152.63043606095</v>
      </c>
      <c r="U20" s="628">
        <f>'P&amp;L - Concept A1'!W174</f>
        <v>-801250.62324478233</v>
      </c>
      <c r="V20" s="628">
        <f>'P&amp;L - Concept A1'!X174</f>
        <v>-810530.57590967789</v>
      </c>
      <c r="W20" s="1057">
        <f>SUM(C20:V20)</f>
        <v>-17529683.237184666</v>
      </c>
    </row>
    <row r="21" spans="1:27">
      <c r="A21" s="32" t="s">
        <v>404</v>
      </c>
      <c r="B21" s="886" t="e">
        <f>'P&amp;L - Concept A1'!B175</f>
        <v>#NUM!</v>
      </c>
      <c r="C21" s="629"/>
      <c r="D21" s="629"/>
      <c r="E21" s="629"/>
      <c r="F21" s="629"/>
      <c r="G21" s="629"/>
      <c r="H21" s="629"/>
      <c r="I21" s="629"/>
      <c r="J21" s="629"/>
      <c r="K21" s="629"/>
      <c r="L21" s="629"/>
      <c r="M21" s="629"/>
      <c r="N21" s="629"/>
      <c r="O21" s="629"/>
      <c r="P21" s="629"/>
      <c r="Q21" s="629"/>
      <c r="R21" s="629"/>
      <c r="S21" s="629"/>
      <c r="T21" s="629"/>
      <c r="U21" s="629"/>
      <c r="V21" s="629"/>
      <c r="X21" s="904"/>
    </row>
    <row r="22" spans="1:27">
      <c r="A22" s="131"/>
      <c r="B22" s="131"/>
      <c r="C22" s="630"/>
      <c r="D22" s="630"/>
      <c r="E22" s="630"/>
      <c r="F22" s="630"/>
      <c r="G22" s="630"/>
      <c r="H22" s="630"/>
      <c r="I22" s="630"/>
      <c r="J22" s="630"/>
      <c r="K22" s="630"/>
      <c r="L22" s="630"/>
      <c r="M22" s="630"/>
      <c r="N22" s="630"/>
      <c r="O22" s="630"/>
      <c r="P22" s="630"/>
      <c r="Q22" s="630"/>
      <c r="R22" s="630"/>
      <c r="S22" s="630"/>
      <c r="T22" s="630"/>
      <c r="U22" s="630"/>
      <c r="V22" s="630"/>
      <c r="X22" s="904"/>
      <c r="AA22" s="900">
        <f>W20+3600000</f>
        <v>-13929683.237184666</v>
      </c>
    </row>
    <row r="23" spans="1:27" s="32" customFormat="1">
      <c r="C23" s="625"/>
      <c r="D23" s="625"/>
      <c r="E23" s="625"/>
      <c r="F23" s="625"/>
      <c r="G23" s="625"/>
      <c r="H23" s="625"/>
      <c r="I23" s="625"/>
      <c r="J23" s="625"/>
      <c r="K23" s="625"/>
      <c r="L23" s="625"/>
      <c r="M23" s="625"/>
      <c r="N23" s="625"/>
      <c r="O23" s="625"/>
      <c r="P23" s="625"/>
      <c r="Q23" s="625"/>
      <c r="R23" s="625"/>
      <c r="S23" s="625"/>
      <c r="T23" s="625"/>
      <c r="U23" s="625"/>
      <c r="V23" s="625"/>
      <c r="W23" s="905"/>
      <c r="X23" s="904"/>
      <c r="Y23" s="904"/>
      <c r="Z23" s="904"/>
      <c r="AA23" s="904"/>
    </row>
    <row r="24" spans="1:27" s="32" customFormat="1">
      <c r="A24" s="47" t="s">
        <v>7</v>
      </c>
      <c r="B24" s="47"/>
      <c r="C24" s="47" t="s">
        <v>7</v>
      </c>
      <c r="D24" s="47" t="s">
        <v>7</v>
      </c>
      <c r="E24" s="47" t="s">
        <v>7</v>
      </c>
      <c r="F24" s="47" t="s">
        <v>7</v>
      </c>
      <c r="G24" s="47" t="s">
        <v>7</v>
      </c>
      <c r="H24" s="47" t="s">
        <v>7</v>
      </c>
      <c r="I24" s="47" t="s">
        <v>7</v>
      </c>
      <c r="J24" s="47" t="s">
        <v>7</v>
      </c>
      <c r="K24" s="47" t="s">
        <v>7</v>
      </c>
      <c r="L24" s="47" t="s">
        <v>7</v>
      </c>
      <c r="M24" s="47" t="s">
        <v>7</v>
      </c>
      <c r="N24" s="47" t="s">
        <v>7</v>
      </c>
      <c r="O24" s="47" t="s">
        <v>7</v>
      </c>
      <c r="P24" s="47" t="s">
        <v>7</v>
      </c>
      <c r="Q24" s="47" t="s">
        <v>7</v>
      </c>
      <c r="R24" s="47" t="s">
        <v>7</v>
      </c>
      <c r="S24" s="47" t="s">
        <v>7</v>
      </c>
      <c r="T24" s="47" t="s">
        <v>7</v>
      </c>
      <c r="U24" s="47" t="s">
        <v>7</v>
      </c>
      <c r="V24" s="47" t="s">
        <v>7</v>
      </c>
      <c r="W24" s="905"/>
      <c r="X24" s="906"/>
      <c r="Y24" s="904"/>
      <c r="Z24" s="904"/>
      <c r="AA24" s="904"/>
    </row>
    <row r="25" spans="1:27" s="32" customFormat="1">
      <c r="A25" s="47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905"/>
      <c r="X25" s="906"/>
      <c r="Y25" s="904"/>
      <c r="Z25" s="904"/>
      <c r="AA25" s="904"/>
    </row>
    <row r="26" spans="1:27">
      <c r="A26" s="29"/>
      <c r="B26" s="72"/>
      <c r="C26" s="71">
        <v>2019</v>
      </c>
      <c r="D26" s="71">
        <v>2020</v>
      </c>
      <c r="E26" s="71">
        <v>2021</v>
      </c>
      <c r="F26" s="71">
        <v>2022</v>
      </c>
      <c r="G26" s="71">
        <v>2023</v>
      </c>
      <c r="H26" s="71">
        <v>2024</v>
      </c>
      <c r="I26" s="71">
        <v>2025</v>
      </c>
      <c r="J26" s="71">
        <v>2026</v>
      </c>
      <c r="K26" s="71">
        <v>2027</v>
      </c>
      <c r="L26" s="71">
        <v>2028</v>
      </c>
      <c r="M26" s="71">
        <v>2029</v>
      </c>
      <c r="N26" s="71">
        <v>2030</v>
      </c>
      <c r="O26" s="71">
        <v>2031</v>
      </c>
      <c r="P26" s="71">
        <v>2032</v>
      </c>
      <c r="Q26" s="71">
        <v>2033</v>
      </c>
      <c r="R26" s="71">
        <v>2034</v>
      </c>
      <c r="S26" s="71">
        <v>2035</v>
      </c>
      <c r="T26" s="71">
        <v>2036</v>
      </c>
      <c r="U26" s="71">
        <v>2037</v>
      </c>
      <c r="V26" s="71">
        <v>2038</v>
      </c>
    </row>
    <row r="28" spans="1:27">
      <c r="A28" s="266" t="s">
        <v>350</v>
      </c>
      <c r="B28" s="266"/>
      <c r="C28" s="268"/>
      <c r="D28" s="268"/>
      <c r="E28" s="26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903"/>
    </row>
    <row r="29" spans="1:27" s="32" customFormat="1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903"/>
      <c r="X29" s="904"/>
      <c r="Y29" s="904"/>
      <c r="Z29" s="904"/>
      <c r="AA29" s="904"/>
    </row>
    <row r="30" spans="1:27">
      <c r="A30" s="32" t="s">
        <v>148</v>
      </c>
      <c r="B30" s="32"/>
      <c r="C30" s="625">
        <f>'P&amp;L - Concept A2'!E119</f>
        <v>58025</v>
      </c>
      <c r="D30" s="625">
        <f>'P&amp;L - Concept A2'!F119</f>
        <v>865435.85964687518</v>
      </c>
      <c r="E30" s="625">
        <f>'P&amp;L - Concept A2'!G119</f>
        <v>983234.57683981257</v>
      </c>
      <c r="F30" s="625">
        <f>'P&amp;L - Concept A2'!H119</f>
        <v>1000879.2683766087</v>
      </c>
      <c r="G30" s="625">
        <f>'P&amp;L - Concept A2'!I119</f>
        <v>1018876.8537441408</v>
      </c>
      <c r="H30" s="625">
        <f>'P&amp;L - Concept A2'!J119</f>
        <v>1280536.3908190236</v>
      </c>
      <c r="I30" s="625">
        <f>'P&amp;L - Concept A2'!K119</f>
        <v>1299261.0786354041</v>
      </c>
      <c r="J30" s="625">
        <f>'P&amp;L - Concept A2'!L119</f>
        <v>1318360.2602081122</v>
      </c>
      <c r="K30" s="625">
        <f>'P&amp;L - Concept A2'!M119</f>
        <v>1337841.4254122747</v>
      </c>
      <c r="L30" s="625">
        <f>'P&amp;L - Concept A2'!N119</f>
        <v>1357712.2139205199</v>
      </c>
      <c r="M30" s="625">
        <f>'P&amp;L - Concept A2'!O119</f>
        <v>1439393.4181989306</v>
      </c>
      <c r="N30" s="625">
        <f>'P&amp;L - Concept A2'!P119</f>
        <v>1460066.9865629093</v>
      </c>
      <c r="O30" s="625">
        <f>'P&amp;L - Concept A2'!Q119</f>
        <v>1481154.0262941674</v>
      </c>
      <c r="P30" s="625">
        <f>'P&amp;L - Concept A2'!R119</f>
        <v>1502662.8068200506</v>
      </c>
      <c r="Q30" s="625">
        <f>'P&amp;L - Concept A2'!S119</f>
        <v>1524601.7629564519</v>
      </c>
      <c r="R30" s="625">
        <f>'P&amp;L - Concept A2'!T119</f>
        <v>1608492.4982155808</v>
      </c>
      <c r="S30" s="625">
        <f>'P&amp;L - Concept A2'!U119</f>
        <v>1631317.7881798923</v>
      </c>
      <c r="T30" s="625">
        <f>'P&amp;L - Concept A2'!V119</f>
        <v>1654599.5839434899</v>
      </c>
      <c r="U30" s="625">
        <f>'P&amp;L - Concept A2'!W119</f>
        <v>1678347.0156223602</v>
      </c>
      <c r="V30" s="625">
        <f>'P&amp;L - Concept A2'!X119</f>
        <v>1702569.3959348074</v>
      </c>
      <c r="W30" s="903">
        <f t="shared" ref="W30:W37" si="1">SUM(C30:V30)</f>
        <v>26203368.210331414</v>
      </c>
    </row>
    <row r="31" spans="1:27">
      <c r="A31" s="369" t="s">
        <v>140</v>
      </c>
      <c r="B31" s="369"/>
      <c r="C31" s="626">
        <f>'P&amp;L - Concept A2'!E152</f>
        <v>357416.66666666663</v>
      </c>
      <c r="D31" s="626">
        <f>'P&amp;L - Concept A2'!F152</f>
        <v>894419.34615384613</v>
      </c>
      <c r="E31" s="626">
        <f>'P&amp;L - Concept A2'!G152</f>
        <v>913431.16107692313</v>
      </c>
      <c r="F31" s="626">
        <f>'P&amp;L - Concept A2'!H152</f>
        <v>931699.7842984614</v>
      </c>
      <c r="G31" s="626">
        <f>'P&amp;L - Concept A2'!I152</f>
        <v>950333.77998443076</v>
      </c>
      <c r="H31" s="626">
        <f>'P&amp;L - Concept A2'!J152</f>
        <v>997684.33437931945</v>
      </c>
      <c r="I31" s="626">
        <f>'P&amp;L - Concept A2'!K152</f>
        <v>1013101.1022765377</v>
      </c>
      <c r="J31" s="626">
        <f>'P&amp;L - Concept A2'!L152</f>
        <v>1033363.1243220684</v>
      </c>
      <c r="K31" s="626">
        <f>'P&amp;L - Concept A2'!M152</f>
        <v>1054030.3868085099</v>
      </c>
      <c r="L31" s="626">
        <f>'P&amp;L - Concept A2'!N152</f>
        <v>1075110.9945446802</v>
      </c>
      <c r="M31" s="626">
        <f>'P&amp;L - Concept A2'!O152</f>
        <v>1101003.7172255765</v>
      </c>
      <c r="N31" s="626">
        <f>'P&amp;L - Concept A2'!P152</f>
        <v>1118545.4787242855</v>
      </c>
      <c r="O31" s="626">
        <f>'P&amp;L - Concept A2'!Q152</f>
        <v>1140916.3882987711</v>
      </c>
      <c r="P31" s="626">
        <f>'P&amp;L - Concept A2'!R152</f>
        <v>1163734.7160647465</v>
      </c>
      <c r="Q31" s="626">
        <f>'P&amp;L - Concept A2'!S152</f>
        <v>1187009.4103860413</v>
      </c>
      <c r="R31" s="626">
        <f>'P&amp;L - Concept A2'!T152</f>
        <v>1215076.6644246001</v>
      </c>
      <c r="S31" s="626">
        <f>'P&amp;L - Concept A2'!U152</f>
        <v>1234964.5905656377</v>
      </c>
      <c r="T31" s="626">
        <f>'P&amp;L - Concept A2'!V152</f>
        <v>1259663.8823769502</v>
      </c>
      <c r="U31" s="626">
        <f>'P&amp;L - Concept A2'!W152</f>
        <v>1284857.1600244893</v>
      </c>
      <c r="V31" s="626">
        <f>'P&amp;L - Concept A2'!X152</f>
        <v>1310554.3032249792</v>
      </c>
      <c r="W31" s="903">
        <f t="shared" si="1"/>
        <v>21236916.991827521</v>
      </c>
    </row>
    <row r="32" spans="1:27">
      <c r="A32" s="26" t="s">
        <v>116</v>
      </c>
      <c r="B32" s="26"/>
      <c r="C32" s="625">
        <f>'P&amp;L - Concept A2'!E156</f>
        <v>-299391.66666666663</v>
      </c>
      <c r="D32" s="625">
        <f>'P&amp;L - Concept A2'!F156</f>
        <v>-28983.486506970949</v>
      </c>
      <c r="E32" s="625">
        <f>'P&amp;L - Concept A2'!G156</f>
        <v>69803.415762889432</v>
      </c>
      <c r="F32" s="625">
        <f>'P&amp;L - Concept A2'!H156</f>
        <v>69179.484078147332</v>
      </c>
      <c r="G32" s="625">
        <f>'P&amp;L - Concept A2'!I156</f>
        <v>68543.073759710067</v>
      </c>
      <c r="H32" s="625">
        <f>'P&amp;L - Concept A2'!J156</f>
        <v>282852.05643970415</v>
      </c>
      <c r="I32" s="625">
        <f>'P&amp;L - Concept A2'!K156</f>
        <v>286159.97635886644</v>
      </c>
      <c r="J32" s="625">
        <f>'P&amp;L - Concept A2'!L156</f>
        <v>284997.13588604378</v>
      </c>
      <c r="K32" s="625">
        <f>'P&amp;L - Concept A2'!M156</f>
        <v>283811.03860376473</v>
      </c>
      <c r="L32" s="625">
        <f>'P&amp;L - Concept A2'!N156</f>
        <v>282601.21937583969</v>
      </c>
      <c r="M32" s="625">
        <f>'P&amp;L - Concept A2'!O156</f>
        <v>338389.70097335405</v>
      </c>
      <c r="N32" s="625">
        <f>'P&amp;L - Concept A2'!P156</f>
        <v>341521.50783862383</v>
      </c>
      <c r="O32" s="625">
        <f>'P&amp;L - Concept A2'!Q156</f>
        <v>340237.63799539628</v>
      </c>
      <c r="P32" s="625">
        <f>'P&amp;L - Concept A2'!R156</f>
        <v>338928.09075530409</v>
      </c>
      <c r="Q32" s="625">
        <f>'P&amp;L - Concept A2'!S156</f>
        <v>337592.35257041059</v>
      </c>
      <c r="R32" s="625">
        <f>'P&amp;L - Concept A2'!T156</f>
        <v>393415.83379098075</v>
      </c>
      <c r="S32" s="625">
        <f>'P&amp;L - Concept A2'!U156</f>
        <v>396353.19761425466</v>
      </c>
      <c r="T32" s="625">
        <f>'P&amp;L - Concept A2'!V156</f>
        <v>394935.7015665397</v>
      </c>
      <c r="U32" s="625">
        <f>'P&amp;L - Concept A2'!W156</f>
        <v>393489.85559787089</v>
      </c>
      <c r="V32" s="625">
        <f>'P&amp;L - Concept A2'!X156</f>
        <v>392015.09270982817</v>
      </c>
      <c r="W32" s="903">
        <f t="shared" si="1"/>
        <v>4966451.2185038924</v>
      </c>
    </row>
    <row r="33" spans="1:27">
      <c r="A33" s="32"/>
      <c r="B33" s="32"/>
      <c r="C33" s="625"/>
      <c r="D33" s="625"/>
      <c r="E33" s="625"/>
      <c r="F33" s="625"/>
      <c r="G33" s="625"/>
      <c r="H33" s="625"/>
      <c r="I33" s="625"/>
      <c r="J33" s="625"/>
      <c r="K33" s="625"/>
      <c r="L33" s="625"/>
      <c r="M33" s="625"/>
      <c r="N33" s="625"/>
      <c r="O33" s="625"/>
      <c r="P33" s="625"/>
      <c r="Q33" s="625"/>
      <c r="R33" s="625"/>
      <c r="S33" s="625"/>
      <c r="T33" s="625"/>
      <c r="U33" s="625"/>
      <c r="V33" s="625"/>
      <c r="W33" s="903"/>
    </row>
    <row r="34" spans="1:27">
      <c r="A34" s="32" t="s">
        <v>136</v>
      </c>
      <c r="B34" s="32"/>
      <c r="C34" s="625">
        <f>'P&amp;L - Concept A2'!E164</f>
        <v>0</v>
      </c>
      <c r="D34" s="625">
        <f>'P&amp;L - Concept A2'!F164</f>
        <v>59545</v>
      </c>
      <c r="E34" s="625">
        <f>'P&amp;L - Concept A2'!G164</f>
        <v>60735.9</v>
      </c>
      <c r="F34" s="625">
        <f>'P&amp;L - Concept A2'!H164</f>
        <v>61950.618000000002</v>
      </c>
      <c r="G34" s="625">
        <f>'P&amp;L - Concept A2'!I164</f>
        <v>63189.630359999996</v>
      </c>
      <c r="H34" s="625">
        <f>'P&amp;L - Concept A2'!J164</f>
        <v>64453.4229672</v>
      </c>
      <c r="I34" s="625">
        <f>'P&amp;L - Concept A2'!K164</f>
        <v>65742.491426544002</v>
      </c>
      <c r="J34" s="625">
        <f>'P&amp;L - Concept A2'!L164</f>
        <v>67057.341255074891</v>
      </c>
      <c r="K34" s="625">
        <f>'P&amp;L - Concept A2'!M164</f>
        <v>68398.488080176379</v>
      </c>
      <c r="L34" s="625">
        <f>'P&amp;L - Concept A2'!N164</f>
        <v>69766.45784177992</v>
      </c>
      <c r="M34" s="625">
        <f>'P&amp;L - Concept A2'!O164</f>
        <v>71161.786998615513</v>
      </c>
      <c r="N34" s="625">
        <f>'P&amp;L - Concept A2'!P164</f>
        <v>72585.022738587824</v>
      </c>
      <c r="O34" s="625">
        <f>'P&amp;L - Concept A2'!Q164</f>
        <v>74036.723193359576</v>
      </c>
      <c r="P34" s="625">
        <f>'P&amp;L - Concept A2'!R164</f>
        <v>75517.457657226769</v>
      </c>
      <c r="Q34" s="625">
        <f>'P&amp;L - Concept A2'!S164</f>
        <v>77027.806810371301</v>
      </c>
      <c r="R34" s="625">
        <f>'P&amp;L - Concept A2'!T164</f>
        <v>78568.362946578738</v>
      </c>
      <c r="S34" s="625">
        <f>'P&amp;L - Concept A2'!U164</f>
        <v>80139.730205510321</v>
      </c>
      <c r="T34" s="625">
        <f>'P&amp;L - Concept A2'!V164</f>
        <v>81742.524809620518</v>
      </c>
      <c r="U34" s="625">
        <f>'P&amp;L - Concept A2'!W164</f>
        <v>83377.375305812937</v>
      </c>
      <c r="V34" s="625">
        <f>'P&amp;L - Concept A2'!X164</f>
        <v>85044.922811929195</v>
      </c>
      <c r="W34" s="903">
        <f t="shared" si="1"/>
        <v>1360041.0634083878</v>
      </c>
    </row>
    <row r="35" spans="1:27">
      <c r="A35" s="32" t="s">
        <v>127</v>
      </c>
      <c r="B35" s="32"/>
      <c r="C35" s="625">
        <f>SUM('P&amp;L - Concept A2'!E165:E167)</f>
        <v>912572.76</v>
      </c>
      <c r="D35" s="625">
        <f>SUM('P&amp;L - Concept A2'!F165:F167)</f>
        <v>912572.76</v>
      </c>
      <c r="E35" s="625">
        <f>SUM('P&amp;L - Concept A2'!G165:G167)</f>
        <v>912572.76</v>
      </c>
      <c r="F35" s="625">
        <f>SUM('P&amp;L - Concept A2'!H165:H167)</f>
        <v>912572.76</v>
      </c>
      <c r="G35" s="625">
        <f>SUM('P&amp;L - Concept A2'!I165:I167)</f>
        <v>912572.76</v>
      </c>
      <c r="H35" s="625">
        <f>SUM('P&amp;L - Concept A2'!J165:J167)</f>
        <v>912572.76</v>
      </c>
      <c r="I35" s="625">
        <f>SUM('P&amp;L - Concept A2'!K165:K167)</f>
        <v>912572.76</v>
      </c>
      <c r="J35" s="625">
        <f>SUM('P&amp;L - Concept A2'!L165:L167)</f>
        <v>912572.76</v>
      </c>
      <c r="K35" s="625">
        <f>SUM('P&amp;L - Concept A2'!M165:M167)</f>
        <v>912572.76</v>
      </c>
      <c r="L35" s="625">
        <f>SUM('P&amp;L - Concept A2'!N165:N167)</f>
        <v>912572.76</v>
      </c>
      <c r="M35" s="625">
        <f>SUM('P&amp;L - Concept A2'!O165:O167)</f>
        <v>912572.76</v>
      </c>
      <c r="N35" s="625">
        <f>SUM('P&amp;L - Concept A2'!P165:P167)</f>
        <v>912572.76</v>
      </c>
      <c r="O35" s="625">
        <f>SUM('P&amp;L - Concept A2'!Q165:Q167)</f>
        <v>912572.76</v>
      </c>
      <c r="P35" s="625">
        <f>SUM('P&amp;L - Concept A2'!R165:R167)</f>
        <v>912572.76</v>
      </c>
      <c r="Q35" s="625">
        <f>SUM('P&amp;L - Concept A2'!S165:S167)</f>
        <v>912572.76</v>
      </c>
      <c r="R35" s="625">
        <f>SUM('P&amp;L - Concept A2'!T165:T167)</f>
        <v>912572.76</v>
      </c>
      <c r="S35" s="625">
        <f>SUM('P&amp;L - Concept A2'!U165:U167)</f>
        <v>912572.76</v>
      </c>
      <c r="T35" s="625">
        <f>SUM('P&amp;L - Concept A2'!V165:V167)</f>
        <v>912572.76</v>
      </c>
      <c r="U35" s="625">
        <f>SUM('P&amp;L - Concept A2'!W165:W167)</f>
        <v>912572.76</v>
      </c>
      <c r="V35" s="625">
        <f>SUM('P&amp;L - Concept A2'!X165:X167)</f>
        <v>912572.76</v>
      </c>
      <c r="W35" s="903">
        <f t="shared" si="1"/>
        <v>18251455.199999999</v>
      </c>
      <c r="X35" s="900">
        <f>SUM(W34:W35)</f>
        <v>19611496.263408385</v>
      </c>
    </row>
    <row r="36" spans="1:27">
      <c r="A36" s="32"/>
      <c r="B36" s="32"/>
      <c r="C36" s="625"/>
      <c r="D36" s="625"/>
      <c r="E36" s="625"/>
      <c r="F36" s="625"/>
      <c r="G36" s="625"/>
      <c r="H36" s="625"/>
      <c r="I36" s="625"/>
      <c r="J36" s="625"/>
      <c r="K36" s="625"/>
      <c r="L36" s="625"/>
      <c r="M36" s="625"/>
      <c r="N36" s="625"/>
      <c r="O36" s="625"/>
      <c r="P36" s="625"/>
      <c r="Q36" s="625"/>
      <c r="R36" s="625"/>
      <c r="S36" s="625"/>
      <c r="T36" s="625"/>
      <c r="U36" s="625"/>
      <c r="V36" s="625"/>
      <c r="W36" s="903"/>
      <c r="Z36" s="900">
        <f>SUM(W31,W34:W35)</f>
        <v>40848413.25523591</v>
      </c>
    </row>
    <row r="37" spans="1:27">
      <c r="A37" s="32" t="s">
        <v>138</v>
      </c>
      <c r="B37" s="32"/>
      <c r="C37" s="625">
        <f>'P&amp;L - Concept A2'!E170</f>
        <v>-299391.66666666663</v>
      </c>
      <c r="D37" s="625">
        <f>'P&amp;L - Concept A2'!F170</f>
        <v>-88528.486506970949</v>
      </c>
      <c r="E37" s="625">
        <f>'P&amp;L - Concept A2'!G170</f>
        <v>9067.5157628894303</v>
      </c>
      <c r="F37" s="625">
        <f>'P&amp;L - Concept A2'!H170</f>
        <v>7228.86607814733</v>
      </c>
      <c r="G37" s="625">
        <f>'P&amp;L - Concept A2'!I170</f>
        <v>5353.4433997100714</v>
      </c>
      <c r="H37" s="625">
        <f>'P&amp;L - Concept A2'!J170</f>
        <v>218398.63347250415</v>
      </c>
      <c r="I37" s="625">
        <f>'P&amp;L - Concept A2'!K170</f>
        <v>220417.48493232243</v>
      </c>
      <c r="J37" s="625">
        <f>'P&amp;L - Concept A2'!L170</f>
        <v>217939.79463096889</v>
      </c>
      <c r="K37" s="625">
        <f>'P&amp;L - Concept A2'!M170</f>
        <v>215412.55052358835</v>
      </c>
      <c r="L37" s="625">
        <f>'P&amp;L - Concept A2'!N170</f>
        <v>212834.76153405977</v>
      </c>
      <c r="M37" s="625">
        <f>'P&amp;L - Concept A2'!O170</f>
        <v>267227.91397473856</v>
      </c>
      <c r="N37" s="625">
        <f>'P&amp;L - Concept A2'!P170</f>
        <v>268936.48510003602</v>
      </c>
      <c r="O37" s="625">
        <f>'P&amp;L - Concept A2'!Q170</f>
        <v>266200.91480203671</v>
      </c>
      <c r="P37" s="625">
        <f>'P&amp;L - Concept A2'!R170</f>
        <v>263410.63309807732</v>
      </c>
      <c r="Q37" s="625">
        <f>'P&amp;L - Concept A2'!S170</f>
        <v>260564.5457600393</v>
      </c>
      <c r="R37" s="625">
        <f>'P&amp;L - Concept A2'!T170</f>
        <v>314847.47084440198</v>
      </c>
      <c r="S37" s="625">
        <f>'P&amp;L - Concept A2'!U170</f>
        <v>316213.46740874433</v>
      </c>
      <c r="T37" s="625">
        <f>'P&amp;L - Concept A2'!V170</f>
        <v>313193.17675691919</v>
      </c>
      <c r="U37" s="625">
        <f>'P&amp;L - Concept A2'!W170</f>
        <v>310112.48029205797</v>
      </c>
      <c r="V37" s="625">
        <f>'P&amp;L - Concept A2'!X170</f>
        <v>306970.16989789897</v>
      </c>
      <c r="W37" s="903">
        <f t="shared" si="1"/>
        <v>3606410.1550955032</v>
      </c>
    </row>
    <row r="38" spans="1:27">
      <c r="A38" s="32"/>
      <c r="B38" s="32"/>
      <c r="C38" s="625"/>
      <c r="D38" s="625"/>
      <c r="E38" s="625"/>
      <c r="F38" s="625"/>
      <c r="G38" s="625"/>
      <c r="H38" s="625"/>
      <c r="I38" s="625"/>
      <c r="J38" s="625"/>
      <c r="K38" s="625"/>
      <c r="L38" s="625"/>
      <c r="M38" s="625"/>
      <c r="N38" s="625"/>
      <c r="O38" s="625"/>
      <c r="P38" s="625"/>
      <c r="Q38" s="625"/>
      <c r="R38" s="625"/>
      <c r="S38" s="625"/>
      <c r="T38" s="625"/>
      <c r="U38" s="625"/>
      <c r="V38" s="625"/>
      <c r="W38" s="903"/>
    </row>
    <row r="39" spans="1:27">
      <c r="A39" s="300" t="s">
        <v>130</v>
      </c>
      <c r="B39" s="300"/>
      <c r="C39" s="628">
        <f>'P&amp;L - Concept A2'!E174</f>
        <v>-1211964.4266666668</v>
      </c>
      <c r="D39" s="628">
        <f>'P&amp;L - Concept A2'!F174</f>
        <v>-1001101.246506971</v>
      </c>
      <c r="E39" s="628">
        <f>'P&amp;L - Concept A2'!G174</f>
        <v>-903505.2442371106</v>
      </c>
      <c r="F39" s="628">
        <f>'P&amp;L - Concept A2'!H174</f>
        <v>-905343.89392185269</v>
      </c>
      <c r="G39" s="628">
        <f>'P&amp;L - Concept A2'!I174</f>
        <v>-907219.31660028989</v>
      </c>
      <c r="H39" s="628">
        <f>'P&amp;L - Concept A2'!J174</f>
        <v>-694174.12652749592</v>
      </c>
      <c r="I39" s="628">
        <f>'P&amp;L - Concept A2'!K174</f>
        <v>-692155.2750676776</v>
      </c>
      <c r="J39" s="628">
        <f>'P&amp;L - Concept A2'!L174</f>
        <v>-694632.96536903107</v>
      </c>
      <c r="K39" s="628">
        <f>'P&amp;L - Concept A2'!M174</f>
        <v>-697160.20947641169</v>
      </c>
      <c r="L39" s="628">
        <f>'P&amp;L - Concept A2'!N174</f>
        <v>-699737.99846594024</v>
      </c>
      <c r="M39" s="628">
        <f>'P&amp;L - Concept A2'!O174</f>
        <v>-645344.84602526145</v>
      </c>
      <c r="N39" s="628">
        <f>'P&amp;L - Concept A2'!P174</f>
        <v>-643636.27489996399</v>
      </c>
      <c r="O39" s="628">
        <f>'P&amp;L - Concept A2'!Q174</f>
        <v>-646371.8451979633</v>
      </c>
      <c r="P39" s="628">
        <f>'P&amp;L - Concept A2'!R174</f>
        <v>-649162.12690192275</v>
      </c>
      <c r="Q39" s="628">
        <f>'P&amp;L - Concept A2'!S174</f>
        <v>-652008.21423996077</v>
      </c>
      <c r="R39" s="628">
        <f>'P&amp;L - Concept A2'!T174</f>
        <v>-597725.28915559803</v>
      </c>
      <c r="S39" s="628">
        <f>'P&amp;L - Concept A2'!U174</f>
        <v>-596359.29259125562</v>
      </c>
      <c r="T39" s="628">
        <f>'P&amp;L - Concept A2'!V174</f>
        <v>-599379.58324308088</v>
      </c>
      <c r="U39" s="628">
        <f>'P&amp;L - Concept A2'!W174</f>
        <v>-602460.27970794204</v>
      </c>
      <c r="V39" s="628">
        <f>'P&amp;L - Concept A2'!X174</f>
        <v>-605602.59010210098</v>
      </c>
      <c r="W39" s="1057">
        <f>SUM(C39:V39)</f>
        <v>-14645045.044904495</v>
      </c>
    </row>
    <row r="40" spans="1:27">
      <c r="A40" s="32" t="s">
        <v>404</v>
      </c>
      <c r="B40" s="886" t="e">
        <f>'P&amp;L - Concept A2'!B175</f>
        <v>#NUM!</v>
      </c>
      <c r="C40" s="629"/>
      <c r="D40" s="629"/>
      <c r="E40" s="629"/>
      <c r="F40" s="629"/>
      <c r="G40" s="629"/>
      <c r="H40" s="629"/>
      <c r="I40" s="629"/>
      <c r="J40" s="629"/>
      <c r="K40" s="629"/>
      <c r="L40" s="629"/>
      <c r="M40" s="629"/>
      <c r="N40" s="629"/>
      <c r="O40" s="629"/>
      <c r="P40" s="629"/>
      <c r="Q40" s="629"/>
      <c r="R40" s="629"/>
      <c r="S40" s="629"/>
      <c r="T40" s="629"/>
      <c r="U40" s="629"/>
      <c r="V40" s="629"/>
      <c r="X40" s="904"/>
    </row>
    <row r="41" spans="1:27">
      <c r="A41" s="131"/>
      <c r="B41" s="131"/>
      <c r="C41" s="630"/>
      <c r="D41" s="630"/>
      <c r="E41" s="630"/>
      <c r="F41" s="630"/>
      <c r="G41" s="630"/>
      <c r="H41" s="630"/>
      <c r="I41" s="630"/>
      <c r="J41" s="630"/>
      <c r="K41" s="630"/>
      <c r="L41" s="630"/>
      <c r="M41" s="630"/>
      <c r="N41" s="630"/>
      <c r="O41" s="630"/>
      <c r="P41" s="630"/>
      <c r="Q41" s="630"/>
      <c r="R41" s="630"/>
      <c r="S41" s="630"/>
      <c r="T41" s="630"/>
      <c r="U41" s="630"/>
      <c r="V41" s="630"/>
      <c r="X41" s="904"/>
      <c r="AA41" s="900">
        <f>W39+3600000</f>
        <v>-11045045.044904495</v>
      </c>
    </row>
    <row r="42" spans="1:27" s="32" customFormat="1">
      <c r="C42" s="625"/>
      <c r="D42" s="625"/>
      <c r="E42" s="625"/>
      <c r="F42" s="625"/>
      <c r="G42" s="625"/>
      <c r="H42" s="625"/>
      <c r="I42" s="625"/>
      <c r="J42" s="625"/>
      <c r="K42" s="625"/>
      <c r="L42" s="625"/>
      <c r="M42" s="625"/>
      <c r="N42" s="625"/>
      <c r="O42" s="625"/>
      <c r="P42" s="625"/>
      <c r="Q42" s="625"/>
      <c r="R42" s="625"/>
      <c r="S42" s="625"/>
      <c r="T42" s="625"/>
      <c r="U42" s="625"/>
      <c r="V42" s="625"/>
      <c r="W42" s="905"/>
      <c r="X42" s="904"/>
      <c r="Y42" s="904"/>
      <c r="Z42" s="904"/>
      <c r="AA42" s="904"/>
    </row>
    <row r="43" spans="1:27" s="32" customFormat="1">
      <c r="A43" s="47" t="s">
        <v>7</v>
      </c>
      <c r="B43" s="47"/>
      <c r="C43" s="47" t="s">
        <v>7</v>
      </c>
      <c r="D43" s="47" t="s">
        <v>7</v>
      </c>
      <c r="E43" s="47" t="s">
        <v>7</v>
      </c>
      <c r="F43" s="47" t="s">
        <v>7</v>
      </c>
      <c r="G43" s="47" t="s">
        <v>7</v>
      </c>
      <c r="H43" s="47" t="s">
        <v>7</v>
      </c>
      <c r="I43" s="47" t="s">
        <v>7</v>
      </c>
      <c r="J43" s="47" t="s">
        <v>7</v>
      </c>
      <c r="K43" s="47" t="s">
        <v>7</v>
      </c>
      <c r="L43" s="47" t="s">
        <v>7</v>
      </c>
      <c r="M43" s="47" t="s">
        <v>7</v>
      </c>
      <c r="N43" s="47" t="s">
        <v>7</v>
      </c>
      <c r="O43" s="47" t="s">
        <v>7</v>
      </c>
      <c r="P43" s="47" t="s">
        <v>7</v>
      </c>
      <c r="Q43" s="47" t="s">
        <v>7</v>
      </c>
      <c r="R43" s="47" t="s">
        <v>7</v>
      </c>
      <c r="S43" s="47" t="s">
        <v>7</v>
      </c>
      <c r="T43" s="47" t="s">
        <v>7</v>
      </c>
      <c r="U43" s="47" t="s">
        <v>7</v>
      </c>
      <c r="V43" s="47" t="s">
        <v>7</v>
      </c>
      <c r="W43" s="905"/>
      <c r="X43" s="906"/>
      <c r="Y43" s="904"/>
      <c r="Z43" s="904"/>
      <c r="AA43" s="904"/>
    </row>
    <row r="44" spans="1:27">
      <c r="C44" s="629"/>
      <c r="D44" s="629"/>
      <c r="E44" s="629"/>
      <c r="F44" s="629"/>
      <c r="G44" s="629"/>
      <c r="H44" s="629"/>
      <c r="I44" s="629"/>
      <c r="J44" s="629"/>
      <c r="K44" s="629"/>
      <c r="L44" s="629"/>
      <c r="M44" s="629"/>
      <c r="N44" s="629"/>
      <c r="O44" s="629"/>
      <c r="P44" s="629"/>
      <c r="Q44" s="629"/>
      <c r="R44" s="629"/>
      <c r="S44" s="629"/>
      <c r="T44" s="629"/>
      <c r="U44" s="629"/>
      <c r="V44" s="629"/>
      <c r="X44" s="907"/>
    </row>
    <row r="45" spans="1:27">
      <c r="A45" s="29"/>
      <c r="B45" s="72"/>
      <c r="C45" s="71">
        <v>2019</v>
      </c>
      <c r="D45" s="71">
        <v>2020</v>
      </c>
      <c r="E45" s="71">
        <v>2021</v>
      </c>
      <c r="F45" s="71">
        <v>2022</v>
      </c>
      <c r="G45" s="71">
        <v>2023</v>
      </c>
      <c r="H45" s="71">
        <v>2024</v>
      </c>
      <c r="I45" s="71">
        <v>2025</v>
      </c>
      <c r="J45" s="71">
        <v>2026</v>
      </c>
      <c r="K45" s="71">
        <v>2027</v>
      </c>
      <c r="L45" s="71">
        <v>2028</v>
      </c>
      <c r="M45" s="71">
        <v>2029</v>
      </c>
      <c r="N45" s="71">
        <v>2030</v>
      </c>
      <c r="O45" s="71">
        <v>2031</v>
      </c>
      <c r="P45" s="71">
        <v>2032</v>
      </c>
      <c r="Q45" s="71">
        <v>2033</v>
      </c>
      <c r="R45" s="71">
        <v>2034</v>
      </c>
      <c r="S45" s="71">
        <v>2035</v>
      </c>
      <c r="T45" s="71">
        <v>2036</v>
      </c>
      <c r="U45" s="71">
        <v>2037</v>
      </c>
      <c r="V45" s="71">
        <v>2038</v>
      </c>
      <c r="X45" s="908"/>
    </row>
    <row r="46" spans="1:27">
      <c r="C46" s="629"/>
      <c r="D46" s="629"/>
      <c r="E46" s="629"/>
      <c r="F46" s="629"/>
      <c r="G46" s="629"/>
      <c r="H46" s="629"/>
      <c r="I46" s="629"/>
      <c r="J46" s="629"/>
      <c r="K46" s="629"/>
      <c r="L46" s="629"/>
      <c r="M46" s="629"/>
      <c r="N46" s="629"/>
      <c r="O46" s="629"/>
      <c r="P46" s="629"/>
      <c r="Q46" s="629"/>
      <c r="R46" s="629"/>
      <c r="S46" s="629"/>
      <c r="T46" s="629"/>
      <c r="U46" s="629"/>
      <c r="V46" s="629"/>
      <c r="X46" s="909"/>
    </row>
    <row r="47" spans="1:27" s="341" customFormat="1">
      <c r="A47" s="887" t="s">
        <v>391</v>
      </c>
      <c r="B47" s="887"/>
      <c r="C47" s="888"/>
      <c r="D47" s="888"/>
      <c r="E47" s="888"/>
      <c r="F47" s="888"/>
      <c r="G47" s="888"/>
      <c r="H47" s="888"/>
      <c r="I47" s="888"/>
      <c r="J47" s="888"/>
      <c r="K47" s="888"/>
      <c r="L47" s="888"/>
      <c r="M47" s="888"/>
      <c r="N47" s="888"/>
      <c r="O47" s="888"/>
      <c r="P47" s="888"/>
      <c r="Q47" s="888"/>
      <c r="R47" s="888"/>
      <c r="S47" s="888"/>
      <c r="T47" s="888"/>
      <c r="U47" s="888"/>
      <c r="V47" s="888"/>
      <c r="W47" s="910"/>
      <c r="X47" s="911"/>
      <c r="Y47" s="912"/>
      <c r="Z47" s="912"/>
      <c r="AA47" s="912"/>
    </row>
    <row r="48" spans="1:27" s="341" customFormat="1">
      <c r="A48" s="573"/>
      <c r="B48" s="573"/>
      <c r="C48" s="889"/>
      <c r="D48" s="889"/>
      <c r="E48" s="889"/>
      <c r="F48" s="889"/>
      <c r="G48" s="889"/>
      <c r="H48" s="889"/>
      <c r="I48" s="889"/>
      <c r="J48" s="889"/>
      <c r="K48" s="889"/>
      <c r="L48" s="889"/>
      <c r="M48" s="889"/>
      <c r="N48" s="889"/>
      <c r="O48" s="889"/>
      <c r="P48" s="889"/>
      <c r="Q48" s="889"/>
      <c r="R48" s="889"/>
      <c r="S48" s="889"/>
      <c r="T48" s="889"/>
      <c r="U48" s="889"/>
      <c r="V48" s="889"/>
      <c r="W48" s="910"/>
      <c r="X48" s="913"/>
      <c r="Y48" s="912"/>
      <c r="Z48" s="912"/>
      <c r="AA48" s="912"/>
    </row>
    <row r="49" spans="1:27" s="341" customFormat="1">
      <c r="A49" s="561" t="s">
        <v>148</v>
      </c>
      <c r="B49" s="561"/>
      <c r="C49" s="890">
        <f>'P&amp;L - Concept B1 - Carnival'!E119</f>
        <v>58025</v>
      </c>
      <c r="D49" s="890">
        <f>'P&amp;L - Concept B1 - Carnival'!F119</f>
        <v>1275761.1560446357</v>
      </c>
      <c r="E49" s="890">
        <f>'P&amp;L - Concept B1 - Carnival'!G119</f>
        <v>1418008.7791655285</v>
      </c>
      <c r="F49" s="890">
        <f>'P&amp;L - Concept B1 - Carnival'!H119</f>
        <v>1444148.9547488389</v>
      </c>
      <c r="G49" s="890">
        <f>'P&amp;L - Concept B1 - Carnival'!I119</f>
        <v>1470811.9338438159</v>
      </c>
      <c r="H49" s="890">
        <f>'P&amp;L - Concept B1 - Carnival'!J119</f>
        <v>1746128.172520692</v>
      </c>
      <c r="I49" s="890">
        <f>'P&amp;L - Concept B1 - Carnival'!K119</f>
        <v>1773868.3359711061</v>
      </c>
      <c r="J49" s="890">
        <f>'P&amp;L - Concept B1 - Carnival'!L119</f>
        <v>1802163.3026905281</v>
      </c>
      <c r="K49" s="890">
        <f>'P&amp;L - Concept B1 - Carnival'!M119</f>
        <v>1831024.1687443389</v>
      </c>
      <c r="L49" s="890">
        <f>'P&amp;L - Concept B1 - Carnival'!N119</f>
        <v>1860462.2521192257</v>
      </c>
      <c r="M49" s="890">
        <f>'P&amp;L - Concept B1 - Carnival'!O119</f>
        <v>1953106.5971616104</v>
      </c>
      <c r="N49" s="890">
        <f>'P&amp;L - Concept B1 - Carnival'!P119</f>
        <v>1983733.9791048425</v>
      </c>
      <c r="O49" s="890">
        <f>'P&amp;L - Concept B1 - Carnival'!Q119</f>
        <v>2014973.9086869392</v>
      </c>
      <c r="P49" s="890">
        <f>'P&amp;L - Concept B1 - Carnival'!R119</f>
        <v>2046838.636860678</v>
      </c>
      <c r="Q49" s="890">
        <f>'P&amp;L - Concept B1 - Carnival'!S119</f>
        <v>2079340.6595978916</v>
      </c>
      <c r="R49" s="890">
        <f>'P&amp;L - Concept B1 - Carnival'!T119</f>
        <v>2175210.2227898496</v>
      </c>
      <c r="S49" s="890">
        <f>'P&amp;L - Concept B1 - Carnival'!U119</f>
        <v>2209025.3272456466</v>
      </c>
      <c r="T49" s="890">
        <f>'P&amp;L - Concept B1 - Carnival'!V119</f>
        <v>2243516.7337905592</v>
      </c>
      <c r="U49" s="890">
        <f>'P&amp;L - Concept B1 - Carnival'!W119</f>
        <v>2278697.9684663708</v>
      </c>
      <c r="V49" s="890">
        <f>'P&amp;L - Concept B1 - Carnival'!X119</f>
        <v>2314582.8278356981</v>
      </c>
      <c r="W49" s="914">
        <f t="shared" ref="W49:W56" si="2">SUM(C49:V49)</f>
        <v>35979428.917388797</v>
      </c>
      <c r="X49" s="915"/>
      <c r="Y49" s="912"/>
      <c r="Z49" s="912"/>
      <c r="AA49" s="912"/>
    </row>
    <row r="50" spans="1:27" s="341" customFormat="1">
      <c r="A50" s="891" t="s">
        <v>140</v>
      </c>
      <c r="B50" s="891"/>
      <c r="C50" s="892">
        <f>'P&amp;L - Concept B1 - Carnival'!E152</f>
        <v>357416.66666666663</v>
      </c>
      <c r="D50" s="892">
        <f>'P&amp;L - Concept B1 - Carnival'!F152</f>
        <v>826389.34615384613</v>
      </c>
      <c r="E50" s="892">
        <f>'P&amp;L - Concept B1 - Carnival'!G152</f>
        <v>844040.56107692316</v>
      </c>
      <c r="F50" s="892">
        <f>'P&amp;L - Concept B1 - Carnival'!H152</f>
        <v>860921.3722984615</v>
      </c>
      <c r="G50" s="892">
        <f>'P&amp;L - Concept B1 - Carnival'!I152</f>
        <v>878139.79974443081</v>
      </c>
      <c r="H50" s="892">
        <f>'P&amp;L - Concept B1 - Carnival'!J152</f>
        <v>924046.47453451937</v>
      </c>
      <c r="I50" s="892">
        <f>'P&amp;L - Concept B1 - Carnival'!K152</f>
        <v>937990.4852348417</v>
      </c>
      <c r="J50" s="892">
        <f>'P&amp;L - Concept B1 - Carnival'!L152</f>
        <v>956750.29493953846</v>
      </c>
      <c r="K50" s="892">
        <f>'P&amp;L - Concept B1 - Carnival'!M152</f>
        <v>975885.3008383296</v>
      </c>
      <c r="L50" s="892">
        <f>'P&amp;L - Concept B1 - Carnival'!N152</f>
        <v>995403.00685509597</v>
      </c>
      <c r="M50" s="892">
        <f>'P&amp;L - Concept B1 - Carnival'!O152</f>
        <v>1043506.4772135783</v>
      </c>
      <c r="N50" s="892">
        <f>'P&amp;L - Concept B1 - Carnival'!P152</f>
        <v>1035617.2883320421</v>
      </c>
      <c r="O50" s="892">
        <f>'P&amp;L - Concept B1 - Carnival'!Q152</f>
        <v>1056329.6340986828</v>
      </c>
      <c r="P50" s="892">
        <f>'P&amp;L - Concept B1 - Carnival'!R152</f>
        <v>1077456.2267806565</v>
      </c>
      <c r="Q50" s="892">
        <f>'P&amp;L - Concept B1 - Carnival'!S152</f>
        <v>1099005.3513162697</v>
      </c>
      <c r="R50" s="892">
        <f>'P&amp;L - Concept B1 - Carnival'!T152</f>
        <v>1125312.524173433</v>
      </c>
      <c r="S50" s="892">
        <f>'P&amp;L - Concept B1 - Carnival'!U152</f>
        <v>1143405.1675094471</v>
      </c>
      <c r="T50" s="892">
        <f>'P&amp;L - Concept B1 - Carnival'!V152</f>
        <v>1166273.2708596359</v>
      </c>
      <c r="U50" s="892">
        <f>'P&amp;L - Concept B1 - Carnival'!W152</f>
        <v>1189598.7362768287</v>
      </c>
      <c r="V50" s="892">
        <f>'P&amp;L - Concept B1 - Carnival'!X152</f>
        <v>1213390.7110023652</v>
      </c>
      <c r="W50" s="914">
        <f t="shared" si="2"/>
        <v>19706878.695905592</v>
      </c>
      <c r="X50" s="916"/>
      <c r="Y50" s="912"/>
      <c r="Z50" s="912"/>
      <c r="AA50" s="912"/>
    </row>
    <row r="51" spans="1:27" s="341" customFormat="1">
      <c r="A51" s="573" t="s">
        <v>116</v>
      </c>
      <c r="B51" s="573"/>
      <c r="C51" s="890">
        <f>'P&amp;L - Concept B1 - Carnival'!E156</f>
        <v>-299391.66666666663</v>
      </c>
      <c r="D51" s="890">
        <f>'P&amp;L - Concept B1 - Carnival'!F156</f>
        <v>449371.80989078956</v>
      </c>
      <c r="E51" s="890">
        <f>'P&amp;L - Concept B1 - Carnival'!G156</f>
        <v>573968.21808860532</v>
      </c>
      <c r="F51" s="890">
        <f>'P&amp;L - Concept B1 - Carnival'!H156</f>
        <v>583227.58245037741</v>
      </c>
      <c r="G51" s="890">
        <f>'P&amp;L - Concept B1 - Carnival'!I156</f>
        <v>592672.13409938512</v>
      </c>
      <c r="H51" s="890">
        <f>'P&amp;L - Concept B1 - Carnival'!J156</f>
        <v>822081.69798617263</v>
      </c>
      <c r="I51" s="890">
        <f>'P&amp;L - Concept B1 - Carnival'!K156</f>
        <v>835877.85073626437</v>
      </c>
      <c r="J51" s="890">
        <f>'P&amp;L - Concept B1 - Carnival'!L156</f>
        <v>845413.00775098964</v>
      </c>
      <c r="K51" s="890">
        <f>'P&amp;L - Concept B1 - Carnival'!M156</f>
        <v>855138.86790600931</v>
      </c>
      <c r="L51" s="890">
        <f>'P&amp;L - Concept B1 - Carnival'!N156</f>
        <v>865059.24526412971</v>
      </c>
      <c r="M51" s="890">
        <f>'P&amp;L - Concept B1 - Carnival'!O156</f>
        <v>909600.11994803208</v>
      </c>
      <c r="N51" s="890">
        <f>'P&amp;L - Concept B1 - Carnival'!P156</f>
        <v>948116.69077280047</v>
      </c>
      <c r="O51" s="890">
        <f>'P&amp;L - Concept B1 - Carnival'!Q156</f>
        <v>958644.27458825638</v>
      </c>
      <c r="P51" s="890">
        <f>'P&amp;L - Concept B1 - Carnival'!R156</f>
        <v>969382.41008002148</v>
      </c>
      <c r="Q51" s="890">
        <f>'P&amp;L - Concept B1 - Carnival'!S156</f>
        <v>980335.3082816219</v>
      </c>
      <c r="R51" s="890">
        <f>'P&amp;L - Concept B1 - Carnival'!T156</f>
        <v>1049897.6986164167</v>
      </c>
      <c r="S51" s="890">
        <f>'P&amp;L - Concept B1 - Carnival'!U156</f>
        <v>1065620.1597361995</v>
      </c>
      <c r="T51" s="890">
        <f>'P&amp;L - Concept B1 - Carnival'!V156</f>
        <v>1077243.4629309233</v>
      </c>
      <c r="U51" s="890">
        <f>'P&amp;L - Concept B1 - Carnival'!W156</f>
        <v>1089099.2321895421</v>
      </c>
      <c r="V51" s="890">
        <f>'P&amp;L - Concept B1 - Carnival'!X156</f>
        <v>1101192.1168333329</v>
      </c>
      <c r="W51" s="914">
        <f t="shared" si="2"/>
        <v>16272550.221483205</v>
      </c>
      <c r="X51" s="917"/>
      <c r="Y51" s="912"/>
      <c r="Z51" s="912"/>
      <c r="AA51" s="912"/>
    </row>
    <row r="52" spans="1:27" s="341" customFormat="1">
      <c r="A52" s="561"/>
      <c r="B52" s="561"/>
      <c r="C52" s="890"/>
      <c r="D52" s="890"/>
      <c r="E52" s="890"/>
      <c r="F52" s="890"/>
      <c r="G52" s="890"/>
      <c r="H52" s="890"/>
      <c r="I52" s="890"/>
      <c r="J52" s="890"/>
      <c r="K52" s="890"/>
      <c r="L52" s="890"/>
      <c r="M52" s="890"/>
      <c r="N52" s="890"/>
      <c r="O52" s="890"/>
      <c r="P52" s="890"/>
      <c r="Q52" s="890"/>
      <c r="R52" s="890"/>
      <c r="S52" s="890"/>
      <c r="T52" s="890"/>
      <c r="U52" s="890"/>
      <c r="V52" s="890"/>
      <c r="W52" s="914"/>
      <c r="X52" s="918"/>
      <c r="Y52" s="912"/>
      <c r="Z52" s="912"/>
      <c r="AA52" s="912"/>
    </row>
    <row r="53" spans="1:27" s="341" customFormat="1">
      <c r="A53" s="561" t="s">
        <v>136</v>
      </c>
      <c r="B53" s="561"/>
      <c r="C53" s="890">
        <f>'P&amp;L - Concept B1 - Carnival'!E164</f>
        <v>0</v>
      </c>
      <c r="D53" s="890">
        <f>'P&amp;L - Concept B1 - Carnival'!F164</f>
        <v>53485</v>
      </c>
      <c r="E53" s="890">
        <f>'P&amp;L - Concept B1 - Carnival'!G164</f>
        <v>54554.700000000004</v>
      </c>
      <c r="F53" s="890">
        <f>'P&amp;L - Concept B1 - Carnival'!H164</f>
        <v>55645.794000000002</v>
      </c>
      <c r="G53" s="890">
        <f>'P&amp;L - Concept B1 - Carnival'!I164</f>
        <v>56758.709879999995</v>
      </c>
      <c r="H53" s="890">
        <f>'P&amp;L - Concept B1 - Carnival'!J164</f>
        <v>57893.8840776</v>
      </c>
      <c r="I53" s="890">
        <f>'P&amp;L - Concept B1 - Carnival'!K164</f>
        <v>59051.761759152003</v>
      </c>
      <c r="J53" s="890">
        <f>'P&amp;L - Concept B1 - Carnival'!L164</f>
        <v>60232.796994335047</v>
      </c>
      <c r="K53" s="890">
        <f>'P&amp;L - Concept B1 - Carnival'!M164</f>
        <v>61437.452934221743</v>
      </c>
      <c r="L53" s="890">
        <f>'P&amp;L - Concept B1 - Carnival'!N164</f>
        <v>62666.201992906186</v>
      </c>
      <c r="M53" s="890">
        <f>'P&amp;L - Concept B1 - Carnival'!O164</f>
        <v>63919.526032764305</v>
      </c>
      <c r="N53" s="890">
        <f>'P&amp;L - Concept B1 - Carnival'!P164</f>
        <v>65197.916553419593</v>
      </c>
      <c r="O53" s="890">
        <f>'P&amp;L - Concept B1 - Carnival'!Q164</f>
        <v>66501.874884487988</v>
      </c>
      <c r="P53" s="890">
        <f>'P&amp;L - Concept B1 - Carnival'!R164</f>
        <v>67831.912382177747</v>
      </c>
      <c r="Q53" s="890">
        <f>'P&amp;L - Concept B1 - Carnival'!S164</f>
        <v>69188.5506298213</v>
      </c>
      <c r="R53" s="890">
        <f>'P&amp;L - Concept B1 - Carnival'!T164</f>
        <v>70572.321642417723</v>
      </c>
      <c r="S53" s="890">
        <f>'P&amp;L - Concept B1 - Carnival'!U164</f>
        <v>71983.768075266082</v>
      </c>
      <c r="T53" s="890">
        <f>'P&amp;L - Concept B1 - Carnival'!V164</f>
        <v>73423.443436771413</v>
      </c>
      <c r="U53" s="890">
        <f>'P&amp;L - Concept B1 - Carnival'!W164</f>
        <v>74891.912305506848</v>
      </c>
      <c r="V53" s="890">
        <f>'P&amp;L - Concept B1 - Carnival'!X164</f>
        <v>76389.750551616977</v>
      </c>
      <c r="W53" s="914">
        <f t="shared" si="2"/>
        <v>1221627.278132465</v>
      </c>
      <c r="X53" s="911"/>
      <c r="Y53" s="912"/>
      <c r="Z53" s="912"/>
      <c r="AA53" s="912"/>
    </row>
    <row r="54" spans="1:27" s="341" customFormat="1">
      <c r="A54" s="561" t="s">
        <v>127</v>
      </c>
      <c r="B54" s="561"/>
      <c r="C54" s="890">
        <f>SUM('P&amp;L - Concept B1 - Carnival'!E165:E167)</f>
        <v>858119.16</v>
      </c>
      <c r="D54" s="890">
        <f>SUM('P&amp;L - Concept B1 - Carnival'!F165:F167)</f>
        <v>858119.16</v>
      </c>
      <c r="E54" s="890">
        <f>SUM('P&amp;L - Concept B1 - Carnival'!G165:G167)</f>
        <v>858119.16</v>
      </c>
      <c r="F54" s="890">
        <f>SUM('P&amp;L - Concept B1 - Carnival'!H165:H167)</f>
        <v>858119.16</v>
      </c>
      <c r="G54" s="890">
        <f>SUM('P&amp;L - Concept B1 - Carnival'!I165:I167)</f>
        <v>858119.16</v>
      </c>
      <c r="H54" s="890">
        <f>SUM('P&amp;L - Concept B1 - Carnival'!J165:J167)</f>
        <v>858119.16</v>
      </c>
      <c r="I54" s="890">
        <f>SUM('P&amp;L - Concept B1 - Carnival'!K165:K167)</f>
        <v>858119.16</v>
      </c>
      <c r="J54" s="890">
        <f>SUM('P&amp;L - Concept B1 - Carnival'!L165:L167)</f>
        <v>858119.16</v>
      </c>
      <c r="K54" s="890">
        <f>SUM('P&amp;L - Concept B1 - Carnival'!M165:M167)</f>
        <v>858119.16</v>
      </c>
      <c r="L54" s="890">
        <f>SUM('P&amp;L - Concept B1 - Carnival'!N165:N167)</f>
        <v>858119.16</v>
      </c>
      <c r="M54" s="890">
        <f>SUM('P&amp;L - Concept B1 - Carnival'!O165:O167)</f>
        <v>858119.16</v>
      </c>
      <c r="N54" s="890">
        <f>SUM('P&amp;L - Concept B1 - Carnival'!P165:P167)</f>
        <v>858119.16</v>
      </c>
      <c r="O54" s="890">
        <f>SUM('P&amp;L - Concept B1 - Carnival'!Q165:Q167)</f>
        <v>858119.16</v>
      </c>
      <c r="P54" s="890">
        <f>SUM('P&amp;L - Concept B1 - Carnival'!R165:R167)</f>
        <v>858119.16</v>
      </c>
      <c r="Q54" s="890">
        <f>SUM('P&amp;L - Concept B1 - Carnival'!S165:S167)</f>
        <v>858119.16</v>
      </c>
      <c r="R54" s="890">
        <f>SUM('P&amp;L - Concept B1 - Carnival'!T165:T167)</f>
        <v>858119.16</v>
      </c>
      <c r="S54" s="890">
        <f>SUM('P&amp;L - Concept B1 - Carnival'!U165:U167)</f>
        <v>858119.16</v>
      </c>
      <c r="T54" s="890">
        <f>SUM('P&amp;L - Concept B1 - Carnival'!V165:V167)</f>
        <v>858119.16</v>
      </c>
      <c r="U54" s="890">
        <f>SUM('P&amp;L - Concept B1 - Carnival'!W165:W167)</f>
        <v>858119.16</v>
      </c>
      <c r="V54" s="890">
        <f>SUM('P&amp;L - Concept B1 - Carnival'!X165:X167)</f>
        <v>858119.16</v>
      </c>
      <c r="W54" s="914">
        <f t="shared" si="2"/>
        <v>17162383.199999999</v>
      </c>
      <c r="X54" s="913">
        <f>SUM(W53:W54)</f>
        <v>18384010.478132464</v>
      </c>
      <c r="Y54" s="912"/>
      <c r="Z54" s="912"/>
      <c r="AA54" s="912"/>
    </row>
    <row r="55" spans="1:27" s="341" customFormat="1">
      <c r="A55" s="561"/>
      <c r="B55" s="561"/>
      <c r="C55" s="890"/>
      <c r="D55" s="890"/>
      <c r="E55" s="890"/>
      <c r="F55" s="890"/>
      <c r="G55" s="890"/>
      <c r="H55" s="890"/>
      <c r="I55" s="890"/>
      <c r="J55" s="890"/>
      <c r="K55" s="890"/>
      <c r="L55" s="890"/>
      <c r="M55" s="890"/>
      <c r="N55" s="890"/>
      <c r="O55" s="890"/>
      <c r="P55" s="890"/>
      <c r="Q55" s="890"/>
      <c r="R55" s="890"/>
      <c r="S55" s="890"/>
      <c r="T55" s="890"/>
      <c r="U55" s="890"/>
      <c r="V55" s="890"/>
      <c r="W55" s="914"/>
      <c r="X55" s="915"/>
      <c r="Y55" s="912"/>
      <c r="Z55" s="912"/>
      <c r="AA55" s="912"/>
    </row>
    <row r="56" spans="1:27" s="341" customFormat="1">
      <c r="A56" s="561" t="s">
        <v>138</v>
      </c>
      <c r="B56" s="561"/>
      <c r="C56" s="890">
        <f>'P&amp;L - Concept B1 - Carnival'!E170</f>
        <v>-299391.66666666663</v>
      </c>
      <c r="D56" s="890">
        <f>'P&amp;L - Concept B1 - Carnival'!F170</f>
        <v>395886.80989078956</v>
      </c>
      <c r="E56" s="890">
        <f>'P&amp;L - Concept B1 - Carnival'!G170</f>
        <v>519413.51808860531</v>
      </c>
      <c r="F56" s="890">
        <f>'P&amp;L - Concept B1 - Carnival'!H170</f>
        <v>527581.78845037741</v>
      </c>
      <c r="G56" s="890">
        <f>'P&amp;L - Concept B1 - Carnival'!I170</f>
        <v>535913.42421938514</v>
      </c>
      <c r="H56" s="890">
        <f>'P&amp;L - Concept B1 - Carnival'!J170</f>
        <v>764187.81390857266</v>
      </c>
      <c r="I56" s="890">
        <f>'P&amp;L - Concept B1 - Carnival'!K170</f>
        <v>776826.08897711232</v>
      </c>
      <c r="J56" s="890">
        <f>'P&amp;L - Concept B1 - Carnival'!L170</f>
        <v>785180.21075665462</v>
      </c>
      <c r="K56" s="890">
        <f>'P&amp;L - Concept B1 - Carnival'!M170</f>
        <v>793701.4149717876</v>
      </c>
      <c r="L56" s="890">
        <f>'P&amp;L - Concept B1 - Carnival'!N170</f>
        <v>802393.04327122355</v>
      </c>
      <c r="M56" s="890">
        <f>'P&amp;L - Concept B1 - Carnival'!O170</f>
        <v>845680.59391526773</v>
      </c>
      <c r="N56" s="890">
        <f>'P&amp;L - Concept B1 - Carnival'!P170</f>
        <v>882918.77421938092</v>
      </c>
      <c r="O56" s="890">
        <f>'P&amp;L - Concept B1 - Carnival'!Q170</f>
        <v>892142.39970376843</v>
      </c>
      <c r="P56" s="890">
        <f>'P&amp;L - Concept B1 - Carnival'!R170</f>
        <v>901550.4976978437</v>
      </c>
      <c r="Q56" s="890">
        <f>'P&amp;L - Concept B1 - Carnival'!S170</f>
        <v>911146.75765180064</v>
      </c>
      <c r="R56" s="890">
        <f>'P&amp;L - Concept B1 - Carnival'!T170</f>
        <v>979325.37697399897</v>
      </c>
      <c r="S56" s="890">
        <f>'P&amp;L - Concept B1 - Carnival'!U170</f>
        <v>993636.3916609335</v>
      </c>
      <c r="T56" s="890">
        <f>'P&amp;L - Concept B1 - Carnival'!V170</f>
        <v>1003820.0194941519</v>
      </c>
      <c r="U56" s="890">
        <f>'P&amp;L - Concept B1 - Carnival'!W170</f>
        <v>1014207.3198840353</v>
      </c>
      <c r="V56" s="890">
        <f>'P&amp;L - Concept B1 - Carnival'!X170</f>
        <v>1024802.3662817159</v>
      </c>
      <c r="W56" s="914">
        <f t="shared" si="2"/>
        <v>15050922.94335074</v>
      </c>
      <c r="X56" s="916"/>
      <c r="Y56" s="912"/>
      <c r="Z56" s="912"/>
      <c r="AA56" s="912"/>
    </row>
    <row r="57" spans="1:27" s="341" customFormat="1">
      <c r="A57" s="561"/>
      <c r="B57" s="561"/>
      <c r="C57" s="890"/>
      <c r="D57" s="890"/>
      <c r="E57" s="890"/>
      <c r="F57" s="890"/>
      <c r="G57" s="890"/>
      <c r="H57" s="890"/>
      <c r="I57" s="890"/>
      <c r="J57" s="890"/>
      <c r="K57" s="890"/>
      <c r="L57" s="890"/>
      <c r="M57" s="890"/>
      <c r="N57" s="890"/>
      <c r="O57" s="890"/>
      <c r="P57" s="890"/>
      <c r="Q57" s="890"/>
      <c r="R57" s="890"/>
      <c r="S57" s="890"/>
      <c r="T57" s="890"/>
      <c r="U57" s="890"/>
      <c r="V57" s="890"/>
      <c r="W57" s="914"/>
      <c r="X57" s="911"/>
      <c r="Y57" s="912"/>
      <c r="Z57" s="912"/>
      <c r="AA57" s="912"/>
    </row>
    <row r="58" spans="1:27" s="341" customFormat="1">
      <c r="A58" s="893" t="s">
        <v>130</v>
      </c>
      <c r="B58" s="893"/>
      <c r="C58" s="894">
        <f>'P&amp;L - Concept B1 - Carnival'!E174</f>
        <v>-1157510.8266666667</v>
      </c>
      <c r="D58" s="894">
        <f>'P&amp;L - Concept B1 - Carnival'!F174</f>
        <v>-462232.35010921047</v>
      </c>
      <c r="E58" s="894">
        <f>'P&amp;L - Concept B1 - Carnival'!G174</f>
        <v>-338705.64191139466</v>
      </c>
      <c r="F58" s="894">
        <f>'P&amp;L - Concept B1 - Carnival'!H174</f>
        <v>-330537.37154962262</v>
      </c>
      <c r="G58" s="894">
        <f>'P&amp;L - Concept B1 - Carnival'!I174</f>
        <v>-322205.73578061489</v>
      </c>
      <c r="H58" s="894">
        <f>'P&amp;L - Concept B1 - Carnival'!J174</f>
        <v>-93931.346091427375</v>
      </c>
      <c r="I58" s="894">
        <f>'P&amp;L - Concept B1 - Carnival'!K174</f>
        <v>-81293.071022887714</v>
      </c>
      <c r="J58" s="894">
        <f>'P&amp;L - Concept B1 - Carnival'!L174</f>
        <v>-72938.949243345414</v>
      </c>
      <c r="K58" s="894">
        <f>'P&amp;L - Concept B1 - Carnival'!M174</f>
        <v>-64417.745028212434</v>
      </c>
      <c r="L58" s="894">
        <f>'P&amp;L - Concept B1 - Carnival'!N174</f>
        <v>-55726.116728776484</v>
      </c>
      <c r="M58" s="894">
        <f>'P&amp;L - Concept B1 - Carnival'!O174</f>
        <v>-12438.566084732302</v>
      </c>
      <c r="N58" s="894">
        <f>'P&amp;L - Concept B1 - Carnival'!P174</f>
        <v>24799.614219380892</v>
      </c>
      <c r="O58" s="894">
        <f>'P&amp;L - Concept B1 - Carnival'!Q174</f>
        <v>34023.239703768399</v>
      </c>
      <c r="P58" s="894">
        <f>'P&amp;L - Concept B1 - Carnival'!R174</f>
        <v>43431.337697843672</v>
      </c>
      <c r="Q58" s="894">
        <f>'P&amp;L - Concept B1 - Carnival'!S174</f>
        <v>53027.597651800606</v>
      </c>
      <c r="R58" s="894">
        <f>'P&amp;L - Concept B1 - Carnival'!T174</f>
        <v>121206.21697399893</v>
      </c>
      <c r="S58" s="894">
        <f>'P&amp;L - Concept B1 - Carnival'!U174</f>
        <v>135517.23166093347</v>
      </c>
      <c r="T58" s="894">
        <f>'P&amp;L - Concept B1 - Carnival'!V174</f>
        <v>145700.8594941519</v>
      </c>
      <c r="U58" s="894">
        <f>'P&amp;L - Concept B1 - Carnival'!W174</f>
        <v>156088.15988403524</v>
      </c>
      <c r="V58" s="894">
        <f>'P&amp;L - Concept B1 - Carnival'!X174</f>
        <v>166683.20628171589</v>
      </c>
      <c r="W58" s="914">
        <f>SUM(C58:V58)</f>
        <v>-2111460.2566492623</v>
      </c>
      <c r="X58" s="913"/>
      <c r="Y58" s="912"/>
      <c r="Z58" s="912"/>
      <c r="AA58" s="912"/>
    </row>
    <row r="59" spans="1:27" s="341" customFormat="1">
      <c r="A59" s="561" t="s">
        <v>404</v>
      </c>
      <c r="B59" s="708">
        <f>'P&amp;L - Concept B1 - Carnival'!B175</f>
        <v>-8.1972021378598936E-2</v>
      </c>
      <c r="C59" s="896"/>
      <c r="D59" s="896"/>
      <c r="E59" s="896"/>
      <c r="F59" s="896"/>
      <c r="G59" s="896"/>
      <c r="H59" s="896"/>
      <c r="I59" s="896"/>
      <c r="J59" s="896"/>
      <c r="K59" s="896"/>
      <c r="L59" s="896"/>
      <c r="M59" s="896"/>
      <c r="N59" s="896"/>
      <c r="O59" s="896"/>
      <c r="P59" s="896"/>
      <c r="Q59" s="896"/>
      <c r="R59" s="896"/>
      <c r="S59" s="896"/>
      <c r="T59" s="896"/>
      <c r="U59" s="896"/>
      <c r="V59" s="896"/>
      <c r="W59" s="910"/>
      <c r="X59" s="911"/>
      <c r="Y59" s="912"/>
      <c r="Z59" s="912"/>
      <c r="AA59" s="912"/>
    </row>
    <row r="60" spans="1:27" s="341" customFormat="1">
      <c r="A60" s="895"/>
      <c r="B60" s="895"/>
      <c r="C60" s="897"/>
      <c r="D60" s="897"/>
      <c r="E60" s="897"/>
      <c r="F60" s="897"/>
      <c r="G60" s="897"/>
      <c r="H60" s="897"/>
      <c r="I60" s="897"/>
      <c r="J60" s="897"/>
      <c r="K60" s="897"/>
      <c r="L60" s="897"/>
      <c r="M60" s="897"/>
      <c r="N60" s="897"/>
      <c r="O60" s="897"/>
      <c r="P60" s="897"/>
      <c r="Q60" s="897"/>
      <c r="R60" s="897"/>
      <c r="S60" s="897"/>
      <c r="T60" s="897"/>
      <c r="U60" s="897"/>
      <c r="V60" s="897"/>
      <c r="W60" s="910"/>
      <c r="X60" s="913"/>
      <c r="Y60" s="912"/>
      <c r="Z60" s="912"/>
      <c r="AA60" s="912"/>
    </row>
    <row r="61" spans="1:27" s="32" customFormat="1"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5"/>
      <c r="O61" s="625"/>
      <c r="P61" s="625"/>
      <c r="Q61" s="625"/>
      <c r="R61" s="625"/>
      <c r="S61" s="625"/>
      <c r="T61" s="625"/>
      <c r="U61" s="625"/>
      <c r="V61" s="625"/>
      <c r="W61" s="905"/>
      <c r="X61" s="906"/>
      <c r="Y61" s="904"/>
      <c r="Z61" s="904"/>
      <c r="AA61" s="904"/>
    </row>
    <row r="62" spans="1:27" s="32" customFormat="1">
      <c r="A62" s="47" t="s">
        <v>7</v>
      </c>
      <c r="B62" s="47"/>
      <c r="C62" s="47" t="s">
        <v>7</v>
      </c>
      <c r="D62" s="47" t="s">
        <v>7</v>
      </c>
      <c r="E62" s="47" t="s">
        <v>7</v>
      </c>
      <c r="F62" s="47" t="s">
        <v>7</v>
      </c>
      <c r="G62" s="47" t="s">
        <v>7</v>
      </c>
      <c r="H62" s="47" t="s">
        <v>7</v>
      </c>
      <c r="I62" s="47" t="s">
        <v>7</v>
      </c>
      <c r="J62" s="47" t="s">
        <v>7</v>
      </c>
      <c r="K62" s="47" t="s">
        <v>7</v>
      </c>
      <c r="L62" s="47" t="s">
        <v>7</v>
      </c>
      <c r="M62" s="47" t="s">
        <v>7</v>
      </c>
      <c r="N62" s="47" t="s">
        <v>7</v>
      </c>
      <c r="O62" s="47" t="s">
        <v>7</v>
      </c>
      <c r="P62" s="47" t="s">
        <v>7</v>
      </c>
      <c r="Q62" s="47" t="s">
        <v>7</v>
      </c>
      <c r="R62" s="47" t="s">
        <v>7</v>
      </c>
      <c r="S62" s="47" t="s">
        <v>7</v>
      </c>
      <c r="T62" s="47" t="s">
        <v>7</v>
      </c>
      <c r="U62" s="47" t="s">
        <v>7</v>
      </c>
      <c r="V62" s="47" t="s">
        <v>7</v>
      </c>
      <c r="W62" s="905"/>
      <c r="X62" s="907"/>
      <c r="Y62" s="904"/>
      <c r="Z62" s="904"/>
      <c r="AA62" s="904"/>
    </row>
    <row r="63" spans="1:27">
      <c r="C63" s="629"/>
      <c r="D63" s="629"/>
      <c r="E63" s="629"/>
      <c r="F63" s="629"/>
      <c r="G63" s="629"/>
      <c r="H63" s="629"/>
      <c r="I63" s="629"/>
      <c r="J63" s="629"/>
      <c r="K63" s="629"/>
      <c r="L63" s="629"/>
      <c r="M63" s="629"/>
      <c r="N63" s="629"/>
      <c r="O63" s="629"/>
      <c r="P63" s="629"/>
      <c r="Q63" s="629"/>
      <c r="R63" s="629"/>
      <c r="S63" s="629"/>
      <c r="T63" s="629"/>
      <c r="U63" s="629"/>
      <c r="V63" s="629"/>
      <c r="X63" s="904"/>
    </row>
    <row r="64" spans="1:27">
      <c r="A64" s="29"/>
      <c r="B64" s="72"/>
      <c r="C64" s="71">
        <v>2019</v>
      </c>
      <c r="D64" s="71">
        <v>2020</v>
      </c>
      <c r="E64" s="71">
        <v>2021</v>
      </c>
      <c r="F64" s="71">
        <v>2022</v>
      </c>
      <c r="G64" s="71">
        <v>2023</v>
      </c>
      <c r="H64" s="71">
        <v>2024</v>
      </c>
      <c r="I64" s="71">
        <v>2025</v>
      </c>
      <c r="J64" s="71">
        <v>2026</v>
      </c>
      <c r="K64" s="71">
        <v>2027</v>
      </c>
      <c r="L64" s="71">
        <v>2028</v>
      </c>
      <c r="M64" s="71">
        <v>2029</v>
      </c>
      <c r="N64" s="71">
        <v>2030</v>
      </c>
      <c r="O64" s="71">
        <v>2031</v>
      </c>
      <c r="P64" s="71">
        <v>2032</v>
      </c>
      <c r="Q64" s="71">
        <v>2033</v>
      </c>
      <c r="R64" s="71">
        <v>2034</v>
      </c>
      <c r="S64" s="71">
        <v>2035</v>
      </c>
      <c r="T64" s="71">
        <v>2036</v>
      </c>
      <c r="U64" s="71">
        <v>2037</v>
      </c>
      <c r="V64" s="71">
        <v>2038</v>
      </c>
      <c r="X64" s="904"/>
    </row>
    <row r="65" spans="1:27">
      <c r="C65" s="629"/>
      <c r="D65" s="629"/>
      <c r="E65" s="629"/>
      <c r="F65" s="629"/>
      <c r="G65" s="629"/>
      <c r="H65" s="629"/>
      <c r="I65" s="629"/>
      <c r="J65" s="629"/>
      <c r="K65" s="629"/>
      <c r="L65" s="629"/>
      <c r="M65" s="629"/>
      <c r="N65" s="629"/>
      <c r="O65" s="629"/>
      <c r="P65" s="629"/>
      <c r="Q65" s="629"/>
      <c r="R65" s="629"/>
      <c r="S65" s="629"/>
      <c r="T65" s="629"/>
      <c r="U65" s="629"/>
      <c r="V65" s="629"/>
    </row>
    <row r="66" spans="1:27" s="341" customFormat="1">
      <c r="A66" s="887" t="s">
        <v>392</v>
      </c>
      <c r="B66" s="887"/>
      <c r="C66" s="888"/>
      <c r="D66" s="888"/>
      <c r="E66" s="888"/>
      <c r="F66" s="888"/>
      <c r="G66" s="888"/>
      <c r="H66" s="888"/>
      <c r="I66" s="888"/>
      <c r="J66" s="888"/>
      <c r="K66" s="888"/>
      <c r="L66" s="888"/>
      <c r="M66" s="888"/>
      <c r="N66" s="888"/>
      <c r="O66" s="888"/>
      <c r="P66" s="888"/>
      <c r="Q66" s="888"/>
      <c r="R66" s="888"/>
      <c r="S66" s="888"/>
      <c r="T66" s="888"/>
      <c r="U66" s="888"/>
      <c r="V66" s="888"/>
      <c r="W66" s="910"/>
      <c r="X66" s="912"/>
      <c r="Y66" s="912"/>
      <c r="Z66" s="912"/>
      <c r="AA66" s="912"/>
    </row>
    <row r="67" spans="1:27" s="341" customFormat="1">
      <c r="A67" s="573"/>
      <c r="B67" s="573"/>
      <c r="C67" s="889"/>
      <c r="D67" s="889"/>
      <c r="E67" s="889"/>
      <c r="F67" s="889"/>
      <c r="G67" s="889"/>
      <c r="H67" s="889"/>
      <c r="I67" s="889"/>
      <c r="J67" s="889"/>
      <c r="K67" s="889"/>
      <c r="L67" s="889"/>
      <c r="M67" s="889"/>
      <c r="N67" s="889"/>
      <c r="O67" s="889"/>
      <c r="P67" s="889"/>
      <c r="Q67" s="889"/>
      <c r="R67" s="889"/>
      <c r="S67" s="889"/>
      <c r="T67" s="889"/>
      <c r="U67" s="889"/>
      <c r="V67" s="889"/>
      <c r="W67" s="910"/>
      <c r="X67" s="912"/>
      <c r="Y67" s="912"/>
      <c r="Z67" s="912"/>
      <c r="AA67" s="912"/>
    </row>
    <row r="68" spans="1:27" s="341" customFormat="1">
      <c r="A68" s="561" t="s">
        <v>148</v>
      </c>
      <c r="B68" s="561"/>
      <c r="C68" s="890">
        <f>'P&amp;L - Concept B1 - RCCL'!E119</f>
        <v>58025</v>
      </c>
      <c r="D68" s="890">
        <f>'P&amp;L - Concept B1 - RCCL'!F119</f>
        <v>1162622.3325893106</v>
      </c>
      <c r="E68" s="890">
        <f>'P&amp;L - Concept B1 - RCCL'!G119</f>
        <v>1302607.1792410968</v>
      </c>
      <c r="F68" s="890">
        <f>'P&amp;L - Concept B1 - RCCL'!H119</f>
        <v>1326439.3228259187</v>
      </c>
      <c r="G68" s="890">
        <f>'P&amp;L - Concept B1 - RCCL'!I119</f>
        <v>1350748.1092824372</v>
      </c>
      <c r="H68" s="890">
        <f>'P&amp;L - Concept B1 - RCCL'!J119</f>
        <v>1623663.0714680857</v>
      </c>
      <c r="I68" s="890">
        <f>'P&amp;L - Concept B1 - RCCL'!K119</f>
        <v>1648953.9328974474</v>
      </c>
      <c r="J68" s="890">
        <f>'P&amp;L - Concept B1 - RCCL'!L119</f>
        <v>1674750.6115553963</v>
      </c>
      <c r="K68" s="890">
        <f>'P&amp;L - Concept B1 - RCCL'!M119</f>
        <v>1701063.2237865047</v>
      </c>
      <c r="L68" s="890">
        <f>'P&amp;L - Concept B1 - RCCL'!N119</f>
        <v>1727902.0882622346</v>
      </c>
      <c r="M68" s="890">
        <f>'P&amp;L - Concept B1 - RCCL'!O119</f>
        <v>1817895.2300274796</v>
      </c>
      <c r="N68" s="890">
        <f>'P&amp;L - Concept B1 - RCCL'!P119</f>
        <v>1845818.3846280293</v>
      </c>
      <c r="O68" s="890">
        <f>'P&amp;L - Concept B1 - RCCL'!Q119</f>
        <v>1874300.0023205895</v>
      </c>
      <c r="P68" s="890">
        <f>'P&amp;L - Concept B1 - RCCL'!R119</f>
        <v>1903351.2523670013</v>
      </c>
      <c r="Q68" s="890">
        <f>'P&amp;L - Concept B1 - RCCL'!S119</f>
        <v>1932983.5274143415</v>
      </c>
      <c r="R68" s="890">
        <f>'P&amp;L - Concept B1 - RCCL'!T119</f>
        <v>2025925.9479626282</v>
      </c>
      <c r="S68" s="890">
        <f>'P&amp;L - Concept B1 - RCCL'!U119</f>
        <v>2056755.366921881</v>
      </c>
      <c r="T68" s="890">
        <f>'P&amp;L - Concept B1 - RCCL'!V119</f>
        <v>2088201.3742603185</v>
      </c>
      <c r="U68" s="890">
        <f>'P&amp;L - Concept B1 - RCCL'!W119</f>
        <v>2120276.3017455256</v>
      </c>
      <c r="V68" s="890">
        <f>'P&amp;L - Concept B1 - RCCL'!X119</f>
        <v>2152992.7277804357</v>
      </c>
      <c r="W68" s="914">
        <f t="shared" ref="W68:W75" si="3">SUM(C68:V68)</f>
        <v>33395274.987336658</v>
      </c>
      <c r="X68" s="912"/>
      <c r="Y68" s="912"/>
      <c r="Z68" s="912"/>
      <c r="AA68" s="912"/>
    </row>
    <row r="69" spans="1:27" s="341" customFormat="1">
      <c r="A69" s="891" t="s">
        <v>140</v>
      </c>
      <c r="B69" s="891"/>
      <c r="C69" s="892">
        <f>'P&amp;L - Concept B1 - RCCL'!E152</f>
        <v>357416.66666666663</v>
      </c>
      <c r="D69" s="892">
        <f>'P&amp;L - Concept B1 - RCCL'!F152</f>
        <v>826389.34615384613</v>
      </c>
      <c r="E69" s="892">
        <f>'P&amp;L - Concept B1 - RCCL'!G152</f>
        <v>844040.56107692316</v>
      </c>
      <c r="F69" s="892">
        <f>'P&amp;L - Concept B1 - RCCL'!H152</f>
        <v>860921.3722984615</v>
      </c>
      <c r="G69" s="892">
        <f>'P&amp;L - Concept B1 - RCCL'!I152</f>
        <v>878139.79974443081</v>
      </c>
      <c r="H69" s="892">
        <f>'P&amp;L - Concept B1 - RCCL'!J152</f>
        <v>924046.47453451937</v>
      </c>
      <c r="I69" s="892">
        <f>'P&amp;L - Concept B1 - RCCL'!K152</f>
        <v>937990.4852348417</v>
      </c>
      <c r="J69" s="892">
        <f>'P&amp;L - Concept B1 - RCCL'!L152</f>
        <v>956750.29493953846</v>
      </c>
      <c r="K69" s="892">
        <f>'P&amp;L - Concept B1 - RCCL'!M152</f>
        <v>975885.3008383296</v>
      </c>
      <c r="L69" s="892">
        <f>'P&amp;L - Concept B1 - RCCL'!N152</f>
        <v>995403.00685509597</v>
      </c>
      <c r="M69" s="892">
        <f>'P&amp;L - Concept B1 - RCCL'!O152</f>
        <v>1043506.4772135783</v>
      </c>
      <c r="N69" s="892">
        <f>'P&amp;L - Concept B1 - RCCL'!P152</f>
        <v>1035617.2883320421</v>
      </c>
      <c r="O69" s="892">
        <f>'P&amp;L - Concept B1 - RCCL'!Q152</f>
        <v>1056329.6340986828</v>
      </c>
      <c r="P69" s="892">
        <f>'P&amp;L - Concept B1 - RCCL'!R152</f>
        <v>1077456.2267806565</v>
      </c>
      <c r="Q69" s="892">
        <f>'P&amp;L - Concept B1 - RCCL'!S152</f>
        <v>1099005.3513162697</v>
      </c>
      <c r="R69" s="892">
        <f>'P&amp;L - Concept B1 - RCCL'!T152</f>
        <v>1125312.524173433</v>
      </c>
      <c r="S69" s="892">
        <f>'P&amp;L - Concept B1 - RCCL'!U152</f>
        <v>1143405.1675094471</v>
      </c>
      <c r="T69" s="892">
        <f>'P&amp;L - Concept B1 - RCCL'!V152</f>
        <v>1166273.2708596359</v>
      </c>
      <c r="U69" s="892">
        <f>'P&amp;L - Concept B1 - RCCL'!W152</f>
        <v>1189598.7362768287</v>
      </c>
      <c r="V69" s="892">
        <f>'P&amp;L - Concept B1 - RCCL'!X152</f>
        <v>1213390.7110023652</v>
      </c>
      <c r="W69" s="914">
        <f t="shared" si="3"/>
        <v>19706878.695905592</v>
      </c>
      <c r="X69" s="912"/>
      <c r="Y69" s="912"/>
      <c r="Z69" s="912"/>
      <c r="AA69" s="912"/>
    </row>
    <row r="70" spans="1:27" s="341" customFormat="1">
      <c r="A70" s="573" t="s">
        <v>116</v>
      </c>
      <c r="B70" s="573"/>
      <c r="C70" s="890">
        <f>'P&amp;L - Concept B1 - RCCL'!E156</f>
        <v>-299391.66666666663</v>
      </c>
      <c r="D70" s="890">
        <f>'P&amp;L - Concept B1 - RCCL'!F156</f>
        <v>336232.98643546447</v>
      </c>
      <c r="E70" s="890">
        <f>'P&amp;L - Concept B1 - RCCL'!G156</f>
        <v>458566.61816417368</v>
      </c>
      <c r="F70" s="890">
        <f>'P&amp;L - Concept B1 - RCCL'!H156</f>
        <v>465517.95052745717</v>
      </c>
      <c r="G70" s="890">
        <f>'P&amp;L - Concept B1 - RCCL'!I156</f>
        <v>472608.30953800643</v>
      </c>
      <c r="H70" s="890">
        <f>'P&amp;L - Concept B1 - RCCL'!J156</f>
        <v>699616.59693356638</v>
      </c>
      <c r="I70" s="890">
        <f>'P&amp;L - Concept B1 - RCCL'!K156</f>
        <v>710963.44766260567</v>
      </c>
      <c r="J70" s="890">
        <f>'P&amp;L - Concept B1 - RCCL'!L156</f>
        <v>718000.31661585788</v>
      </c>
      <c r="K70" s="890">
        <f>'P&amp;L - Concept B1 - RCCL'!M156</f>
        <v>725177.92294817511</v>
      </c>
      <c r="L70" s="890">
        <f>'P&amp;L - Concept B1 - RCCL'!N156</f>
        <v>732499.08140713861</v>
      </c>
      <c r="M70" s="890">
        <f>'P&amp;L - Concept B1 - RCCL'!O156</f>
        <v>774388.75281390129</v>
      </c>
      <c r="N70" s="890">
        <f>'P&amp;L - Concept B1 - RCCL'!P156</f>
        <v>810201.09629598726</v>
      </c>
      <c r="O70" s="890">
        <f>'P&amp;L - Concept B1 - RCCL'!Q156</f>
        <v>817970.36822190671</v>
      </c>
      <c r="P70" s="890">
        <f>'P&amp;L - Concept B1 - RCCL'!R156</f>
        <v>825895.02558634477</v>
      </c>
      <c r="Q70" s="890">
        <f>'P&amp;L - Concept B1 - RCCL'!S156</f>
        <v>833978.17609807174</v>
      </c>
      <c r="R70" s="890">
        <f>'P&amp;L - Concept B1 - RCCL'!T156</f>
        <v>900613.42378919525</v>
      </c>
      <c r="S70" s="890">
        <f>'P&amp;L - Concept B1 - RCCL'!U156</f>
        <v>913350.1994124339</v>
      </c>
      <c r="T70" s="890">
        <f>'P&amp;L - Concept B1 - RCCL'!V156</f>
        <v>921928.10340068256</v>
      </c>
      <c r="U70" s="890">
        <f>'P&amp;L - Concept B1 - RCCL'!W156</f>
        <v>930677.56546869688</v>
      </c>
      <c r="V70" s="890">
        <f>'P&amp;L - Concept B1 - RCCL'!X156</f>
        <v>939602.01677807048</v>
      </c>
      <c r="W70" s="914">
        <f t="shared" si="3"/>
        <v>13688396.291431071</v>
      </c>
      <c r="X70" s="912"/>
      <c r="Y70" s="912"/>
      <c r="Z70" s="912"/>
      <c r="AA70" s="912"/>
    </row>
    <row r="71" spans="1:27" s="341" customFormat="1">
      <c r="A71" s="561"/>
      <c r="B71" s="561"/>
      <c r="C71" s="890"/>
      <c r="D71" s="890"/>
      <c r="E71" s="890"/>
      <c r="F71" s="890"/>
      <c r="G71" s="890"/>
      <c r="H71" s="890"/>
      <c r="I71" s="890"/>
      <c r="J71" s="890"/>
      <c r="K71" s="890"/>
      <c r="L71" s="890"/>
      <c r="M71" s="890"/>
      <c r="N71" s="890"/>
      <c r="O71" s="890"/>
      <c r="P71" s="890"/>
      <c r="Q71" s="890"/>
      <c r="R71" s="890"/>
      <c r="S71" s="890"/>
      <c r="T71" s="890"/>
      <c r="U71" s="890"/>
      <c r="V71" s="890"/>
      <c r="W71" s="914"/>
      <c r="X71" s="912"/>
      <c r="Y71" s="912"/>
      <c r="Z71" s="912"/>
      <c r="AA71" s="912"/>
    </row>
    <row r="72" spans="1:27" s="341" customFormat="1">
      <c r="A72" s="561" t="s">
        <v>136</v>
      </c>
      <c r="B72" s="561"/>
      <c r="C72" s="890">
        <f>'P&amp;L - Concept B1 - RCCL'!E164</f>
        <v>0</v>
      </c>
      <c r="D72" s="890">
        <f>'P&amp;L - Concept B1 - RCCL'!F164</f>
        <v>53485</v>
      </c>
      <c r="E72" s="890">
        <f>'P&amp;L - Concept B1 - RCCL'!G164</f>
        <v>54554.700000000004</v>
      </c>
      <c r="F72" s="890">
        <f>'P&amp;L - Concept B1 - RCCL'!H164</f>
        <v>55645.794000000002</v>
      </c>
      <c r="G72" s="890">
        <f>'P&amp;L - Concept B1 - RCCL'!I164</f>
        <v>56758.709879999995</v>
      </c>
      <c r="H72" s="890">
        <f>'P&amp;L - Concept B1 - RCCL'!J164</f>
        <v>57893.8840776</v>
      </c>
      <c r="I72" s="890">
        <f>'P&amp;L - Concept B1 - RCCL'!K164</f>
        <v>59051.761759152003</v>
      </c>
      <c r="J72" s="890">
        <f>'P&amp;L - Concept B1 - RCCL'!L164</f>
        <v>60232.796994335047</v>
      </c>
      <c r="K72" s="890">
        <f>'P&amp;L - Concept B1 - RCCL'!M164</f>
        <v>61437.452934221743</v>
      </c>
      <c r="L72" s="890">
        <f>'P&amp;L - Concept B1 - RCCL'!N164</f>
        <v>62666.201992906186</v>
      </c>
      <c r="M72" s="890">
        <f>'P&amp;L - Concept B1 - RCCL'!O164</f>
        <v>63919.526032764305</v>
      </c>
      <c r="N72" s="890">
        <f>'P&amp;L - Concept B1 - RCCL'!P164</f>
        <v>65197.916553419593</v>
      </c>
      <c r="O72" s="890">
        <f>'P&amp;L - Concept B1 - RCCL'!Q164</f>
        <v>66501.874884487988</v>
      </c>
      <c r="P72" s="890">
        <f>'P&amp;L - Concept B1 - RCCL'!R164</f>
        <v>67831.912382177747</v>
      </c>
      <c r="Q72" s="890">
        <f>'P&amp;L - Concept B1 - RCCL'!S164</f>
        <v>69188.5506298213</v>
      </c>
      <c r="R72" s="890">
        <f>'P&amp;L - Concept B1 - RCCL'!T164</f>
        <v>70572.321642417723</v>
      </c>
      <c r="S72" s="890">
        <f>'P&amp;L - Concept B1 - RCCL'!U164</f>
        <v>71983.768075266082</v>
      </c>
      <c r="T72" s="890">
        <f>'P&amp;L - Concept B1 - RCCL'!V164</f>
        <v>73423.443436771413</v>
      </c>
      <c r="U72" s="890">
        <f>'P&amp;L - Concept B1 - RCCL'!W164</f>
        <v>74891.912305506848</v>
      </c>
      <c r="V72" s="890">
        <f>'P&amp;L - Concept B1 - RCCL'!X164</f>
        <v>76389.750551616977</v>
      </c>
      <c r="W72" s="914">
        <f t="shared" si="3"/>
        <v>1221627.278132465</v>
      </c>
      <c r="X72" s="912"/>
      <c r="Y72" s="912"/>
      <c r="Z72" s="912"/>
      <c r="AA72" s="912"/>
    </row>
    <row r="73" spans="1:27" s="341" customFormat="1">
      <c r="A73" s="561" t="s">
        <v>127</v>
      </c>
      <c r="B73" s="561"/>
      <c r="C73" s="890">
        <f>SUM('P&amp;L - Concept B1 - RCCL'!E165:E167)</f>
        <v>858119.16</v>
      </c>
      <c r="D73" s="890">
        <f>SUM('P&amp;L - Concept B1 - RCCL'!F165:F167)</f>
        <v>858119.16</v>
      </c>
      <c r="E73" s="890">
        <f>SUM('P&amp;L - Concept B1 - RCCL'!G165:G167)</f>
        <v>858119.16</v>
      </c>
      <c r="F73" s="890">
        <f>SUM('P&amp;L - Concept B1 - RCCL'!H165:H167)</f>
        <v>858119.16</v>
      </c>
      <c r="G73" s="890">
        <f>SUM('P&amp;L - Concept B1 - RCCL'!I165:I167)</f>
        <v>858119.16</v>
      </c>
      <c r="H73" s="890">
        <f>SUM('P&amp;L - Concept B1 - RCCL'!J165:J167)</f>
        <v>858119.16</v>
      </c>
      <c r="I73" s="890">
        <f>SUM('P&amp;L - Concept B1 - RCCL'!K165:K167)</f>
        <v>858119.16</v>
      </c>
      <c r="J73" s="890">
        <f>SUM('P&amp;L - Concept B1 - RCCL'!L165:L167)</f>
        <v>858119.16</v>
      </c>
      <c r="K73" s="890">
        <f>SUM('P&amp;L - Concept B1 - RCCL'!M165:M167)</f>
        <v>858119.16</v>
      </c>
      <c r="L73" s="890">
        <f>SUM('P&amp;L - Concept B1 - RCCL'!N165:N167)</f>
        <v>858119.16</v>
      </c>
      <c r="M73" s="890">
        <f>SUM('P&amp;L - Concept B1 - RCCL'!O165:O167)</f>
        <v>858119.16</v>
      </c>
      <c r="N73" s="890">
        <f>SUM('P&amp;L - Concept B1 - RCCL'!P165:P167)</f>
        <v>858119.16</v>
      </c>
      <c r="O73" s="890">
        <f>SUM('P&amp;L - Concept B1 - RCCL'!Q165:Q167)</f>
        <v>858119.16</v>
      </c>
      <c r="P73" s="890">
        <f>SUM('P&amp;L - Concept B1 - RCCL'!R165:R167)</f>
        <v>858119.16</v>
      </c>
      <c r="Q73" s="890">
        <f>SUM('P&amp;L - Concept B1 - RCCL'!S165:S167)</f>
        <v>858119.16</v>
      </c>
      <c r="R73" s="890">
        <f>SUM('P&amp;L - Concept B1 - RCCL'!T165:T167)</f>
        <v>858119.16</v>
      </c>
      <c r="S73" s="890">
        <f>SUM('P&amp;L - Concept B1 - RCCL'!U165:U167)</f>
        <v>858119.16</v>
      </c>
      <c r="T73" s="890">
        <f>SUM('P&amp;L - Concept B1 - RCCL'!V165:V167)</f>
        <v>858119.16</v>
      </c>
      <c r="U73" s="890">
        <f>SUM('P&amp;L - Concept B1 - RCCL'!W165:W167)</f>
        <v>858119.16</v>
      </c>
      <c r="V73" s="890">
        <f>SUM('P&amp;L - Concept B1 - RCCL'!X165:X167)</f>
        <v>858119.16</v>
      </c>
      <c r="W73" s="914">
        <f t="shared" si="3"/>
        <v>17162383.199999999</v>
      </c>
      <c r="X73" s="912">
        <f>SUM(W72:W73)</f>
        <v>18384010.478132464</v>
      </c>
      <c r="Y73" s="912"/>
      <c r="Z73" s="912"/>
      <c r="AA73" s="912"/>
    </row>
    <row r="74" spans="1:27" s="341" customFormat="1">
      <c r="A74" s="561"/>
      <c r="B74" s="561"/>
      <c r="C74" s="890"/>
      <c r="D74" s="890"/>
      <c r="E74" s="890"/>
      <c r="F74" s="890"/>
      <c r="G74" s="890"/>
      <c r="H74" s="890"/>
      <c r="I74" s="890"/>
      <c r="J74" s="890"/>
      <c r="K74" s="890"/>
      <c r="L74" s="890"/>
      <c r="M74" s="890"/>
      <c r="N74" s="890"/>
      <c r="O74" s="890"/>
      <c r="P74" s="890"/>
      <c r="Q74" s="890"/>
      <c r="R74" s="890"/>
      <c r="S74" s="890"/>
      <c r="T74" s="890"/>
      <c r="U74" s="890"/>
      <c r="V74" s="890"/>
      <c r="W74" s="914"/>
      <c r="X74" s="912"/>
      <c r="Y74" s="912"/>
      <c r="Z74" s="912"/>
      <c r="AA74" s="912"/>
    </row>
    <row r="75" spans="1:27" s="341" customFormat="1">
      <c r="A75" s="561" t="s">
        <v>138</v>
      </c>
      <c r="B75" s="561"/>
      <c r="C75" s="890">
        <f>'P&amp;L - Concept B1 - RCCL'!E170</f>
        <v>-299391.66666666663</v>
      </c>
      <c r="D75" s="890">
        <f>'P&amp;L - Concept B1 - RCCL'!F170</f>
        <v>282747.98643546447</v>
      </c>
      <c r="E75" s="890">
        <f>'P&amp;L - Concept B1 - RCCL'!G170</f>
        <v>404011.91816417366</v>
      </c>
      <c r="F75" s="890">
        <f>'P&amp;L - Concept B1 - RCCL'!H170</f>
        <v>409872.15652745718</v>
      </c>
      <c r="G75" s="890">
        <f>'P&amp;L - Concept B1 - RCCL'!I170</f>
        <v>415849.59965800645</v>
      </c>
      <c r="H75" s="890">
        <f>'P&amp;L - Concept B1 - RCCL'!J170</f>
        <v>641722.71285596641</v>
      </c>
      <c r="I75" s="890">
        <f>'P&amp;L - Concept B1 - RCCL'!K170</f>
        <v>651911.68590345362</v>
      </c>
      <c r="J75" s="890">
        <f>'P&amp;L - Concept B1 - RCCL'!L170</f>
        <v>657767.51962152286</v>
      </c>
      <c r="K75" s="890">
        <f>'P&amp;L - Concept B1 - RCCL'!M170</f>
        <v>663740.4700139534</v>
      </c>
      <c r="L75" s="890">
        <f>'P&amp;L - Concept B1 - RCCL'!N170</f>
        <v>669832.87941423245</v>
      </c>
      <c r="M75" s="890">
        <f>'P&amp;L - Concept B1 - RCCL'!O170</f>
        <v>710469.22678113694</v>
      </c>
      <c r="N75" s="890">
        <f>'P&amp;L - Concept B1 - RCCL'!P170</f>
        <v>745003.17974256771</v>
      </c>
      <c r="O75" s="890">
        <f>'P&amp;L - Concept B1 - RCCL'!Q170</f>
        <v>751468.49333741877</v>
      </c>
      <c r="P75" s="890">
        <f>'P&amp;L - Concept B1 - RCCL'!R170</f>
        <v>758063.11320416699</v>
      </c>
      <c r="Q75" s="890">
        <f>'P&amp;L - Concept B1 - RCCL'!S170</f>
        <v>764789.62546825048</v>
      </c>
      <c r="R75" s="890">
        <f>'P&amp;L - Concept B1 - RCCL'!T170</f>
        <v>830041.10214677756</v>
      </c>
      <c r="S75" s="890">
        <f>'P&amp;L - Concept B1 - RCCL'!U170</f>
        <v>841366.43133716786</v>
      </c>
      <c r="T75" s="890">
        <f>'P&amp;L - Concept B1 - RCCL'!V170</f>
        <v>848504.65996391117</v>
      </c>
      <c r="U75" s="890">
        <f>'P&amp;L - Concept B1 - RCCL'!W170</f>
        <v>855785.65316319</v>
      </c>
      <c r="V75" s="890">
        <f>'P&amp;L - Concept B1 - RCCL'!X170</f>
        <v>863212.26622645347</v>
      </c>
      <c r="W75" s="914">
        <f t="shared" si="3"/>
        <v>12466769.013298607</v>
      </c>
      <c r="X75" s="912"/>
      <c r="Y75" s="912"/>
      <c r="Z75" s="912"/>
      <c r="AA75" s="912"/>
    </row>
    <row r="76" spans="1:27" s="341" customFormat="1">
      <c r="A76" s="561"/>
      <c r="B76" s="561"/>
      <c r="C76" s="890"/>
      <c r="D76" s="890"/>
      <c r="E76" s="890"/>
      <c r="F76" s="890"/>
      <c r="G76" s="890"/>
      <c r="H76" s="890"/>
      <c r="I76" s="890"/>
      <c r="J76" s="890"/>
      <c r="K76" s="890"/>
      <c r="L76" s="890"/>
      <c r="M76" s="890"/>
      <c r="N76" s="890"/>
      <c r="O76" s="890"/>
      <c r="P76" s="890"/>
      <c r="Q76" s="890"/>
      <c r="R76" s="890"/>
      <c r="S76" s="890"/>
      <c r="T76" s="890"/>
      <c r="U76" s="890"/>
      <c r="V76" s="890"/>
      <c r="W76" s="914"/>
      <c r="X76" s="912"/>
      <c r="Y76" s="912"/>
      <c r="Z76" s="912"/>
      <c r="AA76" s="912"/>
    </row>
    <row r="77" spans="1:27" s="341" customFormat="1">
      <c r="A77" s="893" t="s">
        <v>130</v>
      </c>
      <c r="B77" s="893"/>
      <c r="C77" s="894">
        <f>'P&amp;L - Concept B1 - RCCL'!E174</f>
        <v>-1157510.8266666667</v>
      </c>
      <c r="D77" s="894">
        <f>'P&amp;L - Concept B1 - RCCL'!F174</f>
        <v>-575371.17356453557</v>
      </c>
      <c r="E77" s="894">
        <f>'P&amp;L - Concept B1 - RCCL'!G174</f>
        <v>-454107.24183582631</v>
      </c>
      <c r="F77" s="894">
        <f>'P&amp;L - Concept B1 - RCCL'!H174</f>
        <v>-448247.00347254286</v>
      </c>
      <c r="G77" s="894">
        <f>'P&amp;L - Concept B1 - RCCL'!I174</f>
        <v>-442269.56034199358</v>
      </c>
      <c r="H77" s="894">
        <f>'P&amp;L - Concept B1 - RCCL'!J174</f>
        <v>-216396.44714403362</v>
      </c>
      <c r="I77" s="894">
        <f>'P&amp;L - Concept B1 - RCCL'!K174</f>
        <v>-206207.47409654642</v>
      </c>
      <c r="J77" s="894">
        <f>'P&amp;L - Concept B1 - RCCL'!L174</f>
        <v>-200351.64037847717</v>
      </c>
      <c r="K77" s="894">
        <f>'P&amp;L - Concept B1 - RCCL'!M174</f>
        <v>-194378.68998604664</v>
      </c>
      <c r="L77" s="894">
        <f>'P&amp;L - Concept B1 - RCCL'!N174</f>
        <v>-188286.28058576758</v>
      </c>
      <c r="M77" s="894">
        <f>'P&amp;L - Concept B1 - RCCL'!O174</f>
        <v>-147649.93321886309</v>
      </c>
      <c r="N77" s="894">
        <f>'P&amp;L - Concept B1 - RCCL'!P174</f>
        <v>-113115.98025743233</v>
      </c>
      <c r="O77" s="894">
        <f>'P&amp;L - Concept B1 - RCCL'!Q174</f>
        <v>-106650.66666258126</v>
      </c>
      <c r="P77" s="894">
        <f>'P&amp;L - Concept B1 - RCCL'!R174</f>
        <v>-100056.04679583304</v>
      </c>
      <c r="Q77" s="894">
        <f>'P&amp;L - Concept B1 - RCCL'!S174</f>
        <v>-93329.534531749552</v>
      </c>
      <c r="R77" s="894">
        <f>'P&amp;L - Concept B1 - RCCL'!T174</f>
        <v>-28078.057853222475</v>
      </c>
      <c r="S77" s="894">
        <f>'P&amp;L - Concept B1 - RCCL'!U174</f>
        <v>-16752.728662832174</v>
      </c>
      <c r="T77" s="894">
        <f>'P&amp;L - Concept B1 - RCCL'!V174</f>
        <v>-9614.5000360888662</v>
      </c>
      <c r="U77" s="894">
        <f>'P&amp;L - Concept B1 - RCCL'!W174</f>
        <v>-2333.5068368100328</v>
      </c>
      <c r="V77" s="894">
        <f>'P&amp;L - Concept B1 - RCCL'!X174</f>
        <v>5093.1062264534412</v>
      </c>
      <c r="W77" s="914">
        <f>SUM(C77:V77)</f>
        <v>-4695614.1867013955</v>
      </c>
      <c r="X77" s="912"/>
      <c r="Y77" s="912"/>
      <c r="Z77" s="912"/>
      <c r="AA77" s="912"/>
    </row>
    <row r="78" spans="1:27" s="341" customFormat="1">
      <c r="A78" s="561" t="s">
        <v>404</v>
      </c>
      <c r="B78" s="708" t="e">
        <f>'P&amp;L - Concept B1 - RCCL'!B175</f>
        <v>#NUM!</v>
      </c>
      <c r="W78" s="910"/>
      <c r="X78" s="912"/>
      <c r="Y78" s="912"/>
      <c r="Z78" s="912"/>
      <c r="AA78" s="912"/>
    </row>
    <row r="79" spans="1:27">
      <c r="A79" s="131"/>
      <c r="B79" s="131"/>
      <c r="C79" s="131"/>
      <c r="D79" s="131"/>
      <c r="E79" s="131"/>
      <c r="F79" s="131"/>
      <c r="G79" s="131"/>
      <c r="H79" s="131"/>
      <c r="I79" s="131"/>
      <c r="J79" s="131"/>
      <c r="K79" s="131"/>
      <c r="L79" s="131"/>
      <c r="M79" s="131"/>
      <c r="N79" s="131"/>
      <c r="O79" s="131"/>
      <c r="P79" s="131"/>
      <c r="Q79" s="131"/>
      <c r="R79" s="131"/>
      <c r="S79" s="131"/>
      <c r="T79" s="131"/>
      <c r="U79" s="131"/>
      <c r="V79" s="131"/>
    </row>
    <row r="81" spans="1:27" s="32" customFormat="1">
      <c r="A81" s="47" t="s">
        <v>7</v>
      </c>
      <c r="B81" s="47"/>
      <c r="C81" s="47" t="s">
        <v>7</v>
      </c>
      <c r="D81" s="47" t="s">
        <v>7</v>
      </c>
      <c r="E81" s="47" t="s">
        <v>7</v>
      </c>
      <c r="F81" s="47" t="s">
        <v>7</v>
      </c>
      <c r="G81" s="47" t="s">
        <v>7</v>
      </c>
      <c r="H81" s="47" t="s">
        <v>7</v>
      </c>
      <c r="I81" s="47" t="s">
        <v>7</v>
      </c>
      <c r="J81" s="47" t="s">
        <v>7</v>
      </c>
      <c r="K81" s="47" t="s">
        <v>7</v>
      </c>
      <c r="L81" s="47" t="s">
        <v>7</v>
      </c>
      <c r="M81" s="47" t="s">
        <v>7</v>
      </c>
      <c r="N81" s="47" t="s">
        <v>7</v>
      </c>
      <c r="O81" s="47" t="s">
        <v>7</v>
      </c>
      <c r="P81" s="47" t="s">
        <v>7</v>
      </c>
      <c r="Q81" s="47" t="s">
        <v>7</v>
      </c>
      <c r="R81" s="47" t="s">
        <v>7</v>
      </c>
      <c r="S81" s="47" t="s">
        <v>7</v>
      </c>
      <c r="T81" s="47" t="s">
        <v>7</v>
      </c>
      <c r="U81" s="47" t="s">
        <v>7</v>
      </c>
      <c r="V81" s="47" t="s">
        <v>7</v>
      </c>
      <c r="W81" s="905"/>
      <c r="X81" s="904"/>
      <c r="Y81" s="904"/>
      <c r="Z81" s="904"/>
      <c r="AA81" s="904"/>
    </row>
    <row r="83" spans="1:27">
      <c r="A83" s="29"/>
      <c r="B83" s="72"/>
      <c r="C83" s="71">
        <v>2019</v>
      </c>
      <c r="D83" s="71">
        <v>2020</v>
      </c>
      <c r="E83" s="71">
        <v>2021</v>
      </c>
      <c r="F83" s="71">
        <v>2022</v>
      </c>
      <c r="G83" s="71">
        <v>2023</v>
      </c>
      <c r="H83" s="71">
        <v>2024</v>
      </c>
      <c r="I83" s="71">
        <v>2025</v>
      </c>
      <c r="J83" s="71">
        <v>2026</v>
      </c>
      <c r="K83" s="71">
        <v>2027</v>
      </c>
      <c r="L83" s="71">
        <v>2028</v>
      </c>
      <c r="M83" s="71">
        <v>2029</v>
      </c>
      <c r="N83" s="71">
        <v>2030</v>
      </c>
      <c r="O83" s="71">
        <v>2031</v>
      </c>
      <c r="P83" s="71">
        <v>2032</v>
      </c>
      <c r="Q83" s="71">
        <v>2033</v>
      </c>
      <c r="R83" s="71">
        <v>2034</v>
      </c>
      <c r="S83" s="71">
        <v>2035</v>
      </c>
      <c r="T83" s="71">
        <v>2036</v>
      </c>
      <c r="U83" s="71">
        <v>2037</v>
      </c>
      <c r="V83" s="71">
        <v>2038</v>
      </c>
    </row>
    <row r="85" spans="1:27" s="341" customFormat="1">
      <c r="A85" s="887" t="s">
        <v>393</v>
      </c>
      <c r="B85" s="887"/>
      <c r="C85" s="898"/>
      <c r="D85" s="898"/>
      <c r="E85" s="898"/>
      <c r="F85" s="898"/>
      <c r="G85" s="898"/>
      <c r="H85" s="898"/>
      <c r="I85" s="898"/>
      <c r="J85" s="898"/>
      <c r="K85" s="898"/>
      <c r="L85" s="898"/>
      <c r="M85" s="898"/>
      <c r="N85" s="898"/>
      <c r="O85" s="898"/>
      <c r="P85" s="898"/>
      <c r="Q85" s="898"/>
      <c r="R85" s="898"/>
      <c r="S85" s="898"/>
      <c r="T85" s="898"/>
      <c r="U85" s="898"/>
      <c r="V85" s="898"/>
      <c r="W85" s="914"/>
      <c r="X85" s="912"/>
      <c r="Y85" s="912"/>
      <c r="Z85" s="912"/>
      <c r="AA85" s="912"/>
    </row>
    <row r="86" spans="1:27" s="561" customFormat="1">
      <c r="A86" s="573"/>
      <c r="B86" s="573"/>
      <c r="C86" s="573"/>
      <c r="D86" s="573"/>
      <c r="E86" s="573"/>
      <c r="F86" s="573"/>
      <c r="G86" s="573"/>
      <c r="H86" s="573"/>
      <c r="I86" s="573"/>
      <c r="J86" s="573"/>
      <c r="K86" s="573"/>
      <c r="L86" s="573"/>
      <c r="M86" s="573"/>
      <c r="N86" s="573"/>
      <c r="O86" s="573"/>
      <c r="P86" s="573"/>
      <c r="Q86" s="573"/>
      <c r="R86" s="573"/>
      <c r="S86" s="573"/>
      <c r="T86" s="573"/>
      <c r="U86" s="573"/>
      <c r="V86" s="573"/>
      <c r="W86" s="914"/>
      <c r="X86" s="913"/>
      <c r="Y86" s="913"/>
      <c r="Z86" s="913"/>
      <c r="AA86" s="913"/>
    </row>
    <row r="87" spans="1:27" s="341" customFormat="1">
      <c r="A87" s="561" t="s">
        <v>148</v>
      </c>
      <c r="B87" s="561"/>
      <c r="C87" s="890">
        <f>'P&amp;L - Concept B1 - NCLH'!E119</f>
        <v>58025</v>
      </c>
      <c r="D87" s="890">
        <f>'P&amp;L - Concept B1 - NCLH'!F119</f>
        <v>902031.83599549043</v>
      </c>
      <c r="E87" s="890">
        <f>'P&amp;L - Concept B1 - NCLH'!G119</f>
        <v>1036804.8727154003</v>
      </c>
      <c r="F87" s="890">
        <f>'P&amp;L - Concept B1 - NCLH'!H119</f>
        <v>1055320.9701697081</v>
      </c>
      <c r="G87" s="890">
        <f>'P&amp;L - Concept B1 - NCLH'!I119</f>
        <v>1074207.3895731024</v>
      </c>
      <c r="H87" s="890">
        <f>'P&amp;L - Concept B1 - NCLH'!J119</f>
        <v>1341591.5373645641</v>
      </c>
      <c r="I87" s="890">
        <f>'P&amp;L - Concept B1 - NCLH'!K119</f>
        <v>1361240.9681118557</v>
      </c>
      <c r="J87" s="890">
        <f>'P&amp;L - Concept B1 - NCLH'!L119</f>
        <v>1381283.3874740929</v>
      </c>
      <c r="K87" s="890">
        <f>'P&amp;L - Concept B1 - NCLH'!M119</f>
        <v>1401726.6552235747</v>
      </c>
      <c r="L87" s="890">
        <f>'P&amp;L - Concept B1 - NCLH'!N119</f>
        <v>1422578.7883280462</v>
      </c>
      <c r="M87" s="890">
        <f>'P&amp;L - Concept B1 - NCLH'!O119</f>
        <v>1506465.4640946074</v>
      </c>
      <c r="N87" s="890">
        <f>'P&amp;L - Concept B1 - NCLH'!P119</f>
        <v>1528160.0233764995</v>
      </c>
      <c r="O87" s="890">
        <f>'P&amp;L - Concept B1 - NCLH'!Q119</f>
        <v>1550288.4738440295</v>
      </c>
      <c r="P87" s="890">
        <f>'P&amp;L - Concept B1 - NCLH'!R119</f>
        <v>1572859.4933209098</v>
      </c>
      <c r="Q87" s="890">
        <f>'P&amp;L - Concept B1 - NCLH'!S119</f>
        <v>1595881.9331873283</v>
      </c>
      <c r="R87" s="890">
        <f>'P&amp;L - Concept B1 - NCLH'!T119</f>
        <v>1682082.3218510747</v>
      </c>
      <c r="S87" s="890">
        <f>'P&amp;L - Concept B1 - NCLH'!U119</f>
        <v>1706034.8682880963</v>
      </c>
      <c r="T87" s="890">
        <f>'P&amp;L - Concept B1 - NCLH'!V119</f>
        <v>1730466.4656538581</v>
      </c>
      <c r="U87" s="890">
        <f>'P&amp;L - Concept B1 - NCLH'!W119</f>
        <v>1755386.6949669356</v>
      </c>
      <c r="V87" s="890">
        <f>'P&amp;L - Concept B1 - NCLH'!X119</f>
        <v>1780805.3288662743</v>
      </c>
      <c r="W87" s="914">
        <f t="shared" ref="W87:W94" si="4">SUM(C87:V87)</f>
        <v>27443242.472405445</v>
      </c>
      <c r="X87" s="912"/>
      <c r="Y87" s="912"/>
      <c r="Z87" s="912"/>
      <c r="AA87" s="912"/>
    </row>
    <row r="88" spans="1:27" s="341" customFormat="1">
      <c r="A88" s="891" t="s">
        <v>140</v>
      </c>
      <c r="B88" s="891"/>
      <c r="C88" s="892">
        <f>'P&amp;L - Concept B1 - NCLH'!E152</f>
        <v>357416.66666666663</v>
      </c>
      <c r="D88" s="892">
        <f>'P&amp;L - Concept B1 - NCLH'!F152</f>
        <v>826389.34615384613</v>
      </c>
      <c r="E88" s="892">
        <f>'P&amp;L - Concept B1 - NCLH'!G152</f>
        <v>844040.56107692316</v>
      </c>
      <c r="F88" s="892">
        <f>'P&amp;L - Concept B1 - NCLH'!H152</f>
        <v>860921.3722984615</v>
      </c>
      <c r="G88" s="892">
        <f>'P&amp;L - Concept B1 - NCLH'!I152</f>
        <v>878139.79974443081</v>
      </c>
      <c r="H88" s="892">
        <f>'P&amp;L - Concept B1 - NCLH'!J152</f>
        <v>924046.47453451937</v>
      </c>
      <c r="I88" s="892">
        <f>'P&amp;L - Concept B1 - NCLH'!K152</f>
        <v>937990.4852348417</v>
      </c>
      <c r="J88" s="892">
        <f>'P&amp;L - Concept B1 - NCLH'!L152</f>
        <v>956750.29493953846</v>
      </c>
      <c r="K88" s="892">
        <f>'P&amp;L - Concept B1 - NCLH'!M152</f>
        <v>975885.3008383296</v>
      </c>
      <c r="L88" s="892">
        <f>'P&amp;L - Concept B1 - NCLH'!N152</f>
        <v>995403.00685509597</v>
      </c>
      <c r="M88" s="892">
        <f>'P&amp;L - Concept B1 - NCLH'!O152</f>
        <v>1043506.4772135783</v>
      </c>
      <c r="N88" s="892">
        <f>'P&amp;L - Concept B1 - NCLH'!P152</f>
        <v>1035617.2883320421</v>
      </c>
      <c r="O88" s="892">
        <f>'P&amp;L - Concept B1 - NCLH'!Q152</f>
        <v>1056329.6340986828</v>
      </c>
      <c r="P88" s="892">
        <f>'P&amp;L - Concept B1 - NCLH'!R152</f>
        <v>1077456.2267806565</v>
      </c>
      <c r="Q88" s="892">
        <f>'P&amp;L - Concept B1 - NCLH'!S152</f>
        <v>1099005.3513162697</v>
      </c>
      <c r="R88" s="892">
        <f>'P&amp;L - Concept B1 - NCLH'!T152</f>
        <v>1125312.524173433</v>
      </c>
      <c r="S88" s="892">
        <f>'P&amp;L - Concept B1 - NCLH'!U152</f>
        <v>1143405.1675094471</v>
      </c>
      <c r="T88" s="892">
        <f>'P&amp;L - Concept B1 - NCLH'!V152</f>
        <v>1166273.2708596359</v>
      </c>
      <c r="U88" s="892">
        <f>'P&amp;L - Concept B1 - NCLH'!W152</f>
        <v>1189598.7362768287</v>
      </c>
      <c r="V88" s="892">
        <f>'P&amp;L - Concept B1 - NCLH'!X152</f>
        <v>1213390.7110023652</v>
      </c>
      <c r="W88" s="914">
        <f t="shared" si="4"/>
        <v>19706878.695905592</v>
      </c>
      <c r="X88" s="912"/>
      <c r="Y88" s="912"/>
      <c r="Z88" s="912"/>
      <c r="AA88" s="912"/>
    </row>
    <row r="89" spans="1:27" s="341" customFormat="1">
      <c r="A89" s="573" t="s">
        <v>116</v>
      </c>
      <c r="B89" s="573"/>
      <c r="C89" s="890">
        <f>'P&amp;L - Concept B1 - NCLH'!E156</f>
        <v>-299391.66666666663</v>
      </c>
      <c r="D89" s="890">
        <f>'P&amp;L - Concept B1 - NCLH'!F156</f>
        <v>75642.489841644303</v>
      </c>
      <c r="E89" s="890">
        <f>'P&amp;L - Concept B1 - NCLH'!G156</f>
        <v>192764.31163847714</v>
      </c>
      <c r="F89" s="890">
        <f>'P&amp;L - Concept B1 - NCLH'!H156</f>
        <v>194399.59787124663</v>
      </c>
      <c r="G89" s="890">
        <f>'P&amp;L - Concept B1 - NCLH'!I156</f>
        <v>196067.58982867154</v>
      </c>
      <c r="H89" s="890">
        <f>'P&amp;L - Concept B1 - NCLH'!J156</f>
        <v>417545.06283004477</v>
      </c>
      <c r="I89" s="890">
        <f>'P&amp;L - Concept B1 - NCLH'!K156</f>
        <v>423250.48287701397</v>
      </c>
      <c r="J89" s="890">
        <f>'P&amp;L - Concept B1 - NCLH'!L156</f>
        <v>424533.09253455442</v>
      </c>
      <c r="K89" s="890">
        <f>'P&amp;L - Concept B1 - NCLH'!M156</f>
        <v>425841.35438524513</v>
      </c>
      <c r="L89" s="890">
        <f>'P&amp;L - Concept B1 - NCLH'!N156</f>
        <v>427175.78147295024</v>
      </c>
      <c r="M89" s="890">
        <f>'P&amp;L - Concept B1 - NCLH'!O156</f>
        <v>462958.98688102909</v>
      </c>
      <c r="N89" s="890">
        <f>'P&amp;L - Concept B1 - NCLH'!P156</f>
        <v>492542.73504445748</v>
      </c>
      <c r="O89" s="890">
        <f>'P&amp;L - Concept B1 - NCLH'!Q156</f>
        <v>493958.83974534669</v>
      </c>
      <c r="P89" s="890">
        <f>'P&amp;L - Concept B1 - NCLH'!R156</f>
        <v>495403.2665402533</v>
      </c>
      <c r="Q89" s="890">
        <f>'P&amp;L - Concept B1 - NCLH'!S156</f>
        <v>496876.58187105856</v>
      </c>
      <c r="R89" s="890">
        <f>'P&amp;L - Concept B1 - NCLH'!T156</f>
        <v>556769.79767764173</v>
      </c>
      <c r="S89" s="890">
        <f>'P&amp;L - Concept B1 - NCLH'!U156</f>
        <v>562629.70077864919</v>
      </c>
      <c r="T89" s="890">
        <f>'P&amp;L - Concept B1 - NCLH'!V156</f>
        <v>564193.19479422225</v>
      </c>
      <c r="U89" s="890">
        <f>'P&amp;L - Concept B1 - NCLH'!W156</f>
        <v>565787.95869010687</v>
      </c>
      <c r="V89" s="890">
        <f>'P&amp;L - Concept B1 - NCLH'!X156</f>
        <v>567414.61786390911</v>
      </c>
      <c r="W89" s="914">
        <f t="shared" si="4"/>
        <v>7736363.7764998572</v>
      </c>
      <c r="X89" s="912"/>
      <c r="Y89" s="912"/>
      <c r="Z89" s="912"/>
      <c r="AA89" s="912"/>
    </row>
    <row r="90" spans="1:27" s="341" customFormat="1">
      <c r="A90" s="561"/>
      <c r="B90" s="561"/>
      <c r="C90" s="890"/>
      <c r="D90" s="890"/>
      <c r="E90" s="890"/>
      <c r="F90" s="890"/>
      <c r="G90" s="890"/>
      <c r="H90" s="890"/>
      <c r="I90" s="890"/>
      <c r="J90" s="890"/>
      <c r="K90" s="890"/>
      <c r="L90" s="890"/>
      <c r="M90" s="890"/>
      <c r="N90" s="890"/>
      <c r="O90" s="890"/>
      <c r="P90" s="890"/>
      <c r="Q90" s="890"/>
      <c r="R90" s="890"/>
      <c r="S90" s="890"/>
      <c r="T90" s="890"/>
      <c r="U90" s="890"/>
      <c r="V90" s="890"/>
      <c r="W90" s="914"/>
      <c r="X90" s="912"/>
      <c r="Y90" s="912"/>
      <c r="Z90" s="912"/>
      <c r="AA90" s="912"/>
    </row>
    <row r="91" spans="1:27" s="341" customFormat="1">
      <c r="A91" s="561" t="s">
        <v>136</v>
      </c>
      <c r="B91" s="561"/>
      <c r="C91" s="890">
        <f>'P&amp;L - Concept B1 - NCLH'!E164</f>
        <v>0</v>
      </c>
      <c r="D91" s="890">
        <f>'P&amp;L - Concept B1 - NCLH'!F164</f>
        <v>53485</v>
      </c>
      <c r="E91" s="890">
        <f>'P&amp;L - Concept B1 - NCLH'!G164</f>
        <v>54554.700000000004</v>
      </c>
      <c r="F91" s="890">
        <f>'P&amp;L - Concept B1 - NCLH'!H164</f>
        <v>55645.794000000002</v>
      </c>
      <c r="G91" s="890">
        <f>'P&amp;L - Concept B1 - NCLH'!I164</f>
        <v>56758.709879999995</v>
      </c>
      <c r="H91" s="890">
        <f>'P&amp;L - Concept B1 - NCLH'!J164</f>
        <v>57893.8840776</v>
      </c>
      <c r="I91" s="890">
        <f>'P&amp;L - Concept B1 - NCLH'!K164</f>
        <v>59051.761759152003</v>
      </c>
      <c r="J91" s="890">
        <f>'P&amp;L - Concept B1 - NCLH'!L164</f>
        <v>60232.796994335047</v>
      </c>
      <c r="K91" s="890">
        <f>'P&amp;L - Concept B1 - NCLH'!M164</f>
        <v>61437.452934221743</v>
      </c>
      <c r="L91" s="890">
        <f>'P&amp;L - Concept B1 - NCLH'!N164</f>
        <v>62666.201992906186</v>
      </c>
      <c r="M91" s="890">
        <f>'P&amp;L - Concept B1 - NCLH'!O164</f>
        <v>63919.526032764305</v>
      </c>
      <c r="N91" s="890">
        <f>'P&amp;L - Concept B1 - NCLH'!P164</f>
        <v>65197.916553419593</v>
      </c>
      <c r="O91" s="890">
        <f>'P&amp;L - Concept B1 - NCLH'!Q164</f>
        <v>66501.874884487988</v>
      </c>
      <c r="P91" s="890">
        <f>'P&amp;L - Concept B1 - NCLH'!R164</f>
        <v>67831.912382177747</v>
      </c>
      <c r="Q91" s="890">
        <f>'P&amp;L - Concept B1 - NCLH'!S164</f>
        <v>69188.5506298213</v>
      </c>
      <c r="R91" s="890">
        <f>'P&amp;L - Concept B1 - NCLH'!T164</f>
        <v>70572.321642417723</v>
      </c>
      <c r="S91" s="890">
        <f>'P&amp;L - Concept B1 - NCLH'!U164</f>
        <v>71983.768075266082</v>
      </c>
      <c r="T91" s="890">
        <f>'P&amp;L - Concept B1 - NCLH'!V164</f>
        <v>73423.443436771413</v>
      </c>
      <c r="U91" s="890">
        <f>'P&amp;L - Concept B1 - NCLH'!W164</f>
        <v>74891.912305506848</v>
      </c>
      <c r="V91" s="890">
        <f>'P&amp;L - Concept B1 - NCLH'!X164</f>
        <v>76389.750551616977</v>
      </c>
      <c r="W91" s="914">
        <f t="shared" si="4"/>
        <v>1221627.278132465</v>
      </c>
      <c r="X91" s="912"/>
      <c r="Y91" s="912"/>
      <c r="Z91" s="912"/>
      <c r="AA91" s="912"/>
    </row>
    <row r="92" spans="1:27" s="341" customFormat="1">
      <c r="A92" s="561" t="s">
        <v>127</v>
      </c>
      <c r="B92" s="561"/>
      <c r="C92" s="890">
        <f>SUM('P&amp;L - Concept B1 - NCLH'!E165:E167)</f>
        <v>858119.16</v>
      </c>
      <c r="D92" s="890">
        <f>SUM('P&amp;L - Concept B1 - NCLH'!F165:F167)</f>
        <v>858119.16</v>
      </c>
      <c r="E92" s="890">
        <f>SUM('P&amp;L - Concept B1 - NCLH'!G165:G167)</f>
        <v>858119.16</v>
      </c>
      <c r="F92" s="890">
        <f>SUM('P&amp;L - Concept B1 - NCLH'!H165:H167)</f>
        <v>858119.16</v>
      </c>
      <c r="G92" s="890">
        <f>SUM('P&amp;L - Concept B1 - NCLH'!I165:I167)</f>
        <v>858119.16</v>
      </c>
      <c r="H92" s="890">
        <f>SUM('P&amp;L - Concept B1 - NCLH'!J165:J167)</f>
        <v>858119.16</v>
      </c>
      <c r="I92" s="890">
        <f>SUM('P&amp;L - Concept B1 - NCLH'!K165:K167)</f>
        <v>858119.16</v>
      </c>
      <c r="J92" s="890">
        <f>SUM('P&amp;L - Concept B1 - NCLH'!L165:L167)</f>
        <v>858119.16</v>
      </c>
      <c r="K92" s="890">
        <f>SUM('P&amp;L - Concept B1 - NCLH'!M165:M167)</f>
        <v>858119.16</v>
      </c>
      <c r="L92" s="890">
        <f>SUM('P&amp;L - Concept B1 - NCLH'!N165:N167)</f>
        <v>858119.16</v>
      </c>
      <c r="M92" s="890">
        <f>SUM('P&amp;L - Concept B1 - NCLH'!O165:O167)</f>
        <v>858119.16</v>
      </c>
      <c r="N92" s="890">
        <f>SUM('P&amp;L - Concept B1 - NCLH'!P165:P167)</f>
        <v>858119.16</v>
      </c>
      <c r="O92" s="890">
        <f>SUM('P&amp;L - Concept B1 - NCLH'!Q165:Q167)</f>
        <v>858119.16</v>
      </c>
      <c r="P92" s="890">
        <f>SUM('P&amp;L - Concept B1 - NCLH'!R165:R167)</f>
        <v>858119.16</v>
      </c>
      <c r="Q92" s="890">
        <f>SUM('P&amp;L - Concept B1 - NCLH'!S165:S167)</f>
        <v>858119.16</v>
      </c>
      <c r="R92" s="890">
        <f>SUM('P&amp;L - Concept B1 - NCLH'!T165:T167)</f>
        <v>858119.16</v>
      </c>
      <c r="S92" s="890">
        <f>SUM('P&amp;L - Concept B1 - NCLH'!U165:U167)</f>
        <v>858119.16</v>
      </c>
      <c r="T92" s="890">
        <f>SUM('P&amp;L - Concept B1 - NCLH'!V165:V167)</f>
        <v>858119.16</v>
      </c>
      <c r="U92" s="890">
        <f>SUM('P&amp;L - Concept B1 - NCLH'!W165:W167)</f>
        <v>858119.16</v>
      </c>
      <c r="V92" s="890">
        <f>SUM('P&amp;L - Concept B1 - NCLH'!X165:X167)</f>
        <v>858119.16</v>
      </c>
      <c r="W92" s="914">
        <f t="shared" si="4"/>
        <v>17162383.199999999</v>
      </c>
      <c r="X92" s="912">
        <f>SUM(W91:W92)</f>
        <v>18384010.478132464</v>
      </c>
      <c r="Y92" s="912"/>
      <c r="Z92" s="912"/>
      <c r="AA92" s="912"/>
    </row>
    <row r="93" spans="1:27" s="341" customFormat="1">
      <c r="A93" s="561"/>
      <c r="B93" s="561"/>
      <c r="C93" s="890"/>
      <c r="D93" s="890"/>
      <c r="E93" s="890"/>
      <c r="F93" s="890"/>
      <c r="G93" s="890"/>
      <c r="H93" s="890"/>
      <c r="I93" s="890"/>
      <c r="J93" s="890"/>
      <c r="K93" s="890"/>
      <c r="L93" s="890"/>
      <c r="M93" s="890"/>
      <c r="N93" s="890"/>
      <c r="O93" s="890"/>
      <c r="P93" s="890"/>
      <c r="Q93" s="890"/>
      <c r="R93" s="890"/>
      <c r="S93" s="890"/>
      <c r="T93" s="890"/>
      <c r="U93" s="890"/>
      <c r="V93" s="890"/>
      <c r="W93" s="914"/>
      <c r="X93" s="912"/>
      <c r="Y93" s="912"/>
      <c r="Z93" s="912"/>
      <c r="AA93" s="912"/>
    </row>
    <row r="94" spans="1:27" s="341" customFormat="1">
      <c r="A94" s="561" t="s">
        <v>138</v>
      </c>
      <c r="B94" s="561"/>
      <c r="C94" s="890">
        <f>'P&amp;L - Concept B1 - NCLH'!E170</f>
        <v>-299391.66666666663</v>
      </c>
      <c r="D94" s="890">
        <f>'P&amp;L - Concept B1 - NCLH'!F170</f>
        <v>22157.489841644303</v>
      </c>
      <c r="E94" s="890">
        <f>'P&amp;L - Concept B1 - NCLH'!G170</f>
        <v>138209.61163847713</v>
      </c>
      <c r="F94" s="890">
        <f>'P&amp;L - Concept B1 - NCLH'!H170</f>
        <v>138753.80387124664</v>
      </c>
      <c r="G94" s="890">
        <f>'P&amp;L - Concept B1 - NCLH'!I170</f>
        <v>139308.87994867156</v>
      </c>
      <c r="H94" s="890">
        <f>'P&amp;L - Concept B1 - NCLH'!J170</f>
        <v>359651.1787524448</v>
      </c>
      <c r="I94" s="890">
        <f>'P&amp;L - Concept B1 - NCLH'!K170</f>
        <v>364198.72111786198</v>
      </c>
      <c r="J94" s="890">
        <f>'P&amp;L - Concept B1 - NCLH'!L170</f>
        <v>364300.29554021941</v>
      </c>
      <c r="K94" s="890">
        <f>'P&amp;L - Concept B1 - NCLH'!M170</f>
        <v>364403.90145102341</v>
      </c>
      <c r="L94" s="890">
        <f>'P&amp;L - Concept B1 - NCLH'!N170</f>
        <v>364509.57948004408</v>
      </c>
      <c r="M94" s="890">
        <f>'P&amp;L - Concept B1 - NCLH'!O170</f>
        <v>399039.4608482648</v>
      </c>
      <c r="N94" s="890">
        <f>'P&amp;L - Concept B1 - NCLH'!P170</f>
        <v>427344.81849103788</v>
      </c>
      <c r="O94" s="890">
        <f>'P&amp;L - Concept B1 - NCLH'!Q170</f>
        <v>427456.96486085869</v>
      </c>
      <c r="P94" s="890">
        <f>'P&amp;L - Concept B1 - NCLH'!R170</f>
        <v>427571.35415807553</v>
      </c>
      <c r="Q94" s="890">
        <f>'P&amp;L - Concept B1 - NCLH'!S170</f>
        <v>427688.03124123724</v>
      </c>
      <c r="R94" s="890">
        <f>'P&amp;L - Concept B1 - NCLH'!T170</f>
        <v>486197.47603522404</v>
      </c>
      <c r="S94" s="890">
        <f>'P&amp;L - Concept B1 - NCLH'!U170</f>
        <v>490645.93270338309</v>
      </c>
      <c r="T94" s="890">
        <f>'P&amp;L - Concept B1 - NCLH'!V170</f>
        <v>490769.75135745085</v>
      </c>
      <c r="U94" s="890">
        <f>'P&amp;L - Concept B1 - NCLH'!W170</f>
        <v>490896.04638459999</v>
      </c>
      <c r="V94" s="890">
        <f>'P&amp;L - Concept B1 - NCLH'!X170</f>
        <v>491024.8673122921</v>
      </c>
      <c r="W94" s="914">
        <f t="shared" si="4"/>
        <v>6514736.4983673915</v>
      </c>
      <c r="X94" s="912"/>
      <c r="Y94" s="912"/>
      <c r="Z94" s="912"/>
      <c r="AA94" s="912"/>
    </row>
    <row r="95" spans="1:27" s="341" customFormat="1">
      <c r="A95" s="561"/>
      <c r="B95" s="561"/>
      <c r="C95" s="890"/>
      <c r="D95" s="890"/>
      <c r="E95" s="890"/>
      <c r="F95" s="890"/>
      <c r="G95" s="890"/>
      <c r="H95" s="890"/>
      <c r="I95" s="890"/>
      <c r="J95" s="890"/>
      <c r="K95" s="890"/>
      <c r="L95" s="890"/>
      <c r="M95" s="890"/>
      <c r="N95" s="890"/>
      <c r="O95" s="890"/>
      <c r="P95" s="890"/>
      <c r="Q95" s="890"/>
      <c r="R95" s="890"/>
      <c r="S95" s="890"/>
      <c r="T95" s="890"/>
      <c r="U95" s="890"/>
      <c r="V95" s="890"/>
      <c r="W95" s="914"/>
      <c r="X95" s="912"/>
      <c r="Y95" s="912"/>
      <c r="Z95" s="912"/>
      <c r="AA95" s="912"/>
    </row>
    <row r="96" spans="1:27" s="341" customFormat="1">
      <c r="A96" s="893" t="s">
        <v>130</v>
      </c>
      <c r="B96" s="893"/>
      <c r="C96" s="894">
        <f>'P&amp;L - Concept B1 - NCLH'!E174</f>
        <v>-1157510.8266666667</v>
      </c>
      <c r="D96" s="894">
        <f>'P&amp;L - Concept B1 - NCLH'!F174</f>
        <v>-835961.67015835573</v>
      </c>
      <c r="E96" s="894">
        <f>'P&amp;L - Concept B1 - NCLH'!G174</f>
        <v>-719909.54836152284</v>
      </c>
      <c r="F96" s="894">
        <f>'P&amp;L - Concept B1 - NCLH'!H174</f>
        <v>-719365.3561287534</v>
      </c>
      <c r="G96" s="894">
        <f>'P&amp;L - Concept B1 - NCLH'!I174</f>
        <v>-718810.28005132847</v>
      </c>
      <c r="H96" s="894">
        <f>'P&amp;L - Concept B1 - NCLH'!J174</f>
        <v>-498467.98124755523</v>
      </c>
      <c r="I96" s="894">
        <f>'P&amp;L - Concept B1 - NCLH'!K174</f>
        <v>-493920.43888213811</v>
      </c>
      <c r="J96" s="894">
        <f>'P&amp;L - Concept B1 - NCLH'!L174</f>
        <v>-493818.86445978063</v>
      </c>
      <c r="K96" s="894">
        <f>'P&amp;L - Concept B1 - NCLH'!M174</f>
        <v>-493715.25854897662</v>
      </c>
      <c r="L96" s="894">
        <f>'P&amp;L - Concept B1 - NCLH'!N174</f>
        <v>-493609.58051995595</v>
      </c>
      <c r="M96" s="894">
        <f>'P&amp;L - Concept B1 - NCLH'!O174</f>
        <v>-459079.69915173529</v>
      </c>
      <c r="N96" s="894">
        <f>'P&amp;L - Concept B1 - NCLH'!P174</f>
        <v>-430774.3415089621</v>
      </c>
      <c r="O96" s="894">
        <f>'P&amp;L - Concept B1 - NCLH'!Q174</f>
        <v>-430662.19513914129</v>
      </c>
      <c r="P96" s="894">
        <f>'P&amp;L - Concept B1 - NCLH'!R174</f>
        <v>-430547.80584192451</v>
      </c>
      <c r="Q96" s="894">
        <f>'P&amp;L - Concept B1 - NCLH'!S174</f>
        <v>-430431.12875876273</v>
      </c>
      <c r="R96" s="894">
        <f>'P&amp;L - Concept B1 - NCLH'!T174</f>
        <v>-371921.68396477599</v>
      </c>
      <c r="S96" s="894">
        <f>'P&amp;L - Concept B1 - NCLH'!U174</f>
        <v>-367473.22729661688</v>
      </c>
      <c r="T96" s="894">
        <f>'P&amp;L - Concept B1 - NCLH'!V174</f>
        <v>-367349.40864254918</v>
      </c>
      <c r="U96" s="894">
        <f>'P&amp;L - Concept B1 - NCLH'!W174</f>
        <v>-367223.11361540004</v>
      </c>
      <c r="V96" s="894">
        <f>'P&amp;L - Concept B1 - NCLH'!X174</f>
        <v>-367094.29268770793</v>
      </c>
      <c r="W96" s="914">
        <f>SUM(C96:V96)</f>
        <v>-10647646.70163261</v>
      </c>
      <c r="X96" s="912"/>
      <c r="Y96" s="912"/>
      <c r="Z96" s="912"/>
      <c r="AA96" s="912"/>
    </row>
    <row r="97" spans="1:27" s="341" customFormat="1">
      <c r="A97" s="561" t="s">
        <v>404</v>
      </c>
      <c r="B97" s="695" t="e">
        <f>'P&amp;L - Concept B1 - NCLH'!B175</f>
        <v>#NUM!</v>
      </c>
      <c r="C97" s="896"/>
      <c r="D97" s="896"/>
      <c r="E97" s="896"/>
      <c r="F97" s="896"/>
      <c r="G97" s="896"/>
      <c r="H97" s="896"/>
      <c r="I97" s="896"/>
      <c r="J97" s="896"/>
      <c r="K97" s="896"/>
      <c r="L97" s="896"/>
      <c r="M97" s="896"/>
      <c r="N97" s="896"/>
      <c r="O97" s="896"/>
      <c r="P97" s="896"/>
      <c r="Q97" s="896"/>
      <c r="R97" s="896"/>
      <c r="S97" s="896"/>
      <c r="T97" s="896"/>
      <c r="U97" s="896"/>
      <c r="V97" s="896"/>
      <c r="W97" s="910"/>
      <c r="X97" s="912"/>
      <c r="Y97" s="912"/>
      <c r="Z97" s="912"/>
      <c r="AA97" s="912"/>
    </row>
    <row r="98" spans="1:27">
      <c r="A98" s="131"/>
      <c r="B98" s="131"/>
      <c r="C98" s="630"/>
      <c r="D98" s="630"/>
      <c r="E98" s="630"/>
      <c r="F98" s="630"/>
      <c r="G98" s="630"/>
      <c r="H98" s="630"/>
      <c r="I98" s="630"/>
      <c r="J98" s="630"/>
      <c r="K98" s="630"/>
      <c r="L98" s="630"/>
      <c r="M98" s="630"/>
      <c r="N98" s="630"/>
      <c r="O98" s="630"/>
      <c r="P98" s="630"/>
      <c r="Q98" s="630"/>
      <c r="R98" s="630"/>
      <c r="S98" s="630"/>
      <c r="T98" s="630"/>
      <c r="U98" s="630"/>
      <c r="V98" s="630"/>
    </row>
    <row r="99" spans="1:27" s="32" customFormat="1">
      <c r="C99" s="625"/>
      <c r="D99" s="625"/>
      <c r="E99" s="625"/>
      <c r="F99" s="625"/>
      <c r="G99" s="625"/>
      <c r="H99" s="625"/>
      <c r="I99" s="625"/>
      <c r="J99" s="625"/>
      <c r="K99" s="625"/>
      <c r="L99" s="625"/>
      <c r="M99" s="625"/>
      <c r="N99" s="625"/>
      <c r="O99" s="625"/>
      <c r="P99" s="625"/>
      <c r="Q99" s="625"/>
      <c r="R99" s="625"/>
      <c r="S99" s="625"/>
      <c r="T99" s="625"/>
      <c r="U99" s="625"/>
      <c r="V99" s="625"/>
      <c r="W99" s="905"/>
      <c r="X99" s="904"/>
      <c r="Y99" s="904"/>
      <c r="Z99" s="904"/>
      <c r="AA99" s="904"/>
    </row>
    <row r="100" spans="1:27" s="32" customFormat="1">
      <c r="A100" s="47" t="s">
        <v>7</v>
      </c>
      <c r="B100" s="47"/>
      <c r="C100" s="47" t="s">
        <v>7</v>
      </c>
      <c r="D100" s="47" t="s">
        <v>7</v>
      </c>
      <c r="E100" s="47" t="s">
        <v>7</v>
      </c>
      <c r="F100" s="47" t="s">
        <v>7</v>
      </c>
      <c r="G100" s="47" t="s">
        <v>7</v>
      </c>
      <c r="H100" s="47" t="s">
        <v>7</v>
      </c>
      <c r="I100" s="47" t="s">
        <v>7</v>
      </c>
      <c r="J100" s="47" t="s">
        <v>7</v>
      </c>
      <c r="K100" s="47" t="s">
        <v>7</v>
      </c>
      <c r="L100" s="47" t="s">
        <v>7</v>
      </c>
      <c r="M100" s="47" t="s">
        <v>7</v>
      </c>
      <c r="N100" s="47" t="s">
        <v>7</v>
      </c>
      <c r="O100" s="47" t="s">
        <v>7</v>
      </c>
      <c r="P100" s="47" t="s">
        <v>7</v>
      </c>
      <c r="Q100" s="47" t="s">
        <v>7</v>
      </c>
      <c r="R100" s="47" t="s">
        <v>7</v>
      </c>
      <c r="S100" s="47" t="s">
        <v>7</v>
      </c>
      <c r="T100" s="47" t="s">
        <v>7</v>
      </c>
      <c r="U100" s="47" t="s">
        <v>7</v>
      </c>
      <c r="V100" s="47" t="s">
        <v>7</v>
      </c>
      <c r="W100" s="905"/>
      <c r="X100" s="904"/>
      <c r="Y100" s="904"/>
      <c r="Z100" s="904"/>
      <c r="AA100" s="904"/>
    </row>
    <row r="101" spans="1:27">
      <c r="C101" s="629"/>
      <c r="D101" s="629"/>
      <c r="E101" s="629"/>
      <c r="F101" s="629"/>
      <c r="G101" s="629"/>
      <c r="H101" s="629"/>
      <c r="I101" s="629"/>
      <c r="J101" s="629"/>
      <c r="K101" s="629"/>
      <c r="L101" s="629"/>
      <c r="M101" s="629"/>
      <c r="N101" s="629"/>
      <c r="O101" s="629"/>
      <c r="P101" s="629"/>
      <c r="Q101" s="629"/>
      <c r="R101" s="629"/>
      <c r="S101" s="629"/>
      <c r="T101" s="629"/>
      <c r="U101" s="629"/>
      <c r="V101" s="629"/>
    </row>
    <row r="102" spans="1:27">
      <c r="A102" s="29"/>
      <c r="B102" s="72"/>
      <c r="C102" s="71">
        <v>2019</v>
      </c>
      <c r="D102" s="71">
        <v>2020</v>
      </c>
      <c r="E102" s="71">
        <v>2021</v>
      </c>
      <c r="F102" s="71">
        <v>2022</v>
      </c>
      <c r="G102" s="71">
        <v>2023</v>
      </c>
      <c r="H102" s="71">
        <v>2024</v>
      </c>
      <c r="I102" s="71">
        <v>2025</v>
      </c>
      <c r="J102" s="71">
        <v>2026</v>
      </c>
      <c r="K102" s="71">
        <v>2027</v>
      </c>
      <c r="L102" s="71">
        <v>2028</v>
      </c>
      <c r="M102" s="71">
        <v>2029</v>
      </c>
      <c r="N102" s="71">
        <v>2030</v>
      </c>
      <c r="O102" s="71">
        <v>2031</v>
      </c>
      <c r="P102" s="71">
        <v>2032</v>
      </c>
      <c r="Q102" s="71">
        <v>2033</v>
      </c>
      <c r="R102" s="71">
        <v>2034</v>
      </c>
      <c r="S102" s="71">
        <v>2035</v>
      </c>
      <c r="T102" s="71">
        <v>2036</v>
      </c>
      <c r="U102" s="71">
        <v>2037</v>
      </c>
      <c r="V102" s="71">
        <v>2038</v>
      </c>
    </row>
    <row r="103" spans="1:27">
      <c r="C103" s="629"/>
      <c r="D103" s="629"/>
      <c r="E103" s="629"/>
      <c r="F103" s="629"/>
      <c r="G103" s="629"/>
      <c r="H103" s="629"/>
      <c r="I103" s="629"/>
      <c r="J103" s="629"/>
      <c r="K103" s="629"/>
      <c r="L103" s="629"/>
      <c r="M103" s="629"/>
      <c r="N103" s="629"/>
      <c r="O103" s="629"/>
      <c r="P103" s="629"/>
      <c r="Q103" s="629"/>
      <c r="R103" s="629"/>
      <c r="S103" s="629"/>
      <c r="T103" s="629"/>
      <c r="U103" s="629"/>
      <c r="V103" s="629"/>
    </row>
    <row r="104" spans="1:27" s="341" customFormat="1">
      <c r="A104" s="887" t="s">
        <v>394</v>
      </c>
      <c r="B104" s="887"/>
      <c r="C104" s="888"/>
      <c r="D104" s="888"/>
      <c r="E104" s="888"/>
      <c r="F104" s="888"/>
      <c r="G104" s="888"/>
      <c r="H104" s="888"/>
      <c r="I104" s="888"/>
      <c r="J104" s="888"/>
      <c r="K104" s="888"/>
      <c r="L104" s="888"/>
      <c r="M104" s="888"/>
      <c r="N104" s="888"/>
      <c r="O104" s="888"/>
      <c r="P104" s="888"/>
      <c r="Q104" s="888"/>
      <c r="R104" s="888"/>
      <c r="S104" s="888"/>
      <c r="T104" s="888"/>
      <c r="U104" s="888"/>
      <c r="V104" s="888"/>
      <c r="W104" s="910"/>
      <c r="X104" s="912"/>
      <c r="Y104" s="912"/>
      <c r="Z104" s="912"/>
      <c r="AA104" s="912"/>
    </row>
    <row r="105" spans="1:27" s="341" customFormat="1">
      <c r="A105" s="573"/>
      <c r="B105" s="573"/>
      <c r="C105" s="889"/>
      <c r="D105" s="889"/>
      <c r="E105" s="889"/>
      <c r="F105" s="889"/>
      <c r="G105" s="889"/>
      <c r="H105" s="889"/>
      <c r="I105" s="889"/>
      <c r="J105" s="889"/>
      <c r="K105" s="889"/>
      <c r="L105" s="889"/>
      <c r="M105" s="889"/>
      <c r="N105" s="889"/>
      <c r="O105" s="889"/>
      <c r="P105" s="889"/>
      <c r="Q105" s="889"/>
      <c r="R105" s="889"/>
      <c r="S105" s="889"/>
      <c r="T105" s="889"/>
      <c r="U105" s="889"/>
      <c r="V105" s="889"/>
      <c r="W105" s="910"/>
      <c r="X105" s="912"/>
      <c r="Y105" s="912"/>
      <c r="Z105" s="912"/>
      <c r="AA105" s="912"/>
    </row>
    <row r="106" spans="1:27" s="341" customFormat="1">
      <c r="A106" s="561" t="s">
        <v>148</v>
      </c>
      <c r="B106" s="561"/>
      <c r="C106" s="890">
        <f>'P&amp;L - Concept B1 - ALL'!E119</f>
        <v>58025</v>
      </c>
      <c r="D106" s="890">
        <f>'P&amp;L - Concept B1 - ALL'!F119</f>
        <v>1715344.4102000003</v>
      </c>
      <c r="E106" s="890">
        <f>'P&amp;L - Concept B1 - ALL'!G119</f>
        <v>1866383.6984039999</v>
      </c>
      <c r="F106" s="890">
        <f>'P&amp;L - Concept B1 - ALL'!H119</f>
        <v>1901491.3723720801</v>
      </c>
      <c r="G106" s="890">
        <f>'P&amp;L - Concept B1 - ALL'!I119</f>
        <v>1937301.1998195215</v>
      </c>
      <c r="H106" s="890">
        <f>'P&amp;L - Concept B1 - ALL'!J119</f>
        <v>2221947.2238159119</v>
      </c>
      <c r="I106" s="890">
        <f>'P&amp;L - Concept B1 - ALL'!K119</f>
        <v>2259203.7682922301</v>
      </c>
      <c r="J106" s="890">
        <f>'P&amp;L - Concept B1 - ALL'!L119</f>
        <v>2297205.4436580748</v>
      </c>
      <c r="K106" s="890">
        <f>'P&amp;L - Concept B1 - ALL'!M119</f>
        <v>2335967.1525312369</v>
      </c>
      <c r="L106" s="890">
        <f>'P&amp;L - Concept B1 - ALL'!N119</f>
        <v>2375504.0955818612</v>
      </c>
      <c r="M106" s="890">
        <f>'P&amp;L - Concept B1 - ALL'!O119</f>
        <v>2478449.2774934988</v>
      </c>
      <c r="N106" s="890">
        <f>'P&amp;L - Concept B1 - ALL'!P119</f>
        <v>2519583.5130433682</v>
      </c>
      <c r="O106" s="890">
        <f>'P&amp;L - Concept B1 - ALL'!Q119</f>
        <v>2561540.4333042358</v>
      </c>
      <c r="P106" s="890">
        <f>'P&amp;L - Concept B1 - ALL'!R119</f>
        <v>2604336.4919703207</v>
      </c>
      <c r="Q106" s="890">
        <f>'P&amp;L - Concept B1 - ALL'!S119</f>
        <v>2647988.4718097271</v>
      </c>
      <c r="R106" s="890">
        <f>'P&amp;L - Concept B1 - ALL'!T119</f>
        <v>2755230.9912459217</v>
      </c>
      <c r="S106" s="890">
        <f>'P&amp;L - Concept B1 - ALL'!U119</f>
        <v>2800646.5110708405</v>
      </c>
      <c r="T106" s="890">
        <f>'P&amp;L - Concept B1 - ALL'!V119</f>
        <v>2846970.341292257</v>
      </c>
      <c r="U106" s="890">
        <f>'P&amp;L - Concept B1 - ALL'!W119</f>
        <v>2894220.6481181025</v>
      </c>
      <c r="V106" s="890">
        <f>'P&amp;L - Concept B1 - ALL'!X119</f>
        <v>2942415.9610804645</v>
      </c>
      <c r="W106" s="914">
        <f t="shared" ref="W106:W113" si="5">SUM(C106:V106)</f>
        <v>46019756.00510364</v>
      </c>
      <c r="X106" s="912"/>
      <c r="Y106" s="912"/>
      <c r="Z106" s="912"/>
      <c r="AA106" s="912"/>
    </row>
    <row r="107" spans="1:27" s="341" customFormat="1">
      <c r="A107" s="891" t="s">
        <v>140</v>
      </c>
      <c r="B107" s="891"/>
      <c r="C107" s="892">
        <f>'P&amp;L - Concept B1 - ALL'!E152</f>
        <v>357416.66666666663</v>
      </c>
      <c r="D107" s="892">
        <f>'P&amp;L - Concept B1 - ALL'!F152</f>
        <v>826389.34615384613</v>
      </c>
      <c r="E107" s="892">
        <f>'P&amp;L - Concept B1 - ALL'!G152</f>
        <v>844040.56107692316</v>
      </c>
      <c r="F107" s="892">
        <f>'P&amp;L - Concept B1 - ALL'!H152</f>
        <v>860921.3722984615</v>
      </c>
      <c r="G107" s="892">
        <f>'P&amp;L - Concept B1 - ALL'!I152</f>
        <v>878139.79974443081</v>
      </c>
      <c r="H107" s="892">
        <f>'P&amp;L - Concept B1 - ALL'!J152</f>
        <v>924046.47453451937</v>
      </c>
      <c r="I107" s="892">
        <f>'P&amp;L - Concept B1 - ALL'!K152</f>
        <v>937990.4852348417</v>
      </c>
      <c r="J107" s="892">
        <f>'P&amp;L - Concept B1 - ALL'!L152</f>
        <v>956750.29493953846</v>
      </c>
      <c r="K107" s="892">
        <f>'P&amp;L - Concept B1 - ALL'!M152</f>
        <v>975885.3008383296</v>
      </c>
      <c r="L107" s="892">
        <f>'P&amp;L - Concept B1 - ALL'!N152</f>
        <v>995403.00685509597</v>
      </c>
      <c r="M107" s="892">
        <f>'P&amp;L - Concept B1 - ALL'!O152</f>
        <v>1043506.4772135783</v>
      </c>
      <c r="N107" s="892">
        <f>'P&amp;L - Concept B1 - ALL'!P152</f>
        <v>1035617.2883320421</v>
      </c>
      <c r="O107" s="892">
        <f>'P&amp;L - Concept B1 - ALL'!Q152</f>
        <v>1056329.6340986828</v>
      </c>
      <c r="P107" s="892">
        <f>'P&amp;L - Concept B1 - ALL'!R152</f>
        <v>1077456.2267806565</v>
      </c>
      <c r="Q107" s="892">
        <f>'P&amp;L - Concept B1 - ALL'!S152</f>
        <v>1099005.3513162697</v>
      </c>
      <c r="R107" s="892">
        <f>'P&amp;L - Concept B1 - ALL'!T152</f>
        <v>1125312.524173433</v>
      </c>
      <c r="S107" s="892">
        <f>'P&amp;L - Concept B1 - ALL'!U152</f>
        <v>1143405.1675094471</v>
      </c>
      <c r="T107" s="892">
        <f>'P&amp;L - Concept B1 - ALL'!V152</f>
        <v>1166273.2708596359</v>
      </c>
      <c r="U107" s="892">
        <f>'P&amp;L - Concept B1 - ALL'!W152</f>
        <v>1189598.7362768287</v>
      </c>
      <c r="V107" s="892">
        <f>'P&amp;L - Concept B1 - ALL'!X152</f>
        <v>1213390.7110023652</v>
      </c>
      <c r="W107" s="914">
        <f t="shared" si="5"/>
        <v>19706878.695905592</v>
      </c>
      <c r="X107" s="912"/>
      <c r="Y107" s="912"/>
      <c r="Z107" s="912"/>
      <c r="AA107" s="912"/>
    </row>
    <row r="108" spans="1:27" s="341" customFormat="1">
      <c r="A108" s="573" t="s">
        <v>116</v>
      </c>
      <c r="B108" s="573"/>
      <c r="C108" s="890">
        <f>'P&amp;L - Concept B1 - ALL'!E156</f>
        <v>-299391.66666666663</v>
      </c>
      <c r="D108" s="890">
        <f>'P&amp;L - Concept B1 - ALL'!F156</f>
        <v>888955.06404615415</v>
      </c>
      <c r="E108" s="890">
        <f>'P&amp;L - Concept B1 - ALL'!G156</f>
        <v>1022343.1373270768</v>
      </c>
      <c r="F108" s="890">
        <f>'P&amp;L - Concept B1 - ALL'!H156</f>
        <v>1040570.0000736186</v>
      </c>
      <c r="G108" s="890">
        <f>'P&amp;L - Concept B1 - ALL'!I156</f>
        <v>1059161.4000750906</v>
      </c>
      <c r="H108" s="890">
        <f>'P&amp;L - Concept B1 - ALL'!J156</f>
        <v>1297900.7492813924</v>
      </c>
      <c r="I108" s="890">
        <f>'P&amp;L - Concept B1 - ALL'!K156</f>
        <v>1321213.2830573884</v>
      </c>
      <c r="J108" s="890">
        <f>'P&amp;L - Concept B1 - ALL'!L156</f>
        <v>1340455.1487185364</v>
      </c>
      <c r="K108" s="890">
        <f>'P&amp;L - Concept B1 - ALL'!M156</f>
        <v>1360081.8516929073</v>
      </c>
      <c r="L108" s="890">
        <f>'P&amp;L - Concept B1 - ALL'!N156</f>
        <v>1380101.0887267652</v>
      </c>
      <c r="M108" s="890">
        <f>'P&amp;L - Concept B1 - ALL'!O156</f>
        <v>1434942.8002799205</v>
      </c>
      <c r="N108" s="890">
        <f>'P&amp;L - Concept B1 - ALL'!P156</f>
        <v>1483966.2247113262</v>
      </c>
      <c r="O108" s="890">
        <f>'P&amp;L - Concept B1 - ALL'!Q156</f>
        <v>1505210.799205553</v>
      </c>
      <c r="P108" s="890">
        <f>'P&amp;L - Concept B1 - ALL'!R156</f>
        <v>1526880.2651896642</v>
      </c>
      <c r="Q108" s="890">
        <f>'P&amp;L - Concept B1 - ALL'!S156</f>
        <v>1548983.1204934574</v>
      </c>
      <c r="R108" s="890">
        <f>'P&amp;L - Concept B1 - ALL'!T156</f>
        <v>1629918.4670724887</v>
      </c>
      <c r="S108" s="890">
        <f>'P&amp;L - Concept B1 - ALL'!U156</f>
        <v>1657241.3435613934</v>
      </c>
      <c r="T108" s="890">
        <f>'P&amp;L - Concept B1 - ALL'!V156</f>
        <v>1680697.0704326211</v>
      </c>
      <c r="U108" s="890">
        <f>'P&amp;L - Concept B1 - ALL'!W156</f>
        <v>1704621.9118412738</v>
      </c>
      <c r="V108" s="890">
        <f>'P&amp;L - Concept B1 - ALL'!X156</f>
        <v>1729025.2500780993</v>
      </c>
      <c r="W108" s="914">
        <f t="shared" si="5"/>
        <v>26312877.309198063</v>
      </c>
      <c r="X108" s="912"/>
      <c r="Y108" s="912"/>
      <c r="Z108" s="912"/>
      <c r="AA108" s="912"/>
    </row>
    <row r="109" spans="1:27" s="341" customFormat="1">
      <c r="A109" s="561"/>
      <c r="B109" s="561"/>
      <c r="C109" s="890"/>
      <c r="D109" s="890"/>
      <c r="E109" s="890"/>
      <c r="F109" s="890"/>
      <c r="G109" s="890"/>
      <c r="H109" s="890"/>
      <c r="I109" s="890"/>
      <c r="J109" s="890"/>
      <c r="K109" s="890"/>
      <c r="L109" s="890"/>
      <c r="M109" s="890"/>
      <c r="N109" s="890"/>
      <c r="O109" s="890"/>
      <c r="P109" s="890"/>
      <c r="Q109" s="890"/>
      <c r="R109" s="890"/>
      <c r="S109" s="890"/>
      <c r="T109" s="890"/>
      <c r="U109" s="890"/>
      <c r="V109" s="890"/>
      <c r="W109" s="914"/>
      <c r="X109" s="912"/>
      <c r="Y109" s="912"/>
      <c r="Z109" s="912"/>
      <c r="AA109" s="912"/>
    </row>
    <row r="110" spans="1:27" s="341" customFormat="1">
      <c r="A110" s="561" t="s">
        <v>136</v>
      </c>
      <c r="B110" s="561"/>
      <c r="C110" s="890">
        <f>'P&amp;L - Concept B1 - ALL'!E164</f>
        <v>0</v>
      </c>
      <c r="D110" s="890">
        <f>'P&amp;L - Concept B1 - ALL'!F164</f>
        <v>53485</v>
      </c>
      <c r="E110" s="890">
        <f>'P&amp;L - Concept B1 - ALL'!G164</f>
        <v>54554.700000000004</v>
      </c>
      <c r="F110" s="890">
        <f>'P&amp;L - Concept B1 - ALL'!H164</f>
        <v>55645.794000000002</v>
      </c>
      <c r="G110" s="890">
        <f>'P&amp;L - Concept B1 - ALL'!I164</f>
        <v>56758.709879999995</v>
      </c>
      <c r="H110" s="890">
        <f>'P&amp;L - Concept B1 - ALL'!J164</f>
        <v>57893.8840776</v>
      </c>
      <c r="I110" s="890">
        <f>'P&amp;L - Concept B1 - ALL'!K164</f>
        <v>59051.761759152003</v>
      </c>
      <c r="J110" s="890">
        <f>'P&amp;L - Concept B1 - ALL'!L164</f>
        <v>60232.796994335047</v>
      </c>
      <c r="K110" s="890">
        <f>'P&amp;L - Concept B1 - ALL'!M164</f>
        <v>61437.452934221743</v>
      </c>
      <c r="L110" s="890">
        <f>'P&amp;L - Concept B1 - ALL'!N164</f>
        <v>62666.201992906186</v>
      </c>
      <c r="M110" s="890">
        <f>'P&amp;L - Concept B1 - ALL'!O164</f>
        <v>63919.526032764305</v>
      </c>
      <c r="N110" s="890">
        <f>'P&amp;L - Concept B1 - ALL'!P164</f>
        <v>65197.916553419593</v>
      </c>
      <c r="O110" s="890">
        <f>'P&amp;L - Concept B1 - ALL'!Q164</f>
        <v>66501.874884487988</v>
      </c>
      <c r="P110" s="890">
        <f>'P&amp;L - Concept B1 - ALL'!R164</f>
        <v>67831.912382177747</v>
      </c>
      <c r="Q110" s="890">
        <f>'P&amp;L - Concept B1 - ALL'!S164</f>
        <v>69188.5506298213</v>
      </c>
      <c r="R110" s="890">
        <f>'P&amp;L - Concept B1 - ALL'!T164</f>
        <v>70572.321642417723</v>
      </c>
      <c r="S110" s="890">
        <f>'P&amp;L - Concept B1 - ALL'!U164</f>
        <v>71983.768075266082</v>
      </c>
      <c r="T110" s="890">
        <f>'P&amp;L - Concept B1 - ALL'!V164</f>
        <v>73423.443436771413</v>
      </c>
      <c r="U110" s="890">
        <f>'P&amp;L - Concept B1 - ALL'!W164</f>
        <v>74891.912305506848</v>
      </c>
      <c r="V110" s="890">
        <f>'P&amp;L - Concept B1 - ALL'!X164</f>
        <v>76389.750551616977</v>
      </c>
      <c r="W110" s="914">
        <f t="shared" si="5"/>
        <v>1221627.278132465</v>
      </c>
      <c r="X110" s="912"/>
      <c r="Y110" s="912"/>
      <c r="Z110" s="912"/>
      <c r="AA110" s="912"/>
    </row>
    <row r="111" spans="1:27" s="341" customFormat="1">
      <c r="A111" s="561" t="s">
        <v>127</v>
      </c>
      <c r="B111" s="561"/>
      <c r="C111" s="890">
        <f>SUM('P&amp;L - Concept B1 - ALL'!E165:E167)</f>
        <v>858119.16</v>
      </c>
      <c r="D111" s="890">
        <f>SUM('P&amp;L - Concept B1 - ALL'!F165:F167)</f>
        <v>858119.16</v>
      </c>
      <c r="E111" s="890">
        <f>SUM('P&amp;L - Concept B1 - ALL'!G165:G167)</f>
        <v>858119.16</v>
      </c>
      <c r="F111" s="890">
        <f>SUM('P&amp;L - Concept B1 - ALL'!H165:H167)</f>
        <v>858119.16</v>
      </c>
      <c r="G111" s="890">
        <f>SUM('P&amp;L - Concept B1 - ALL'!I165:I167)</f>
        <v>858119.16</v>
      </c>
      <c r="H111" s="890">
        <f>SUM('P&amp;L - Concept B1 - ALL'!J165:J167)</f>
        <v>858119.16</v>
      </c>
      <c r="I111" s="890">
        <f>SUM('P&amp;L - Concept B1 - ALL'!K165:K167)</f>
        <v>858119.16</v>
      </c>
      <c r="J111" s="890">
        <f>SUM('P&amp;L - Concept B1 - ALL'!L165:L167)</f>
        <v>858119.16</v>
      </c>
      <c r="K111" s="890">
        <f>SUM('P&amp;L - Concept B1 - ALL'!M165:M167)</f>
        <v>858119.16</v>
      </c>
      <c r="L111" s="890">
        <f>SUM('P&amp;L - Concept B1 - ALL'!N165:N167)</f>
        <v>858119.16</v>
      </c>
      <c r="M111" s="890">
        <f>SUM('P&amp;L - Concept B1 - ALL'!O165:O167)</f>
        <v>858119.16</v>
      </c>
      <c r="N111" s="890">
        <f>SUM('P&amp;L - Concept B1 - ALL'!P165:P167)</f>
        <v>858119.16</v>
      </c>
      <c r="O111" s="890">
        <f>SUM('P&amp;L - Concept B1 - ALL'!Q165:Q167)</f>
        <v>858119.16</v>
      </c>
      <c r="P111" s="890">
        <f>SUM('P&amp;L - Concept B1 - ALL'!R165:R167)</f>
        <v>858119.16</v>
      </c>
      <c r="Q111" s="890">
        <f>SUM('P&amp;L - Concept B1 - ALL'!S165:S167)</f>
        <v>858119.16</v>
      </c>
      <c r="R111" s="890">
        <f>SUM('P&amp;L - Concept B1 - ALL'!T165:T167)</f>
        <v>858119.16</v>
      </c>
      <c r="S111" s="890">
        <f>SUM('P&amp;L - Concept B1 - ALL'!U165:U167)</f>
        <v>858119.16</v>
      </c>
      <c r="T111" s="890">
        <f>SUM('P&amp;L - Concept B1 - ALL'!V165:V167)</f>
        <v>858119.16</v>
      </c>
      <c r="U111" s="890">
        <f>SUM('P&amp;L - Concept B1 - ALL'!W165:W167)</f>
        <v>858119.16</v>
      </c>
      <c r="V111" s="890">
        <f>SUM('P&amp;L - Concept B1 - ALL'!X165:X167)</f>
        <v>858119.16</v>
      </c>
      <c r="W111" s="914">
        <f t="shared" si="5"/>
        <v>17162383.199999999</v>
      </c>
      <c r="X111" s="912">
        <f>SUM(W110:W111)</f>
        <v>18384010.478132464</v>
      </c>
      <c r="Y111" s="912"/>
      <c r="Z111" s="912"/>
      <c r="AA111" s="912"/>
    </row>
    <row r="112" spans="1:27" s="341" customFormat="1">
      <c r="A112" s="561"/>
      <c r="B112" s="561"/>
      <c r="C112" s="890"/>
      <c r="D112" s="890"/>
      <c r="E112" s="890"/>
      <c r="F112" s="890"/>
      <c r="G112" s="890"/>
      <c r="H112" s="890"/>
      <c r="I112" s="890"/>
      <c r="J112" s="890"/>
      <c r="K112" s="890"/>
      <c r="L112" s="890"/>
      <c r="M112" s="890"/>
      <c r="N112" s="890"/>
      <c r="O112" s="890"/>
      <c r="P112" s="890"/>
      <c r="Q112" s="890"/>
      <c r="R112" s="890"/>
      <c r="S112" s="890"/>
      <c r="T112" s="890"/>
      <c r="U112" s="890"/>
      <c r="V112" s="890"/>
      <c r="W112" s="914"/>
      <c r="X112" s="912"/>
      <c r="Y112" s="912"/>
      <c r="Z112" s="912"/>
      <c r="AA112" s="912"/>
    </row>
    <row r="113" spans="1:27" s="341" customFormat="1">
      <c r="A113" s="561" t="s">
        <v>138</v>
      </c>
      <c r="B113" s="561"/>
      <c r="C113" s="890">
        <f>'P&amp;L - Concept B1 - ALL'!E170</f>
        <v>-299391.66666666663</v>
      </c>
      <c r="D113" s="890">
        <f>'P&amp;L - Concept B1 - ALL'!F170</f>
        <v>835470.06404615415</v>
      </c>
      <c r="E113" s="890">
        <f>'P&amp;L - Concept B1 - ALL'!G170</f>
        <v>967788.4373270768</v>
      </c>
      <c r="F113" s="890">
        <f>'P&amp;L - Concept B1 - ALL'!H170</f>
        <v>984924.20607361861</v>
      </c>
      <c r="G113" s="890">
        <f>'P&amp;L - Concept B1 - ALL'!I170</f>
        <v>1002402.6901950906</v>
      </c>
      <c r="H113" s="890">
        <f>'P&amp;L - Concept B1 - ALL'!J170</f>
        <v>1240006.8652037925</v>
      </c>
      <c r="I113" s="890">
        <f>'P&amp;L - Concept B1 - ALL'!K170</f>
        <v>1262161.5212982364</v>
      </c>
      <c r="J113" s="890">
        <f>'P&amp;L - Concept B1 - ALL'!L170</f>
        <v>1280222.3517242013</v>
      </c>
      <c r="K113" s="890">
        <f>'P&amp;L - Concept B1 - ALL'!M170</f>
        <v>1298644.3987586854</v>
      </c>
      <c r="L113" s="890">
        <f>'P&amp;L - Concept B1 - ALL'!N170</f>
        <v>1317434.8867338591</v>
      </c>
      <c r="M113" s="890">
        <f>'P&amp;L - Concept B1 - ALL'!O170</f>
        <v>1371023.2742471562</v>
      </c>
      <c r="N113" s="890">
        <f>'P&amp;L - Concept B1 - ALL'!P170</f>
        <v>1418768.3081579066</v>
      </c>
      <c r="O113" s="890">
        <f>'P&amp;L - Concept B1 - ALL'!Q170</f>
        <v>1438708.924321065</v>
      </c>
      <c r="P113" s="890">
        <f>'P&amp;L - Concept B1 - ALL'!R170</f>
        <v>1459048.3528074864</v>
      </c>
      <c r="Q113" s="890">
        <f>'P&amp;L - Concept B1 - ALL'!S170</f>
        <v>1479794.569863636</v>
      </c>
      <c r="R113" s="890">
        <f>'P&amp;L - Concept B1 - ALL'!T170</f>
        <v>1559346.145430071</v>
      </c>
      <c r="S113" s="890">
        <f>'P&amp;L - Concept B1 - ALL'!U170</f>
        <v>1585257.5754861273</v>
      </c>
      <c r="T113" s="890">
        <f>'P&amp;L - Concept B1 - ALL'!V170</f>
        <v>1607273.6269958497</v>
      </c>
      <c r="U113" s="890">
        <f>'P&amp;L - Concept B1 - ALL'!W170</f>
        <v>1629729.9995357669</v>
      </c>
      <c r="V113" s="890">
        <f>'P&amp;L - Concept B1 - ALL'!X170</f>
        <v>1652635.4995264823</v>
      </c>
      <c r="W113" s="914">
        <f t="shared" si="5"/>
        <v>25091250.031065594</v>
      </c>
      <c r="X113" s="912"/>
      <c r="Y113" s="912"/>
      <c r="Z113" s="912"/>
      <c r="AA113" s="912"/>
    </row>
    <row r="114" spans="1:27" s="341" customFormat="1">
      <c r="A114" s="561"/>
      <c r="B114" s="561"/>
      <c r="C114" s="890"/>
      <c r="D114" s="890"/>
      <c r="E114" s="890"/>
      <c r="F114" s="890"/>
      <c r="G114" s="890"/>
      <c r="H114" s="890"/>
      <c r="I114" s="890"/>
      <c r="J114" s="890"/>
      <c r="K114" s="890"/>
      <c r="L114" s="890"/>
      <c r="M114" s="890"/>
      <c r="N114" s="890"/>
      <c r="O114" s="890"/>
      <c r="P114" s="890"/>
      <c r="Q114" s="890"/>
      <c r="R114" s="890"/>
      <c r="S114" s="890"/>
      <c r="T114" s="890"/>
      <c r="U114" s="890"/>
      <c r="V114" s="890"/>
      <c r="W114" s="914"/>
      <c r="X114" s="912"/>
      <c r="Y114" s="912"/>
      <c r="Z114" s="912"/>
      <c r="AA114" s="912"/>
    </row>
    <row r="115" spans="1:27" s="341" customFormat="1">
      <c r="A115" s="893" t="s">
        <v>130</v>
      </c>
      <c r="B115" s="893"/>
      <c r="C115" s="894">
        <f>'P&amp;L - Concept B1 - ALL'!E174</f>
        <v>-1157510.8266666667</v>
      </c>
      <c r="D115" s="894">
        <f>'P&amp;L - Concept B1 - ALL'!F174</f>
        <v>-22649.095953845885</v>
      </c>
      <c r="E115" s="894">
        <f>'P&amp;L - Concept B1 - ALL'!G174</f>
        <v>109669.27732707676</v>
      </c>
      <c r="F115" s="894">
        <f>'P&amp;L - Concept B1 - ALL'!H174</f>
        <v>126805.04607361858</v>
      </c>
      <c r="G115" s="894">
        <f>'P&amp;L - Concept B1 - ALL'!I174</f>
        <v>144283.53019509057</v>
      </c>
      <c r="H115" s="894">
        <f>'P&amp;L - Concept B1 - ALL'!J174</f>
        <v>381887.70520379243</v>
      </c>
      <c r="I115" s="894">
        <f>'P&amp;L - Concept B1 - ALL'!K174</f>
        <v>404042.3612982363</v>
      </c>
      <c r="J115" s="894">
        <f>'P&amp;L - Concept B1 - ALL'!L174</f>
        <v>422103.19172420132</v>
      </c>
      <c r="K115" s="894">
        <f>'P&amp;L - Concept B1 - ALL'!M174</f>
        <v>440525.23875868553</v>
      </c>
      <c r="L115" s="894">
        <f>'P&amp;L - Concept B1 - ALL'!N174</f>
        <v>459315.72673385905</v>
      </c>
      <c r="M115" s="894">
        <f>'P&amp;L - Concept B1 - ALL'!O174</f>
        <v>512904.11424715607</v>
      </c>
      <c r="N115" s="894">
        <f>'P&amp;L - Concept B1 - ALL'!P174</f>
        <v>560649.1481579066</v>
      </c>
      <c r="O115" s="894">
        <f>'P&amp;L - Concept B1 - ALL'!Q174</f>
        <v>580589.76432106504</v>
      </c>
      <c r="P115" s="894">
        <f>'P&amp;L - Concept B1 - ALL'!R174</f>
        <v>600929.1928074864</v>
      </c>
      <c r="Q115" s="894">
        <f>'P&amp;L - Concept B1 - ALL'!S174</f>
        <v>621675.40986363613</v>
      </c>
      <c r="R115" s="894">
        <f>'P&amp;L - Concept B1 - ALL'!T174</f>
        <v>701226.98543007101</v>
      </c>
      <c r="S115" s="894">
        <f>'P&amp;L - Concept B1 - ALL'!U174</f>
        <v>727138.41548612737</v>
      </c>
      <c r="T115" s="894">
        <f>'P&amp;L - Concept B1 - ALL'!V174</f>
        <v>749154.46699584962</v>
      </c>
      <c r="U115" s="894">
        <f>'P&amp;L - Concept B1 - ALL'!W174</f>
        <v>771610.83953576686</v>
      </c>
      <c r="V115" s="894">
        <f>'P&amp;L - Concept B1 - ALL'!X174</f>
        <v>794516.33952648228</v>
      </c>
      <c r="W115" s="914">
        <f>SUM(C115:V115)</f>
        <v>7928866.8310655951</v>
      </c>
      <c r="X115" s="912"/>
      <c r="Y115" s="912"/>
      <c r="Z115" s="912"/>
      <c r="AA115" s="912"/>
    </row>
    <row r="116" spans="1:27" s="341" customFormat="1">
      <c r="A116" s="561" t="s">
        <v>404</v>
      </c>
      <c r="B116" s="708">
        <f>'P&amp;L - Concept B1 - ALL'!B175</f>
        <v>0.21609819248545192</v>
      </c>
      <c r="C116" s="896"/>
      <c r="D116" s="896"/>
      <c r="E116" s="896"/>
      <c r="F116" s="896"/>
      <c r="G116" s="896"/>
      <c r="H116" s="896"/>
      <c r="I116" s="896"/>
      <c r="J116" s="896"/>
      <c r="K116" s="896"/>
      <c r="L116" s="896"/>
      <c r="M116" s="896"/>
      <c r="N116" s="896"/>
      <c r="O116" s="896"/>
      <c r="P116" s="896"/>
      <c r="Q116" s="896"/>
      <c r="R116" s="896"/>
      <c r="S116" s="896"/>
      <c r="T116" s="896"/>
      <c r="U116" s="896"/>
      <c r="V116" s="896"/>
      <c r="W116" s="910"/>
      <c r="X116" s="912"/>
      <c r="Y116" s="912"/>
      <c r="Z116" s="912"/>
      <c r="AA116" s="912"/>
    </row>
    <row r="117" spans="1:27">
      <c r="A117" s="131"/>
      <c r="B117" s="131"/>
      <c r="C117" s="630"/>
      <c r="D117" s="630"/>
      <c r="E117" s="630"/>
      <c r="F117" s="630"/>
      <c r="G117" s="630"/>
      <c r="H117" s="630"/>
      <c r="I117" s="630"/>
      <c r="J117" s="630"/>
      <c r="K117" s="630"/>
      <c r="L117" s="630"/>
      <c r="M117" s="630"/>
      <c r="N117" s="630"/>
      <c r="O117" s="630"/>
      <c r="P117" s="630"/>
      <c r="Q117" s="630"/>
      <c r="R117" s="630"/>
      <c r="S117" s="630"/>
      <c r="T117" s="630"/>
      <c r="U117" s="630"/>
      <c r="V117" s="630"/>
    </row>
    <row r="118" spans="1:27" s="32" customFormat="1">
      <c r="A118" s="47"/>
      <c r="B118" s="47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905"/>
      <c r="X118" s="906"/>
      <c r="Y118" s="904"/>
      <c r="Z118" s="904"/>
      <c r="AA118" s="904"/>
    </row>
    <row r="119" spans="1:27" s="32" customFormat="1">
      <c r="A119" s="47" t="s">
        <v>7</v>
      </c>
      <c r="B119" s="47"/>
      <c r="C119" s="47" t="s">
        <v>7</v>
      </c>
      <c r="D119" s="47" t="s">
        <v>7</v>
      </c>
      <c r="E119" s="47" t="s">
        <v>7</v>
      </c>
      <c r="F119" s="47" t="s">
        <v>7</v>
      </c>
      <c r="G119" s="47" t="s">
        <v>7</v>
      </c>
      <c r="H119" s="47" t="s">
        <v>7</v>
      </c>
      <c r="I119" s="47" t="s">
        <v>7</v>
      </c>
      <c r="J119" s="47" t="s">
        <v>7</v>
      </c>
      <c r="K119" s="47" t="s">
        <v>7</v>
      </c>
      <c r="L119" s="47" t="s">
        <v>7</v>
      </c>
      <c r="M119" s="47" t="s">
        <v>7</v>
      </c>
      <c r="N119" s="47" t="s">
        <v>7</v>
      </c>
      <c r="O119" s="47" t="s">
        <v>7</v>
      </c>
      <c r="P119" s="47" t="s">
        <v>7</v>
      </c>
      <c r="Q119" s="47" t="s">
        <v>7</v>
      </c>
      <c r="R119" s="47" t="s">
        <v>7</v>
      </c>
      <c r="S119" s="47" t="s">
        <v>7</v>
      </c>
      <c r="T119" s="47" t="s">
        <v>7</v>
      </c>
      <c r="U119" s="47" t="s">
        <v>7</v>
      </c>
      <c r="V119" s="47" t="s">
        <v>7</v>
      </c>
      <c r="W119" s="905"/>
      <c r="X119" s="906"/>
      <c r="Y119" s="904"/>
      <c r="Z119" s="904"/>
      <c r="AA119" s="904"/>
    </row>
    <row r="120" spans="1:27">
      <c r="C120" s="629"/>
      <c r="D120" s="629"/>
      <c r="E120" s="629"/>
      <c r="F120" s="629"/>
      <c r="G120" s="629"/>
      <c r="H120" s="629"/>
      <c r="I120" s="629"/>
      <c r="J120" s="629"/>
      <c r="K120" s="629"/>
      <c r="L120" s="629"/>
      <c r="M120" s="629"/>
      <c r="N120" s="629"/>
      <c r="O120" s="629"/>
      <c r="P120" s="629"/>
      <c r="Q120" s="629"/>
      <c r="R120" s="629"/>
      <c r="S120" s="629"/>
      <c r="T120" s="629"/>
      <c r="U120" s="629"/>
      <c r="V120" s="629"/>
      <c r="X120" s="907"/>
    </row>
    <row r="121" spans="1:27">
      <c r="A121" s="29"/>
      <c r="B121" s="72"/>
      <c r="C121" s="71">
        <v>2019</v>
      </c>
      <c r="D121" s="71">
        <v>2020</v>
      </c>
      <c r="E121" s="71">
        <v>2021</v>
      </c>
      <c r="F121" s="71">
        <v>2022</v>
      </c>
      <c r="G121" s="71">
        <v>2023</v>
      </c>
      <c r="H121" s="71">
        <v>2024</v>
      </c>
      <c r="I121" s="71">
        <v>2025</v>
      </c>
      <c r="J121" s="71">
        <v>2026</v>
      </c>
      <c r="K121" s="71">
        <v>2027</v>
      </c>
      <c r="L121" s="71">
        <v>2028</v>
      </c>
      <c r="M121" s="71">
        <v>2029</v>
      </c>
      <c r="N121" s="71">
        <v>2030</v>
      </c>
      <c r="O121" s="71">
        <v>2031</v>
      </c>
      <c r="P121" s="71">
        <v>2032</v>
      </c>
      <c r="Q121" s="71">
        <v>2033</v>
      </c>
      <c r="R121" s="71">
        <v>2034</v>
      </c>
      <c r="S121" s="71">
        <v>2035</v>
      </c>
      <c r="T121" s="71">
        <v>2036</v>
      </c>
      <c r="U121" s="71">
        <v>2037</v>
      </c>
      <c r="V121" s="71">
        <v>2038</v>
      </c>
      <c r="X121" s="908"/>
    </row>
    <row r="122" spans="1:27">
      <c r="C122" s="629"/>
      <c r="D122" s="629"/>
      <c r="E122" s="629"/>
      <c r="F122" s="629"/>
      <c r="G122" s="629"/>
      <c r="H122" s="629"/>
      <c r="I122" s="629"/>
      <c r="J122" s="629"/>
      <c r="K122" s="629"/>
      <c r="L122" s="629"/>
      <c r="M122" s="629"/>
      <c r="N122" s="629"/>
      <c r="O122" s="629"/>
      <c r="P122" s="629"/>
      <c r="Q122" s="629"/>
      <c r="R122" s="629"/>
      <c r="S122" s="629"/>
      <c r="T122" s="629"/>
      <c r="U122" s="629"/>
      <c r="V122" s="629"/>
      <c r="X122" s="909"/>
    </row>
    <row r="123" spans="1:27">
      <c r="A123" s="266" t="s">
        <v>395</v>
      </c>
      <c r="B123" s="266"/>
      <c r="C123" s="631"/>
      <c r="D123" s="631"/>
      <c r="E123" s="631"/>
      <c r="F123" s="631"/>
      <c r="G123" s="631"/>
      <c r="H123" s="631"/>
      <c r="I123" s="631"/>
      <c r="J123" s="631"/>
      <c r="K123" s="631"/>
      <c r="L123" s="631"/>
      <c r="M123" s="631"/>
      <c r="N123" s="631"/>
      <c r="O123" s="631"/>
      <c r="P123" s="631"/>
      <c r="Q123" s="631"/>
      <c r="R123" s="631"/>
      <c r="S123" s="631"/>
      <c r="T123" s="631"/>
      <c r="U123" s="631"/>
      <c r="V123" s="631"/>
      <c r="X123" s="919"/>
    </row>
    <row r="124" spans="1:27">
      <c r="A124" s="26"/>
      <c r="B124" s="26"/>
      <c r="C124" s="632"/>
      <c r="D124" s="632"/>
      <c r="E124" s="632"/>
      <c r="F124" s="632"/>
      <c r="G124" s="632"/>
      <c r="H124" s="632"/>
      <c r="I124" s="632"/>
      <c r="J124" s="632"/>
      <c r="K124" s="632"/>
      <c r="L124" s="632"/>
      <c r="M124" s="632"/>
      <c r="N124" s="632"/>
      <c r="O124" s="632"/>
      <c r="P124" s="632"/>
      <c r="Q124" s="632"/>
      <c r="R124" s="632"/>
      <c r="S124" s="632"/>
      <c r="T124" s="632"/>
      <c r="U124" s="632"/>
      <c r="V124" s="632"/>
      <c r="X124" s="920"/>
    </row>
    <row r="125" spans="1:27">
      <c r="A125" s="32" t="s">
        <v>148</v>
      </c>
      <c r="B125" s="32"/>
      <c r="C125" s="625">
        <f>'P&amp;L - Concept B2 - Carnival'!E119</f>
        <v>58025</v>
      </c>
      <c r="D125" s="625">
        <f>'P&amp;L - Concept B2 - Carnival'!F119</f>
        <v>1346091.5575133858</v>
      </c>
      <c r="E125" s="625">
        <f>'P&amp;L - Concept B2 - Carnival'!G119</f>
        <v>1489745.7886636534</v>
      </c>
      <c r="F125" s="625">
        <f>'P&amp;L - Concept B2 - Carnival'!H119</f>
        <v>1517320.7044369264</v>
      </c>
      <c r="G125" s="625">
        <f>'P&amp;L - Concept B2 - Carnival'!I119</f>
        <v>1545447.1185256653</v>
      </c>
      <c r="H125" s="625">
        <f>'P&amp;L - Concept B2 - Carnival'!J119</f>
        <v>1821051.5608961782</v>
      </c>
      <c r="I125" s="625">
        <f>'P&amp;L - Concept B2 - Carnival'!K119</f>
        <v>1850314.2821141023</v>
      </c>
      <c r="J125" s="625">
        <f>'P&amp;L - Concept B2 - Carnival'!L119</f>
        <v>1880162.2577563843</v>
      </c>
      <c r="K125" s="625">
        <f>'P&amp;L - Concept B2 - Carnival'!M119</f>
        <v>1910607.192911512</v>
      </c>
      <c r="L125" s="625">
        <f>'P&amp;L - Concept B2 - Carnival'!N119</f>
        <v>1941661.0267697424</v>
      </c>
      <c r="M125" s="625">
        <f>'P&amp;L - Concept B2 - Carnival'!O119</f>
        <v>2035652.312305137</v>
      </c>
      <c r="N125" s="625">
        <f>'P&amp;L - Concept B2 - Carnival'!P119</f>
        <v>2067960.7210512399</v>
      </c>
      <c r="O125" s="625">
        <f>'P&amp;L - Concept B2 - Carnival'!Q119</f>
        <v>2100915.2979722642</v>
      </c>
      <c r="P125" s="625">
        <f>'P&amp;L - Concept B2 - Carnival'!R119</f>
        <v>2134528.9664317099</v>
      </c>
      <c r="Q125" s="625">
        <f>'P&amp;L - Concept B2 - Carnival'!S119</f>
        <v>2168814.9082603441</v>
      </c>
      <c r="R125" s="625">
        <f>'P&amp;L - Concept B2 - Carnival'!T119</f>
        <v>2266202.9439255511</v>
      </c>
      <c r="S125" s="625">
        <f>'P&amp;L - Concept B2 - Carnival'!U119</f>
        <v>2301874.037804062</v>
      </c>
      <c r="T125" s="625">
        <f>'P&amp;L - Concept B2 - Carnival'!V119</f>
        <v>2338258.5535601429</v>
      </c>
      <c r="U125" s="625">
        <f>'P&amp;L - Concept B2 - Carnival'!W119</f>
        <v>2375370.759631346</v>
      </c>
      <c r="V125" s="625">
        <f>'P&amp;L - Concept B2 - Carnival'!X119</f>
        <v>2413225.209823973</v>
      </c>
      <c r="W125" s="903">
        <f t="shared" ref="W125:W132" si="6">SUM(C125:V125)</f>
        <v>37563230.200353324</v>
      </c>
      <c r="X125" s="906"/>
    </row>
    <row r="126" spans="1:27">
      <c r="A126" s="369" t="s">
        <v>140</v>
      </c>
      <c r="B126" s="369"/>
      <c r="C126" s="626">
        <f>'P&amp;L - Concept B2 - Carnival'!E152</f>
        <v>357416.66666666663</v>
      </c>
      <c r="D126" s="626">
        <f>'P&amp;L - Concept B2 - Carnival'!F152</f>
        <v>872654.34615384613</v>
      </c>
      <c r="E126" s="626">
        <f>'P&amp;L - Concept B2 - Carnival'!G152</f>
        <v>891230.86107692309</v>
      </c>
      <c r="F126" s="626">
        <f>'P&amp;L - Concept B2 - Carnival'!H152</f>
        <v>909055.47829846141</v>
      </c>
      <c r="G126" s="626">
        <f>'P&amp;L - Concept B2 - Carnival'!I152</f>
        <v>927236.58786443074</v>
      </c>
      <c r="H126" s="626">
        <f>'P&amp;L - Concept B2 - Carnival'!J152</f>
        <v>974125.19841691933</v>
      </c>
      <c r="I126" s="626">
        <f>'P&amp;L - Concept B2 - Carnival'!K152</f>
        <v>989070.7835948898</v>
      </c>
      <c r="J126" s="626">
        <f>'P&amp;L - Concept B2 - Carnival'!L152</f>
        <v>1008852.1992667876</v>
      </c>
      <c r="K126" s="626">
        <f>'P&amp;L - Concept B2 - Carnival'!M152</f>
        <v>1029029.2432521235</v>
      </c>
      <c r="L126" s="626">
        <f>'P&amp;L - Concept B2 - Carnival'!N152</f>
        <v>1049609.8281171657</v>
      </c>
      <c r="M126" s="626">
        <f>'P&amp;L - Concept B2 - Carnival'!O152</f>
        <v>1074992.5274695118</v>
      </c>
      <c r="N126" s="626">
        <f>'P&amp;L - Concept B2 - Carnival'!P152</f>
        <v>1092014.0651730995</v>
      </c>
      <c r="O126" s="626">
        <f>'P&amp;L - Concept B2 - Carnival'!Q152</f>
        <v>1113854.3464765614</v>
      </c>
      <c r="P126" s="626">
        <f>'P&amp;L - Concept B2 - Carnival'!R152</f>
        <v>1136131.4334060927</v>
      </c>
      <c r="Q126" s="626">
        <f>'P&amp;L - Concept B2 - Carnival'!S152</f>
        <v>1158854.0620742145</v>
      </c>
      <c r="R126" s="626">
        <f>'P&amp;L - Concept B2 - Carnival'!T152</f>
        <v>1186358.2091465369</v>
      </c>
      <c r="S126" s="626">
        <f>'P&amp;L - Concept B2 - Carnival'!U152</f>
        <v>1205671.7661820129</v>
      </c>
      <c r="T126" s="626">
        <f>'P&amp;L - Concept B2 - Carnival'!V152</f>
        <v>1229785.2015056531</v>
      </c>
      <c r="U126" s="626">
        <f>'P&amp;L - Concept B2 - Carnival'!W152</f>
        <v>1254380.9055357664</v>
      </c>
      <c r="V126" s="626">
        <f>'P&amp;L - Concept B2 - Carnival'!X152</f>
        <v>1279468.5236464816</v>
      </c>
      <c r="W126" s="903">
        <f t="shared" si="6"/>
        <v>20739792.23332414</v>
      </c>
      <c r="X126" s="907"/>
    </row>
    <row r="127" spans="1:27">
      <c r="A127" s="26" t="s">
        <v>116</v>
      </c>
      <c r="B127" s="26"/>
      <c r="C127" s="625">
        <f>'P&amp;L - Concept B2 - Carnival'!E156</f>
        <v>-299391.66666666663</v>
      </c>
      <c r="D127" s="625">
        <f>'P&amp;L - Concept B2 - Carnival'!F156</f>
        <v>473437.21135953965</v>
      </c>
      <c r="E127" s="625">
        <f>'P&amp;L - Concept B2 - Carnival'!G156</f>
        <v>598514.92758673034</v>
      </c>
      <c r="F127" s="625">
        <f>'P&amp;L - Concept B2 - Carnival'!H156</f>
        <v>608265.22613846499</v>
      </c>
      <c r="G127" s="625">
        <f>'P&amp;L - Concept B2 - Carnival'!I156</f>
        <v>618210.53066123452</v>
      </c>
      <c r="H127" s="625">
        <f>'P&amp;L - Concept B2 - Carnival'!J156</f>
        <v>846926.36247925891</v>
      </c>
      <c r="I127" s="625">
        <f>'P&amp;L - Concept B2 - Carnival'!K156</f>
        <v>861243.49851921247</v>
      </c>
      <c r="J127" s="625">
        <f>'P&amp;L - Concept B2 - Carnival'!L156</f>
        <v>871310.0584895967</v>
      </c>
      <c r="K127" s="625">
        <f>'P&amp;L - Concept B2 - Carnival'!M156</f>
        <v>881577.94965938851</v>
      </c>
      <c r="L127" s="625">
        <f>'P&amp;L - Concept B2 - Carnival'!N156</f>
        <v>892051.19865257666</v>
      </c>
      <c r="M127" s="625">
        <f>'P&amp;L - Concept B2 - Carnival'!O156</f>
        <v>960659.78483562521</v>
      </c>
      <c r="N127" s="625">
        <f>'P&amp;L - Concept B2 - Carnival'!P156</f>
        <v>975946.65587814036</v>
      </c>
      <c r="O127" s="625">
        <f>'P&amp;L - Concept B2 - Carnival'!Q156</f>
        <v>987060.95149570284</v>
      </c>
      <c r="P127" s="625">
        <f>'P&amp;L - Concept B2 - Carnival'!R156</f>
        <v>998397.53302561725</v>
      </c>
      <c r="Q127" s="625">
        <f>'P&amp;L - Concept B2 - Carnival'!S156</f>
        <v>1009960.8461861296</v>
      </c>
      <c r="R127" s="625">
        <f>'P&amp;L - Concept B2 - Carnival'!T156</f>
        <v>1079844.7347790143</v>
      </c>
      <c r="S127" s="625">
        <f>'P&amp;L - Concept B2 - Carnival'!U156</f>
        <v>1096202.2716220492</v>
      </c>
      <c r="T127" s="625">
        <f>'P&amp;L - Concept B2 - Carnival'!V156</f>
        <v>1108473.3520544898</v>
      </c>
      <c r="U127" s="625">
        <f>'P&amp;L - Concept B2 - Carnival'!W156</f>
        <v>1120989.8540955796</v>
      </c>
      <c r="V127" s="625">
        <f>'P&amp;L - Concept B2 - Carnival'!X156</f>
        <v>1133756.6861774914</v>
      </c>
      <c r="W127" s="903">
        <f t="shared" si="6"/>
        <v>16823437.967029173</v>
      </c>
      <c r="X127" s="908"/>
    </row>
    <row r="128" spans="1:27">
      <c r="A128" s="32"/>
      <c r="B128" s="32"/>
      <c r="C128" s="625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5"/>
      <c r="T128" s="625"/>
      <c r="U128" s="625"/>
      <c r="V128" s="625"/>
      <c r="W128" s="903"/>
      <c r="X128" s="909"/>
    </row>
    <row r="129" spans="1:27">
      <c r="A129" s="32" t="s">
        <v>136</v>
      </c>
      <c r="B129" s="32"/>
      <c r="C129" s="625">
        <f>'P&amp;L - Concept B2 - Carnival'!E164</f>
        <v>0</v>
      </c>
      <c r="D129" s="625">
        <f>'P&amp;L - Concept B2 - Carnival'!F164</f>
        <v>49995</v>
      </c>
      <c r="E129" s="625">
        <f>'P&amp;L - Concept B2 - Carnival'!G164</f>
        <v>50994.9</v>
      </c>
      <c r="F129" s="625">
        <f>'P&amp;L - Concept B2 - Carnival'!H164</f>
        <v>52014.798000000003</v>
      </c>
      <c r="G129" s="625">
        <f>'P&amp;L - Concept B2 - Carnival'!I164</f>
        <v>53055.093959999998</v>
      </c>
      <c r="H129" s="625">
        <f>'P&amp;L - Concept B2 - Carnival'!J164</f>
        <v>54116.195839200002</v>
      </c>
      <c r="I129" s="625">
        <f>'P&amp;L - Concept B2 - Carnival'!K164</f>
        <v>55198.519755984002</v>
      </c>
      <c r="J129" s="625">
        <f>'P&amp;L - Concept B2 - Carnival'!L164</f>
        <v>56302.490151103681</v>
      </c>
      <c r="K129" s="625">
        <f>'P&amp;L - Concept B2 - Carnival'!M164</f>
        <v>57428.539954125758</v>
      </c>
      <c r="L129" s="625">
        <f>'P&amp;L - Concept B2 - Carnival'!N164</f>
        <v>58577.110753208275</v>
      </c>
      <c r="M129" s="625">
        <f>'P&amp;L - Concept B2 - Carnival'!O164</f>
        <v>59748.652968272443</v>
      </c>
      <c r="N129" s="625">
        <f>'P&amp;L - Concept B2 - Carnival'!P164</f>
        <v>60943.626027637896</v>
      </c>
      <c r="O129" s="625">
        <f>'P&amp;L - Concept B2 - Carnival'!Q164</f>
        <v>62162.498548190648</v>
      </c>
      <c r="P129" s="625">
        <f>'P&amp;L - Concept B2 - Carnival'!R164</f>
        <v>63405.748519154462</v>
      </c>
      <c r="Q129" s="625">
        <f>'P&amp;L - Concept B2 - Carnival'!S164</f>
        <v>64673.863489537544</v>
      </c>
      <c r="R129" s="625">
        <f>'P&amp;L - Concept B2 - Carnival'!T164</f>
        <v>65967.340759328305</v>
      </c>
      <c r="S129" s="625">
        <f>'P&amp;L - Concept B2 - Carnival'!U164</f>
        <v>67286.687574514872</v>
      </c>
      <c r="T129" s="625">
        <f>'P&amp;L - Concept B2 - Carnival'!V164</f>
        <v>68632.421326005177</v>
      </c>
      <c r="U129" s="625">
        <f>'P&amp;L - Concept B2 - Carnival'!W164</f>
        <v>70005.069752525276</v>
      </c>
      <c r="V129" s="625">
        <f>'P&amp;L - Concept B2 - Carnival'!X164</f>
        <v>71405.171147575791</v>
      </c>
      <c r="W129" s="903">
        <f t="shared" si="6"/>
        <v>1141913.7285263641</v>
      </c>
      <c r="X129" s="919"/>
    </row>
    <row r="130" spans="1:27">
      <c r="A130" s="32" t="s">
        <v>127</v>
      </c>
      <c r="B130" s="32"/>
      <c r="C130" s="625">
        <f>SUM('P&amp;L - Concept B2 - Carnival'!E165:E167)</f>
        <v>837295.2</v>
      </c>
      <c r="D130" s="625">
        <f>SUM('P&amp;L - Concept B2 - Carnival'!F165:F167)</f>
        <v>837295.2</v>
      </c>
      <c r="E130" s="625">
        <f>SUM('P&amp;L - Concept B2 - Carnival'!G165:G167)</f>
        <v>837295.2</v>
      </c>
      <c r="F130" s="625">
        <f>SUM('P&amp;L - Concept B2 - Carnival'!H165:H167)</f>
        <v>837295.2</v>
      </c>
      <c r="G130" s="625">
        <f>SUM('P&amp;L - Concept B2 - Carnival'!I165:I167)</f>
        <v>837295.2</v>
      </c>
      <c r="H130" s="625">
        <f>SUM('P&amp;L - Concept B2 - Carnival'!J165:J167)</f>
        <v>837295.2</v>
      </c>
      <c r="I130" s="625">
        <f>SUM('P&amp;L - Concept B2 - Carnival'!K165:K167)</f>
        <v>837295.2</v>
      </c>
      <c r="J130" s="625">
        <f>SUM('P&amp;L - Concept B2 - Carnival'!L165:L167)</f>
        <v>837295.2</v>
      </c>
      <c r="K130" s="625">
        <f>SUM('P&amp;L - Concept B2 - Carnival'!M165:M167)</f>
        <v>837295.2</v>
      </c>
      <c r="L130" s="625">
        <f>SUM('P&amp;L - Concept B2 - Carnival'!N165:N167)</f>
        <v>837295.2</v>
      </c>
      <c r="M130" s="625">
        <f>SUM('P&amp;L - Concept B2 - Carnival'!O165:O167)</f>
        <v>837295.2</v>
      </c>
      <c r="N130" s="625">
        <f>SUM('P&amp;L - Concept B2 - Carnival'!P165:P167)</f>
        <v>837295.2</v>
      </c>
      <c r="O130" s="625">
        <f>SUM('P&amp;L - Concept B2 - Carnival'!Q165:Q167)</f>
        <v>837295.2</v>
      </c>
      <c r="P130" s="625">
        <f>SUM('P&amp;L - Concept B2 - Carnival'!R165:R167)</f>
        <v>837295.2</v>
      </c>
      <c r="Q130" s="625">
        <f>SUM('P&amp;L - Concept B2 - Carnival'!S165:S167)</f>
        <v>837295.2</v>
      </c>
      <c r="R130" s="625">
        <f>SUM('P&amp;L - Concept B2 - Carnival'!T165:T167)</f>
        <v>837295.2</v>
      </c>
      <c r="S130" s="625">
        <f>SUM('P&amp;L - Concept B2 - Carnival'!U165:U167)</f>
        <v>837295.2</v>
      </c>
      <c r="T130" s="625">
        <f>SUM('P&amp;L - Concept B2 - Carnival'!V165:V167)</f>
        <v>837295.2</v>
      </c>
      <c r="U130" s="625">
        <f>SUM('P&amp;L - Concept B2 - Carnival'!W165:W167)</f>
        <v>837295.2</v>
      </c>
      <c r="V130" s="625">
        <f>SUM('P&amp;L - Concept B2 - Carnival'!X165:X167)</f>
        <v>837295.2</v>
      </c>
      <c r="W130" s="903">
        <f t="shared" si="6"/>
        <v>16745903.999999994</v>
      </c>
      <c r="X130" s="920">
        <f>SUM(W129:W130)</f>
        <v>17887817.728526358</v>
      </c>
    </row>
    <row r="131" spans="1:27">
      <c r="A131" s="32"/>
      <c r="B131" s="32"/>
      <c r="C131" s="625"/>
      <c r="D131" s="625"/>
      <c r="E131" s="625"/>
      <c r="F131" s="625"/>
      <c r="G131" s="625"/>
      <c r="H131" s="625"/>
      <c r="I131" s="625"/>
      <c r="J131" s="625"/>
      <c r="K131" s="625"/>
      <c r="L131" s="625"/>
      <c r="M131" s="625"/>
      <c r="N131" s="625"/>
      <c r="O131" s="625"/>
      <c r="P131" s="625"/>
      <c r="Q131" s="625"/>
      <c r="R131" s="625"/>
      <c r="S131" s="625"/>
      <c r="T131" s="625"/>
      <c r="U131" s="625"/>
      <c r="V131" s="625"/>
      <c r="W131" s="903"/>
      <c r="X131" s="906"/>
      <c r="Z131" s="900">
        <f>SUM(W126,W129:W130)</f>
        <v>38627609.961850502</v>
      </c>
    </row>
    <row r="132" spans="1:27">
      <c r="A132" s="32" t="s">
        <v>138</v>
      </c>
      <c r="B132" s="32"/>
      <c r="C132" s="625">
        <f>'P&amp;L - Concept B2 - Carnival'!E170</f>
        <v>-299391.66666666663</v>
      </c>
      <c r="D132" s="625">
        <f>'P&amp;L - Concept B2 - Carnival'!F170</f>
        <v>423442.21135953965</v>
      </c>
      <c r="E132" s="625">
        <f>'P&amp;L - Concept B2 - Carnival'!G170</f>
        <v>547520.02758673031</v>
      </c>
      <c r="F132" s="625">
        <f>'P&amp;L - Concept B2 - Carnival'!H170</f>
        <v>556250.42813846504</v>
      </c>
      <c r="G132" s="625">
        <f>'P&amp;L - Concept B2 - Carnival'!I170</f>
        <v>565155.43670123455</v>
      </c>
      <c r="H132" s="625">
        <f>'P&amp;L - Concept B2 - Carnival'!J170</f>
        <v>792810.16664005886</v>
      </c>
      <c r="I132" s="625">
        <f>'P&amp;L - Concept B2 - Carnival'!K170</f>
        <v>806044.97876322852</v>
      </c>
      <c r="J132" s="625">
        <f>'P&amp;L - Concept B2 - Carnival'!L170</f>
        <v>815007.568338493</v>
      </c>
      <c r="K132" s="625">
        <f>'P&amp;L - Concept B2 - Carnival'!M170</f>
        <v>824149.40970526275</v>
      </c>
      <c r="L132" s="625">
        <f>'P&amp;L - Concept B2 - Carnival'!N170</f>
        <v>833474.08789936837</v>
      </c>
      <c r="M132" s="625">
        <f>'P&amp;L - Concept B2 - Carnival'!O170</f>
        <v>900911.13186735276</v>
      </c>
      <c r="N132" s="625">
        <f>'P&amp;L - Concept B2 - Carnival'!P170</f>
        <v>915003.0298505025</v>
      </c>
      <c r="O132" s="625">
        <f>'P&amp;L - Concept B2 - Carnival'!Q170</f>
        <v>924898.45294751215</v>
      </c>
      <c r="P132" s="625">
        <f>'P&amp;L - Concept B2 - Carnival'!R170</f>
        <v>934991.78450646275</v>
      </c>
      <c r="Q132" s="625">
        <f>'P&amp;L - Concept B2 - Carnival'!S170</f>
        <v>945286.98269659211</v>
      </c>
      <c r="R132" s="625">
        <f>'P&amp;L - Concept B2 - Carnival'!T170</f>
        <v>1013877.3940196859</v>
      </c>
      <c r="S132" s="625">
        <f>'P&amp;L - Concept B2 - Carnival'!U170</f>
        <v>1028915.5840475343</v>
      </c>
      <c r="T132" s="625">
        <f>'P&amp;L - Concept B2 - Carnival'!V170</f>
        <v>1039840.9307284846</v>
      </c>
      <c r="U132" s="625">
        <f>'P&amp;L - Concept B2 - Carnival'!W170</f>
        <v>1050984.7843430543</v>
      </c>
      <c r="V132" s="625">
        <f>'P&amp;L - Concept B2 - Carnival'!X170</f>
        <v>1062351.5150299156</v>
      </c>
      <c r="W132" s="903">
        <f t="shared" si="6"/>
        <v>15681524.238502808</v>
      </c>
      <c r="X132" s="907"/>
    </row>
    <row r="133" spans="1:27">
      <c r="A133" s="32"/>
      <c r="B133" s="32"/>
      <c r="C133" s="625"/>
      <c r="D133" s="625"/>
      <c r="E133" s="625"/>
      <c r="F133" s="625"/>
      <c r="G133" s="625"/>
      <c r="H133" s="625"/>
      <c r="I133" s="625"/>
      <c r="J133" s="625"/>
      <c r="K133" s="625"/>
      <c r="L133" s="625"/>
      <c r="M133" s="625"/>
      <c r="N133" s="625"/>
      <c r="O133" s="625"/>
      <c r="P133" s="625"/>
      <c r="Q133" s="625"/>
      <c r="R133" s="625"/>
      <c r="S133" s="625"/>
      <c r="T133" s="625"/>
      <c r="U133" s="625"/>
      <c r="V133" s="625"/>
      <c r="W133" s="903"/>
      <c r="X133" s="919"/>
    </row>
    <row r="134" spans="1:27">
      <c r="A134" s="300" t="s">
        <v>130</v>
      </c>
      <c r="B134" s="300"/>
      <c r="C134" s="628">
        <f>'P&amp;L - Concept B2 - Carnival'!E174</f>
        <v>-1136686.8666666667</v>
      </c>
      <c r="D134" s="628">
        <f>'P&amp;L - Concept B2 - Carnival'!F174</f>
        <v>-413852.9886404603</v>
      </c>
      <c r="E134" s="628">
        <f>'P&amp;L - Concept B2 - Carnival'!G174</f>
        <v>-289775.17241326964</v>
      </c>
      <c r="F134" s="628">
        <f>'P&amp;L - Concept B2 - Carnival'!H174</f>
        <v>-281044.77186153491</v>
      </c>
      <c r="G134" s="628">
        <f>'P&amp;L - Concept B2 - Carnival'!I174</f>
        <v>-272139.76329876541</v>
      </c>
      <c r="H134" s="628">
        <f>'P&amp;L - Concept B2 - Carnival'!J174</f>
        <v>-44485.033359941095</v>
      </c>
      <c r="I134" s="628">
        <f>'P&amp;L - Concept B2 - Carnival'!K174</f>
        <v>-31250.221236771438</v>
      </c>
      <c r="J134" s="628">
        <f>'P&amp;L - Concept B2 - Carnival'!L174</f>
        <v>-22287.631661506952</v>
      </c>
      <c r="K134" s="628">
        <f>'P&amp;L - Concept B2 - Carnival'!M174</f>
        <v>-13145.790294737206</v>
      </c>
      <c r="L134" s="628">
        <f>'P&amp;L - Concept B2 - Carnival'!N174</f>
        <v>-3821.1121006315807</v>
      </c>
      <c r="M134" s="628">
        <f>'P&amp;L - Concept B2 - Carnival'!O174</f>
        <v>63615.931867352803</v>
      </c>
      <c r="N134" s="628">
        <f>'P&amp;L - Concept B2 - Carnival'!P174</f>
        <v>77707.829850502545</v>
      </c>
      <c r="O134" s="628">
        <f>'P&amp;L - Concept B2 - Carnival'!Q174</f>
        <v>87603.252947512199</v>
      </c>
      <c r="P134" s="628">
        <f>'P&amp;L - Concept B2 - Carnival'!R174</f>
        <v>97696.584506462794</v>
      </c>
      <c r="Q134" s="628">
        <f>'P&amp;L - Concept B2 - Carnival'!S174</f>
        <v>107991.78269659216</v>
      </c>
      <c r="R134" s="628">
        <f>'P&amp;L - Concept B2 - Carnival'!T174</f>
        <v>176582.19401968597</v>
      </c>
      <c r="S134" s="628">
        <f>'P&amp;L - Concept B2 - Carnival'!U174</f>
        <v>191620.38404753432</v>
      </c>
      <c r="T134" s="628">
        <f>'P&amp;L - Concept B2 - Carnival'!V174</f>
        <v>202545.73072848469</v>
      </c>
      <c r="U134" s="628">
        <f>'P&amp;L - Concept B2 - Carnival'!W174</f>
        <v>213689.58434305433</v>
      </c>
      <c r="V134" s="628">
        <f>'P&amp;L - Concept B2 - Carnival'!X174</f>
        <v>225056.31502991566</v>
      </c>
      <c r="W134" s="1057">
        <f>SUM(C134:V134)</f>
        <v>-1064379.7614971877</v>
      </c>
      <c r="X134" s="920"/>
    </row>
    <row r="135" spans="1:27">
      <c r="A135" s="32" t="s">
        <v>404</v>
      </c>
      <c r="B135" s="786">
        <f>'P&amp;L - Concept B2 - Carnival'!B175</f>
        <v>-3.7939547459992951E-2</v>
      </c>
      <c r="C135" s="629"/>
      <c r="D135" s="629"/>
      <c r="E135" s="629"/>
      <c r="F135" s="629"/>
      <c r="G135" s="629"/>
      <c r="H135" s="629"/>
      <c r="I135" s="629"/>
      <c r="J135" s="629"/>
      <c r="K135" s="629"/>
      <c r="L135" s="629"/>
      <c r="M135" s="629"/>
      <c r="N135" s="629"/>
      <c r="O135" s="629"/>
      <c r="P135" s="629"/>
      <c r="Q135" s="629"/>
      <c r="R135" s="629"/>
      <c r="S135" s="629"/>
      <c r="T135" s="629"/>
      <c r="U135" s="629"/>
      <c r="V135" s="629"/>
      <c r="X135" s="919"/>
    </row>
    <row r="136" spans="1:27">
      <c r="A136" s="131"/>
      <c r="B136" s="131"/>
      <c r="C136" s="630"/>
      <c r="D136" s="630"/>
      <c r="E136" s="630"/>
      <c r="F136" s="630"/>
      <c r="G136" s="630"/>
      <c r="H136" s="630"/>
      <c r="I136" s="630"/>
      <c r="J136" s="630"/>
      <c r="K136" s="630"/>
      <c r="L136" s="630"/>
      <c r="M136" s="630"/>
      <c r="N136" s="630"/>
      <c r="O136" s="630"/>
      <c r="P136" s="630"/>
      <c r="Q136" s="630"/>
      <c r="R136" s="630"/>
      <c r="S136" s="630"/>
      <c r="T136" s="630"/>
      <c r="U136" s="630"/>
      <c r="V136" s="630"/>
      <c r="X136" s="920"/>
      <c r="AA136" s="900">
        <f>W134+3600000</f>
        <v>2535620.2385028126</v>
      </c>
    </row>
    <row r="137" spans="1:27" s="32" customFormat="1">
      <c r="C137" s="625"/>
      <c r="D137" s="625"/>
      <c r="E137" s="625"/>
      <c r="F137" s="625"/>
      <c r="G137" s="625"/>
      <c r="H137" s="625"/>
      <c r="I137" s="625"/>
      <c r="J137" s="625"/>
      <c r="K137" s="625"/>
      <c r="L137" s="625"/>
      <c r="M137" s="625"/>
      <c r="N137" s="625"/>
      <c r="O137" s="625"/>
      <c r="P137" s="625"/>
      <c r="Q137" s="625"/>
      <c r="R137" s="625"/>
      <c r="S137" s="625"/>
      <c r="T137" s="625"/>
      <c r="U137" s="625"/>
      <c r="V137" s="625"/>
      <c r="W137" s="905"/>
      <c r="X137" s="906"/>
      <c r="Y137" s="904"/>
      <c r="Z137" s="904"/>
      <c r="AA137" s="904"/>
    </row>
    <row r="138" spans="1:27" s="32" customFormat="1">
      <c r="A138" s="47" t="s">
        <v>7</v>
      </c>
      <c r="B138" s="47"/>
      <c r="C138" s="47" t="s">
        <v>7</v>
      </c>
      <c r="D138" s="47" t="s">
        <v>7</v>
      </c>
      <c r="E138" s="47" t="s">
        <v>7</v>
      </c>
      <c r="F138" s="47" t="s">
        <v>7</v>
      </c>
      <c r="G138" s="47" t="s">
        <v>7</v>
      </c>
      <c r="H138" s="47" t="s">
        <v>7</v>
      </c>
      <c r="I138" s="47" t="s">
        <v>7</v>
      </c>
      <c r="J138" s="47" t="s">
        <v>7</v>
      </c>
      <c r="K138" s="47" t="s">
        <v>7</v>
      </c>
      <c r="L138" s="47" t="s">
        <v>7</v>
      </c>
      <c r="M138" s="47" t="s">
        <v>7</v>
      </c>
      <c r="N138" s="47" t="s">
        <v>7</v>
      </c>
      <c r="O138" s="47" t="s">
        <v>7</v>
      </c>
      <c r="P138" s="47" t="s">
        <v>7</v>
      </c>
      <c r="Q138" s="47" t="s">
        <v>7</v>
      </c>
      <c r="R138" s="47" t="s">
        <v>7</v>
      </c>
      <c r="S138" s="47" t="s">
        <v>7</v>
      </c>
      <c r="T138" s="47" t="s">
        <v>7</v>
      </c>
      <c r="U138" s="47" t="s">
        <v>7</v>
      </c>
      <c r="V138" s="47" t="s">
        <v>7</v>
      </c>
      <c r="W138" s="905"/>
      <c r="X138" s="907"/>
      <c r="Y138" s="904"/>
      <c r="Z138" s="904"/>
      <c r="AA138" s="904"/>
    </row>
    <row r="139" spans="1:27">
      <c r="C139" s="629"/>
      <c r="D139" s="629"/>
      <c r="E139" s="629"/>
      <c r="F139" s="629"/>
      <c r="G139" s="629"/>
      <c r="H139" s="629"/>
      <c r="I139" s="629"/>
      <c r="J139" s="629"/>
      <c r="K139" s="629"/>
      <c r="L139" s="629"/>
      <c r="M139" s="629"/>
      <c r="N139" s="629"/>
      <c r="O139" s="629"/>
      <c r="P139" s="629"/>
      <c r="Q139" s="629"/>
      <c r="R139" s="629"/>
      <c r="S139" s="629"/>
      <c r="T139" s="629"/>
      <c r="U139" s="629"/>
      <c r="V139" s="629"/>
      <c r="X139" s="904"/>
    </row>
    <row r="140" spans="1:27">
      <c r="A140" s="29"/>
      <c r="B140" s="72"/>
      <c r="C140" s="71">
        <v>2019</v>
      </c>
      <c r="D140" s="71">
        <v>2020</v>
      </c>
      <c r="E140" s="71">
        <v>2021</v>
      </c>
      <c r="F140" s="71">
        <v>2022</v>
      </c>
      <c r="G140" s="71">
        <v>2023</v>
      </c>
      <c r="H140" s="71">
        <v>2024</v>
      </c>
      <c r="I140" s="71">
        <v>2025</v>
      </c>
      <c r="J140" s="71">
        <v>2026</v>
      </c>
      <c r="K140" s="71">
        <v>2027</v>
      </c>
      <c r="L140" s="71">
        <v>2028</v>
      </c>
      <c r="M140" s="71">
        <v>2029</v>
      </c>
      <c r="N140" s="71">
        <v>2030</v>
      </c>
      <c r="O140" s="71">
        <v>2031</v>
      </c>
      <c r="P140" s="71">
        <v>2032</v>
      </c>
      <c r="Q140" s="71">
        <v>2033</v>
      </c>
      <c r="R140" s="71">
        <v>2034</v>
      </c>
      <c r="S140" s="71">
        <v>2035</v>
      </c>
      <c r="T140" s="71">
        <v>2036</v>
      </c>
      <c r="U140" s="71">
        <v>2037</v>
      </c>
      <c r="V140" s="71">
        <v>2038</v>
      </c>
      <c r="X140" s="904"/>
    </row>
    <row r="141" spans="1:27">
      <c r="C141" s="629"/>
      <c r="D141" s="629"/>
      <c r="E141" s="629"/>
      <c r="F141" s="629"/>
      <c r="G141" s="629"/>
      <c r="H141" s="629"/>
      <c r="I141" s="629"/>
      <c r="J141" s="629"/>
      <c r="K141" s="629"/>
      <c r="L141" s="629"/>
      <c r="M141" s="629"/>
      <c r="N141" s="629"/>
      <c r="O141" s="629"/>
      <c r="P141" s="629"/>
      <c r="Q141" s="629"/>
      <c r="R141" s="629"/>
      <c r="S141" s="629"/>
      <c r="T141" s="629"/>
      <c r="U141" s="629"/>
      <c r="V141" s="629"/>
    </row>
    <row r="142" spans="1:27">
      <c r="A142" s="266" t="s">
        <v>396</v>
      </c>
      <c r="B142" s="266"/>
      <c r="C142" s="631"/>
      <c r="D142" s="631"/>
      <c r="E142" s="631"/>
      <c r="F142" s="631"/>
      <c r="G142" s="631"/>
      <c r="H142" s="631"/>
      <c r="I142" s="631"/>
      <c r="J142" s="631"/>
      <c r="K142" s="631"/>
      <c r="L142" s="631"/>
      <c r="M142" s="631"/>
      <c r="N142" s="631"/>
      <c r="O142" s="631"/>
      <c r="P142" s="631"/>
      <c r="Q142" s="631"/>
      <c r="R142" s="631"/>
      <c r="S142" s="631"/>
      <c r="T142" s="631"/>
      <c r="U142" s="631"/>
      <c r="V142" s="631"/>
    </row>
    <row r="143" spans="1:27">
      <c r="A143" s="26"/>
      <c r="B143" s="26"/>
      <c r="C143" s="632"/>
      <c r="D143" s="632"/>
      <c r="E143" s="632"/>
      <c r="F143" s="632"/>
      <c r="G143" s="632"/>
      <c r="H143" s="632"/>
      <c r="I143" s="632"/>
      <c r="J143" s="632"/>
      <c r="K143" s="632"/>
      <c r="L143" s="632"/>
      <c r="M143" s="632"/>
      <c r="N143" s="632"/>
      <c r="O143" s="632"/>
      <c r="P143" s="632"/>
      <c r="Q143" s="632"/>
      <c r="R143" s="632"/>
      <c r="S143" s="632"/>
      <c r="T143" s="632"/>
      <c r="U143" s="632"/>
      <c r="V143" s="632"/>
    </row>
    <row r="144" spans="1:27">
      <c r="A144" s="32" t="s">
        <v>148</v>
      </c>
      <c r="B144" s="32"/>
      <c r="C144" s="625">
        <f>'P&amp;L - Concept B2 - RCCL'!E119</f>
        <v>58025</v>
      </c>
      <c r="D144" s="625">
        <f>'P&amp;L - Concept B2 - RCCL'!F119</f>
        <v>1232952.7340580607</v>
      </c>
      <c r="E144" s="625">
        <f>'P&amp;L - Concept B2 - RCCL'!G119</f>
        <v>1374344.1887392218</v>
      </c>
      <c r="F144" s="625">
        <f>'P&amp;L - Concept B2 - RCCL'!H119</f>
        <v>1399611.0725140062</v>
      </c>
      <c r="G144" s="625">
        <f>'P&amp;L - Concept B2 - RCCL'!I119</f>
        <v>1425383.2939642866</v>
      </c>
      <c r="H144" s="625">
        <f>'P&amp;L - Concept B2 - RCCL'!J119</f>
        <v>1698586.459843572</v>
      </c>
      <c r="I144" s="625">
        <f>'P&amp;L - Concept B2 - RCCL'!K119</f>
        <v>1725399.8790404436</v>
      </c>
      <c r="J144" s="625">
        <f>'P&amp;L - Concept B2 - RCCL'!L119</f>
        <v>1752749.5666212526</v>
      </c>
      <c r="K144" s="625">
        <f>'P&amp;L - Concept B2 - RCCL'!M119</f>
        <v>1780646.2479536778</v>
      </c>
      <c r="L144" s="625">
        <f>'P&amp;L - Concept B2 - RCCL'!N119</f>
        <v>1809100.8629127513</v>
      </c>
      <c r="M144" s="625">
        <f>'P&amp;L - Concept B2 - RCCL'!O119</f>
        <v>1900440.9451710065</v>
      </c>
      <c r="N144" s="625">
        <f>'P&amp;L - Concept B2 - RCCL'!P119</f>
        <v>1930045.1265744267</v>
      </c>
      <c r="O144" s="625">
        <f>'P&amp;L - Concept B2 - RCCL'!Q119</f>
        <v>1960241.3916059146</v>
      </c>
      <c r="P144" s="625">
        <f>'P&amp;L - Concept B2 - RCCL'!R119</f>
        <v>1991041.5819380332</v>
      </c>
      <c r="Q144" s="625">
        <f>'P&amp;L - Concept B2 - RCCL'!S119</f>
        <v>2022457.7760767939</v>
      </c>
      <c r="R144" s="625">
        <f>'P&amp;L - Concept B2 - RCCL'!T119</f>
        <v>2116918.6690983297</v>
      </c>
      <c r="S144" s="625">
        <f>'P&amp;L - Concept B2 - RCCL'!U119</f>
        <v>2149604.0774802966</v>
      </c>
      <c r="T144" s="625">
        <f>'P&amp;L - Concept B2 - RCCL'!V119</f>
        <v>2182943.1940299021</v>
      </c>
      <c r="U144" s="625">
        <f>'P&amp;L - Concept B2 - RCCL'!W119</f>
        <v>2216949.0929105007</v>
      </c>
      <c r="V144" s="625">
        <f>'P&amp;L - Concept B2 - RCCL'!X119</f>
        <v>2251635.1097687106</v>
      </c>
      <c r="W144" s="903">
        <f t="shared" ref="W144:W151" si="7">SUM(C144:V144)</f>
        <v>34979076.270301186</v>
      </c>
    </row>
    <row r="145" spans="1:27">
      <c r="A145" s="369" t="s">
        <v>140</v>
      </c>
      <c r="B145" s="369"/>
      <c r="C145" s="626">
        <f>'P&amp;L - Concept B2 - RCCL'!E152</f>
        <v>357416.66666666663</v>
      </c>
      <c r="D145" s="626">
        <f>'P&amp;L - Concept B2 - RCCL'!F152</f>
        <v>872654.34615384613</v>
      </c>
      <c r="E145" s="626">
        <f>'P&amp;L - Concept B2 - RCCL'!G152</f>
        <v>891230.86107692309</v>
      </c>
      <c r="F145" s="626">
        <f>'P&amp;L - Concept B2 - RCCL'!H152</f>
        <v>909055.47829846141</v>
      </c>
      <c r="G145" s="626">
        <f>'P&amp;L - Concept B2 - RCCL'!I152</f>
        <v>927236.58786443074</v>
      </c>
      <c r="H145" s="626">
        <f>'P&amp;L - Concept B2 - RCCL'!J152</f>
        <v>974125.19841691933</v>
      </c>
      <c r="I145" s="626">
        <f>'P&amp;L - Concept B2 - RCCL'!K152</f>
        <v>989070.7835948898</v>
      </c>
      <c r="J145" s="626">
        <f>'P&amp;L - Concept B2 - RCCL'!L152</f>
        <v>1008852.1992667876</v>
      </c>
      <c r="K145" s="626">
        <f>'P&amp;L - Concept B2 - RCCL'!M152</f>
        <v>1029029.2432521235</v>
      </c>
      <c r="L145" s="626">
        <f>'P&amp;L - Concept B2 - RCCL'!N152</f>
        <v>1049609.8281171657</v>
      </c>
      <c r="M145" s="626">
        <f>'P&amp;L - Concept B2 - RCCL'!O152</f>
        <v>1074992.5274695118</v>
      </c>
      <c r="N145" s="626">
        <f>'P&amp;L - Concept B2 - RCCL'!P152</f>
        <v>1092014.0651730995</v>
      </c>
      <c r="O145" s="626">
        <f>'P&amp;L - Concept B2 - RCCL'!Q152</f>
        <v>1113854.3464765614</v>
      </c>
      <c r="P145" s="626">
        <f>'P&amp;L - Concept B2 - RCCL'!R152</f>
        <v>1136131.4334060927</v>
      </c>
      <c r="Q145" s="626">
        <f>'P&amp;L - Concept B2 - RCCL'!S152</f>
        <v>1158854.0620742145</v>
      </c>
      <c r="R145" s="626">
        <f>'P&amp;L - Concept B2 - RCCL'!T152</f>
        <v>1186358.2091465369</v>
      </c>
      <c r="S145" s="626">
        <f>'P&amp;L - Concept B2 - RCCL'!U152</f>
        <v>1205671.7661820129</v>
      </c>
      <c r="T145" s="626">
        <f>'P&amp;L - Concept B2 - RCCL'!V152</f>
        <v>1229785.2015056531</v>
      </c>
      <c r="U145" s="626">
        <f>'P&amp;L - Concept B2 - RCCL'!W152</f>
        <v>1254380.9055357664</v>
      </c>
      <c r="V145" s="626">
        <f>'P&amp;L - Concept B2 - RCCL'!X152</f>
        <v>1279468.5236464816</v>
      </c>
      <c r="W145" s="903">
        <f t="shared" si="7"/>
        <v>20739792.23332414</v>
      </c>
    </row>
    <row r="146" spans="1:27">
      <c r="A146" s="26" t="s">
        <v>116</v>
      </c>
      <c r="B146" s="26"/>
      <c r="C146" s="625">
        <f>'P&amp;L - Concept B2 - RCCL'!E156</f>
        <v>-299391.66666666663</v>
      </c>
      <c r="D146" s="625">
        <f>'P&amp;L - Concept B2 - RCCL'!F156</f>
        <v>360298.38790421456</v>
      </c>
      <c r="E146" s="625">
        <f>'P&amp;L - Concept B2 - RCCL'!G156</f>
        <v>483113.32766229869</v>
      </c>
      <c r="F146" s="625">
        <f>'P&amp;L - Concept B2 - RCCL'!H156</f>
        <v>490555.59421554476</v>
      </c>
      <c r="G146" s="625">
        <f>'P&amp;L - Concept B2 - RCCL'!I156</f>
        <v>498146.70609985583</v>
      </c>
      <c r="H146" s="625">
        <f>'P&amp;L - Concept B2 - RCCL'!J156</f>
        <v>724461.26142665267</v>
      </c>
      <c r="I146" s="625">
        <f>'P&amp;L - Concept B2 - RCCL'!K156</f>
        <v>736329.09544555377</v>
      </c>
      <c r="J146" s="625">
        <f>'P&amp;L - Concept B2 - RCCL'!L156</f>
        <v>743897.36735446495</v>
      </c>
      <c r="K146" s="625">
        <f>'P&amp;L - Concept B2 - RCCL'!M156</f>
        <v>751617.00470155431</v>
      </c>
      <c r="L146" s="625">
        <f>'P&amp;L - Concept B2 - RCCL'!N156</f>
        <v>759491.03479558555</v>
      </c>
      <c r="M146" s="625">
        <f>'P&amp;L - Concept B2 - RCCL'!O156</f>
        <v>825448.41770149465</v>
      </c>
      <c r="N146" s="625">
        <f>'P&amp;L - Concept B2 - RCCL'!P156</f>
        <v>838031.06140132714</v>
      </c>
      <c r="O146" s="625">
        <f>'P&amp;L - Concept B2 - RCCL'!Q156</f>
        <v>846387.04512935318</v>
      </c>
      <c r="P146" s="625">
        <f>'P&amp;L - Concept B2 - RCCL'!R156</f>
        <v>854910.14853194053</v>
      </c>
      <c r="Q146" s="625">
        <f>'P&amp;L - Concept B2 - RCCL'!S156</f>
        <v>863603.71400257945</v>
      </c>
      <c r="R146" s="625">
        <f>'P&amp;L - Concept B2 - RCCL'!T156</f>
        <v>930560.45995179284</v>
      </c>
      <c r="S146" s="625">
        <f>'P&amp;L - Concept B2 - RCCL'!U156</f>
        <v>943932.31129828375</v>
      </c>
      <c r="T146" s="625">
        <f>'P&amp;L - Concept B2 - RCCL'!V156</f>
        <v>953157.99252424901</v>
      </c>
      <c r="U146" s="625">
        <f>'P&amp;L - Concept B2 - RCCL'!W156</f>
        <v>962568.18737473432</v>
      </c>
      <c r="V146" s="625">
        <f>'P&amp;L - Concept B2 - RCCL'!X156</f>
        <v>972166.586122229</v>
      </c>
      <c r="W146" s="903">
        <f t="shared" si="7"/>
        <v>14239284.036977045</v>
      </c>
    </row>
    <row r="147" spans="1:27">
      <c r="A147" s="32"/>
      <c r="B147" s="32"/>
      <c r="C147" s="625"/>
      <c r="D147" s="625"/>
      <c r="E147" s="625"/>
      <c r="F147" s="625"/>
      <c r="G147" s="625"/>
      <c r="H147" s="625"/>
      <c r="I147" s="625"/>
      <c r="J147" s="625"/>
      <c r="K147" s="625"/>
      <c r="L147" s="625"/>
      <c r="M147" s="625"/>
      <c r="N147" s="625"/>
      <c r="O147" s="625"/>
      <c r="P147" s="625"/>
      <c r="Q147" s="625"/>
      <c r="R147" s="625"/>
      <c r="S147" s="625"/>
      <c r="T147" s="625"/>
      <c r="U147" s="625"/>
      <c r="V147" s="625"/>
      <c r="W147" s="903"/>
    </row>
    <row r="148" spans="1:27">
      <c r="A148" s="32" t="s">
        <v>136</v>
      </c>
      <c r="B148" s="32"/>
      <c r="C148" s="625">
        <f>'P&amp;L - Concept B2 - RCCL'!E164</f>
        <v>0</v>
      </c>
      <c r="D148" s="625">
        <f>'P&amp;L - Concept B2 - RCCL'!F164</f>
        <v>49995</v>
      </c>
      <c r="E148" s="625">
        <f>'P&amp;L - Concept B2 - RCCL'!G164</f>
        <v>50994.9</v>
      </c>
      <c r="F148" s="625">
        <f>'P&amp;L - Concept B2 - RCCL'!H164</f>
        <v>52014.798000000003</v>
      </c>
      <c r="G148" s="625">
        <f>'P&amp;L - Concept B2 - RCCL'!I164</f>
        <v>53055.093959999998</v>
      </c>
      <c r="H148" s="625">
        <f>'P&amp;L - Concept B2 - RCCL'!J164</f>
        <v>54116.195839200002</v>
      </c>
      <c r="I148" s="625">
        <f>'P&amp;L - Concept B2 - RCCL'!K164</f>
        <v>55198.519755984002</v>
      </c>
      <c r="J148" s="625">
        <f>'P&amp;L - Concept B2 - RCCL'!L164</f>
        <v>56302.490151103681</v>
      </c>
      <c r="K148" s="625">
        <f>'P&amp;L - Concept B2 - RCCL'!M164</f>
        <v>57428.539954125758</v>
      </c>
      <c r="L148" s="625">
        <f>'P&amp;L - Concept B2 - RCCL'!N164</f>
        <v>58577.110753208275</v>
      </c>
      <c r="M148" s="625">
        <f>'P&amp;L - Concept B2 - RCCL'!O164</f>
        <v>59748.652968272443</v>
      </c>
      <c r="N148" s="625">
        <f>'P&amp;L - Concept B2 - RCCL'!P164</f>
        <v>60943.626027637896</v>
      </c>
      <c r="O148" s="625">
        <f>'P&amp;L - Concept B2 - RCCL'!Q164</f>
        <v>62162.498548190648</v>
      </c>
      <c r="P148" s="625">
        <f>'P&amp;L - Concept B2 - RCCL'!R164</f>
        <v>63405.748519154462</v>
      </c>
      <c r="Q148" s="625">
        <f>'P&amp;L - Concept B2 - RCCL'!S164</f>
        <v>64673.863489537544</v>
      </c>
      <c r="R148" s="625">
        <f>'P&amp;L - Concept B2 - RCCL'!T164</f>
        <v>65967.340759328305</v>
      </c>
      <c r="S148" s="625">
        <f>'P&amp;L - Concept B2 - RCCL'!U164</f>
        <v>67286.687574514872</v>
      </c>
      <c r="T148" s="625">
        <f>'P&amp;L - Concept B2 - RCCL'!V164</f>
        <v>68632.421326005177</v>
      </c>
      <c r="U148" s="625">
        <f>'P&amp;L - Concept B2 - RCCL'!W164</f>
        <v>70005.069752525276</v>
      </c>
      <c r="V148" s="625">
        <f>'P&amp;L - Concept B2 - RCCL'!X164</f>
        <v>71405.171147575791</v>
      </c>
      <c r="W148" s="903">
        <f t="shared" si="7"/>
        <v>1141913.7285263641</v>
      </c>
    </row>
    <row r="149" spans="1:27">
      <c r="A149" s="32" t="s">
        <v>127</v>
      </c>
      <c r="B149" s="32"/>
      <c r="C149" s="625">
        <f>SUM('P&amp;L - Concept B2 - RCCL'!E165:E167)</f>
        <v>837295.2</v>
      </c>
      <c r="D149" s="625">
        <f>SUM('P&amp;L - Concept B2 - RCCL'!F165:F167)</f>
        <v>837295.2</v>
      </c>
      <c r="E149" s="625">
        <f>SUM('P&amp;L - Concept B2 - RCCL'!G165:G167)</f>
        <v>837295.2</v>
      </c>
      <c r="F149" s="625">
        <f>SUM('P&amp;L - Concept B2 - RCCL'!H165:H167)</f>
        <v>837295.2</v>
      </c>
      <c r="G149" s="625">
        <f>SUM('P&amp;L - Concept B2 - RCCL'!I165:I167)</f>
        <v>837295.2</v>
      </c>
      <c r="H149" s="625">
        <f>SUM('P&amp;L - Concept B2 - RCCL'!J165:J167)</f>
        <v>837295.2</v>
      </c>
      <c r="I149" s="625">
        <f>SUM('P&amp;L - Concept B2 - RCCL'!K165:K167)</f>
        <v>837295.2</v>
      </c>
      <c r="J149" s="625">
        <f>SUM('P&amp;L - Concept B2 - RCCL'!L165:L167)</f>
        <v>837295.2</v>
      </c>
      <c r="K149" s="625">
        <f>SUM('P&amp;L - Concept B2 - RCCL'!M165:M167)</f>
        <v>837295.2</v>
      </c>
      <c r="L149" s="625">
        <f>SUM('P&amp;L - Concept B2 - RCCL'!N165:N167)</f>
        <v>837295.2</v>
      </c>
      <c r="M149" s="625">
        <f>SUM('P&amp;L - Concept B2 - RCCL'!O165:O167)</f>
        <v>837295.2</v>
      </c>
      <c r="N149" s="625">
        <f>SUM('P&amp;L - Concept B2 - RCCL'!P165:P167)</f>
        <v>837295.2</v>
      </c>
      <c r="O149" s="625">
        <f>SUM('P&amp;L - Concept B2 - RCCL'!Q165:Q167)</f>
        <v>837295.2</v>
      </c>
      <c r="P149" s="625">
        <f>SUM('P&amp;L - Concept B2 - RCCL'!R165:R167)</f>
        <v>837295.2</v>
      </c>
      <c r="Q149" s="625">
        <f>SUM('P&amp;L - Concept B2 - RCCL'!S165:S167)</f>
        <v>837295.2</v>
      </c>
      <c r="R149" s="625">
        <f>SUM('P&amp;L - Concept B2 - RCCL'!T165:T167)</f>
        <v>837295.2</v>
      </c>
      <c r="S149" s="625">
        <f>SUM('P&amp;L - Concept B2 - RCCL'!U165:U167)</f>
        <v>837295.2</v>
      </c>
      <c r="T149" s="625">
        <f>SUM('P&amp;L - Concept B2 - RCCL'!V165:V167)</f>
        <v>837295.2</v>
      </c>
      <c r="U149" s="625">
        <f>SUM('P&amp;L - Concept B2 - RCCL'!W165:W167)</f>
        <v>837295.2</v>
      </c>
      <c r="V149" s="625">
        <f>SUM('P&amp;L - Concept B2 - RCCL'!X165:X167)</f>
        <v>837295.2</v>
      </c>
      <c r="W149" s="903">
        <f t="shared" si="7"/>
        <v>16745903.999999994</v>
      </c>
      <c r="X149" s="900">
        <f>SUM(W148:W149)</f>
        <v>17887817.728526358</v>
      </c>
    </row>
    <row r="150" spans="1:27">
      <c r="A150" s="32"/>
      <c r="B150" s="32"/>
      <c r="C150" s="625"/>
      <c r="D150" s="625"/>
      <c r="E150" s="625"/>
      <c r="F150" s="625"/>
      <c r="G150" s="625"/>
      <c r="H150" s="625"/>
      <c r="I150" s="625"/>
      <c r="J150" s="625"/>
      <c r="K150" s="625"/>
      <c r="L150" s="625"/>
      <c r="M150" s="625"/>
      <c r="N150" s="625"/>
      <c r="O150" s="625"/>
      <c r="P150" s="625"/>
      <c r="Q150" s="625"/>
      <c r="R150" s="625"/>
      <c r="S150" s="625"/>
      <c r="T150" s="625"/>
      <c r="U150" s="625"/>
      <c r="V150" s="625"/>
      <c r="W150" s="903"/>
      <c r="Z150" s="900">
        <f>SUM(W145,W148:W149)</f>
        <v>38627609.961850502</v>
      </c>
    </row>
    <row r="151" spans="1:27">
      <c r="A151" s="32" t="s">
        <v>138</v>
      </c>
      <c r="B151" s="32"/>
      <c r="C151" s="625">
        <f>'P&amp;L - Concept B2 - RCCL'!E170</f>
        <v>-299391.66666666663</v>
      </c>
      <c r="D151" s="625">
        <f>'P&amp;L - Concept B2 - RCCL'!F170</f>
        <v>310303.38790421456</v>
      </c>
      <c r="E151" s="625">
        <f>'P&amp;L - Concept B2 - RCCL'!G170</f>
        <v>432118.42766229867</v>
      </c>
      <c r="F151" s="625">
        <f>'P&amp;L - Concept B2 - RCCL'!H170</f>
        <v>438540.79621554475</v>
      </c>
      <c r="G151" s="625">
        <f>'P&amp;L - Concept B2 - RCCL'!I170</f>
        <v>445091.61213985586</v>
      </c>
      <c r="H151" s="625">
        <f>'P&amp;L - Concept B2 - RCCL'!J170</f>
        <v>670345.06558745261</v>
      </c>
      <c r="I151" s="625">
        <f>'P&amp;L - Concept B2 - RCCL'!K170</f>
        <v>681130.57568956981</v>
      </c>
      <c r="J151" s="625">
        <f>'P&amp;L - Concept B2 - RCCL'!L170</f>
        <v>687594.87720336125</v>
      </c>
      <c r="K151" s="625">
        <f>'P&amp;L - Concept B2 - RCCL'!M170</f>
        <v>694188.46474742854</v>
      </c>
      <c r="L151" s="625">
        <f>'P&amp;L - Concept B2 - RCCL'!N170</f>
        <v>700913.92404237727</v>
      </c>
      <c r="M151" s="625">
        <f>'P&amp;L - Concept B2 - RCCL'!O170</f>
        <v>765699.7647332222</v>
      </c>
      <c r="N151" s="625">
        <f>'P&amp;L - Concept B2 - RCCL'!P170</f>
        <v>777087.43537368928</v>
      </c>
      <c r="O151" s="625">
        <f>'P&amp;L - Concept B2 - RCCL'!Q170</f>
        <v>784224.54658116249</v>
      </c>
      <c r="P151" s="625">
        <f>'P&amp;L - Concept B2 - RCCL'!R170</f>
        <v>791504.40001278603</v>
      </c>
      <c r="Q151" s="625">
        <f>'P&amp;L - Concept B2 - RCCL'!S170</f>
        <v>798929.85051304195</v>
      </c>
      <c r="R151" s="625">
        <f>'P&amp;L - Concept B2 - RCCL'!T170</f>
        <v>864593.11919246451</v>
      </c>
      <c r="S151" s="625">
        <f>'P&amp;L - Concept B2 - RCCL'!U170</f>
        <v>876645.62372376886</v>
      </c>
      <c r="T151" s="625">
        <f>'P&amp;L - Concept B2 - RCCL'!V170</f>
        <v>884525.57119824388</v>
      </c>
      <c r="U151" s="625">
        <f>'P&amp;L - Concept B2 - RCCL'!W170</f>
        <v>892563.11762220901</v>
      </c>
      <c r="V151" s="625">
        <f>'P&amp;L - Concept B2 - RCCL'!X170</f>
        <v>900761.41497465316</v>
      </c>
      <c r="W151" s="903">
        <f t="shared" si="7"/>
        <v>13097370.30845068</v>
      </c>
    </row>
    <row r="152" spans="1:27">
      <c r="A152" s="32"/>
      <c r="B152" s="32"/>
      <c r="C152" s="625"/>
      <c r="D152" s="625"/>
      <c r="E152" s="625"/>
      <c r="F152" s="625"/>
      <c r="G152" s="625"/>
      <c r="H152" s="625"/>
      <c r="I152" s="625"/>
      <c r="J152" s="625"/>
      <c r="K152" s="625"/>
      <c r="L152" s="625"/>
      <c r="M152" s="625"/>
      <c r="N152" s="625"/>
      <c r="O152" s="625"/>
      <c r="P152" s="625"/>
      <c r="Q152" s="625"/>
      <c r="R152" s="625"/>
      <c r="S152" s="625"/>
      <c r="T152" s="625"/>
      <c r="U152" s="625"/>
      <c r="V152" s="625"/>
      <c r="W152" s="903"/>
    </row>
    <row r="153" spans="1:27">
      <c r="A153" s="300" t="s">
        <v>130</v>
      </c>
      <c r="B153" s="300"/>
      <c r="C153" s="628">
        <f>'P&amp;L - Concept B2 - RCCL'!E174</f>
        <v>-1136686.8666666667</v>
      </c>
      <c r="D153" s="628">
        <f>'P&amp;L - Concept B2 - RCCL'!F174</f>
        <v>-526991.8120957854</v>
      </c>
      <c r="E153" s="628">
        <f>'P&amp;L - Concept B2 - RCCL'!G174</f>
        <v>-405176.77233770129</v>
      </c>
      <c r="F153" s="628">
        <f>'P&amp;L - Concept B2 - RCCL'!H174</f>
        <v>-398754.40378445515</v>
      </c>
      <c r="G153" s="628">
        <f>'P&amp;L - Concept B2 - RCCL'!I174</f>
        <v>-392203.58786014409</v>
      </c>
      <c r="H153" s="628">
        <f>'P&amp;L - Concept B2 - RCCL'!J174</f>
        <v>-166950.13441254734</v>
      </c>
      <c r="I153" s="628">
        <f>'P&amp;L - Concept B2 - RCCL'!K174</f>
        <v>-156164.62431043014</v>
      </c>
      <c r="J153" s="628">
        <f>'P&amp;L - Concept B2 - RCCL'!L174</f>
        <v>-149700.32279663871</v>
      </c>
      <c r="K153" s="628">
        <f>'P&amp;L - Concept B2 - RCCL'!M174</f>
        <v>-143106.73525257141</v>
      </c>
      <c r="L153" s="628">
        <f>'P&amp;L - Concept B2 - RCCL'!N174</f>
        <v>-136381.27595762268</v>
      </c>
      <c r="M153" s="628">
        <f>'P&amp;L - Concept B2 - RCCL'!O174</f>
        <v>-71595.435266777757</v>
      </c>
      <c r="N153" s="628">
        <f>'P&amp;L - Concept B2 - RCCL'!P174</f>
        <v>-60207.764626310673</v>
      </c>
      <c r="O153" s="628">
        <f>'P&amp;L - Concept B2 - RCCL'!Q174</f>
        <v>-53070.653418837464</v>
      </c>
      <c r="P153" s="628">
        <f>'P&amp;L - Concept B2 - RCCL'!R174</f>
        <v>-45790.799987213919</v>
      </c>
      <c r="Q153" s="628">
        <f>'P&amp;L - Concept B2 - RCCL'!S174</f>
        <v>-38365.349486958003</v>
      </c>
      <c r="R153" s="628">
        <f>'P&amp;L - Concept B2 - RCCL'!T174</f>
        <v>27297.919192464557</v>
      </c>
      <c r="S153" s="628">
        <f>'P&amp;L - Concept B2 - RCCL'!U174</f>
        <v>39350.423723768909</v>
      </c>
      <c r="T153" s="628">
        <f>'P&amp;L - Concept B2 - RCCL'!V174</f>
        <v>47230.371198243927</v>
      </c>
      <c r="U153" s="628">
        <f>'P&amp;L - Concept B2 - RCCL'!W174</f>
        <v>55267.917622209061</v>
      </c>
      <c r="V153" s="628">
        <f>'P&amp;L - Concept B2 - RCCL'!X174</f>
        <v>63466.214974653209</v>
      </c>
      <c r="W153" s="1057">
        <f>SUM(C153:V153)</f>
        <v>-3648533.6915493216</v>
      </c>
    </row>
    <row r="154" spans="1:27">
      <c r="A154" s="32" t="s">
        <v>404</v>
      </c>
      <c r="B154" s="370" t="e">
        <f>'P&amp;L - Concept B2 - RCCL'!B175</f>
        <v>#NUM!</v>
      </c>
    </row>
    <row r="155" spans="1:27">
      <c r="A155" s="131"/>
      <c r="B155" s="131"/>
      <c r="C155" s="131"/>
      <c r="D155" s="131"/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  <c r="O155" s="131"/>
      <c r="P155" s="131"/>
      <c r="Q155" s="131"/>
      <c r="R155" s="131"/>
      <c r="S155" s="131"/>
      <c r="T155" s="131"/>
      <c r="U155" s="131"/>
      <c r="V155" s="131"/>
      <c r="AA155" s="900">
        <f>W153+3600000</f>
        <v>-48533.691549321637</v>
      </c>
    </row>
    <row r="157" spans="1:27" s="32" customFormat="1">
      <c r="A157" s="47" t="s">
        <v>7</v>
      </c>
      <c r="B157" s="47"/>
      <c r="C157" s="47" t="s">
        <v>7</v>
      </c>
      <c r="D157" s="47" t="s">
        <v>7</v>
      </c>
      <c r="E157" s="47" t="s">
        <v>7</v>
      </c>
      <c r="F157" s="47" t="s">
        <v>7</v>
      </c>
      <c r="G157" s="47" t="s">
        <v>7</v>
      </c>
      <c r="H157" s="47" t="s">
        <v>7</v>
      </c>
      <c r="I157" s="47" t="s">
        <v>7</v>
      </c>
      <c r="J157" s="47" t="s">
        <v>7</v>
      </c>
      <c r="K157" s="47" t="s">
        <v>7</v>
      </c>
      <c r="L157" s="47" t="s">
        <v>7</v>
      </c>
      <c r="M157" s="47" t="s">
        <v>7</v>
      </c>
      <c r="N157" s="47" t="s">
        <v>7</v>
      </c>
      <c r="O157" s="47" t="s">
        <v>7</v>
      </c>
      <c r="P157" s="47" t="s">
        <v>7</v>
      </c>
      <c r="Q157" s="47" t="s">
        <v>7</v>
      </c>
      <c r="R157" s="47" t="s">
        <v>7</v>
      </c>
      <c r="S157" s="47" t="s">
        <v>7</v>
      </c>
      <c r="T157" s="47" t="s">
        <v>7</v>
      </c>
      <c r="U157" s="47" t="s">
        <v>7</v>
      </c>
      <c r="V157" s="47" t="s">
        <v>7</v>
      </c>
      <c r="W157" s="905"/>
      <c r="X157" s="904"/>
      <c r="Y157" s="904"/>
      <c r="Z157" s="904"/>
      <c r="AA157" s="904"/>
    </row>
    <row r="159" spans="1:27">
      <c r="A159" s="29"/>
      <c r="B159" s="72"/>
      <c r="C159" s="71">
        <v>2019</v>
      </c>
      <c r="D159" s="71">
        <v>2020</v>
      </c>
      <c r="E159" s="71">
        <v>2021</v>
      </c>
      <c r="F159" s="71">
        <v>2022</v>
      </c>
      <c r="G159" s="71">
        <v>2023</v>
      </c>
      <c r="H159" s="71">
        <v>2024</v>
      </c>
      <c r="I159" s="71">
        <v>2025</v>
      </c>
      <c r="J159" s="71">
        <v>2026</v>
      </c>
      <c r="K159" s="71">
        <v>2027</v>
      </c>
      <c r="L159" s="71">
        <v>2028</v>
      </c>
      <c r="M159" s="71">
        <v>2029</v>
      </c>
      <c r="N159" s="71">
        <v>2030</v>
      </c>
      <c r="O159" s="71">
        <v>2031</v>
      </c>
      <c r="P159" s="71">
        <v>2032</v>
      </c>
      <c r="Q159" s="71">
        <v>2033</v>
      </c>
      <c r="R159" s="71">
        <v>2034</v>
      </c>
      <c r="S159" s="71">
        <v>2035</v>
      </c>
      <c r="T159" s="71">
        <v>2036</v>
      </c>
      <c r="U159" s="71">
        <v>2037</v>
      </c>
      <c r="V159" s="71">
        <v>2038</v>
      </c>
    </row>
    <row r="161" spans="1:27">
      <c r="A161" s="266" t="s">
        <v>397</v>
      </c>
      <c r="B161" s="266"/>
      <c r="C161" s="268"/>
      <c r="D161" s="268"/>
      <c r="E161" s="268"/>
      <c r="F161" s="268"/>
      <c r="G161" s="268"/>
      <c r="H161" s="268"/>
      <c r="I161" s="268"/>
      <c r="J161" s="268"/>
      <c r="K161" s="268"/>
      <c r="L161" s="268"/>
      <c r="M161" s="268"/>
      <c r="N161" s="268"/>
      <c r="O161" s="268"/>
      <c r="P161" s="268"/>
      <c r="Q161" s="268"/>
      <c r="R161" s="268"/>
      <c r="S161" s="268"/>
      <c r="T161" s="268"/>
      <c r="U161" s="268"/>
      <c r="V161" s="268"/>
      <c r="W161" s="903"/>
    </row>
    <row r="162" spans="1:27" s="32" customForma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903"/>
      <c r="X162" s="904"/>
      <c r="Y162" s="904"/>
      <c r="Z162" s="904"/>
      <c r="AA162" s="904"/>
    </row>
    <row r="163" spans="1:27">
      <c r="A163" s="32" t="s">
        <v>148</v>
      </c>
      <c r="B163" s="32"/>
      <c r="C163" s="625">
        <f>'P&amp;L - Concept B2 - NCLH'!E119</f>
        <v>58025</v>
      </c>
      <c r="D163" s="625">
        <f>'P&amp;L - Concept B2 - NCLH'!F119</f>
        <v>972362.2374642404</v>
      </c>
      <c r="E163" s="625">
        <f>'P&amp;L - Concept B2 - NCLH'!G119</f>
        <v>1108541.8822135255</v>
      </c>
      <c r="F163" s="625">
        <f>'P&amp;L - Concept B2 - NCLH'!H119</f>
        <v>1128492.7198577956</v>
      </c>
      <c r="G163" s="625">
        <f>'P&amp;L - Concept B2 - NCLH'!I119</f>
        <v>1148842.5742549517</v>
      </c>
      <c r="H163" s="625">
        <f>'P&amp;L - Concept B2 - NCLH'!J119</f>
        <v>1416514.9257400504</v>
      </c>
      <c r="I163" s="625">
        <f>'P&amp;L - Concept B2 - NCLH'!K119</f>
        <v>1437686.9142548519</v>
      </c>
      <c r="J163" s="625">
        <f>'P&amp;L - Concept B2 - NCLH'!L119</f>
        <v>1459282.3425399486</v>
      </c>
      <c r="K163" s="625">
        <f>'P&amp;L - Concept B2 - NCLH'!M119</f>
        <v>1481309.6793907478</v>
      </c>
      <c r="L163" s="625">
        <f>'P&amp;L - Concept B2 - NCLH'!N119</f>
        <v>1503777.5629785629</v>
      </c>
      <c r="M163" s="625">
        <f>'P&amp;L - Concept B2 - NCLH'!O119</f>
        <v>1589011.1792381341</v>
      </c>
      <c r="N163" s="625">
        <f>'P&amp;L - Concept B2 - NCLH'!P119</f>
        <v>1612386.7653228969</v>
      </c>
      <c r="O163" s="625">
        <f>'P&amp;L - Concept B2 - NCLH'!Q119</f>
        <v>1636229.8631293545</v>
      </c>
      <c r="P163" s="625">
        <f>'P&amp;L - Concept B2 - NCLH'!R119</f>
        <v>1660549.8228919418</v>
      </c>
      <c r="Q163" s="625">
        <f>'P&amp;L - Concept B2 - NCLH'!S119</f>
        <v>1685356.1818497807</v>
      </c>
      <c r="R163" s="625">
        <f>'P&amp;L - Concept B2 - NCLH'!T119</f>
        <v>1773075.0429867762</v>
      </c>
      <c r="S163" s="625">
        <f>'P&amp;L - Concept B2 - NCLH'!U119</f>
        <v>1798883.5788465119</v>
      </c>
      <c r="T163" s="625">
        <f>'P&amp;L - Concept B2 - NCLH'!V119</f>
        <v>1825208.285423442</v>
      </c>
      <c r="U163" s="625">
        <f>'P&amp;L - Concept B2 - NCLH'!W119</f>
        <v>1852059.4861319112</v>
      </c>
      <c r="V163" s="625">
        <f>'P&amp;L - Concept B2 - NCLH'!X119</f>
        <v>1879447.7108545494</v>
      </c>
      <c r="W163" s="903">
        <f t="shared" ref="W163:W170" si="8">SUM(C163:V163)</f>
        <v>29027043.755369972</v>
      </c>
    </row>
    <row r="164" spans="1:27">
      <c r="A164" s="369" t="s">
        <v>140</v>
      </c>
      <c r="B164" s="369"/>
      <c r="C164" s="626">
        <f>'P&amp;L - Concept B2 - NCLH'!E152</f>
        <v>357416.66666666663</v>
      </c>
      <c r="D164" s="626">
        <f>'P&amp;L - Concept B2 - NCLH'!F152</f>
        <v>872654.34615384613</v>
      </c>
      <c r="E164" s="626">
        <f>'P&amp;L - Concept B2 - NCLH'!G152</f>
        <v>891230.86107692309</v>
      </c>
      <c r="F164" s="626">
        <f>'P&amp;L - Concept B2 - NCLH'!H152</f>
        <v>909055.47829846141</v>
      </c>
      <c r="G164" s="626">
        <f>'P&amp;L - Concept B2 - NCLH'!I152</f>
        <v>927236.58786443074</v>
      </c>
      <c r="H164" s="626">
        <f>'P&amp;L - Concept B2 - NCLH'!J152</f>
        <v>974125.19841691933</v>
      </c>
      <c r="I164" s="626">
        <f>'P&amp;L - Concept B2 - NCLH'!K152</f>
        <v>989070.7835948898</v>
      </c>
      <c r="J164" s="626">
        <f>'P&amp;L - Concept B2 - NCLH'!L152</f>
        <v>1008852.1992667876</v>
      </c>
      <c r="K164" s="626">
        <f>'P&amp;L - Concept B2 - NCLH'!M152</f>
        <v>1029029.2432521235</v>
      </c>
      <c r="L164" s="626">
        <f>'P&amp;L - Concept B2 - NCLH'!N152</f>
        <v>1049609.8281171657</v>
      </c>
      <c r="M164" s="626">
        <f>'P&amp;L - Concept B2 - NCLH'!O152</f>
        <v>1074992.5274695118</v>
      </c>
      <c r="N164" s="626">
        <f>'P&amp;L - Concept B2 - NCLH'!P152</f>
        <v>1092014.0651730995</v>
      </c>
      <c r="O164" s="626">
        <f>'P&amp;L - Concept B2 - NCLH'!Q152</f>
        <v>1113854.3464765614</v>
      </c>
      <c r="P164" s="626">
        <f>'P&amp;L - Concept B2 - NCLH'!R152</f>
        <v>1136131.4334060927</v>
      </c>
      <c r="Q164" s="626">
        <f>'P&amp;L - Concept B2 - NCLH'!S152</f>
        <v>1158854.0620742145</v>
      </c>
      <c r="R164" s="626">
        <f>'P&amp;L - Concept B2 - NCLH'!T152</f>
        <v>1186358.2091465369</v>
      </c>
      <c r="S164" s="626">
        <f>'P&amp;L - Concept B2 - NCLH'!U152</f>
        <v>1205671.7661820129</v>
      </c>
      <c r="T164" s="626">
        <f>'P&amp;L - Concept B2 - NCLH'!V152</f>
        <v>1229785.2015056531</v>
      </c>
      <c r="U164" s="626">
        <f>'P&amp;L - Concept B2 - NCLH'!W152</f>
        <v>1254380.9055357664</v>
      </c>
      <c r="V164" s="626">
        <f>'P&amp;L - Concept B2 - NCLH'!X152</f>
        <v>1279468.5236464816</v>
      </c>
      <c r="W164" s="903">
        <f t="shared" si="8"/>
        <v>20739792.23332414</v>
      </c>
    </row>
    <row r="165" spans="1:27">
      <c r="A165" s="26" t="s">
        <v>116</v>
      </c>
      <c r="B165" s="26"/>
      <c r="C165" s="625">
        <f>'P&amp;L - Concept B2 - NCLH'!E156</f>
        <v>-299391.66666666663</v>
      </c>
      <c r="D165" s="625">
        <f>'P&amp;L - Concept B2 - NCLH'!F156</f>
        <v>99707.891310394276</v>
      </c>
      <c r="E165" s="625">
        <f>'P&amp;L - Concept B2 - NCLH'!G156</f>
        <v>217311.02113660239</v>
      </c>
      <c r="F165" s="625">
        <f>'P&amp;L - Concept B2 - NCLH'!H156</f>
        <v>219437.24155933422</v>
      </c>
      <c r="G165" s="625">
        <f>'P&amp;L - Concept B2 - NCLH'!I156</f>
        <v>221605.98639052093</v>
      </c>
      <c r="H165" s="625">
        <f>'P&amp;L - Concept B2 - NCLH'!J156</f>
        <v>442389.72732313105</v>
      </c>
      <c r="I165" s="625">
        <f>'P&amp;L - Concept B2 - NCLH'!K156</f>
        <v>448616.13065996207</v>
      </c>
      <c r="J165" s="625">
        <f>'P&amp;L - Concept B2 - NCLH'!L156</f>
        <v>450430.14327316103</v>
      </c>
      <c r="K165" s="625">
        <f>'P&amp;L - Concept B2 - NCLH'!M156</f>
        <v>452280.43613862433</v>
      </c>
      <c r="L165" s="625">
        <f>'P&amp;L - Concept B2 - NCLH'!N156</f>
        <v>454167.73486139718</v>
      </c>
      <c r="M165" s="625">
        <f>'P&amp;L - Concept B2 - NCLH'!O156</f>
        <v>514018.65176862222</v>
      </c>
      <c r="N165" s="625">
        <f>'P&amp;L - Concept B2 - NCLH'!P156</f>
        <v>520372.70014979737</v>
      </c>
      <c r="O165" s="625">
        <f>'P&amp;L - Concept B2 - NCLH'!Q156</f>
        <v>522375.51665279316</v>
      </c>
      <c r="P165" s="625">
        <f>'P&amp;L - Concept B2 - NCLH'!R156</f>
        <v>524418.38948584907</v>
      </c>
      <c r="Q165" s="625">
        <f>'P&amp;L - Concept B2 - NCLH'!S156</f>
        <v>526502.11977556627</v>
      </c>
      <c r="R165" s="625">
        <f>'P&amp;L - Concept B2 - NCLH'!T156</f>
        <v>586716.83384023933</v>
      </c>
      <c r="S165" s="625">
        <f>'P&amp;L - Concept B2 - NCLH'!U156</f>
        <v>593211.81266449904</v>
      </c>
      <c r="T165" s="625">
        <f>'P&amp;L - Concept B2 - NCLH'!V156</f>
        <v>595423.08391778893</v>
      </c>
      <c r="U165" s="625">
        <f>'P&amp;L - Concept B2 - NCLH'!W156</f>
        <v>597678.58059614478</v>
      </c>
      <c r="V165" s="625">
        <f>'P&amp;L - Concept B2 - NCLH'!X156</f>
        <v>599979.18720806786</v>
      </c>
      <c r="W165" s="903">
        <f t="shared" si="8"/>
        <v>8287251.5220458303</v>
      </c>
    </row>
    <row r="166" spans="1:27">
      <c r="A166" s="32"/>
      <c r="B166" s="32"/>
      <c r="C166" s="625"/>
      <c r="D166" s="625"/>
      <c r="E166" s="625"/>
      <c r="F166" s="625"/>
      <c r="G166" s="625"/>
      <c r="H166" s="625"/>
      <c r="I166" s="625"/>
      <c r="J166" s="625"/>
      <c r="K166" s="625"/>
      <c r="L166" s="625"/>
      <c r="M166" s="625"/>
      <c r="N166" s="625"/>
      <c r="O166" s="625"/>
      <c r="P166" s="625"/>
      <c r="Q166" s="625"/>
      <c r="R166" s="625"/>
      <c r="S166" s="625"/>
      <c r="T166" s="625"/>
      <c r="U166" s="625"/>
      <c r="V166" s="625"/>
      <c r="W166" s="903"/>
    </row>
    <row r="167" spans="1:27">
      <c r="A167" s="32" t="s">
        <v>136</v>
      </c>
      <c r="B167" s="32"/>
      <c r="C167" s="625">
        <f>'P&amp;L - Concept B2 - NCLH'!E164</f>
        <v>0</v>
      </c>
      <c r="D167" s="625">
        <f>'P&amp;L - Concept B2 - NCLH'!F164</f>
        <v>49995</v>
      </c>
      <c r="E167" s="625">
        <f>'P&amp;L - Concept B2 - NCLH'!G164</f>
        <v>50994.9</v>
      </c>
      <c r="F167" s="625">
        <f>'P&amp;L - Concept B2 - NCLH'!H164</f>
        <v>52014.798000000003</v>
      </c>
      <c r="G167" s="625">
        <f>'P&amp;L - Concept B2 - NCLH'!I164</f>
        <v>53055.093959999998</v>
      </c>
      <c r="H167" s="625">
        <f>'P&amp;L - Concept B2 - NCLH'!J164</f>
        <v>54116.195839200002</v>
      </c>
      <c r="I167" s="625">
        <f>'P&amp;L - Concept B2 - NCLH'!K164</f>
        <v>55198.519755984002</v>
      </c>
      <c r="J167" s="625">
        <f>'P&amp;L - Concept B2 - NCLH'!L164</f>
        <v>56302.490151103681</v>
      </c>
      <c r="K167" s="625">
        <f>'P&amp;L - Concept B2 - NCLH'!M164</f>
        <v>57428.539954125758</v>
      </c>
      <c r="L167" s="625">
        <f>'P&amp;L - Concept B2 - NCLH'!N164</f>
        <v>58577.110753208275</v>
      </c>
      <c r="M167" s="625">
        <f>'P&amp;L - Concept B2 - NCLH'!O164</f>
        <v>59748.652968272443</v>
      </c>
      <c r="N167" s="625">
        <f>'P&amp;L - Concept B2 - NCLH'!P164</f>
        <v>60943.626027637896</v>
      </c>
      <c r="O167" s="625">
        <f>'P&amp;L - Concept B2 - NCLH'!Q164</f>
        <v>62162.498548190648</v>
      </c>
      <c r="P167" s="625">
        <f>'P&amp;L - Concept B2 - NCLH'!R164</f>
        <v>63405.748519154462</v>
      </c>
      <c r="Q167" s="625">
        <f>'P&amp;L - Concept B2 - NCLH'!S164</f>
        <v>64673.863489537544</v>
      </c>
      <c r="R167" s="625">
        <f>'P&amp;L - Concept B2 - NCLH'!T164</f>
        <v>65967.340759328305</v>
      </c>
      <c r="S167" s="625">
        <f>'P&amp;L - Concept B2 - NCLH'!U164</f>
        <v>67286.687574514872</v>
      </c>
      <c r="T167" s="625">
        <f>'P&amp;L - Concept B2 - NCLH'!V164</f>
        <v>68632.421326005177</v>
      </c>
      <c r="U167" s="625">
        <f>'P&amp;L - Concept B2 - NCLH'!W164</f>
        <v>70005.069752525276</v>
      </c>
      <c r="V167" s="625">
        <f>'P&amp;L - Concept B2 - NCLH'!X164</f>
        <v>71405.171147575791</v>
      </c>
      <c r="W167" s="903">
        <f t="shared" si="8"/>
        <v>1141913.7285263641</v>
      </c>
    </row>
    <row r="168" spans="1:27">
      <c r="A168" s="32" t="s">
        <v>127</v>
      </c>
      <c r="B168" s="32"/>
      <c r="C168" s="625">
        <f>SUM('P&amp;L - Concept B2 - NCLH'!E165:E167)</f>
        <v>837295.2</v>
      </c>
      <c r="D168" s="625">
        <f>SUM('P&amp;L - Concept B2 - NCLH'!F165:F167)</f>
        <v>837295.2</v>
      </c>
      <c r="E168" s="625">
        <f>SUM('P&amp;L - Concept B2 - NCLH'!G165:G167)</f>
        <v>837295.2</v>
      </c>
      <c r="F168" s="625">
        <f>SUM('P&amp;L - Concept B2 - NCLH'!H165:H167)</f>
        <v>837295.2</v>
      </c>
      <c r="G168" s="625">
        <f>SUM('P&amp;L - Concept B2 - NCLH'!I165:I167)</f>
        <v>837295.2</v>
      </c>
      <c r="H168" s="625">
        <f>SUM('P&amp;L - Concept B2 - NCLH'!J165:J167)</f>
        <v>837295.2</v>
      </c>
      <c r="I168" s="625">
        <f>SUM('P&amp;L - Concept B2 - NCLH'!K165:K167)</f>
        <v>837295.2</v>
      </c>
      <c r="J168" s="625">
        <f>SUM('P&amp;L - Concept B2 - NCLH'!L165:L167)</f>
        <v>837295.2</v>
      </c>
      <c r="K168" s="625">
        <f>SUM('P&amp;L - Concept B2 - NCLH'!M165:M167)</f>
        <v>837295.2</v>
      </c>
      <c r="L168" s="625">
        <f>SUM('P&amp;L - Concept B2 - NCLH'!N165:N167)</f>
        <v>837295.2</v>
      </c>
      <c r="M168" s="625">
        <f>SUM('P&amp;L - Concept B2 - NCLH'!O165:O167)</f>
        <v>837295.2</v>
      </c>
      <c r="N168" s="625">
        <f>SUM('P&amp;L - Concept B2 - NCLH'!P165:P167)</f>
        <v>837295.2</v>
      </c>
      <c r="O168" s="625">
        <f>SUM('P&amp;L - Concept B2 - NCLH'!Q165:Q167)</f>
        <v>837295.2</v>
      </c>
      <c r="P168" s="625">
        <f>SUM('P&amp;L - Concept B2 - NCLH'!R165:R167)</f>
        <v>837295.2</v>
      </c>
      <c r="Q168" s="625">
        <f>SUM('P&amp;L - Concept B2 - NCLH'!S165:S167)</f>
        <v>837295.2</v>
      </c>
      <c r="R168" s="625">
        <f>SUM('P&amp;L - Concept B2 - NCLH'!T165:T167)</f>
        <v>837295.2</v>
      </c>
      <c r="S168" s="625">
        <f>SUM('P&amp;L - Concept B2 - NCLH'!U165:U167)</f>
        <v>837295.2</v>
      </c>
      <c r="T168" s="625">
        <f>SUM('P&amp;L - Concept B2 - NCLH'!V165:V167)</f>
        <v>837295.2</v>
      </c>
      <c r="U168" s="625">
        <f>SUM('P&amp;L - Concept B2 - NCLH'!W165:W167)</f>
        <v>837295.2</v>
      </c>
      <c r="V168" s="625">
        <f>SUM('P&amp;L - Concept B2 - NCLH'!X165:X167)</f>
        <v>837295.2</v>
      </c>
      <c r="W168" s="903">
        <f t="shared" si="8"/>
        <v>16745903.999999994</v>
      </c>
      <c r="X168" s="900">
        <f>SUM(W167:W168)</f>
        <v>17887817.728526358</v>
      </c>
    </row>
    <row r="169" spans="1:27">
      <c r="A169" s="32"/>
      <c r="B169" s="32"/>
      <c r="C169" s="625"/>
      <c r="D169" s="625"/>
      <c r="E169" s="625"/>
      <c r="F169" s="625"/>
      <c r="G169" s="625"/>
      <c r="H169" s="625"/>
      <c r="I169" s="625"/>
      <c r="J169" s="625"/>
      <c r="K169" s="625"/>
      <c r="L169" s="625"/>
      <c r="M169" s="625"/>
      <c r="N169" s="625"/>
      <c r="O169" s="625"/>
      <c r="P169" s="625"/>
      <c r="Q169" s="625"/>
      <c r="R169" s="625"/>
      <c r="S169" s="625"/>
      <c r="T169" s="625"/>
      <c r="U169" s="625"/>
      <c r="V169" s="625"/>
      <c r="W169" s="903"/>
      <c r="Z169" s="900">
        <f>SUM(W164,W167,W168)</f>
        <v>38627609.961850502</v>
      </c>
    </row>
    <row r="170" spans="1:27">
      <c r="A170" s="32" t="s">
        <v>138</v>
      </c>
      <c r="B170" s="32"/>
      <c r="C170" s="625">
        <f>'P&amp;L - Concept B2 - NCLH'!E170</f>
        <v>-299391.66666666663</v>
      </c>
      <c r="D170" s="625">
        <f>'P&amp;L - Concept B2 - NCLH'!F170</f>
        <v>49712.891310394276</v>
      </c>
      <c r="E170" s="625">
        <f>'P&amp;L - Concept B2 - NCLH'!G170</f>
        <v>166316.12113660239</v>
      </c>
      <c r="F170" s="625">
        <f>'P&amp;L - Concept B2 - NCLH'!H170</f>
        <v>167422.44355933421</v>
      </c>
      <c r="G170" s="625">
        <f>'P&amp;L - Concept B2 - NCLH'!I170</f>
        <v>168550.89243052094</v>
      </c>
      <c r="H170" s="625">
        <f>'P&amp;L - Concept B2 - NCLH'!J170</f>
        <v>388273.53148393106</v>
      </c>
      <c r="I170" s="625">
        <f>'P&amp;L - Concept B2 - NCLH'!K170</f>
        <v>393417.61090397806</v>
      </c>
      <c r="J170" s="625">
        <f>'P&amp;L - Concept B2 - NCLH'!L170</f>
        <v>394127.65312205732</v>
      </c>
      <c r="K170" s="625">
        <f>'P&amp;L - Concept B2 - NCLH'!M170</f>
        <v>394851.89618449856</v>
      </c>
      <c r="L170" s="625">
        <f>'P&amp;L - Concept B2 - NCLH'!N170</f>
        <v>395590.6241081889</v>
      </c>
      <c r="M170" s="625">
        <f>'P&amp;L - Concept B2 - NCLH'!O170</f>
        <v>454269.99880034977</v>
      </c>
      <c r="N170" s="625">
        <f>'P&amp;L - Concept B2 - NCLH'!P170</f>
        <v>459429.07412215945</v>
      </c>
      <c r="O170" s="625">
        <f>'P&amp;L - Concept B2 - NCLH'!Q170</f>
        <v>460213.01810460252</v>
      </c>
      <c r="P170" s="625">
        <f>'P&amp;L - Concept B2 - NCLH'!R170</f>
        <v>461012.64096669463</v>
      </c>
      <c r="Q170" s="625">
        <f>'P&amp;L - Concept B2 - NCLH'!S170</f>
        <v>461828.25628602871</v>
      </c>
      <c r="R170" s="625">
        <f>'P&amp;L - Concept B2 - NCLH'!T170</f>
        <v>520749.49308091099</v>
      </c>
      <c r="S170" s="625">
        <f>'P&amp;L - Concept B2 - NCLH'!U170</f>
        <v>525925.12508998415</v>
      </c>
      <c r="T170" s="625">
        <f>'P&amp;L - Concept B2 - NCLH'!V170</f>
        <v>526790.6625917838</v>
      </c>
      <c r="U170" s="625">
        <f>'P&amp;L - Concept B2 - NCLH'!W170</f>
        <v>527673.51084361947</v>
      </c>
      <c r="V170" s="625">
        <f>'P&amp;L - Concept B2 - NCLH'!X170</f>
        <v>528574.01606049202</v>
      </c>
      <c r="W170" s="903">
        <f t="shared" si="8"/>
        <v>7145337.7935194653</v>
      </c>
    </row>
    <row r="171" spans="1:27">
      <c r="A171" s="32"/>
      <c r="B171" s="32"/>
      <c r="C171" s="625"/>
      <c r="D171" s="625"/>
      <c r="E171" s="625"/>
      <c r="F171" s="625"/>
      <c r="G171" s="625"/>
      <c r="H171" s="625"/>
      <c r="I171" s="625"/>
      <c r="J171" s="625"/>
      <c r="K171" s="625"/>
      <c r="L171" s="625"/>
      <c r="M171" s="625"/>
      <c r="N171" s="625"/>
      <c r="O171" s="625"/>
      <c r="P171" s="625"/>
      <c r="Q171" s="625"/>
      <c r="R171" s="625"/>
      <c r="S171" s="625"/>
      <c r="T171" s="625"/>
      <c r="U171" s="625"/>
      <c r="V171" s="625"/>
      <c r="W171" s="903"/>
    </row>
    <row r="172" spans="1:27">
      <c r="A172" s="300" t="s">
        <v>130</v>
      </c>
      <c r="B172" s="300"/>
      <c r="C172" s="628">
        <f>'P&amp;L - Concept B2 - NCLH'!E174</f>
        <v>-1136686.8666666667</v>
      </c>
      <c r="D172" s="628">
        <f>'P&amp;L - Concept B2 - NCLH'!F174</f>
        <v>-787582.30868960568</v>
      </c>
      <c r="E172" s="628">
        <f>'P&amp;L - Concept B2 - NCLH'!G174</f>
        <v>-670979.07886339759</v>
      </c>
      <c r="F172" s="628">
        <f>'P&amp;L - Concept B2 - NCLH'!H174</f>
        <v>-669872.75644066569</v>
      </c>
      <c r="G172" s="628">
        <f>'P&amp;L - Concept B2 - NCLH'!I174</f>
        <v>-668744.30756947899</v>
      </c>
      <c r="H172" s="628">
        <f>'P&amp;L - Concept B2 - NCLH'!J174</f>
        <v>-449021.66851606895</v>
      </c>
      <c r="I172" s="628">
        <f>'P&amp;L - Concept B2 - NCLH'!K174</f>
        <v>-443877.58909602184</v>
      </c>
      <c r="J172" s="628">
        <f>'P&amp;L - Concept B2 - NCLH'!L174</f>
        <v>-443167.54687794263</v>
      </c>
      <c r="K172" s="628">
        <f>'P&amp;L - Concept B2 - NCLH'!M174</f>
        <v>-442443.30381550139</v>
      </c>
      <c r="L172" s="628">
        <f>'P&amp;L - Concept B2 - NCLH'!N174</f>
        <v>-441704.57589181105</v>
      </c>
      <c r="M172" s="628">
        <f>'P&amp;L - Concept B2 - NCLH'!O174</f>
        <v>-383025.20119965018</v>
      </c>
      <c r="N172" s="628">
        <f>'P&amp;L - Concept B2 - NCLH'!P174</f>
        <v>-377866.12587784044</v>
      </c>
      <c r="O172" s="628">
        <f>'P&amp;L - Concept B2 - NCLH'!Q174</f>
        <v>-377082.18189539749</v>
      </c>
      <c r="P172" s="628">
        <f>'P&amp;L - Concept B2 - NCLH'!R174</f>
        <v>-376282.55903330538</v>
      </c>
      <c r="Q172" s="628">
        <f>'P&amp;L - Concept B2 - NCLH'!S174</f>
        <v>-375466.94371397118</v>
      </c>
      <c r="R172" s="628">
        <f>'P&amp;L - Concept B2 - NCLH'!T174</f>
        <v>-316545.70691908896</v>
      </c>
      <c r="S172" s="628">
        <f>'P&amp;L - Concept B2 - NCLH'!U174</f>
        <v>-311370.0749100158</v>
      </c>
      <c r="T172" s="628">
        <f>'P&amp;L - Concept B2 - NCLH'!V174</f>
        <v>-310504.53740821616</v>
      </c>
      <c r="U172" s="628">
        <f>'P&amp;L - Concept B2 - NCLH'!W174</f>
        <v>-309621.68915638048</v>
      </c>
      <c r="V172" s="628">
        <f>'P&amp;L - Concept B2 - NCLH'!X174</f>
        <v>-308721.18393950793</v>
      </c>
      <c r="W172" s="1057">
        <f>SUM(C172:V172)</f>
        <v>-9600566.2064805347</v>
      </c>
    </row>
    <row r="173" spans="1:27">
      <c r="A173" s="32" t="s">
        <v>404</v>
      </c>
      <c r="B173" s="16" t="e">
        <f>'P&amp;L - Concept B2 - NCLH'!B175</f>
        <v>#NUM!</v>
      </c>
      <c r="C173" s="629"/>
      <c r="D173" s="629"/>
      <c r="E173" s="629"/>
      <c r="F173" s="629"/>
      <c r="G173" s="629"/>
      <c r="H173" s="629"/>
      <c r="I173" s="629"/>
      <c r="J173" s="629"/>
      <c r="K173" s="629"/>
      <c r="L173" s="629"/>
      <c r="M173" s="629"/>
      <c r="N173" s="629"/>
      <c r="O173" s="629"/>
      <c r="P173" s="629"/>
      <c r="Q173" s="629"/>
      <c r="R173" s="629"/>
      <c r="S173" s="629"/>
      <c r="T173" s="629"/>
      <c r="U173" s="629"/>
      <c r="V173" s="629"/>
    </row>
    <row r="174" spans="1:27">
      <c r="A174" s="131"/>
      <c r="B174" s="131"/>
      <c r="C174" s="630"/>
      <c r="D174" s="630"/>
      <c r="E174" s="630"/>
      <c r="F174" s="630"/>
      <c r="G174" s="630"/>
      <c r="H174" s="630"/>
      <c r="I174" s="630"/>
      <c r="J174" s="630"/>
      <c r="K174" s="630"/>
      <c r="L174" s="630"/>
      <c r="M174" s="630"/>
      <c r="N174" s="630"/>
      <c r="O174" s="630"/>
      <c r="P174" s="630"/>
      <c r="Q174" s="630"/>
      <c r="R174" s="630"/>
      <c r="S174" s="630"/>
      <c r="T174" s="630"/>
      <c r="U174" s="630"/>
      <c r="V174" s="630"/>
      <c r="AA174" s="900">
        <f>W172+3600000</f>
        <v>-6000566.2064805347</v>
      </c>
    </row>
    <row r="175" spans="1:27" s="32" customFormat="1">
      <c r="C175" s="625"/>
      <c r="D175" s="625"/>
      <c r="E175" s="625"/>
      <c r="F175" s="625"/>
      <c r="G175" s="625"/>
      <c r="H175" s="625"/>
      <c r="I175" s="625"/>
      <c r="J175" s="625"/>
      <c r="K175" s="625"/>
      <c r="L175" s="625"/>
      <c r="M175" s="625"/>
      <c r="N175" s="625"/>
      <c r="O175" s="625"/>
      <c r="P175" s="625"/>
      <c r="Q175" s="625"/>
      <c r="R175" s="625"/>
      <c r="S175" s="625"/>
      <c r="T175" s="625"/>
      <c r="U175" s="625"/>
      <c r="V175" s="625"/>
      <c r="W175" s="905"/>
      <c r="X175" s="904"/>
      <c r="Y175" s="904"/>
      <c r="Z175" s="904"/>
      <c r="AA175" s="904"/>
    </row>
    <row r="176" spans="1:27" s="32" customFormat="1">
      <c r="A176" s="47" t="s">
        <v>7</v>
      </c>
      <c r="B176" s="47"/>
      <c r="C176" s="47" t="s">
        <v>7</v>
      </c>
      <c r="D176" s="47" t="s">
        <v>7</v>
      </c>
      <c r="E176" s="47" t="s">
        <v>7</v>
      </c>
      <c r="F176" s="47" t="s">
        <v>7</v>
      </c>
      <c r="G176" s="47" t="s">
        <v>7</v>
      </c>
      <c r="H176" s="47" t="s">
        <v>7</v>
      </c>
      <c r="I176" s="47" t="s">
        <v>7</v>
      </c>
      <c r="J176" s="47" t="s">
        <v>7</v>
      </c>
      <c r="K176" s="47" t="s">
        <v>7</v>
      </c>
      <c r="L176" s="47" t="s">
        <v>7</v>
      </c>
      <c r="M176" s="47" t="s">
        <v>7</v>
      </c>
      <c r="N176" s="47" t="s">
        <v>7</v>
      </c>
      <c r="O176" s="47" t="s">
        <v>7</v>
      </c>
      <c r="P176" s="47" t="s">
        <v>7</v>
      </c>
      <c r="Q176" s="47" t="s">
        <v>7</v>
      </c>
      <c r="R176" s="47" t="s">
        <v>7</v>
      </c>
      <c r="S176" s="47" t="s">
        <v>7</v>
      </c>
      <c r="T176" s="47" t="s">
        <v>7</v>
      </c>
      <c r="U176" s="47" t="s">
        <v>7</v>
      </c>
      <c r="V176" s="47" t="s">
        <v>7</v>
      </c>
      <c r="W176" s="905"/>
      <c r="X176" s="904"/>
      <c r="Y176" s="904"/>
      <c r="Z176" s="904"/>
      <c r="AA176" s="904"/>
    </row>
    <row r="177" spans="1:27">
      <c r="C177" s="629"/>
      <c r="D177" s="629"/>
      <c r="E177" s="629"/>
      <c r="F177" s="629"/>
      <c r="G177" s="629"/>
      <c r="H177" s="629"/>
      <c r="I177" s="629"/>
      <c r="J177" s="629"/>
      <c r="K177" s="629"/>
      <c r="L177" s="629"/>
      <c r="M177" s="629"/>
      <c r="N177" s="629"/>
      <c r="O177" s="629"/>
      <c r="P177" s="629"/>
      <c r="Q177" s="629"/>
      <c r="R177" s="629"/>
      <c r="S177" s="629"/>
      <c r="T177" s="629"/>
      <c r="U177" s="629"/>
      <c r="V177" s="629"/>
    </row>
    <row r="178" spans="1:27">
      <c r="A178" s="29"/>
      <c r="B178" s="72"/>
      <c r="C178" s="71">
        <v>2019</v>
      </c>
      <c r="D178" s="71">
        <v>2020</v>
      </c>
      <c r="E178" s="71">
        <v>2021</v>
      </c>
      <c r="F178" s="71">
        <v>2022</v>
      </c>
      <c r="G178" s="71">
        <v>2023</v>
      </c>
      <c r="H178" s="71">
        <v>2024</v>
      </c>
      <c r="I178" s="71">
        <v>2025</v>
      </c>
      <c r="J178" s="71">
        <v>2026</v>
      </c>
      <c r="K178" s="71">
        <v>2027</v>
      </c>
      <c r="L178" s="71">
        <v>2028</v>
      </c>
      <c r="M178" s="71">
        <v>2029</v>
      </c>
      <c r="N178" s="71">
        <v>2030</v>
      </c>
      <c r="O178" s="71">
        <v>2031</v>
      </c>
      <c r="P178" s="71">
        <v>2032</v>
      </c>
      <c r="Q178" s="71">
        <v>2033</v>
      </c>
      <c r="R178" s="71">
        <v>2034</v>
      </c>
      <c r="S178" s="71">
        <v>2035</v>
      </c>
      <c r="T178" s="71">
        <v>2036</v>
      </c>
      <c r="U178" s="71">
        <v>2037</v>
      </c>
      <c r="V178" s="71">
        <v>2038</v>
      </c>
    </row>
    <row r="179" spans="1:27">
      <c r="C179" s="629"/>
      <c r="D179" s="629"/>
      <c r="E179" s="629"/>
      <c r="F179" s="629"/>
      <c r="G179" s="629"/>
      <c r="H179" s="629"/>
      <c r="I179" s="629"/>
      <c r="J179" s="629"/>
      <c r="K179" s="629"/>
      <c r="L179" s="629"/>
      <c r="M179" s="629"/>
      <c r="N179" s="629"/>
      <c r="O179" s="629"/>
      <c r="P179" s="629"/>
      <c r="Q179" s="629"/>
      <c r="R179" s="629"/>
      <c r="S179" s="629"/>
      <c r="T179" s="629"/>
      <c r="U179" s="629"/>
      <c r="V179" s="629"/>
    </row>
    <row r="180" spans="1:27" s="341" customFormat="1">
      <c r="A180" s="887" t="s">
        <v>398</v>
      </c>
      <c r="B180" s="887"/>
      <c r="C180" s="888"/>
      <c r="D180" s="888"/>
      <c r="E180" s="888"/>
      <c r="F180" s="888"/>
      <c r="G180" s="888"/>
      <c r="H180" s="888"/>
      <c r="I180" s="888"/>
      <c r="J180" s="888"/>
      <c r="K180" s="888"/>
      <c r="L180" s="888"/>
      <c r="M180" s="888"/>
      <c r="N180" s="888"/>
      <c r="O180" s="888"/>
      <c r="P180" s="888"/>
      <c r="Q180" s="888"/>
      <c r="R180" s="888"/>
      <c r="S180" s="888"/>
      <c r="T180" s="888"/>
      <c r="U180" s="888"/>
      <c r="V180" s="888"/>
      <c r="W180" s="910"/>
      <c r="X180" s="912"/>
      <c r="Y180" s="912"/>
      <c r="Z180" s="912"/>
      <c r="AA180" s="912"/>
    </row>
    <row r="181" spans="1:27" s="341" customFormat="1">
      <c r="A181" s="573"/>
      <c r="B181" s="573"/>
      <c r="C181" s="889"/>
      <c r="D181" s="889"/>
      <c r="E181" s="889"/>
      <c r="F181" s="889"/>
      <c r="G181" s="889"/>
      <c r="H181" s="889"/>
      <c r="I181" s="889"/>
      <c r="J181" s="889"/>
      <c r="K181" s="889"/>
      <c r="L181" s="889"/>
      <c r="M181" s="889"/>
      <c r="N181" s="889"/>
      <c r="O181" s="889"/>
      <c r="P181" s="889"/>
      <c r="Q181" s="889"/>
      <c r="R181" s="889"/>
      <c r="S181" s="889"/>
      <c r="T181" s="889"/>
      <c r="U181" s="889"/>
      <c r="V181" s="889"/>
      <c r="W181" s="910"/>
      <c r="X181" s="912"/>
      <c r="Y181" s="912"/>
      <c r="Z181" s="912"/>
      <c r="AA181" s="912"/>
    </row>
    <row r="182" spans="1:27" s="341" customFormat="1">
      <c r="A182" s="561" t="s">
        <v>148</v>
      </c>
      <c r="B182" s="561"/>
      <c r="C182" s="890">
        <f>'P&amp;L - Concept B2 - ALL'!E119</f>
        <v>58025</v>
      </c>
      <c r="D182" s="890">
        <f>'P&amp;L - Concept B2 - ALL'!F119</f>
        <v>1785674.8116687504</v>
      </c>
      <c r="E182" s="890">
        <f>'P&amp;L - Concept B2 - ALL'!G119</f>
        <v>1938120.7079021249</v>
      </c>
      <c r="F182" s="890">
        <f>'P&amp;L - Concept B2 - ALL'!H119</f>
        <v>1974663.1220601676</v>
      </c>
      <c r="G182" s="890">
        <f>'P&amp;L - Concept B2 - ALL'!I119</f>
        <v>2011936.3845013708</v>
      </c>
      <c r="H182" s="890">
        <f>'P&amp;L - Concept B2 - ALL'!J119</f>
        <v>2296870.6121913982</v>
      </c>
      <c r="I182" s="890">
        <f>'P&amp;L - Concept B2 - ALL'!K119</f>
        <v>2335649.7144352263</v>
      </c>
      <c r="J182" s="890">
        <f>'P&amp;L - Concept B2 - ALL'!L119</f>
        <v>2375204.3987239311</v>
      </c>
      <c r="K182" s="890">
        <f>'P&amp;L - Concept B2 - ALL'!M119</f>
        <v>2415550.17669841</v>
      </c>
      <c r="L182" s="890">
        <f>'P&amp;L - Concept B2 - ALL'!N119</f>
        <v>2456702.8702323777</v>
      </c>
      <c r="M182" s="890">
        <f>'P&amp;L - Concept B2 - ALL'!O119</f>
        <v>2560994.9926370257</v>
      </c>
      <c r="N182" s="890">
        <f>'P&amp;L - Concept B2 - ALL'!P119</f>
        <v>2603810.2549897656</v>
      </c>
      <c r="O182" s="890">
        <f>'P&amp;L - Concept B2 - ALL'!Q119</f>
        <v>2647481.8225895613</v>
      </c>
      <c r="P182" s="890">
        <f>'P&amp;L - Concept B2 - ALL'!R119</f>
        <v>2692026.8215413522</v>
      </c>
      <c r="Q182" s="890">
        <f>'P&amp;L - Concept B2 - ALL'!S119</f>
        <v>2737462.7204721794</v>
      </c>
      <c r="R182" s="890">
        <f>'P&amp;L - Concept B2 - ALL'!T119</f>
        <v>2846223.7123816232</v>
      </c>
      <c r="S182" s="890">
        <f>'P&amp;L - Concept B2 - ALL'!U119</f>
        <v>2893495.2216292559</v>
      </c>
      <c r="T182" s="890">
        <f>'P&amp;L - Concept B2 - ALL'!V119</f>
        <v>2941712.1610618411</v>
      </c>
      <c r="U182" s="890">
        <f>'P&amp;L - Concept B2 - ALL'!W119</f>
        <v>2990893.4392830776</v>
      </c>
      <c r="V182" s="890">
        <f>'P&amp;L - Concept B2 - ALL'!X119</f>
        <v>3041058.3430687394</v>
      </c>
      <c r="W182" s="914">
        <f t="shared" ref="W182:W189" si="9">SUM(C182:V182)</f>
        <v>47603557.288068175</v>
      </c>
      <c r="X182" s="912"/>
      <c r="Y182" s="912"/>
      <c r="Z182" s="912"/>
      <c r="AA182" s="912"/>
    </row>
    <row r="183" spans="1:27" s="341" customFormat="1">
      <c r="A183" s="891" t="s">
        <v>140</v>
      </c>
      <c r="B183" s="891"/>
      <c r="C183" s="892">
        <f>'P&amp;L - Concept B2 - ALL'!E152</f>
        <v>357416.66666666663</v>
      </c>
      <c r="D183" s="892">
        <f>'P&amp;L - Concept B2 - ALL'!F152</f>
        <v>872654.34615384613</v>
      </c>
      <c r="E183" s="892">
        <f>'P&amp;L - Concept B2 - ALL'!G152</f>
        <v>891230.86107692309</v>
      </c>
      <c r="F183" s="892">
        <f>'P&amp;L - Concept B2 - ALL'!H152</f>
        <v>909055.47829846141</v>
      </c>
      <c r="G183" s="892">
        <f>'P&amp;L - Concept B2 - ALL'!I152</f>
        <v>927236.58786443074</v>
      </c>
      <c r="H183" s="892">
        <f>'P&amp;L - Concept B2 - ALL'!J152</f>
        <v>974125.19841691933</v>
      </c>
      <c r="I183" s="892">
        <f>'P&amp;L - Concept B2 - ALL'!K152</f>
        <v>989070.7835948898</v>
      </c>
      <c r="J183" s="892">
        <f>'P&amp;L - Concept B2 - ALL'!L152</f>
        <v>1008852.1992667876</v>
      </c>
      <c r="K183" s="892">
        <f>'P&amp;L - Concept B2 - ALL'!M152</f>
        <v>1029029.2432521235</v>
      </c>
      <c r="L183" s="892">
        <f>'P&amp;L - Concept B2 - ALL'!N152</f>
        <v>1049609.8281171657</v>
      </c>
      <c r="M183" s="892">
        <f>'P&amp;L - Concept B2 - ALL'!O152</f>
        <v>1074992.5274695118</v>
      </c>
      <c r="N183" s="892">
        <f>'P&amp;L - Concept B2 - ALL'!P152</f>
        <v>1092014.0651730995</v>
      </c>
      <c r="O183" s="892">
        <f>'P&amp;L - Concept B2 - ALL'!Q152</f>
        <v>1113854.3464765614</v>
      </c>
      <c r="P183" s="892">
        <f>'P&amp;L - Concept B2 - ALL'!R152</f>
        <v>1136131.4334060927</v>
      </c>
      <c r="Q183" s="892">
        <f>'P&amp;L - Concept B2 - ALL'!S152</f>
        <v>1158854.0620742145</v>
      </c>
      <c r="R183" s="892">
        <f>'P&amp;L - Concept B2 - ALL'!T152</f>
        <v>1186358.2091465369</v>
      </c>
      <c r="S183" s="892">
        <f>'P&amp;L - Concept B2 - ALL'!U152</f>
        <v>1205671.7661820129</v>
      </c>
      <c r="T183" s="892">
        <f>'P&amp;L - Concept B2 - ALL'!V152</f>
        <v>1229785.2015056531</v>
      </c>
      <c r="U183" s="892">
        <f>'P&amp;L - Concept B2 - ALL'!W152</f>
        <v>1254380.9055357664</v>
      </c>
      <c r="V183" s="892">
        <f>'P&amp;L - Concept B2 - ALL'!X152</f>
        <v>1279468.5236464816</v>
      </c>
      <c r="W183" s="914">
        <f t="shared" si="9"/>
        <v>20739792.23332414</v>
      </c>
      <c r="X183" s="912"/>
      <c r="Y183" s="912"/>
      <c r="Z183" s="912"/>
      <c r="AA183" s="912"/>
    </row>
    <row r="184" spans="1:27" s="341" customFormat="1">
      <c r="A184" s="573" t="s">
        <v>116</v>
      </c>
      <c r="B184" s="573"/>
      <c r="C184" s="890">
        <f>'P&amp;L - Concept B2 - ALL'!E156</f>
        <v>-299391.66666666663</v>
      </c>
      <c r="D184" s="890">
        <f>'P&amp;L - Concept B2 - ALL'!F156</f>
        <v>913020.46551490424</v>
      </c>
      <c r="E184" s="890">
        <f>'P&amp;L - Concept B2 - ALL'!G156</f>
        <v>1046889.8468252018</v>
      </c>
      <c r="F184" s="890">
        <f>'P&amp;L - Concept B2 - ALL'!H156</f>
        <v>1065607.6437617061</v>
      </c>
      <c r="G184" s="890">
        <f>'P&amp;L - Concept B2 - ALL'!I156</f>
        <v>1084699.79663694</v>
      </c>
      <c r="H184" s="890">
        <f>'P&amp;L - Concept B2 - ALL'!J156</f>
        <v>1322745.4137744787</v>
      </c>
      <c r="I184" s="890">
        <f>'P&amp;L - Concept B2 - ALL'!K156</f>
        <v>1346578.9308403365</v>
      </c>
      <c r="J184" s="890">
        <f>'P&amp;L - Concept B2 - ALL'!L156</f>
        <v>1366352.1994571434</v>
      </c>
      <c r="K184" s="890">
        <f>'P&amp;L - Concept B2 - ALL'!M156</f>
        <v>1386520.9334462865</v>
      </c>
      <c r="L184" s="890">
        <f>'P&amp;L - Concept B2 - ALL'!N156</f>
        <v>1407093.042115212</v>
      </c>
      <c r="M184" s="890">
        <f>'P&amp;L - Concept B2 - ALL'!O156</f>
        <v>1486002.4651675138</v>
      </c>
      <c r="N184" s="890">
        <f>'P&amp;L - Concept B2 - ALL'!P156</f>
        <v>1511796.1898166661</v>
      </c>
      <c r="O184" s="890">
        <f>'P&amp;L - Concept B2 - ALL'!Q156</f>
        <v>1533627.476113</v>
      </c>
      <c r="P184" s="890">
        <f>'P&amp;L - Concept B2 - ALL'!R156</f>
        <v>1555895.3881352595</v>
      </c>
      <c r="Q184" s="890">
        <f>'P&amp;L - Concept B2 - ALL'!S156</f>
        <v>1578608.6583979649</v>
      </c>
      <c r="R184" s="890">
        <f>'P&amp;L - Concept B2 - ALL'!T156</f>
        <v>1659865.5032350863</v>
      </c>
      <c r="S184" s="890">
        <f>'P&amp;L - Concept B2 - ALL'!U156</f>
        <v>1687823.4554472431</v>
      </c>
      <c r="T184" s="890">
        <f>'P&amp;L - Concept B2 - ALL'!V156</f>
        <v>1711926.959556188</v>
      </c>
      <c r="U184" s="890">
        <f>'P&amp;L - Concept B2 - ALL'!W156</f>
        <v>1736512.5337473112</v>
      </c>
      <c r="V184" s="890">
        <f>'P&amp;L - Concept B2 - ALL'!X156</f>
        <v>1761589.8194222578</v>
      </c>
      <c r="W184" s="914">
        <f t="shared" si="9"/>
        <v>26863765.054744031</v>
      </c>
      <c r="X184" s="912"/>
      <c r="Y184" s="912"/>
      <c r="Z184" s="912"/>
      <c r="AA184" s="912"/>
    </row>
    <row r="185" spans="1:27" s="341" customFormat="1">
      <c r="A185" s="561"/>
      <c r="B185" s="561"/>
      <c r="C185" s="890"/>
      <c r="D185" s="890"/>
      <c r="E185" s="890"/>
      <c r="F185" s="890"/>
      <c r="G185" s="890"/>
      <c r="H185" s="890"/>
      <c r="I185" s="890"/>
      <c r="J185" s="890"/>
      <c r="K185" s="890"/>
      <c r="L185" s="890"/>
      <c r="M185" s="890"/>
      <c r="N185" s="890"/>
      <c r="O185" s="890"/>
      <c r="P185" s="890"/>
      <c r="Q185" s="890"/>
      <c r="R185" s="890"/>
      <c r="S185" s="890"/>
      <c r="T185" s="890"/>
      <c r="U185" s="890"/>
      <c r="V185" s="890"/>
      <c r="W185" s="914"/>
      <c r="X185" s="912"/>
      <c r="Y185" s="912"/>
      <c r="Z185" s="912"/>
      <c r="AA185" s="912"/>
    </row>
    <row r="186" spans="1:27" s="341" customFormat="1">
      <c r="A186" s="561" t="s">
        <v>136</v>
      </c>
      <c r="B186" s="561"/>
      <c r="C186" s="890">
        <f>'P&amp;L - Concept B2 - ALL'!E164</f>
        <v>0</v>
      </c>
      <c r="D186" s="890">
        <f>'P&amp;L - Concept B2 - ALL'!F164</f>
        <v>49995</v>
      </c>
      <c r="E186" s="890">
        <f>'P&amp;L - Concept B2 - ALL'!G164</f>
        <v>50994.9</v>
      </c>
      <c r="F186" s="890">
        <f>'P&amp;L - Concept B2 - ALL'!H164</f>
        <v>52014.798000000003</v>
      </c>
      <c r="G186" s="890">
        <f>'P&amp;L - Concept B2 - ALL'!I164</f>
        <v>53055.093959999998</v>
      </c>
      <c r="H186" s="890">
        <f>'P&amp;L - Concept B2 - ALL'!J164</f>
        <v>54116.195839200002</v>
      </c>
      <c r="I186" s="890">
        <f>'P&amp;L - Concept B2 - ALL'!K164</f>
        <v>55198.519755984002</v>
      </c>
      <c r="J186" s="890">
        <f>'P&amp;L - Concept B2 - ALL'!L164</f>
        <v>56302.490151103681</v>
      </c>
      <c r="K186" s="890">
        <f>'P&amp;L - Concept B2 - ALL'!M164</f>
        <v>57428.539954125758</v>
      </c>
      <c r="L186" s="890">
        <f>'P&amp;L - Concept B2 - ALL'!N164</f>
        <v>58577.110753208275</v>
      </c>
      <c r="M186" s="890">
        <f>'P&amp;L - Concept B2 - ALL'!O164</f>
        <v>59748.652968272443</v>
      </c>
      <c r="N186" s="890">
        <f>'P&amp;L - Concept B2 - ALL'!P164</f>
        <v>60943.626027637896</v>
      </c>
      <c r="O186" s="890">
        <f>'P&amp;L - Concept B2 - ALL'!Q164</f>
        <v>62162.498548190648</v>
      </c>
      <c r="P186" s="890">
        <f>'P&amp;L - Concept B2 - ALL'!R164</f>
        <v>63405.748519154462</v>
      </c>
      <c r="Q186" s="890">
        <f>'P&amp;L - Concept B2 - ALL'!S164</f>
        <v>64673.863489537544</v>
      </c>
      <c r="R186" s="890">
        <f>'P&amp;L - Concept B2 - ALL'!T164</f>
        <v>65967.340759328305</v>
      </c>
      <c r="S186" s="890">
        <f>'P&amp;L - Concept B2 - ALL'!U164</f>
        <v>67286.687574514872</v>
      </c>
      <c r="T186" s="890">
        <f>'P&amp;L - Concept B2 - ALL'!V164</f>
        <v>68632.421326005177</v>
      </c>
      <c r="U186" s="890">
        <f>'P&amp;L - Concept B2 - ALL'!W164</f>
        <v>70005.069752525276</v>
      </c>
      <c r="V186" s="890">
        <f>'P&amp;L - Concept B2 - ALL'!X164</f>
        <v>71405.171147575791</v>
      </c>
      <c r="W186" s="914">
        <f t="shared" si="9"/>
        <v>1141913.7285263641</v>
      </c>
      <c r="X186" s="912"/>
      <c r="Y186" s="912"/>
      <c r="Z186" s="912"/>
      <c r="AA186" s="912"/>
    </row>
    <row r="187" spans="1:27" s="341" customFormat="1">
      <c r="A187" s="561" t="s">
        <v>127</v>
      </c>
      <c r="B187" s="561"/>
      <c r="C187" s="890">
        <f>SUM('P&amp;L - Concept B2 - ALL'!E165:E167)</f>
        <v>837295.2</v>
      </c>
      <c r="D187" s="890">
        <f>SUM('P&amp;L - Concept B2 - ALL'!F165:F167)</f>
        <v>837295.2</v>
      </c>
      <c r="E187" s="890">
        <f>SUM('P&amp;L - Concept B2 - ALL'!G165:G167)</f>
        <v>837295.2</v>
      </c>
      <c r="F187" s="890">
        <f>SUM('P&amp;L - Concept B2 - ALL'!H165:H167)</f>
        <v>837295.2</v>
      </c>
      <c r="G187" s="890">
        <f>SUM('P&amp;L - Concept B2 - ALL'!I165:I167)</f>
        <v>837295.2</v>
      </c>
      <c r="H187" s="890">
        <f>SUM('P&amp;L - Concept B2 - ALL'!J165:J167)</f>
        <v>837295.2</v>
      </c>
      <c r="I187" s="890">
        <f>SUM('P&amp;L - Concept B2 - ALL'!K165:K167)</f>
        <v>837295.2</v>
      </c>
      <c r="J187" s="890">
        <f>SUM('P&amp;L - Concept B2 - ALL'!L165:L167)</f>
        <v>837295.2</v>
      </c>
      <c r="K187" s="890">
        <f>SUM('P&amp;L - Concept B2 - ALL'!M165:M167)</f>
        <v>837295.2</v>
      </c>
      <c r="L187" s="890">
        <f>SUM('P&amp;L - Concept B2 - ALL'!N165:N167)</f>
        <v>837295.2</v>
      </c>
      <c r="M187" s="890">
        <f>SUM('P&amp;L - Concept B2 - ALL'!O165:O167)</f>
        <v>837295.2</v>
      </c>
      <c r="N187" s="890">
        <f>SUM('P&amp;L - Concept B2 - ALL'!P165:P167)</f>
        <v>837295.2</v>
      </c>
      <c r="O187" s="890">
        <f>SUM('P&amp;L - Concept B2 - ALL'!Q165:Q167)</f>
        <v>837295.2</v>
      </c>
      <c r="P187" s="890">
        <f>SUM('P&amp;L - Concept B2 - ALL'!R165:R167)</f>
        <v>837295.2</v>
      </c>
      <c r="Q187" s="890">
        <f>SUM('P&amp;L - Concept B2 - ALL'!S165:S167)</f>
        <v>837295.2</v>
      </c>
      <c r="R187" s="890">
        <f>SUM('P&amp;L - Concept B2 - ALL'!T165:T167)</f>
        <v>837295.2</v>
      </c>
      <c r="S187" s="890">
        <f>SUM('P&amp;L - Concept B2 - ALL'!U165:U167)</f>
        <v>837295.2</v>
      </c>
      <c r="T187" s="890">
        <f>SUM('P&amp;L - Concept B2 - ALL'!V165:V167)</f>
        <v>837295.2</v>
      </c>
      <c r="U187" s="890">
        <f>SUM('P&amp;L - Concept B2 - ALL'!W165:W167)</f>
        <v>837295.2</v>
      </c>
      <c r="V187" s="890">
        <f>SUM('P&amp;L - Concept B2 - ALL'!X165:X167)</f>
        <v>837295.2</v>
      </c>
      <c r="W187" s="914">
        <f t="shared" si="9"/>
        <v>16745903.999999994</v>
      </c>
      <c r="X187" s="912">
        <f>SUM(W186:W187)</f>
        <v>17887817.728526358</v>
      </c>
      <c r="Y187" s="912"/>
      <c r="Z187" s="912"/>
      <c r="AA187" s="912"/>
    </row>
    <row r="188" spans="1:27" s="341" customFormat="1">
      <c r="A188" s="561"/>
      <c r="B188" s="561"/>
      <c r="C188" s="890"/>
      <c r="D188" s="890"/>
      <c r="E188" s="890"/>
      <c r="F188" s="890"/>
      <c r="G188" s="890"/>
      <c r="H188" s="890"/>
      <c r="I188" s="890"/>
      <c r="J188" s="890"/>
      <c r="K188" s="890"/>
      <c r="L188" s="890"/>
      <c r="M188" s="890"/>
      <c r="N188" s="890"/>
      <c r="O188" s="890"/>
      <c r="P188" s="890"/>
      <c r="Q188" s="890"/>
      <c r="R188" s="890"/>
      <c r="S188" s="890"/>
      <c r="T188" s="890"/>
      <c r="U188" s="890"/>
      <c r="V188" s="890"/>
      <c r="W188" s="914"/>
      <c r="X188" s="912"/>
      <c r="Y188" s="912"/>
      <c r="Z188" s="912"/>
      <c r="AA188" s="912"/>
    </row>
    <row r="189" spans="1:27" s="341" customFormat="1">
      <c r="A189" s="561" t="s">
        <v>138</v>
      </c>
      <c r="B189" s="561"/>
      <c r="C189" s="890">
        <f>'P&amp;L - Concept B2 - ALL'!E170</f>
        <v>-299391.66666666663</v>
      </c>
      <c r="D189" s="890">
        <f>'P&amp;L - Concept B2 - ALL'!F170</f>
        <v>863025.46551490424</v>
      </c>
      <c r="E189" s="890">
        <f>'P&amp;L - Concept B2 - ALL'!G170</f>
        <v>995894.94682520174</v>
      </c>
      <c r="F189" s="890">
        <f>'P&amp;L - Concept B2 - ALL'!H170</f>
        <v>1013592.8457617061</v>
      </c>
      <c r="G189" s="890">
        <f>'P&amp;L - Concept B2 - ALL'!I170</f>
        <v>1031644.70267694</v>
      </c>
      <c r="H189" s="890">
        <f>'P&amp;L - Concept B2 - ALL'!J170</f>
        <v>1268629.2179352788</v>
      </c>
      <c r="I189" s="890">
        <f>'P&amp;L - Concept B2 - ALL'!K170</f>
        <v>1291380.4110843525</v>
      </c>
      <c r="J189" s="890">
        <f>'P&amp;L - Concept B2 - ALL'!L170</f>
        <v>1310049.7093060398</v>
      </c>
      <c r="K189" s="890">
        <f>'P&amp;L - Concept B2 - ALL'!M170</f>
        <v>1329092.3934921608</v>
      </c>
      <c r="L189" s="890">
        <f>'P&amp;L - Concept B2 - ALL'!N170</f>
        <v>1348515.9313620038</v>
      </c>
      <c r="M189" s="890">
        <f>'P&amp;L - Concept B2 - ALL'!O170</f>
        <v>1426253.8121992415</v>
      </c>
      <c r="N189" s="890">
        <f>'P&amp;L - Concept B2 - ALL'!P170</f>
        <v>1450852.5637890282</v>
      </c>
      <c r="O189" s="890">
        <f>'P&amp;L - Concept B2 - ALL'!Q170</f>
        <v>1471464.9775648094</v>
      </c>
      <c r="P189" s="890">
        <f>'P&amp;L - Concept B2 - ALL'!R170</f>
        <v>1492489.639616105</v>
      </c>
      <c r="Q189" s="890">
        <f>'P&amp;L - Concept B2 - ALL'!S170</f>
        <v>1513934.7949084274</v>
      </c>
      <c r="R189" s="890">
        <f>'P&amp;L - Concept B2 - ALL'!T170</f>
        <v>1593898.162475758</v>
      </c>
      <c r="S189" s="890">
        <f>'P&amp;L - Concept B2 - ALL'!U170</f>
        <v>1620536.7678727282</v>
      </c>
      <c r="T189" s="890">
        <f>'P&amp;L - Concept B2 - ALL'!V170</f>
        <v>1643294.5382301828</v>
      </c>
      <c r="U189" s="890">
        <f>'P&amp;L - Concept B2 - ALL'!W170</f>
        <v>1666507.4639947859</v>
      </c>
      <c r="V189" s="890">
        <f>'P&amp;L - Concept B2 - ALL'!X170</f>
        <v>1690184.648274682</v>
      </c>
      <c r="W189" s="914">
        <f t="shared" si="9"/>
        <v>25721851.326217674</v>
      </c>
      <c r="X189" s="912"/>
      <c r="Y189" s="912"/>
      <c r="Z189" s="912"/>
      <c r="AA189" s="912"/>
    </row>
    <row r="190" spans="1:27" s="341" customFormat="1">
      <c r="A190" s="561"/>
      <c r="B190" s="561"/>
      <c r="C190" s="890"/>
      <c r="D190" s="890"/>
      <c r="E190" s="890"/>
      <c r="F190" s="890"/>
      <c r="G190" s="890"/>
      <c r="H190" s="890"/>
      <c r="I190" s="890"/>
      <c r="J190" s="890"/>
      <c r="K190" s="890"/>
      <c r="L190" s="890"/>
      <c r="M190" s="890"/>
      <c r="N190" s="890"/>
      <c r="O190" s="890"/>
      <c r="P190" s="890"/>
      <c r="Q190" s="890"/>
      <c r="R190" s="890"/>
      <c r="S190" s="890"/>
      <c r="T190" s="890"/>
      <c r="U190" s="890"/>
      <c r="V190" s="890"/>
      <c r="W190" s="914"/>
      <c r="X190" s="912"/>
      <c r="Y190" s="912"/>
      <c r="Z190" s="912"/>
      <c r="AA190" s="912"/>
    </row>
    <row r="191" spans="1:27" s="341" customFormat="1">
      <c r="A191" s="893" t="s">
        <v>130</v>
      </c>
      <c r="B191" s="893"/>
      <c r="C191" s="894">
        <f>'P&amp;L - Concept B2 - ALL'!E174</f>
        <v>-1136686.8666666667</v>
      </c>
      <c r="D191" s="894">
        <f>'P&amp;L - Concept B2 - ALL'!F174</f>
        <v>25730.265514904284</v>
      </c>
      <c r="E191" s="894">
        <f>'P&amp;L - Concept B2 - ALL'!G174</f>
        <v>158599.74682520179</v>
      </c>
      <c r="F191" s="894">
        <f>'P&amp;L - Concept B2 - ALL'!H174</f>
        <v>176297.64576170617</v>
      </c>
      <c r="G191" s="894">
        <f>'P&amp;L - Concept B2 - ALL'!I174</f>
        <v>194349.50267694006</v>
      </c>
      <c r="H191" s="894">
        <f>'P&amp;L - Concept B2 - ALL'!J174</f>
        <v>431334.01793527871</v>
      </c>
      <c r="I191" s="894">
        <f>'P&amp;L - Concept B2 - ALL'!K174</f>
        <v>454085.21108435257</v>
      </c>
      <c r="J191" s="894">
        <f>'P&amp;L - Concept B2 - ALL'!L174</f>
        <v>472754.50930603978</v>
      </c>
      <c r="K191" s="894">
        <f>'P&amp;L - Concept B2 - ALL'!M174</f>
        <v>491797.19349216076</v>
      </c>
      <c r="L191" s="894">
        <f>'P&amp;L - Concept B2 - ALL'!N174</f>
        <v>511220.73136200372</v>
      </c>
      <c r="M191" s="894">
        <f>'P&amp;L - Concept B2 - ALL'!O174</f>
        <v>588958.61219924141</v>
      </c>
      <c r="N191" s="894">
        <f>'P&amp;L - Concept B2 - ALL'!P174</f>
        <v>613557.36378902826</v>
      </c>
      <c r="O191" s="894">
        <f>'P&amp;L - Concept B2 - ALL'!Q174</f>
        <v>634169.77756480931</v>
      </c>
      <c r="P191" s="894">
        <f>'P&amp;L - Concept B2 - ALL'!R174</f>
        <v>655194.43961610505</v>
      </c>
      <c r="Q191" s="894">
        <f>'P&amp;L - Concept B2 - ALL'!S174</f>
        <v>676639.59490842745</v>
      </c>
      <c r="R191" s="894">
        <f>'P&amp;L - Concept B2 - ALL'!T174</f>
        <v>756602.96247575805</v>
      </c>
      <c r="S191" s="894">
        <f>'P&amp;L - Concept B2 - ALL'!U174</f>
        <v>783241.56787272822</v>
      </c>
      <c r="T191" s="894">
        <f>'P&amp;L - Concept B2 - ALL'!V174</f>
        <v>805999.33823018288</v>
      </c>
      <c r="U191" s="894">
        <f>'P&amp;L - Concept B2 - ALL'!W174</f>
        <v>829212.26399478596</v>
      </c>
      <c r="V191" s="894">
        <f>'P&amp;L - Concept B2 - ALL'!X174</f>
        <v>852889.44827468204</v>
      </c>
      <c r="W191" s="914">
        <f>SUM(C191:V191)</f>
        <v>8975947.32621767</v>
      </c>
      <c r="X191" s="912"/>
      <c r="Y191" s="912"/>
      <c r="Z191" s="912"/>
      <c r="AA191" s="912"/>
    </row>
    <row r="192" spans="1:27" s="341" customFormat="1">
      <c r="A192" s="561" t="s">
        <v>404</v>
      </c>
      <c r="B192" s="708">
        <f>'P&amp;L - Concept B2 - ALL'!B175</f>
        <v>0.24782461044586745</v>
      </c>
      <c r="C192" s="896"/>
      <c r="D192" s="896"/>
      <c r="E192" s="896"/>
      <c r="F192" s="896"/>
      <c r="G192" s="896"/>
      <c r="H192" s="896"/>
      <c r="I192" s="896"/>
      <c r="J192" s="896"/>
      <c r="K192" s="896"/>
      <c r="L192" s="896"/>
      <c r="M192" s="896"/>
      <c r="N192" s="896"/>
      <c r="O192" s="896"/>
      <c r="P192" s="896"/>
      <c r="Q192" s="896"/>
      <c r="R192" s="896"/>
      <c r="S192" s="896"/>
      <c r="T192" s="896"/>
      <c r="U192" s="896"/>
      <c r="V192" s="896"/>
      <c r="W192" s="910"/>
      <c r="X192" s="912"/>
      <c r="Y192" s="912"/>
      <c r="Z192" s="912"/>
      <c r="AA192" s="912"/>
    </row>
    <row r="193" spans="1:27">
      <c r="A193" s="131"/>
      <c r="B193" s="131"/>
      <c r="C193" s="630"/>
      <c r="D193" s="630"/>
      <c r="E193" s="630"/>
      <c r="F193" s="630"/>
      <c r="G193" s="630"/>
      <c r="H193" s="630"/>
      <c r="I193" s="630"/>
      <c r="J193" s="630"/>
      <c r="K193" s="630"/>
      <c r="L193" s="630"/>
      <c r="M193" s="630"/>
      <c r="N193" s="630"/>
      <c r="O193" s="630"/>
      <c r="P193" s="630"/>
      <c r="Q193" s="630"/>
      <c r="R193" s="630"/>
      <c r="S193" s="630"/>
      <c r="T193" s="630"/>
      <c r="U193" s="630"/>
      <c r="V193" s="630"/>
    </row>
    <row r="194" spans="1:27" s="32" customFormat="1">
      <c r="A194" s="47"/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905"/>
      <c r="X194" s="906"/>
      <c r="Y194" s="904"/>
      <c r="Z194" s="904"/>
      <c r="AA194" s="904"/>
    </row>
    <row r="195" spans="1:27" s="32" customFormat="1">
      <c r="A195" s="47" t="s">
        <v>7</v>
      </c>
      <c r="B195" s="47"/>
      <c r="C195" s="47" t="s">
        <v>7</v>
      </c>
      <c r="D195" s="47" t="s">
        <v>7</v>
      </c>
      <c r="E195" s="47" t="s">
        <v>7</v>
      </c>
      <c r="F195" s="47" t="s">
        <v>7</v>
      </c>
      <c r="G195" s="47" t="s">
        <v>7</v>
      </c>
      <c r="H195" s="47" t="s">
        <v>7</v>
      </c>
      <c r="I195" s="47" t="s">
        <v>7</v>
      </c>
      <c r="J195" s="47" t="s">
        <v>7</v>
      </c>
      <c r="K195" s="47" t="s">
        <v>7</v>
      </c>
      <c r="L195" s="47" t="s">
        <v>7</v>
      </c>
      <c r="M195" s="47" t="s">
        <v>7</v>
      </c>
      <c r="N195" s="47" t="s">
        <v>7</v>
      </c>
      <c r="O195" s="47" t="s">
        <v>7</v>
      </c>
      <c r="P195" s="47" t="s">
        <v>7</v>
      </c>
      <c r="Q195" s="47" t="s">
        <v>7</v>
      </c>
      <c r="R195" s="47" t="s">
        <v>7</v>
      </c>
      <c r="S195" s="47" t="s">
        <v>7</v>
      </c>
      <c r="T195" s="47" t="s">
        <v>7</v>
      </c>
      <c r="U195" s="47" t="s">
        <v>7</v>
      </c>
      <c r="V195" s="47" t="s">
        <v>7</v>
      </c>
      <c r="W195" s="905"/>
      <c r="X195" s="906"/>
      <c r="Y195" s="904"/>
      <c r="Z195" s="904"/>
      <c r="AA195" s="904"/>
    </row>
    <row r="196" spans="1:27">
      <c r="C196" s="629"/>
      <c r="D196" s="629"/>
      <c r="E196" s="629"/>
      <c r="F196" s="629"/>
      <c r="G196" s="629"/>
      <c r="H196" s="629"/>
      <c r="I196" s="629"/>
      <c r="J196" s="629"/>
      <c r="K196" s="629"/>
      <c r="L196" s="629"/>
      <c r="M196" s="629"/>
      <c r="N196" s="629"/>
      <c r="O196" s="629"/>
      <c r="P196" s="629"/>
      <c r="Q196" s="629"/>
      <c r="R196" s="629"/>
      <c r="S196" s="629"/>
      <c r="T196" s="629"/>
      <c r="U196" s="629"/>
      <c r="V196" s="629"/>
      <c r="X196" s="907"/>
    </row>
    <row r="197" spans="1:27">
      <c r="A197" s="29"/>
      <c r="B197" s="72"/>
      <c r="C197" s="71">
        <v>2019</v>
      </c>
      <c r="D197" s="71">
        <v>2020</v>
      </c>
      <c r="E197" s="71">
        <v>2021</v>
      </c>
      <c r="F197" s="71">
        <v>2022</v>
      </c>
      <c r="G197" s="71">
        <v>2023</v>
      </c>
      <c r="H197" s="71">
        <v>2024</v>
      </c>
      <c r="I197" s="71">
        <v>2025</v>
      </c>
      <c r="J197" s="71">
        <v>2026</v>
      </c>
      <c r="K197" s="71">
        <v>2027</v>
      </c>
      <c r="L197" s="71">
        <v>2028</v>
      </c>
      <c r="M197" s="71">
        <v>2029</v>
      </c>
      <c r="N197" s="71">
        <v>2030</v>
      </c>
      <c r="O197" s="71">
        <v>2031</v>
      </c>
      <c r="P197" s="71">
        <v>2032</v>
      </c>
      <c r="Q197" s="71">
        <v>2033</v>
      </c>
      <c r="R197" s="71">
        <v>2034</v>
      </c>
      <c r="S197" s="71">
        <v>2035</v>
      </c>
      <c r="T197" s="71">
        <v>2036</v>
      </c>
      <c r="U197" s="71">
        <v>2037</v>
      </c>
      <c r="V197" s="71">
        <v>2038</v>
      </c>
      <c r="X197" s="908"/>
    </row>
    <row r="198" spans="1:27">
      <c r="C198" s="629"/>
      <c r="D198" s="629"/>
      <c r="E198" s="629"/>
      <c r="F198" s="629"/>
      <c r="G198" s="629"/>
      <c r="H198" s="629"/>
      <c r="I198" s="629"/>
      <c r="J198" s="629"/>
      <c r="K198" s="629"/>
      <c r="L198" s="629"/>
      <c r="M198" s="629"/>
      <c r="N198" s="629"/>
      <c r="O198" s="629"/>
      <c r="P198" s="629"/>
      <c r="Q198" s="629"/>
      <c r="R198" s="629"/>
      <c r="S198" s="629"/>
      <c r="T198" s="629"/>
      <c r="U198" s="629"/>
      <c r="V198" s="629"/>
      <c r="X198" s="909"/>
    </row>
    <row r="199" spans="1:27">
      <c r="A199" s="266" t="s">
        <v>383</v>
      </c>
      <c r="B199" s="266"/>
      <c r="C199" s="631"/>
      <c r="D199" s="631"/>
      <c r="E199" s="631"/>
      <c r="F199" s="631"/>
      <c r="G199" s="631"/>
      <c r="H199" s="631"/>
      <c r="I199" s="631"/>
      <c r="J199" s="631"/>
      <c r="K199" s="631"/>
      <c r="L199" s="631"/>
      <c r="M199" s="631"/>
      <c r="N199" s="631"/>
      <c r="O199" s="631"/>
      <c r="P199" s="631"/>
      <c r="Q199" s="631"/>
      <c r="R199" s="631"/>
      <c r="S199" s="631"/>
      <c r="T199" s="631"/>
      <c r="U199" s="631"/>
      <c r="V199" s="631"/>
      <c r="X199" s="919"/>
    </row>
    <row r="200" spans="1:27">
      <c r="A200" s="26"/>
      <c r="B200" s="26"/>
      <c r="C200" s="632"/>
      <c r="D200" s="632"/>
      <c r="E200" s="632"/>
      <c r="F200" s="632"/>
      <c r="G200" s="632"/>
      <c r="H200" s="632"/>
      <c r="I200" s="632"/>
      <c r="J200" s="632"/>
      <c r="K200" s="632"/>
      <c r="L200" s="632"/>
      <c r="M200" s="632"/>
      <c r="N200" s="632"/>
      <c r="O200" s="632"/>
      <c r="P200" s="632"/>
      <c r="Q200" s="632"/>
      <c r="R200" s="632"/>
      <c r="S200" s="632"/>
      <c r="T200" s="632"/>
      <c r="U200" s="632"/>
      <c r="V200" s="632"/>
      <c r="X200" s="920"/>
    </row>
    <row r="201" spans="1:27">
      <c r="A201" s="32" t="s">
        <v>148</v>
      </c>
      <c r="B201" s="32"/>
      <c r="C201" s="625">
        <f>'P&amp;L - Concept B3 - Carnival'!E119</f>
        <v>58025</v>
      </c>
      <c r="D201" s="625">
        <f>'P&amp;L - Concept B3 - Carnival'!F119</f>
        <v>1560313.9176383857</v>
      </c>
      <c r="E201" s="625">
        <f>'P&amp;L - Concept B3 - Carnival'!G119</f>
        <v>1708252.5959911535</v>
      </c>
      <c r="F201" s="625">
        <f>'P&amp;L - Concept B3 - Carnival'!H119</f>
        <v>1740197.6479109763</v>
      </c>
      <c r="G201" s="625">
        <f>'P&amp;L - Concept B3 - Carnival'!I119</f>
        <v>1772781.6008691962</v>
      </c>
      <c r="H201" s="625">
        <f>'P&amp;L - Concept B3 - Carnival'!J119</f>
        <v>2049921.4828865798</v>
      </c>
      <c r="I201" s="625">
        <f>'P&amp;L - Concept B3 - Carnival'!K119</f>
        <v>2083821.8275443118</v>
      </c>
      <c r="J201" s="625">
        <f>'P&amp;L - Concept B3 - Carnival'!L119</f>
        <v>2118400.1790951984</v>
      </c>
      <c r="K201" s="625">
        <f>'P&amp;L - Concept B3 - Carnival'!M119</f>
        <v>2153670.0976771023</v>
      </c>
      <c r="L201" s="625">
        <f>'P&amp;L - Concept B3 - Carnival'!N119</f>
        <v>2189645.414630644</v>
      </c>
      <c r="M201" s="625">
        <f>'P&amp;L - Concept B3 - Carnival'!O119</f>
        <v>2287903.8004232571</v>
      </c>
      <c r="N201" s="625">
        <f>'P&amp;L - Concept B3 - Carnival'!P119</f>
        <v>2325332.520181722</v>
      </c>
      <c r="O201" s="625">
        <f>'P&amp;L - Concept B3 - Carnival'!Q119</f>
        <v>2363509.8143353565</v>
      </c>
      <c r="P201" s="625">
        <f>'P&amp;L - Concept B3 - Carnival'!R119</f>
        <v>2402450.6543720635</v>
      </c>
      <c r="Q201" s="625">
        <f>'P&amp;L - Concept B3 - Carnival'!S119</f>
        <v>2442170.311209505</v>
      </c>
      <c r="R201" s="625">
        <f>'P&amp;L - Concept B3 - Carnival'!T119</f>
        <v>2544347.923683695</v>
      </c>
      <c r="S201" s="625">
        <f>'P&amp;L - Concept B3 - Carnival'!U119</f>
        <v>2585672.2546573691</v>
      </c>
      <c r="T201" s="625">
        <f>'P&amp;L - Concept B3 - Carnival'!V119</f>
        <v>2627823.0722505166</v>
      </c>
      <c r="U201" s="625">
        <f>'P&amp;L - Concept B3 - Carnival'!W119</f>
        <v>2670816.9061955269</v>
      </c>
      <c r="V201" s="625">
        <f>'P&amp;L - Concept B3 - Carnival'!X119</f>
        <v>2714670.6168194376</v>
      </c>
      <c r="W201" s="903">
        <f t="shared" ref="W201:W208" si="10">SUM(C201:V201)</f>
        <v>42399727.638372004</v>
      </c>
      <c r="X201" s="906"/>
    </row>
    <row r="202" spans="1:27">
      <c r="A202" s="369" t="s">
        <v>140</v>
      </c>
      <c r="B202" s="369"/>
      <c r="C202" s="626">
        <f>'P&amp;L - Concept B3 - Carnival'!E152</f>
        <v>357416.66666666663</v>
      </c>
      <c r="D202" s="626">
        <f>'P&amp;L - Concept B3 - Carnival'!F152</f>
        <v>894419.34615384613</v>
      </c>
      <c r="E202" s="626">
        <f>'P&amp;L - Concept B3 - Carnival'!G152</f>
        <v>913431.16107692313</v>
      </c>
      <c r="F202" s="626">
        <f>'P&amp;L - Concept B3 - Carnival'!H152</f>
        <v>931699.7842984614</v>
      </c>
      <c r="G202" s="626">
        <f>'P&amp;L - Concept B3 - Carnival'!I152</f>
        <v>950333.77998443076</v>
      </c>
      <c r="H202" s="626">
        <f>'P&amp;L - Concept B3 - Carnival'!J152</f>
        <v>997684.33437931945</v>
      </c>
      <c r="I202" s="626">
        <f>'P&amp;L - Concept B3 - Carnival'!K152</f>
        <v>1013101.1022765377</v>
      </c>
      <c r="J202" s="626">
        <f>'P&amp;L - Concept B3 - Carnival'!L152</f>
        <v>1033363.1243220684</v>
      </c>
      <c r="K202" s="626">
        <f>'P&amp;L - Concept B3 - Carnival'!M152</f>
        <v>1054030.3868085099</v>
      </c>
      <c r="L202" s="626">
        <f>'P&amp;L - Concept B3 - Carnival'!N152</f>
        <v>1075110.9945446802</v>
      </c>
      <c r="M202" s="626">
        <f>'P&amp;L - Concept B3 - Carnival'!O152</f>
        <v>1101003.7172255765</v>
      </c>
      <c r="N202" s="626">
        <f>'P&amp;L - Concept B3 - Carnival'!P152</f>
        <v>1118545.4787242855</v>
      </c>
      <c r="O202" s="626">
        <f>'P&amp;L - Concept B3 - Carnival'!Q152</f>
        <v>1140916.3882987711</v>
      </c>
      <c r="P202" s="626">
        <f>'P&amp;L - Concept B3 - Carnival'!R152</f>
        <v>1163734.7160647465</v>
      </c>
      <c r="Q202" s="626">
        <f>'P&amp;L - Concept B3 - Carnival'!S152</f>
        <v>1187009.4103860413</v>
      </c>
      <c r="R202" s="626">
        <f>'P&amp;L - Concept B3 - Carnival'!T152</f>
        <v>1215076.6644246001</v>
      </c>
      <c r="S202" s="626">
        <f>'P&amp;L - Concept B3 - Carnival'!U152</f>
        <v>1234964.5905656377</v>
      </c>
      <c r="T202" s="626">
        <f>'P&amp;L - Concept B3 - Carnival'!V152</f>
        <v>1259663.8823769502</v>
      </c>
      <c r="U202" s="626">
        <f>'P&amp;L - Concept B3 - Carnival'!W152</f>
        <v>1284857.1600244893</v>
      </c>
      <c r="V202" s="626">
        <f>'P&amp;L - Concept B3 - Carnival'!X152</f>
        <v>1310554.3032249792</v>
      </c>
      <c r="W202" s="903">
        <f t="shared" si="10"/>
        <v>21236916.991827521</v>
      </c>
      <c r="X202" s="907"/>
    </row>
    <row r="203" spans="1:27">
      <c r="A203" s="26" t="s">
        <v>116</v>
      </c>
      <c r="B203" s="26"/>
      <c r="C203" s="625">
        <f>'P&amp;L - Concept B3 - Carnival'!E156</f>
        <v>-299391.66666666663</v>
      </c>
      <c r="D203" s="625">
        <f>'P&amp;L - Concept B3 - Carnival'!F156</f>
        <v>665894.57148453954</v>
      </c>
      <c r="E203" s="625">
        <f>'P&amp;L - Concept B3 - Carnival'!G156</f>
        <v>794821.43491423037</v>
      </c>
      <c r="F203" s="625">
        <f>'P&amp;L - Concept B3 - Carnival'!H156</f>
        <v>808497.86361251492</v>
      </c>
      <c r="G203" s="625">
        <f>'P&amp;L - Concept B3 - Carnival'!I156</f>
        <v>822447.82088476548</v>
      </c>
      <c r="H203" s="625">
        <f>'P&amp;L - Concept B3 - Carnival'!J156</f>
        <v>1052237.1485072603</v>
      </c>
      <c r="I203" s="625">
        <f>'P&amp;L - Concept B3 - Carnival'!K156</f>
        <v>1070720.725267774</v>
      </c>
      <c r="J203" s="625">
        <f>'P&amp;L - Concept B3 - Carnival'!L156</f>
        <v>1085037.05477313</v>
      </c>
      <c r="K203" s="625">
        <f>'P&amp;L - Concept B3 - Carnival'!M156</f>
        <v>1099639.7108685924</v>
      </c>
      <c r="L203" s="625">
        <f>'P&amp;L - Concept B3 - Carnival'!N156</f>
        <v>1114534.4200859638</v>
      </c>
      <c r="M203" s="625">
        <f>'P&amp;L - Concept B3 - Carnival'!O156</f>
        <v>1186900.0831976805</v>
      </c>
      <c r="N203" s="625">
        <f>'P&amp;L - Concept B3 - Carnival'!P156</f>
        <v>1206787.0414574365</v>
      </c>
      <c r="O203" s="625">
        <f>'P&amp;L - Concept B3 - Carnival'!Q156</f>
        <v>1222593.4260365854</v>
      </c>
      <c r="P203" s="625">
        <f>'P&amp;L - Concept B3 - Carnival'!R156</f>
        <v>1238715.938307317</v>
      </c>
      <c r="Q203" s="625">
        <f>'P&amp;L - Concept B3 - Carnival'!S156</f>
        <v>1255160.9008234637</v>
      </c>
      <c r="R203" s="625">
        <f>'P&amp;L - Concept B3 - Carnival'!T156</f>
        <v>1329271.2592590949</v>
      </c>
      <c r="S203" s="625">
        <f>'P&amp;L - Concept B3 - Carnival'!U156</f>
        <v>1350707.6640917314</v>
      </c>
      <c r="T203" s="625">
        <f>'P&amp;L - Concept B3 - Carnival'!V156</f>
        <v>1368159.1898735664</v>
      </c>
      <c r="U203" s="625">
        <f>'P&amp;L - Concept B3 - Carnival'!W156</f>
        <v>1385959.7461710377</v>
      </c>
      <c r="V203" s="625">
        <f>'P&amp;L - Concept B3 - Carnival'!X156</f>
        <v>1404116.3135944584</v>
      </c>
      <c r="W203" s="903">
        <f t="shared" si="10"/>
        <v>21162810.646544475</v>
      </c>
      <c r="X203" s="908"/>
    </row>
    <row r="204" spans="1:27">
      <c r="A204" s="32"/>
      <c r="B204" s="32"/>
      <c r="C204" s="625"/>
      <c r="D204" s="625"/>
      <c r="E204" s="625"/>
      <c r="F204" s="625"/>
      <c r="G204" s="625"/>
      <c r="H204" s="625"/>
      <c r="I204" s="625"/>
      <c r="J204" s="625"/>
      <c r="K204" s="625"/>
      <c r="L204" s="625"/>
      <c r="M204" s="625"/>
      <c r="N204" s="625"/>
      <c r="O204" s="625"/>
      <c r="P204" s="625"/>
      <c r="Q204" s="625"/>
      <c r="R204" s="625"/>
      <c r="S204" s="625"/>
      <c r="T204" s="625"/>
      <c r="U204" s="625"/>
      <c r="V204" s="625"/>
      <c r="W204" s="903"/>
      <c r="X204" s="909"/>
    </row>
    <row r="205" spans="1:27">
      <c r="A205" s="32" t="s">
        <v>136</v>
      </c>
      <c r="B205" s="32"/>
      <c r="C205" s="625">
        <f>'P&amp;L - Concept B3 - Carnival'!E164</f>
        <v>0</v>
      </c>
      <c r="D205" s="625">
        <f>'P&amp;L - Concept B3 - Carnival'!F164</f>
        <v>67225</v>
      </c>
      <c r="E205" s="625">
        <f>'P&amp;L - Concept B3 - Carnival'!G164</f>
        <v>68569.5</v>
      </c>
      <c r="F205" s="625">
        <f>'P&amp;L - Concept B3 - Carnival'!H164</f>
        <v>69940.89</v>
      </c>
      <c r="G205" s="625">
        <f>'P&amp;L - Concept B3 - Carnival'!I164</f>
        <v>71339.707799999989</v>
      </c>
      <c r="H205" s="625">
        <f>'P&amp;L - Concept B3 - Carnival'!J164</f>
        <v>72766.501955999993</v>
      </c>
      <c r="I205" s="625">
        <f>'P&amp;L - Concept B3 - Carnival'!K164</f>
        <v>74221.831995119996</v>
      </c>
      <c r="J205" s="625">
        <f>'P&amp;L - Concept B3 - Carnival'!L164</f>
        <v>75706.26863502241</v>
      </c>
      <c r="K205" s="625">
        <f>'P&amp;L - Concept B3 - Carnival'!M164</f>
        <v>77220.394007722847</v>
      </c>
      <c r="L205" s="625">
        <f>'P&amp;L - Concept B3 - Carnival'!N164</f>
        <v>78764.801887877315</v>
      </c>
      <c r="M205" s="625">
        <f>'P&amp;L - Concept B3 - Carnival'!O164</f>
        <v>80340.097925634866</v>
      </c>
      <c r="N205" s="625">
        <f>'P&amp;L - Concept B3 - Carnival'!P164</f>
        <v>81946.899884147555</v>
      </c>
      <c r="O205" s="625">
        <f>'P&amp;L - Concept B3 - Carnival'!Q164</f>
        <v>83585.837881830506</v>
      </c>
      <c r="P205" s="625">
        <f>'P&amp;L - Concept B3 - Carnival'!R164</f>
        <v>85257.554639467126</v>
      </c>
      <c r="Q205" s="625">
        <f>'P&amp;L - Concept B3 - Carnival'!S164</f>
        <v>86962.705732256451</v>
      </c>
      <c r="R205" s="625">
        <f>'P&amp;L - Concept B3 - Carnival'!T164</f>
        <v>88701.959846901591</v>
      </c>
      <c r="S205" s="625">
        <f>'P&amp;L - Concept B3 - Carnival'!U164</f>
        <v>90475.999043839634</v>
      </c>
      <c r="T205" s="625">
        <f>'P&amp;L - Concept B3 - Carnival'!V164</f>
        <v>92285.519024716428</v>
      </c>
      <c r="U205" s="625">
        <f>'P&amp;L - Concept B3 - Carnival'!W164</f>
        <v>94131.229405210761</v>
      </c>
      <c r="V205" s="625">
        <f>'P&amp;L - Concept B3 - Carnival'!X164</f>
        <v>96013.853993314973</v>
      </c>
      <c r="W205" s="903">
        <f t="shared" si="10"/>
        <v>1535456.5536590624</v>
      </c>
      <c r="X205" s="919"/>
    </row>
    <row r="206" spans="1:27">
      <c r="A206" s="32" t="s">
        <v>127</v>
      </c>
      <c r="B206" s="32"/>
      <c r="C206" s="625">
        <f>SUM('P&amp;L - Concept B3 - Carnival'!E165:E167)</f>
        <v>952995.96</v>
      </c>
      <c r="D206" s="625">
        <f>SUM('P&amp;L - Concept B3 - Carnival'!F165:F167)</f>
        <v>952995.96</v>
      </c>
      <c r="E206" s="625">
        <f>SUM('P&amp;L - Concept B3 - Carnival'!G165:G167)</f>
        <v>952995.96</v>
      </c>
      <c r="F206" s="625">
        <f>SUM('P&amp;L - Concept B3 - Carnival'!H165:H167)</f>
        <v>952995.96</v>
      </c>
      <c r="G206" s="625">
        <f>SUM('P&amp;L - Concept B3 - Carnival'!I165:I167)</f>
        <v>952995.96</v>
      </c>
      <c r="H206" s="625">
        <f>SUM('P&amp;L - Concept B3 - Carnival'!J165:J167)</f>
        <v>952995.96</v>
      </c>
      <c r="I206" s="625">
        <f>SUM('P&amp;L - Concept B3 - Carnival'!K165:K167)</f>
        <v>952995.96</v>
      </c>
      <c r="J206" s="625">
        <f>SUM('P&amp;L - Concept B3 - Carnival'!L165:L167)</f>
        <v>952995.96</v>
      </c>
      <c r="K206" s="625">
        <f>SUM('P&amp;L - Concept B3 - Carnival'!M165:M167)</f>
        <v>952995.96</v>
      </c>
      <c r="L206" s="625">
        <f>SUM('P&amp;L - Concept B3 - Carnival'!N165:N167)</f>
        <v>952995.96</v>
      </c>
      <c r="M206" s="625">
        <f>SUM('P&amp;L - Concept B3 - Carnival'!O165:O167)</f>
        <v>952995.96</v>
      </c>
      <c r="N206" s="625">
        <f>SUM('P&amp;L - Concept B3 - Carnival'!P165:P167)</f>
        <v>952995.96</v>
      </c>
      <c r="O206" s="625">
        <f>SUM('P&amp;L - Concept B3 - Carnival'!Q165:Q167)</f>
        <v>952995.96</v>
      </c>
      <c r="P206" s="625">
        <f>SUM('P&amp;L - Concept B3 - Carnival'!R165:R167)</f>
        <v>952995.96</v>
      </c>
      <c r="Q206" s="625">
        <f>SUM('P&amp;L - Concept B3 - Carnival'!S165:S167)</f>
        <v>952995.96</v>
      </c>
      <c r="R206" s="625">
        <f>SUM('P&amp;L - Concept B3 - Carnival'!T165:T167)</f>
        <v>952995.96</v>
      </c>
      <c r="S206" s="625">
        <f>SUM('P&amp;L - Concept B3 - Carnival'!U165:U167)</f>
        <v>952995.96</v>
      </c>
      <c r="T206" s="625">
        <f>SUM('P&amp;L - Concept B3 - Carnival'!V165:V167)</f>
        <v>952995.96</v>
      </c>
      <c r="U206" s="625">
        <f>SUM('P&amp;L - Concept B3 - Carnival'!W165:W167)</f>
        <v>952995.96</v>
      </c>
      <c r="V206" s="625">
        <f>SUM('P&amp;L - Concept B3 - Carnival'!X165:X167)</f>
        <v>952995.96</v>
      </c>
      <c r="W206" s="903">
        <f t="shared" si="10"/>
        <v>19059919.20000001</v>
      </c>
      <c r="X206" s="920">
        <f>SUM(W205:W206)</f>
        <v>20595375.753659073</v>
      </c>
    </row>
    <row r="207" spans="1:27">
      <c r="A207" s="32"/>
      <c r="B207" s="32"/>
      <c r="C207" s="625"/>
      <c r="D207" s="625"/>
      <c r="E207" s="625"/>
      <c r="F207" s="625"/>
      <c r="G207" s="625"/>
      <c r="H207" s="625"/>
      <c r="I207" s="625"/>
      <c r="J207" s="625"/>
      <c r="K207" s="625"/>
      <c r="L207" s="625"/>
      <c r="M207" s="625"/>
      <c r="N207" s="625"/>
      <c r="O207" s="625"/>
      <c r="P207" s="625"/>
      <c r="Q207" s="625"/>
      <c r="R207" s="625"/>
      <c r="S207" s="625"/>
      <c r="T207" s="625"/>
      <c r="U207" s="625"/>
      <c r="V207" s="625"/>
      <c r="W207" s="903"/>
      <c r="X207" s="906"/>
      <c r="Z207" s="900">
        <f>SUM(W202,W205:W206)</f>
        <v>41832292.745486595</v>
      </c>
    </row>
    <row r="208" spans="1:27">
      <c r="A208" s="32" t="s">
        <v>138</v>
      </c>
      <c r="B208" s="32"/>
      <c r="C208" s="625">
        <f>'P&amp;L - Concept B3 - Carnival'!E170</f>
        <v>-299391.66666666663</v>
      </c>
      <c r="D208" s="625">
        <f>'P&amp;L - Concept B3 - Carnival'!F170</f>
        <v>598669.57148453954</v>
      </c>
      <c r="E208" s="625">
        <f>'P&amp;L - Concept B3 - Carnival'!G170</f>
        <v>726251.93491423037</v>
      </c>
      <c r="F208" s="625">
        <f>'P&amp;L - Concept B3 - Carnival'!H170</f>
        <v>738556.97361251491</v>
      </c>
      <c r="G208" s="625">
        <f>'P&amp;L - Concept B3 - Carnival'!I170</f>
        <v>751108.1130847655</v>
      </c>
      <c r="H208" s="625">
        <f>'P&amp;L - Concept B3 - Carnival'!J170</f>
        <v>979470.64655126026</v>
      </c>
      <c r="I208" s="625">
        <f>'P&amp;L - Concept B3 - Carnival'!K170</f>
        <v>996498.89327265392</v>
      </c>
      <c r="J208" s="625">
        <f>'P&amp;L - Concept B3 - Carnival'!L170</f>
        <v>1009330.7861381075</v>
      </c>
      <c r="K208" s="625">
        <f>'P&amp;L - Concept B3 - Carnival'!M170</f>
        <v>1022419.3168608695</v>
      </c>
      <c r="L208" s="625">
        <f>'P&amp;L - Concept B3 - Carnival'!N170</f>
        <v>1035769.6181980865</v>
      </c>
      <c r="M208" s="625">
        <f>'P&amp;L - Concept B3 - Carnival'!O170</f>
        <v>1106559.9852720457</v>
      </c>
      <c r="N208" s="625">
        <f>'P&amp;L - Concept B3 - Carnival'!P170</f>
        <v>1124840.1415732889</v>
      </c>
      <c r="O208" s="625">
        <f>'P&amp;L - Concept B3 - Carnival'!Q170</f>
        <v>1139007.5881547548</v>
      </c>
      <c r="P208" s="625">
        <f>'P&amp;L - Concept B3 - Carnival'!R170</f>
        <v>1153458.3836678499</v>
      </c>
      <c r="Q208" s="625">
        <f>'P&amp;L - Concept B3 - Carnival'!S170</f>
        <v>1168198.1950912073</v>
      </c>
      <c r="R208" s="625">
        <f>'P&amp;L - Concept B3 - Carnival'!T170</f>
        <v>1240569.2994121932</v>
      </c>
      <c r="S208" s="625">
        <f>'P&amp;L - Concept B3 - Carnival'!U170</f>
        <v>1260231.6650478919</v>
      </c>
      <c r="T208" s="625">
        <f>'P&amp;L - Concept B3 - Carnival'!V170</f>
        <v>1275873.6708488499</v>
      </c>
      <c r="U208" s="625">
        <f>'P&amp;L - Concept B3 - Carnival'!W170</f>
        <v>1291828.5167658268</v>
      </c>
      <c r="V208" s="625">
        <f>'P&amp;L - Concept B3 - Carnival'!X170</f>
        <v>1308102.4596011434</v>
      </c>
      <c r="W208" s="903">
        <f t="shared" si="10"/>
        <v>19627354.092885412</v>
      </c>
      <c r="X208" s="907"/>
    </row>
    <row r="209" spans="1:27">
      <c r="A209" s="32"/>
      <c r="B209" s="32"/>
      <c r="C209" s="625"/>
      <c r="D209" s="625"/>
      <c r="E209" s="625"/>
      <c r="F209" s="625"/>
      <c r="G209" s="625"/>
      <c r="H209" s="625"/>
      <c r="I209" s="625"/>
      <c r="J209" s="625"/>
      <c r="K209" s="625"/>
      <c r="L209" s="625"/>
      <c r="M209" s="625"/>
      <c r="N209" s="625"/>
      <c r="O209" s="625"/>
      <c r="P209" s="625"/>
      <c r="Q209" s="625"/>
      <c r="R209" s="625"/>
      <c r="S209" s="625"/>
      <c r="T209" s="625"/>
      <c r="U209" s="627"/>
      <c r="V209" s="627"/>
      <c r="W209" s="903"/>
      <c r="X209" s="919"/>
    </row>
    <row r="210" spans="1:27">
      <c r="A210" s="300" t="s">
        <v>130</v>
      </c>
      <c r="B210" s="300"/>
      <c r="C210" s="628">
        <f>'P&amp;L - Concept B3 - Carnival'!E174</f>
        <v>-1252387.6266666665</v>
      </c>
      <c r="D210" s="628">
        <f>'P&amp;L - Concept B3 - Carnival'!F174</f>
        <v>-354326.38851546042</v>
      </c>
      <c r="E210" s="628">
        <f>'P&amp;L - Concept B3 - Carnival'!G174</f>
        <v>-226744.02508576959</v>
      </c>
      <c r="F210" s="628">
        <f>'P&amp;L - Concept B3 - Carnival'!H174</f>
        <v>-214438.98638748506</v>
      </c>
      <c r="G210" s="628">
        <f>'P&amp;L - Concept B3 - Carnival'!I174</f>
        <v>-201887.84691523446</v>
      </c>
      <c r="H210" s="628">
        <f>'P&amp;L - Concept B3 - Carnival'!J174</f>
        <v>26474.686551260296</v>
      </c>
      <c r="I210" s="628">
        <f>'P&amp;L - Concept B3 - Carnival'!K174</f>
        <v>43502.933272653958</v>
      </c>
      <c r="J210" s="628">
        <f>'P&amp;L - Concept B3 - Carnival'!L174</f>
        <v>56334.826138107572</v>
      </c>
      <c r="K210" s="628">
        <f>'P&amp;L - Concept B3 - Carnival'!M174</f>
        <v>69423.356860869564</v>
      </c>
      <c r="L210" s="628">
        <f>'P&amp;L - Concept B3 - Carnival'!N174</f>
        <v>82773.658198086545</v>
      </c>
      <c r="M210" s="628">
        <f>'P&amp;L - Concept B3 - Carnival'!O174</f>
        <v>153564.02527204575</v>
      </c>
      <c r="N210" s="628">
        <f>'P&amp;L - Concept B3 - Carnival'!P174</f>
        <v>171844.18157328898</v>
      </c>
      <c r="O210" s="628">
        <f>'P&amp;L - Concept B3 - Carnival'!Q174</f>
        <v>186011.62815475487</v>
      </c>
      <c r="P210" s="628">
        <f>'P&amp;L - Concept B3 - Carnival'!R174</f>
        <v>200462.42366784986</v>
      </c>
      <c r="Q210" s="628">
        <f>'P&amp;L - Concept B3 - Carnival'!S174</f>
        <v>215202.23509120732</v>
      </c>
      <c r="R210" s="628">
        <f>'P&amp;L - Concept B3 - Carnival'!T174</f>
        <v>287573.3394121934</v>
      </c>
      <c r="S210" s="628">
        <f>'P&amp;L - Concept B3 - Carnival'!U174</f>
        <v>307235.70504789182</v>
      </c>
      <c r="T210" s="628">
        <f>'P&amp;L - Concept B3 - Carnival'!V174</f>
        <v>322877.71084884997</v>
      </c>
      <c r="U210" s="628">
        <f>'P&amp;L - Concept B3 - Carnival'!W174</f>
        <v>338832.55676582688</v>
      </c>
      <c r="V210" s="628">
        <f>'P&amp;L - Concept B3 - Carnival'!X174</f>
        <v>355106.49960114341</v>
      </c>
      <c r="W210" s="1057">
        <f>SUM(C210:V210)</f>
        <v>567434.89288541442</v>
      </c>
      <c r="X210" s="920"/>
    </row>
    <row r="211" spans="1:27">
      <c r="A211" s="32" t="s">
        <v>404</v>
      </c>
      <c r="B211" s="786">
        <f>'P&amp;L - Concept B3 - Carnival'!B175</f>
        <v>1.6883373751096498E-2</v>
      </c>
      <c r="C211" s="629"/>
      <c r="D211" s="629"/>
      <c r="E211" s="629"/>
      <c r="F211" s="629"/>
      <c r="G211" s="629"/>
      <c r="H211" s="629"/>
      <c r="I211" s="629"/>
      <c r="J211" s="629"/>
      <c r="K211" s="629"/>
      <c r="L211" s="629"/>
      <c r="M211" s="629"/>
      <c r="N211" s="629"/>
      <c r="O211" s="629"/>
      <c r="P211" s="629"/>
      <c r="Q211" s="629"/>
      <c r="R211" s="629"/>
      <c r="S211" s="629"/>
      <c r="T211" s="629"/>
      <c r="U211" s="629"/>
      <c r="V211" s="629"/>
      <c r="X211" s="919"/>
    </row>
    <row r="212" spans="1:27">
      <c r="A212" s="131"/>
      <c r="B212" s="131"/>
      <c r="C212" s="630"/>
      <c r="D212" s="630"/>
      <c r="E212" s="630"/>
      <c r="F212" s="630"/>
      <c r="G212" s="630"/>
      <c r="H212" s="630"/>
      <c r="I212" s="630"/>
      <c r="J212" s="630"/>
      <c r="K212" s="630"/>
      <c r="L212" s="630"/>
      <c r="M212" s="630"/>
      <c r="N212" s="630"/>
      <c r="O212" s="630"/>
      <c r="P212" s="630"/>
      <c r="Q212" s="630"/>
      <c r="R212" s="630"/>
      <c r="S212" s="630"/>
      <c r="T212" s="630"/>
      <c r="U212" s="630"/>
      <c r="V212" s="630"/>
      <c r="X212" s="920"/>
      <c r="AA212" s="900">
        <f>W210+3600000</f>
        <v>4167434.8928854144</v>
      </c>
    </row>
    <row r="213" spans="1:27" s="32" customFormat="1">
      <c r="C213" s="625"/>
      <c r="D213" s="625"/>
      <c r="E213" s="625"/>
      <c r="F213" s="625"/>
      <c r="G213" s="625"/>
      <c r="H213" s="625"/>
      <c r="I213" s="625"/>
      <c r="J213" s="625"/>
      <c r="K213" s="625"/>
      <c r="L213" s="625"/>
      <c r="M213" s="625"/>
      <c r="N213" s="625"/>
      <c r="O213" s="625"/>
      <c r="P213" s="625"/>
      <c r="Q213" s="625"/>
      <c r="R213" s="625"/>
      <c r="S213" s="625"/>
      <c r="T213" s="625"/>
      <c r="U213" s="625"/>
      <c r="V213" s="625"/>
      <c r="W213" s="905"/>
      <c r="X213" s="906"/>
      <c r="Y213" s="904"/>
      <c r="Z213" s="904"/>
      <c r="AA213" s="904"/>
    </row>
    <row r="214" spans="1:27" s="32" customFormat="1">
      <c r="A214" s="47" t="s">
        <v>7</v>
      </c>
      <c r="B214" s="47"/>
      <c r="C214" s="47" t="s">
        <v>7</v>
      </c>
      <c r="D214" s="47" t="s">
        <v>7</v>
      </c>
      <c r="E214" s="47" t="s">
        <v>7</v>
      </c>
      <c r="F214" s="47" t="s">
        <v>7</v>
      </c>
      <c r="G214" s="47" t="s">
        <v>7</v>
      </c>
      <c r="H214" s="47" t="s">
        <v>7</v>
      </c>
      <c r="I214" s="47" t="s">
        <v>7</v>
      </c>
      <c r="J214" s="47" t="s">
        <v>7</v>
      </c>
      <c r="K214" s="47" t="s">
        <v>7</v>
      </c>
      <c r="L214" s="47" t="s">
        <v>7</v>
      </c>
      <c r="M214" s="47" t="s">
        <v>7</v>
      </c>
      <c r="N214" s="47" t="s">
        <v>7</v>
      </c>
      <c r="O214" s="47" t="s">
        <v>7</v>
      </c>
      <c r="P214" s="47" t="s">
        <v>7</v>
      </c>
      <c r="Q214" s="47" t="s">
        <v>7</v>
      </c>
      <c r="R214" s="47" t="s">
        <v>7</v>
      </c>
      <c r="S214" s="47" t="s">
        <v>7</v>
      </c>
      <c r="T214" s="47" t="s">
        <v>7</v>
      </c>
      <c r="U214" s="47" t="s">
        <v>7</v>
      </c>
      <c r="V214" s="47" t="s">
        <v>7</v>
      </c>
      <c r="W214" s="905"/>
      <c r="X214" s="907"/>
      <c r="Y214" s="904"/>
      <c r="Z214" s="904"/>
      <c r="AA214" s="904"/>
    </row>
    <row r="215" spans="1:27">
      <c r="C215" s="629"/>
      <c r="D215" s="629"/>
      <c r="E215" s="629"/>
      <c r="F215" s="629"/>
      <c r="G215" s="629"/>
      <c r="H215" s="629"/>
      <c r="I215" s="629"/>
      <c r="J215" s="629"/>
      <c r="K215" s="629"/>
      <c r="L215" s="629"/>
      <c r="M215" s="629"/>
      <c r="N215" s="629"/>
      <c r="O215" s="629"/>
      <c r="P215" s="629"/>
      <c r="Q215" s="629"/>
      <c r="R215" s="629"/>
      <c r="S215" s="629"/>
      <c r="T215" s="629"/>
      <c r="U215" s="629"/>
      <c r="V215" s="629"/>
      <c r="X215" s="904"/>
    </row>
    <row r="216" spans="1:27">
      <c r="A216" s="29"/>
      <c r="B216" s="72"/>
      <c r="C216" s="71">
        <v>2019</v>
      </c>
      <c r="D216" s="71">
        <v>2020</v>
      </c>
      <c r="E216" s="71">
        <v>2021</v>
      </c>
      <c r="F216" s="71">
        <v>2022</v>
      </c>
      <c r="G216" s="71">
        <v>2023</v>
      </c>
      <c r="H216" s="71">
        <v>2024</v>
      </c>
      <c r="I216" s="71">
        <v>2025</v>
      </c>
      <c r="J216" s="71">
        <v>2026</v>
      </c>
      <c r="K216" s="71">
        <v>2027</v>
      </c>
      <c r="L216" s="71">
        <v>2028</v>
      </c>
      <c r="M216" s="71">
        <v>2029</v>
      </c>
      <c r="N216" s="71">
        <v>2030</v>
      </c>
      <c r="O216" s="71">
        <v>2031</v>
      </c>
      <c r="P216" s="71">
        <v>2032</v>
      </c>
      <c r="Q216" s="71">
        <v>2033</v>
      </c>
      <c r="R216" s="71">
        <v>2034</v>
      </c>
      <c r="S216" s="71">
        <v>2035</v>
      </c>
      <c r="T216" s="71">
        <v>2036</v>
      </c>
      <c r="U216" s="71">
        <v>2037</v>
      </c>
      <c r="V216" s="71">
        <v>2038</v>
      </c>
      <c r="X216" s="904"/>
    </row>
    <row r="217" spans="1:27">
      <c r="C217" s="629"/>
      <c r="D217" s="629"/>
      <c r="E217" s="629"/>
      <c r="F217" s="629"/>
      <c r="G217" s="629"/>
      <c r="H217" s="629"/>
      <c r="I217" s="629"/>
      <c r="J217" s="629"/>
      <c r="K217" s="629"/>
      <c r="L217" s="629"/>
      <c r="M217" s="629"/>
      <c r="N217" s="629"/>
      <c r="O217" s="629"/>
      <c r="P217" s="629"/>
      <c r="Q217" s="629"/>
      <c r="R217" s="629"/>
      <c r="S217" s="629"/>
      <c r="T217" s="629"/>
      <c r="U217" s="629"/>
      <c r="V217" s="629"/>
    </row>
    <row r="218" spans="1:27">
      <c r="A218" s="266" t="s">
        <v>384</v>
      </c>
      <c r="B218" s="266"/>
      <c r="C218" s="631"/>
      <c r="D218" s="631"/>
      <c r="E218" s="631"/>
      <c r="F218" s="631"/>
      <c r="G218" s="631"/>
      <c r="H218" s="631"/>
      <c r="I218" s="631"/>
      <c r="J218" s="631"/>
      <c r="K218" s="631"/>
      <c r="L218" s="631"/>
      <c r="M218" s="631"/>
      <c r="N218" s="631"/>
      <c r="O218" s="631"/>
      <c r="P218" s="631"/>
      <c r="Q218" s="631"/>
      <c r="R218" s="631"/>
      <c r="S218" s="631"/>
      <c r="T218" s="631"/>
      <c r="U218" s="631"/>
      <c r="V218" s="631"/>
    </row>
    <row r="219" spans="1:27">
      <c r="A219" s="26"/>
      <c r="B219" s="26"/>
      <c r="C219" s="632"/>
      <c r="D219" s="632"/>
      <c r="E219" s="632"/>
      <c r="F219" s="632"/>
      <c r="G219" s="632"/>
      <c r="H219" s="632"/>
      <c r="I219" s="632"/>
      <c r="J219" s="632"/>
      <c r="K219" s="632"/>
      <c r="L219" s="632"/>
      <c r="M219" s="632"/>
      <c r="N219" s="632"/>
      <c r="O219" s="632"/>
      <c r="P219" s="632"/>
      <c r="Q219" s="632"/>
      <c r="R219" s="632"/>
      <c r="S219" s="632"/>
      <c r="T219" s="632"/>
      <c r="U219" s="632"/>
      <c r="V219" s="632"/>
    </row>
    <row r="220" spans="1:27">
      <c r="A220" s="32" t="s">
        <v>148</v>
      </c>
      <c r="B220" s="32"/>
      <c r="C220" s="625">
        <f>'P&amp;L - Concept B3 - RCCL'!E119</f>
        <v>58025</v>
      </c>
      <c r="D220" s="625">
        <f>'P&amp;L - Concept B3 - RCCL'!F119</f>
        <v>1447175.0941830606</v>
      </c>
      <c r="E220" s="625">
        <f>'P&amp;L - Concept B3 - RCCL'!G119</f>
        <v>1592850.9960667219</v>
      </c>
      <c r="F220" s="625">
        <f>'P&amp;L - Concept B3 - RCCL'!H119</f>
        <v>1622488.0159880561</v>
      </c>
      <c r="G220" s="625">
        <f>'P&amp;L - Concept B3 - RCCL'!I119</f>
        <v>1652717.7763078175</v>
      </c>
      <c r="H220" s="625">
        <f>'P&amp;L - Concept B3 - RCCL'!J119</f>
        <v>1927456.3818339736</v>
      </c>
      <c r="I220" s="625">
        <f>'P&amp;L - Concept B3 - RCCL'!K119</f>
        <v>1958907.4244706531</v>
      </c>
      <c r="J220" s="625">
        <f>'P&amp;L - Concept B3 - RCCL'!L119</f>
        <v>1990987.4879600664</v>
      </c>
      <c r="K220" s="625">
        <f>'P&amp;L - Concept B3 - RCCL'!M119</f>
        <v>2023709.1527192681</v>
      </c>
      <c r="L220" s="625">
        <f>'P&amp;L - Concept B3 - RCCL'!N119</f>
        <v>2057085.2507736532</v>
      </c>
      <c r="M220" s="625">
        <f>'P&amp;L - Concept B3 - RCCL'!O119</f>
        <v>2152692.4332891265</v>
      </c>
      <c r="N220" s="625">
        <f>'P&amp;L - Concept B3 - RCCL'!P119</f>
        <v>2187416.925704909</v>
      </c>
      <c r="O220" s="625">
        <f>'P&amp;L - Concept B3 - RCCL'!Q119</f>
        <v>2222835.9079690068</v>
      </c>
      <c r="P220" s="625">
        <f>'P&amp;L - Concept B3 - RCCL'!R119</f>
        <v>2258963.2698783865</v>
      </c>
      <c r="Q220" s="625">
        <f>'P&amp;L - Concept B3 - RCCL'!S119</f>
        <v>2295813.1790259546</v>
      </c>
      <c r="R220" s="625">
        <f>'P&amp;L - Concept B3 - RCCL'!T119</f>
        <v>2395063.6488564736</v>
      </c>
      <c r="S220" s="625">
        <f>'P&amp;L - Concept B3 - RCCL'!U119</f>
        <v>2433402.2943336032</v>
      </c>
      <c r="T220" s="625">
        <f>'P&amp;L - Concept B3 - RCCL'!V119</f>
        <v>2472507.7127202754</v>
      </c>
      <c r="U220" s="625">
        <f>'P&amp;L - Concept B3 - RCCL'!W119</f>
        <v>2512395.2394746812</v>
      </c>
      <c r="V220" s="625">
        <f>'P&amp;L - Concept B3 - RCCL'!X119</f>
        <v>2553080.5167641747</v>
      </c>
      <c r="W220" s="903">
        <f t="shared" ref="W220:W227" si="11">SUM(C220:V220)</f>
        <v>39815573.708319858</v>
      </c>
    </row>
    <row r="221" spans="1:27">
      <c r="A221" s="369" t="s">
        <v>140</v>
      </c>
      <c r="B221" s="369"/>
      <c r="C221" s="626">
        <f>'P&amp;L - Concept B3 - RCCL'!E152</f>
        <v>357416.66666666663</v>
      </c>
      <c r="D221" s="626">
        <f>'P&amp;L - Concept B3 - RCCL'!F152</f>
        <v>894419.34615384613</v>
      </c>
      <c r="E221" s="626">
        <f>'P&amp;L - Concept B3 - RCCL'!G152</f>
        <v>913431.16107692313</v>
      </c>
      <c r="F221" s="626">
        <f>'P&amp;L - Concept B3 - RCCL'!H152</f>
        <v>931699.7842984614</v>
      </c>
      <c r="G221" s="626">
        <f>'P&amp;L - Concept B3 - RCCL'!I152</f>
        <v>950333.77998443076</v>
      </c>
      <c r="H221" s="626">
        <f>'P&amp;L - Concept B3 - RCCL'!J152</f>
        <v>997684.33437931945</v>
      </c>
      <c r="I221" s="626">
        <f>'P&amp;L - Concept B3 - RCCL'!K152</f>
        <v>1013101.1022765377</v>
      </c>
      <c r="J221" s="626">
        <f>'P&amp;L - Concept B3 - RCCL'!L152</f>
        <v>1033363.1243220684</v>
      </c>
      <c r="K221" s="626">
        <f>'P&amp;L - Concept B3 - RCCL'!M152</f>
        <v>1054030.3868085099</v>
      </c>
      <c r="L221" s="626">
        <f>'P&amp;L - Concept B3 - RCCL'!N152</f>
        <v>1075110.9945446802</v>
      </c>
      <c r="M221" s="626">
        <f>'P&amp;L - Concept B3 - RCCL'!O152</f>
        <v>1101003.7172255765</v>
      </c>
      <c r="N221" s="626">
        <f>'P&amp;L - Concept B3 - RCCL'!P152</f>
        <v>1118545.4787242855</v>
      </c>
      <c r="O221" s="626">
        <f>'P&amp;L - Concept B3 - RCCL'!Q152</f>
        <v>1140916.3882987711</v>
      </c>
      <c r="P221" s="626">
        <f>'P&amp;L - Concept B3 - RCCL'!R152</f>
        <v>1163734.7160647465</v>
      </c>
      <c r="Q221" s="626">
        <f>'P&amp;L - Concept B3 - RCCL'!S152</f>
        <v>1187009.4103860413</v>
      </c>
      <c r="R221" s="626">
        <f>'P&amp;L - Concept B3 - RCCL'!T152</f>
        <v>1215076.6644246001</v>
      </c>
      <c r="S221" s="626">
        <f>'P&amp;L - Concept B3 - RCCL'!U152</f>
        <v>1234964.5905656377</v>
      </c>
      <c r="T221" s="626">
        <f>'P&amp;L - Concept B3 - RCCL'!V152</f>
        <v>1259663.8823769502</v>
      </c>
      <c r="U221" s="626">
        <f>'P&amp;L - Concept B3 - RCCL'!W152</f>
        <v>1284857.1600244893</v>
      </c>
      <c r="V221" s="626">
        <f>'P&amp;L - Concept B3 - RCCL'!X152</f>
        <v>1310554.3032249792</v>
      </c>
      <c r="W221" s="903">
        <f t="shared" si="11"/>
        <v>21236916.991827521</v>
      </c>
    </row>
    <row r="222" spans="1:27">
      <c r="A222" s="26" t="s">
        <v>116</v>
      </c>
      <c r="B222" s="26"/>
      <c r="C222" s="625">
        <f>'P&amp;L - Concept B3 - RCCL'!E156</f>
        <v>-299391.66666666663</v>
      </c>
      <c r="D222" s="625">
        <f>'P&amp;L - Concept B3 - RCCL'!F156</f>
        <v>552755.74802921445</v>
      </c>
      <c r="E222" s="625">
        <f>'P&amp;L - Concept B3 - RCCL'!G156</f>
        <v>679419.83498979872</v>
      </c>
      <c r="F222" s="625">
        <f>'P&amp;L - Concept B3 - RCCL'!H156</f>
        <v>690788.23168959469</v>
      </c>
      <c r="G222" s="625">
        <f>'P&amp;L - Concept B3 - RCCL'!I156</f>
        <v>702383.99632338679</v>
      </c>
      <c r="H222" s="625">
        <f>'P&amp;L - Concept B3 - RCCL'!J156</f>
        <v>929772.04745465412</v>
      </c>
      <c r="I222" s="625">
        <f>'P&amp;L - Concept B3 - RCCL'!K156</f>
        <v>945806.32219411538</v>
      </c>
      <c r="J222" s="625">
        <f>'P&amp;L - Concept B3 - RCCL'!L156</f>
        <v>957624.363637998</v>
      </c>
      <c r="K222" s="625">
        <f>'P&amp;L - Concept B3 - RCCL'!M156</f>
        <v>969678.76591075817</v>
      </c>
      <c r="L222" s="625">
        <f>'P&amp;L - Concept B3 - RCCL'!N156</f>
        <v>981974.25622897292</v>
      </c>
      <c r="M222" s="625">
        <f>'P&amp;L - Concept B3 - RCCL'!O156</f>
        <v>1051688.71606355</v>
      </c>
      <c r="N222" s="625">
        <f>'P&amp;L - Concept B3 - RCCL'!P156</f>
        <v>1068871.4469806235</v>
      </c>
      <c r="O222" s="625">
        <f>'P&amp;L - Concept B3 - RCCL'!Q156</f>
        <v>1081919.5196702357</v>
      </c>
      <c r="P222" s="625">
        <f>'P&amp;L - Concept B3 - RCCL'!R156</f>
        <v>1095228.55381364</v>
      </c>
      <c r="Q222" s="625">
        <f>'P&amp;L - Concept B3 - RCCL'!S156</f>
        <v>1108803.7686399133</v>
      </c>
      <c r="R222" s="625">
        <f>'P&amp;L - Concept B3 - RCCL'!T156</f>
        <v>1179986.9844318735</v>
      </c>
      <c r="S222" s="625">
        <f>'P&amp;L - Concept B3 - RCCL'!U156</f>
        <v>1198437.7037679655</v>
      </c>
      <c r="T222" s="625">
        <f>'P&amp;L - Concept B3 - RCCL'!V156</f>
        <v>1212843.8303433252</v>
      </c>
      <c r="U222" s="625">
        <f>'P&amp;L - Concept B3 - RCCL'!W156</f>
        <v>1227538.0794501919</v>
      </c>
      <c r="V222" s="625">
        <f>'P&amp;L - Concept B3 - RCCL'!X156</f>
        <v>1242526.2135391955</v>
      </c>
      <c r="W222" s="903">
        <f t="shared" si="11"/>
        <v>18578656.716492336</v>
      </c>
    </row>
    <row r="223" spans="1:27">
      <c r="A223" s="32"/>
      <c r="B223" s="32"/>
      <c r="C223" s="625"/>
      <c r="D223" s="625"/>
      <c r="E223" s="625"/>
      <c r="F223" s="625"/>
      <c r="G223" s="625"/>
      <c r="H223" s="625"/>
      <c r="I223" s="625"/>
      <c r="J223" s="625"/>
      <c r="K223" s="625"/>
      <c r="L223" s="625"/>
      <c r="M223" s="625"/>
      <c r="N223" s="625"/>
      <c r="O223" s="625"/>
      <c r="P223" s="625"/>
      <c r="Q223" s="625"/>
      <c r="R223" s="625"/>
      <c r="S223" s="625"/>
      <c r="T223" s="625"/>
      <c r="U223" s="625"/>
      <c r="V223" s="625"/>
      <c r="W223" s="903"/>
    </row>
    <row r="224" spans="1:27">
      <c r="A224" s="32" t="s">
        <v>136</v>
      </c>
      <c r="B224" s="32"/>
      <c r="C224" s="625">
        <f>'P&amp;L - Concept B3 - RCCL'!E164</f>
        <v>0</v>
      </c>
      <c r="D224" s="625">
        <f>'P&amp;L - Concept B3 - RCCL'!F164</f>
        <v>67225</v>
      </c>
      <c r="E224" s="625">
        <f>'P&amp;L - Concept B3 - RCCL'!G164</f>
        <v>68569.5</v>
      </c>
      <c r="F224" s="625">
        <f>'P&amp;L - Concept B3 - RCCL'!H164</f>
        <v>69940.89</v>
      </c>
      <c r="G224" s="625">
        <f>'P&amp;L - Concept B3 - RCCL'!I164</f>
        <v>71339.707799999989</v>
      </c>
      <c r="H224" s="625">
        <f>'P&amp;L - Concept B3 - RCCL'!J164</f>
        <v>72766.501955999993</v>
      </c>
      <c r="I224" s="625">
        <f>'P&amp;L - Concept B3 - RCCL'!K164</f>
        <v>74221.831995119996</v>
      </c>
      <c r="J224" s="625">
        <f>'P&amp;L - Concept B3 - RCCL'!L164</f>
        <v>75706.26863502241</v>
      </c>
      <c r="K224" s="625">
        <f>'P&amp;L - Concept B3 - RCCL'!M164</f>
        <v>77220.394007722847</v>
      </c>
      <c r="L224" s="625">
        <f>'P&amp;L - Concept B3 - RCCL'!N164</f>
        <v>78764.801887877315</v>
      </c>
      <c r="M224" s="625">
        <f>'P&amp;L - Concept B3 - RCCL'!O164</f>
        <v>80340.097925634866</v>
      </c>
      <c r="N224" s="625">
        <f>'P&amp;L - Concept B3 - RCCL'!P164</f>
        <v>81946.899884147555</v>
      </c>
      <c r="O224" s="625">
        <f>'P&amp;L - Concept B3 - RCCL'!Q164</f>
        <v>83585.837881830506</v>
      </c>
      <c r="P224" s="625">
        <f>'P&amp;L - Concept B3 - RCCL'!R164</f>
        <v>85257.554639467126</v>
      </c>
      <c r="Q224" s="625">
        <f>'P&amp;L - Concept B3 - RCCL'!S164</f>
        <v>86962.705732256451</v>
      </c>
      <c r="R224" s="625">
        <f>'P&amp;L - Concept B3 - RCCL'!T164</f>
        <v>88701.959846901591</v>
      </c>
      <c r="S224" s="625">
        <f>'P&amp;L - Concept B3 - RCCL'!U164</f>
        <v>90475.999043839634</v>
      </c>
      <c r="T224" s="625">
        <f>'P&amp;L - Concept B3 - RCCL'!V164</f>
        <v>92285.519024716428</v>
      </c>
      <c r="U224" s="625">
        <f>'P&amp;L - Concept B3 - RCCL'!W164</f>
        <v>94131.229405210761</v>
      </c>
      <c r="V224" s="625">
        <f>'P&amp;L - Concept B3 - RCCL'!X164</f>
        <v>96013.853993314973</v>
      </c>
      <c r="W224" s="903">
        <f t="shared" si="11"/>
        <v>1535456.5536590624</v>
      </c>
    </row>
    <row r="225" spans="1:27">
      <c r="A225" s="32" t="s">
        <v>127</v>
      </c>
      <c r="B225" s="32"/>
      <c r="C225" s="625">
        <f>SUM('P&amp;L - Concept B3 - RCCL'!E165:E167)</f>
        <v>952995.96</v>
      </c>
      <c r="D225" s="625">
        <f>SUM('P&amp;L - Concept B3 - RCCL'!F165:F167)</f>
        <v>952995.96</v>
      </c>
      <c r="E225" s="625">
        <f>SUM('P&amp;L - Concept B3 - RCCL'!G165:G167)</f>
        <v>952995.96</v>
      </c>
      <c r="F225" s="625">
        <f>SUM('P&amp;L - Concept B3 - RCCL'!H165:H167)</f>
        <v>952995.96</v>
      </c>
      <c r="G225" s="625">
        <f>SUM('P&amp;L - Concept B3 - RCCL'!I165:I167)</f>
        <v>952995.96</v>
      </c>
      <c r="H225" s="625">
        <f>SUM('P&amp;L - Concept B3 - RCCL'!J165:J167)</f>
        <v>952995.96</v>
      </c>
      <c r="I225" s="625">
        <f>SUM('P&amp;L - Concept B3 - RCCL'!K165:K167)</f>
        <v>952995.96</v>
      </c>
      <c r="J225" s="625">
        <f>SUM('P&amp;L - Concept B3 - RCCL'!L165:L167)</f>
        <v>952995.96</v>
      </c>
      <c r="K225" s="625">
        <f>SUM('P&amp;L - Concept B3 - RCCL'!M165:M167)</f>
        <v>952995.96</v>
      </c>
      <c r="L225" s="625">
        <f>SUM('P&amp;L - Concept B3 - RCCL'!N165:N167)</f>
        <v>952995.96</v>
      </c>
      <c r="M225" s="625">
        <f>SUM('P&amp;L - Concept B3 - RCCL'!O165:O167)</f>
        <v>952995.96</v>
      </c>
      <c r="N225" s="625">
        <f>SUM('P&amp;L - Concept B3 - RCCL'!P165:P167)</f>
        <v>952995.96</v>
      </c>
      <c r="O225" s="625">
        <f>SUM('P&amp;L - Concept B3 - RCCL'!Q165:Q167)</f>
        <v>952995.96</v>
      </c>
      <c r="P225" s="625">
        <f>SUM('P&amp;L - Concept B3 - RCCL'!R165:R167)</f>
        <v>952995.96</v>
      </c>
      <c r="Q225" s="625">
        <f>SUM('P&amp;L - Concept B3 - RCCL'!S165:S167)</f>
        <v>952995.96</v>
      </c>
      <c r="R225" s="625">
        <f>SUM('P&amp;L - Concept B3 - RCCL'!T165:T167)</f>
        <v>952995.96</v>
      </c>
      <c r="S225" s="625">
        <f>SUM('P&amp;L - Concept B3 - RCCL'!U165:U167)</f>
        <v>952995.96</v>
      </c>
      <c r="T225" s="625">
        <f>SUM('P&amp;L - Concept B3 - RCCL'!V165:V167)</f>
        <v>952995.96</v>
      </c>
      <c r="U225" s="625">
        <f>SUM('P&amp;L - Concept B3 - RCCL'!W165:W167)</f>
        <v>952995.96</v>
      </c>
      <c r="V225" s="625">
        <f>SUM('P&amp;L - Concept B3 - RCCL'!X165:X167)</f>
        <v>952995.96</v>
      </c>
      <c r="W225" s="903">
        <f t="shared" si="11"/>
        <v>19059919.20000001</v>
      </c>
      <c r="X225" s="900">
        <f>SUM(W224:W225)</f>
        <v>20595375.753659073</v>
      </c>
    </row>
    <row r="226" spans="1:27">
      <c r="A226" s="32"/>
      <c r="B226" s="32"/>
      <c r="C226" s="625"/>
      <c r="D226" s="625"/>
      <c r="E226" s="625"/>
      <c r="F226" s="625"/>
      <c r="G226" s="625"/>
      <c r="H226" s="625"/>
      <c r="I226" s="625"/>
      <c r="J226" s="625"/>
      <c r="K226" s="625"/>
      <c r="L226" s="625"/>
      <c r="M226" s="625"/>
      <c r="N226" s="625"/>
      <c r="O226" s="625"/>
      <c r="P226" s="625"/>
      <c r="Q226" s="625"/>
      <c r="R226" s="625"/>
      <c r="S226" s="625"/>
      <c r="T226" s="625"/>
      <c r="U226" s="625"/>
      <c r="V226" s="625"/>
      <c r="W226" s="903"/>
      <c r="Z226" s="900">
        <f>SUM(W221,W224:W225)</f>
        <v>41832292.745486595</v>
      </c>
    </row>
    <row r="227" spans="1:27">
      <c r="A227" s="32" t="s">
        <v>138</v>
      </c>
      <c r="B227" s="32"/>
      <c r="C227" s="625">
        <f>'P&amp;L - Concept B3 - RCCL'!E170</f>
        <v>-299391.66666666663</v>
      </c>
      <c r="D227" s="625">
        <f>'P&amp;L - Concept B3 - RCCL'!F170</f>
        <v>485530.74802921445</v>
      </c>
      <c r="E227" s="625">
        <f>'P&amp;L - Concept B3 - RCCL'!G170</f>
        <v>610850.33498979872</v>
      </c>
      <c r="F227" s="625">
        <f>'P&amp;L - Concept B3 - RCCL'!H170</f>
        <v>620847.34168959467</v>
      </c>
      <c r="G227" s="625">
        <f>'P&amp;L - Concept B3 - RCCL'!I170</f>
        <v>631044.28852338681</v>
      </c>
      <c r="H227" s="625">
        <f>'P&amp;L - Concept B3 - RCCL'!J170</f>
        <v>857005.54549865413</v>
      </c>
      <c r="I227" s="625">
        <f>'P&amp;L - Concept B3 - RCCL'!K170</f>
        <v>871584.49019899534</v>
      </c>
      <c r="J227" s="625">
        <f>'P&amp;L - Concept B3 - RCCL'!L170</f>
        <v>881918.09500297555</v>
      </c>
      <c r="K227" s="625">
        <f>'P&amp;L - Concept B3 - RCCL'!M170</f>
        <v>892458.37190303532</v>
      </c>
      <c r="L227" s="625">
        <f>'P&amp;L - Concept B3 - RCCL'!N170</f>
        <v>903209.45434109564</v>
      </c>
      <c r="M227" s="625">
        <f>'P&amp;L - Concept B3 - RCCL'!O170</f>
        <v>971348.61813791515</v>
      </c>
      <c r="N227" s="625">
        <f>'P&amp;L - Concept B3 - RCCL'!P170</f>
        <v>986924.54709647596</v>
      </c>
      <c r="O227" s="625">
        <f>'P&amp;L - Concept B3 - RCCL'!Q170</f>
        <v>998333.68178840517</v>
      </c>
      <c r="P227" s="625">
        <f>'P&amp;L - Concept B3 - RCCL'!R170</f>
        <v>1009970.9991741729</v>
      </c>
      <c r="Q227" s="625">
        <f>'P&amp;L - Concept B3 - RCCL'!S170</f>
        <v>1021841.0629076569</v>
      </c>
      <c r="R227" s="625">
        <f>'P&amp;L - Concept B3 - RCCL'!T170</f>
        <v>1091285.0245849718</v>
      </c>
      <c r="S227" s="625">
        <f>'P&amp;L - Concept B3 - RCCL'!U170</f>
        <v>1107961.704724126</v>
      </c>
      <c r="T227" s="625">
        <f>'P&amp;L - Concept B3 - RCCL'!V170</f>
        <v>1120558.3113186087</v>
      </c>
      <c r="U227" s="625">
        <f>'P&amp;L - Concept B3 - RCCL'!W170</f>
        <v>1133406.8500449811</v>
      </c>
      <c r="V227" s="625">
        <f>'P&amp;L - Concept B3 - RCCL'!X170</f>
        <v>1146512.3595458805</v>
      </c>
      <c r="W227" s="903">
        <f t="shared" si="11"/>
        <v>17043200.162833277</v>
      </c>
    </row>
    <row r="228" spans="1:27">
      <c r="A228" s="32"/>
      <c r="B228" s="32"/>
      <c r="C228" s="625"/>
      <c r="D228" s="625"/>
      <c r="E228" s="625"/>
      <c r="F228" s="625"/>
      <c r="G228" s="625"/>
      <c r="H228" s="625"/>
      <c r="I228" s="625"/>
      <c r="J228" s="625"/>
      <c r="K228" s="625"/>
      <c r="L228" s="625"/>
      <c r="M228" s="625"/>
      <c r="N228" s="625"/>
      <c r="O228" s="625"/>
      <c r="P228" s="625"/>
      <c r="Q228" s="625"/>
      <c r="R228" s="625"/>
      <c r="S228" s="625"/>
      <c r="T228" s="625"/>
      <c r="U228" s="627"/>
      <c r="V228" s="627"/>
      <c r="W228" s="903"/>
    </row>
    <row r="229" spans="1:27">
      <c r="A229" s="300" t="s">
        <v>130</v>
      </c>
      <c r="B229" s="300"/>
      <c r="C229" s="628">
        <f>'P&amp;L - Concept B3 - RCCL'!E174</f>
        <v>-1252387.6266666665</v>
      </c>
      <c r="D229" s="628">
        <f>'P&amp;L - Concept B3 - RCCL'!F174</f>
        <v>-467465.21197078552</v>
      </c>
      <c r="E229" s="628">
        <f>'P&amp;L - Concept B3 - RCCL'!G174</f>
        <v>-342145.62501020124</v>
      </c>
      <c r="F229" s="628">
        <f>'P&amp;L - Concept B3 - RCCL'!H174</f>
        <v>-332148.61831040529</v>
      </c>
      <c r="G229" s="628">
        <f>'P&amp;L - Concept B3 - RCCL'!I174</f>
        <v>-321951.67147661315</v>
      </c>
      <c r="H229" s="628">
        <f>'P&amp;L - Concept B3 - RCCL'!J174</f>
        <v>-95990.414501345833</v>
      </c>
      <c r="I229" s="628">
        <f>'P&amp;L - Concept B3 - RCCL'!K174</f>
        <v>-81411.469801004627</v>
      </c>
      <c r="J229" s="628">
        <f>'P&amp;L - Concept B3 - RCCL'!L174</f>
        <v>-71077.864997024415</v>
      </c>
      <c r="K229" s="628">
        <f>'P&amp;L - Concept B3 - RCCL'!M174</f>
        <v>-60537.588096964639</v>
      </c>
      <c r="L229" s="628">
        <f>'P&amp;L - Concept B3 - RCCL'!N174</f>
        <v>-49786.505658904323</v>
      </c>
      <c r="M229" s="628">
        <f>'P&amp;L - Concept B3 - RCCL'!O174</f>
        <v>18352.65813791519</v>
      </c>
      <c r="N229" s="628">
        <f>'P&amp;L - Concept B3 - RCCL'!P174</f>
        <v>33928.587096475996</v>
      </c>
      <c r="O229" s="628">
        <f>'P&amp;L - Concept B3 - RCCL'!Q174</f>
        <v>45337.721788405208</v>
      </c>
      <c r="P229" s="628">
        <f>'P&amp;L - Concept B3 - RCCL'!R174</f>
        <v>56975.039174172911</v>
      </c>
      <c r="Q229" s="628">
        <f>'P&amp;L - Concept B3 - RCCL'!S174</f>
        <v>68845.102907656925</v>
      </c>
      <c r="R229" s="628">
        <f>'P&amp;L - Concept B3 - RCCL'!T174</f>
        <v>138289.06458497199</v>
      </c>
      <c r="S229" s="628">
        <f>'P&amp;L - Concept B3 - RCCL'!U174</f>
        <v>154965.74472412595</v>
      </c>
      <c r="T229" s="628">
        <f>'P&amp;L - Concept B3 - RCCL'!V174</f>
        <v>167562.35131860874</v>
      </c>
      <c r="U229" s="628">
        <f>'P&amp;L - Concept B3 - RCCL'!W174</f>
        <v>180410.89004498115</v>
      </c>
      <c r="V229" s="628">
        <f>'P&amp;L - Concept B3 - RCCL'!X174</f>
        <v>193516.3995458805</v>
      </c>
      <c r="W229" s="1057">
        <f>SUM(C229:V229)</f>
        <v>-2016719.0371667212</v>
      </c>
    </row>
    <row r="230" spans="1:27">
      <c r="A230" s="32" t="s">
        <v>404</v>
      </c>
      <c r="B230" s="786">
        <f>'P&amp;L - Concept B3 - RCCL'!B175</f>
        <v>-7.1962075080338028E-2</v>
      </c>
    </row>
    <row r="231" spans="1:27">
      <c r="A231" s="131"/>
      <c r="B231" s="131"/>
      <c r="C231" s="131"/>
      <c r="D231" s="131"/>
      <c r="E231" s="131"/>
      <c r="F231" s="131"/>
      <c r="G231" s="131"/>
      <c r="H231" s="131"/>
      <c r="I231" s="131"/>
      <c r="J231" s="131"/>
      <c r="K231" s="131"/>
      <c r="L231" s="131"/>
      <c r="M231" s="131"/>
      <c r="N231" s="131"/>
      <c r="O231" s="131"/>
      <c r="P231" s="131"/>
      <c r="Q231" s="131"/>
      <c r="R231" s="131"/>
      <c r="S231" s="131"/>
      <c r="T231" s="131"/>
      <c r="U231" s="131"/>
      <c r="V231" s="131"/>
      <c r="AA231" s="900">
        <f>W229+3600000</f>
        <v>1583280.9628332788</v>
      </c>
    </row>
    <row r="233" spans="1:27" s="32" customFormat="1">
      <c r="A233" s="47" t="s">
        <v>7</v>
      </c>
      <c r="B233" s="47"/>
      <c r="C233" s="47" t="s">
        <v>7</v>
      </c>
      <c r="D233" s="47" t="s">
        <v>7</v>
      </c>
      <c r="E233" s="47" t="s">
        <v>7</v>
      </c>
      <c r="F233" s="47" t="s">
        <v>7</v>
      </c>
      <c r="G233" s="47" t="s">
        <v>7</v>
      </c>
      <c r="H233" s="47" t="s">
        <v>7</v>
      </c>
      <c r="I233" s="47" t="s">
        <v>7</v>
      </c>
      <c r="J233" s="47" t="s">
        <v>7</v>
      </c>
      <c r="K233" s="47" t="s">
        <v>7</v>
      </c>
      <c r="L233" s="47" t="s">
        <v>7</v>
      </c>
      <c r="M233" s="47" t="s">
        <v>7</v>
      </c>
      <c r="N233" s="47" t="s">
        <v>7</v>
      </c>
      <c r="O233" s="47" t="s">
        <v>7</v>
      </c>
      <c r="P233" s="47" t="s">
        <v>7</v>
      </c>
      <c r="Q233" s="47" t="s">
        <v>7</v>
      </c>
      <c r="R233" s="47" t="s">
        <v>7</v>
      </c>
      <c r="S233" s="47" t="s">
        <v>7</v>
      </c>
      <c r="T233" s="47" t="s">
        <v>7</v>
      </c>
      <c r="U233" s="47" t="s">
        <v>7</v>
      </c>
      <c r="V233" s="47" t="s">
        <v>7</v>
      </c>
      <c r="W233" s="905"/>
      <c r="X233" s="904"/>
      <c r="Y233" s="904"/>
      <c r="Z233" s="904"/>
      <c r="AA233" s="904"/>
    </row>
    <row r="235" spans="1:27">
      <c r="A235" s="29"/>
      <c r="B235" s="72"/>
      <c r="C235" s="71">
        <v>2019</v>
      </c>
      <c r="D235" s="71">
        <v>2020</v>
      </c>
      <c r="E235" s="71">
        <v>2021</v>
      </c>
      <c r="F235" s="71">
        <v>2022</v>
      </c>
      <c r="G235" s="71">
        <v>2023</v>
      </c>
      <c r="H235" s="71">
        <v>2024</v>
      </c>
      <c r="I235" s="71">
        <v>2025</v>
      </c>
      <c r="J235" s="71">
        <v>2026</v>
      </c>
      <c r="K235" s="71">
        <v>2027</v>
      </c>
      <c r="L235" s="71">
        <v>2028</v>
      </c>
      <c r="M235" s="71">
        <v>2029</v>
      </c>
      <c r="N235" s="71">
        <v>2030</v>
      </c>
      <c r="O235" s="71">
        <v>2031</v>
      </c>
      <c r="P235" s="71">
        <v>2032</v>
      </c>
      <c r="Q235" s="71">
        <v>2033</v>
      </c>
      <c r="R235" s="71">
        <v>2034</v>
      </c>
      <c r="S235" s="71">
        <v>2035</v>
      </c>
      <c r="T235" s="71">
        <v>2036</v>
      </c>
      <c r="U235" s="71">
        <v>2037</v>
      </c>
      <c r="V235" s="71">
        <v>2038</v>
      </c>
    </row>
    <row r="237" spans="1:27">
      <c r="A237" s="266" t="s">
        <v>385</v>
      </c>
      <c r="B237" s="266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  <c r="N237" s="268"/>
      <c r="O237" s="268"/>
      <c r="P237" s="268"/>
      <c r="Q237" s="268"/>
      <c r="R237" s="268"/>
      <c r="S237" s="268"/>
      <c r="T237" s="268"/>
      <c r="U237" s="268"/>
      <c r="V237" s="268"/>
      <c r="W237" s="903"/>
    </row>
    <row r="238" spans="1:27" s="32" customForma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903"/>
      <c r="X238" s="904"/>
      <c r="Y238" s="904"/>
      <c r="Z238" s="904"/>
      <c r="AA238" s="904"/>
    </row>
    <row r="239" spans="1:27">
      <c r="A239" s="32" t="s">
        <v>148</v>
      </c>
      <c r="B239" s="32"/>
      <c r="C239" s="625">
        <f>'P&amp;L - Concept B3 - NCLH'!E119</f>
        <v>58025</v>
      </c>
      <c r="D239" s="625">
        <f>'P&amp;L - Concept B3 - NCLH'!F119</f>
        <v>1186584.5975892404</v>
      </c>
      <c r="E239" s="625">
        <f>'P&amp;L - Concept B3 - NCLH'!G119</f>
        <v>1327048.6895410253</v>
      </c>
      <c r="F239" s="625">
        <f>'P&amp;L - Concept B3 - NCLH'!H119</f>
        <v>1351369.6633318458</v>
      </c>
      <c r="G239" s="625">
        <f>'P&amp;L - Concept B3 - NCLH'!I119</f>
        <v>1376177.0565984827</v>
      </c>
      <c r="H239" s="625">
        <f>'P&amp;L - Concept B3 - NCLH'!J119</f>
        <v>1645384.8477304522</v>
      </c>
      <c r="I239" s="625">
        <f>'P&amp;L - Concept B3 - NCLH'!K119</f>
        <v>1671194.4596850614</v>
      </c>
      <c r="J239" s="625">
        <f>'P&amp;L - Concept B3 - NCLH'!L119</f>
        <v>1697520.2638787625</v>
      </c>
      <c r="K239" s="625">
        <f>'P&amp;L - Concept B3 - NCLH'!M119</f>
        <v>1724372.5841563381</v>
      </c>
      <c r="L239" s="625">
        <f>'P&amp;L - Concept B3 - NCLH'!N119</f>
        <v>1751761.9508394648</v>
      </c>
      <c r="M239" s="625">
        <f>'P&amp;L - Concept B3 - NCLH'!O119</f>
        <v>1841262.6673562541</v>
      </c>
      <c r="N239" s="625">
        <f>'P&amp;L - Concept B3 - NCLH'!P119</f>
        <v>1869758.5644533793</v>
      </c>
      <c r="O239" s="625">
        <f>'P&amp;L - Concept B3 - NCLH'!Q119</f>
        <v>1898824.3794924468</v>
      </c>
      <c r="P239" s="625">
        <f>'P&amp;L - Concept B3 - NCLH'!R119</f>
        <v>1928471.5108322955</v>
      </c>
      <c r="Q239" s="625">
        <f>'P&amp;L - Concept B3 - NCLH'!S119</f>
        <v>1958711.5847989416</v>
      </c>
      <c r="R239" s="625">
        <f>'P&amp;L - Concept B3 - NCLH'!T119</f>
        <v>2051220.0227449201</v>
      </c>
      <c r="S239" s="625">
        <f>'P&amp;L - Concept B3 - NCLH'!U119</f>
        <v>2082681.7956998185</v>
      </c>
      <c r="T239" s="625">
        <f>'P&amp;L - Concept B3 - NCLH'!V119</f>
        <v>2114772.8041138155</v>
      </c>
      <c r="U239" s="625">
        <f>'P&amp;L - Concept B3 - NCLH'!W119</f>
        <v>2147505.6326960921</v>
      </c>
      <c r="V239" s="625">
        <f>'P&amp;L - Concept B3 - NCLH'!X119</f>
        <v>2180893.117850014</v>
      </c>
      <c r="W239" s="903">
        <f t="shared" ref="W239:W246" si="12">SUM(C239:V239)</f>
        <v>33863541.193388656</v>
      </c>
    </row>
    <row r="240" spans="1:27">
      <c r="A240" s="369" t="s">
        <v>140</v>
      </c>
      <c r="B240" s="369"/>
      <c r="C240" s="626">
        <f>'P&amp;L - Concept B3 - NCLH'!E152</f>
        <v>357416.66666666663</v>
      </c>
      <c r="D240" s="626">
        <f>'P&amp;L - Concept B3 - NCLH'!F152</f>
        <v>894419.34615384613</v>
      </c>
      <c r="E240" s="626">
        <f>'P&amp;L - Concept B3 - NCLH'!G152</f>
        <v>913431.16107692313</v>
      </c>
      <c r="F240" s="626">
        <f>'P&amp;L - Concept B3 - NCLH'!H152</f>
        <v>931699.7842984614</v>
      </c>
      <c r="G240" s="626">
        <f>'P&amp;L - Concept B3 - NCLH'!I152</f>
        <v>950333.77998443076</v>
      </c>
      <c r="H240" s="626">
        <f>'P&amp;L - Concept B3 - NCLH'!J152</f>
        <v>997684.33437931945</v>
      </c>
      <c r="I240" s="626">
        <f>'P&amp;L - Concept B3 - NCLH'!K152</f>
        <v>1013101.1022765377</v>
      </c>
      <c r="J240" s="626">
        <f>'P&amp;L - Concept B3 - NCLH'!L152</f>
        <v>1033363.1243220684</v>
      </c>
      <c r="K240" s="626">
        <f>'P&amp;L - Concept B3 - NCLH'!M152</f>
        <v>1054030.3868085099</v>
      </c>
      <c r="L240" s="626">
        <f>'P&amp;L - Concept B3 - NCLH'!N152</f>
        <v>1075110.9945446802</v>
      </c>
      <c r="M240" s="626">
        <f>'P&amp;L - Concept B3 - NCLH'!O152</f>
        <v>1101003.7172255765</v>
      </c>
      <c r="N240" s="626">
        <f>'P&amp;L - Concept B3 - NCLH'!P152</f>
        <v>1118545.4787242855</v>
      </c>
      <c r="O240" s="626">
        <f>'P&amp;L - Concept B3 - NCLH'!Q152</f>
        <v>1140916.3882987711</v>
      </c>
      <c r="P240" s="626">
        <f>'P&amp;L - Concept B3 - NCLH'!R152</f>
        <v>1163734.7160647465</v>
      </c>
      <c r="Q240" s="626">
        <f>'P&amp;L - Concept B3 - NCLH'!S152</f>
        <v>1187009.4103860413</v>
      </c>
      <c r="R240" s="626">
        <f>'P&amp;L - Concept B3 - NCLH'!T152</f>
        <v>1215076.6644246001</v>
      </c>
      <c r="S240" s="626">
        <f>'P&amp;L - Concept B3 - NCLH'!U152</f>
        <v>1234964.5905656377</v>
      </c>
      <c r="T240" s="626">
        <f>'P&amp;L - Concept B3 - NCLH'!V152</f>
        <v>1259663.8823769502</v>
      </c>
      <c r="U240" s="626">
        <f>'P&amp;L - Concept B3 - NCLH'!W152</f>
        <v>1284857.1600244893</v>
      </c>
      <c r="V240" s="626">
        <f>'P&amp;L - Concept B3 - NCLH'!X152</f>
        <v>1310554.3032249792</v>
      </c>
      <c r="W240" s="903">
        <f t="shared" si="12"/>
        <v>21236916.991827521</v>
      </c>
    </row>
    <row r="241" spans="1:27">
      <c r="A241" s="26" t="s">
        <v>116</v>
      </c>
      <c r="B241" s="26"/>
      <c r="C241" s="625">
        <f>'P&amp;L - Concept B3 - NCLH'!E156</f>
        <v>-299391.66666666663</v>
      </c>
      <c r="D241" s="625">
        <f>'P&amp;L - Concept B3 - NCLH'!F156</f>
        <v>292165.25143539428</v>
      </c>
      <c r="E241" s="625">
        <f>'P&amp;L - Concept B3 - NCLH'!G156</f>
        <v>413617.52846410219</v>
      </c>
      <c r="F241" s="625">
        <f>'P&amp;L - Concept B3 - NCLH'!H156</f>
        <v>419669.87903338438</v>
      </c>
      <c r="G241" s="625">
        <f>'P&amp;L - Concept B3 - NCLH'!I156</f>
        <v>425843.27661405189</v>
      </c>
      <c r="H241" s="625">
        <f>'P&amp;L - Concept B3 - NCLH'!J156</f>
        <v>647700.51335113274</v>
      </c>
      <c r="I241" s="625">
        <f>'P&amp;L - Concept B3 - NCLH'!K156</f>
        <v>658093.35740852368</v>
      </c>
      <c r="J241" s="625">
        <f>'P&amp;L - Concept B3 - NCLH'!L156</f>
        <v>664157.13955669408</v>
      </c>
      <c r="K241" s="625">
        <f>'P&amp;L - Concept B3 - NCLH'!M156</f>
        <v>670342.19734782819</v>
      </c>
      <c r="L241" s="625">
        <f>'P&amp;L - Concept B3 - NCLH'!N156</f>
        <v>676650.95629478456</v>
      </c>
      <c r="M241" s="625">
        <f>'P&amp;L - Concept B3 - NCLH'!O156</f>
        <v>740258.95013067755</v>
      </c>
      <c r="N241" s="625">
        <f>'P&amp;L - Concept B3 - NCLH'!P156</f>
        <v>751213.08572909376</v>
      </c>
      <c r="O241" s="625">
        <f>'P&amp;L - Concept B3 - NCLH'!Q156</f>
        <v>757907.99119367567</v>
      </c>
      <c r="P241" s="625">
        <f>'P&amp;L - Concept B3 - NCLH'!R156</f>
        <v>764736.79476754903</v>
      </c>
      <c r="Q241" s="625">
        <f>'P&amp;L - Concept B3 - NCLH'!S156</f>
        <v>771702.17441290035</v>
      </c>
      <c r="R241" s="625">
        <f>'P&amp;L - Concept B3 - NCLH'!T156</f>
        <v>836143.35832032003</v>
      </c>
      <c r="S241" s="625">
        <f>'P&amp;L - Concept B3 - NCLH'!U156</f>
        <v>847717.20513418084</v>
      </c>
      <c r="T241" s="625">
        <f>'P&amp;L - Concept B3 - NCLH'!V156</f>
        <v>855108.9217368653</v>
      </c>
      <c r="U241" s="625">
        <f>'P&amp;L - Concept B3 - NCLH'!W156</f>
        <v>862648.47267160285</v>
      </c>
      <c r="V241" s="625">
        <f>'P&amp;L - Concept B3 - NCLH'!X156</f>
        <v>870338.81462503481</v>
      </c>
      <c r="W241" s="903">
        <f t="shared" si="12"/>
        <v>12626624.201561129</v>
      </c>
    </row>
    <row r="242" spans="1:27">
      <c r="A242" s="32"/>
      <c r="B242" s="32"/>
      <c r="C242" s="625"/>
      <c r="D242" s="625"/>
      <c r="E242" s="625"/>
      <c r="F242" s="625"/>
      <c r="G242" s="625"/>
      <c r="H242" s="625"/>
      <c r="I242" s="625"/>
      <c r="J242" s="625"/>
      <c r="K242" s="625"/>
      <c r="L242" s="625"/>
      <c r="M242" s="625"/>
      <c r="N242" s="625"/>
      <c r="O242" s="625"/>
      <c r="P242" s="625"/>
      <c r="Q242" s="625"/>
      <c r="R242" s="625"/>
      <c r="S242" s="625"/>
      <c r="T242" s="625"/>
      <c r="U242" s="625"/>
      <c r="V242" s="625"/>
      <c r="W242" s="903"/>
    </row>
    <row r="243" spans="1:27">
      <c r="A243" s="32" t="s">
        <v>136</v>
      </c>
      <c r="B243" s="32"/>
      <c r="C243" s="625">
        <f>'P&amp;L - Concept B3 - NCLH'!E164</f>
        <v>0</v>
      </c>
      <c r="D243" s="625">
        <f>'P&amp;L - Concept B3 - NCLH'!F164</f>
        <v>67225</v>
      </c>
      <c r="E243" s="625">
        <f>'P&amp;L - Concept B3 - NCLH'!G164</f>
        <v>68569.5</v>
      </c>
      <c r="F243" s="625">
        <f>'P&amp;L - Concept B3 - NCLH'!H164</f>
        <v>69940.89</v>
      </c>
      <c r="G243" s="625">
        <f>'P&amp;L - Concept B3 - NCLH'!I164</f>
        <v>71339.707799999989</v>
      </c>
      <c r="H243" s="625">
        <f>'P&amp;L - Concept B3 - NCLH'!J164</f>
        <v>72766.501955999993</v>
      </c>
      <c r="I243" s="625">
        <f>'P&amp;L - Concept B3 - NCLH'!K164</f>
        <v>74221.831995119996</v>
      </c>
      <c r="J243" s="625">
        <f>'P&amp;L - Concept B3 - NCLH'!L164</f>
        <v>75706.26863502241</v>
      </c>
      <c r="K243" s="625">
        <f>'P&amp;L - Concept B3 - NCLH'!M164</f>
        <v>77220.394007722847</v>
      </c>
      <c r="L243" s="625">
        <f>'P&amp;L - Concept B3 - NCLH'!N164</f>
        <v>78764.801887877315</v>
      </c>
      <c r="M243" s="625">
        <f>'P&amp;L - Concept B3 - NCLH'!O164</f>
        <v>80340.097925634866</v>
      </c>
      <c r="N243" s="625">
        <f>'P&amp;L - Concept B3 - NCLH'!P164</f>
        <v>81946.899884147555</v>
      </c>
      <c r="O243" s="625">
        <f>'P&amp;L - Concept B3 - NCLH'!Q164</f>
        <v>83585.837881830506</v>
      </c>
      <c r="P243" s="625">
        <f>'P&amp;L - Concept B3 - NCLH'!R164</f>
        <v>85257.554639467126</v>
      </c>
      <c r="Q243" s="625">
        <f>'P&amp;L - Concept B3 - NCLH'!S164</f>
        <v>86962.705732256451</v>
      </c>
      <c r="R243" s="625">
        <f>'P&amp;L - Concept B3 - NCLH'!T164</f>
        <v>88701.959846901591</v>
      </c>
      <c r="S243" s="625">
        <f>'P&amp;L - Concept B3 - NCLH'!U164</f>
        <v>90475.999043839634</v>
      </c>
      <c r="T243" s="625">
        <f>'P&amp;L - Concept B3 - NCLH'!V164</f>
        <v>92285.519024716428</v>
      </c>
      <c r="U243" s="625">
        <f>'P&amp;L - Concept B3 - NCLH'!W164</f>
        <v>94131.229405210761</v>
      </c>
      <c r="V243" s="625">
        <f>'P&amp;L - Concept B3 - NCLH'!X164</f>
        <v>96013.853993314973</v>
      </c>
      <c r="W243" s="903">
        <f t="shared" si="12"/>
        <v>1535456.5536590624</v>
      </c>
    </row>
    <row r="244" spans="1:27">
      <c r="A244" s="32" t="s">
        <v>127</v>
      </c>
      <c r="B244" s="32"/>
      <c r="C244" s="625">
        <f>SUM('P&amp;L - Concept B3 - NCLH'!E165:E167)</f>
        <v>952995.96</v>
      </c>
      <c r="D244" s="625">
        <f>SUM('P&amp;L - Concept B3 - NCLH'!F165:F167)</f>
        <v>952995.96</v>
      </c>
      <c r="E244" s="625">
        <f>SUM('P&amp;L - Concept B3 - NCLH'!G165:G167)</f>
        <v>952995.96</v>
      </c>
      <c r="F244" s="625">
        <f>SUM('P&amp;L - Concept B3 - NCLH'!H165:H167)</f>
        <v>952995.96</v>
      </c>
      <c r="G244" s="625">
        <f>SUM('P&amp;L - Concept B3 - NCLH'!I165:I167)</f>
        <v>952995.96</v>
      </c>
      <c r="H244" s="625">
        <f>SUM('P&amp;L - Concept B3 - NCLH'!J165:J167)</f>
        <v>952995.96</v>
      </c>
      <c r="I244" s="625">
        <f>SUM('P&amp;L - Concept B3 - NCLH'!K165:K167)</f>
        <v>952995.96</v>
      </c>
      <c r="J244" s="625">
        <f>SUM('P&amp;L - Concept B3 - NCLH'!L165:L167)</f>
        <v>952995.96</v>
      </c>
      <c r="K244" s="625">
        <f>SUM('P&amp;L - Concept B3 - NCLH'!M165:M167)</f>
        <v>952995.96</v>
      </c>
      <c r="L244" s="625">
        <f>SUM('P&amp;L - Concept B3 - NCLH'!N165:N167)</f>
        <v>952995.96</v>
      </c>
      <c r="M244" s="625">
        <f>SUM('P&amp;L - Concept B3 - NCLH'!O165:O167)</f>
        <v>952995.96</v>
      </c>
      <c r="N244" s="625">
        <f>SUM('P&amp;L - Concept B3 - NCLH'!P165:P167)</f>
        <v>952995.96</v>
      </c>
      <c r="O244" s="625">
        <f>SUM('P&amp;L - Concept B3 - NCLH'!Q165:Q167)</f>
        <v>952995.96</v>
      </c>
      <c r="P244" s="625">
        <f>SUM('P&amp;L - Concept B3 - NCLH'!R165:R167)</f>
        <v>952995.96</v>
      </c>
      <c r="Q244" s="625">
        <f>SUM('P&amp;L - Concept B3 - NCLH'!S165:S167)</f>
        <v>952995.96</v>
      </c>
      <c r="R244" s="625">
        <f>SUM('P&amp;L - Concept B3 - NCLH'!T165:T167)</f>
        <v>952995.96</v>
      </c>
      <c r="S244" s="625">
        <f>SUM('P&amp;L - Concept B3 - NCLH'!U165:U167)</f>
        <v>952995.96</v>
      </c>
      <c r="T244" s="625">
        <f>SUM('P&amp;L - Concept B3 - NCLH'!V165:V167)</f>
        <v>952995.96</v>
      </c>
      <c r="U244" s="625">
        <f>SUM('P&amp;L - Concept B3 - NCLH'!W165:W167)</f>
        <v>952995.96</v>
      </c>
      <c r="V244" s="625">
        <f>SUM('P&amp;L - Concept B3 - NCLH'!X165:X167)</f>
        <v>952995.96</v>
      </c>
      <c r="W244" s="903">
        <f t="shared" si="12"/>
        <v>19059919.20000001</v>
      </c>
      <c r="X244" s="900">
        <f>SUM(W243:W244)</f>
        <v>20595375.753659073</v>
      </c>
    </row>
    <row r="245" spans="1:27">
      <c r="A245" s="32"/>
      <c r="B245" s="32"/>
      <c r="C245" s="625"/>
      <c r="D245" s="625"/>
      <c r="E245" s="625"/>
      <c r="F245" s="625"/>
      <c r="G245" s="625"/>
      <c r="H245" s="625"/>
      <c r="I245" s="625"/>
      <c r="J245" s="625"/>
      <c r="K245" s="625"/>
      <c r="L245" s="625"/>
      <c r="M245" s="625"/>
      <c r="N245" s="625"/>
      <c r="O245" s="625"/>
      <c r="P245" s="625"/>
      <c r="Q245" s="625"/>
      <c r="R245" s="625"/>
      <c r="S245" s="625"/>
      <c r="T245" s="625"/>
      <c r="U245" s="625"/>
      <c r="V245" s="625"/>
      <c r="W245" s="903"/>
      <c r="Z245" s="900">
        <f>SUM(W240,W243:W244)</f>
        <v>41832292.745486595</v>
      </c>
    </row>
    <row r="246" spans="1:27">
      <c r="A246" s="32" t="s">
        <v>138</v>
      </c>
      <c r="B246" s="32"/>
      <c r="C246" s="625">
        <f>'P&amp;L - Concept B3 - NCLH'!E170</f>
        <v>-299391.66666666663</v>
      </c>
      <c r="D246" s="625">
        <f>'P&amp;L - Concept B3 - NCLH'!F170</f>
        <v>224940.25143539428</v>
      </c>
      <c r="E246" s="625">
        <f>'P&amp;L - Concept B3 - NCLH'!G170</f>
        <v>345048.02846410219</v>
      </c>
      <c r="F246" s="625">
        <f>'P&amp;L - Concept B3 - NCLH'!H170</f>
        <v>349728.98903338437</v>
      </c>
      <c r="G246" s="625">
        <f>'P&amp;L - Concept B3 - NCLH'!I170</f>
        <v>354503.56881405192</v>
      </c>
      <c r="H246" s="625">
        <f>'P&amp;L - Concept B3 - NCLH'!J170</f>
        <v>574934.01139513275</v>
      </c>
      <c r="I246" s="625">
        <f>'P&amp;L - Concept B3 - NCLH'!K170</f>
        <v>583871.52541340364</v>
      </c>
      <c r="J246" s="625">
        <f>'P&amp;L - Concept B3 - NCLH'!L170</f>
        <v>588450.87092167162</v>
      </c>
      <c r="K246" s="625">
        <f>'P&amp;L - Concept B3 - NCLH'!M170</f>
        <v>593121.80334010534</v>
      </c>
      <c r="L246" s="625">
        <f>'P&amp;L - Concept B3 - NCLH'!N170</f>
        <v>597886.15440690727</v>
      </c>
      <c r="M246" s="625">
        <f>'P&amp;L - Concept B3 - NCLH'!O170</f>
        <v>659918.85220504273</v>
      </c>
      <c r="N246" s="625">
        <f>'P&amp;L - Concept B3 - NCLH'!P170</f>
        <v>669266.18584494619</v>
      </c>
      <c r="O246" s="625">
        <f>'P&amp;L - Concept B3 - NCLH'!Q170</f>
        <v>674322.15331184515</v>
      </c>
      <c r="P246" s="625">
        <f>'P&amp;L - Concept B3 - NCLH'!R170</f>
        <v>679479.24012808187</v>
      </c>
      <c r="Q246" s="625">
        <f>'P&amp;L - Concept B3 - NCLH'!S170</f>
        <v>684739.46868064394</v>
      </c>
      <c r="R246" s="625">
        <f>'P&amp;L - Concept B3 - NCLH'!T170</f>
        <v>747441.39847341843</v>
      </c>
      <c r="S246" s="625">
        <f>'P&amp;L - Concept B3 - NCLH'!U170</f>
        <v>757241.20609034121</v>
      </c>
      <c r="T246" s="625">
        <f>'P&amp;L - Concept B3 - NCLH'!V170</f>
        <v>762823.40271214885</v>
      </c>
      <c r="U246" s="625">
        <f>'P&amp;L - Concept B3 - NCLH'!W170</f>
        <v>768517.24326639203</v>
      </c>
      <c r="V246" s="625">
        <f>'P&amp;L - Concept B3 - NCLH'!X170</f>
        <v>774324.96063171979</v>
      </c>
      <c r="W246" s="903">
        <f t="shared" si="12"/>
        <v>11091167.647902068</v>
      </c>
    </row>
    <row r="247" spans="1:27">
      <c r="A247" s="32"/>
      <c r="B247" s="32"/>
      <c r="C247" s="625"/>
      <c r="D247" s="625"/>
      <c r="E247" s="625"/>
      <c r="F247" s="625"/>
      <c r="G247" s="625"/>
      <c r="H247" s="625"/>
      <c r="I247" s="625"/>
      <c r="J247" s="625"/>
      <c r="K247" s="625"/>
      <c r="L247" s="625"/>
      <c r="M247" s="625"/>
      <c r="N247" s="625"/>
      <c r="O247" s="625"/>
      <c r="P247" s="625"/>
      <c r="Q247" s="625"/>
      <c r="R247" s="625"/>
      <c r="S247" s="625"/>
      <c r="T247" s="625"/>
      <c r="U247" s="627"/>
      <c r="V247" s="627"/>
      <c r="W247" s="903"/>
    </row>
    <row r="248" spans="1:27">
      <c r="A248" s="300" t="s">
        <v>130</v>
      </c>
      <c r="B248" s="300"/>
      <c r="C248" s="628">
        <f>'P&amp;L - Concept B3 - NCLH'!E174</f>
        <v>-1252387.6266666665</v>
      </c>
      <c r="D248" s="628">
        <f>'P&amp;L - Concept B3 - NCLH'!F174</f>
        <v>-728055.70856460568</v>
      </c>
      <c r="E248" s="628">
        <f>'P&amp;L - Concept B3 - NCLH'!G174</f>
        <v>-607947.93153589778</v>
      </c>
      <c r="F248" s="628">
        <f>'P&amp;L - Concept B3 - NCLH'!H174</f>
        <v>-603266.9709666156</v>
      </c>
      <c r="G248" s="628">
        <f>'P&amp;L - Concept B3 - NCLH'!I174</f>
        <v>-598492.39118594804</v>
      </c>
      <c r="H248" s="628">
        <f>'P&amp;L - Concept B3 - NCLH'!J174</f>
        <v>-378061.94860486721</v>
      </c>
      <c r="I248" s="628">
        <f>'P&amp;L - Concept B3 - NCLH'!K174</f>
        <v>-369124.43458659633</v>
      </c>
      <c r="J248" s="628">
        <f>'P&amp;L - Concept B3 - NCLH'!L174</f>
        <v>-364545.08907832834</v>
      </c>
      <c r="K248" s="628">
        <f>'P&amp;L - Concept B3 - NCLH'!M174</f>
        <v>-359874.15665989462</v>
      </c>
      <c r="L248" s="628">
        <f>'P&amp;L - Concept B3 - NCLH'!N174</f>
        <v>-355109.80559309269</v>
      </c>
      <c r="M248" s="628">
        <f>'P&amp;L - Concept B3 - NCLH'!O174</f>
        <v>-293077.10779495724</v>
      </c>
      <c r="N248" s="628">
        <f>'P&amp;L - Concept B3 - NCLH'!P174</f>
        <v>-283729.77415505378</v>
      </c>
      <c r="O248" s="628">
        <f>'P&amp;L - Concept B3 - NCLH'!Q174</f>
        <v>-278673.80668815481</v>
      </c>
      <c r="P248" s="628">
        <f>'P&amp;L - Concept B3 - NCLH'!R174</f>
        <v>-273516.71987191809</v>
      </c>
      <c r="Q248" s="628">
        <f>'P&amp;L - Concept B3 - NCLH'!S174</f>
        <v>-268256.49131935602</v>
      </c>
      <c r="R248" s="628">
        <f>'P&amp;L - Concept B3 - NCLH'!T174</f>
        <v>-205554.56152658153</v>
      </c>
      <c r="S248" s="628">
        <f>'P&amp;L - Concept B3 - NCLH'!U174</f>
        <v>-195754.75390965876</v>
      </c>
      <c r="T248" s="628">
        <f>'P&amp;L - Concept B3 - NCLH'!V174</f>
        <v>-190172.55728785112</v>
      </c>
      <c r="U248" s="628">
        <f>'P&amp;L - Concept B3 - NCLH'!W174</f>
        <v>-184478.71673360793</v>
      </c>
      <c r="V248" s="628">
        <f>'P&amp;L - Concept B3 - NCLH'!X174</f>
        <v>-178670.99936828017</v>
      </c>
      <c r="W248" s="1057">
        <f>SUM(C248:V248)</f>
        <v>-7968751.5520979334</v>
      </c>
    </row>
    <row r="249" spans="1:27">
      <c r="A249" s="32" t="s">
        <v>404</v>
      </c>
      <c r="B249" s="16" t="e">
        <f>'P&amp;L - Concept B3 - NCLH'!B175</f>
        <v>#NUM!</v>
      </c>
      <c r="C249" s="629"/>
      <c r="D249" s="629"/>
      <c r="E249" s="629"/>
      <c r="F249" s="629"/>
      <c r="G249" s="629"/>
      <c r="H249" s="629"/>
      <c r="I249" s="629"/>
      <c r="J249" s="629"/>
      <c r="K249" s="629"/>
      <c r="L249" s="629"/>
      <c r="M249" s="629"/>
      <c r="N249" s="629"/>
      <c r="O249" s="629"/>
      <c r="P249" s="629"/>
      <c r="Q249" s="629"/>
      <c r="R249" s="629"/>
      <c r="S249" s="629"/>
      <c r="T249" s="629"/>
      <c r="U249" s="629"/>
      <c r="V249" s="629"/>
    </row>
    <row r="250" spans="1:27">
      <c r="A250" s="131"/>
      <c r="B250" s="131"/>
      <c r="C250" s="630"/>
      <c r="D250" s="630"/>
      <c r="E250" s="630"/>
      <c r="F250" s="630"/>
      <c r="G250" s="630"/>
      <c r="H250" s="630"/>
      <c r="I250" s="630"/>
      <c r="J250" s="630"/>
      <c r="K250" s="630"/>
      <c r="L250" s="630"/>
      <c r="M250" s="630"/>
      <c r="N250" s="630"/>
      <c r="O250" s="630"/>
      <c r="P250" s="630"/>
      <c r="Q250" s="630"/>
      <c r="R250" s="630"/>
      <c r="S250" s="630"/>
      <c r="T250" s="630"/>
      <c r="U250" s="630"/>
      <c r="V250" s="630"/>
      <c r="AA250" s="900">
        <f>W248+3600000</f>
        <v>-4368751.5520979334</v>
      </c>
    </row>
    <row r="251" spans="1:27" s="32" customFormat="1">
      <c r="C251" s="625"/>
      <c r="D251" s="625"/>
      <c r="E251" s="625"/>
      <c r="F251" s="625"/>
      <c r="G251" s="625"/>
      <c r="H251" s="625"/>
      <c r="I251" s="625"/>
      <c r="J251" s="625"/>
      <c r="K251" s="625"/>
      <c r="L251" s="625"/>
      <c r="M251" s="625"/>
      <c r="N251" s="625"/>
      <c r="O251" s="625"/>
      <c r="P251" s="625"/>
      <c r="Q251" s="625"/>
      <c r="R251" s="625"/>
      <c r="S251" s="625"/>
      <c r="T251" s="625"/>
      <c r="U251" s="625"/>
      <c r="V251" s="625"/>
      <c r="W251" s="905"/>
      <c r="X251" s="904"/>
      <c r="Y251" s="904"/>
      <c r="Z251" s="904"/>
      <c r="AA251" s="904"/>
    </row>
    <row r="252" spans="1:27" s="32" customFormat="1">
      <c r="A252" s="47" t="s">
        <v>7</v>
      </c>
      <c r="B252" s="47"/>
      <c r="C252" s="47" t="s">
        <v>7</v>
      </c>
      <c r="D252" s="47" t="s">
        <v>7</v>
      </c>
      <c r="E252" s="47" t="s">
        <v>7</v>
      </c>
      <c r="F252" s="47" t="s">
        <v>7</v>
      </c>
      <c r="G252" s="47" t="s">
        <v>7</v>
      </c>
      <c r="H252" s="47" t="s">
        <v>7</v>
      </c>
      <c r="I252" s="47" t="s">
        <v>7</v>
      </c>
      <c r="J252" s="47" t="s">
        <v>7</v>
      </c>
      <c r="K252" s="47" t="s">
        <v>7</v>
      </c>
      <c r="L252" s="47" t="s">
        <v>7</v>
      </c>
      <c r="M252" s="47" t="s">
        <v>7</v>
      </c>
      <c r="N252" s="47" t="s">
        <v>7</v>
      </c>
      <c r="O252" s="47" t="s">
        <v>7</v>
      </c>
      <c r="P252" s="47" t="s">
        <v>7</v>
      </c>
      <c r="Q252" s="47" t="s">
        <v>7</v>
      </c>
      <c r="R252" s="47" t="s">
        <v>7</v>
      </c>
      <c r="S252" s="47" t="s">
        <v>7</v>
      </c>
      <c r="T252" s="47" t="s">
        <v>7</v>
      </c>
      <c r="U252" s="47" t="s">
        <v>7</v>
      </c>
      <c r="V252" s="47" t="s">
        <v>7</v>
      </c>
      <c r="W252" s="905"/>
      <c r="X252" s="904"/>
      <c r="Y252" s="904"/>
      <c r="Z252" s="904"/>
      <c r="AA252" s="904"/>
    </row>
    <row r="253" spans="1:27">
      <c r="C253" s="629"/>
      <c r="D253" s="629"/>
      <c r="E253" s="629"/>
      <c r="F253" s="629"/>
      <c r="G253" s="629"/>
      <c r="H253" s="629"/>
      <c r="I253" s="629"/>
      <c r="J253" s="629"/>
      <c r="K253" s="629"/>
      <c r="L253" s="629"/>
      <c r="M253" s="629"/>
      <c r="N253" s="629"/>
      <c r="O253" s="629"/>
      <c r="P253" s="629"/>
      <c r="Q253" s="629"/>
      <c r="R253" s="629"/>
      <c r="S253" s="629"/>
      <c r="T253" s="629"/>
      <c r="U253" s="629"/>
      <c r="V253" s="629"/>
    </row>
    <row r="254" spans="1:27">
      <c r="A254" s="29"/>
      <c r="B254" s="72"/>
      <c r="C254" s="71">
        <v>2019</v>
      </c>
      <c r="D254" s="71">
        <v>2020</v>
      </c>
      <c r="E254" s="71">
        <v>2021</v>
      </c>
      <c r="F254" s="71">
        <v>2022</v>
      </c>
      <c r="G254" s="71">
        <v>2023</v>
      </c>
      <c r="H254" s="71">
        <v>2024</v>
      </c>
      <c r="I254" s="71">
        <v>2025</v>
      </c>
      <c r="J254" s="71">
        <v>2026</v>
      </c>
      <c r="K254" s="71">
        <v>2027</v>
      </c>
      <c r="L254" s="71">
        <v>2028</v>
      </c>
      <c r="M254" s="71">
        <v>2029</v>
      </c>
      <c r="N254" s="71">
        <v>2030</v>
      </c>
      <c r="O254" s="71">
        <v>2031</v>
      </c>
      <c r="P254" s="71">
        <v>2032</v>
      </c>
      <c r="Q254" s="71">
        <v>2033</v>
      </c>
      <c r="R254" s="71">
        <v>2034</v>
      </c>
      <c r="S254" s="71">
        <v>2035</v>
      </c>
      <c r="T254" s="71">
        <v>2036</v>
      </c>
      <c r="U254" s="71">
        <v>2037</v>
      </c>
      <c r="V254" s="71">
        <v>2038</v>
      </c>
    </row>
    <row r="255" spans="1:27">
      <c r="C255" s="629"/>
      <c r="D255" s="629"/>
      <c r="E255" s="629"/>
      <c r="F255" s="629"/>
      <c r="G255" s="629"/>
      <c r="H255" s="629"/>
      <c r="I255" s="629"/>
      <c r="J255" s="629"/>
      <c r="K255" s="629"/>
      <c r="L255" s="629"/>
      <c r="M255" s="629"/>
      <c r="N255" s="629"/>
      <c r="O255" s="629"/>
      <c r="P255" s="629"/>
      <c r="Q255" s="629"/>
      <c r="R255" s="629"/>
      <c r="S255" s="629"/>
      <c r="T255" s="629"/>
      <c r="U255" s="629"/>
      <c r="V255" s="629"/>
    </row>
    <row r="256" spans="1:27" s="341" customFormat="1">
      <c r="A256" s="887" t="s">
        <v>386</v>
      </c>
      <c r="B256" s="887"/>
      <c r="C256" s="888"/>
      <c r="D256" s="888"/>
      <c r="E256" s="888"/>
      <c r="F256" s="888"/>
      <c r="G256" s="888"/>
      <c r="H256" s="888"/>
      <c r="I256" s="888"/>
      <c r="J256" s="888"/>
      <c r="K256" s="888"/>
      <c r="L256" s="888"/>
      <c r="M256" s="888"/>
      <c r="N256" s="888"/>
      <c r="O256" s="888"/>
      <c r="P256" s="888"/>
      <c r="Q256" s="888"/>
      <c r="R256" s="888"/>
      <c r="S256" s="888"/>
      <c r="T256" s="888"/>
      <c r="U256" s="888"/>
      <c r="V256" s="888"/>
      <c r="W256" s="910"/>
      <c r="X256" s="912"/>
      <c r="Y256" s="912"/>
      <c r="Z256" s="912"/>
      <c r="AA256" s="912"/>
    </row>
    <row r="257" spans="1:27" s="341" customFormat="1">
      <c r="A257" s="573"/>
      <c r="B257" s="573"/>
      <c r="C257" s="889"/>
      <c r="D257" s="889"/>
      <c r="E257" s="889"/>
      <c r="F257" s="889"/>
      <c r="G257" s="889"/>
      <c r="H257" s="889"/>
      <c r="I257" s="889"/>
      <c r="J257" s="889"/>
      <c r="K257" s="889"/>
      <c r="L257" s="889"/>
      <c r="M257" s="889"/>
      <c r="N257" s="889"/>
      <c r="O257" s="889"/>
      <c r="P257" s="889"/>
      <c r="Q257" s="889"/>
      <c r="R257" s="889"/>
      <c r="S257" s="889"/>
      <c r="T257" s="889"/>
      <c r="U257" s="889"/>
      <c r="V257" s="889"/>
      <c r="W257" s="910"/>
      <c r="X257" s="912"/>
      <c r="Y257" s="912"/>
      <c r="Z257" s="912"/>
      <c r="AA257" s="912"/>
    </row>
    <row r="258" spans="1:27" s="341" customFormat="1">
      <c r="A258" s="561" t="s">
        <v>148</v>
      </c>
      <c r="B258" s="561"/>
      <c r="C258" s="890">
        <f>'P&amp;L - Concept B3 - ALL'!E119</f>
        <v>58025</v>
      </c>
      <c r="D258" s="890">
        <f>'P&amp;L - Concept B3 - ALL'!F119</f>
        <v>1999897.1717937503</v>
      </c>
      <c r="E258" s="890">
        <f>'P&amp;L - Concept B3 - ALL'!G119</f>
        <v>2156627.5152296247</v>
      </c>
      <c r="F258" s="890">
        <f>'P&amp;L - Concept B3 - ALL'!H119</f>
        <v>2197540.0655342173</v>
      </c>
      <c r="G258" s="890">
        <f>'P&amp;L - Concept B3 - ALL'!I119</f>
        <v>2239270.8668449018</v>
      </c>
      <c r="H258" s="890">
        <f>'P&amp;L - Concept B3 - ALL'!J119</f>
        <v>2525740.5341817997</v>
      </c>
      <c r="I258" s="890">
        <f>'P&amp;L - Concept B3 - ALL'!K119</f>
        <v>2569157.2598654362</v>
      </c>
      <c r="J258" s="890">
        <f>'P&amp;L - Concept B3 - ALL'!L119</f>
        <v>2613442.3200627449</v>
      </c>
      <c r="K258" s="890">
        <f>'P&amp;L - Concept B3 - ALL'!M119</f>
        <v>2658613.081464</v>
      </c>
      <c r="L258" s="890">
        <f>'P&amp;L - Concept B3 - ALL'!N119</f>
        <v>2704687.2580932793</v>
      </c>
      <c r="M258" s="890">
        <f>'P&amp;L - Concept B3 - ALL'!O119</f>
        <v>2813246.4807551457</v>
      </c>
      <c r="N258" s="890">
        <f>'P&amp;L - Concept B3 - ALL'!P119</f>
        <v>2861182.0541202482</v>
      </c>
      <c r="O258" s="890">
        <f>'P&amp;L - Concept B3 - ALL'!Q119</f>
        <v>2910076.3389526531</v>
      </c>
      <c r="P258" s="890">
        <f>'P&amp;L - Concept B3 - ALL'!R119</f>
        <v>2959948.5094817067</v>
      </c>
      <c r="Q258" s="890">
        <f>'P&amp;L - Concept B3 - ALL'!S119</f>
        <v>3010818.1234213412</v>
      </c>
      <c r="R258" s="890">
        <f>'P&amp;L - Concept B3 - ALL'!T119</f>
        <v>3124368.6921397676</v>
      </c>
      <c r="S258" s="890">
        <f>'P&amp;L - Concept B3 - ALL'!U119</f>
        <v>3177293.438482563</v>
      </c>
      <c r="T258" s="890">
        <f>'P&amp;L - Concept B3 - ALL'!V119</f>
        <v>3231276.6797522139</v>
      </c>
      <c r="U258" s="890">
        <f>'P&amp;L - Concept B3 - ALL'!W119</f>
        <v>3286339.5858472586</v>
      </c>
      <c r="V258" s="890">
        <f>'P&amp;L - Concept B3 - ALL'!X119</f>
        <v>3342503.7500642035</v>
      </c>
      <c r="W258" s="914">
        <f t="shared" ref="W258:W265" si="13">SUM(C258:V258)</f>
        <v>52440054.726086855</v>
      </c>
      <c r="X258" s="912"/>
      <c r="Y258" s="912"/>
      <c r="Z258" s="912"/>
      <c r="AA258" s="912"/>
    </row>
    <row r="259" spans="1:27" s="341" customFormat="1">
      <c r="A259" s="891" t="s">
        <v>140</v>
      </c>
      <c r="B259" s="891"/>
      <c r="C259" s="892">
        <f>'P&amp;L - Concept B3 - ALL'!E152</f>
        <v>357416.66666666663</v>
      </c>
      <c r="D259" s="892">
        <f>'P&amp;L - Concept B3 - ALL'!F152</f>
        <v>894419.34615384613</v>
      </c>
      <c r="E259" s="892">
        <f>'P&amp;L - Concept B3 - ALL'!G152</f>
        <v>913431.16107692313</v>
      </c>
      <c r="F259" s="892">
        <f>'P&amp;L - Concept B3 - ALL'!H152</f>
        <v>931699.7842984614</v>
      </c>
      <c r="G259" s="892">
        <f>'P&amp;L - Concept B3 - ALL'!I152</f>
        <v>950333.77998443076</v>
      </c>
      <c r="H259" s="892">
        <f>'P&amp;L - Concept B3 - ALL'!J152</f>
        <v>997684.33437931945</v>
      </c>
      <c r="I259" s="892">
        <f>'P&amp;L - Concept B3 - ALL'!K152</f>
        <v>1013101.1022765377</v>
      </c>
      <c r="J259" s="892">
        <f>'P&amp;L - Concept B3 - ALL'!L152</f>
        <v>1033363.1243220684</v>
      </c>
      <c r="K259" s="892">
        <f>'P&amp;L - Concept B3 - ALL'!M152</f>
        <v>1054030.3868085099</v>
      </c>
      <c r="L259" s="892">
        <f>'P&amp;L - Concept B3 - ALL'!N152</f>
        <v>1075110.9945446802</v>
      </c>
      <c r="M259" s="892">
        <f>'P&amp;L - Concept B3 - ALL'!O152</f>
        <v>1101003.7172255765</v>
      </c>
      <c r="N259" s="892">
        <f>'P&amp;L - Concept B3 - ALL'!P152</f>
        <v>1118545.4787242855</v>
      </c>
      <c r="O259" s="892">
        <f>'P&amp;L - Concept B3 - ALL'!Q152</f>
        <v>1140916.3882987711</v>
      </c>
      <c r="P259" s="892">
        <f>'P&amp;L - Concept B3 - ALL'!R152</f>
        <v>1163734.7160647465</v>
      </c>
      <c r="Q259" s="892">
        <f>'P&amp;L - Concept B3 - ALL'!S152</f>
        <v>1187009.4103860413</v>
      </c>
      <c r="R259" s="892">
        <f>'P&amp;L - Concept B3 - ALL'!T152</f>
        <v>1215076.6644246001</v>
      </c>
      <c r="S259" s="892">
        <f>'P&amp;L - Concept B3 - ALL'!U152</f>
        <v>1234964.5905656377</v>
      </c>
      <c r="T259" s="892">
        <f>'P&amp;L - Concept B3 - ALL'!V152</f>
        <v>1259663.8823769502</v>
      </c>
      <c r="U259" s="892">
        <f>'P&amp;L - Concept B3 - ALL'!W152</f>
        <v>1284857.1600244893</v>
      </c>
      <c r="V259" s="892">
        <f>'P&amp;L - Concept B3 - ALL'!X152</f>
        <v>1310554.3032249792</v>
      </c>
      <c r="W259" s="914">
        <f t="shared" si="13"/>
        <v>21236916.991827521</v>
      </c>
      <c r="X259" s="912"/>
      <c r="Y259" s="912"/>
      <c r="Z259" s="912"/>
      <c r="AA259" s="912"/>
    </row>
    <row r="260" spans="1:27" s="341" customFormat="1">
      <c r="A260" s="573" t="s">
        <v>116</v>
      </c>
      <c r="B260" s="573"/>
      <c r="C260" s="890">
        <f>'P&amp;L - Concept B3 - ALL'!E156</f>
        <v>-299391.66666666663</v>
      </c>
      <c r="D260" s="890">
        <f>'P&amp;L - Concept B3 - ALL'!F156</f>
        <v>1105477.825639904</v>
      </c>
      <c r="E260" s="890">
        <f>'P&amp;L - Concept B3 - ALL'!G156</f>
        <v>1243196.3541527016</v>
      </c>
      <c r="F260" s="890">
        <f>'P&amp;L - Concept B3 - ALL'!H156</f>
        <v>1265840.2812357559</v>
      </c>
      <c r="G260" s="890">
        <f>'P&amp;L - Concept B3 - ALL'!I156</f>
        <v>1288937.0868604709</v>
      </c>
      <c r="H260" s="890">
        <f>'P&amp;L - Concept B3 - ALL'!J156</f>
        <v>1528056.1998024802</v>
      </c>
      <c r="I260" s="890">
        <f>'P&amp;L - Concept B3 - ALL'!K156</f>
        <v>1556056.1575888987</v>
      </c>
      <c r="J260" s="890">
        <f>'P&amp;L - Concept B3 - ALL'!L156</f>
        <v>1580079.1957406765</v>
      </c>
      <c r="K260" s="890">
        <f>'P&amp;L - Concept B3 - ALL'!M156</f>
        <v>1604582.6946554901</v>
      </c>
      <c r="L260" s="890">
        <f>'P&amp;L - Concept B3 - ALL'!N156</f>
        <v>1629576.2635485991</v>
      </c>
      <c r="M260" s="890">
        <f>'P&amp;L - Concept B3 - ALL'!O156</f>
        <v>1712242.7635295691</v>
      </c>
      <c r="N260" s="890">
        <f>'P&amp;L - Concept B3 - ALL'!P156</f>
        <v>1742636.5753959627</v>
      </c>
      <c r="O260" s="890">
        <f>'P&amp;L - Concept B3 - ALL'!Q156</f>
        <v>1769159.950653882</v>
      </c>
      <c r="P260" s="890">
        <f>'P&amp;L - Concept B3 - ALL'!R156</f>
        <v>1796213.7934169602</v>
      </c>
      <c r="Q260" s="890">
        <f>'P&amp;L - Concept B3 - ALL'!S156</f>
        <v>1823808.7130352999</v>
      </c>
      <c r="R260" s="890">
        <f>'P&amp;L - Concept B3 - ALL'!T156</f>
        <v>1909292.0277151675</v>
      </c>
      <c r="S260" s="890">
        <f>'P&amp;L - Concept B3 - ALL'!U156</f>
        <v>1942328.8479169253</v>
      </c>
      <c r="T260" s="890">
        <f>'P&amp;L - Concept B3 - ALL'!V156</f>
        <v>1971612.7973752636</v>
      </c>
      <c r="U260" s="890">
        <f>'P&amp;L - Concept B3 - ALL'!W156</f>
        <v>2001482.4258227693</v>
      </c>
      <c r="V260" s="890">
        <f>'P&amp;L - Concept B3 - ALL'!X156</f>
        <v>2031949.4468392243</v>
      </c>
      <c r="W260" s="914">
        <f t="shared" si="13"/>
        <v>31203137.73425933</v>
      </c>
      <c r="X260" s="912"/>
      <c r="Y260" s="912"/>
      <c r="Z260" s="912"/>
      <c r="AA260" s="912"/>
    </row>
    <row r="261" spans="1:27" s="341" customFormat="1">
      <c r="A261" s="561"/>
      <c r="B261" s="561"/>
      <c r="C261" s="890"/>
      <c r="D261" s="890"/>
      <c r="E261" s="890"/>
      <c r="F261" s="890"/>
      <c r="G261" s="890"/>
      <c r="H261" s="890"/>
      <c r="I261" s="890"/>
      <c r="J261" s="890"/>
      <c r="K261" s="890"/>
      <c r="L261" s="890"/>
      <c r="M261" s="890"/>
      <c r="N261" s="890"/>
      <c r="O261" s="890"/>
      <c r="P261" s="890"/>
      <c r="Q261" s="890"/>
      <c r="R261" s="890"/>
      <c r="S261" s="890"/>
      <c r="T261" s="890"/>
      <c r="U261" s="890"/>
      <c r="V261" s="890"/>
      <c r="W261" s="914"/>
      <c r="X261" s="912"/>
      <c r="Y261" s="912"/>
      <c r="Z261" s="912"/>
      <c r="AA261" s="912"/>
    </row>
    <row r="262" spans="1:27" s="341" customFormat="1">
      <c r="A262" s="561" t="s">
        <v>136</v>
      </c>
      <c r="B262" s="561"/>
      <c r="C262" s="890">
        <f>'P&amp;L - Concept B3 - ALL'!E164</f>
        <v>0</v>
      </c>
      <c r="D262" s="890">
        <f>'P&amp;L - Concept B3 - ALL'!F164</f>
        <v>67225</v>
      </c>
      <c r="E262" s="890">
        <f>'P&amp;L - Concept B3 - ALL'!G164</f>
        <v>68569.5</v>
      </c>
      <c r="F262" s="890">
        <f>'P&amp;L - Concept B3 - ALL'!H164</f>
        <v>69940.89</v>
      </c>
      <c r="G262" s="890">
        <f>'P&amp;L - Concept B3 - ALL'!I164</f>
        <v>71339.707799999989</v>
      </c>
      <c r="H262" s="890">
        <f>'P&amp;L - Concept B3 - ALL'!J164</f>
        <v>72766.501955999993</v>
      </c>
      <c r="I262" s="890">
        <f>'P&amp;L - Concept B3 - ALL'!K164</f>
        <v>74221.831995119996</v>
      </c>
      <c r="J262" s="890">
        <f>'P&amp;L - Concept B3 - ALL'!L164</f>
        <v>75706.26863502241</v>
      </c>
      <c r="K262" s="890">
        <f>'P&amp;L - Concept B3 - ALL'!M164</f>
        <v>77220.394007722847</v>
      </c>
      <c r="L262" s="890">
        <f>'P&amp;L - Concept B3 - ALL'!N164</f>
        <v>78764.801887877315</v>
      </c>
      <c r="M262" s="890">
        <f>'P&amp;L - Concept B3 - ALL'!O164</f>
        <v>80340.097925634866</v>
      </c>
      <c r="N262" s="890">
        <f>'P&amp;L - Concept B3 - ALL'!P164</f>
        <v>81946.899884147555</v>
      </c>
      <c r="O262" s="890">
        <f>'P&amp;L - Concept B3 - ALL'!Q164</f>
        <v>83585.837881830506</v>
      </c>
      <c r="P262" s="890">
        <f>'P&amp;L - Concept B3 - ALL'!R164</f>
        <v>85257.554639467126</v>
      </c>
      <c r="Q262" s="890">
        <f>'P&amp;L - Concept B3 - ALL'!S164</f>
        <v>86962.705732256451</v>
      </c>
      <c r="R262" s="890">
        <f>'P&amp;L - Concept B3 - ALL'!T164</f>
        <v>88701.959846901591</v>
      </c>
      <c r="S262" s="890">
        <f>'P&amp;L - Concept B3 - ALL'!U164</f>
        <v>90475.999043839634</v>
      </c>
      <c r="T262" s="890">
        <f>'P&amp;L - Concept B3 - ALL'!V164</f>
        <v>92285.519024716428</v>
      </c>
      <c r="U262" s="890">
        <f>'P&amp;L - Concept B3 - ALL'!W164</f>
        <v>94131.229405210761</v>
      </c>
      <c r="V262" s="890">
        <f>'P&amp;L - Concept B3 - ALL'!X164</f>
        <v>96013.853993314973</v>
      </c>
      <c r="W262" s="914">
        <f t="shared" si="13"/>
        <v>1535456.5536590624</v>
      </c>
      <c r="X262" s="912"/>
      <c r="Y262" s="912"/>
      <c r="Z262" s="912"/>
      <c r="AA262" s="912"/>
    </row>
    <row r="263" spans="1:27" s="341" customFormat="1">
      <c r="A263" s="561" t="s">
        <v>127</v>
      </c>
      <c r="B263" s="561"/>
      <c r="C263" s="890">
        <f>SUM('P&amp;L - Concept B3 - ALL'!E165:E167)</f>
        <v>952995.96</v>
      </c>
      <c r="D263" s="890">
        <f>SUM('P&amp;L - Concept B3 - ALL'!F165:F167)</f>
        <v>952995.96</v>
      </c>
      <c r="E263" s="890">
        <f>SUM('P&amp;L - Concept B3 - ALL'!G165:G167)</f>
        <v>952995.96</v>
      </c>
      <c r="F263" s="890">
        <f>SUM('P&amp;L - Concept B3 - ALL'!H165:H167)</f>
        <v>952995.96</v>
      </c>
      <c r="G263" s="890">
        <f>SUM('P&amp;L - Concept B3 - ALL'!I165:I167)</f>
        <v>952995.96</v>
      </c>
      <c r="H263" s="890">
        <f>SUM('P&amp;L - Concept B3 - ALL'!J165:J167)</f>
        <v>952995.96</v>
      </c>
      <c r="I263" s="890">
        <f>SUM('P&amp;L - Concept B3 - ALL'!K165:K167)</f>
        <v>952995.96</v>
      </c>
      <c r="J263" s="890">
        <f>SUM('P&amp;L - Concept B3 - ALL'!L165:L167)</f>
        <v>952995.96</v>
      </c>
      <c r="K263" s="890">
        <f>SUM('P&amp;L - Concept B3 - ALL'!M165:M167)</f>
        <v>952995.96</v>
      </c>
      <c r="L263" s="890">
        <f>SUM('P&amp;L - Concept B3 - ALL'!N165:N167)</f>
        <v>952995.96</v>
      </c>
      <c r="M263" s="890">
        <f>SUM('P&amp;L - Concept B3 - ALL'!O165:O167)</f>
        <v>952995.96</v>
      </c>
      <c r="N263" s="890">
        <f>SUM('P&amp;L - Concept B3 - ALL'!P165:P167)</f>
        <v>952995.96</v>
      </c>
      <c r="O263" s="890">
        <f>SUM('P&amp;L - Concept B3 - ALL'!Q165:Q167)</f>
        <v>952995.96</v>
      </c>
      <c r="P263" s="890">
        <f>SUM('P&amp;L - Concept B3 - ALL'!R165:R167)</f>
        <v>952995.96</v>
      </c>
      <c r="Q263" s="890">
        <f>SUM('P&amp;L - Concept B3 - ALL'!S165:S167)</f>
        <v>952995.96</v>
      </c>
      <c r="R263" s="890">
        <f>SUM('P&amp;L - Concept B3 - ALL'!T165:T167)</f>
        <v>952995.96</v>
      </c>
      <c r="S263" s="890">
        <f>SUM('P&amp;L - Concept B3 - ALL'!U165:U167)</f>
        <v>952995.96</v>
      </c>
      <c r="T263" s="890">
        <f>SUM('P&amp;L - Concept B3 - ALL'!V165:V167)</f>
        <v>952995.96</v>
      </c>
      <c r="U263" s="890">
        <f>SUM('P&amp;L - Concept B3 - ALL'!W165:W167)</f>
        <v>952995.96</v>
      </c>
      <c r="V263" s="890">
        <f>SUM('P&amp;L - Concept B3 - ALL'!X165:X167)</f>
        <v>952995.96</v>
      </c>
      <c r="W263" s="914">
        <f t="shared" si="13"/>
        <v>19059919.20000001</v>
      </c>
      <c r="X263" s="912">
        <f>SUM(W262:W263)</f>
        <v>20595375.753659073</v>
      </c>
      <c r="Y263" s="912"/>
      <c r="Z263" s="912"/>
      <c r="AA263" s="912"/>
    </row>
    <row r="264" spans="1:27" s="341" customFormat="1">
      <c r="A264" s="561"/>
      <c r="B264" s="561"/>
      <c r="C264" s="890"/>
      <c r="D264" s="890"/>
      <c r="E264" s="890"/>
      <c r="F264" s="890"/>
      <c r="G264" s="890"/>
      <c r="H264" s="890"/>
      <c r="I264" s="890"/>
      <c r="J264" s="890"/>
      <c r="K264" s="890"/>
      <c r="L264" s="890"/>
      <c r="M264" s="890"/>
      <c r="N264" s="890"/>
      <c r="O264" s="890"/>
      <c r="P264" s="890"/>
      <c r="Q264" s="890"/>
      <c r="R264" s="890"/>
      <c r="S264" s="890"/>
      <c r="T264" s="890"/>
      <c r="U264" s="890"/>
      <c r="V264" s="890"/>
      <c r="W264" s="914"/>
      <c r="X264" s="912"/>
      <c r="Y264" s="912"/>
      <c r="Z264" s="912"/>
      <c r="AA264" s="912"/>
    </row>
    <row r="265" spans="1:27" s="341" customFormat="1">
      <c r="A265" s="561" t="s">
        <v>138</v>
      </c>
      <c r="B265" s="561"/>
      <c r="C265" s="890">
        <f>'P&amp;L - Concept B3 - ALL'!E170</f>
        <v>-299391.66666666663</v>
      </c>
      <c r="D265" s="890">
        <f>'P&amp;L - Concept B3 - ALL'!F170</f>
        <v>1038252.825639904</v>
      </c>
      <c r="E265" s="890">
        <f>'P&amp;L - Concept B3 - ALL'!G170</f>
        <v>1174626.8541527016</v>
      </c>
      <c r="F265" s="890">
        <f>'P&amp;L - Concept B3 - ALL'!H170</f>
        <v>1195899.391235756</v>
      </c>
      <c r="G265" s="890">
        <f>'P&amp;L - Concept B3 - ALL'!I170</f>
        <v>1217597.379060471</v>
      </c>
      <c r="H265" s="890">
        <f>'P&amp;L - Concept B3 - ALL'!J170</f>
        <v>1455289.6978464802</v>
      </c>
      <c r="I265" s="890">
        <f>'P&amp;L - Concept B3 - ALL'!K170</f>
        <v>1481834.3255937786</v>
      </c>
      <c r="J265" s="890">
        <f>'P&amp;L - Concept B3 - ALL'!L170</f>
        <v>1504372.927105654</v>
      </c>
      <c r="K265" s="890">
        <f>'P&amp;L - Concept B3 - ALL'!M170</f>
        <v>1527362.3006477673</v>
      </c>
      <c r="L265" s="890">
        <f>'P&amp;L - Concept B3 - ALL'!N170</f>
        <v>1550811.4616607218</v>
      </c>
      <c r="M265" s="890">
        <f>'P&amp;L - Concept B3 - ALL'!O170</f>
        <v>1631902.6656039343</v>
      </c>
      <c r="N265" s="890">
        <f>'P&amp;L - Concept B3 - ALL'!P170</f>
        <v>1660689.6755118151</v>
      </c>
      <c r="O265" s="890">
        <f>'P&amp;L - Concept B3 - ALL'!Q170</f>
        <v>1685574.1127720515</v>
      </c>
      <c r="P265" s="890">
        <f>'P&amp;L - Concept B3 - ALL'!R170</f>
        <v>1710956.2387774931</v>
      </c>
      <c r="Q265" s="890">
        <f>'P&amp;L - Concept B3 - ALL'!S170</f>
        <v>1736846.0073030435</v>
      </c>
      <c r="R265" s="890">
        <f>'P&amp;L - Concept B3 - ALL'!T170</f>
        <v>1820590.0678682658</v>
      </c>
      <c r="S265" s="890">
        <f>'P&amp;L - Concept B3 - ALL'!U170</f>
        <v>1851852.8488730858</v>
      </c>
      <c r="T265" s="890">
        <f>'P&amp;L - Concept B3 - ALL'!V170</f>
        <v>1879327.2783505472</v>
      </c>
      <c r="U265" s="890">
        <f>'P&amp;L - Concept B3 - ALL'!W170</f>
        <v>1907351.1964175585</v>
      </c>
      <c r="V265" s="890">
        <f>'P&amp;L - Concept B3 - ALL'!X170</f>
        <v>1935935.5928459093</v>
      </c>
      <c r="W265" s="914">
        <f t="shared" si="13"/>
        <v>29667681.180600274</v>
      </c>
      <c r="X265" s="912"/>
      <c r="Y265" s="912"/>
      <c r="Z265" s="912"/>
      <c r="AA265" s="912"/>
    </row>
    <row r="266" spans="1:27" s="341" customFormat="1">
      <c r="A266" s="561"/>
      <c r="B266" s="561"/>
      <c r="C266" s="890"/>
      <c r="D266" s="890"/>
      <c r="E266" s="890"/>
      <c r="F266" s="890"/>
      <c r="G266" s="890"/>
      <c r="H266" s="890"/>
      <c r="I266" s="890"/>
      <c r="J266" s="890"/>
      <c r="K266" s="890"/>
      <c r="L266" s="890"/>
      <c r="M266" s="890"/>
      <c r="N266" s="890"/>
      <c r="O266" s="890"/>
      <c r="P266" s="890"/>
      <c r="Q266" s="890"/>
      <c r="R266" s="890"/>
      <c r="S266" s="890"/>
      <c r="T266" s="890"/>
      <c r="U266" s="890"/>
      <c r="V266" s="890"/>
      <c r="W266" s="914"/>
      <c r="X266" s="912"/>
      <c r="Y266" s="912"/>
      <c r="Z266" s="912"/>
      <c r="AA266" s="912"/>
    </row>
    <row r="267" spans="1:27" s="341" customFormat="1">
      <c r="A267" s="893" t="s">
        <v>130</v>
      </c>
      <c r="B267" s="893"/>
      <c r="C267" s="894">
        <f>'P&amp;L - Concept B3 - ALL'!E174</f>
        <v>-1252387.6266666665</v>
      </c>
      <c r="D267" s="894">
        <f>'P&amp;L - Concept B3 - ALL'!F174</f>
        <v>85256.865639904048</v>
      </c>
      <c r="E267" s="894">
        <f>'P&amp;L - Concept B3 - ALL'!G174</f>
        <v>221630.8941527016</v>
      </c>
      <c r="F267" s="894">
        <f>'P&amp;L - Concept B3 - ALL'!H174</f>
        <v>242903.43123575591</v>
      </c>
      <c r="G267" s="894">
        <f>'P&amp;L - Concept B3 - ALL'!I174</f>
        <v>264601.419060471</v>
      </c>
      <c r="H267" s="894">
        <f>'P&amp;L - Concept B3 - ALL'!J174</f>
        <v>502293.73784648022</v>
      </c>
      <c r="I267" s="894">
        <f>'P&amp;L - Concept B3 - ALL'!K174</f>
        <v>528838.36559377867</v>
      </c>
      <c r="J267" s="894">
        <f>'P&amp;L - Concept B3 - ALL'!L174</f>
        <v>551376.96710565407</v>
      </c>
      <c r="K267" s="894">
        <f>'P&amp;L - Concept B3 - ALL'!M174</f>
        <v>574366.3406477673</v>
      </c>
      <c r="L267" s="894">
        <f>'P&amp;L - Concept B3 - ALL'!N174</f>
        <v>597815.50166072184</v>
      </c>
      <c r="M267" s="894">
        <f>'P&amp;L - Concept B3 - ALL'!O174</f>
        <v>678906.70560393436</v>
      </c>
      <c r="N267" s="894">
        <f>'P&amp;L - Concept B3 - ALL'!P174</f>
        <v>707693.71551181516</v>
      </c>
      <c r="O267" s="894">
        <f>'P&amp;L - Concept B3 - ALL'!Q174</f>
        <v>732578.15277205152</v>
      </c>
      <c r="P267" s="894">
        <f>'P&amp;L - Concept B3 - ALL'!R174</f>
        <v>757960.27877749305</v>
      </c>
      <c r="Q267" s="894">
        <f>'P&amp;L - Concept B3 - ALL'!S174</f>
        <v>783850.04730304354</v>
      </c>
      <c r="R267" s="894">
        <f>'P&amp;L - Concept B3 - ALL'!T174</f>
        <v>867594.10786826594</v>
      </c>
      <c r="S267" s="894">
        <f>'P&amp;L - Concept B3 - ALL'!U174</f>
        <v>898856.88887308573</v>
      </c>
      <c r="T267" s="894">
        <f>'P&amp;L - Concept B3 - ALL'!V174</f>
        <v>926331.31835054723</v>
      </c>
      <c r="U267" s="894">
        <f>'P&amp;L - Concept B3 - ALL'!W174</f>
        <v>954355.23641755851</v>
      </c>
      <c r="V267" s="894">
        <f>'P&amp;L - Concept B3 - ALL'!X174</f>
        <v>982939.63284590933</v>
      </c>
      <c r="W267" s="914">
        <f>SUM(C267:V267)</f>
        <v>10607761.980600271</v>
      </c>
      <c r="X267" s="912"/>
      <c r="Y267" s="912"/>
      <c r="Z267" s="912"/>
      <c r="AA267" s="912"/>
    </row>
    <row r="268" spans="1:27" s="341" customFormat="1">
      <c r="A268" s="561" t="s">
        <v>404</v>
      </c>
      <c r="B268" s="708">
        <f>'P&amp;L - Concept B3 - ALL'!B175</f>
        <v>0.27116467016051082</v>
      </c>
      <c r="C268" s="896"/>
      <c r="D268" s="896"/>
      <c r="E268" s="896"/>
      <c r="F268" s="896"/>
      <c r="G268" s="896"/>
      <c r="H268" s="896"/>
      <c r="I268" s="896"/>
      <c r="J268" s="896"/>
      <c r="K268" s="896"/>
      <c r="L268" s="896"/>
      <c r="M268" s="896"/>
      <c r="N268" s="896"/>
      <c r="O268" s="896"/>
      <c r="P268" s="896"/>
      <c r="Q268" s="896"/>
      <c r="R268" s="896"/>
      <c r="S268" s="896"/>
      <c r="T268" s="896"/>
      <c r="U268" s="896"/>
      <c r="V268" s="896"/>
      <c r="W268" s="910"/>
      <c r="X268" s="912"/>
      <c r="Y268" s="912"/>
      <c r="Z268" s="912"/>
      <c r="AA268" s="912"/>
    </row>
    <row r="269" spans="1:27">
      <c r="A269" s="131"/>
      <c r="B269" s="131"/>
      <c r="C269" s="630"/>
      <c r="D269" s="630"/>
      <c r="E269" s="630"/>
      <c r="F269" s="630"/>
      <c r="G269" s="630"/>
      <c r="H269" s="630"/>
      <c r="I269" s="630"/>
      <c r="J269" s="630"/>
      <c r="K269" s="630"/>
      <c r="L269" s="630"/>
      <c r="M269" s="630"/>
      <c r="N269" s="630"/>
      <c r="O269" s="630"/>
      <c r="P269" s="630"/>
      <c r="Q269" s="630"/>
      <c r="R269" s="630"/>
      <c r="S269" s="630"/>
      <c r="T269" s="630"/>
      <c r="U269" s="630"/>
      <c r="V269" s="630"/>
    </row>
    <row r="270" spans="1:27" s="32" customFormat="1">
      <c r="C270" s="625"/>
      <c r="D270" s="625"/>
      <c r="E270" s="625"/>
      <c r="F270" s="625"/>
      <c r="G270" s="625"/>
      <c r="H270" s="625"/>
      <c r="I270" s="625"/>
      <c r="J270" s="625"/>
      <c r="K270" s="625"/>
      <c r="L270" s="625"/>
      <c r="M270" s="625"/>
      <c r="N270" s="625"/>
      <c r="O270" s="625"/>
      <c r="P270" s="625"/>
      <c r="Q270" s="625"/>
      <c r="R270" s="625"/>
      <c r="S270" s="625"/>
      <c r="T270" s="625"/>
      <c r="U270" s="625"/>
      <c r="V270" s="625"/>
      <c r="W270" s="905"/>
      <c r="X270" s="904"/>
      <c r="Y270" s="904"/>
      <c r="Z270" s="904"/>
      <c r="AA270" s="904"/>
    </row>
    <row r="271" spans="1:27" s="32" customFormat="1">
      <c r="A271" s="47" t="s">
        <v>7</v>
      </c>
      <c r="B271" s="47"/>
      <c r="C271" s="47" t="s">
        <v>7</v>
      </c>
      <c r="D271" s="47" t="s">
        <v>7</v>
      </c>
      <c r="E271" s="47" t="s">
        <v>7</v>
      </c>
      <c r="F271" s="47" t="s">
        <v>7</v>
      </c>
      <c r="G271" s="47" t="s">
        <v>7</v>
      </c>
      <c r="H271" s="47" t="s">
        <v>7</v>
      </c>
      <c r="I271" s="47" t="s">
        <v>7</v>
      </c>
      <c r="J271" s="47" t="s">
        <v>7</v>
      </c>
      <c r="K271" s="47" t="s">
        <v>7</v>
      </c>
      <c r="L271" s="47" t="s">
        <v>7</v>
      </c>
      <c r="M271" s="47" t="s">
        <v>7</v>
      </c>
      <c r="N271" s="47" t="s">
        <v>7</v>
      </c>
      <c r="O271" s="47" t="s">
        <v>7</v>
      </c>
      <c r="P271" s="47" t="s">
        <v>7</v>
      </c>
      <c r="Q271" s="47" t="s">
        <v>7</v>
      </c>
      <c r="R271" s="47" t="s">
        <v>7</v>
      </c>
      <c r="S271" s="47" t="s">
        <v>7</v>
      </c>
      <c r="T271" s="47" t="s">
        <v>7</v>
      </c>
      <c r="U271" s="47" t="s">
        <v>7</v>
      </c>
      <c r="V271" s="47" t="s">
        <v>7</v>
      </c>
      <c r="W271" s="905"/>
      <c r="X271" s="904"/>
      <c r="Y271" s="904"/>
      <c r="Z271" s="904"/>
      <c r="AA271" s="904"/>
    </row>
    <row r="272" spans="1:27">
      <c r="C272" s="629"/>
      <c r="D272" s="629"/>
      <c r="E272" s="629"/>
      <c r="F272" s="629"/>
      <c r="G272" s="629"/>
      <c r="H272" s="629"/>
      <c r="I272" s="629"/>
      <c r="J272" s="629"/>
      <c r="K272" s="629"/>
      <c r="L272" s="629"/>
      <c r="M272" s="629"/>
      <c r="N272" s="629"/>
      <c r="O272" s="629"/>
      <c r="P272" s="629"/>
      <c r="Q272" s="629"/>
      <c r="R272" s="629"/>
      <c r="S272" s="629"/>
      <c r="T272" s="629"/>
      <c r="U272" s="629"/>
      <c r="V272" s="629"/>
    </row>
    <row r="273" spans="1:27">
      <c r="A273" s="29"/>
      <c r="B273" s="72"/>
      <c r="C273" s="71">
        <v>2019</v>
      </c>
      <c r="D273" s="71">
        <v>2020</v>
      </c>
      <c r="E273" s="71">
        <v>2021</v>
      </c>
      <c r="F273" s="71">
        <v>2022</v>
      </c>
      <c r="G273" s="71">
        <v>2023</v>
      </c>
      <c r="H273" s="71">
        <v>2024</v>
      </c>
      <c r="I273" s="71">
        <v>2025</v>
      </c>
      <c r="J273" s="71">
        <v>2026</v>
      </c>
      <c r="K273" s="71">
        <v>2027</v>
      </c>
      <c r="L273" s="71">
        <v>2028</v>
      </c>
      <c r="M273" s="71">
        <v>2029</v>
      </c>
      <c r="N273" s="71">
        <v>2030</v>
      </c>
      <c r="O273" s="71">
        <v>2031</v>
      </c>
      <c r="P273" s="71">
        <v>2032</v>
      </c>
      <c r="Q273" s="71">
        <v>2033</v>
      </c>
      <c r="R273" s="71">
        <v>2034</v>
      </c>
      <c r="S273" s="71">
        <v>2035</v>
      </c>
      <c r="T273" s="71">
        <v>2036</v>
      </c>
      <c r="U273" s="71">
        <v>2037</v>
      </c>
      <c r="V273" s="71">
        <v>2038</v>
      </c>
    </row>
    <row r="274" spans="1:27">
      <c r="C274" s="629"/>
      <c r="D274" s="629"/>
      <c r="E274" s="629"/>
      <c r="F274" s="629"/>
      <c r="G274" s="629"/>
      <c r="H274" s="629"/>
      <c r="I274" s="629"/>
      <c r="J274" s="629"/>
      <c r="K274" s="629"/>
      <c r="L274" s="629"/>
      <c r="M274" s="629"/>
      <c r="N274" s="629"/>
      <c r="O274" s="629"/>
      <c r="P274" s="629"/>
      <c r="Q274" s="629"/>
      <c r="R274" s="629"/>
      <c r="S274" s="629"/>
      <c r="T274" s="629"/>
      <c r="U274" s="629"/>
      <c r="V274" s="629"/>
    </row>
    <row r="275" spans="1:27">
      <c r="A275" s="266" t="s">
        <v>402</v>
      </c>
      <c r="B275" s="266"/>
      <c r="C275" s="631"/>
      <c r="D275" s="631"/>
      <c r="E275" s="631"/>
      <c r="F275" s="631"/>
      <c r="G275" s="631"/>
      <c r="H275" s="631"/>
      <c r="I275" s="631"/>
      <c r="J275" s="631"/>
      <c r="K275" s="631"/>
      <c r="L275" s="631"/>
      <c r="M275" s="631"/>
      <c r="N275" s="631"/>
      <c r="O275" s="631"/>
      <c r="P275" s="631"/>
      <c r="Q275" s="631"/>
      <c r="R275" s="631"/>
      <c r="S275" s="631"/>
      <c r="T275" s="631"/>
      <c r="U275" s="631"/>
      <c r="V275" s="631"/>
    </row>
    <row r="276" spans="1:27">
      <c r="A276" s="26"/>
      <c r="B276" s="26"/>
      <c r="C276" s="632"/>
      <c r="D276" s="632"/>
      <c r="E276" s="632"/>
      <c r="F276" s="632"/>
      <c r="G276" s="632"/>
      <c r="H276" s="632"/>
      <c r="I276" s="632"/>
      <c r="J276" s="632"/>
      <c r="K276" s="632"/>
      <c r="L276" s="632"/>
      <c r="M276" s="632"/>
      <c r="N276" s="632"/>
      <c r="O276" s="632"/>
      <c r="P276" s="632"/>
      <c r="Q276" s="632"/>
      <c r="R276" s="632"/>
      <c r="S276" s="632"/>
      <c r="T276" s="632"/>
      <c r="U276" s="632"/>
      <c r="V276" s="632"/>
    </row>
    <row r="277" spans="1:27">
      <c r="A277" s="32" t="s">
        <v>148</v>
      </c>
      <c r="B277" s="32"/>
      <c r="C277" s="625">
        <f>'P&amp;L - Concept C1 - Carnival'!E120</f>
        <v>219825</v>
      </c>
      <c r="D277" s="625">
        <f>'P&amp;L - Concept C1 - Carnival'!F120</f>
        <v>1540091.5575133858</v>
      </c>
      <c r="E277" s="625">
        <f>'P&amp;L - Concept C1 - Carnival'!G120</f>
        <v>1715945.7886636534</v>
      </c>
      <c r="F277" s="625">
        <f>'P&amp;L - Concept C1 - Carnival'!H120</f>
        <v>1750044.7044369264</v>
      </c>
      <c r="G277" s="625">
        <f>'P&amp;L - Concept C1 - Carnival'!I120</f>
        <v>1784825.5985256652</v>
      </c>
      <c r="H277" s="625">
        <f>'P&amp;L - Concept C1 - Carnival'!J120</f>
        <v>2037239.9577184003</v>
      </c>
      <c r="I277" s="625">
        <f>'P&amp;L - Concept C1 - Carnival'!K120</f>
        <v>2073425.9999283243</v>
      </c>
      <c r="J277" s="625">
        <f>'P&amp;L - Concept C1 - Carnival'!L120</f>
        <v>2110335.7629824467</v>
      </c>
      <c r="K277" s="625">
        <f>'P&amp;L - Concept C1 - Carnival'!M120</f>
        <v>2147983.7212976511</v>
      </c>
      <c r="L277" s="625">
        <f>'P&amp;L - Concept C1 - Carnival'!N120</f>
        <v>2186384.6387791596</v>
      </c>
      <c r="M277" s="625">
        <f>'P&amp;L - Concept C1 - Carnival'!O120</f>
        <v>2280375.5364158545</v>
      </c>
      <c r="N277" s="625">
        <f>'P&amp;L - Concept C1 - Carnival'!P120</f>
        <v>2320327.8509636153</v>
      </c>
      <c r="O277" s="625">
        <f>'P&amp;L - Concept C1 - Carnival'!Q120</f>
        <v>2361079.2118023317</v>
      </c>
      <c r="P277" s="625">
        <f>'P&amp;L - Concept C1 - Carnival'!R120</f>
        <v>2402645.5998578235</v>
      </c>
      <c r="Q277" s="625">
        <f>'P&amp;L - Concept C1 - Carnival'!S120</f>
        <v>2445043.3156744237</v>
      </c>
      <c r="R277" s="625">
        <f>'P&amp;L - Concept C1 - Carnival'!T120</f>
        <v>2543210.9476129124</v>
      </c>
      <c r="S277" s="625">
        <f>'P&amp;L - Concept C1 - Carnival'!U120</f>
        <v>2587321.5311485045</v>
      </c>
      <c r="T277" s="625">
        <f>'P&amp;L - Concept C1 - Carnival'!V120</f>
        <v>2632314.3263548072</v>
      </c>
      <c r="U277" s="625">
        <f>'P&amp;L - Concept C1 - Carnival'!W120</f>
        <v>2678206.9774652366</v>
      </c>
      <c r="V277" s="625">
        <f>'P&amp;L - Concept C1 - Carnival'!X120</f>
        <v>2725017.4815978752</v>
      </c>
      <c r="W277" s="903">
        <f t="shared" ref="W277:W284" si="14">SUM(C277:V277)</f>
        <v>42541645.508739002</v>
      </c>
    </row>
    <row r="278" spans="1:27">
      <c r="A278" s="369" t="s">
        <v>140</v>
      </c>
      <c r="B278" s="369"/>
      <c r="C278" s="626">
        <f>'P&amp;L - Concept C1 - Carnival'!E153</f>
        <v>367858.33333333331</v>
      </c>
      <c r="D278" s="626">
        <f>'P&amp;L - Concept C1 - Carnival'!F153</f>
        <v>883304.84615384613</v>
      </c>
      <c r="E278" s="626">
        <f>'P&amp;L - Concept C1 - Carnival'!G153</f>
        <v>902094.3710769231</v>
      </c>
      <c r="F278" s="626">
        <f>'P&amp;L - Concept C1 - Carnival'!H153</f>
        <v>920136.25849846145</v>
      </c>
      <c r="G278" s="626">
        <f>'P&amp;L - Concept C1 - Carnival'!I153</f>
        <v>938538.98366843082</v>
      </c>
      <c r="H278" s="626">
        <f>'P&amp;L - Concept C1 - Carnival'!J153</f>
        <v>985653.64213699941</v>
      </c>
      <c r="I278" s="626">
        <f>'P&amp;L - Concept C1 - Carnival'!K153</f>
        <v>1000829.7961893713</v>
      </c>
      <c r="J278" s="626">
        <f>'P&amp;L - Concept C1 - Carnival'!L153</f>
        <v>1020846.3921131587</v>
      </c>
      <c r="K278" s="626">
        <f>'P&amp;L - Concept C1 - Carnival'!M153</f>
        <v>1041263.3199554221</v>
      </c>
      <c r="L278" s="626">
        <f>'P&amp;L - Concept C1 - Carnival'!N153</f>
        <v>1062088.5863545304</v>
      </c>
      <c r="M278" s="626">
        <f>'P&amp;L - Concept C1 - Carnival'!O153</f>
        <v>1087720.8608716237</v>
      </c>
      <c r="N278" s="626">
        <f>'P&amp;L - Concept C1 - Carnival'!P153</f>
        <v>1104996.9652432539</v>
      </c>
      <c r="O278" s="626">
        <f>'P&amp;L - Concept C1 - Carnival'!Q153</f>
        <v>1127096.9045481186</v>
      </c>
      <c r="P278" s="626">
        <f>'P&amp;L - Concept C1 - Carnival'!R153</f>
        <v>1149638.8426390809</v>
      </c>
      <c r="Q278" s="626">
        <f>'P&amp;L - Concept C1 - Carnival'!S153</f>
        <v>1172631.6194918626</v>
      </c>
      <c r="R278" s="626">
        <f>'P&amp;L - Concept C1 - Carnival'!T153</f>
        <v>1200411.3177125379</v>
      </c>
      <c r="S278" s="626">
        <f>'P&amp;L - Concept C1 - Carnival'!U153</f>
        <v>1220005.9369193341</v>
      </c>
      <c r="T278" s="626">
        <f>'P&amp;L - Concept C1 - Carnival'!V153</f>
        <v>1244406.0556577207</v>
      </c>
      <c r="U278" s="626">
        <f>'P&amp;L - Concept C1 - Carnival'!W153</f>
        <v>1269294.1767708752</v>
      </c>
      <c r="V278" s="626">
        <f>'P&amp;L - Concept C1 - Carnival'!X153</f>
        <v>1294680.0603062927</v>
      </c>
      <c r="W278" s="903">
        <f t="shared" si="14"/>
        <v>20993497.26964118</v>
      </c>
    </row>
    <row r="279" spans="1:27">
      <c r="A279" s="26" t="s">
        <v>116</v>
      </c>
      <c r="B279" s="26"/>
      <c r="C279" s="625">
        <f>'P&amp;L - Concept C1 - Carnival'!E157</f>
        <v>-148033.33333333331</v>
      </c>
      <c r="D279" s="625">
        <f>'P&amp;L - Concept C1 - Carnival'!F157</f>
        <v>656786.71135953965</v>
      </c>
      <c r="E279" s="625">
        <f>'P&amp;L - Concept C1 - Carnival'!G157</f>
        <v>813851.41758673033</v>
      </c>
      <c r="F279" s="625">
        <f>'P&amp;L - Concept C1 - Carnival'!H157</f>
        <v>829908.44593846495</v>
      </c>
      <c r="G279" s="625">
        <f>'P&amp;L - Concept C1 - Carnival'!I157</f>
        <v>846286.61485723441</v>
      </c>
      <c r="H279" s="625">
        <f>'P&amp;L - Concept C1 - Carnival'!J157</f>
        <v>1051586.3155814009</v>
      </c>
      <c r="I279" s="625">
        <f>'P&amp;L - Concept C1 - Carnival'!K157</f>
        <v>1072596.203738953</v>
      </c>
      <c r="J279" s="625">
        <f>'P&amp;L - Concept C1 - Carnival'!L157</f>
        <v>1089489.370869288</v>
      </c>
      <c r="K279" s="625">
        <f>'P&amp;L - Concept C1 - Carnival'!M157</f>
        <v>1106720.401342229</v>
      </c>
      <c r="L279" s="625">
        <f>'P&amp;L - Concept C1 - Carnival'!N157</f>
        <v>1124296.0524246292</v>
      </c>
      <c r="M279" s="625">
        <f>'P&amp;L - Concept C1 - Carnival'!O157</f>
        <v>1192654.6755442307</v>
      </c>
      <c r="N279" s="625">
        <f>'P&amp;L - Concept C1 - Carnival'!P157</f>
        <v>1215330.8857203615</v>
      </c>
      <c r="O279" s="625">
        <f>'P&amp;L - Concept C1 - Carnival'!Q157</f>
        <v>1233982.3072542131</v>
      </c>
      <c r="P279" s="625">
        <f>'P&amp;L - Concept C1 - Carnival'!R157</f>
        <v>1253006.7572187425</v>
      </c>
      <c r="Q279" s="625">
        <f>'P&amp;L - Concept C1 - Carnival'!S157</f>
        <v>1272411.6961825611</v>
      </c>
      <c r="R279" s="625">
        <f>'P&amp;L - Concept C1 - Carnival'!T157</f>
        <v>1342799.6299003744</v>
      </c>
      <c r="S279" s="625">
        <f>'P&amp;L - Concept C1 - Carnival'!U157</f>
        <v>1367315.5942291704</v>
      </c>
      <c r="T279" s="625">
        <f>'P&amp;L - Concept C1 - Carnival'!V157</f>
        <v>1387908.2706970866</v>
      </c>
      <c r="U279" s="625">
        <f>'P&amp;L - Concept C1 - Carnival'!W157</f>
        <v>1408912.8006943613</v>
      </c>
      <c r="V279" s="625">
        <f>'P&amp;L - Concept C1 - Carnival'!X157</f>
        <v>1430337.4212915825</v>
      </c>
      <c r="W279" s="903">
        <f t="shared" si="14"/>
        <v>21548148.239097819</v>
      </c>
    </row>
    <row r="280" spans="1:27">
      <c r="A280" s="32"/>
      <c r="B280" s="32"/>
      <c r="C280" s="625"/>
      <c r="D280" s="625"/>
      <c r="E280" s="625"/>
      <c r="F280" s="625"/>
      <c r="G280" s="625"/>
      <c r="H280" s="625"/>
      <c r="I280" s="625"/>
      <c r="J280" s="625"/>
      <c r="K280" s="625"/>
      <c r="L280" s="625"/>
      <c r="M280" s="625"/>
      <c r="N280" s="625"/>
      <c r="O280" s="625"/>
      <c r="P280" s="625"/>
      <c r="Q280" s="625"/>
      <c r="R280" s="625"/>
      <c r="S280" s="625"/>
      <c r="T280" s="625"/>
      <c r="U280" s="625"/>
      <c r="V280" s="625"/>
      <c r="W280" s="903"/>
    </row>
    <row r="281" spans="1:27">
      <c r="A281" s="32" t="s">
        <v>136</v>
      </c>
      <c r="B281" s="32"/>
      <c r="C281" s="625">
        <f>'P&amp;L - Concept C1 - Carnival'!E165</f>
        <v>0</v>
      </c>
      <c r="D281" s="625">
        <f>'P&amp;L - Concept C1 - Carnival'!F165</f>
        <v>85775</v>
      </c>
      <c r="E281" s="625">
        <f>'P&amp;L - Concept C1 - Carnival'!G165</f>
        <v>87490.5</v>
      </c>
      <c r="F281" s="625">
        <f>'P&amp;L - Concept C1 - Carnival'!H165</f>
        <v>89240.31</v>
      </c>
      <c r="G281" s="625">
        <f>'P&amp;L - Concept C1 - Carnival'!I165</f>
        <v>91025.116199999989</v>
      </c>
      <c r="H281" s="625">
        <f>'P&amp;L - Concept C1 - Carnival'!J165</f>
        <v>92845.618524000005</v>
      </c>
      <c r="I281" s="625">
        <f>'P&amp;L - Concept C1 - Carnival'!K165</f>
        <v>94702.530894480005</v>
      </c>
      <c r="J281" s="625">
        <f>'P&amp;L - Concept C1 - Carnival'!L165</f>
        <v>96596.581512369608</v>
      </c>
      <c r="K281" s="625">
        <f>'P&amp;L - Concept C1 - Carnival'!M165</f>
        <v>98528.513142616997</v>
      </c>
      <c r="L281" s="625">
        <f>'P&amp;L - Concept C1 - Carnival'!N165</f>
        <v>100499.08340546934</v>
      </c>
      <c r="M281" s="625">
        <f>'P&amp;L - Concept C1 - Carnival'!O165</f>
        <v>102509.06507357873</v>
      </c>
      <c r="N281" s="625">
        <f>'P&amp;L - Concept C1 - Carnival'!P165</f>
        <v>104559.24637505031</v>
      </c>
      <c r="O281" s="625">
        <f>'P&amp;L - Concept C1 - Carnival'!Q165</f>
        <v>106650.43130255131</v>
      </c>
      <c r="P281" s="625">
        <f>'P&amp;L - Concept C1 - Carnival'!R165</f>
        <v>108783.43992860234</v>
      </c>
      <c r="Q281" s="625">
        <f>'P&amp;L - Concept C1 - Carnival'!S165</f>
        <v>110959.10872717437</v>
      </c>
      <c r="R281" s="625">
        <f>'P&amp;L - Concept C1 - Carnival'!T165</f>
        <v>113178.29090171788</v>
      </c>
      <c r="S281" s="625">
        <f>'P&amp;L - Concept C1 - Carnival'!U165</f>
        <v>115441.85671975224</v>
      </c>
      <c r="T281" s="625">
        <f>'P&amp;L - Concept C1 - Carnival'!V165</f>
        <v>117750.69385414729</v>
      </c>
      <c r="U281" s="625">
        <f>'P&amp;L - Concept C1 - Carnival'!W165</f>
        <v>120105.70773123024</v>
      </c>
      <c r="V281" s="625">
        <f>'P&amp;L - Concept C1 - Carnival'!X165</f>
        <v>122507.82188585485</v>
      </c>
      <c r="W281" s="903">
        <f t="shared" si="14"/>
        <v>1959148.9161785957</v>
      </c>
    </row>
    <row r="282" spans="1:27">
      <c r="A282" s="32" t="s">
        <v>127</v>
      </c>
      <c r="B282" s="32"/>
      <c r="C282" s="625">
        <f>SUM('P&amp;L - Concept C1 - Carnival'!E166:E168)</f>
        <v>881662.67999999993</v>
      </c>
      <c r="D282" s="625">
        <f>SUM('P&amp;L - Concept C1 - Carnival'!F166:F168)</f>
        <v>881662.67999999993</v>
      </c>
      <c r="E282" s="625">
        <f>SUM('P&amp;L - Concept C1 - Carnival'!G166:G168)</f>
        <v>881662.67999999993</v>
      </c>
      <c r="F282" s="625">
        <f>SUM('P&amp;L - Concept C1 - Carnival'!H166:H168)</f>
        <v>881662.67999999993</v>
      </c>
      <c r="G282" s="625">
        <f>SUM('P&amp;L - Concept C1 - Carnival'!I166:I168)</f>
        <v>881662.67999999993</v>
      </c>
      <c r="H282" s="625">
        <f>SUM('P&amp;L - Concept C1 - Carnival'!J166:J168)</f>
        <v>881662.67999999993</v>
      </c>
      <c r="I282" s="625">
        <f>SUM('P&amp;L - Concept C1 - Carnival'!K166:K168)</f>
        <v>881662.67999999993</v>
      </c>
      <c r="J282" s="625">
        <f>SUM('P&amp;L - Concept C1 - Carnival'!L166:L168)</f>
        <v>881662.67999999993</v>
      </c>
      <c r="K282" s="625">
        <f>SUM('P&amp;L - Concept C1 - Carnival'!M166:M168)</f>
        <v>881662.67999999993</v>
      </c>
      <c r="L282" s="625">
        <f>SUM('P&amp;L - Concept C1 - Carnival'!N166:N168)</f>
        <v>881662.67999999993</v>
      </c>
      <c r="M282" s="625">
        <f>SUM('P&amp;L - Concept C1 - Carnival'!O166:O168)</f>
        <v>881662.67999999993</v>
      </c>
      <c r="N282" s="625">
        <f>SUM('P&amp;L - Concept C1 - Carnival'!P166:P168)</f>
        <v>881662.67999999993</v>
      </c>
      <c r="O282" s="625">
        <f>SUM('P&amp;L - Concept C1 - Carnival'!Q166:Q168)</f>
        <v>881662.67999999993</v>
      </c>
      <c r="P282" s="625">
        <f>SUM('P&amp;L - Concept C1 - Carnival'!R166:R168)</f>
        <v>881662.67999999993</v>
      </c>
      <c r="Q282" s="625">
        <f>SUM('P&amp;L - Concept C1 - Carnival'!S166:S168)</f>
        <v>881662.67999999993</v>
      </c>
      <c r="R282" s="625">
        <f>SUM('P&amp;L - Concept C1 - Carnival'!T166:T168)</f>
        <v>881662.67999999993</v>
      </c>
      <c r="S282" s="625">
        <f>SUM('P&amp;L - Concept C1 - Carnival'!U166:U168)</f>
        <v>881662.67999999993</v>
      </c>
      <c r="T282" s="625">
        <f>SUM('P&amp;L - Concept C1 - Carnival'!V166:V168)</f>
        <v>881662.67999999993</v>
      </c>
      <c r="U282" s="625">
        <f>SUM('P&amp;L - Concept C1 - Carnival'!W166:W168)</f>
        <v>881662.67999999993</v>
      </c>
      <c r="V282" s="625">
        <f>SUM('P&amp;L - Concept C1 - Carnival'!X166:X168)</f>
        <v>881662.67999999993</v>
      </c>
      <c r="W282" s="903">
        <f t="shared" si="14"/>
        <v>17633253.599999998</v>
      </c>
      <c r="X282" s="900">
        <f>SUM(W281:W282)</f>
        <v>19592402.516178593</v>
      </c>
    </row>
    <row r="283" spans="1:27">
      <c r="A283" s="32"/>
      <c r="B283" s="32"/>
      <c r="C283" s="625"/>
      <c r="D283" s="625"/>
      <c r="E283" s="625"/>
      <c r="F283" s="625"/>
      <c r="G283" s="625"/>
      <c r="H283" s="625"/>
      <c r="I283" s="625"/>
      <c r="J283" s="625"/>
      <c r="K283" s="625"/>
      <c r="L283" s="625"/>
      <c r="M283" s="625"/>
      <c r="N283" s="625"/>
      <c r="O283" s="625"/>
      <c r="P283" s="625"/>
      <c r="Q283" s="625"/>
      <c r="R283" s="625"/>
      <c r="S283" s="625"/>
      <c r="T283" s="625"/>
      <c r="U283" s="625"/>
      <c r="V283" s="625"/>
      <c r="W283" s="903"/>
      <c r="Z283" s="900">
        <f>SUM(W278,W281:W282)</f>
        <v>40585899.785819769</v>
      </c>
    </row>
    <row r="284" spans="1:27">
      <c r="A284" s="32" t="s">
        <v>138</v>
      </c>
      <c r="B284" s="32"/>
      <c r="C284" s="625">
        <f>'P&amp;L - Concept C1 - Carnival'!E171</f>
        <v>-148033.33333333331</v>
      </c>
      <c r="D284" s="625">
        <f>'P&amp;L - Concept C1 - Carnival'!F171</f>
        <v>571011.71135953965</v>
      </c>
      <c r="E284" s="625">
        <f>'P&amp;L - Concept C1 - Carnival'!G171</f>
        <v>726360.91758673033</v>
      </c>
      <c r="F284" s="625">
        <f>'P&amp;L - Concept C1 - Carnival'!H171</f>
        <v>740668.1359384649</v>
      </c>
      <c r="G284" s="625">
        <f>'P&amp;L - Concept C1 - Carnival'!I171</f>
        <v>755261.49865723448</v>
      </c>
      <c r="H284" s="625">
        <f>'P&amp;L - Concept C1 - Carnival'!J171</f>
        <v>958740.69705740083</v>
      </c>
      <c r="I284" s="625">
        <f>'P&amp;L - Concept C1 - Carnival'!K171</f>
        <v>977893.67284447304</v>
      </c>
      <c r="J284" s="625">
        <f>'P&amp;L - Concept C1 - Carnival'!L171</f>
        <v>992892.78935691842</v>
      </c>
      <c r="K284" s="625">
        <f>'P&amp;L - Concept C1 - Carnival'!M171</f>
        <v>1008191.888199612</v>
      </c>
      <c r="L284" s="625">
        <f>'P&amp;L - Concept C1 - Carnival'!N171</f>
        <v>1023796.9690191599</v>
      </c>
      <c r="M284" s="625">
        <f>'P&amp;L - Concept C1 - Carnival'!O171</f>
        <v>1090145.6104706521</v>
      </c>
      <c r="N284" s="625">
        <f>'P&amp;L - Concept C1 - Carnival'!P171</f>
        <v>1110771.6393453111</v>
      </c>
      <c r="O284" s="625">
        <f>'P&amp;L - Concept C1 - Carnival'!Q171</f>
        <v>1127331.8759516617</v>
      </c>
      <c r="P284" s="625">
        <f>'P&amp;L - Concept C1 - Carnival'!R171</f>
        <v>1144223.3172901401</v>
      </c>
      <c r="Q284" s="625">
        <f>'P&amp;L - Concept C1 - Carnival'!S171</f>
        <v>1161452.5874553868</v>
      </c>
      <c r="R284" s="625">
        <f>'P&amp;L - Concept C1 - Carnival'!T171</f>
        <v>1229621.3389986565</v>
      </c>
      <c r="S284" s="625">
        <f>'P&amp;L - Concept C1 - Carnival'!U171</f>
        <v>1251873.737509418</v>
      </c>
      <c r="T284" s="625">
        <f>'P&amp;L - Concept C1 - Carnival'!V171</f>
        <v>1270157.5768429392</v>
      </c>
      <c r="U284" s="625">
        <f>'P&amp;L - Concept C1 - Carnival'!W171</f>
        <v>1288807.0929631311</v>
      </c>
      <c r="V284" s="625">
        <f>'P&amp;L - Concept C1 - Carnival'!X171</f>
        <v>1307829.5994057276</v>
      </c>
      <c r="W284" s="903">
        <f t="shared" si="14"/>
        <v>19588999.32291922</v>
      </c>
    </row>
    <row r="285" spans="1:27">
      <c r="A285" s="32"/>
      <c r="B285" s="32"/>
      <c r="C285" s="625"/>
      <c r="D285" s="625"/>
      <c r="E285" s="625"/>
      <c r="F285" s="625"/>
      <c r="G285" s="625"/>
      <c r="H285" s="625"/>
      <c r="I285" s="625"/>
      <c r="J285" s="625"/>
      <c r="K285" s="625"/>
      <c r="L285" s="625"/>
      <c r="M285" s="625"/>
      <c r="N285" s="625"/>
      <c r="O285" s="625"/>
      <c r="P285" s="625"/>
      <c r="Q285" s="625"/>
      <c r="R285" s="625"/>
      <c r="S285" s="625"/>
      <c r="T285" s="625"/>
      <c r="U285" s="625"/>
      <c r="V285" s="625"/>
      <c r="W285" s="903"/>
    </row>
    <row r="286" spans="1:27">
      <c r="A286" s="300" t="s">
        <v>130</v>
      </c>
      <c r="B286" s="300"/>
      <c r="C286" s="628">
        <f>'P&amp;L - Concept C1 - Carnival'!E175</f>
        <v>-1029696.0133333332</v>
      </c>
      <c r="D286" s="628">
        <f>'P&amp;L - Concept C1 - Carnival'!F175</f>
        <v>-310650.96864046028</v>
      </c>
      <c r="E286" s="628">
        <f>'P&amp;L - Concept C1 - Carnival'!G175</f>
        <v>-155301.76241326961</v>
      </c>
      <c r="F286" s="628">
        <f>'P&amp;L - Concept C1 - Carnival'!H175</f>
        <v>-140994.54406153504</v>
      </c>
      <c r="G286" s="628">
        <f>'P&amp;L - Concept C1 - Carnival'!I175</f>
        <v>-126401.18134276557</v>
      </c>
      <c r="H286" s="628">
        <f>'P&amp;L - Concept C1 - Carnival'!J175</f>
        <v>77078.017057400895</v>
      </c>
      <c r="I286" s="628">
        <f>'P&amp;L - Concept C1 - Carnival'!K175</f>
        <v>96230.992844473105</v>
      </c>
      <c r="J286" s="628">
        <f>'P&amp;L - Concept C1 - Carnival'!L175</f>
        <v>111230.10935691849</v>
      </c>
      <c r="K286" s="628">
        <f>'P&amp;L - Concept C1 - Carnival'!M175</f>
        <v>126529.2081996121</v>
      </c>
      <c r="L286" s="628">
        <f>'P&amp;L - Concept C1 - Carnival'!N175</f>
        <v>142134.28901915997</v>
      </c>
      <c r="M286" s="628">
        <f>'P&amp;L - Concept C1 - Carnival'!O175</f>
        <v>208482.93047065206</v>
      </c>
      <c r="N286" s="628">
        <f>'P&amp;L - Concept C1 - Carnival'!P175</f>
        <v>229108.95934531128</v>
      </c>
      <c r="O286" s="628">
        <f>'P&amp;L - Concept C1 - Carnival'!Q175</f>
        <v>245669.19595166191</v>
      </c>
      <c r="P286" s="628">
        <f>'P&amp;L - Concept C1 - Carnival'!R175</f>
        <v>262560.63729014026</v>
      </c>
      <c r="Q286" s="628">
        <f>'P&amp;L - Concept C1 - Carnival'!S175</f>
        <v>279789.90745538683</v>
      </c>
      <c r="R286" s="628">
        <f>'P&amp;L - Concept C1 - Carnival'!T175</f>
        <v>347958.65899865667</v>
      </c>
      <c r="S286" s="628">
        <f>'P&amp;L - Concept C1 - Carnival'!U175</f>
        <v>370211.05750941823</v>
      </c>
      <c r="T286" s="628">
        <f>'P&amp;L - Concept C1 - Carnival'!V175</f>
        <v>388494.89684293931</v>
      </c>
      <c r="U286" s="628">
        <f>'P&amp;L - Concept C1 - Carnival'!W175</f>
        <v>407144.41296313121</v>
      </c>
      <c r="V286" s="628">
        <f>'P&amp;L - Concept C1 - Carnival'!X175</f>
        <v>426166.91940572776</v>
      </c>
      <c r="W286" s="1148">
        <f>SUM(C286:V286)</f>
        <v>1955745.7229192266</v>
      </c>
    </row>
    <row r="287" spans="1:27">
      <c r="A287" s="32" t="s">
        <v>404</v>
      </c>
      <c r="B287" s="199">
        <f>'P&amp;L - Concept C1 - Carnival'!B176</f>
        <v>6.0418661359734394E-2</v>
      </c>
    </row>
    <row r="288" spans="1:27">
      <c r="A288" s="131"/>
      <c r="B288" s="131"/>
      <c r="C288" s="131"/>
      <c r="D288" s="131"/>
      <c r="E288" s="131"/>
      <c r="F288" s="131"/>
      <c r="G288" s="131"/>
      <c r="H288" s="131"/>
      <c r="I288" s="131"/>
      <c r="J288" s="131"/>
      <c r="K288" s="131"/>
      <c r="L288" s="131"/>
      <c r="M288" s="131"/>
      <c r="N288" s="131"/>
      <c r="O288" s="131"/>
      <c r="P288" s="131"/>
      <c r="Q288" s="131"/>
      <c r="R288" s="131"/>
      <c r="S288" s="131"/>
      <c r="T288" s="131"/>
      <c r="U288" s="131"/>
      <c r="V288" s="131"/>
      <c r="AA288" s="900">
        <f>W286+3600000</f>
        <v>5555745.7229192266</v>
      </c>
    </row>
    <row r="290" spans="1:27" s="32" customFormat="1">
      <c r="A290" s="47" t="s">
        <v>7</v>
      </c>
      <c r="B290" s="47"/>
      <c r="C290" s="47" t="s">
        <v>7</v>
      </c>
      <c r="D290" s="47" t="s">
        <v>7</v>
      </c>
      <c r="E290" s="47" t="s">
        <v>7</v>
      </c>
      <c r="F290" s="47" t="s">
        <v>7</v>
      </c>
      <c r="G290" s="47" t="s">
        <v>7</v>
      </c>
      <c r="H290" s="47" t="s">
        <v>7</v>
      </c>
      <c r="I290" s="47" t="s">
        <v>7</v>
      </c>
      <c r="J290" s="47" t="s">
        <v>7</v>
      </c>
      <c r="K290" s="47" t="s">
        <v>7</v>
      </c>
      <c r="L290" s="47" t="s">
        <v>7</v>
      </c>
      <c r="M290" s="47" t="s">
        <v>7</v>
      </c>
      <c r="N290" s="47" t="s">
        <v>7</v>
      </c>
      <c r="O290" s="47" t="s">
        <v>7</v>
      </c>
      <c r="P290" s="47" t="s">
        <v>7</v>
      </c>
      <c r="Q290" s="47" t="s">
        <v>7</v>
      </c>
      <c r="R290" s="47" t="s">
        <v>7</v>
      </c>
      <c r="S290" s="47" t="s">
        <v>7</v>
      </c>
      <c r="T290" s="47" t="s">
        <v>7</v>
      </c>
      <c r="U290" s="47" t="s">
        <v>7</v>
      </c>
      <c r="V290" s="47" t="s">
        <v>7</v>
      </c>
      <c r="W290" s="905"/>
      <c r="X290" s="904"/>
      <c r="Y290" s="904"/>
      <c r="Z290" s="904"/>
      <c r="AA290" s="904"/>
    </row>
    <row r="292" spans="1:27">
      <c r="A292" s="29"/>
      <c r="B292" s="72"/>
      <c r="C292" s="71">
        <v>2019</v>
      </c>
      <c r="D292" s="71">
        <v>2020</v>
      </c>
      <c r="E292" s="71">
        <v>2021</v>
      </c>
      <c r="F292" s="71">
        <v>2022</v>
      </c>
      <c r="G292" s="71">
        <v>2023</v>
      </c>
      <c r="H292" s="71">
        <v>2024</v>
      </c>
      <c r="I292" s="71">
        <v>2025</v>
      </c>
      <c r="J292" s="71">
        <v>2026</v>
      </c>
      <c r="K292" s="71">
        <v>2027</v>
      </c>
      <c r="L292" s="71">
        <v>2028</v>
      </c>
      <c r="M292" s="71">
        <v>2029</v>
      </c>
      <c r="N292" s="71">
        <v>2030</v>
      </c>
      <c r="O292" s="71">
        <v>2031</v>
      </c>
      <c r="P292" s="71">
        <v>2032</v>
      </c>
      <c r="Q292" s="71">
        <v>2033</v>
      </c>
      <c r="R292" s="71">
        <v>2034</v>
      </c>
      <c r="S292" s="71">
        <v>2035</v>
      </c>
      <c r="T292" s="71">
        <v>2036</v>
      </c>
      <c r="U292" s="71">
        <v>2037</v>
      </c>
      <c r="V292" s="71">
        <v>2038</v>
      </c>
    </row>
    <row r="294" spans="1:27">
      <c r="A294" s="266" t="s">
        <v>401</v>
      </c>
      <c r="B294" s="266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  <c r="N294" s="268"/>
      <c r="O294" s="268"/>
      <c r="P294" s="268"/>
      <c r="Q294" s="268"/>
      <c r="R294" s="268"/>
      <c r="S294" s="268"/>
      <c r="T294" s="268"/>
      <c r="U294" s="268"/>
      <c r="V294" s="268"/>
      <c r="W294" s="903"/>
    </row>
    <row r="295" spans="1:27" s="32" customFormat="1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903"/>
      <c r="X295" s="904"/>
      <c r="Y295" s="904"/>
      <c r="Z295" s="904"/>
      <c r="AA295" s="904"/>
    </row>
    <row r="296" spans="1:27">
      <c r="A296" s="32" t="s">
        <v>148</v>
      </c>
      <c r="B296" s="32"/>
      <c r="C296" s="625">
        <f>'P&amp;L - Concept C1 - RCCL'!E120</f>
        <v>219825</v>
      </c>
      <c r="D296" s="625">
        <f>'P&amp;L - Concept C1 - RCCL'!F120</f>
        <v>1426952.7340580607</v>
      </c>
      <c r="E296" s="625">
        <f>'P&amp;L - Concept C1 - RCCL'!G120</f>
        <v>1600544.1887392218</v>
      </c>
      <c r="F296" s="625">
        <f>'P&amp;L - Concept C1 - RCCL'!H120</f>
        <v>1632335.0725140062</v>
      </c>
      <c r="G296" s="625">
        <f>'P&amp;L - Concept C1 - RCCL'!I120</f>
        <v>1664761.7739642865</v>
      </c>
      <c r="H296" s="625">
        <f>'P&amp;L - Concept C1 - RCCL'!J120</f>
        <v>1914774.8566657943</v>
      </c>
      <c r="I296" s="625">
        <f>'P&amp;L - Concept C1 - RCCL'!K120</f>
        <v>1948511.5968546655</v>
      </c>
      <c r="J296" s="625">
        <f>'P&amp;L - Concept C1 - RCCL'!L120</f>
        <v>1982923.0718473147</v>
      </c>
      <c r="K296" s="625">
        <f>'P&amp;L - Concept C1 - RCCL'!M120</f>
        <v>2018022.7763398169</v>
      </c>
      <c r="L296" s="625">
        <f>'P&amp;L - Concept C1 - RCCL'!N120</f>
        <v>2053824.4749221683</v>
      </c>
      <c r="M296" s="625">
        <f>'P&amp;L - Concept C1 - RCCL'!O120</f>
        <v>2145164.169281723</v>
      </c>
      <c r="N296" s="625">
        <f>'P&amp;L - Concept C1 - RCCL'!P120</f>
        <v>2182412.2564868024</v>
      </c>
      <c r="O296" s="625">
        <f>'P&amp;L - Concept C1 - RCCL'!Q120</f>
        <v>2220405.3054359821</v>
      </c>
      <c r="P296" s="625">
        <f>'P&amp;L - Concept C1 - RCCL'!R120</f>
        <v>2259158.2153641465</v>
      </c>
      <c r="Q296" s="625">
        <f>'P&amp;L - Concept C1 - RCCL'!S120</f>
        <v>2298686.1834908738</v>
      </c>
      <c r="R296" s="625">
        <f>'P&amp;L - Concept C1 - RCCL'!T120</f>
        <v>2393926.672785691</v>
      </c>
      <c r="S296" s="625">
        <f>'P&amp;L - Concept C1 - RCCL'!U120</f>
        <v>2435051.5708247386</v>
      </c>
      <c r="T296" s="625">
        <f>'P&amp;L - Concept C1 - RCCL'!V120</f>
        <v>2476998.9668245665</v>
      </c>
      <c r="U296" s="625">
        <f>'P&amp;L - Concept C1 - RCCL'!W120</f>
        <v>2519785.3107443918</v>
      </c>
      <c r="V296" s="625">
        <f>'P&amp;L - Concept C1 - RCCL'!X120</f>
        <v>2563427.3815426128</v>
      </c>
      <c r="W296" s="903">
        <f t="shared" ref="W296:W303" si="15">SUM(C296:V296)</f>
        <v>39957491.578686863</v>
      </c>
    </row>
    <row r="297" spans="1:27">
      <c r="A297" s="369" t="s">
        <v>140</v>
      </c>
      <c r="B297" s="369"/>
      <c r="C297" s="626">
        <f>'P&amp;L - Concept C1 - RCCL'!E153</f>
        <v>367858.33333333331</v>
      </c>
      <c r="D297" s="626">
        <f>'P&amp;L - Concept C1 - RCCL'!F153</f>
        <v>883304.84615384613</v>
      </c>
      <c r="E297" s="626">
        <f>'P&amp;L - Concept C1 - RCCL'!G153</f>
        <v>902094.3710769231</v>
      </c>
      <c r="F297" s="626">
        <f>'P&amp;L - Concept C1 - RCCL'!H153</f>
        <v>920136.25849846145</v>
      </c>
      <c r="G297" s="626">
        <f>'P&amp;L - Concept C1 - RCCL'!I153</f>
        <v>938538.98366843082</v>
      </c>
      <c r="H297" s="626">
        <f>'P&amp;L - Concept C1 - RCCL'!J153</f>
        <v>985653.64213699941</v>
      </c>
      <c r="I297" s="626">
        <f>'P&amp;L - Concept C1 - RCCL'!K153</f>
        <v>1000829.7961893713</v>
      </c>
      <c r="J297" s="626">
        <f>'P&amp;L - Concept C1 - RCCL'!L153</f>
        <v>1020846.3921131587</v>
      </c>
      <c r="K297" s="626">
        <f>'P&amp;L - Concept C1 - RCCL'!M153</f>
        <v>1041263.3199554221</v>
      </c>
      <c r="L297" s="626">
        <f>'P&amp;L - Concept C1 - RCCL'!N153</f>
        <v>1062088.5863545304</v>
      </c>
      <c r="M297" s="626">
        <f>'P&amp;L - Concept C1 - RCCL'!O153</f>
        <v>1087720.8608716237</v>
      </c>
      <c r="N297" s="626">
        <f>'P&amp;L - Concept C1 - RCCL'!P153</f>
        <v>1104996.9652432539</v>
      </c>
      <c r="O297" s="626">
        <f>'P&amp;L - Concept C1 - RCCL'!Q153</f>
        <v>1127096.9045481186</v>
      </c>
      <c r="P297" s="626">
        <f>'P&amp;L - Concept C1 - RCCL'!R153</f>
        <v>1149638.8426390809</v>
      </c>
      <c r="Q297" s="626">
        <f>'P&amp;L - Concept C1 - RCCL'!S153</f>
        <v>1172631.6194918626</v>
      </c>
      <c r="R297" s="626">
        <f>'P&amp;L - Concept C1 - RCCL'!T153</f>
        <v>1200411.3177125379</v>
      </c>
      <c r="S297" s="626">
        <f>'P&amp;L - Concept C1 - RCCL'!U153</f>
        <v>1220005.9369193341</v>
      </c>
      <c r="T297" s="626">
        <f>'P&amp;L - Concept C1 - RCCL'!V153</f>
        <v>1244406.0556577207</v>
      </c>
      <c r="U297" s="626">
        <f>'P&amp;L - Concept C1 - RCCL'!W153</f>
        <v>1269294.1767708752</v>
      </c>
      <c r="V297" s="626">
        <f>'P&amp;L - Concept C1 - RCCL'!X153</f>
        <v>1294680.0603062927</v>
      </c>
      <c r="W297" s="903">
        <f t="shared" si="15"/>
        <v>20993497.26964118</v>
      </c>
    </row>
    <row r="298" spans="1:27">
      <c r="A298" s="26" t="s">
        <v>116</v>
      </c>
      <c r="B298" s="26"/>
      <c r="C298" s="625">
        <f>'P&amp;L - Concept C1 - RCCL'!E157</f>
        <v>-148033.33333333331</v>
      </c>
      <c r="D298" s="625">
        <f>'P&amp;L - Concept C1 - RCCL'!F157</f>
        <v>543647.88790421456</v>
      </c>
      <c r="E298" s="625">
        <f>'P&amp;L - Concept C1 - RCCL'!G157</f>
        <v>698449.81766229868</v>
      </c>
      <c r="F298" s="625">
        <f>'P&amp;L - Concept C1 - RCCL'!H157</f>
        <v>712198.81401554472</v>
      </c>
      <c r="G298" s="625">
        <f>'P&amp;L - Concept C1 - RCCL'!I157</f>
        <v>726222.79029585572</v>
      </c>
      <c r="H298" s="625">
        <f>'P&amp;L - Concept C1 - RCCL'!J157</f>
        <v>929121.21452879487</v>
      </c>
      <c r="I298" s="625">
        <f>'P&amp;L - Concept C1 - RCCL'!K157</f>
        <v>947681.80066529429</v>
      </c>
      <c r="J298" s="625">
        <f>'P&amp;L - Concept C1 - RCCL'!L157</f>
        <v>962076.679734156</v>
      </c>
      <c r="K298" s="625">
        <f>'P&amp;L - Concept C1 - RCCL'!M157</f>
        <v>976759.45638439478</v>
      </c>
      <c r="L298" s="625">
        <f>'P&amp;L - Concept C1 - RCCL'!N157</f>
        <v>991735.88856763788</v>
      </c>
      <c r="M298" s="625">
        <f>'P&amp;L - Concept C1 - RCCL'!O157</f>
        <v>1057443.3084100992</v>
      </c>
      <c r="N298" s="625">
        <f>'P&amp;L - Concept C1 - RCCL'!P157</f>
        <v>1077415.2912435485</v>
      </c>
      <c r="O298" s="625">
        <f>'P&amp;L - Concept C1 - RCCL'!Q157</f>
        <v>1093308.4008878635</v>
      </c>
      <c r="P298" s="625">
        <f>'P&amp;L - Concept C1 - RCCL'!R157</f>
        <v>1109519.3727250656</v>
      </c>
      <c r="Q298" s="625">
        <f>'P&amp;L - Concept C1 - RCCL'!S157</f>
        <v>1126054.5639990112</v>
      </c>
      <c r="R298" s="625">
        <f>'P&amp;L - Concept C1 - RCCL'!T157</f>
        <v>1193515.355073153</v>
      </c>
      <c r="S298" s="625">
        <f>'P&amp;L - Concept C1 - RCCL'!U157</f>
        <v>1215045.6339054045</v>
      </c>
      <c r="T298" s="625">
        <f>'P&amp;L - Concept C1 - RCCL'!V157</f>
        <v>1232592.9111668458</v>
      </c>
      <c r="U298" s="625">
        <f>'P&amp;L - Concept C1 - RCCL'!W157</f>
        <v>1250491.1339735165</v>
      </c>
      <c r="V298" s="625">
        <f>'P&amp;L - Concept C1 - RCCL'!X157</f>
        <v>1268747.3212363201</v>
      </c>
      <c r="W298" s="903">
        <f t="shared" si="15"/>
        <v>18963994.309045684</v>
      </c>
    </row>
    <row r="299" spans="1:27">
      <c r="A299" s="32"/>
      <c r="B299" s="32"/>
      <c r="C299" s="625"/>
      <c r="D299" s="625"/>
      <c r="E299" s="625"/>
      <c r="F299" s="625"/>
      <c r="G299" s="625"/>
      <c r="H299" s="625"/>
      <c r="I299" s="625"/>
      <c r="J299" s="625"/>
      <c r="K299" s="625"/>
      <c r="L299" s="625"/>
      <c r="M299" s="625"/>
      <c r="N299" s="625"/>
      <c r="O299" s="625"/>
      <c r="P299" s="625"/>
      <c r="Q299" s="625"/>
      <c r="R299" s="625"/>
      <c r="S299" s="625"/>
      <c r="T299" s="625"/>
      <c r="U299" s="625"/>
      <c r="V299" s="625"/>
      <c r="W299" s="903"/>
    </row>
    <row r="300" spans="1:27">
      <c r="A300" s="32" t="s">
        <v>136</v>
      </c>
      <c r="B300" s="32"/>
      <c r="C300" s="625">
        <f>'P&amp;L - Concept C1 - RCCL'!E165</f>
        <v>0</v>
      </c>
      <c r="D300" s="625">
        <f>'P&amp;L - Concept C1 - RCCL'!F165</f>
        <v>85775</v>
      </c>
      <c r="E300" s="625">
        <f>'P&amp;L - Concept C1 - RCCL'!G165</f>
        <v>87490.5</v>
      </c>
      <c r="F300" s="625">
        <f>'P&amp;L - Concept C1 - RCCL'!H165</f>
        <v>89240.31</v>
      </c>
      <c r="G300" s="625">
        <f>'P&amp;L - Concept C1 - RCCL'!I165</f>
        <v>91025.116199999989</v>
      </c>
      <c r="H300" s="625">
        <f>'P&amp;L - Concept C1 - RCCL'!J165</f>
        <v>92845.618524000005</v>
      </c>
      <c r="I300" s="625">
        <f>'P&amp;L - Concept C1 - RCCL'!K165</f>
        <v>94702.530894480005</v>
      </c>
      <c r="J300" s="625">
        <f>'P&amp;L - Concept C1 - RCCL'!L165</f>
        <v>96596.581512369608</v>
      </c>
      <c r="K300" s="625">
        <f>'P&amp;L - Concept C1 - RCCL'!M165</f>
        <v>98528.513142616997</v>
      </c>
      <c r="L300" s="625">
        <f>'P&amp;L - Concept C1 - RCCL'!N165</f>
        <v>100499.08340546934</v>
      </c>
      <c r="M300" s="625">
        <f>'P&amp;L - Concept C1 - RCCL'!O165</f>
        <v>102509.06507357873</v>
      </c>
      <c r="N300" s="625">
        <f>'P&amp;L - Concept C1 - RCCL'!P165</f>
        <v>104559.24637505031</v>
      </c>
      <c r="O300" s="625">
        <f>'P&amp;L - Concept C1 - RCCL'!Q165</f>
        <v>106650.43130255131</v>
      </c>
      <c r="P300" s="625">
        <f>'P&amp;L - Concept C1 - RCCL'!R165</f>
        <v>108783.43992860234</v>
      </c>
      <c r="Q300" s="625">
        <f>'P&amp;L - Concept C1 - RCCL'!S165</f>
        <v>110959.10872717437</v>
      </c>
      <c r="R300" s="625">
        <f>'P&amp;L - Concept C1 - RCCL'!T165</f>
        <v>113178.29090171788</v>
      </c>
      <c r="S300" s="625">
        <f>'P&amp;L - Concept C1 - RCCL'!U165</f>
        <v>115441.85671975224</v>
      </c>
      <c r="T300" s="625">
        <f>'P&amp;L - Concept C1 - RCCL'!V165</f>
        <v>117750.69385414729</v>
      </c>
      <c r="U300" s="625">
        <f>'P&amp;L - Concept C1 - RCCL'!W165</f>
        <v>120105.70773123024</v>
      </c>
      <c r="V300" s="625">
        <f>'P&amp;L - Concept C1 - RCCL'!X165</f>
        <v>122507.82188585485</v>
      </c>
      <c r="W300" s="903">
        <f t="shared" si="15"/>
        <v>1959148.9161785957</v>
      </c>
    </row>
    <row r="301" spans="1:27">
      <c r="A301" s="32" t="s">
        <v>127</v>
      </c>
      <c r="B301" s="32"/>
      <c r="C301" s="625">
        <f>SUM('P&amp;L - Concept C1 - RCCL'!E166:E168)</f>
        <v>881662.67999999993</v>
      </c>
      <c r="D301" s="625">
        <f>SUM('P&amp;L - Concept C1 - RCCL'!F166:F168)</f>
        <v>881662.67999999993</v>
      </c>
      <c r="E301" s="625">
        <f>SUM('P&amp;L - Concept C1 - RCCL'!G166:G168)</f>
        <v>881662.67999999993</v>
      </c>
      <c r="F301" s="625">
        <f>SUM('P&amp;L - Concept C1 - RCCL'!H166:H168)</f>
        <v>881662.67999999993</v>
      </c>
      <c r="G301" s="625">
        <f>SUM('P&amp;L - Concept C1 - RCCL'!I166:I168)</f>
        <v>881662.67999999993</v>
      </c>
      <c r="H301" s="625">
        <f>SUM('P&amp;L - Concept C1 - RCCL'!J166:J168)</f>
        <v>881662.67999999993</v>
      </c>
      <c r="I301" s="625">
        <f>SUM('P&amp;L - Concept C1 - RCCL'!K166:K168)</f>
        <v>881662.67999999993</v>
      </c>
      <c r="J301" s="625">
        <f>SUM('P&amp;L - Concept C1 - RCCL'!L166:L168)</f>
        <v>881662.67999999993</v>
      </c>
      <c r="K301" s="625">
        <f>SUM('P&amp;L - Concept C1 - RCCL'!M166:M168)</f>
        <v>881662.67999999993</v>
      </c>
      <c r="L301" s="625">
        <f>SUM('P&amp;L - Concept C1 - RCCL'!N166:N168)</f>
        <v>881662.67999999993</v>
      </c>
      <c r="M301" s="625">
        <f>SUM('P&amp;L - Concept C1 - RCCL'!O166:O168)</f>
        <v>881662.67999999993</v>
      </c>
      <c r="N301" s="625">
        <f>SUM('P&amp;L - Concept C1 - RCCL'!P166:P168)</f>
        <v>881662.67999999993</v>
      </c>
      <c r="O301" s="625">
        <f>SUM('P&amp;L - Concept C1 - RCCL'!Q166:Q168)</f>
        <v>881662.67999999993</v>
      </c>
      <c r="P301" s="625">
        <f>SUM('P&amp;L - Concept C1 - RCCL'!R166:R168)</f>
        <v>881662.67999999993</v>
      </c>
      <c r="Q301" s="625">
        <f>SUM('P&amp;L - Concept C1 - RCCL'!S166:S168)</f>
        <v>881662.67999999993</v>
      </c>
      <c r="R301" s="625">
        <f>SUM('P&amp;L - Concept C1 - RCCL'!T166:T168)</f>
        <v>881662.67999999993</v>
      </c>
      <c r="S301" s="625">
        <f>SUM('P&amp;L - Concept C1 - RCCL'!U166:U168)</f>
        <v>881662.67999999993</v>
      </c>
      <c r="T301" s="625">
        <f>SUM('P&amp;L - Concept C1 - RCCL'!V166:V168)</f>
        <v>881662.67999999993</v>
      </c>
      <c r="U301" s="625">
        <f>SUM('P&amp;L - Concept C1 - RCCL'!W166:W168)</f>
        <v>881662.67999999993</v>
      </c>
      <c r="V301" s="625">
        <f>SUM('P&amp;L - Concept C1 - RCCL'!X166:X168)</f>
        <v>881662.67999999993</v>
      </c>
      <c r="W301" s="903">
        <f t="shared" si="15"/>
        <v>17633253.599999998</v>
      </c>
      <c r="X301" s="900">
        <f>SUM(W300:W301)</f>
        <v>19592402.516178593</v>
      </c>
    </row>
    <row r="302" spans="1:27">
      <c r="A302" s="32"/>
      <c r="B302" s="32"/>
      <c r="C302" s="625"/>
      <c r="D302" s="625"/>
      <c r="E302" s="625"/>
      <c r="F302" s="625"/>
      <c r="G302" s="625"/>
      <c r="H302" s="625"/>
      <c r="I302" s="625"/>
      <c r="J302" s="625"/>
      <c r="K302" s="625"/>
      <c r="L302" s="625"/>
      <c r="M302" s="625"/>
      <c r="N302" s="625"/>
      <c r="O302" s="625"/>
      <c r="P302" s="625"/>
      <c r="Q302" s="625"/>
      <c r="R302" s="625"/>
      <c r="S302" s="625"/>
      <c r="T302" s="625"/>
      <c r="U302" s="625"/>
      <c r="V302" s="625"/>
      <c r="W302" s="903"/>
      <c r="Z302" s="900">
        <f>SUM(W297,W300:W301)</f>
        <v>40585899.785819769</v>
      </c>
    </row>
    <row r="303" spans="1:27">
      <c r="A303" s="32" t="s">
        <v>138</v>
      </c>
      <c r="B303" s="32"/>
      <c r="C303" s="625">
        <f>'P&amp;L - Concept C1 - RCCL'!E171</f>
        <v>-148033.33333333331</v>
      </c>
      <c r="D303" s="625">
        <f>'P&amp;L - Concept C1 - RCCL'!F171</f>
        <v>457872.88790421456</v>
      </c>
      <c r="E303" s="625">
        <f>'P&amp;L - Concept C1 - RCCL'!G171</f>
        <v>610959.31766229868</v>
      </c>
      <c r="F303" s="625">
        <f>'P&amp;L - Concept C1 - RCCL'!H171</f>
        <v>622958.50401554466</v>
      </c>
      <c r="G303" s="625">
        <f>'P&amp;L - Concept C1 - RCCL'!I171</f>
        <v>635197.67409585579</v>
      </c>
      <c r="H303" s="625">
        <f>'P&amp;L - Concept C1 - RCCL'!J171</f>
        <v>836275.59600479482</v>
      </c>
      <c r="I303" s="625">
        <f>'P&amp;L - Concept C1 - RCCL'!K171</f>
        <v>852979.26977081434</v>
      </c>
      <c r="J303" s="625">
        <f>'P&amp;L - Concept C1 - RCCL'!L171</f>
        <v>865480.09822178644</v>
      </c>
      <c r="K303" s="625">
        <f>'P&amp;L - Concept C1 - RCCL'!M171</f>
        <v>878230.94324177783</v>
      </c>
      <c r="L303" s="625">
        <f>'P&amp;L - Concept C1 - RCCL'!N171</f>
        <v>891236.80516216857</v>
      </c>
      <c r="M303" s="625">
        <f>'P&amp;L - Concept C1 - RCCL'!O171</f>
        <v>954934.24333652051</v>
      </c>
      <c r="N303" s="625">
        <f>'P&amp;L - Concept C1 - RCCL'!P171</f>
        <v>972856.04486849823</v>
      </c>
      <c r="O303" s="625">
        <f>'P&amp;L - Concept C1 - RCCL'!Q171</f>
        <v>986657.96958531218</v>
      </c>
      <c r="P303" s="625">
        <f>'P&amp;L - Concept C1 - RCCL'!R171</f>
        <v>1000735.9327964633</v>
      </c>
      <c r="Q303" s="625">
        <f>'P&amp;L - Concept C1 - RCCL'!S171</f>
        <v>1015095.4552718368</v>
      </c>
      <c r="R303" s="625">
        <f>'P&amp;L - Concept C1 - RCCL'!T171</f>
        <v>1080337.0641714351</v>
      </c>
      <c r="S303" s="625">
        <f>'P&amp;L - Concept C1 - RCCL'!U171</f>
        <v>1099603.7771856522</v>
      </c>
      <c r="T303" s="625">
        <f>'P&amp;L - Concept C1 - RCCL'!V171</f>
        <v>1114842.2173126985</v>
      </c>
      <c r="U303" s="625">
        <f>'P&amp;L - Concept C1 - RCCL'!W171</f>
        <v>1130385.4262422863</v>
      </c>
      <c r="V303" s="625">
        <f>'P&amp;L - Concept C1 - RCCL'!X171</f>
        <v>1146239.4993504651</v>
      </c>
      <c r="W303" s="903">
        <f t="shared" si="15"/>
        <v>17004845.392867092</v>
      </c>
    </row>
    <row r="304" spans="1:27">
      <c r="A304" s="32"/>
      <c r="B304" s="32"/>
      <c r="C304" s="625"/>
      <c r="D304" s="625"/>
      <c r="E304" s="625"/>
      <c r="F304" s="625"/>
      <c r="G304" s="625"/>
      <c r="H304" s="625"/>
      <c r="I304" s="625"/>
      <c r="J304" s="625"/>
      <c r="K304" s="625"/>
      <c r="L304" s="625"/>
      <c r="M304" s="625"/>
      <c r="N304" s="625"/>
      <c r="O304" s="625"/>
      <c r="P304" s="625"/>
      <c r="Q304" s="625"/>
      <c r="R304" s="625"/>
      <c r="S304" s="625"/>
      <c r="T304" s="625"/>
      <c r="U304" s="625"/>
      <c r="V304" s="625"/>
      <c r="W304" s="903"/>
    </row>
    <row r="305" spans="1:27">
      <c r="A305" s="300" t="s">
        <v>130</v>
      </c>
      <c r="B305" s="300"/>
      <c r="C305" s="628">
        <f>'P&amp;L - Concept C1 - RCCL'!E175</f>
        <v>-1029696.0133333332</v>
      </c>
      <c r="D305" s="628">
        <f>'P&amp;L - Concept C1 - RCCL'!F175</f>
        <v>-423789.79209578538</v>
      </c>
      <c r="E305" s="628">
        <f>'P&amp;L - Concept C1 - RCCL'!G175</f>
        <v>-270703.36233770126</v>
      </c>
      <c r="F305" s="628">
        <f>'P&amp;L - Concept C1 - RCCL'!H175</f>
        <v>-258704.17598445527</v>
      </c>
      <c r="G305" s="628">
        <f>'P&amp;L - Concept C1 - RCCL'!I175</f>
        <v>-246465.00590414426</v>
      </c>
      <c r="H305" s="628">
        <f>'P&amp;L - Concept C1 - RCCL'!J175</f>
        <v>-45387.083995205117</v>
      </c>
      <c r="I305" s="628">
        <f>'P&amp;L - Concept C1 - RCCL'!K175</f>
        <v>-28683.410229185596</v>
      </c>
      <c r="J305" s="628">
        <f>'P&amp;L - Concept C1 - RCCL'!L175</f>
        <v>-16182.581778213498</v>
      </c>
      <c r="K305" s="628">
        <f>'P&amp;L - Concept C1 - RCCL'!M175</f>
        <v>-3431.736758222105</v>
      </c>
      <c r="L305" s="628">
        <f>'P&amp;L - Concept C1 - RCCL'!N175</f>
        <v>9574.1251621686388</v>
      </c>
      <c r="M305" s="628">
        <f>'P&amp;L - Concept C1 - RCCL'!O175</f>
        <v>73271.563336520572</v>
      </c>
      <c r="N305" s="628">
        <f>'P&amp;L - Concept C1 - RCCL'!P175</f>
        <v>91193.364868498291</v>
      </c>
      <c r="O305" s="628">
        <f>'P&amp;L - Concept C1 - RCCL'!Q175</f>
        <v>104995.28958531225</v>
      </c>
      <c r="P305" s="628">
        <f>'P&amp;L - Concept C1 - RCCL'!R175</f>
        <v>119073.25279646332</v>
      </c>
      <c r="Q305" s="628">
        <f>'P&amp;L - Concept C1 - RCCL'!S175</f>
        <v>133432.7752718369</v>
      </c>
      <c r="R305" s="628">
        <f>'P&amp;L - Concept C1 - RCCL'!T175</f>
        <v>198674.38417143526</v>
      </c>
      <c r="S305" s="628">
        <f>'P&amp;L - Concept C1 - RCCL'!U175</f>
        <v>217941.09718565235</v>
      </c>
      <c r="T305" s="628">
        <f>'P&amp;L - Concept C1 - RCCL'!V175</f>
        <v>233179.53731269855</v>
      </c>
      <c r="U305" s="628">
        <f>'P&amp;L - Concept C1 - RCCL'!W175</f>
        <v>248722.7462422864</v>
      </c>
      <c r="V305" s="628">
        <f>'P&amp;L - Concept C1 - RCCL'!X175</f>
        <v>264576.81935046532</v>
      </c>
      <c r="W305" s="1057">
        <f>SUM(C305:V305)</f>
        <v>-628408.20713290817</v>
      </c>
    </row>
    <row r="306" spans="1:27">
      <c r="A306" s="32" t="s">
        <v>404</v>
      </c>
      <c r="B306" s="786">
        <f>'P&amp;L - Concept C1 - RCCL'!B176</f>
        <v>-2.1906125203284943E-2</v>
      </c>
      <c r="C306" s="629"/>
      <c r="D306" s="629"/>
      <c r="E306" s="629"/>
      <c r="F306" s="629"/>
      <c r="G306" s="629"/>
      <c r="H306" s="629"/>
      <c r="I306" s="629"/>
      <c r="J306" s="629"/>
      <c r="K306" s="629"/>
      <c r="L306" s="629"/>
      <c r="M306" s="629"/>
      <c r="N306" s="629"/>
      <c r="O306" s="629"/>
      <c r="P306" s="629"/>
      <c r="Q306" s="629"/>
      <c r="R306" s="629"/>
      <c r="S306" s="629"/>
      <c r="T306" s="629"/>
      <c r="U306" s="629"/>
      <c r="V306" s="629"/>
    </row>
    <row r="307" spans="1:27">
      <c r="A307" s="131"/>
      <c r="B307" s="131"/>
      <c r="C307" s="630"/>
      <c r="D307" s="630"/>
      <c r="E307" s="630"/>
      <c r="F307" s="630"/>
      <c r="G307" s="630"/>
      <c r="H307" s="630"/>
      <c r="I307" s="630"/>
      <c r="J307" s="630"/>
      <c r="K307" s="630"/>
      <c r="L307" s="630"/>
      <c r="M307" s="630"/>
      <c r="N307" s="630"/>
      <c r="O307" s="630"/>
      <c r="P307" s="630"/>
      <c r="Q307" s="630"/>
      <c r="R307" s="630"/>
      <c r="S307" s="630"/>
      <c r="T307" s="630"/>
      <c r="U307" s="630"/>
      <c r="V307" s="630"/>
      <c r="AA307" s="900">
        <f>W305+3600000</f>
        <v>2971591.792867092</v>
      </c>
    </row>
    <row r="308" spans="1:27" s="32" customFormat="1">
      <c r="C308" s="625"/>
      <c r="D308" s="625"/>
      <c r="E308" s="625"/>
      <c r="F308" s="625"/>
      <c r="G308" s="625"/>
      <c r="H308" s="625"/>
      <c r="I308" s="625"/>
      <c r="J308" s="625"/>
      <c r="K308" s="625"/>
      <c r="L308" s="625"/>
      <c r="M308" s="625"/>
      <c r="N308" s="625"/>
      <c r="O308" s="625"/>
      <c r="P308" s="625"/>
      <c r="Q308" s="625"/>
      <c r="R308" s="625"/>
      <c r="S308" s="625"/>
      <c r="T308" s="625"/>
      <c r="U308" s="625"/>
      <c r="V308" s="625"/>
      <c r="W308" s="905"/>
      <c r="X308" s="904"/>
      <c r="Y308" s="904"/>
      <c r="Z308" s="904"/>
      <c r="AA308" s="904"/>
    </row>
    <row r="309" spans="1:27" s="32" customFormat="1">
      <c r="A309" s="47" t="s">
        <v>7</v>
      </c>
      <c r="B309" s="47"/>
      <c r="C309" s="47" t="s">
        <v>7</v>
      </c>
      <c r="D309" s="47" t="s">
        <v>7</v>
      </c>
      <c r="E309" s="47" t="s">
        <v>7</v>
      </c>
      <c r="F309" s="47" t="s">
        <v>7</v>
      </c>
      <c r="G309" s="47" t="s">
        <v>7</v>
      </c>
      <c r="H309" s="47" t="s">
        <v>7</v>
      </c>
      <c r="I309" s="47" t="s">
        <v>7</v>
      </c>
      <c r="J309" s="47" t="s">
        <v>7</v>
      </c>
      <c r="K309" s="47" t="s">
        <v>7</v>
      </c>
      <c r="L309" s="47" t="s">
        <v>7</v>
      </c>
      <c r="M309" s="47" t="s">
        <v>7</v>
      </c>
      <c r="N309" s="47" t="s">
        <v>7</v>
      </c>
      <c r="O309" s="47" t="s">
        <v>7</v>
      </c>
      <c r="P309" s="47" t="s">
        <v>7</v>
      </c>
      <c r="Q309" s="47" t="s">
        <v>7</v>
      </c>
      <c r="R309" s="47" t="s">
        <v>7</v>
      </c>
      <c r="S309" s="47" t="s">
        <v>7</v>
      </c>
      <c r="T309" s="47" t="s">
        <v>7</v>
      </c>
      <c r="U309" s="47" t="s">
        <v>7</v>
      </c>
      <c r="V309" s="47" t="s">
        <v>7</v>
      </c>
      <c r="W309" s="905"/>
      <c r="X309" s="904"/>
      <c r="Y309" s="904"/>
      <c r="Z309" s="904"/>
      <c r="AA309" s="904"/>
    </row>
    <row r="310" spans="1:27">
      <c r="C310" s="629"/>
      <c r="D310" s="629"/>
      <c r="E310" s="629"/>
      <c r="F310" s="629"/>
      <c r="G310" s="629"/>
      <c r="H310" s="629"/>
      <c r="I310" s="629"/>
      <c r="J310" s="629"/>
      <c r="K310" s="629"/>
      <c r="L310" s="629"/>
      <c r="M310" s="629"/>
      <c r="N310" s="629"/>
      <c r="O310" s="629"/>
      <c r="P310" s="629"/>
      <c r="Q310" s="629"/>
      <c r="R310" s="629"/>
      <c r="S310" s="629"/>
      <c r="T310" s="629"/>
      <c r="U310" s="629"/>
      <c r="V310" s="629"/>
    </row>
    <row r="311" spans="1:27">
      <c r="A311" s="29"/>
      <c r="B311" s="72"/>
      <c r="C311" s="71">
        <v>2019</v>
      </c>
      <c r="D311" s="71">
        <v>2020</v>
      </c>
      <c r="E311" s="71">
        <v>2021</v>
      </c>
      <c r="F311" s="71">
        <v>2022</v>
      </c>
      <c r="G311" s="71">
        <v>2023</v>
      </c>
      <c r="H311" s="71">
        <v>2024</v>
      </c>
      <c r="I311" s="71">
        <v>2025</v>
      </c>
      <c r="J311" s="71">
        <v>2026</v>
      </c>
      <c r="K311" s="71">
        <v>2027</v>
      </c>
      <c r="L311" s="71">
        <v>2028</v>
      </c>
      <c r="M311" s="71">
        <v>2029</v>
      </c>
      <c r="N311" s="71">
        <v>2030</v>
      </c>
      <c r="O311" s="71">
        <v>2031</v>
      </c>
      <c r="P311" s="71">
        <v>2032</v>
      </c>
      <c r="Q311" s="71">
        <v>2033</v>
      </c>
      <c r="R311" s="71">
        <v>2034</v>
      </c>
      <c r="S311" s="71">
        <v>2035</v>
      </c>
      <c r="T311" s="71">
        <v>2036</v>
      </c>
      <c r="U311" s="71">
        <v>2037</v>
      </c>
      <c r="V311" s="71">
        <v>2038</v>
      </c>
    </row>
    <row r="312" spans="1:27">
      <c r="C312" s="629"/>
      <c r="D312" s="629"/>
      <c r="E312" s="629"/>
      <c r="F312" s="629"/>
      <c r="G312" s="629"/>
      <c r="H312" s="629"/>
      <c r="I312" s="629"/>
      <c r="J312" s="629"/>
      <c r="K312" s="629"/>
      <c r="L312" s="629"/>
      <c r="M312" s="629"/>
      <c r="N312" s="629"/>
      <c r="O312" s="629"/>
      <c r="P312" s="629"/>
      <c r="Q312" s="629"/>
      <c r="R312" s="629"/>
      <c r="S312" s="629"/>
      <c r="T312" s="629"/>
      <c r="U312" s="629"/>
      <c r="V312" s="629"/>
    </row>
    <row r="313" spans="1:27">
      <c r="A313" s="266" t="s">
        <v>400</v>
      </c>
      <c r="B313" s="266"/>
      <c r="C313" s="631"/>
      <c r="D313" s="631"/>
      <c r="E313" s="631"/>
      <c r="F313" s="631"/>
      <c r="G313" s="631"/>
      <c r="H313" s="631"/>
      <c r="I313" s="631"/>
      <c r="J313" s="631"/>
      <c r="K313" s="631"/>
      <c r="L313" s="631"/>
      <c r="M313" s="631"/>
      <c r="N313" s="631"/>
      <c r="O313" s="631"/>
      <c r="P313" s="631"/>
      <c r="Q313" s="631"/>
      <c r="R313" s="631"/>
      <c r="S313" s="631"/>
      <c r="T313" s="631"/>
      <c r="U313" s="631"/>
      <c r="V313" s="631"/>
    </row>
    <row r="314" spans="1:27">
      <c r="A314" s="26"/>
      <c r="B314" s="26"/>
      <c r="C314" s="632"/>
      <c r="D314" s="632"/>
      <c r="E314" s="632"/>
      <c r="F314" s="632"/>
      <c r="G314" s="632"/>
      <c r="H314" s="632"/>
      <c r="I314" s="632"/>
      <c r="J314" s="632"/>
      <c r="K314" s="632"/>
      <c r="L314" s="632"/>
      <c r="M314" s="632"/>
      <c r="N314" s="632"/>
      <c r="O314" s="632"/>
      <c r="P314" s="632"/>
      <c r="Q314" s="632"/>
      <c r="R314" s="632"/>
      <c r="S314" s="632"/>
      <c r="T314" s="632"/>
      <c r="U314" s="632"/>
      <c r="V314" s="632"/>
    </row>
    <row r="315" spans="1:27">
      <c r="A315" s="32" t="s">
        <v>148</v>
      </c>
      <c r="B315" s="32"/>
      <c r="C315" s="625">
        <f>'P&amp;L - Concept C1 - NCLH'!E120</f>
        <v>219825</v>
      </c>
      <c r="D315" s="625">
        <f>'P&amp;L - Concept C1 - NCLH'!F120</f>
        <v>1166362.2374642405</v>
      </c>
      <c r="E315" s="625">
        <f>'P&amp;L - Concept C1 - NCLH'!G120</f>
        <v>1334741.882213525</v>
      </c>
      <c r="F315" s="625">
        <f>'P&amp;L - Concept C1 - NCLH'!H120</f>
        <v>1361216.7198577956</v>
      </c>
      <c r="G315" s="625">
        <f>'P&amp;L - Concept C1 - NCLH'!I120</f>
        <v>1388221.0542549517</v>
      </c>
      <c r="H315" s="625">
        <f>'P&amp;L - Concept C1 - NCLH'!J120</f>
        <v>1632703.3225622727</v>
      </c>
      <c r="I315" s="625">
        <f>'P&amp;L - Concept C1 - NCLH'!K120</f>
        <v>1660798.6320690739</v>
      </c>
      <c r="J315" s="625">
        <f>'P&amp;L - Concept C1 - NCLH'!L120</f>
        <v>1689455.8477660108</v>
      </c>
      <c r="K315" s="625">
        <f>'P&amp;L - Concept C1 - NCLH'!M120</f>
        <v>1718686.2077768869</v>
      </c>
      <c r="L315" s="625">
        <f>'P&amp;L - Concept C1 - NCLH'!N120</f>
        <v>1748501.1749879804</v>
      </c>
      <c r="M315" s="625">
        <f>'P&amp;L - Concept C1 - NCLH'!O120</f>
        <v>1833734.4033488513</v>
      </c>
      <c r="N315" s="625">
        <f>'P&amp;L - Concept C1 - NCLH'!P120</f>
        <v>1864753.8952352726</v>
      </c>
      <c r="O315" s="625">
        <f>'P&amp;L - Concept C1 - NCLH'!Q120</f>
        <v>1896393.776959422</v>
      </c>
      <c r="P315" s="625">
        <f>'P&amp;L - Concept C1 - NCLH'!R120</f>
        <v>1928666.456318055</v>
      </c>
      <c r="Q315" s="625">
        <f>'P&amp;L - Concept C1 - NCLH'!S120</f>
        <v>1961584.5892638606</v>
      </c>
      <c r="R315" s="625">
        <f>'P&amp;L - Concept C1 - NCLH'!T120</f>
        <v>2050083.0466741377</v>
      </c>
      <c r="S315" s="625">
        <f>'P&amp;L - Concept C1 - NCLH'!U120</f>
        <v>2084331.0721909541</v>
      </c>
      <c r="T315" s="625">
        <f>'P&amp;L - Concept C1 - NCLH'!V120</f>
        <v>2119264.0582181066</v>
      </c>
      <c r="U315" s="625">
        <f>'P&amp;L - Concept C1 - NCLH'!W120</f>
        <v>2154895.7039658017</v>
      </c>
      <c r="V315" s="625">
        <f>'P&amp;L - Concept C1 - NCLH'!X120</f>
        <v>2191239.9826284517</v>
      </c>
      <c r="W315" s="903">
        <f t="shared" ref="W315:W322" si="16">SUM(C315:V315)</f>
        <v>34005459.063755654</v>
      </c>
    </row>
    <row r="316" spans="1:27">
      <c r="A316" s="369" t="s">
        <v>140</v>
      </c>
      <c r="B316" s="369"/>
      <c r="C316" s="626">
        <f>'P&amp;L - Concept C1 - NCLH'!E153</f>
        <v>367858.33333333331</v>
      </c>
      <c r="D316" s="626">
        <f>'P&amp;L - Concept C1 - NCLH'!F153</f>
        <v>883304.84615384613</v>
      </c>
      <c r="E316" s="626">
        <f>'P&amp;L - Concept C1 - NCLH'!G153</f>
        <v>902094.3710769231</v>
      </c>
      <c r="F316" s="626">
        <f>'P&amp;L - Concept C1 - NCLH'!H153</f>
        <v>920136.25849846145</v>
      </c>
      <c r="G316" s="626">
        <f>'P&amp;L - Concept C1 - NCLH'!I153</f>
        <v>938538.98366843082</v>
      </c>
      <c r="H316" s="626">
        <f>'P&amp;L - Concept C1 - NCLH'!J153</f>
        <v>985653.64213699941</v>
      </c>
      <c r="I316" s="626">
        <f>'P&amp;L - Concept C1 - NCLH'!K153</f>
        <v>1000829.7961893713</v>
      </c>
      <c r="J316" s="626">
        <f>'P&amp;L - Concept C1 - NCLH'!L153</f>
        <v>1020846.3921131587</v>
      </c>
      <c r="K316" s="626">
        <f>'P&amp;L - Concept C1 - NCLH'!M153</f>
        <v>1041263.3199554221</v>
      </c>
      <c r="L316" s="626">
        <f>'P&amp;L - Concept C1 - NCLH'!N153</f>
        <v>1062088.5863545304</v>
      </c>
      <c r="M316" s="626">
        <f>'P&amp;L - Concept C1 - NCLH'!O153</f>
        <v>1087720.8608716237</v>
      </c>
      <c r="N316" s="626">
        <f>'P&amp;L - Concept C1 - NCLH'!P153</f>
        <v>1104996.9652432539</v>
      </c>
      <c r="O316" s="626">
        <f>'P&amp;L - Concept C1 - NCLH'!Q153</f>
        <v>1127096.9045481186</v>
      </c>
      <c r="P316" s="626">
        <f>'P&amp;L - Concept C1 - NCLH'!R153</f>
        <v>1149638.8426390809</v>
      </c>
      <c r="Q316" s="626">
        <f>'P&amp;L - Concept C1 - NCLH'!S153</f>
        <v>1172631.6194918626</v>
      </c>
      <c r="R316" s="626">
        <f>'P&amp;L - Concept C1 - NCLH'!T153</f>
        <v>1200411.3177125379</v>
      </c>
      <c r="S316" s="626">
        <f>'P&amp;L - Concept C1 - NCLH'!U153</f>
        <v>1220005.9369193341</v>
      </c>
      <c r="T316" s="626">
        <f>'P&amp;L - Concept C1 - NCLH'!V153</f>
        <v>1244406.0556577207</v>
      </c>
      <c r="U316" s="626">
        <f>'P&amp;L - Concept C1 - NCLH'!W153</f>
        <v>1269294.1767708752</v>
      </c>
      <c r="V316" s="626">
        <f>'P&amp;L - Concept C1 - NCLH'!X153</f>
        <v>1294680.0603062927</v>
      </c>
      <c r="W316" s="903">
        <f t="shared" si="16"/>
        <v>20993497.26964118</v>
      </c>
    </row>
    <row r="317" spans="1:27">
      <c r="A317" s="26" t="s">
        <v>116</v>
      </c>
      <c r="B317" s="26"/>
      <c r="C317" s="625">
        <f>'P&amp;L - Concept C1 - NCLH'!E157</f>
        <v>-148033.33333333331</v>
      </c>
      <c r="D317" s="625">
        <f>'P&amp;L - Concept C1 - NCLH'!F157</f>
        <v>283057.39131039439</v>
      </c>
      <c r="E317" s="625">
        <f>'P&amp;L - Concept C1 - NCLH'!G157</f>
        <v>432647.51113660191</v>
      </c>
      <c r="F317" s="625">
        <f>'P&amp;L - Concept C1 - NCLH'!H157</f>
        <v>441080.46135933418</v>
      </c>
      <c r="G317" s="625">
        <f>'P&amp;L - Concept C1 - NCLH'!I157</f>
        <v>449682.07058652083</v>
      </c>
      <c r="H317" s="625">
        <f>'P&amp;L - Concept C1 - NCLH'!J157</f>
        <v>647049.68042527325</v>
      </c>
      <c r="I317" s="625">
        <f>'P&amp;L - Concept C1 - NCLH'!K157</f>
        <v>659968.83587970259</v>
      </c>
      <c r="J317" s="625">
        <f>'P&amp;L - Concept C1 - NCLH'!L157</f>
        <v>668609.45565285208</v>
      </c>
      <c r="K317" s="625">
        <f>'P&amp;L - Concept C1 - NCLH'!M157</f>
        <v>677422.8878214648</v>
      </c>
      <c r="L317" s="625">
        <f>'P&amp;L - Concept C1 - NCLH'!N157</f>
        <v>686412.58863344998</v>
      </c>
      <c r="M317" s="625">
        <f>'P&amp;L - Concept C1 - NCLH'!O157</f>
        <v>746013.54247722751</v>
      </c>
      <c r="N317" s="625">
        <f>'P&amp;L - Concept C1 - NCLH'!P157</f>
        <v>759756.92999201873</v>
      </c>
      <c r="O317" s="625">
        <f>'P&amp;L - Concept C1 - NCLH'!Q157</f>
        <v>769296.87241130346</v>
      </c>
      <c r="P317" s="625">
        <f>'P&amp;L - Concept C1 - NCLH'!R157</f>
        <v>779027.6136789741</v>
      </c>
      <c r="Q317" s="625">
        <f>'P&amp;L - Concept C1 - NCLH'!S157</f>
        <v>788952.969771998</v>
      </c>
      <c r="R317" s="625">
        <f>'P&amp;L - Concept C1 - NCLH'!T157</f>
        <v>849671.72896159976</v>
      </c>
      <c r="S317" s="625">
        <f>'P&amp;L - Concept C1 - NCLH'!U157</f>
        <v>864325.13527162001</v>
      </c>
      <c r="T317" s="625">
        <f>'P&amp;L - Concept C1 - NCLH'!V157</f>
        <v>874858.00256038597</v>
      </c>
      <c r="U317" s="625">
        <f>'P&amp;L - Concept C1 - NCLH'!W157</f>
        <v>885601.52719492652</v>
      </c>
      <c r="V317" s="625">
        <f>'P&amp;L - Concept C1 - NCLH'!X157</f>
        <v>896559.92232215893</v>
      </c>
      <c r="W317" s="903">
        <f t="shared" si="16"/>
        <v>13011961.794114474</v>
      </c>
    </row>
    <row r="318" spans="1:27">
      <c r="A318" s="32"/>
      <c r="B318" s="32"/>
      <c r="C318" s="625"/>
      <c r="D318" s="625"/>
      <c r="E318" s="625"/>
      <c r="F318" s="625"/>
      <c r="G318" s="625"/>
      <c r="H318" s="625"/>
      <c r="I318" s="625"/>
      <c r="J318" s="625"/>
      <c r="K318" s="625"/>
      <c r="L318" s="625"/>
      <c r="M318" s="625"/>
      <c r="N318" s="625"/>
      <c r="O318" s="625"/>
      <c r="P318" s="625"/>
      <c r="Q318" s="625"/>
      <c r="R318" s="625"/>
      <c r="S318" s="625"/>
      <c r="T318" s="625"/>
      <c r="U318" s="625"/>
      <c r="V318" s="625"/>
      <c r="W318" s="903"/>
    </row>
    <row r="319" spans="1:27">
      <c r="A319" s="32" t="s">
        <v>136</v>
      </c>
      <c r="B319" s="32"/>
      <c r="C319" s="625">
        <f>'P&amp;L - Concept C1 - NCLH'!E165</f>
        <v>0</v>
      </c>
      <c r="D319" s="625">
        <f>'P&amp;L - Concept C1 - NCLH'!F165</f>
        <v>85775</v>
      </c>
      <c r="E319" s="625">
        <f>'P&amp;L - Concept C1 - NCLH'!G165</f>
        <v>87490.5</v>
      </c>
      <c r="F319" s="625">
        <f>'P&amp;L - Concept C1 - NCLH'!H165</f>
        <v>89240.31</v>
      </c>
      <c r="G319" s="625">
        <f>'P&amp;L - Concept C1 - NCLH'!I165</f>
        <v>91025.116199999989</v>
      </c>
      <c r="H319" s="625">
        <f>'P&amp;L - Concept C1 - NCLH'!J165</f>
        <v>92845.618524000005</v>
      </c>
      <c r="I319" s="625">
        <f>'P&amp;L - Concept C1 - NCLH'!K165</f>
        <v>94702.530894480005</v>
      </c>
      <c r="J319" s="625">
        <f>'P&amp;L - Concept C1 - NCLH'!L165</f>
        <v>96596.581512369608</v>
      </c>
      <c r="K319" s="625">
        <f>'P&amp;L - Concept C1 - NCLH'!M165</f>
        <v>98528.513142616997</v>
      </c>
      <c r="L319" s="625">
        <f>'P&amp;L - Concept C1 - NCLH'!N165</f>
        <v>100499.08340546934</v>
      </c>
      <c r="M319" s="625">
        <f>'P&amp;L - Concept C1 - NCLH'!O165</f>
        <v>102509.06507357873</v>
      </c>
      <c r="N319" s="625">
        <f>'P&amp;L - Concept C1 - NCLH'!P165</f>
        <v>104559.24637505031</v>
      </c>
      <c r="O319" s="625">
        <f>'P&amp;L - Concept C1 - NCLH'!Q165</f>
        <v>106650.43130255131</v>
      </c>
      <c r="P319" s="625">
        <f>'P&amp;L - Concept C1 - NCLH'!R165</f>
        <v>108783.43992860234</v>
      </c>
      <c r="Q319" s="625">
        <f>'P&amp;L - Concept C1 - NCLH'!S165</f>
        <v>110959.10872717437</v>
      </c>
      <c r="R319" s="625">
        <f>'P&amp;L - Concept C1 - NCLH'!T165</f>
        <v>113178.29090171788</v>
      </c>
      <c r="S319" s="625">
        <f>'P&amp;L - Concept C1 - NCLH'!U165</f>
        <v>115441.85671975224</v>
      </c>
      <c r="T319" s="625">
        <f>'P&amp;L - Concept C1 - NCLH'!V165</f>
        <v>117750.69385414729</v>
      </c>
      <c r="U319" s="625">
        <f>'P&amp;L - Concept C1 - NCLH'!W165</f>
        <v>120105.70773123024</v>
      </c>
      <c r="V319" s="625">
        <f>'P&amp;L - Concept C1 - NCLH'!X165</f>
        <v>122507.82188585485</v>
      </c>
      <c r="W319" s="903">
        <f t="shared" si="16"/>
        <v>1959148.9161785957</v>
      </c>
    </row>
    <row r="320" spans="1:27">
      <c r="A320" s="32" t="s">
        <v>127</v>
      </c>
      <c r="B320" s="32"/>
      <c r="C320" s="625">
        <f>SUM('P&amp;L - Concept C1 - NCLH'!E166:E168)</f>
        <v>881662.67999999993</v>
      </c>
      <c r="D320" s="625">
        <f>SUM('P&amp;L - Concept C1 - NCLH'!F166:F168)</f>
        <v>881662.67999999993</v>
      </c>
      <c r="E320" s="625">
        <f>SUM('P&amp;L - Concept C1 - NCLH'!G166:G168)</f>
        <v>881662.67999999993</v>
      </c>
      <c r="F320" s="625">
        <f>SUM('P&amp;L - Concept C1 - NCLH'!H166:H168)</f>
        <v>881662.67999999993</v>
      </c>
      <c r="G320" s="625">
        <f>SUM('P&amp;L - Concept C1 - NCLH'!I166:I168)</f>
        <v>881662.67999999993</v>
      </c>
      <c r="H320" s="625">
        <f>SUM('P&amp;L - Concept C1 - NCLH'!J166:J168)</f>
        <v>881662.67999999993</v>
      </c>
      <c r="I320" s="625">
        <f>SUM('P&amp;L - Concept C1 - NCLH'!K166:K168)</f>
        <v>881662.67999999993</v>
      </c>
      <c r="J320" s="625">
        <f>SUM('P&amp;L - Concept C1 - NCLH'!L166:L168)</f>
        <v>881662.67999999993</v>
      </c>
      <c r="K320" s="625">
        <f>SUM('P&amp;L - Concept C1 - NCLH'!M166:M168)</f>
        <v>881662.67999999993</v>
      </c>
      <c r="L320" s="625">
        <f>SUM('P&amp;L - Concept C1 - NCLH'!N166:N168)</f>
        <v>881662.67999999993</v>
      </c>
      <c r="M320" s="625">
        <f>SUM('P&amp;L - Concept C1 - NCLH'!O166:O168)</f>
        <v>881662.67999999993</v>
      </c>
      <c r="N320" s="625">
        <f>SUM('P&amp;L - Concept C1 - NCLH'!P166:P168)</f>
        <v>881662.67999999993</v>
      </c>
      <c r="O320" s="625">
        <f>SUM('P&amp;L - Concept C1 - NCLH'!Q166:Q168)</f>
        <v>881662.67999999993</v>
      </c>
      <c r="P320" s="625">
        <f>SUM('P&amp;L - Concept C1 - NCLH'!R166:R168)</f>
        <v>881662.67999999993</v>
      </c>
      <c r="Q320" s="625">
        <f>SUM('P&amp;L - Concept C1 - NCLH'!S166:S168)</f>
        <v>881662.67999999993</v>
      </c>
      <c r="R320" s="625">
        <f>SUM('P&amp;L - Concept C1 - NCLH'!T166:T168)</f>
        <v>881662.67999999993</v>
      </c>
      <c r="S320" s="625">
        <f>SUM('P&amp;L - Concept C1 - NCLH'!U166:U168)</f>
        <v>881662.67999999993</v>
      </c>
      <c r="T320" s="625">
        <f>SUM('P&amp;L - Concept C1 - NCLH'!V166:V168)</f>
        <v>881662.67999999993</v>
      </c>
      <c r="U320" s="625">
        <f>SUM('P&amp;L - Concept C1 - NCLH'!W166:W168)</f>
        <v>881662.67999999993</v>
      </c>
      <c r="V320" s="625">
        <f>SUM('P&amp;L - Concept C1 - NCLH'!X166:X168)</f>
        <v>881662.67999999993</v>
      </c>
      <c r="W320" s="903">
        <f t="shared" si="16"/>
        <v>17633253.599999998</v>
      </c>
      <c r="X320" s="900">
        <f>SUM(W319:W320)</f>
        <v>19592402.516178593</v>
      </c>
    </row>
    <row r="321" spans="1:27">
      <c r="A321" s="32"/>
      <c r="B321" s="32"/>
      <c r="C321" s="625"/>
      <c r="D321" s="625"/>
      <c r="E321" s="625"/>
      <c r="F321" s="625"/>
      <c r="G321" s="625"/>
      <c r="H321" s="625"/>
      <c r="I321" s="625"/>
      <c r="J321" s="625"/>
      <c r="K321" s="625"/>
      <c r="L321" s="625"/>
      <c r="M321" s="625"/>
      <c r="N321" s="625"/>
      <c r="O321" s="625"/>
      <c r="P321" s="625"/>
      <c r="Q321" s="625"/>
      <c r="R321" s="625"/>
      <c r="S321" s="625"/>
      <c r="T321" s="625"/>
      <c r="U321" s="625"/>
      <c r="V321" s="625"/>
      <c r="W321" s="903"/>
      <c r="Z321" s="900">
        <f>SUM(W316,W319:W320)</f>
        <v>40585899.785819769</v>
      </c>
    </row>
    <row r="322" spans="1:27">
      <c r="A322" s="32" t="s">
        <v>138</v>
      </c>
      <c r="B322" s="32"/>
      <c r="C322" s="625">
        <f>'P&amp;L - Concept C1 - NCLH'!E171</f>
        <v>-148033.33333333331</v>
      </c>
      <c r="D322" s="625">
        <f>'P&amp;L - Concept C1 - NCLH'!F171</f>
        <v>197282.39131039439</v>
      </c>
      <c r="E322" s="625">
        <f>'P&amp;L - Concept C1 - NCLH'!G171</f>
        <v>345157.01113660191</v>
      </c>
      <c r="F322" s="625">
        <f>'P&amp;L - Concept C1 - NCLH'!H171</f>
        <v>351840.15135933418</v>
      </c>
      <c r="G322" s="625">
        <f>'P&amp;L - Concept C1 - NCLH'!I171</f>
        <v>358656.95438652084</v>
      </c>
      <c r="H322" s="625">
        <f>'P&amp;L - Concept C1 - NCLH'!J171</f>
        <v>554204.06190127321</v>
      </c>
      <c r="I322" s="625">
        <f>'P&amp;L - Concept C1 - NCLH'!K171</f>
        <v>565266.30498522264</v>
      </c>
      <c r="J322" s="625">
        <f>'P&amp;L - Concept C1 - NCLH'!L171</f>
        <v>572012.87414048251</v>
      </c>
      <c r="K322" s="625">
        <f>'P&amp;L - Concept C1 - NCLH'!M171</f>
        <v>578894.37467884785</v>
      </c>
      <c r="L322" s="625">
        <f>'P&amp;L - Concept C1 - NCLH'!N171</f>
        <v>585913.50522798067</v>
      </c>
      <c r="M322" s="625">
        <f>'P&amp;L - Concept C1 - NCLH'!O171</f>
        <v>643504.47740364878</v>
      </c>
      <c r="N322" s="625">
        <f>'P&amp;L - Concept C1 - NCLH'!P171</f>
        <v>655197.68361696845</v>
      </c>
      <c r="O322" s="625">
        <f>'P&amp;L - Concept C1 - NCLH'!Q171</f>
        <v>662646.44110875216</v>
      </c>
      <c r="P322" s="625">
        <f>'P&amp;L - Concept C1 - NCLH'!R171</f>
        <v>670244.17375037179</v>
      </c>
      <c r="Q322" s="625">
        <f>'P&amp;L - Concept C1 - NCLH'!S171</f>
        <v>677993.86104482366</v>
      </c>
      <c r="R322" s="625">
        <f>'P&amp;L - Concept C1 - NCLH'!T171</f>
        <v>736493.43805988191</v>
      </c>
      <c r="S322" s="625">
        <f>'P&amp;L - Concept C1 - NCLH'!U171</f>
        <v>748883.27855186781</v>
      </c>
      <c r="T322" s="625">
        <f>'P&amp;L - Concept C1 - NCLH'!V171</f>
        <v>757107.30870623863</v>
      </c>
      <c r="U322" s="625">
        <f>'P&amp;L - Concept C1 - NCLH'!W171</f>
        <v>765495.81946369633</v>
      </c>
      <c r="V322" s="625">
        <f>'P&amp;L - Concept C1 - NCLH'!X171</f>
        <v>774052.10043630411</v>
      </c>
      <c r="W322" s="903">
        <f t="shared" si="16"/>
        <v>11052812.877935879</v>
      </c>
    </row>
    <row r="323" spans="1:27">
      <c r="A323" s="32"/>
      <c r="B323" s="32"/>
      <c r="C323" s="625"/>
      <c r="D323" s="625"/>
      <c r="E323" s="625"/>
      <c r="F323" s="625"/>
      <c r="G323" s="625"/>
      <c r="H323" s="625"/>
      <c r="I323" s="625"/>
      <c r="J323" s="625"/>
      <c r="K323" s="625"/>
      <c r="L323" s="625"/>
      <c r="M323" s="625"/>
      <c r="N323" s="625"/>
      <c r="O323" s="625"/>
      <c r="P323" s="625"/>
      <c r="Q323" s="625"/>
      <c r="R323" s="625"/>
      <c r="S323" s="625"/>
      <c r="T323" s="625"/>
      <c r="U323" s="625"/>
      <c r="V323" s="625"/>
      <c r="W323" s="903"/>
    </row>
    <row r="324" spans="1:27">
      <c r="A324" s="300" t="s">
        <v>130</v>
      </c>
      <c r="B324" s="300"/>
      <c r="C324" s="628">
        <f>'P&amp;L - Concept C1 - NCLH'!E175</f>
        <v>-1029696.0133333332</v>
      </c>
      <c r="D324" s="628">
        <f>'P&amp;L - Concept C1 - NCLH'!F175</f>
        <v>-684380.28868960554</v>
      </c>
      <c r="E324" s="628">
        <f>'P&amp;L - Concept C1 - NCLH'!G175</f>
        <v>-536505.66886339802</v>
      </c>
      <c r="F324" s="628">
        <f>'P&amp;L - Concept C1 - NCLH'!H175</f>
        <v>-529822.52864066581</v>
      </c>
      <c r="G324" s="628">
        <f>'P&amp;L - Concept C1 - NCLH'!I175</f>
        <v>-523005.72561347915</v>
      </c>
      <c r="H324" s="628">
        <f>'P&amp;L - Concept C1 - NCLH'!J175</f>
        <v>-327458.61809872673</v>
      </c>
      <c r="I324" s="628">
        <f>'P&amp;L - Concept C1 - NCLH'!K175</f>
        <v>-316396.3750147773</v>
      </c>
      <c r="J324" s="628">
        <f>'P&amp;L - Concept C1 - NCLH'!L175</f>
        <v>-309649.80585951742</v>
      </c>
      <c r="K324" s="628">
        <f>'P&amp;L - Concept C1 - NCLH'!M175</f>
        <v>-302768.30532115209</v>
      </c>
      <c r="L324" s="628">
        <f>'P&amp;L - Concept C1 - NCLH'!N175</f>
        <v>-295749.17477201927</v>
      </c>
      <c r="M324" s="628">
        <f>'P&amp;L - Concept C1 - NCLH'!O175</f>
        <v>-238158.20259635116</v>
      </c>
      <c r="N324" s="628">
        <f>'P&amp;L - Concept C1 - NCLH'!P175</f>
        <v>-226464.99638303148</v>
      </c>
      <c r="O324" s="628">
        <f>'P&amp;L - Concept C1 - NCLH'!Q175</f>
        <v>-219016.23889124778</v>
      </c>
      <c r="P324" s="628">
        <f>'P&amp;L - Concept C1 - NCLH'!R175</f>
        <v>-211418.50624962815</v>
      </c>
      <c r="Q324" s="628">
        <f>'P&amp;L - Concept C1 - NCLH'!S175</f>
        <v>-203668.81895517628</v>
      </c>
      <c r="R324" s="628">
        <f>'P&amp;L - Concept C1 - NCLH'!T175</f>
        <v>-145169.24194011802</v>
      </c>
      <c r="S324" s="628">
        <f>'P&amp;L - Concept C1 - NCLH'!U175</f>
        <v>-132779.40144813212</v>
      </c>
      <c r="T324" s="628">
        <f>'P&amp;L - Concept C1 - NCLH'!V175</f>
        <v>-124555.3712937613</v>
      </c>
      <c r="U324" s="628">
        <f>'P&amp;L - Concept C1 - NCLH'!W175</f>
        <v>-116166.8605363036</v>
      </c>
      <c r="V324" s="628">
        <f>'P&amp;L - Concept C1 - NCLH'!X175</f>
        <v>-107610.57956369582</v>
      </c>
      <c r="W324" s="1057">
        <f>SUM(C324:V324)</f>
        <v>-6580440.7220641226</v>
      </c>
    </row>
    <row r="325" spans="1:27">
      <c r="A325" s="32" t="s">
        <v>404</v>
      </c>
      <c r="B325" s="370" t="e">
        <f>'P&amp;L - Concept C1 - NCLH'!B176</f>
        <v>#NUM!</v>
      </c>
      <c r="C325" s="629"/>
      <c r="D325" s="629"/>
      <c r="E325" s="629"/>
      <c r="F325" s="629"/>
      <c r="G325" s="629"/>
      <c r="H325" s="629"/>
      <c r="I325" s="629"/>
      <c r="J325" s="629"/>
      <c r="K325" s="629"/>
      <c r="L325" s="629"/>
      <c r="M325" s="629"/>
      <c r="N325" s="629"/>
      <c r="O325" s="629"/>
      <c r="P325" s="629"/>
      <c r="Q325" s="629"/>
      <c r="R325" s="629"/>
      <c r="S325" s="629"/>
      <c r="T325" s="629"/>
      <c r="U325" s="629"/>
      <c r="V325" s="629"/>
    </row>
    <row r="326" spans="1:27">
      <c r="A326" s="131"/>
      <c r="B326" s="131"/>
      <c r="C326" s="630"/>
      <c r="D326" s="630"/>
      <c r="E326" s="630"/>
      <c r="F326" s="630"/>
      <c r="G326" s="630"/>
      <c r="H326" s="630"/>
      <c r="I326" s="630"/>
      <c r="J326" s="630"/>
      <c r="K326" s="630"/>
      <c r="L326" s="630"/>
      <c r="M326" s="630"/>
      <c r="N326" s="630"/>
      <c r="O326" s="630"/>
      <c r="P326" s="630"/>
      <c r="Q326" s="630"/>
      <c r="R326" s="630"/>
      <c r="S326" s="630"/>
      <c r="T326" s="630"/>
      <c r="U326" s="630"/>
      <c r="V326" s="630"/>
      <c r="AA326" s="900">
        <f>W324+3600000</f>
        <v>-2980440.7220641226</v>
      </c>
    </row>
    <row r="327" spans="1:27" s="32" customFormat="1">
      <c r="C327" s="625"/>
      <c r="D327" s="625"/>
      <c r="E327" s="625"/>
      <c r="F327" s="625"/>
      <c r="G327" s="625"/>
      <c r="H327" s="625"/>
      <c r="I327" s="625"/>
      <c r="J327" s="625"/>
      <c r="K327" s="625"/>
      <c r="L327" s="625"/>
      <c r="M327" s="625"/>
      <c r="N327" s="625"/>
      <c r="O327" s="625"/>
      <c r="P327" s="625"/>
      <c r="Q327" s="625"/>
      <c r="R327" s="625"/>
      <c r="S327" s="625"/>
      <c r="T327" s="625"/>
      <c r="U327" s="625"/>
      <c r="V327" s="625"/>
      <c r="W327" s="905"/>
      <c r="X327" s="904"/>
      <c r="Y327" s="904"/>
      <c r="Z327" s="904"/>
      <c r="AA327" s="904"/>
    </row>
    <row r="328" spans="1:27" s="32" customFormat="1">
      <c r="A328" s="47" t="s">
        <v>7</v>
      </c>
      <c r="B328" s="47"/>
      <c r="C328" s="47" t="s">
        <v>7</v>
      </c>
      <c r="D328" s="47" t="s">
        <v>7</v>
      </c>
      <c r="E328" s="47" t="s">
        <v>7</v>
      </c>
      <c r="F328" s="47" t="s">
        <v>7</v>
      </c>
      <c r="G328" s="47" t="s">
        <v>7</v>
      </c>
      <c r="H328" s="47" t="s">
        <v>7</v>
      </c>
      <c r="I328" s="47" t="s">
        <v>7</v>
      </c>
      <c r="J328" s="47" t="s">
        <v>7</v>
      </c>
      <c r="K328" s="47" t="s">
        <v>7</v>
      </c>
      <c r="L328" s="47" t="s">
        <v>7</v>
      </c>
      <c r="M328" s="47" t="s">
        <v>7</v>
      </c>
      <c r="N328" s="47" t="s">
        <v>7</v>
      </c>
      <c r="O328" s="47" t="s">
        <v>7</v>
      </c>
      <c r="P328" s="47" t="s">
        <v>7</v>
      </c>
      <c r="Q328" s="47" t="s">
        <v>7</v>
      </c>
      <c r="R328" s="47" t="s">
        <v>7</v>
      </c>
      <c r="S328" s="47" t="s">
        <v>7</v>
      </c>
      <c r="T328" s="47" t="s">
        <v>7</v>
      </c>
      <c r="U328" s="47" t="s">
        <v>7</v>
      </c>
      <c r="V328" s="47" t="s">
        <v>7</v>
      </c>
      <c r="W328" s="905"/>
      <c r="X328" s="904"/>
      <c r="Y328" s="904"/>
      <c r="Z328" s="904"/>
      <c r="AA328" s="904"/>
    </row>
    <row r="329" spans="1:27">
      <c r="C329" s="629"/>
      <c r="D329" s="629"/>
      <c r="E329" s="629"/>
      <c r="F329" s="629"/>
      <c r="G329" s="629"/>
      <c r="H329" s="629"/>
      <c r="I329" s="629"/>
      <c r="J329" s="629"/>
      <c r="K329" s="629"/>
      <c r="L329" s="629"/>
      <c r="M329" s="629"/>
      <c r="N329" s="629"/>
      <c r="O329" s="629"/>
      <c r="P329" s="629"/>
      <c r="Q329" s="629"/>
      <c r="R329" s="629"/>
      <c r="S329" s="629"/>
      <c r="T329" s="629"/>
      <c r="U329" s="629"/>
      <c r="V329" s="629"/>
    </row>
    <row r="330" spans="1:27">
      <c r="A330" s="29"/>
      <c r="B330" s="72"/>
      <c r="C330" s="71">
        <v>2019</v>
      </c>
      <c r="D330" s="71">
        <v>2020</v>
      </c>
      <c r="E330" s="71">
        <v>2021</v>
      </c>
      <c r="F330" s="71">
        <v>2022</v>
      </c>
      <c r="G330" s="71">
        <v>2023</v>
      </c>
      <c r="H330" s="71">
        <v>2024</v>
      </c>
      <c r="I330" s="71">
        <v>2025</v>
      </c>
      <c r="J330" s="71">
        <v>2026</v>
      </c>
      <c r="K330" s="71">
        <v>2027</v>
      </c>
      <c r="L330" s="71">
        <v>2028</v>
      </c>
      <c r="M330" s="71">
        <v>2029</v>
      </c>
      <c r="N330" s="71">
        <v>2030</v>
      </c>
      <c r="O330" s="71">
        <v>2031</v>
      </c>
      <c r="P330" s="71">
        <v>2032</v>
      </c>
      <c r="Q330" s="71">
        <v>2033</v>
      </c>
      <c r="R330" s="71">
        <v>2034</v>
      </c>
      <c r="S330" s="71">
        <v>2035</v>
      </c>
      <c r="T330" s="71">
        <v>2036</v>
      </c>
      <c r="U330" s="71">
        <v>2037</v>
      </c>
      <c r="V330" s="71">
        <v>2038</v>
      </c>
    </row>
    <row r="331" spans="1:27">
      <c r="C331" s="629"/>
      <c r="D331" s="629"/>
      <c r="E331" s="629"/>
      <c r="F331" s="629"/>
      <c r="G331" s="629"/>
      <c r="H331" s="629"/>
      <c r="I331" s="629"/>
      <c r="J331" s="629"/>
      <c r="K331" s="629"/>
      <c r="L331" s="629"/>
      <c r="M331" s="629"/>
      <c r="N331" s="629"/>
      <c r="O331" s="629"/>
      <c r="P331" s="629"/>
      <c r="Q331" s="629"/>
      <c r="R331" s="629"/>
      <c r="S331" s="629"/>
      <c r="T331" s="629"/>
      <c r="U331" s="629"/>
      <c r="V331" s="629"/>
    </row>
    <row r="332" spans="1:27" s="341" customFormat="1">
      <c r="A332" s="887" t="s">
        <v>399</v>
      </c>
      <c r="B332" s="887"/>
      <c r="C332" s="888"/>
      <c r="D332" s="888"/>
      <c r="E332" s="888"/>
      <c r="F332" s="888"/>
      <c r="G332" s="888"/>
      <c r="H332" s="888"/>
      <c r="I332" s="888"/>
      <c r="J332" s="888"/>
      <c r="K332" s="888"/>
      <c r="L332" s="888"/>
      <c r="M332" s="888"/>
      <c r="N332" s="888"/>
      <c r="O332" s="888"/>
      <c r="P332" s="888"/>
      <c r="Q332" s="888"/>
      <c r="R332" s="888"/>
      <c r="S332" s="888"/>
      <c r="T332" s="888"/>
      <c r="U332" s="888"/>
      <c r="V332" s="888"/>
      <c r="W332" s="910"/>
      <c r="X332" s="912"/>
      <c r="Y332" s="912"/>
      <c r="Z332" s="912"/>
      <c r="AA332" s="912"/>
    </row>
    <row r="333" spans="1:27" s="341" customFormat="1">
      <c r="A333" s="573"/>
      <c r="B333" s="573"/>
      <c r="C333" s="889"/>
      <c r="D333" s="889"/>
      <c r="E333" s="889"/>
      <c r="F333" s="889"/>
      <c r="G333" s="889"/>
      <c r="H333" s="889"/>
      <c r="I333" s="889"/>
      <c r="J333" s="889"/>
      <c r="K333" s="889"/>
      <c r="L333" s="889"/>
      <c r="M333" s="889"/>
      <c r="N333" s="889"/>
      <c r="O333" s="889"/>
      <c r="P333" s="889"/>
      <c r="Q333" s="889"/>
      <c r="R333" s="889"/>
      <c r="S333" s="889"/>
      <c r="T333" s="889"/>
      <c r="U333" s="889"/>
      <c r="V333" s="889"/>
      <c r="W333" s="910"/>
      <c r="X333" s="912"/>
      <c r="Y333" s="912"/>
      <c r="Z333" s="912"/>
      <c r="AA333" s="912"/>
    </row>
    <row r="334" spans="1:27" s="341" customFormat="1">
      <c r="A334" s="561" t="s">
        <v>148</v>
      </c>
      <c r="B334" s="561"/>
      <c r="C334" s="890">
        <f>'P&amp;L - Concept C1 - All'!E120</f>
        <v>219825</v>
      </c>
      <c r="D334" s="890">
        <f>'P&amp;L - Concept C1 - All'!F120</f>
        <v>1979674.8116687504</v>
      </c>
      <c r="E334" s="890">
        <f>'P&amp;L - Concept C1 - All'!G120</f>
        <v>2164320.7079021251</v>
      </c>
      <c r="F334" s="890">
        <f>'P&amp;L - Concept C1 - All'!H120</f>
        <v>2207387.1220601671</v>
      </c>
      <c r="G334" s="890">
        <f>'P&amp;L - Concept C1 - All'!I120</f>
        <v>2251314.864501371</v>
      </c>
      <c r="H334" s="890">
        <f>'P&amp;L - Concept C1 - All'!J120</f>
        <v>2513059.0090136197</v>
      </c>
      <c r="I334" s="890">
        <f>'P&amp;L - Concept C1 - All'!K120</f>
        <v>2558761.4322494483</v>
      </c>
      <c r="J334" s="890">
        <f>'P&amp;L - Concept C1 - All'!L120</f>
        <v>2605377.9039499923</v>
      </c>
      <c r="K334" s="890">
        <f>'P&amp;L - Concept C1 - All'!M120</f>
        <v>2652926.7050845483</v>
      </c>
      <c r="L334" s="890">
        <f>'P&amp;L - Concept C1 - All'!N120</f>
        <v>2701426.4822417949</v>
      </c>
      <c r="M334" s="890">
        <f>'P&amp;L - Concept C1 - All'!O120</f>
        <v>2805718.2167477431</v>
      </c>
      <c r="N334" s="890">
        <f>'P&amp;L - Concept C1 - All'!P120</f>
        <v>2856177.3849021406</v>
      </c>
      <c r="O334" s="890">
        <f>'P&amp;L - Concept C1 - All'!Q120</f>
        <v>2907645.7364196288</v>
      </c>
      <c r="P334" s="890">
        <f>'P&amp;L - Concept C1 - All'!R120</f>
        <v>2960143.4549674657</v>
      </c>
      <c r="Q334" s="890">
        <f>'P&amp;L - Concept C1 - All'!S120</f>
        <v>3013691.1278862595</v>
      </c>
      <c r="R334" s="890">
        <f>'P&amp;L - Concept C1 - All'!T120</f>
        <v>3123231.7160689849</v>
      </c>
      <c r="S334" s="890">
        <f>'P&amp;L - Concept C1 - All'!U120</f>
        <v>3178942.7149736984</v>
      </c>
      <c r="T334" s="890">
        <f>'P&amp;L - Concept C1 - All'!V120</f>
        <v>3235767.933856505</v>
      </c>
      <c r="U334" s="890">
        <f>'P&amp;L - Concept C1 - All'!W120</f>
        <v>3293729.6571169691</v>
      </c>
      <c r="V334" s="890">
        <f>'P&amp;L - Concept C1 - All'!X120</f>
        <v>3352850.6148426412</v>
      </c>
      <c r="W334" s="914">
        <f t="shared" ref="W334:W341" si="17">SUM(C334:V334)</f>
        <v>52581972.596453846</v>
      </c>
      <c r="X334" s="912"/>
      <c r="Y334" s="912"/>
      <c r="Z334" s="912"/>
      <c r="AA334" s="912"/>
    </row>
    <row r="335" spans="1:27" s="341" customFormat="1">
      <c r="A335" s="891" t="s">
        <v>140</v>
      </c>
      <c r="B335" s="891"/>
      <c r="C335" s="892">
        <f>'P&amp;L - Concept C1 - All'!E153</f>
        <v>367858.33333333331</v>
      </c>
      <c r="D335" s="892">
        <f>'P&amp;L - Concept C1 - All'!F153</f>
        <v>883304.84615384613</v>
      </c>
      <c r="E335" s="892">
        <f>'P&amp;L - Concept C1 - All'!G153</f>
        <v>902094.3710769231</v>
      </c>
      <c r="F335" s="892">
        <f>'P&amp;L - Concept C1 - All'!H153</f>
        <v>920136.25849846145</v>
      </c>
      <c r="G335" s="892">
        <f>'P&amp;L - Concept C1 - All'!I153</f>
        <v>938538.98366843082</v>
      </c>
      <c r="H335" s="892">
        <f>'P&amp;L - Concept C1 - All'!J153</f>
        <v>985653.64213699941</v>
      </c>
      <c r="I335" s="892">
        <f>'P&amp;L - Concept C1 - All'!K153</f>
        <v>1000829.7961893713</v>
      </c>
      <c r="J335" s="892">
        <f>'P&amp;L - Concept C1 - All'!L153</f>
        <v>1020846.3921131587</v>
      </c>
      <c r="K335" s="892">
        <f>'P&amp;L - Concept C1 - All'!M153</f>
        <v>1041263.3199554221</v>
      </c>
      <c r="L335" s="892">
        <f>'P&amp;L - Concept C1 - All'!N153</f>
        <v>1062088.5863545304</v>
      </c>
      <c r="M335" s="892">
        <f>'P&amp;L - Concept C1 - All'!O153</f>
        <v>1087720.8608716237</v>
      </c>
      <c r="N335" s="892">
        <f>'P&amp;L - Concept C1 - All'!P153</f>
        <v>1104996.9652432539</v>
      </c>
      <c r="O335" s="892">
        <f>'P&amp;L - Concept C1 - All'!Q153</f>
        <v>1127096.9045481186</v>
      </c>
      <c r="P335" s="892">
        <f>'P&amp;L - Concept C1 - All'!R153</f>
        <v>1149638.8426390809</v>
      </c>
      <c r="Q335" s="892">
        <f>'P&amp;L - Concept C1 - All'!S153</f>
        <v>1172631.6194918626</v>
      </c>
      <c r="R335" s="892">
        <f>'P&amp;L - Concept C1 - All'!T153</f>
        <v>1200411.3177125379</v>
      </c>
      <c r="S335" s="892">
        <f>'P&amp;L - Concept C1 - All'!U153</f>
        <v>1220005.9369193341</v>
      </c>
      <c r="T335" s="892">
        <f>'P&amp;L - Concept C1 - All'!V153</f>
        <v>1244406.0556577207</v>
      </c>
      <c r="U335" s="892">
        <f>'P&amp;L - Concept C1 - All'!W153</f>
        <v>1269294.1767708752</v>
      </c>
      <c r="V335" s="892">
        <f>'P&amp;L - Concept C1 - All'!X153</f>
        <v>1294680.0603062927</v>
      </c>
      <c r="W335" s="914">
        <f t="shared" si="17"/>
        <v>20993497.26964118</v>
      </c>
      <c r="X335" s="912"/>
      <c r="Y335" s="912"/>
      <c r="Z335" s="912"/>
      <c r="AA335" s="912"/>
    </row>
    <row r="336" spans="1:27" s="341" customFormat="1">
      <c r="A336" s="573" t="s">
        <v>116</v>
      </c>
      <c r="B336" s="573"/>
      <c r="C336" s="890">
        <f>'P&amp;L - Concept C1 - All'!E157</f>
        <v>-148033.33333333331</v>
      </c>
      <c r="D336" s="890">
        <f>'P&amp;L - Concept C1 - All'!F157</f>
        <v>1096369.9655149044</v>
      </c>
      <c r="E336" s="890">
        <f>'P&amp;L - Concept C1 - All'!G157</f>
        <v>1262226.336825202</v>
      </c>
      <c r="F336" s="890">
        <f>'P&amp;L - Concept C1 - All'!H157</f>
        <v>1287250.8635617057</v>
      </c>
      <c r="G336" s="890">
        <f>'P&amp;L - Concept C1 - All'!I157</f>
        <v>1312775.8808329403</v>
      </c>
      <c r="H336" s="890">
        <f>'P&amp;L - Concept C1 - All'!J157</f>
        <v>1527405.3668766203</v>
      </c>
      <c r="I336" s="890">
        <f>'P&amp;L - Concept C1 - All'!K157</f>
        <v>1557931.636060077</v>
      </c>
      <c r="J336" s="890">
        <f>'P&amp;L - Concept C1 - All'!L157</f>
        <v>1584531.5118368336</v>
      </c>
      <c r="K336" s="890">
        <f>'P&amp;L - Concept C1 - All'!M157</f>
        <v>1611663.3851291263</v>
      </c>
      <c r="L336" s="890">
        <f>'P&amp;L - Concept C1 - All'!N157</f>
        <v>1639337.8958872645</v>
      </c>
      <c r="M336" s="890">
        <f>'P&amp;L - Concept C1 - All'!O157</f>
        <v>1717997.3558761193</v>
      </c>
      <c r="N336" s="890">
        <f>'P&amp;L - Concept C1 - All'!P157</f>
        <v>1751180.4196588867</v>
      </c>
      <c r="O336" s="890">
        <f>'P&amp;L - Concept C1 - All'!Q157</f>
        <v>1780548.8318715103</v>
      </c>
      <c r="P336" s="890">
        <f>'P&amp;L - Concept C1 - All'!R157</f>
        <v>1810504.6123283848</v>
      </c>
      <c r="Q336" s="890">
        <f>'P&amp;L - Concept C1 - All'!S157</f>
        <v>1841059.5083943969</v>
      </c>
      <c r="R336" s="890">
        <f>'P&amp;L - Concept C1 - All'!T157</f>
        <v>1922820.398356447</v>
      </c>
      <c r="S336" s="890">
        <f>'P&amp;L - Concept C1 - All'!U157</f>
        <v>1958936.7780543643</v>
      </c>
      <c r="T336" s="890">
        <f>'P&amp;L - Concept C1 - All'!V157</f>
        <v>1991361.8781987843</v>
      </c>
      <c r="U336" s="890">
        <f>'P&amp;L - Concept C1 - All'!W157</f>
        <v>2024435.4803460939</v>
      </c>
      <c r="V336" s="890">
        <f>'P&amp;L - Concept C1 - All'!X157</f>
        <v>2058170.5545363484</v>
      </c>
      <c r="W336" s="914">
        <f t="shared" si="17"/>
        <v>31588475.326812677</v>
      </c>
      <c r="X336" s="912"/>
      <c r="Y336" s="912"/>
      <c r="Z336" s="912"/>
      <c r="AA336" s="912"/>
    </row>
    <row r="337" spans="1:27" s="341" customFormat="1">
      <c r="A337" s="561"/>
      <c r="B337" s="561"/>
      <c r="C337" s="890"/>
      <c r="D337" s="890"/>
      <c r="E337" s="890"/>
      <c r="F337" s="890"/>
      <c r="G337" s="890"/>
      <c r="H337" s="890"/>
      <c r="I337" s="890"/>
      <c r="J337" s="890"/>
      <c r="K337" s="890"/>
      <c r="L337" s="890"/>
      <c r="M337" s="890"/>
      <c r="N337" s="890"/>
      <c r="O337" s="890"/>
      <c r="P337" s="890"/>
      <c r="Q337" s="890"/>
      <c r="R337" s="890"/>
      <c r="S337" s="890"/>
      <c r="T337" s="890"/>
      <c r="U337" s="890"/>
      <c r="V337" s="890"/>
      <c r="W337" s="914"/>
      <c r="X337" s="912"/>
      <c r="Y337" s="912"/>
      <c r="Z337" s="912"/>
      <c r="AA337" s="912"/>
    </row>
    <row r="338" spans="1:27" s="341" customFormat="1">
      <c r="A338" s="561" t="s">
        <v>136</v>
      </c>
      <c r="B338" s="561"/>
      <c r="C338" s="890">
        <f>'P&amp;L - Concept C1 - All'!E165</f>
        <v>0</v>
      </c>
      <c r="D338" s="890">
        <f>'P&amp;L - Concept C1 - All'!F165</f>
        <v>85775</v>
      </c>
      <c r="E338" s="890">
        <f>'P&amp;L - Concept C1 - All'!G165</f>
        <v>87490.5</v>
      </c>
      <c r="F338" s="890">
        <f>'P&amp;L - Concept C1 - All'!H165</f>
        <v>89240.31</v>
      </c>
      <c r="G338" s="890">
        <f>'P&amp;L - Concept C1 - All'!I165</f>
        <v>91025.116199999989</v>
      </c>
      <c r="H338" s="890">
        <f>'P&amp;L - Concept C1 - All'!J165</f>
        <v>92845.618524000005</v>
      </c>
      <c r="I338" s="890">
        <f>'P&amp;L - Concept C1 - All'!K165</f>
        <v>94702.530894480005</v>
      </c>
      <c r="J338" s="890">
        <f>'P&amp;L - Concept C1 - All'!L165</f>
        <v>96596.581512369608</v>
      </c>
      <c r="K338" s="890">
        <f>'P&amp;L - Concept C1 - All'!M165</f>
        <v>98528.513142616997</v>
      </c>
      <c r="L338" s="890">
        <f>'P&amp;L - Concept C1 - All'!N165</f>
        <v>100499.08340546934</v>
      </c>
      <c r="M338" s="890">
        <f>'P&amp;L - Concept C1 - All'!O165</f>
        <v>102509.06507357873</v>
      </c>
      <c r="N338" s="890">
        <f>'P&amp;L - Concept C1 - All'!P165</f>
        <v>104559.24637505031</v>
      </c>
      <c r="O338" s="890">
        <f>'P&amp;L - Concept C1 - All'!Q165</f>
        <v>106650.43130255131</v>
      </c>
      <c r="P338" s="890">
        <f>'P&amp;L - Concept C1 - All'!R165</f>
        <v>108783.43992860234</v>
      </c>
      <c r="Q338" s="890">
        <f>'P&amp;L - Concept C1 - All'!S165</f>
        <v>110959.10872717437</v>
      </c>
      <c r="R338" s="890">
        <f>'P&amp;L - Concept C1 - All'!T165</f>
        <v>113178.29090171788</v>
      </c>
      <c r="S338" s="890">
        <f>'P&amp;L - Concept C1 - All'!U165</f>
        <v>115441.85671975224</v>
      </c>
      <c r="T338" s="890">
        <f>'P&amp;L - Concept C1 - All'!V165</f>
        <v>117750.69385414729</v>
      </c>
      <c r="U338" s="890">
        <f>'P&amp;L - Concept C1 - All'!W165</f>
        <v>120105.70773123024</v>
      </c>
      <c r="V338" s="890">
        <f>'P&amp;L - Concept C1 - All'!X165</f>
        <v>122507.82188585485</v>
      </c>
      <c r="W338" s="914">
        <f t="shared" si="17"/>
        <v>1959148.9161785957</v>
      </c>
      <c r="X338" s="912"/>
      <c r="Y338" s="912"/>
      <c r="Z338" s="912"/>
      <c r="AA338" s="912"/>
    </row>
    <row r="339" spans="1:27" s="341" customFormat="1">
      <c r="A339" s="561" t="s">
        <v>127</v>
      </c>
      <c r="B339" s="561"/>
      <c r="C339" s="890">
        <f>SUM('P&amp;L - Concept C1 - All'!E166:E168)</f>
        <v>881662.67999999993</v>
      </c>
      <c r="D339" s="890">
        <f>SUM('P&amp;L - Concept C1 - All'!F166:F168)</f>
        <v>881662.67999999993</v>
      </c>
      <c r="E339" s="890">
        <f>SUM('P&amp;L - Concept C1 - All'!G166:G168)</f>
        <v>881662.67999999993</v>
      </c>
      <c r="F339" s="890">
        <f>SUM('P&amp;L - Concept C1 - All'!H166:H168)</f>
        <v>881662.67999999993</v>
      </c>
      <c r="G339" s="890">
        <f>SUM('P&amp;L - Concept C1 - All'!I166:I168)</f>
        <v>881662.67999999993</v>
      </c>
      <c r="H339" s="890">
        <f>SUM('P&amp;L - Concept C1 - All'!J166:J168)</f>
        <v>881662.67999999993</v>
      </c>
      <c r="I339" s="890">
        <f>SUM('P&amp;L - Concept C1 - All'!K166:K168)</f>
        <v>881662.67999999993</v>
      </c>
      <c r="J339" s="890">
        <f>SUM('P&amp;L - Concept C1 - All'!L166:L168)</f>
        <v>881662.67999999993</v>
      </c>
      <c r="K339" s="890">
        <f>SUM('P&amp;L - Concept C1 - All'!M166:M168)</f>
        <v>881662.67999999993</v>
      </c>
      <c r="L339" s="890">
        <f>SUM('P&amp;L - Concept C1 - All'!N166:N168)</f>
        <v>881662.67999999993</v>
      </c>
      <c r="M339" s="890">
        <f>SUM('P&amp;L - Concept C1 - All'!O166:O168)</f>
        <v>881662.67999999993</v>
      </c>
      <c r="N339" s="890">
        <f>SUM('P&amp;L - Concept C1 - All'!P166:P168)</f>
        <v>881662.67999999993</v>
      </c>
      <c r="O339" s="890">
        <f>SUM('P&amp;L - Concept C1 - All'!Q166:Q168)</f>
        <v>881662.67999999993</v>
      </c>
      <c r="P339" s="890">
        <f>SUM('P&amp;L - Concept C1 - All'!R166:R168)</f>
        <v>881662.67999999993</v>
      </c>
      <c r="Q339" s="890">
        <f>SUM('P&amp;L - Concept C1 - All'!S166:S168)</f>
        <v>881662.67999999993</v>
      </c>
      <c r="R339" s="890">
        <f>SUM('P&amp;L - Concept C1 - All'!T166:T168)</f>
        <v>881662.67999999993</v>
      </c>
      <c r="S339" s="890">
        <f>SUM('P&amp;L - Concept C1 - All'!U166:U168)</f>
        <v>881662.67999999993</v>
      </c>
      <c r="T339" s="890">
        <f>SUM('P&amp;L - Concept C1 - All'!V166:V168)</f>
        <v>881662.67999999993</v>
      </c>
      <c r="U339" s="890">
        <f>SUM('P&amp;L - Concept C1 - All'!W166:W168)</f>
        <v>881662.67999999993</v>
      </c>
      <c r="V339" s="890">
        <f>SUM('P&amp;L - Concept C1 - All'!X166:X168)</f>
        <v>881662.67999999993</v>
      </c>
      <c r="W339" s="914">
        <f t="shared" si="17"/>
        <v>17633253.599999998</v>
      </c>
      <c r="X339" s="912">
        <f>SUM(W338:W339)</f>
        <v>19592402.516178593</v>
      </c>
      <c r="Y339" s="912"/>
      <c r="Z339" s="912"/>
      <c r="AA339" s="912"/>
    </row>
    <row r="340" spans="1:27" s="341" customFormat="1">
      <c r="A340" s="561"/>
      <c r="B340" s="561"/>
      <c r="C340" s="890"/>
      <c r="D340" s="890"/>
      <c r="E340" s="890"/>
      <c r="F340" s="890"/>
      <c r="G340" s="890"/>
      <c r="H340" s="890"/>
      <c r="I340" s="890"/>
      <c r="J340" s="890"/>
      <c r="K340" s="890"/>
      <c r="L340" s="890"/>
      <c r="M340" s="890"/>
      <c r="N340" s="890"/>
      <c r="O340" s="890"/>
      <c r="P340" s="890"/>
      <c r="Q340" s="890"/>
      <c r="R340" s="890"/>
      <c r="S340" s="890"/>
      <c r="T340" s="890"/>
      <c r="U340" s="890"/>
      <c r="V340" s="890"/>
      <c r="W340" s="914"/>
      <c r="X340" s="912"/>
      <c r="Y340" s="912"/>
      <c r="Z340" s="912"/>
      <c r="AA340" s="912"/>
    </row>
    <row r="341" spans="1:27" s="341" customFormat="1">
      <c r="A341" s="561" t="s">
        <v>138</v>
      </c>
      <c r="B341" s="561"/>
      <c r="C341" s="890">
        <f>'P&amp;L - Concept C1 - All'!E171</f>
        <v>-148033.33333333331</v>
      </c>
      <c r="D341" s="890">
        <f>'P&amp;L - Concept C1 - All'!F171</f>
        <v>1010594.9655149044</v>
      </c>
      <c r="E341" s="890">
        <f>'P&amp;L - Concept C1 - All'!G171</f>
        <v>1174735.836825202</v>
      </c>
      <c r="F341" s="890">
        <f>'P&amp;L - Concept C1 - All'!H171</f>
        <v>1198010.5535617056</v>
      </c>
      <c r="G341" s="890">
        <f>'P&amp;L - Concept C1 - All'!I171</f>
        <v>1221750.7646329403</v>
      </c>
      <c r="H341" s="890">
        <f>'P&amp;L - Concept C1 - All'!J171</f>
        <v>1434559.7483526203</v>
      </c>
      <c r="I341" s="890">
        <f>'P&amp;L - Concept C1 - All'!K171</f>
        <v>1463229.1051655971</v>
      </c>
      <c r="J341" s="890">
        <f>'P&amp;L - Concept C1 - All'!L171</f>
        <v>1487934.9303244639</v>
      </c>
      <c r="K341" s="890">
        <f>'P&amp;L - Concept C1 - All'!M171</f>
        <v>1513134.8719865093</v>
      </c>
      <c r="L341" s="890">
        <f>'P&amp;L - Concept C1 - All'!N171</f>
        <v>1538838.8124817952</v>
      </c>
      <c r="M341" s="890">
        <f>'P&amp;L - Concept C1 - All'!O171</f>
        <v>1615488.2908025407</v>
      </c>
      <c r="N341" s="890">
        <f>'P&amp;L - Concept C1 - All'!P171</f>
        <v>1646621.1732838363</v>
      </c>
      <c r="O341" s="890">
        <f>'P&amp;L - Concept C1 - All'!Q171</f>
        <v>1673898.4005689588</v>
      </c>
      <c r="P341" s="890">
        <f>'P&amp;L - Concept C1 - All'!R171</f>
        <v>1701721.1723997823</v>
      </c>
      <c r="Q341" s="890">
        <f>'P&amp;L - Concept C1 - All'!S171</f>
        <v>1730100.3996672225</v>
      </c>
      <c r="R341" s="890">
        <f>'P&amp;L - Concept C1 - All'!T171</f>
        <v>1809642.107454729</v>
      </c>
      <c r="S341" s="890">
        <f>'P&amp;L - Concept C1 - All'!U171</f>
        <v>1843494.921334612</v>
      </c>
      <c r="T341" s="890">
        <f>'P&amp;L - Concept C1 - All'!V171</f>
        <v>1873611.184344637</v>
      </c>
      <c r="U341" s="890">
        <f>'P&amp;L - Concept C1 - All'!W171</f>
        <v>1904329.7726148637</v>
      </c>
      <c r="V341" s="890">
        <f>'P&amp;L - Concept C1 - All'!X171</f>
        <v>1935662.7326504935</v>
      </c>
      <c r="W341" s="914">
        <f t="shared" si="17"/>
        <v>29629326.410634078</v>
      </c>
      <c r="X341" s="912"/>
      <c r="Y341" s="912"/>
      <c r="Z341" s="912"/>
      <c r="AA341" s="912"/>
    </row>
    <row r="342" spans="1:27" s="341" customFormat="1">
      <c r="A342" s="561"/>
      <c r="B342" s="561"/>
      <c r="C342" s="890"/>
      <c r="D342" s="890"/>
      <c r="E342" s="890"/>
      <c r="F342" s="890"/>
      <c r="G342" s="890"/>
      <c r="H342" s="890"/>
      <c r="I342" s="890"/>
      <c r="J342" s="890"/>
      <c r="K342" s="890"/>
      <c r="L342" s="890"/>
      <c r="M342" s="890"/>
      <c r="N342" s="890"/>
      <c r="O342" s="890"/>
      <c r="P342" s="890"/>
      <c r="Q342" s="890"/>
      <c r="R342" s="890"/>
      <c r="S342" s="890"/>
      <c r="T342" s="890"/>
      <c r="U342" s="890"/>
      <c r="V342" s="890"/>
      <c r="W342" s="914"/>
      <c r="X342" s="912"/>
      <c r="Y342" s="912"/>
      <c r="Z342" s="912"/>
      <c r="AA342" s="912"/>
    </row>
    <row r="343" spans="1:27" s="341" customFormat="1">
      <c r="A343" s="893" t="s">
        <v>130</v>
      </c>
      <c r="B343" s="893"/>
      <c r="C343" s="894">
        <f>'P&amp;L - Concept C1 - All'!E175</f>
        <v>-1029696.0133333332</v>
      </c>
      <c r="D343" s="894">
        <f>'P&amp;L - Concept C1 - All'!F175</f>
        <v>128932.28551490442</v>
      </c>
      <c r="E343" s="894">
        <f>'P&amp;L - Concept C1 - All'!G175</f>
        <v>293073.15682520205</v>
      </c>
      <c r="F343" s="894">
        <f>'P&amp;L - Concept C1 - All'!H175</f>
        <v>316347.8735617057</v>
      </c>
      <c r="G343" s="894">
        <f>'P&amp;L - Concept C1 - All'!I175</f>
        <v>340088.08463294036</v>
      </c>
      <c r="H343" s="894">
        <f>'P&amp;L - Concept C1 - All'!J175</f>
        <v>552897.06835262035</v>
      </c>
      <c r="I343" s="894">
        <f>'P&amp;L - Concept C1 - All'!K175</f>
        <v>581566.42516559712</v>
      </c>
      <c r="J343" s="894">
        <f>'P&amp;L - Concept C1 - All'!L175</f>
        <v>606272.25032446405</v>
      </c>
      <c r="K343" s="894">
        <f>'P&amp;L - Concept C1 - All'!M175</f>
        <v>631472.19198650937</v>
      </c>
      <c r="L343" s="894">
        <f>'P&amp;L - Concept C1 - All'!N175</f>
        <v>657176.13248179527</v>
      </c>
      <c r="M343" s="894">
        <f>'P&amp;L - Concept C1 - All'!O175</f>
        <v>733825.61080254067</v>
      </c>
      <c r="N343" s="894">
        <f>'P&amp;L - Concept C1 - All'!P175</f>
        <v>764958.49328383652</v>
      </c>
      <c r="O343" s="894">
        <f>'P&amp;L - Concept C1 - All'!Q175</f>
        <v>792235.72056895902</v>
      </c>
      <c r="P343" s="894">
        <f>'P&amp;L - Concept C1 - All'!R175</f>
        <v>820058.49239978252</v>
      </c>
      <c r="Q343" s="894">
        <f>'P&amp;L - Concept C1 - All'!S175</f>
        <v>848437.71966722258</v>
      </c>
      <c r="R343" s="894">
        <f>'P&amp;L - Concept C1 - All'!T175</f>
        <v>927979.42745472922</v>
      </c>
      <c r="S343" s="894">
        <f>'P&amp;L - Concept C1 - All'!U175</f>
        <v>961832.24133461213</v>
      </c>
      <c r="T343" s="894">
        <f>'P&amp;L - Concept C1 - All'!V175</f>
        <v>991948.50434463704</v>
      </c>
      <c r="U343" s="894">
        <f>'P&amp;L - Concept C1 - All'!W175</f>
        <v>1022667.0926148638</v>
      </c>
      <c r="V343" s="894">
        <f>'P&amp;L - Concept C1 - All'!X175</f>
        <v>1054000.0526504936</v>
      </c>
      <c r="W343" s="914">
        <f>SUM(C343:V343)</f>
        <v>11996072.81063408</v>
      </c>
      <c r="X343" s="912"/>
      <c r="Y343" s="912"/>
      <c r="Z343" s="912"/>
      <c r="AA343" s="912"/>
    </row>
    <row r="344" spans="1:27" s="341" customFormat="1">
      <c r="A344" s="561" t="s">
        <v>404</v>
      </c>
      <c r="B344" s="708">
        <f>'P&amp;L - Concept C1 - All'!B176</f>
        <v>0.35010802349635739</v>
      </c>
      <c r="W344" s="910"/>
      <c r="X344" s="912"/>
      <c r="Y344" s="912"/>
      <c r="Z344" s="912"/>
      <c r="AA344" s="912"/>
    </row>
    <row r="345" spans="1:27" s="341" customFormat="1">
      <c r="A345" s="895"/>
      <c r="B345" s="895"/>
      <c r="C345" s="895"/>
      <c r="D345" s="895"/>
      <c r="E345" s="895"/>
      <c r="F345" s="895"/>
      <c r="G345" s="895"/>
      <c r="H345" s="895"/>
      <c r="I345" s="895"/>
      <c r="J345" s="895"/>
      <c r="K345" s="895"/>
      <c r="L345" s="895"/>
      <c r="M345" s="895"/>
      <c r="N345" s="895"/>
      <c r="O345" s="895"/>
      <c r="P345" s="895"/>
      <c r="Q345" s="895"/>
      <c r="R345" s="895"/>
      <c r="S345" s="895"/>
      <c r="T345" s="895"/>
      <c r="U345" s="895"/>
      <c r="V345" s="895"/>
      <c r="W345" s="910"/>
      <c r="X345" s="912"/>
      <c r="Y345" s="912"/>
      <c r="Z345" s="912"/>
      <c r="AA345" s="912"/>
    </row>
    <row r="346" spans="1:27" s="32" customFormat="1">
      <c r="W346" s="905"/>
      <c r="X346" s="904"/>
      <c r="Y346" s="904"/>
      <c r="Z346" s="904"/>
      <c r="AA346" s="904"/>
    </row>
    <row r="347" spans="1:27" s="32" customFormat="1">
      <c r="A347" s="47" t="s">
        <v>7</v>
      </c>
      <c r="B347" s="47"/>
      <c r="C347" s="47" t="s">
        <v>7</v>
      </c>
      <c r="D347" s="47" t="s">
        <v>7</v>
      </c>
      <c r="E347" s="47" t="s">
        <v>7</v>
      </c>
      <c r="F347" s="47" t="s">
        <v>7</v>
      </c>
      <c r="G347" s="47" t="s">
        <v>7</v>
      </c>
      <c r="H347" s="47" t="s">
        <v>7</v>
      </c>
      <c r="I347" s="47" t="s">
        <v>7</v>
      </c>
      <c r="J347" s="47" t="s">
        <v>7</v>
      </c>
      <c r="K347" s="47" t="s">
        <v>7</v>
      </c>
      <c r="L347" s="47" t="s">
        <v>7</v>
      </c>
      <c r="M347" s="47" t="s">
        <v>7</v>
      </c>
      <c r="N347" s="47" t="s">
        <v>7</v>
      </c>
      <c r="O347" s="47" t="s">
        <v>7</v>
      </c>
      <c r="P347" s="47" t="s">
        <v>7</v>
      </c>
      <c r="Q347" s="47" t="s">
        <v>7</v>
      </c>
      <c r="R347" s="47" t="s">
        <v>7</v>
      </c>
      <c r="S347" s="47" t="s">
        <v>7</v>
      </c>
      <c r="T347" s="47" t="s">
        <v>7</v>
      </c>
      <c r="U347" s="47" t="s">
        <v>7</v>
      </c>
      <c r="V347" s="47" t="s">
        <v>7</v>
      </c>
      <c r="W347" s="905"/>
      <c r="X347" s="904"/>
      <c r="Y347" s="904"/>
      <c r="Z347" s="904"/>
      <c r="AA347" s="904"/>
    </row>
    <row r="348" spans="1:27">
      <c r="C348" s="629"/>
      <c r="D348" s="629"/>
      <c r="E348" s="629"/>
      <c r="F348" s="629"/>
      <c r="G348" s="629"/>
      <c r="H348" s="629"/>
      <c r="I348" s="629"/>
      <c r="J348" s="629"/>
      <c r="K348" s="629"/>
      <c r="L348" s="629"/>
      <c r="M348" s="629"/>
      <c r="N348" s="629"/>
      <c r="O348" s="629"/>
      <c r="P348" s="629"/>
      <c r="Q348" s="629"/>
      <c r="R348" s="629"/>
      <c r="S348" s="629"/>
      <c r="T348" s="629"/>
      <c r="U348" s="629"/>
      <c r="V348" s="629"/>
    </row>
    <row r="349" spans="1:27">
      <c r="A349" s="29"/>
      <c r="B349" s="72"/>
      <c r="C349" s="71">
        <v>2019</v>
      </c>
      <c r="D349" s="71">
        <v>2020</v>
      </c>
      <c r="E349" s="71">
        <v>2021</v>
      </c>
      <c r="F349" s="71">
        <v>2022</v>
      </c>
      <c r="G349" s="71">
        <v>2023</v>
      </c>
      <c r="H349" s="71">
        <v>2024</v>
      </c>
      <c r="I349" s="71">
        <v>2025</v>
      </c>
      <c r="J349" s="71">
        <v>2026</v>
      </c>
      <c r="K349" s="71">
        <v>2027</v>
      </c>
      <c r="L349" s="71">
        <v>2028</v>
      </c>
      <c r="M349" s="71">
        <v>2029</v>
      </c>
      <c r="N349" s="71">
        <v>2030</v>
      </c>
      <c r="O349" s="71">
        <v>2031</v>
      </c>
      <c r="P349" s="71">
        <v>2032</v>
      </c>
      <c r="Q349" s="71">
        <v>2033</v>
      </c>
      <c r="R349" s="71">
        <v>2034</v>
      </c>
      <c r="S349" s="71">
        <v>2035</v>
      </c>
      <c r="T349" s="71">
        <v>2036</v>
      </c>
      <c r="U349" s="71">
        <v>2037</v>
      </c>
      <c r="V349" s="71">
        <v>2038</v>
      </c>
    </row>
    <row r="350" spans="1:27">
      <c r="C350" s="629"/>
      <c r="D350" s="629"/>
      <c r="E350" s="629"/>
      <c r="F350" s="629"/>
      <c r="G350" s="629"/>
      <c r="H350" s="629"/>
      <c r="I350" s="629"/>
      <c r="J350" s="629"/>
      <c r="K350" s="629"/>
      <c r="L350" s="629"/>
      <c r="M350" s="629"/>
      <c r="N350" s="629"/>
      <c r="O350" s="629"/>
      <c r="P350" s="629"/>
      <c r="Q350" s="629"/>
      <c r="R350" s="629"/>
      <c r="S350" s="629"/>
      <c r="T350" s="629"/>
      <c r="U350" s="629"/>
      <c r="V350" s="629"/>
    </row>
    <row r="351" spans="1:27">
      <c r="A351" s="266" t="s">
        <v>387</v>
      </c>
      <c r="B351" s="266"/>
      <c r="C351" s="631"/>
      <c r="D351" s="631"/>
      <c r="E351" s="631"/>
      <c r="F351" s="631"/>
      <c r="G351" s="631"/>
      <c r="H351" s="631"/>
      <c r="I351" s="631"/>
      <c r="J351" s="631"/>
      <c r="K351" s="631"/>
      <c r="L351" s="631"/>
      <c r="M351" s="631"/>
      <c r="N351" s="631"/>
      <c r="O351" s="631"/>
      <c r="P351" s="631"/>
      <c r="Q351" s="631"/>
      <c r="R351" s="631"/>
      <c r="S351" s="631"/>
      <c r="T351" s="631"/>
      <c r="U351" s="631"/>
      <c r="V351" s="631"/>
    </row>
    <row r="352" spans="1:27">
      <c r="A352" s="26"/>
      <c r="B352" s="26"/>
      <c r="C352" s="632"/>
      <c r="D352" s="632"/>
      <c r="E352" s="632"/>
      <c r="F352" s="632"/>
      <c r="G352" s="632"/>
      <c r="H352" s="632"/>
      <c r="I352" s="632"/>
      <c r="J352" s="632"/>
      <c r="K352" s="632"/>
      <c r="L352" s="632"/>
      <c r="M352" s="632"/>
      <c r="N352" s="632"/>
      <c r="O352" s="632"/>
      <c r="P352" s="632"/>
      <c r="Q352" s="632"/>
      <c r="R352" s="632"/>
      <c r="S352" s="632"/>
      <c r="T352" s="632"/>
      <c r="U352" s="632"/>
      <c r="V352" s="632"/>
    </row>
    <row r="353" spans="1:27">
      <c r="A353" s="32" t="s">
        <v>148</v>
      </c>
      <c r="B353" s="32"/>
      <c r="C353" s="625">
        <f>'P&amp;L - Concept C2 - Carnival'!E120</f>
        <v>219825</v>
      </c>
      <c r="D353" s="625">
        <f>'P&amp;L - Concept C2 - Carnival'!F120</f>
        <v>1688724.0940290107</v>
      </c>
      <c r="E353" s="625">
        <f>'P&amp;L - Concept C2 - Carnival'!G120</f>
        <v>1867550.975909591</v>
      </c>
      <c r="F353" s="625">
        <f>'P&amp;L - Concept C2 - Carnival'!H120</f>
        <v>1904681.9954277826</v>
      </c>
      <c r="G353" s="625">
        <f>'P&amp;L - Concept C2 - Carnival'!I120</f>
        <v>1942555.6353363385</v>
      </c>
      <c r="H353" s="625">
        <f>'P&amp;L - Concept C2 - Carnival'!J120</f>
        <v>2198124.595265287</v>
      </c>
      <c r="I353" s="625">
        <f>'P&amp;L - Concept C2 - Carnival'!K120</f>
        <v>2237528.3302261485</v>
      </c>
      <c r="J353" s="625">
        <f>'P&amp;L - Concept C2 - Carnival'!L120</f>
        <v>2277720.139886227</v>
      </c>
      <c r="K353" s="625">
        <f>'P&amp;L - Concept C2 - Carnival'!M120</f>
        <v>2318715.785739508</v>
      </c>
      <c r="L353" s="625">
        <f>'P&amp;L - Concept C2 - Carnival'!N120</f>
        <v>2360531.3445098531</v>
      </c>
      <c r="M353" s="625">
        <f>'P&amp;L - Concept C2 - Carnival'!O120</f>
        <v>2458005.1762611619</v>
      </c>
      <c r="N353" s="625">
        <f>'P&amp;L - Concept C2 - Carnival'!P120</f>
        <v>2501510.0836058292</v>
      </c>
      <c r="O353" s="625">
        <f>'P&amp;L - Concept C2 - Carnival'!Q120</f>
        <v>2545885.0890973904</v>
      </c>
      <c r="P353" s="625">
        <f>'P&amp;L - Concept C2 - Carnival'!R120</f>
        <v>2591147.5946987825</v>
      </c>
      <c r="Q353" s="625">
        <f>'P&amp;L - Concept C2 - Carnival'!S120</f>
        <v>2637315.3504122025</v>
      </c>
      <c r="R353" s="625">
        <f>'P&amp;L - Concept C2 - Carnival'!T120</f>
        <v>2739328.4230454471</v>
      </c>
      <c r="S353" s="625">
        <f>'P&amp;L - Concept C2 - Carnival'!U120</f>
        <v>2787361.3560896888</v>
      </c>
      <c r="T353" s="625">
        <f>'P&amp;L - Concept C2 - Carnival'!V120</f>
        <v>2836354.9477948165</v>
      </c>
      <c r="U353" s="625">
        <f>'P&amp;L - Concept C2 - Carnival'!W120</f>
        <v>2886328.4113340462</v>
      </c>
      <c r="V353" s="625">
        <f>'P&amp;L - Concept C2 - Carnival'!X120</f>
        <v>2937301.3441440603</v>
      </c>
      <c r="W353" s="903">
        <f t="shared" ref="W353:W360" si="18">SUM(C353:V353)</f>
        <v>45936495.67281317</v>
      </c>
    </row>
    <row r="354" spans="1:27">
      <c r="A354" s="369" t="s">
        <v>140</v>
      </c>
      <c r="B354" s="369"/>
      <c r="C354" s="626">
        <f>'P&amp;L - Concept C2 - Carnival'!E153</f>
        <v>367858.33333333331</v>
      </c>
      <c r="D354" s="626">
        <f>'P&amp;L - Concept C2 - Carnival'!F153</f>
        <v>905069.84615384613</v>
      </c>
      <c r="E354" s="626">
        <f>'P&amp;L - Concept C2 - Carnival'!G153</f>
        <v>924294.67107692314</v>
      </c>
      <c r="F354" s="626">
        <f>'P&amp;L - Concept C2 - Carnival'!H153</f>
        <v>942780.56449846155</v>
      </c>
      <c r="G354" s="626">
        <f>'P&amp;L - Concept C2 - Carnival'!I153</f>
        <v>961636.17578843085</v>
      </c>
      <c r="H354" s="626">
        <f>'P&amp;L - Concept C2 - Carnival'!J153</f>
        <v>1009212.7780993994</v>
      </c>
      <c r="I354" s="626">
        <f>'P&amp;L - Concept C2 - Carnival'!K153</f>
        <v>1024860.1148710193</v>
      </c>
      <c r="J354" s="626">
        <f>'P&amp;L - Concept C2 - Carnival'!L153</f>
        <v>1045357.3171684397</v>
      </c>
      <c r="K354" s="626">
        <f>'P&amp;L - Concept C2 - Carnival'!M153</f>
        <v>1066264.4635118088</v>
      </c>
      <c r="L354" s="626">
        <f>'P&amp;L - Concept C2 - Carnival'!N153</f>
        <v>1087589.7527820447</v>
      </c>
      <c r="M354" s="626">
        <f>'P&amp;L - Concept C2 - Carnival'!O153</f>
        <v>1113732.0506276884</v>
      </c>
      <c r="N354" s="626">
        <f>'P&amp;L - Concept C2 - Carnival'!P153</f>
        <v>1131528.3787944396</v>
      </c>
      <c r="O354" s="626">
        <f>'P&amp;L - Concept C2 - Carnival'!Q153</f>
        <v>1154158.9463703283</v>
      </c>
      <c r="P354" s="626">
        <f>'P&amp;L - Concept C2 - Carnival'!R153</f>
        <v>1177242.125297735</v>
      </c>
      <c r="Q354" s="626">
        <f>'P&amp;L - Concept C2 - Carnival'!S153</f>
        <v>1200786.9678036894</v>
      </c>
      <c r="R354" s="626">
        <f>'P&amp;L - Concept C2 - Carnival'!T153</f>
        <v>1229129.7729906011</v>
      </c>
      <c r="S354" s="626">
        <f>'P&amp;L - Concept C2 - Carnival'!U153</f>
        <v>1249298.7613029587</v>
      </c>
      <c r="T354" s="626">
        <f>'P&amp;L - Concept C2 - Carnival'!V153</f>
        <v>1274284.7365290178</v>
      </c>
      <c r="U354" s="626">
        <f>'P&amp;L - Concept C2 - Carnival'!W153</f>
        <v>1299770.4312595986</v>
      </c>
      <c r="V354" s="626">
        <f>'P&amp;L - Concept C2 - Carnival'!X153</f>
        <v>1325765.8398847901</v>
      </c>
      <c r="W354" s="903">
        <f t="shared" si="18"/>
        <v>21490622.028144553</v>
      </c>
    </row>
    <row r="355" spans="1:27">
      <c r="A355" s="26" t="s">
        <v>116</v>
      </c>
      <c r="B355" s="26"/>
      <c r="C355" s="625">
        <f>'P&amp;L - Concept C2 - Carnival'!E157</f>
        <v>-148033.33333333331</v>
      </c>
      <c r="D355" s="625">
        <f>'P&amp;L - Concept C2 - Carnival'!F157</f>
        <v>783654.24787516461</v>
      </c>
      <c r="E355" s="625">
        <f>'P&amp;L - Concept C2 - Carnival'!G157</f>
        <v>943256.30483266781</v>
      </c>
      <c r="F355" s="625">
        <f>'P&amp;L - Concept C2 - Carnival'!H157</f>
        <v>961901.4309293211</v>
      </c>
      <c r="G355" s="625">
        <f>'P&amp;L - Concept C2 - Carnival'!I157</f>
        <v>980919.4595479077</v>
      </c>
      <c r="H355" s="625">
        <f>'P&amp;L - Concept C2 - Carnival'!J157</f>
        <v>1188911.8171658874</v>
      </c>
      <c r="I355" s="625">
        <f>'P&amp;L - Concept C2 - Carnival'!K157</f>
        <v>1212668.2153551292</v>
      </c>
      <c r="J355" s="625">
        <f>'P&amp;L - Concept C2 - Carnival'!L157</f>
        <v>1232362.8227177872</v>
      </c>
      <c r="K355" s="625">
        <f>'P&amp;L - Concept C2 - Carnival'!M157</f>
        <v>1252451.3222276992</v>
      </c>
      <c r="L355" s="625">
        <f>'P&amp;L - Concept C2 - Carnival'!N157</f>
        <v>1272941.5917278084</v>
      </c>
      <c r="M355" s="625">
        <f>'P&amp;L - Concept C2 - Carnival'!O157</f>
        <v>1344273.1256334735</v>
      </c>
      <c r="N355" s="625">
        <f>'P&amp;L - Concept C2 - Carnival'!P157</f>
        <v>1369981.7048113896</v>
      </c>
      <c r="O355" s="625">
        <f>'P&amp;L - Concept C2 - Carnival'!Q157</f>
        <v>1391726.1427270621</v>
      </c>
      <c r="P355" s="625">
        <f>'P&amp;L - Concept C2 - Carnival'!R157</f>
        <v>1413905.4694010476</v>
      </c>
      <c r="Q355" s="625">
        <f>'P&amp;L - Concept C2 - Carnival'!S157</f>
        <v>1436528.3826085131</v>
      </c>
      <c r="R355" s="625">
        <f>'P&amp;L - Concept C2 - Carnival'!T157</f>
        <v>1510198.650054846</v>
      </c>
      <c r="S355" s="625">
        <f>'P&amp;L - Concept C2 - Carnival'!U157</f>
        <v>1538062.5947867301</v>
      </c>
      <c r="T355" s="625">
        <f>'P&amp;L - Concept C2 - Carnival'!V157</f>
        <v>1562070.2112657987</v>
      </c>
      <c r="U355" s="625">
        <f>'P&amp;L - Concept C2 - Carnival'!W157</f>
        <v>1586557.9800744476</v>
      </c>
      <c r="V355" s="625">
        <f>'P&amp;L - Concept C2 - Carnival'!X157</f>
        <v>1611535.5042592702</v>
      </c>
      <c r="W355" s="903">
        <f t="shared" si="18"/>
        <v>24445873.644668616</v>
      </c>
    </row>
    <row r="356" spans="1:27">
      <c r="A356" s="32"/>
      <c r="B356" s="32"/>
      <c r="C356" s="625"/>
      <c r="D356" s="625"/>
      <c r="E356" s="625"/>
      <c r="F356" s="625"/>
      <c r="G356" s="625"/>
      <c r="H356" s="625"/>
      <c r="I356" s="625"/>
      <c r="J356" s="625"/>
      <c r="K356" s="625"/>
      <c r="L356" s="625"/>
      <c r="M356" s="625"/>
      <c r="N356" s="625"/>
      <c r="O356" s="625"/>
      <c r="P356" s="625"/>
      <c r="Q356" s="625"/>
      <c r="R356" s="625"/>
      <c r="S356" s="625"/>
      <c r="T356" s="625"/>
      <c r="U356" s="625"/>
      <c r="V356" s="625"/>
      <c r="W356" s="903"/>
    </row>
    <row r="357" spans="1:27">
      <c r="A357" s="32" t="s">
        <v>136</v>
      </c>
      <c r="B357" s="32"/>
      <c r="C357" s="625">
        <f>'P&amp;L - Concept C2 - Carnival'!E165</f>
        <v>0</v>
      </c>
      <c r="D357" s="625">
        <f>'P&amp;L - Concept C2 - Carnival'!F165</f>
        <v>96205</v>
      </c>
      <c r="E357" s="625">
        <f>'P&amp;L - Concept C2 - Carnival'!G165</f>
        <v>98129.1</v>
      </c>
      <c r="F357" s="625">
        <f>'P&amp;L - Concept C2 - Carnival'!H165</f>
        <v>100091.682</v>
      </c>
      <c r="G357" s="625">
        <f>'P&amp;L - Concept C2 - Carnival'!I165</f>
        <v>102093.51564</v>
      </c>
      <c r="H357" s="625">
        <f>'P&amp;L - Concept C2 - Carnival'!J165</f>
        <v>104135.3859528</v>
      </c>
      <c r="I357" s="625">
        <f>'P&amp;L - Concept C2 - Carnival'!K165</f>
        <v>106218.093671856</v>
      </c>
      <c r="J357" s="625">
        <f>'P&amp;L - Concept C2 - Carnival'!L165</f>
        <v>108342.45554529312</v>
      </c>
      <c r="K357" s="625">
        <f>'P&amp;L - Concept C2 - Carnival'!M165</f>
        <v>110509.30465619899</v>
      </c>
      <c r="L357" s="625">
        <f>'P&amp;L - Concept C2 - Carnival'!N165</f>
        <v>112719.49074932297</v>
      </c>
      <c r="M357" s="625">
        <f>'P&amp;L - Concept C2 - Carnival'!O165</f>
        <v>114973.88056430944</v>
      </c>
      <c r="N357" s="625">
        <f>'P&amp;L - Concept C2 - Carnival'!P165</f>
        <v>117273.35817559563</v>
      </c>
      <c r="O357" s="625">
        <f>'P&amp;L - Concept C2 - Carnival'!Q165</f>
        <v>119618.82533910754</v>
      </c>
      <c r="P357" s="625">
        <f>'P&amp;L - Concept C2 - Carnival'!R165</f>
        <v>122011.20184588969</v>
      </c>
      <c r="Q357" s="625">
        <f>'P&amp;L - Concept C2 - Carnival'!S165</f>
        <v>124451.42588280747</v>
      </c>
      <c r="R357" s="625">
        <f>'P&amp;L - Concept C2 - Carnival'!T165</f>
        <v>126940.45440046364</v>
      </c>
      <c r="S357" s="625">
        <f>'P&amp;L - Concept C2 - Carnival'!U165</f>
        <v>129479.26348847292</v>
      </c>
      <c r="T357" s="625">
        <f>'P&amp;L - Concept C2 - Carnival'!V165</f>
        <v>132068.84875824238</v>
      </c>
      <c r="U357" s="625">
        <f>'P&amp;L - Concept C2 - Carnival'!W165</f>
        <v>134710.22573340722</v>
      </c>
      <c r="V357" s="625">
        <f>'P&amp;L - Concept C2 - Carnival'!X165</f>
        <v>137404.43024807537</v>
      </c>
      <c r="W357" s="903">
        <f t="shared" si="18"/>
        <v>2197375.9426518423</v>
      </c>
    </row>
    <row r="358" spans="1:27">
      <c r="A358" s="32" t="s">
        <v>127</v>
      </c>
      <c r="B358" s="32"/>
      <c r="C358" s="625">
        <f>SUM('P&amp;L - Concept C2 - Carnival'!E166:E168)</f>
        <v>922285.92</v>
      </c>
      <c r="D358" s="625">
        <f>SUM('P&amp;L - Concept C2 - Carnival'!F166:F168)</f>
        <v>922285.92</v>
      </c>
      <c r="E358" s="625">
        <f>SUM('P&amp;L - Concept C2 - Carnival'!G166:G168)</f>
        <v>922285.92</v>
      </c>
      <c r="F358" s="625">
        <f>SUM('P&amp;L - Concept C2 - Carnival'!H166:H168)</f>
        <v>922285.92</v>
      </c>
      <c r="G358" s="625">
        <f>SUM('P&amp;L - Concept C2 - Carnival'!I166:I168)</f>
        <v>922285.92</v>
      </c>
      <c r="H358" s="625">
        <f>SUM('P&amp;L - Concept C2 - Carnival'!J166:J168)</f>
        <v>922285.92</v>
      </c>
      <c r="I358" s="625">
        <f>SUM('P&amp;L - Concept C2 - Carnival'!K166:K168)</f>
        <v>922285.92</v>
      </c>
      <c r="J358" s="625">
        <f>SUM('P&amp;L - Concept C2 - Carnival'!L166:L168)</f>
        <v>922285.92</v>
      </c>
      <c r="K358" s="625">
        <f>SUM('P&amp;L - Concept C2 - Carnival'!M166:M168)</f>
        <v>922285.92</v>
      </c>
      <c r="L358" s="625">
        <f>SUM('P&amp;L - Concept C2 - Carnival'!N166:N168)</f>
        <v>922285.92</v>
      </c>
      <c r="M358" s="625">
        <f>SUM('P&amp;L - Concept C2 - Carnival'!O166:O168)</f>
        <v>922285.92</v>
      </c>
      <c r="N358" s="625">
        <f>SUM('P&amp;L - Concept C2 - Carnival'!P166:P168)</f>
        <v>922285.92</v>
      </c>
      <c r="O358" s="625">
        <f>SUM('P&amp;L - Concept C2 - Carnival'!Q166:Q168)</f>
        <v>922285.92</v>
      </c>
      <c r="P358" s="625">
        <f>SUM('P&amp;L - Concept C2 - Carnival'!R166:R168)</f>
        <v>922285.92</v>
      </c>
      <c r="Q358" s="625">
        <f>SUM('P&amp;L - Concept C2 - Carnival'!S166:S168)</f>
        <v>922285.92</v>
      </c>
      <c r="R358" s="625">
        <f>SUM('P&amp;L - Concept C2 - Carnival'!T166:T168)</f>
        <v>922285.92</v>
      </c>
      <c r="S358" s="625">
        <f>SUM('P&amp;L - Concept C2 - Carnival'!U166:U168)</f>
        <v>922285.92</v>
      </c>
      <c r="T358" s="625">
        <f>SUM('P&amp;L - Concept C2 - Carnival'!V166:V168)</f>
        <v>922285.92</v>
      </c>
      <c r="U358" s="625">
        <f>SUM('P&amp;L - Concept C2 - Carnival'!W166:W168)</f>
        <v>922285.92</v>
      </c>
      <c r="V358" s="625">
        <f>SUM('P&amp;L - Concept C2 - Carnival'!X166:X168)</f>
        <v>922285.92</v>
      </c>
      <c r="W358" s="903">
        <f t="shared" si="18"/>
        <v>18445718.400000002</v>
      </c>
      <c r="X358" s="900">
        <f>SUM(W357:W358)</f>
        <v>20643094.342651844</v>
      </c>
    </row>
    <row r="359" spans="1:27">
      <c r="A359" s="32"/>
      <c r="B359" s="32"/>
      <c r="C359" s="625"/>
      <c r="D359" s="625"/>
      <c r="E359" s="625"/>
      <c r="F359" s="625"/>
      <c r="G359" s="625"/>
      <c r="H359" s="625"/>
      <c r="I359" s="625"/>
      <c r="J359" s="625"/>
      <c r="K359" s="625"/>
      <c r="L359" s="625"/>
      <c r="M359" s="625"/>
      <c r="N359" s="625"/>
      <c r="O359" s="625"/>
      <c r="P359" s="625"/>
      <c r="Q359" s="625"/>
      <c r="R359" s="625"/>
      <c r="S359" s="625"/>
      <c r="T359" s="625"/>
      <c r="U359" s="625"/>
      <c r="V359" s="625"/>
      <c r="W359" s="903"/>
      <c r="Z359" s="900">
        <f>SUM(W354,W357:W358)</f>
        <v>42133716.370796397</v>
      </c>
    </row>
    <row r="360" spans="1:27">
      <c r="A360" s="32" t="s">
        <v>138</v>
      </c>
      <c r="B360" s="32"/>
      <c r="C360" s="625">
        <f>'P&amp;L - Concept C2 - Carnival'!E171</f>
        <v>-148033.33333333331</v>
      </c>
      <c r="D360" s="625">
        <f>'P&amp;L - Concept C2 - Carnival'!F171</f>
        <v>687449.24787516461</v>
      </c>
      <c r="E360" s="625">
        <f>'P&amp;L - Concept C2 - Carnival'!G171</f>
        <v>845127.20483266783</v>
      </c>
      <c r="F360" s="625">
        <f>'P&amp;L - Concept C2 - Carnival'!H171</f>
        <v>861809.74892932107</v>
      </c>
      <c r="G360" s="625">
        <f>'P&amp;L - Concept C2 - Carnival'!I171</f>
        <v>878825.9439079077</v>
      </c>
      <c r="H360" s="625">
        <f>'P&amp;L - Concept C2 - Carnival'!J171</f>
        <v>1084776.4312130874</v>
      </c>
      <c r="I360" s="625">
        <f>'P&amp;L - Concept C2 - Carnival'!K171</f>
        <v>1106450.1216832732</v>
      </c>
      <c r="J360" s="625">
        <f>'P&amp;L - Concept C2 - Carnival'!L171</f>
        <v>1124020.3671724941</v>
      </c>
      <c r="K360" s="625">
        <f>'P&amp;L - Concept C2 - Carnival'!M171</f>
        <v>1141942.0175715003</v>
      </c>
      <c r="L360" s="625">
        <f>'P&amp;L - Concept C2 - Carnival'!N171</f>
        <v>1160222.1009784853</v>
      </c>
      <c r="M360" s="625">
        <f>'P&amp;L - Concept C2 - Carnival'!O171</f>
        <v>1229299.2450691641</v>
      </c>
      <c r="N360" s="625">
        <f>'P&amp;L - Concept C2 - Carnival'!P171</f>
        <v>1252708.346635794</v>
      </c>
      <c r="O360" s="625">
        <f>'P&amp;L - Concept C2 - Carnival'!Q171</f>
        <v>1272107.3173879546</v>
      </c>
      <c r="P360" s="625">
        <f>'P&amp;L - Concept C2 - Carnival'!R171</f>
        <v>1291894.2675551579</v>
      </c>
      <c r="Q360" s="625">
        <f>'P&amp;L - Concept C2 - Carnival'!S171</f>
        <v>1312076.9567257056</v>
      </c>
      <c r="R360" s="625">
        <f>'P&amp;L - Concept C2 - Carnival'!T171</f>
        <v>1383258.1956543822</v>
      </c>
      <c r="S360" s="625">
        <f>'P&amp;L - Concept C2 - Carnival'!U171</f>
        <v>1408583.3312982572</v>
      </c>
      <c r="T360" s="625">
        <f>'P&amp;L - Concept C2 - Carnival'!V171</f>
        <v>1430001.3625075563</v>
      </c>
      <c r="U360" s="625">
        <f>'P&amp;L - Concept C2 - Carnival'!W171</f>
        <v>1451847.7543410403</v>
      </c>
      <c r="V360" s="625">
        <f>'P&amp;L - Concept C2 - Carnival'!X171</f>
        <v>1474131.0740111948</v>
      </c>
      <c r="W360" s="903">
        <f t="shared" si="18"/>
        <v>22248497.702016778</v>
      </c>
    </row>
    <row r="361" spans="1:27">
      <c r="A361" s="32"/>
      <c r="B361" s="32"/>
      <c r="C361" s="625"/>
      <c r="D361" s="625"/>
      <c r="E361" s="625"/>
      <c r="F361" s="625"/>
      <c r="G361" s="625"/>
      <c r="H361" s="625"/>
      <c r="I361" s="625"/>
      <c r="J361" s="625"/>
      <c r="K361" s="625"/>
      <c r="L361" s="625"/>
      <c r="M361" s="625"/>
      <c r="N361" s="625"/>
      <c r="O361" s="625"/>
      <c r="P361" s="625"/>
      <c r="Q361" s="625"/>
      <c r="R361" s="625"/>
      <c r="S361" s="625"/>
      <c r="T361" s="625"/>
      <c r="U361" s="627"/>
      <c r="V361" s="627"/>
      <c r="W361" s="903"/>
    </row>
    <row r="362" spans="1:27">
      <c r="A362" s="300" t="s">
        <v>130</v>
      </c>
      <c r="B362" s="300"/>
      <c r="C362" s="628">
        <f>'P&amp;L - Concept C2 - Carnival'!E175</f>
        <v>-1070319.2533333334</v>
      </c>
      <c r="D362" s="628">
        <f>'P&amp;L - Concept C2 - Carnival'!F175</f>
        <v>-234836.67212483543</v>
      </c>
      <c r="E362" s="628">
        <f>'P&amp;L - Concept C2 - Carnival'!G175</f>
        <v>-77158.715167332208</v>
      </c>
      <c r="F362" s="628">
        <f>'P&amp;L - Concept C2 - Carnival'!H175</f>
        <v>-60476.171070678975</v>
      </c>
      <c r="G362" s="628">
        <f>'P&amp;L - Concept C2 - Carnival'!I175</f>
        <v>-43459.976092092344</v>
      </c>
      <c r="H362" s="628">
        <f>'P&amp;L - Concept C2 - Carnival'!J175</f>
        <v>162490.51121308736</v>
      </c>
      <c r="I362" s="628">
        <f>'P&amp;L - Concept C2 - Carnival'!K175</f>
        <v>184164.20168327319</v>
      </c>
      <c r="J362" s="628">
        <f>'P&amp;L - Concept C2 - Carnival'!L175</f>
        <v>201734.44717249402</v>
      </c>
      <c r="K362" s="628">
        <f>'P&amp;L - Concept C2 - Carnival'!M175</f>
        <v>219656.09757150023</v>
      </c>
      <c r="L362" s="628">
        <f>'P&amp;L - Concept C2 - Carnival'!N175</f>
        <v>237936.18097848538</v>
      </c>
      <c r="M362" s="628">
        <f>'P&amp;L - Concept C2 - Carnival'!O175</f>
        <v>307013.32506916404</v>
      </c>
      <c r="N362" s="628">
        <f>'P&amp;L - Concept C2 - Carnival'!P175</f>
        <v>330422.42663579388</v>
      </c>
      <c r="O362" s="628">
        <f>'P&amp;L - Concept C2 - Carnival'!Q175</f>
        <v>349821.39738795452</v>
      </c>
      <c r="P362" s="628">
        <f>'P&amp;L - Concept C2 - Carnival'!R175</f>
        <v>369608.34755515784</v>
      </c>
      <c r="Q362" s="628">
        <f>'P&amp;L - Concept C2 - Carnival'!S175</f>
        <v>389791.03672570561</v>
      </c>
      <c r="R362" s="628">
        <f>'P&amp;L - Concept C2 - Carnival'!T175</f>
        <v>460972.27565438231</v>
      </c>
      <c r="S362" s="628">
        <f>'P&amp;L - Concept C2 - Carnival'!U175</f>
        <v>486297.4112982573</v>
      </c>
      <c r="T362" s="628">
        <f>'P&amp;L - Concept C2 - Carnival'!V175</f>
        <v>507715.44250755617</v>
      </c>
      <c r="U362" s="628">
        <f>'P&amp;L - Concept C2 - Carnival'!W175</f>
        <v>529561.83434104035</v>
      </c>
      <c r="V362" s="628">
        <f>'P&amp;L - Concept C2 - Carnival'!X175</f>
        <v>551845.15401119459</v>
      </c>
      <c r="W362" s="1148">
        <f>SUM(C362:V362)</f>
        <v>3802779.3020167742</v>
      </c>
    </row>
    <row r="363" spans="1:27">
      <c r="A363" s="32" t="s">
        <v>404</v>
      </c>
      <c r="B363" s="199">
        <f>'P&amp;L - Concept C2 - Carnival'!B176</f>
        <v>0.10948361438386733</v>
      </c>
    </row>
    <row r="364" spans="1:27">
      <c r="A364" s="131"/>
      <c r="B364" s="131"/>
      <c r="C364" s="131"/>
      <c r="D364" s="131"/>
      <c r="E364" s="131"/>
      <c r="F364" s="131"/>
      <c r="G364" s="131"/>
      <c r="H364" s="131"/>
      <c r="I364" s="131"/>
      <c r="J364" s="131"/>
      <c r="K364" s="131"/>
      <c r="L364" s="131"/>
      <c r="M364" s="131"/>
      <c r="N364" s="131"/>
      <c r="O364" s="131"/>
      <c r="P364" s="131"/>
      <c r="Q364" s="131"/>
      <c r="R364" s="131"/>
      <c r="S364" s="131"/>
      <c r="T364" s="131"/>
      <c r="U364" s="131"/>
      <c r="V364" s="131"/>
      <c r="AA364" s="900">
        <f>W362+3600000</f>
        <v>7402779.3020167742</v>
      </c>
    </row>
    <row r="366" spans="1:27" s="32" customFormat="1">
      <c r="A366" s="47" t="s">
        <v>7</v>
      </c>
      <c r="B366" s="47"/>
      <c r="C366" s="47" t="s">
        <v>7</v>
      </c>
      <c r="D366" s="47" t="s">
        <v>7</v>
      </c>
      <c r="E366" s="47" t="s">
        <v>7</v>
      </c>
      <c r="F366" s="47" t="s">
        <v>7</v>
      </c>
      <c r="G366" s="47" t="s">
        <v>7</v>
      </c>
      <c r="H366" s="47" t="s">
        <v>7</v>
      </c>
      <c r="I366" s="47" t="s">
        <v>7</v>
      </c>
      <c r="J366" s="47" t="s">
        <v>7</v>
      </c>
      <c r="K366" s="47" t="s">
        <v>7</v>
      </c>
      <c r="L366" s="47" t="s">
        <v>7</v>
      </c>
      <c r="M366" s="47" t="s">
        <v>7</v>
      </c>
      <c r="N366" s="47" t="s">
        <v>7</v>
      </c>
      <c r="O366" s="47" t="s">
        <v>7</v>
      </c>
      <c r="P366" s="47" t="s">
        <v>7</v>
      </c>
      <c r="Q366" s="47" t="s">
        <v>7</v>
      </c>
      <c r="R366" s="47" t="s">
        <v>7</v>
      </c>
      <c r="S366" s="47" t="s">
        <v>7</v>
      </c>
      <c r="T366" s="47" t="s">
        <v>7</v>
      </c>
      <c r="U366" s="47" t="s">
        <v>7</v>
      </c>
      <c r="V366" s="47" t="s">
        <v>7</v>
      </c>
      <c r="W366" s="905"/>
      <c r="X366" s="904"/>
      <c r="Y366" s="904"/>
      <c r="Z366" s="904"/>
      <c r="AA366" s="904"/>
    </row>
    <row r="368" spans="1:27">
      <c r="A368" s="29"/>
      <c r="B368" s="72"/>
      <c r="C368" s="71">
        <v>2019</v>
      </c>
      <c r="D368" s="71">
        <v>2020</v>
      </c>
      <c r="E368" s="71">
        <v>2021</v>
      </c>
      <c r="F368" s="71">
        <v>2022</v>
      </c>
      <c r="G368" s="71">
        <v>2023</v>
      </c>
      <c r="H368" s="71">
        <v>2024</v>
      </c>
      <c r="I368" s="71">
        <v>2025</v>
      </c>
      <c r="J368" s="71">
        <v>2026</v>
      </c>
      <c r="K368" s="71">
        <v>2027</v>
      </c>
      <c r="L368" s="71">
        <v>2028</v>
      </c>
      <c r="M368" s="71">
        <v>2029</v>
      </c>
      <c r="N368" s="71">
        <v>2030</v>
      </c>
      <c r="O368" s="71">
        <v>2031</v>
      </c>
      <c r="P368" s="71">
        <v>2032</v>
      </c>
      <c r="Q368" s="71">
        <v>2033</v>
      </c>
      <c r="R368" s="71">
        <v>2034</v>
      </c>
      <c r="S368" s="71">
        <v>2035</v>
      </c>
      <c r="T368" s="71">
        <v>2036</v>
      </c>
      <c r="U368" s="71">
        <v>2037</v>
      </c>
      <c r="V368" s="71">
        <v>2038</v>
      </c>
    </row>
    <row r="370" spans="1:27">
      <c r="A370" s="266" t="s">
        <v>388</v>
      </c>
      <c r="B370" s="266"/>
      <c r="C370" s="268"/>
      <c r="D370" s="268"/>
      <c r="E370" s="268"/>
      <c r="F370" s="268"/>
      <c r="G370" s="268"/>
      <c r="H370" s="268"/>
      <c r="I370" s="268"/>
      <c r="J370" s="268"/>
      <c r="K370" s="268"/>
      <c r="L370" s="268"/>
      <c r="M370" s="268"/>
      <c r="N370" s="268"/>
      <c r="O370" s="268"/>
      <c r="P370" s="268"/>
      <c r="Q370" s="268"/>
      <c r="R370" s="268"/>
      <c r="S370" s="268"/>
      <c r="T370" s="268"/>
      <c r="U370" s="268"/>
      <c r="V370" s="268"/>
      <c r="W370" s="903"/>
    </row>
    <row r="371" spans="1:27" s="32" customFormat="1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903"/>
      <c r="X371" s="904"/>
      <c r="Y371" s="904"/>
      <c r="Z371" s="904"/>
      <c r="AA371" s="904"/>
    </row>
    <row r="372" spans="1:27">
      <c r="A372" s="32" t="s">
        <v>148</v>
      </c>
      <c r="B372" s="32"/>
      <c r="C372" s="625">
        <f>'P&amp;L - Concept C2 - RCCL'!E120</f>
        <v>219825</v>
      </c>
      <c r="D372" s="625">
        <f>'P&amp;L - Concept C2 - RCCL'!F120</f>
        <v>1575585.2705736854</v>
      </c>
      <c r="E372" s="625">
        <f>'P&amp;L - Concept C2 - RCCL'!G120</f>
        <v>1752149.3759851593</v>
      </c>
      <c r="F372" s="625">
        <f>'P&amp;L - Concept C2 - RCCL'!H120</f>
        <v>1786972.3635048624</v>
      </c>
      <c r="G372" s="625">
        <f>'P&amp;L - Concept C2 - RCCL'!I120</f>
        <v>1822491.8107749599</v>
      </c>
      <c r="H372" s="625">
        <f>'P&amp;L - Concept C2 - RCCL'!J120</f>
        <v>2075659.4942126812</v>
      </c>
      <c r="I372" s="625">
        <f>'P&amp;L - Concept C2 - RCCL'!K120</f>
        <v>2112613.9271524898</v>
      </c>
      <c r="J372" s="625">
        <f>'P&amp;L - Concept C2 - RCCL'!L120</f>
        <v>2150307.4487510957</v>
      </c>
      <c r="K372" s="625">
        <f>'P&amp;L - Concept C2 - RCCL'!M120</f>
        <v>2188754.8407816738</v>
      </c>
      <c r="L372" s="625">
        <f>'P&amp;L - Concept C2 - RCCL'!N120</f>
        <v>2227971.1806528619</v>
      </c>
      <c r="M372" s="625">
        <f>'P&amp;L - Concept C2 - RCCL'!O120</f>
        <v>2322793.8091270309</v>
      </c>
      <c r="N372" s="625">
        <f>'P&amp;L - Concept C2 - RCCL'!P120</f>
        <v>2363594.4891290157</v>
      </c>
      <c r="O372" s="625">
        <f>'P&amp;L - Concept C2 - RCCL'!Q120</f>
        <v>2405211.1827310403</v>
      </c>
      <c r="P372" s="625">
        <f>'P&amp;L - Concept C2 - RCCL'!R120</f>
        <v>2447660.2102051061</v>
      </c>
      <c r="Q372" s="625">
        <f>'P&amp;L - Concept C2 - RCCL'!S120</f>
        <v>2490958.2182286526</v>
      </c>
      <c r="R372" s="625">
        <f>'P&amp;L - Concept C2 - RCCL'!T120</f>
        <v>2590044.1482182257</v>
      </c>
      <c r="S372" s="625">
        <f>'P&amp;L - Concept C2 - RCCL'!U120</f>
        <v>2635091.3957659239</v>
      </c>
      <c r="T372" s="625">
        <f>'P&amp;L - Concept C2 - RCCL'!V120</f>
        <v>2681039.5882645752</v>
      </c>
      <c r="U372" s="625">
        <f>'P&amp;L - Concept C2 - RCCL'!W120</f>
        <v>2727906.7446132004</v>
      </c>
      <c r="V372" s="625">
        <f>'P&amp;L - Concept C2 - RCCL'!X120</f>
        <v>2775711.2440887978</v>
      </c>
      <c r="W372" s="903">
        <f t="shared" ref="W372:W379" si="19">SUM(C372:V372)</f>
        <v>43352341.742761046</v>
      </c>
    </row>
    <row r="373" spans="1:27">
      <c r="A373" s="369" t="s">
        <v>140</v>
      </c>
      <c r="B373" s="369"/>
      <c r="C373" s="626">
        <f>'P&amp;L - Concept C2 - RCCL'!E153</f>
        <v>367858.33333333331</v>
      </c>
      <c r="D373" s="626">
        <f>'P&amp;L - Concept C2 - RCCL'!F153</f>
        <v>905069.84615384613</v>
      </c>
      <c r="E373" s="626">
        <f>'P&amp;L - Concept C2 - RCCL'!G153</f>
        <v>924294.67107692314</v>
      </c>
      <c r="F373" s="626">
        <f>'P&amp;L - Concept C2 - RCCL'!H153</f>
        <v>942780.56449846155</v>
      </c>
      <c r="G373" s="626">
        <f>'P&amp;L - Concept C2 - RCCL'!I153</f>
        <v>961636.17578843085</v>
      </c>
      <c r="H373" s="626">
        <f>'P&amp;L - Concept C2 - RCCL'!J153</f>
        <v>1009212.7780993994</v>
      </c>
      <c r="I373" s="626">
        <f>'P&amp;L - Concept C2 - RCCL'!K153</f>
        <v>1024860.1148710193</v>
      </c>
      <c r="J373" s="626">
        <f>'P&amp;L - Concept C2 - RCCL'!L153</f>
        <v>1045357.3171684397</v>
      </c>
      <c r="K373" s="626">
        <f>'P&amp;L - Concept C2 - RCCL'!M153</f>
        <v>1066264.4635118088</v>
      </c>
      <c r="L373" s="626">
        <f>'P&amp;L - Concept C2 - RCCL'!N153</f>
        <v>1087589.7527820447</v>
      </c>
      <c r="M373" s="626">
        <f>'P&amp;L - Concept C2 - RCCL'!O153</f>
        <v>1113732.0506276884</v>
      </c>
      <c r="N373" s="626">
        <f>'P&amp;L - Concept C2 - RCCL'!P153</f>
        <v>1131528.3787944396</v>
      </c>
      <c r="O373" s="626">
        <f>'P&amp;L - Concept C2 - RCCL'!Q153</f>
        <v>1154158.9463703283</v>
      </c>
      <c r="P373" s="626">
        <f>'P&amp;L - Concept C2 - RCCL'!R153</f>
        <v>1177242.125297735</v>
      </c>
      <c r="Q373" s="626">
        <f>'P&amp;L - Concept C2 - RCCL'!S153</f>
        <v>1200786.9678036894</v>
      </c>
      <c r="R373" s="626">
        <f>'P&amp;L - Concept C2 - RCCL'!T153</f>
        <v>1229129.7729906011</v>
      </c>
      <c r="S373" s="626">
        <f>'P&amp;L - Concept C2 - RCCL'!U153</f>
        <v>1249298.7613029587</v>
      </c>
      <c r="T373" s="626">
        <f>'P&amp;L - Concept C2 - RCCL'!V153</f>
        <v>1274284.7365290178</v>
      </c>
      <c r="U373" s="626">
        <f>'P&amp;L - Concept C2 - RCCL'!W153</f>
        <v>1299770.4312595986</v>
      </c>
      <c r="V373" s="626">
        <f>'P&amp;L - Concept C2 - RCCL'!X153</f>
        <v>1325765.8398847901</v>
      </c>
      <c r="W373" s="903">
        <f t="shared" si="19"/>
        <v>21490622.028144553</v>
      </c>
    </row>
    <row r="374" spans="1:27">
      <c r="A374" s="26" t="s">
        <v>116</v>
      </c>
      <c r="B374" s="26"/>
      <c r="C374" s="625">
        <f>'P&amp;L - Concept C2 - RCCL'!E157</f>
        <v>-148033.33333333331</v>
      </c>
      <c r="D374" s="625">
        <f>'P&amp;L - Concept C2 - RCCL'!F157</f>
        <v>670515.42441983928</v>
      </c>
      <c r="E374" s="625">
        <f>'P&amp;L - Concept C2 - RCCL'!G157</f>
        <v>827854.70490823616</v>
      </c>
      <c r="F374" s="625">
        <f>'P&amp;L - Concept C2 - RCCL'!H157</f>
        <v>844191.79900640086</v>
      </c>
      <c r="G374" s="625">
        <f>'P&amp;L - Concept C2 - RCCL'!I157</f>
        <v>860855.63498652901</v>
      </c>
      <c r="H374" s="625">
        <f>'P&amp;L - Concept C2 - RCCL'!J157</f>
        <v>1066446.7161132819</v>
      </c>
      <c r="I374" s="625">
        <f>'P&amp;L - Concept C2 - RCCL'!K157</f>
        <v>1087753.8122814705</v>
      </c>
      <c r="J374" s="625">
        <f>'P&amp;L - Concept C2 - RCCL'!L157</f>
        <v>1104950.1315826559</v>
      </c>
      <c r="K374" s="625">
        <f>'P&amp;L - Concept C2 - RCCL'!M157</f>
        <v>1122490.377269865</v>
      </c>
      <c r="L374" s="625">
        <f>'P&amp;L - Concept C2 - RCCL'!N157</f>
        <v>1140381.4278708172</v>
      </c>
      <c r="M374" s="625">
        <f>'P&amp;L - Concept C2 - RCCL'!O157</f>
        <v>1209061.7584993425</v>
      </c>
      <c r="N374" s="625">
        <f>'P&amp;L - Concept C2 - RCCL'!P157</f>
        <v>1232066.1103345761</v>
      </c>
      <c r="O374" s="625">
        <f>'P&amp;L - Concept C2 - RCCL'!Q157</f>
        <v>1251052.236360712</v>
      </c>
      <c r="P374" s="625">
        <f>'P&amp;L - Concept C2 - RCCL'!R157</f>
        <v>1270418.0849073711</v>
      </c>
      <c r="Q374" s="625">
        <f>'P&amp;L - Concept C2 - RCCL'!S157</f>
        <v>1290171.2504249632</v>
      </c>
      <c r="R374" s="625">
        <f>'P&amp;L - Concept C2 - RCCL'!T157</f>
        <v>1360914.3752276246</v>
      </c>
      <c r="S374" s="625">
        <f>'P&amp;L - Concept C2 - RCCL'!U157</f>
        <v>1385792.6344629652</v>
      </c>
      <c r="T374" s="625">
        <f>'P&amp;L - Concept C2 - RCCL'!V157</f>
        <v>1406754.8517355574</v>
      </c>
      <c r="U374" s="625">
        <f>'P&amp;L - Concept C2 - RCCL'!W157</f>
        <v>1428136.3133536018</v>
      </c>
      <c r="V374" s="625">
        <f>'P&amp;L - Concept C2 - RCCL'!X157</f>
        <v>1449945.4042040077</v>
      </c>
      <c r="W374" s="903">
        <f t="shared" si="19"/>
        <v>21861719.714616485</v>
      </c>
    </row>
    <row r="375" spans="1:27">
      <c r="A375" s="32"/>
      <c r="B375" s="32"/>
      <c r="C375" s="625"/>
      <c r="D375" s="625"/>
      <c r="E375" s="625"/>
      <c r="F375" s="625"/>
      <c r="G375" s="625"/>
      <c r="H375" s="625"/>
      <c r="I375" s="625"/>
      <c r="J375" s="625"/>
      <c r="K375" s="625"/>
      <c r="L375" s="625"/>
      <c r="M375" s="625"/>
      <c r="N375" s="625"/>
      <c r="O375" s="625"/>
      <c r="P375" s="625"/>
      <c r="Q375" s="625"/>
      <c r="R375" s="625"/>
      <c r="S375" s="625"/>
      <c r="T375" s="625"/>
      <c r="U375" s="625"/>
      <c r="V375" s="625"/>
      <c r="W375" s="903"/>
    </row>
    <row r="376" spans="1:27">
      <c r="A376" s="32" t="s">
        <v>136</v>
      </c>
      <c r="B376" s="32"/>
      <c r="C376" s="625">
        <f>'P&amp;L - Concept C2 - RCCL'!E165</f>
        <v>0</v>
      </c>
      <c r="D376" s="625">
        <f>'P&amp;L - Concept C2 - RCCL'!F165</f>
        <v>96205</v>
      </c>
      <c r="E376" s="625">
        <f>'P&amp;L - Concept C2 - RCCL'!G165</f>
        <v>98129.1</v>
      </c>
      <c r="F376" s="625">
        <f>'P&amp;L - Concept C2 - RCCL'!H165</f>
        <v>100091.682</v>
      </c>
      <c r="G376" s="625">
        <f>'P&amp;L - Concept C2 - RCCL'!I165</f>
        <v>102093.51564</v>
      </c>
      <c r="H376" s="625">
        <f>'P&amp;L - Concept C2 - RCCL'!J165</f>
        <v>104135.3859528</v>
      </c>
      <c r="I376" s="625">
        <f>'P&amp;L - Concept C2 - RCCL'!K165</f>
        <v>106218.093671856</v>
      </c>
      <c r="J376" s="625">
        <f>'P&amp;L - Concept C2 - RCCL'!L165</f>
        <v>108342.45554529312</v>
      </c>
      <c r="K376" s="625">
        <f>'P&amp;L - Concept C2 - RCCL'!M165</f>
        <v>110509.30465619899</v>
      </c>
      <c r="L376" s="625">
        <f>'P&amp;L - Concept C2 - RCCL'!N165</f>
        <v>112719.49074932297</v>
      </c>
      <c r="M376" s="625">
        <f>'P&amp;L - Concept C2 - RCCL'!O165</f>
        <v>114973.88056430944</v>
      </c>
      <c r="N376" s="625">
        <f>'P&amp;L - Concept C2 - RCCL'!P165</f>
        <v>117273.35817559563</v>
      </c>
      <c r="O376" s="625">
        <f>'P&amp;L - Concept C2 - RCCL'!Q165</f>
        <v>119618.82533910754</v>
      </c>
      <c r="P376" s="625">
        <f>'P&amp;L - Concept C2 - RCCL'!R165</f>
        <v>122011.20184588969</v>
      </c>
      <c r="Q376" s="625">
        <f>'P&amp;L - Concept C2 - RCCL'!S165</f>
        <v>124451.42588280747</v>
      </c>
      <c r="R376" s="625">
        <f>'P&amp;L - Concept C2 - RCCL'!T165</f>
        <v>126940.45440046364</v>
      </c>
      <c r="S376" s="625">
        <f>'P&amp;L - Concept C2 - RCCL'!U165</f>
        <v>129479.26348847292</v>
      </c>
      <c r="T376" s="625">
        <f>'P&amp;L - Concept C2 - RCCL'!V165</f>
        <v>132068.84875824238</v>
      </c>
      <c r="U376" s="625">
        <f>'P&amp;L - Concept C2 - RCCL'!W165</f>
        <v>134710.22573340722</v>
      </c>
      <c r="V376" s="625">
        <f>'P&amp;L - Concept C2 - RCCL'!X165</f>
        <v>137404.43024807537</v>
      </c>
      <c r="W376" s="903">
        <f t="shared" si="19"/>
        <v>2197375.9426518423</v>
      </c>
    </row>
    <row r="377" spans="1:27">
      <c r="A377" s="32" t="s">
        <v>127</v>
      </c>
      <c r="B377" s="32"/>
      <c r="C377" s="625">
        <f>SUM('P&amp;L - Concept C2 - RCCL'!E166:E168)</f>
        <v>922285.92</v>
      </c>
      <c r="D377" s="625">
        <f>SUM('P&amp;L - Concept C2 - RCCL'!F166:F168)</f>
        <v>922285.92</v>
      </c>
      <c r="E377" s="625">
        <f>SUM('P&amp;L - Concept C2 - RCCL'!G166:G168)</f>
        <v>922285.92</v>
      </c>
      <c r="F377" s="625">
        <f>SUM('P&amp;L - Concept C2 - RCCL'!H166:H168)</f>
        <v>922285.92</v>
      </c>
      <c r="G377" s="625">
        <f>SUM('P&amp;L - Concept C2 - RCCL'!I166:I168)</f>
        <v>922285.92</v>
      </c>
      <c r="H377" s="625">
        <f>SUM('P&amp;L - Concept C2 - RCCL'!J166:J168)</f>
        <v>922285.92</v>
      </c>
      <c r="I377" s="625">
        <f>SUM('P&amp;L - Concept C2 - RCCL'!K166:K168)</f>
        <v>922285.92</v>
      </c>
      <c r="J377" s="625">
        <f>SUM('P&amp;L - Concept C2 - RCCL'!L166:L168)</f>
        <v>922285.92</v>
      </c>
      <c r="K377" s="625">
        <f>SUM('P&amp;L - Concept C2 - RCCL'!M166:M168)</f>
        <v>922285.92</v>
      </c>
      <c r="L377" s="625">
        <f>SUM('P&amp;L - Concept C2 - RCCL'!N166:N168)</f>
        <v>922285.92</v>
      </c>
      <c r="M377" s="625">
        <f>SUM('P&amp;L - Concept C2 - RCCL'!O166:O168)</f>
        <v>922285.92</v>
      </c>
      <c r="N377" s="625">
        <f>SUM('P&amp;L - Concept C2 - RCCL'!P166:P168)</f>
        <v>922285.92</v>
      </c>
      <c r="O377" s="625">
        <f>SUM('P&amp;L - Concept C2 - RCCL'!Q166:Q168)</f>
        <v>922285.92</v>
      </c>
      <c r="P377" s="625">
        <f>SUM('P&amp;L - Concept C2 - RCCL'!R166:R168)</f>
        <v>922285.92</v>
      </c>
      <c r="Q377" s="625">
        <f>SUM('P&amp;L - Concept C2 - RCCL'!S166:S168)</f>
        <v>922285.92</v>
      </c>
      <c r="R377" s="625">
        <f>SUM('P&amp;L - Concept C2 - RCCL'!T166:T168)</f>
        <v>922285.92</v>
      </c>
      <c r="S377" s="625">
        <f>SUM('P&amp;L - Concept C2 - RCCL'!U166:U168)</f>
        <v>922285.92</v>
      </c>
      <c r="T377" s="625">
        <f>SUM('P&amp;L - Concept C2 - RCCL'!V166:V168)</f>
        <v>922285.92</v>
      </c>
      <c r="U377" s="625">
        <f>SUM('P&amp;L - Concept C2 - RCCL'!W166:W168)</f>
        <v>922285.92</v>
      </c>
      <c r="V377" s="625">
        <f>SUM('P&amp;L - Concept C2 - RCCL'!X166:X168)</f>
        <v>922285.92</v>
      </c>
      <c r="W377" s="903">
        <f t="shared" si="19"/>
        <v>18445718.400000002</v>
      </c>
      <c r="X377" s="900">
        <f>SUM(W376:W377)</f>
        <v>20643094.342651844</v>
      </c>
    </row>
    <row r="378" spans="1:27">
      <c r="A378" s="32"/>
      <c r="B378" s="32"/>
      <c r="C378" s="625"/>
      <c r="D378" s="625"/>
      <c r="E378" s="625"/>
      <c r="F378" s="625"/>
      <c r="G378" s="625"/>
      <c r="H378" s="625"/>
      <c r="I378" s="625"/>
      <c r="J378" s="625"/>
      <c r="K378" s="625"/>
      <c r="L378" s="625"/>
      <c r="M378" s="625"/>
      <c r="N378" s="625"/>
      <c r="O378" s="625"/>
      <c r="P378" s="625"/>
      <c r="Q378" s="625"/>
      <c r="R378" s="625"/>
      <c r="S378" s="625"/>
      <c r="T378" s="625"/>
      <c r="U378" s="625"/>
      <c r="V378" s="625"/>
      <c r="W378" s="903"/>
      <c r="Z378" s="900">
        <f>SUM(W373,W376:W377)</f>
        <v>42133716.370796397</v>
      </c>
    </row>
    <row r="379" spans="1:27">
      <c r="A379" s="32" t="s">
        <v>138</v>
      </c>
      <c r="B379" s="32"/>
      <c r="C379" s="625">
        <f>'P&amp;L - Concept C2 - RCCL'!E171</f>
        <v>-148033.33333333331</v>
      </c>
      <c r="D379" s="625">
        <f>'P&amp;L - Concept C2 - RCCL'!F171</f>
        <v>574310.42441983928</v>
      </c>
      <c r="E379" s="625">
        <f>'P&amp;L - Concept C2 - RCCL'!G171</f>
        <v>729725.60490823619</v>
      </c>
      <c r="F379" s="625">
        <f>'P&amp;L - Concept C2 - RCCL'!H171</f>
        <v>744100.11700640083</v>
      </c>
      <c r="G379" s="625">
        <f>'P&amp;L - Concept C2 - RCCL'!I171</f>
        <v>758762.11934652901</v>
      </c>
      <c r="H379" s="625">
        <f>'P&amp;L - Concept C2 - RCCL'!J171</f>
        <v>962311.33016048186</v>
      </c>
      <c r="I379" s="625">
        <f>'P&amp;L - Concept C2 - RCCL'!K171</f>
        <v>981535.71860961453</v>
      </c>
      <c r="J379" s="625">
        <f>'P&amp;L - Concept C2 - RCCL'!L171</f>
        <v>996607.67603736278</v>
      </c>
      <c r="K379" s="625">
        <f>'P&amp;L - Concept C2 - RCCL'!M171</f>
        <v>1011981.0726136661</v>
      </c>
      <c r="L379" s="625">
        <f>'P&amp;L - Concept C2 - RCCL'!N171</f>
        <v>1027661.9371214943</v>
      </c>
      <c r="M379" s="625">
        <f>'P&amp;L - Concept C2 - RCCL'!O171</f>
        <v>1094087.8779350331</v>
      </c>
      <c r="N379" s="625">
        <f>'P&amp;L - Concept C2 - RCCL'!P171</f>
        <v>1114792.7521589806</v>
      </c>
      <c r="O379" s="625">
        <f>'P&amp;L - Concept C2 - RCCL'!Q171</f>
        <v>1131433.4110216044</v>
      </c>
      <c r="P379" s="625">
        <f>'P&amp;L - Concept C2 - RCCL'!R171</f>
        <v>1148406.8830614814</v>
      </c>
      <c r="Q379" s="625">
        <f>'P&amp;L - Concept C2 - RCCL'!S171</f>
        <v>1165719.8245421557</v>
      </c>
      <c r="R379" s="625">
        <f>'P&amp;L - Concept C2 - RCCL'!T171</f>
        <v>1233973.9208271608</v>
      </c>
      <c r="S379" s="625">
        <f>'P&amp;L - Concept C2 - RCCL'!U171</f>
        <v>1256313.3709744923</v>
      </c>
      <c r="T379" s="625">
        <f>'P&amp;L - Concept C2 - RCCL'!V171</f>
        <v>1274686.0029773151</v>
      </c>
      <c r="U379" s="625">
        <f>'P&amp;L - Concept C2 - RCCL'!W171</f>
        <v>1293426.0876201945</v>
      </c>
      <c r="V379" s="625">
        <f>'P&amp;L - Concept C2 - RCCL'!X171</f>
        <v>1312540.9739559323</v>
      </c>
      <c r="W379" s="903">
        <f t="shared" si="19"/>
        <v>19664343.771964643</v>
      </c>
    </row>
    <row r="380" spans="1:27">
      <c r="A380" s="32"/>
      <c r="B380" s="32"/>
      <c r="C380" s="625"/>
      <c r="D380" s="625"/>
      <c r="E380" s="625"/>
      <c r="F380" s="625"/>
      <c r="G380" s="625"/>
      <c r="H380" s="625"/>
      <c r="I380" s="625"/>
      <c r="J380" s="625"/>
      <c r="K380" s="625"/>
      <c r="L380" s="625"/>
      <c r="M380" s="625"/>
      <c r="N380" s="625"/>
      <c r="O380" s="625"/>
      <c r="P380" s="625"/>
      <c r="Q380" s="625"/>
      <c r="R380" s="625"/>
      <c r="S380" s="625"/>
      <c r="T380" s="625"/>
      <c r="U380" s="627"/>
      <c r="V380" s="627"/>
      <c r="W380" s="903"/>
    </row>
    <row r="381" spans="1:27">
      <c r="A381" s="300" t="s">
        <v>130</v>
      </c>
      <c r="B381" s="300"/>
      <c r="C381" s="628">
        <f>'P&amp;L - Concept C2 - RCCL'!E175</f>
        <v>-1070319.2533333334</v>
      </c>
      <c r="D381" s="628">
        <f>'P&amp;L - Concept C2 - RCCL'!F175</f>
        <v>-347975.49558016076</v>
      </c>
      <c r="E381" s="628">
        <f>'P&amp;L - Concept C2 - RCCL'!G175</f>
        <v>-192560.31509176386</v>
      </c>
      <c r="F381" s="628">
        <f>'P&amp;L - Concept C2 - RCCL'!H175</f>
        <v>-178185.80299359921</v>
      </c>
      <c r="G381" s="628">
        <f>'P&amp;L - Concept C2 - RCCL'!I175</f>
        <v>-163523.80065347103</v>
      </c>
      <c r="H381" s="628">
        <f>'P&amp;L - Concept C2 - RCCL'!J175</f>
        <v>40025.410160481813</v>
      </c>
      <c r="I381" s="628">
        <f>'P&amp;L - Concept C2 - RCCL'!K175</f>
        <v>59249.798609614489</v>
      </c>
      <c r="J381" s="628">
        <f>'P&amp;L - Concept C2 - RCCL'!L175</f>
        <v>74321.756037362735</v>
      </c>
      <c r="K381" s="628">
        <f>'P&amp;L - Concept C2 - RCCL'!M175</f>
        <v>89695.152613666025</v>
      </c>
      <c r="L381" s="628">
        <f>'P&amp;L - Concept C2 - RCCL'!N175</f>
        <v>105376.01712149428</v>
      </c>
      <c r="M381" s="628">
        <f>'P&amp;L - Concept C2 - RCCL'!O175</f>
        <v>171801.95793503302</v>
      </c>
      <c r="N381" s="628">
        <f>'P&amp;L - Concept C2 - RCCL'!P175</f>
        <v>192506.83215898043</v>
      </c>
      <c r="O381" s="628">
        <f>'P&amp;L - Concept C2 - RCCL'!Q175</f>
        <v>209147.49102160439</v>
      </c>
      <c r="P381" s="628">
        <f>'P&amp;L - Concept C2 - RCCL'!R175</f>
        <v>226120.96306148137</v>
      </c>
      <c r="Q381" s="628">
        <f>'P&amp;L - Concept C2 - RCCL'!S175</f>
        <v>243433.90454215568</v>
      </c>
      <c r="R381" s="628">
        <f>'P&amp;L - Concept C2 - RCCL'!T175</f>
        <v>311688.0008271609</v>
      </c>
      <c r="S381" s="628">
        <f>'P&amp;L - Concept C2 - RCCL'!U175</f>
        <v>334027.45097449236</v>
      </c>
      <c r="T381" s="628">
        <f>'P&amp;L - Concept C2 - RCCL'!V175</f>
        <v>352400.08297731495</v>
      </c>
      <c r="U381" s="628">
        <f>'P&amp;L - Concept C2 - RCCL'!W175</f>
        <v>371140.16762019461</v>
      </c>
      <c r="V381" s="628">
        <f>'P&amp;L - Concept C2 - RCCL'!X175</f>
        <v>390255.05395593215</v>
      </c>
      <c r="W381" s="1148">
        <f>SUM(C381:V381)</f>
        <v>1218625.3719646404</v>
      </c>
    </row>
    <row r="382" spans="1:27">
      <c r="A382" s="32" t="s">
        <v>404</v>
      </c>
      <c r="B382" s="370">
        <f>'P&amp;L - Concept C2 - RCCL'!B176</f>
        <v>3.754845132010054E-2</v>
      </c>
      <c r="C382" s="629"/>
      <c r="D382" s="629"/>
      <c r="E382" s="629"/>
      <c r="F382" s="629"/>
      <c r="G382" s="629"/>
      <c r="H382" s="629"/>
      <c r="I382" s="629"/>
      <c r="J382" s="629"/>
      <c r="K382" s="629"/>
      <c r="L382" s="629"/>
      <c r="M382" s="629"/>
      <c r="N382" s="629"/>
      <c r="O382" s="629"/>
      <c r="P382" s="629"/>
      <c r="Q382" s="629"/>
      <c r="R382" s="629"/>
      <c r="S382" s="629"/>
      <c r="T382" s="629"/>
      <c r="U382" s="629"/>
      <c r="V382" s="629"/>
    </row>
    <row r="383" spans="1:27">
      <c r="A383" s="131"/>
      <c r="B383" s="131"/>
      <c r="C383" s="630"/>
      <c r="D383" s="630"/>
      <c r="E383" s="630"/>
      <c r="F383" s="630"/>
      <c r="G383" s="630"/>
      <c r="H383" s="630"/>
      <c r="I383" s="630"/>
      <c r="J383" s="630"/>
      <c r="K383" s="630"/>
      <c r="L383" s="630"/>
      <c r="M383" s="630"/>
      <c r="N383" s="630"/>
      <c r="O383" s="630"/>
      <c r="P383" s="630"/>
      <c r="Q383" s="630"/>
      <c r="R383" s="630"/>
      <c r="S383" s="630"/>
      <c r="T383" s="630"/>
      <c r="U383" s="630"/>
      <c r="V383" s="630"/>
      <c r="AA383" s="900">
        <f>W381+3600000</f>
        <v>4818625.3719646409</v>
      </c>
    </row>
    <row r="384" spans="1:27" s="32" customFormat="1">
      <c r="C384" s="625"/>
      <c r="D384" s="625"/>
      <c r="E384" s="625"/>
      <c r="F384" s="625"/>
      <c r="G384" s="625"/>
      <c r="H384" s="625"/>
      <c r="I384" s="625"/>
      <c r="J384" s="625"/>
      <c r="K384" s="625"/>
      <c r="L384" s="625"/>
      <c r="M384" s="625"/>
      <c r="N384" s="625"/>
      <c r="O384" s="625"/>
      <c r="P384" s="625"/>
      <c r="Q384" s="625"/>
      <c r="R384" s="625"/>
      <c r="S384" s="625"/>
      <c r="T384" s="625"/>
      <c r="U384" s="625"/>
      <c r="V384" s="625"/>
      <c r="W384" s="905"/>
      <c r="X384" s="904"/>
      <c r="Y384" s="904"/>
      <c r="Z384" s="904"/>
      <c r="AA384" s="904"/>
    </row>
    <row r="385" spans="1:27" s="32" customFormat="1">
      <c r="A385" s="47" t="s">
        <v>7</v>
      </c>
      <c r="B385" s="47"/>
      <c r="C385" s="47" t="s">
        <v>7</v>
      </c>
      <c r="D385" s="47" t="s">
        <v>7</v>
      </c>
      <c r="E385" s="47" t="s">
        <v>7</v>
      </c>
      <c r="F385" s="47" t="s">
        <v>7</v>
      </c>
      <c r="G385" s="47" t="s">
        <v>7</v>
      </c>
      <c r="H385" s="47" t="s">
        <v>7</v>
      </c>
      <c r="I385" s="47" t="s">
        <v>7</v>
      </c>
      <c r="J385" s="47" t="s">
        <v>7</v>
      </c>
      <c r="K385" s="47" t="s">
        <v>7</v>
      </c>
      <c r="L385" s="47" t="s">
        <v>7</v>
      </c>
      <c r="M385" s="47" t="s">
        <v>7</v>
      </c>
      <c r="N385" s="47" t="s">
        <v>7</v>
      </c>
      <c r="O385" s="47" t="s">
        <v>7</v>
      </c>
      <c r="P385" s="47" t="s">
        <v>7</v>
      </c>
      <c r="Q385" s="47" t="s">
        <v>7</v>
      </c>
      <c r="R385" s="47" t="s">
        <v>7</v>
      </c>
      <c r="S385" s="47" t="s">
        <v>7</v>
      </c>
      <c r="T385" s="47" t="s">
        <v>7</v>
      </c>
      <c r="U385" s="47" t="s">
        <v>7</v>
      </c>
      <c r="V385" s="47" t="s">
        <v>7</v>
      </c>
      <c r="W385" s="905"/>
      <c r="X385" s="904"/>
      <c r="Y385" s="904"/>
      <c r="Z385" s="904"/>
      <c r="AA385" s="904"/>
    </row>
    <row r="386" spans="1:27">
      <c r="C386" s="629"/>
      <c r="D386" s="629"/>
      <c r="E386" s="629"/>
      <c r="F386" s="629"/>
      <c r="G386" s="629"/>
      <c r="H386" s="629"/>
      <c r="I386" s="629"/>
      <c r="J386" s="629"/>
      <c r="K386" s="629"/>
      <c r="L386" s="629"/>
      <c r="M386" s="629"/>
      <c r="N386" s="629"/>
      <c r="O386" s="629"/>
      <c r="P386" s="629"/>
      <c r="Q386" s="629"/>
      <c r="R386" s="629"/>
      <c r="S386" s="629"/>
      <c r="T386" s="629"/>
      <c r="U386" s="629"/>
      <c r="V386" s="629"/>
    </row>
    <row r="387" spans="1:27">
      <c r="A387" s="29"/>
      <c r="B387" s="72"/>
      <c r="C387" s="71">
        <v>2019</v>
      </c>
      <c r="D387" s="71">
        <v>2020</v>
      </c>
      <c r="E387" s="71">
        <v>2021</v>
      </c>
      <c r="F387" s="71">
        <v>2022</v>
      </c>
      <c r="G387" s="71">
        <v>2023</v>
      </c>
      <c r="H387" s="71">
        <v>2024</v>
      </c>
      <c r="I387" s="71">
        <v>2025</v>
      </c>
      <c r="J387" s="71">
        <v>2026</v>
      </c>
      <c r="K387" s="71">
        <v>2027</v>
      </c>
      <c r="L387" s="71">
        <v>2028</v>
      </c>
      <c r="M387" s="71">
        <v>2029</v>
      </c>
      <c r="N387" s="71">
        <v>2030</v>
      </c>
      <c r="O387" s="71">
        <v>2031</v>
      </c>
      <c r="P387" s="71">
        <v>2032</v>
      </c>
      <c r="Q387" s="71">
        <v>2033</v>
      </c>
      <c r="R387" s="71">
        <v>2034</v>
      </c>
      <c r="S387" s="71">
        <v>2035</v>
      </c>
      <c r="T387" s="71">
        <v>2036</v>
      </c>
      <c r="U387" s="71">
        <v>2037</v>
      </c>
      <c r="V387" s="71">
        <v>2038</v>
      </c>
    </row>
    <row r="388" spans="1:27">
      <c r="C388" s="629"/>
      <c r="D388" s="629"/>
      <c r="E388" s="629"/>
      <c r="F388" s="629"/>
      <c r="G388" s="629"/>
      <c r="H388" s="629"/>
      <c r="I388" s="629"/>
      <c r="J388" s="629"/>
      <c r="K388" s="629"/>
      <c r="L388" s="629"/>
      <c r="M388" s="629"/>
      <c r="N388" s="629"/>
      <c r="O388" s="629"/>
      <c r="P388" s="629"/>
      <c r="Q388" s="629"/>
      <c r="R388" s="629"/>
      <c r="S388" s="629"/>
      <c r="T388" s="629"/>
      <c r="U388" s="629"/>
      <c r="V388" s="629"/>
    </row>
    <row r="389" spans="1:27">
      <c r="A389" s="266" t="s">
        <v>389</v>
      </c>
      <c r="B389" s="266"/>
      <c r="C389" s="631"/>
      <c r="D389" s="631"/>
      <c r="E389" s="631"/>
      <c r="F389" s="631"/>
      <c r="G389" s="631"/>
      <c r="H389" s="631"/>
      <c r="I389" s="631"/>
      <c r="J389" s="631"/>
      <c r="K389" s="631"/>
      <c r="L389" s="631"/>
      <c r="M389" s="631"/>
      <c r="N389" s="631"/>
      <c r="O389" s="631"/>
      <c r="P389" s="631"/>
      <c r="Q389" s="631"/>
      <c r="R389" s="631"/>
      <c r="S389" s="631"/>
      <c r="T389" s="631"/>
      <c r="U389" s="631"/>
      <c r="V389" s="631"/>
    </row>
    <row r="390" spans="1:27">
      <c r="A390" s="26"/>
      <c r="B390" s="26"/>
      <c r="C390" s="632"/>
      <c r="D390" s="632"/>
      <c r="E390" s="632"/>
      <c r="F390" s="632"/>
      <c r="G390" s="632"/>
      <c r="H390" s="632"/>
      <c r="I390" s="632"/>
      <c r="J390" s="632"/>
      <c r="K390" s="632"/>
      <c r="L390" s="632"/>
      <c r="M390" s="632"/>
      <c r="N390" s="632"/>
      <c r="O390" s="632"/>
      <c r="P390" s="632"/>
      <c r="Q390" s="632"/>
      <c r="R390" s="632"/>
      <c r="S390" s="632"/>
      <c r="T390" s="632"/>
      <c r="U390" s="632"/>
      <c r="V390" s="632"/>
    </row>
    <row r="391" spans="1:27">
      <c r="A391" s="32" t="s">
        <v>148</v>
      </c>
      <c r="B391" s="32"/>
      <c r="C391" s="625">
        <f>'P&amp;L - Concept C2 - NCLH'!E120</f>
        <v>219825</v>
      </c>
      <c r="D391" s="625">
        <f>'P&amp;L - Concept C2 - NCLH'!F120</f>
        <v>1314994.7739798655</v>
      </c>
      <c r="E391" s="625">
        <f>'P&amp;L - Concept C2 - NCLH'!G120</f>
        <v>1486347.0694594625</v>
      </c>
      <c r="F391" s="625">
        <f>'P&amp;L - Concept C2 - NCLH'!H120</f>
        <v>1515854.0108486519</v>
      </c>
      <c r="G391" s="625">
        <f>'P&amp;L - Concept C2 - NCLH'!I120</f>
        <v>1545951.091065625</v>
      </c>
      <c r="H391" s="625">
        <f>'P&amp;L - Concept C2 - NCLH'!J120</f>
        <v>1793587.9601091596</v>
      </c>
      <c r="I391" s="625">
        <f>'P&amp;L - Concept C2 - NCLH'!K120</f>
        <v>1824900.9623668981</v>
      </c>
      <c r="J391" s="625">
        <f>'P&amp;L - Concept C2 - NCLH'!L120</f>
        <v>1856840.2246697915</v>
      </c>
      <c r="K391" s="625">
        <f>'P&amp;L - Concept C2 - NCLH'!M120</f>
        <v>1889418.2722187436</v>
      </c>
      <c r="L391" s="625">
        <f>'P&amp;L - Concept C2 - NCLH'!N120</f>
        <v>1922647.8807186743</v>
      </c>
      <c r="M391" s="625">
        <f>'P&amp;L - Concept C2 - NCLH'!O120</f>
        <v>2011364.0431941589</v>
      </c>
      <c r="N391" s="625">
        <f>'P&amp;L - Concept C2 - NCLH'!P120</f>
        <v>2045936.1278774862</v>
      </c>
      <c r="O391" s="625">
        <f>'P&amp;L - Concept C2 - NCLH'!Q120</f>
        <v>2081199.6542544803</v>
      </c>
      <c r="P391" s="625">
        <f>'P&amp;L - Concept C2 - NCLH'!R120</f>
        <v>2117168.4511590144</v>
      </c>
      <c r="Q391" s="625">
        <f>'P&amp;L - Concept C2 - NCLH'!S120</f>
        <v>2153856.624001639</v>
      </c>
      <c r="R391" s="625">
        <f>'P&amp;L - Concept C2 - NCLH'!T120</f>
        <v>2246200.5221066717</v>
      </c>
      <c r="S391" s="625">
        <f>'P&amp;L - Concept C2 - NCLH'!U120</f>
        <v>2284370.8971321387</v>
      </c>
      <c r="T391" s="625">
        <f>'P&amp;L - Concept C2 - NCLH'!V120</f>
        <v>2323304.6796581149</v>
      </c>
      <c r="U391" s="625">
        <f>'P&amp;L - Concept C2 - NCLH'!W120</f>
        <v>2363017.1378346104</v>
      </c>
      <c r="V391" s="625">
        <f>'P&amp;L - Concept C2 - NCLH'!X120</f>
        <v>2403523.8451746358</v>
      </c>
      <c r="W391" s="903">
        <f t="shared" ref="W391:W398" si="20">SUM(C391:V391)</f>
        <v>37400309.227829821</v>
      </c>
    </row>
    <row r="392" spans="1:27">
      <c r="A392" s="369" t="s">
        <v>140</v>
      </c>
      <c r="B392" s="369"/>
      <c r="C392" s="626">
        <f>'P&amp;L - Concept C2 - NCLH'!E153</f>
        <v>367858.33333333331</v>
      </c>
      <c r="D392" s="626">
        <f>'P&amp;L - Concept C2 - NCLH'!F153</f>
        <v>905069.84615384613</v>
      </c>
      <c r="E392" s="626">
        <f>'P&amp;L - Concept C2 - NCLH'!G153</f>
        <v>924294.67107692314</v>
      </c>
      <c r="F392" s="626">
        <f>'P&amp;L - Concept C2 - NCLH'!H153</f>
        <v>942780.56449846155</v>
      </c>
      <c r="G392" s="626">
        <f>'P&amp;L - Concept C2 - NCLH'!I153</f>
        <v>961636.17578843085</v>
      </c>
      <c r="H392" s="626">
        <f>'P&amp;L - Concept C2 - NCLH'!J153</f>
        <v>1009212.7780993994</v>
      </c>
      <c r="I392" s="626">
        <f>'P&amp;L - Concept C2 - NCLH'!K153</f>
        <v>1024860.1148710193</v>
      </c>
      <c r="J392" s="626">
        <f>'P&amp;L - Concept C2 - NCLH'!L153</f>
        <v>1045357.3171684397</v>
      </c>
      <c r="K392" s="626">
        <f>'P&amp;L - Concept C2 - NCLH'!M153</f>
        <v>1066264.4635118088</v>
      </c>
      <c r="L392" s="626">
        <f>'P&amp;L - Concept C2 - NCLH'!N153</f>
        <v>1087589.7527820447</v>
      </c>
      <c r="M392" s="626">
        <f>'P&amp;L - Concept C2 - NCLH'!O153</f>
        <v>1113732.0506276884</v>
      </c>
      <c r="N392" s="626">
        <f>'P&amp;L - Concept C2 - NCLH'!P153</f>
        <v>1131528.3787944396</v>
      </c>
      <c r="O392" s="626">
        <f>'P&amp;L - Concept C2 - NCLH'!Q153</f>
        <v>1154158.9463703283</v>
      </c>
      <c r="P392" s="626">
        <f>'P&amp;L - Concept C2 - NCLH'!R153</f>
        <v>1177242.125297735</v>
      </c>
      <c r="Q392" s="626">
        <f>'P&amp;L - Concept C2 - NCLH'!S153</f>
        <v>1200786.9678036894</v>
      </c>
      <c r="R392" s="626">
        <f>'P&amp;L - Concept C2 - NCLH'!T153</f>
        <v>1229129.7729906011</v>
      </c>
      <c r="S392" s="626">
        <f>'P&amp;L - Concept C2 - NCLH'!U153</f>
        <v>1249298.7613029587</v>
      </c>
      <c r="T392" s="626">
        <f>'P&amp;L - Concept C2 - NCLH'!V153</f>
        <v>1274284.7365290178</v>
      </c>
      <c r="U392" s="626">
        <f>'P&amp;L - Concept C2 - NCLH'!W153</f>
        <v>1299770.4312595986</v>
      </c>
      <c r="V392" s="626">
        <f>'P&amp;L - Concept C2 - NCLH'!X153</f>
        <v>1325765.8398847901</v>
      </c>
      <c r="W392" s="903">
        <f t="shared" si="20"/>
        <v>21490622.028144553</v>
      </c>
    </row>
    <row r="393" spans="1:27">
      <c r="A393" s="26" t="s">
        <v>116</v>
      </c>
      <c r="B393" s="26"/>
      <c r="C393" s="625">
        <f>'P&amp;L - Concept C2 - NCLH'!E157</f>
        <v>-148033.33333333331</v>
      </c>
      <c r="D393" s="625">
        <f>'P&amp;L - Concept C2 - NCLH'!F157</f>
        <v>409924.92782601935</v>
      </c>
      <c r="E393" s="625">
        <f>'P&amp;L - Concept C2 - NCLH'!G157</f>
        <v>562052.3983825394</v>
      </c>
      <c r="F393" s="625">
        <f>'P&amp;L - Concept C2 - NCLH'!H157</f>
        <v>573073.44635019032</v>
      </c>
      <c r="G393" s="625">
        <f>'P&amp;L - Concept C2 - NCLH'!I157</f>
        <v>584314.91527719412</v>
      </c>
      <c r="H393" s="625">
        <f>'P&amp;L - Concept C2 - NCLH'!J157</f>
        <v>784375.18200976017</v>
      </c>
      <c r="I393" s="625">
        <f>'P&amp;L - Concept C2 - NCLH'!K157</f>
        <v>800040.84749587881</v>
      </c>
      <c r="J393" s="625">
        <f>'P&amp;L - Concept C2 - NCLH'!L157</f>
        <v>811482.90750135179</v>
      </c>
      <c r="K393" s="625">
        <f>'P&amp;L - Concept C2 - NCLH'!M157</f>
        <v>823153.8087069348</v>
      </c>
      <c r="L393" s="625">
        <f>'P&amp;L - Concept C2 - NCLH'!N157</f>
        <v>835058.12793662958</v>
      </c>
      <c r="M393" s="625">
        <f>'P&amp;L - Concept C2 - NCLH'!O157</f>
        <v>897631.99256647052</v>
      </c>
      <c r="N393" s="625">
        <f>'P&amp;L - Concept C2 - NCLH'!P157</f>
        <v>914407.74908304657</v>
      </c>
      <c r="O393" s="625">
        <f>'P&amp;L - Concept C2 - NCLH'!Q157</f>
        <v>927040.70788415195</v>
      </c>
      <c r="P393" s="625">
        <f>'P&amp;L - Concept C2 - NCLH'!R157</f>
        <v>939926.32586127939</v>
      </c>
      <c r="Q393" s="625">
        <f>'P&amp;L - Concept C2 - NCLH'!S157</f>
        <v>953069.65619794955</v>
      </c>
      <c r="R393" s="625">
        <f>'P&amp;L - Concept C2 - NCLH'!T157</f>
        <v>1017070.7491160706</v>
      </c>
      <c r="S393" s="625">
        <f>'P&amp;L - Concept C2 - NCLH'!U157</f>
        <v>1035072.13582918</v>
      </c>
      <c r="T393" s="625">
        <f>'P&amp;L - Concept C2 - NCLH'!V157</f>
        <v>1049019.9431290971</v>
      </c>
      <c r="U393" s="625">
        <f>'P&amp;L - Concept C2 - NCLH'!W157</f>
        <v>1063246.7065750118</v>
      </c>
      <c r="V393" s="625">
        <f>'P&amp;L - Concept C2 - NCLH'!X157</f>
        <v>1077758.0052898456</v>
      </c>
      <c r="W393" s="903">
        <f t="shared" si="20"/>
        <v>15909687.19968527</v>
      </c>
    </row>
    <row r="394" spans="1:27">
      <c r="A394" s="32"/>
      <c r="B394" s="32"/>
      <c r="C394" s="625"/>
      <c r="D394" s="625"/>
      <c r="E394" s="625"/>
      <c r="F394" s="625"/>
      <c r="G394" s="625"/>
      <c r="H394" s="625"/>
      <c r="I394" s="625"/>
      <c r="J394" s="625"/>
      <c r="K394" s="625"/>
      <c r="L394" s="625"/>
      <c r="M394" s="625"/>
      <c r="N394" s="625"/>
      <c r="O394" s="625"/>
      <c r="P394" s="625"/>
      <c r="Q394" s="625"/>
      <c r="R394" s="625"/>
      <c r="S394" s="625"/>
      <c r="T394" s="625"/>
      <c r="U394" s="625"/>
      <c r="V394" s="625"/>
      <c r="W394" s="903"/>
    </row>
    <row r="395" spans="1:27">
      <c r="A395" s="32" t="s">
        <v>136</v>
      </c>
      <c r="B395" s="32"/>
      <c r="C395" s="625">
        <f>'P&amp;L - Concept C2 - NCLH'!E165</f>
        <v>0</v>
      </c>
      <c r="D395" s="625">
        <f>'P&amp;L - Concept C2 - NCLH'!F165</f>
        <v>96205</v>
      </c>
      <c r="E395" s="625">
        <f>'P&amp;L - Concept C2 - NCLH'!G165</f>
        <v>98129.1</v>
      </c>
      <c r="F395" s="625">
        <f>'P&amp;L - Concept C2 - NCLH'!H165</f>
        <v>100091.682</v>
      </c>
      <c r="G395" s="625">
        <f>'P&amp;L - Concept C2 - NCLH'!I165</f>
        <v>102093.51564</v>
      </c>
      <c r="H395" s="625">
        <f>'P&amp;L - Concept C2 - NCLH'!J165</f>
        <v>104135.3859528</v>
      </c>
      <c r="I395" s="625">
        <f>'P&amp;L - Concept C2 - NCLH'!K165</f>
        <v>106218.093671856</v>
      </c>
      <c r="J395" s="625">
        <f>'P&amp;L - Concept C2 - NCLH'!L165</f>
        <v>108342.45554529312</v>
      </c>
      <c r="K395" s="625">
        <f>'P&amp;L - Concept C2 - NCLH'!M165</f>
        <v>110509.30465619899</v>
      </c>
      <c r="L395" s="625">
        <f>'P&amp;L - Concept C2 - NCLH'!N165</f>
        <v>112719.49074932297</v>
      </c>
      <c r="M395" s="625">
        <f>'P&amp;L - Concept C2 - NCLH'!O165</f>
        <v>114973.88056430944</v>
      </c>
      <c r="N395" s="625">
        <f>'P&amp;L - Concept C2 - NCLH'!P165</f>
        <v>117273.35817559563</v>
      </c>
      <c r="O395" s="625">
        <f>'P&amp;L - Concept C2 - NCLH'!Q165</f>
        <v>119618.82533910754</v>
      </c>
      <c r="P395" s="625">
        <f>'P&amp;L - Concept C2 - NCLH'!R165</f>
        <v>122011.20184588969</v>
      </c>
      <c r="Q395" s="625">
        <f>'P&amp;L - Concept C2 - NCLH'!S165</f>
        <v>124451.42588280747</v>
      </c>
      <c r="R395" s="625">
        <f>'P&amp;L - Concept C2 - NCLH'!T165</f>
        <v>126940.45440046364</v>
      </c>
      <c r="S395" s="625">
        <f>'P&amp;L - Concept C2 - NCLH'!U165</f>
        <v>129479.26348847292</v>
      </c>
      <c r="T395" s="625">
        <f>'P&amp;L - Concept C2 - NCLH'!V165</f>
        <v>132068.84875824238</v>
      </c>
      <c r="U395" s="625">
        <f>'P&amp;L - Concept C2 - NCLH'!W165</f>
        <v>134710.22573340722</v>
      </c>
      <c r="V395" s="625">
        <f>'P&amp;L - Concept C2 - NCLH'!X165</f>
        <v>137404.43024807537</v>
      </c>
      <c r="W395" s="903">
        <f t="shared" si="20"/>
        <v>2197375.9426518423</v>
      </c>
    </row>
    <row r="396" spans="1:27">
      <c r="A396" s="32" t="s">
        <v>127</v>
      </c>
      <c r="B396" s="32"/>
      <c r="C396" s="625">
        <f>SUM('P&amp;L - Concept C2 - NCLH'!E166:E168)</f>
        <v>922285.92</v>
      </c>
      <c r="D396" s="625">
        <f>SUM('P&amp;L - Concept C2 - NCLH'!F166:F168)</f>
        <v>922285.92</v>
      </c>
      <c r="E396" s="625">
        <f>SUM('P&amp;L - Concept C2 - NCLH'!G166:G168)</f>
        <v>922285.92</v>
      </c>
      <c r="F396" s="625">
        <f>SUM('P&amp;L - Concept C2 - NCLH'!H166:H168)</f>
        <v>922285.92</v>
      </c>
      <c r="G396" s="625">
        <f>SUM('P&amp;L - Concept C2 - NCLH'!I166:I168)</f>
        <v>922285.92</v>
      </c>
      <c r="H396" s="625">
        <f>SUM('P&amp;L - Concept C2 - NCLH'!J166:J168)</f>
        <v>922285.92</v>
      </c>
      <c r="I396" s="625">
        <f>SUM('P&amp;L - Concept C2 - NCLH'!K166:K168)</f>
        <v>922285.92</v>
      </c>
      <c r="J396" s="625">
        <f>SUM('P&amp;L - Concept C2 - NCLH'!L166:L168)</f>
        <v>922285.92</v>
      </c>
      <c r="K396" s="625">
        <f>SUM('P&amp;L - Concept C2 - NCLH'!M166:M168)</f>
        <v>922285.92</v>
      </c>
      <c r="L396" s="625">
        <f>SUM('P&amp;L - Concept C2 - NCLH'!N166:N168)</f>
        <v>922285.92</v>
      </c>
      <c r="M396" s="625">
        <f>SUM('P&amp;L - Concept C2 - NCLH'!O166:O168)</f>
        <v>922285.92</v>
      </c>
      <c r="N396" s="625">
        <f>SUM('P&amp;L - Concept C2 - NCLH'!P166:P168)</f>
        <v>922285.92</v>
      </c>
      <c r="O396" s="625">
        <f>SUM('P&amp;L - Concept C2 - NCLH'!Q166:Q168)</f>
        <v>922285.92</v>
      </c>
      <c r="P396" s="625">
        <f>SUM('P&amp;L - Concept C2 - NCLH'!R166:R168)</f>
        <v>922285.92</v>
      </c>
      <c r="Q396" s="625">
        <f>SUM('P&amp;L - Concept C2 - NCLH'!S166:S168)</f>
        <v>922285.92</v>
      </c>
      <c r="R396" s="625">
        <f>SUM('P&amp;L - Concept C2 - NCLH'!T166:T168)</f>
        <v>922285.92</v>
      </c>
      <c r="S396" s="625">
        <f>SUM('P&amp;L - Concept C2 - NCLH'!U166:U168)</f>
        <v>922285.92</v>
      </c>
      <c r="T396" s="625">
        <f>SUM('P&amp;L - Concept C2 - NCLH'!V166:V168)</f>
        <v>922285.92</v>
      </c>
      <c r="U396" s="625">
        <f>SUM('P&amp;L - Concept C2 - NCLH'!W166:W168)</f>
        <v>922285.92</v>
      </c>
      <c r="V396" s="625">
        <f>SUM('P&amp;L - Concept C2 - NCLH'!X166:X168)</f>
        <v>922285.92</v>
      </c>
      <c r="W396" s="903">
        <f t="shared" si="20"/>
        <v>18445718.400000002</v>
      </c>
      <c r="X396" s="900">
        <f>SUM(W395:W396)</f>
        <v>20643094.342651844</v>
      </c>
    </row>
    <row r="397" spans="1:27">
      <c r="A397" s="32"/>
      <c r="B397" s="32"/>
      <c r="C397" s="625"/>
      <c r="D397" s="625"/>
      <c r="E397" s="625"/>
      <c r="F397" s="625"/>
      <c r="G397" s="625"/>
      <c r="H397" s="625"/>
      <c r="I397" s="625"/>
      <c r="J397" s="625"/>
      <c r="K397" s="625"/>
      <c r="L397" s="625"/>
      <c r="M397" s="625"/>
      <c r="N397" s="625"/>
      <c r="O397" s="625"/>
      <c r="P397" s="625"/>
      <c r="Q397" s="625"/>
      <c r="R397" s="625"/>
      <c r="S397" s="625"/>
      <c r="T397" s="625"/>
      <c r="U397" s="625"/>
      <c r="V397" s="625"/>
      <c r="W397" s="903"/>
      <c r="Z397" s="900">
        <f>SUM(W392,W395:W396)</f>
        <v>42133716.370796397</v>
      </c>
    </row>
    <row r="398" spans="1:27">
      <c r="A398" s="32" t="s">
        <v>138</v>
      </c>
      <c r="B398" s="32"/>
      <c r="C398" s="625">
        <f>'P&amp;L - Concept C2 - NCLH'!E171</f>
        <v>-148033.33333333331</v>
      </c>
      <c r="D398" s="625">
        <f>'P&amp;L - Concept C2 - NCLH'!F171</f>
        <v>313719.92782601935</v>
      </c>
      <c r="E398" s="625">
        <f>'P&amp;L - Concept C2 - NCLH'!G171</f>
        <v>463923.29838253942</v>
      </c>
      <c r="F398" s="625">
        <f>'P&amp;L - Concept C2 - NCLH'!H171</f>
        <v>472981.76435019029</v>
      </c>
      <c r="G398" s="625">
        <f>'P&amp;L - Concept C2 - NCLH'!I171</f>
        <v>482221.39963719412</v>
      </c>
      <c r="H398" s="625">
        <f>'P&amp;L - Concept C2 - NCLH'!J171</f>
        <v>680239.79605696013</v>
      </c>
      <c r="I398" s="625">
        <f>'P&amp;L - Concept C2 - NCLH'!K171</f>
        <v>693822.75382402283</v>
      </c>
      <c r="J398" s="625">
        <f>'P&amp;L - Concept C2 - NCLH'!L171</f>
        <v>703140.45195605862</v>
      </c>
      <c r="K398" s="625">
        <f>'P&amp;L - Concept C2 - NCLH'!M171</f>
        <v>712644.50405073585</v>
      </c>
      <c r="L398" s="625">
        <f>'P&amp;L - Concept C2 - NCLH'!N171</f>
        <v>722338.63718730665</v>
      </c>
      <c r="M398" s="625">
        <f>'P&amp;L - Concept C2 - NCLH'!O171</f>
        <v>782658.1120021611</v>
      </c>
      <c r="N398" s="625">
        <f>'P&amp;L - Concept C2 - NCLH'!P171</f>
        <v>797134.39090745093</v>
      </c>
      <c r="O398" s="625">
        <f>'P&amp;L - Concept C2 - NCLH'!Q171</f>
        <v>807421.88254504441</v>
      </c>
      <c r="P398" s="625">
        <f>'P&amp;L - Concept C2 - NCLH'!R171</f>
        <v>817915.12401538971</v>
      </c>
      <c r="Q398" s="625">
        <f>'P&amp;L - Concept C2 - NCLH'!S171</f>
        <v>828618.23031514208</v>
      </c>
      <c r="R398" s="625">
        <f>'P&amp;L - Concept C2 - NCLH'!T171</f>
        <v>890130.29471560696</v>
      </c>
      <c r="S398" s="625">
        <f>'P&amp;L - Concept C2 - NCLH'!U171</f>
        <v>905592.87234070711</v>
      </c>
      <c r="T398" s="625">
        <f>'P&amp;L - Concept C2 - NCLH'!V171</f>
        <v>916951.09437085479</v>
      </c>
      <c r="U398" s="625">
        <f>'P&amp;L - Concept C2 - NCLH'!W171</f>
        <v>928536.48084160464</v>
      </c>
      <c r="V398" s="625">
        <f>'P&amp;L - Concept C2 - NCLH'!X171</f>
        <v>940353.57504177024</v>
      </c>
      <c r="W398" s="903">
        <f t="shared" si="20"/>
        <v>13712311.257033428</v>
      </c>
    </row>
    <row r="399" spans="1:27">
      <c r="A399" s="32"/>
      <c r="B399" s="32"/>
      <c r="C399" s="625"/>
      <c r="D399" s="625"/>
      <c r="E399" s="625"/>
      <c r="F399" s="625"/>
      <c r="G399" s="625"/>
      <c r="H399" s="625"/>
      <c r="I399" s="625"/>
      <c r="J399" s="625"/>
      <c r="K399" s="625"/>
      <c r="L399" s="625"/>
      <c r="M399" s="625"/>
      <c r="N399" s="625"/>
      <c r="O399" s="625"/>
      <c r="P399" s="625"/>
      <c r="Q399" s="625"/>
      <c r="R399" s="625"/>
      <c r="S399" s="625"/>
      <c r="T399" s="625"/>
      <c r="U399" s="627"/>
      <c r="V399" s="627"/>
      <c r="W399" s="903"/>
    </row>
    <row r="400" spans="1:27">
      <c r="A400" s="300" t="s">
        <v>130</v>
      </c>
      <c r="B400" s="300"/>
      <c r="C400" s="628">
        <f>'P&amp;L - Concept C2 - NCLH'!E175</f>
        <v>-1070319.2533333334</v>
      </c>
      <c r="D400" s="628">
        <f>'P&amp;L - Concept C2 - NCLH'!F175</f>
        <v>-608565.99217398069</v>
      </c>
      <c r="E400" s="628">
        <f>'P&amp;L - Concept C2 - NCLH'!G175</f>
        <v>-458362.62161746062</v>
      </c>
      <c r="F400" s="628">
        <f>'P&amp;L - Concept C2 - NCLH'!H175</f>
        <v>-449304.15564980975</v>
      </c>
      <c r="G400" s="628">
        <f>'P&amp;L - Concept C2 - NCLH'!I175</f>
        <v>-440064.52036280592</v>
      </c>
      <c r="H400" s="628">
        <f>'P&amp;L - Concept C2 - NCLH'!J175</f>
        <v>-242046.12394303991</v>
      </c>
      <c r="I400" s="628">
        <f>'P&amp;L - Concept C2 - NCLH'!K175</f>
        <v>-228463.16617597721</v>
      </c>
      <c r="J400" s="628">
        <f>'P&amp;L - Concept C2 - NCLH'!L175</f>
        <v>-219145.46804394142</v>
      </c>
      <c r="K400" s="628">
        <f>'P&amp;L - Concept C2 - NCLH'!M175</f>
        <v>-209641.41594926419</v>
      </c>
      <c r="L400" s="628">
        <f>'P&amp;L - Concept C2 - NCLH'!N175</f>
        <v>-199947.28281269339</v>
      </c>
      <c r="M400" s="628">
        <f>'P&amp;L - Concept C2 - NCLH'!O175</f>
        <v>-139627.80799783894</v>
      </c>
      <c r="N400" s="628">
        <f>'P&amp;L - Concept C2 - NCLH'!P175</f>
        <v>-125151.52909254911</v>
      </c>
      <c r="O400" s="628">
        <f>'P&amp;L - Concept C2 - NCLH'!Q175</f>
        <v>-114864.03745495563</v>
      </c>
      <c r="P400" s="628">
        <f>'P&amp;L - Concept C2 - NCLH'!R175</f>
        <v>-104370.79598461033</v>
      </c>
      <c r="Q400" s="628">
        <f>'P&amp;L - Concept C2 - NCLH'!S175</f>
        <v>-93667.689684857964</v>
      </c>
      <c r="R400" s="628">
        <f>'P&amp;L - Concept C2 - NCLH'!T175</f>
        <v>-32155.625284393085</v>
      </c>
      <c r="S400" s="628">
        <f>'P&amp;L - Concept C2 - NCLH'!U175</f>
        <v>-16693.047659292817</v>
      </c>
      <c r="T400" s="628">
        <f>'P&amp;L - Concept C2 - NCLH'!V175</f>
        <v>-5334.8256291453727</v>
      </c>
      <c r="U400" s="628">
        <f>'P&amp;L - Concept C2 - NCLH'!W175</f>
        <v>6250.5608416046016</v>
      </c>
      <c r="V400" s="628">
        <f>'P&amp;L - Concept C2 - NCLH'!X175</f>
        <v>18067.655041770078</v>
      </c>
      <c r="W400" s="1057">
        <f>SUM(C400:V400)</f>
        <v>-4733407.1429665731</v>
      </c>
    </row>
    <row r="401" spans="1:27">
      <c r="A401" s="32" t="s">
        <v>404</v>
      </c>
      <c r="B401" s="370" t="e">
        <f>'P&amp;L - Concept C2 - NCLH'!B176</f>
        <v>#NUM!</v>
      </c>
      <c r="C401" s="629"/>
      <c r="D401" s="629"/>
      <c r="E401" s="629"/>
      <c r="F401" s="629"/>
      <c r="G401" s="629"/>
      <c r="H401" s="629"/>
      <c r="I401" s="629"/>
      <c r="J401" s="629"/>
      <c r="K401" s="629"/>
      <c r="L401" s="629"/>
      <c r="M401" s="629"/>
      <c r="N401" s="629"/>
      <c r="O401" s="629"/>
      <c r="P401" s="629"/>
      <c r="Q401" s="629"/>
      <c r="R401" s="629"/>
      <c r="S401" s="629"/>
      <c r="T401" s="629"/>
      <c r="U401" s="629"/>
      <c r="V401" s="629"/>
    </row>
    <row r="402" spans="1:27">
      <c r="A402" s="131"/>
      <c r="B402" s="131"/>
      <c r="C402" s="630"/>
      <c r="D402" s="630"/>
      <c r="E402" s="630"/>
      <c r="F402" s="630"/>
      <c r="G402" s="630"/>
      <c r="H402" s="630"/>
      <c r="I402" s="630"/>
      <c r="J402" s="630"/>
      <c r="K402" s="630"/>
      <c r="L402" s="630"/>
      <c r="M402" s="630"/>
      <c r="N402" s="630"/>
      <c r="O402" s="630"/>
      <c r="P402" s="630"/>
      <c r="Q402" s="630"/>
      <c r="R402" s="630"/>
      <c r="S402" s="630"/>
      <c r="T402" s="630"/>
      <c r="U402" s="630"/>
      <c r="V402" s="630"/>
      <c r="AA402" s="900">
        <f>W400+3600000</f>
        <v>-1133407.1429665731</v>
      </c>
    </row>
    <row r="403" spans="1:27" s="32" customFormat="1">
      <c r="C403" s="625"/>
      <c r="D403" s="625"/>
      <c r="E403" s="625"/>
      <c r="F403" s="625"/>
      <c r="G403" s="625"/>
      <c r="H403" s="625"/>
      <c r="I403" s="625"/>
      <c r="J403" s="625"/>
      <c r="K403" s="625"/>
      <c r="L403" s="625"/>
      <c r="M403" s="625"/>
      <c r="N403" s="625"/>
      <c r="O403" s="625"/>
      <c r="P403" s="625"/>
      <c r="Q403" s="625"/>
      <c r="R403" s="625"/>
      <c r="S403" s="625"/>
      <c r="T403" s="625"/>
      <c r="U403" s="625"/>
      <c r="V403" s="625"/>
      <c r="W403" s="905"/>
      <c r="X403" s="904"/>
      <c r="Y403" s="904"/>
      <c r="Z403" s="904"/>
      <c r="AA403" s="904"/>
    </row>
    <row r="404" spans="1:27" s="32" customFormat="1">
      <c r="A404" s="47" t="s">
        <v>7</v>
      </c>
      <c r="B404" s="47"/>
      <c r="C404" s="47" t="s">
        <v>7</v>
      </c>
      <c r="D404" s="47" t="s">
        <v>7</v>
      </c>
      <c r="E404" s="47" t="s">
        <v>7</v>
      </c>
      <c r="F404" s="47" t="s">
        <v>7</v>
      </c>
      <c r="G404" s="47" t="s">
        <v>7</v>
      </c>
      <c r="H404" s="47" t="s">
        <v>7</v>
      </c>
      <c r="I404" s="47" t="s">
        <v>7</v>
      </c>
      <c r="J404" s="47" t="s">
        <v>7</v>
      </c>
      <c r="K404" s="47" t="s">
        <v>7</v>
      </c>
      <c r="L404" s="47" t="s">
        <v>7</v>
      </c>
      <c r="M404" s="47" t="s">
        <v>7</v>
      </c>
      <c r="N404" s="47" t="s">
        <v>7</v>
      </c>
      <c r="O404" s="47" t="s">
        <v>7</v>
      </c>
      <c r="P404" s="47" t="s">
        <v>7</v>
      </c>
      <c r="Q404" s="47" t="s">
        <v>7</v>
      </c>
      <c r="R404" s="47" t="s">
        <v>7</v>
      </c>
      <c r="S404" s="47" t="s">
        <v>7</v>
      </c>
      <c r="T404" s="47" t="s">
        <v>7</v>
      </c>
      <c r="U404" s="47" t="s">
        <v>7</v>
      </c>
      <c r="V404" s="47" t="s">
        <v>7</v>
      </c>
      <c r="W404" s="905"/>
      <c r="X404" s="904"/>
      <c r="Y404" s="904"/>
      <c r="Z404" s="904"/>
      <c r="AA404" s="904"/>
    </row>
    <row r="405" spans="1:27">
      <c r="C405" s="629"/>
      <c r="D405" s="629"/>
      <c r="E405" s="629"/>
      <c r="F405" s="629"/>
      <c r="G405" s="629"/>
      <c r="H405" s="629"/>
      <c r="I405" s="629"/>
      <c r="J405" s="629"/>
      <c r="K405" s="629"/>
      <c r="L405" s="629"/>
      <c r="M405" s="629"/>
      <c r="N405" s="629"/>
      <c r="O405" s="629"/>
      <c r="P405" s="629"/>
      <c r="Q405" s="629"/>
      <c r="R405" s="629"/>
      <c r="S405" s="629"/>
      <c r="T405" s="629"/>
      <c r="U405" s="629"/>
      <c r="V405" s="629"/>
    </row>
    <row r="406" spans="1:27">
      <c r="A406" s="29"/>
      <c r="B406" s="72"/>
      <c r="C406" s="71">
        <v>2019</v>
      </c>
      <c r="D406" s="71">
        <v>2020</v>
      </c>
      <c r="E406" s="71">
        <v>2021</v>
      </c>
      <c r="F406" s="71">
        <v>2022</v>
      </c>
      <c r="G406" s="71">
        <v>2023</v>
      </c>
      <c r="H406" s="71">
        <v>2024</v>
      </c>
      <c r="I406" s="71">
        <v>2025</v>
      </c>
      <c r="J406" s="71">
        <v>2026</v>
      </c>
      <c r="K406" s="71">
        <v>2027</v>
      </c>
      <c r="L406" s="71">
        <v>2028</v>
      </c>
      <c r="M406" s="71">
        <v>2029</v>
      </c>
      <c r="N406" s="71">
        <v>2030</v>
      </c>
      <c r="O406" s="71">
        <v>2031</v>
      </c>
      <c r="P406" s="71">
        <v>2032</v>
      </c>
      <c r="Q406" s="71">
        <v>2033</v>
      </c>
      <c r="R406" s="71">
        <v>2034</v>
      </c>
      <c r="S406" s="71">
        <v>2035</v>
      </c>
      <c r="T406" s="71">
        <v>2036</v>
      </c>
      <c r="U406" s="71">
        <v>2037</v>
      </c>
      <c r="V406" s="71">
        <v>2038</v>
      </c>
    </row>
    <row r="407" spans="1:27">
      <c r="C407" s="629"/>
      <c r="D407" s="629"/>
      <c r="E407" s="629"/>
      <c r="F407" s="629"/>
      <c r="G407" s="629"/>
      <c r="H407" s="629"/>
      <c r="I407" s="629"/>
      <c r="J407" s="629"/>
      <c r="K407" s="629"/>
      <c r="L407" s="629"/>
      <c r="M407" s="629"/>
      <c r="N407" s="629"/>
      <c r="O407" s="629"/>
      <c r="P407" s="629"/>
      <c r="Q407" s="629"/>
      <c r="R407" s="629"/>
      <c r="S407" s="629"/>
      <c r="T407" s="629"/>
      <c r="U407" s="629"/>
      <c r="V407" s="629"/>
    </row>
    <row r="408" spans="1:27" s="341" customFormat="1">
      <c r="A408" s="887" t="s">
        <v>390</v>
      </c>
      <c r="B408" s="887"/>
      <c r="C408" s="888"/>
      <c r="D408" s="888"/>
      <c r="E408" s="888"/>
      <c r="F408" s="888"/>
      <c r="G408" s="888"/>
      <c r="H408" s="888"/>
      <c r="I408" s="888"/>
      <c r="J408" s="888"/>
      <c r="K408" s="888"/>
      <c r="L408" s="888"/>
      <c r="M408" s="888"/>
      <c r="N408" s="888"/>
      <c r="O408" s="888"/>
      <c r="P408" s="888"/>
      <c r="Q408" s="888"/>
      <c r="R408" s="888"/>
      <c r="S408" s="888"/>
      <c r="T408" s="888"/>
      <c r="U408" s="888"/>
      <c r="V408" s="888"/>
      <c r="W408" s="910"/>
      <c r="X408" s="912"/>
      <c r="Y408" s="912"/>
      <c r="Z408" s="912"/>
      <c r="AA408" s="912"/>
    </row>
    <row r="409" spans="1:27" s="341" customFormat="1">
      <c r="A409" s="573"/>
      <c r="B409" s="573"/>
      <c r="C409" s="889"/>
      <c r="D409" s="889"/>
      <c r="E409" s="889"/>
      <c r="F409" s="889"/>
      <c r="G409" s="889"/>
      <c r="H409" s="889"/>
      <c r="I409" s="889"/>
      <c r="J409" s="889"/>
      <c r="K409" s="889"/>
      <c r="L409" s="889"/>
      <c r="M409" s="889"/>
      <c r="N409" s="889"/>
      <c r="O409" s="889"/>
      <c r="P409" s="889"/>
      <c r="Q409" s="889"/>
      <c r="R409" s="889"/>
      <c r="S409" s="889"/>
      <c r="T409" s="889"/>
      <c r="U409" s="889"/>
      <c r="V409" s="889"/>
      <c r="W409" s="910"/>
      <c r="X409" s="912"/>
      <c r="Y409" s="912"/>
      <c r="Z409" s="912"/>
      <c r="AA409" s="912"/>
    </row>
    <row r="410" spans="1:27" s="341" customFormat="1">
      <c r="A410" s="561" t="s">
        <v>148</v>
      </c>
      <c r="B410" s="561"/>
      <c r="C410" s="890">
        <f>'P&amp;L - Concept C2 - All'!E120</f>
        <v>219825</v>
      </c>
      <c r="D410" s="890">
        <f>'P&amp;L - Concept C2 - All'!F120</f>
        <v>2128307.3481843751</v>
      </c>
      <c r="E410" s="890">
        <f>'P&amp;L - Concept C2 - All'!G120</f>
        <v>2315925.8951480626</v>
      </c>
      <c r="F410" s="890">
        <f>'P&amp;L - Concept C2 - All'!H120</f>
        <v>2362024.4130510236</v>
      </c>
      <c r="G410" s="890">
        <f>'P&amp;L - Concept C2 - All'!I120</f>
        <v>2409044.9013120444</v>
      </c>
      <c r="H410" s="890">
        <f>'P&amp;L - Concept C2 - All'!J120</f>
        <v>2673943.6465605064</v>
      </c>
      <c r="I410" s="890">
        <f>'P&amp;L - Concept C2 - All'!K120</f>
        <v>2722863.7625472732</v>
      </c>
      <c r="J410" s="890">
        <f>'P&amp;L - Concept C2 - All'!L120</f>
        <v>2772762.2808537735</v>
      </c>
      <c r="K410" s="890">
        <f>'P&amp;L - Concept C2 - All'!M120</f>
        <v>2823658.7695264053</v>
      </c>
      <c r="L410" s="890">
        <f>'P&amp;L - Concept C2 - All'!N120</f>
        <v>2875573.1879724888</v>
      </c>
      <c r="M410" s="890">
        <f>'P&amp;L - Concept C2 - All'!O120</f>
        <v>2983347.856593051</v>
      </c>
      <c r="N410" s="890">
        <f>'P&amp;L - Concept C2 - All'!P120</f>
        <v>3037359.6175443544</v>
      </c>
      <c r="O410" s="890">
        <f>'P&amp;L - Concept C2 - All'!Q120</f>
        <v>3092451.6137146871</v>
      </c>
      <c r="P410" s="890">
        <f>'P&amp;L - Concept C2 - All'!R120</f>
        <v>3148645.4498084248</v>
      </c>
      <c r="Q410" s="890">
        <f>'P&amp;L - Concept C2 - All'!S120</f>
        <v>3205963.1626240383</v>
      </c>
      <c r="R410" s="890">
        <f>'P&amp;L - Concept C2 - All'!T120</f>
        <v>3319349.1915015196</v>
      </c>
      <c r="S410" s="890">
        <f>'P&amp;L - Concept C2 - All'!U120</f>
        <v>3378982.5399148827</v>
      </c>
      <c r="T410" s="890">
        <f>'P&amp;L - Concept C2 - All'!V120</f>
        <v>3439808.5552965133</v>
      </c>
      <c r="U410" s="890">
        <f>'P&amp;L - Concept C2 - All'!W120</f>
        <v>3501851.0909857778</v>
      </c>
      <c r="V410" s="890">
        <f>'P&amp;L - Concept C2 - All'!X120</f>
        <v>3565134.4773888262</v>
      </c>
      <c r="W410" s="914">
        <f t="shared" ref="W410:W417" si="21">SUM(C410:V410)</f>
        <v>55976822.760528028</v>
      </c>
      <c r="X410" s="912"/>
      <c r="Y410" s="912"/>
      <c r="Z410" s="912"/>
      <c r="AA410" s="912"/>
    </row>
    <row r="411" spans="1:27" s="341" customFormat="1">
      <c r="A411" s="891" t="s">
        <v>140</v>
      </c>
      <c r="B411" s="891"/>
      <c r="C411" s="892">
        <f>'P&amp;L - Concept C2 - All'!E153</f>
        <v>367858.33333333331</v>
      </c>
      <c r="D411" s="892">
        <f>'P&amp;L - Concept C2 - All'!F153</f>
        <v>905069.84615384613</v>
      </c>
      <c r="E411" s="892">
        <f>'P&amp;L - Concept C2 - All'!G153</f>
        <v>924294.67107692314</v>
      </c>
      <c r="F411" s="892">
        <f>'P&amp;L - Concept C2 - All'!H153</f>
        <v>942780.56449846155</v>
      </c>
      <c r="G411" s="892">
        <f>'P&amp;L - Concept C2 - All'!I153</f>
        <v>961636.17578843085</v>
      </c>
      <c r="H411" s="892">
        <f>'P&amp;L - Concept C2 - All'!J153</f>
        <v>1009212.7780993994</v>
      </c>
      <c r="I411" s="892">
        <f>'P&amp;L - Concept C2 - All'!K153</f>
        <v>1024860.1148710193</v>
      </c>
      <c r="J411" s="892">
        <f>'P&amp;L - Concept C2 - All'!L153</f>
        <v>1045357.3171684397</v>
      </c>
      <c r="K411" s="892">
        <f>'P&amp;L - Concept C2 - All'!M153</f>
        <v>1066264.4635118088</v>
      </c>
      <c r="L411" s="892">
        <f>'P&amp;L - Concept C2 - All'!N153</f>
        <v>1087589.7527820447</v>
      </c>
      <c r="M411" s="892">
        <f>'P&amp;L - Concept C2 - All'!O153</f>
        <v>1113732.0506276884</v>
      </c>
      <c r="N411" s="892">
        <f>'P&amp;L - Concept C2 - All'!P153</f>
        <v>1131528.3787944396</v>
      </c>
      <c r="O411" s="892">
        <f>'P&amp;L - Concept C2 - All'!Q153</f>
        <v>1154158.9463703283</v>
      </c>
      <c r="P411" s="892">
        <f>'P&amp;L - Concept C2 - All'!R153</f>
        <v>1177242.125297735</v>
      </c>
      <c r="Q411" s="892">
        <f>'P&amp;L - Concept C2 - All'!S153</f>
        <v>1200786.9678036894</v>
      </c>
      <c r="R411" s="892">
        <f>'P&amp;L - Concept C2 - All'!T153</f>
        <v>1229129.7729906011</v>
      </c>
      <c r="S411" s="892">
        <f>'P&amp;L - Concept C2 - All'!U153</f>
        <v>1249298.7613029587</v>
      </c>
      <c r="T411" s="892">
        <f>'P&amp;L - Concept C2 - All'!V153</f>
        <v>1274284.7365290178</v>
      </c>
      <c r="U411" s="892">
        <f>'P&amp;L - Concept C2 - All'!W153</f>
        <v>1299770.4312595986</v>
      </c>
      <c r="V411" s="892">
        <f>'P&amp;L - Concept C2 - All'!X153</f>
        <v>1325765.8398847901</v>
      </c>
      <c r="W411" s="914">
        <f t="shared" si="21"/>
        <v>21490622.028144553</v>
      </c>
      <c r="X411" s="912"/>
      <c r="Y411" s="912"/>
      <c r="Z411" s="912"/>
      <c r="AA411" s="912"/>
    </row>
    <row r="412" spans="1:27" s="341" customFormat="1">
      <c r="A412" s="573" t="s">
        <v>116</v>
      </c>
      <c r="B412" s="573"/>
      <c r="C412" s="890">
        <f>'P&amp;L - Concept C2 - All'!E157</f>
        <v>-148033.33333333331</v>
      </c>
      <c r="D412" s="890">
        <f>'P&amp;L - Concept C2 - All'!F157</f>
        <v>1223237.5020305291</v>
      </c>
      <c r="E412" s="890">
        <f>'P&amp;L - Concept C2 - All'!G157</f>
        <v>1391631.2240711395</v>
      </c>
      <c r="F412" s="890">
        <f>'P&amp;L - Concept C2 - All'!H157</f>
        <v>1419243.8485525621</v>
      </c>
      <c r="G412" s="890">
        <f>'P&amp;L - Concept C2 - All'!I157</f>
        <v>1447408.7255236134</v>
      </c>
      <c r="H412" s="890">
        <f>'P&amp;L - Concept C2 - All'!J157</f>
        <v>1664730.8684611069</v>
      </c>
      <c r="I412" s="890">
        <f>'P&amp;L - Concept C2 - All'!K157</f>
        <v>1698003.6476762539</v>
      </c>
      <c r="J412" s="890">
        <f>'P&amp;L - Concept C2 - All'!L157</f>
        <v>1727404.9636853337</v>
      </c>
      <c r="K412" s="890">
        <f>'P&amp;L - Concept C2 - All'!M157</f>
        <v>1757394.3060145965</v>
      </c>
      <c r="L412" s="890">
        <f>'P&amp;L - Concept C2 - All'!N157</f>
        <v>1787983.4351904441</v>
      </c>
      <c r="M412" s="890">
        <f>'P&amp;L - Concept C2 - All'!O157</f>
        <v>1869615.8059653626</v>
      </c>
      <c r="N412" s="890">
        <f>'P&amp;L - Concept C2 - All'!P157</f>
        <v>1905831.2387499148</v>
      </c>
      <c r="O412" s="890">
        <f>'P&amp;L - Concept C2 - All'!Q157</f>
        <v>1938292.6673443587</v>
      </c>
      <c r="P412" s="890">
        <f>'P&amp;L - Concept C2 - All'!R157</f>
        <v>1971403.3245106898</v>
      </c>
      <c r="Q412" s="890">
        <f>'P&amp;L - Concept C2 - All'!S157</f>
        <v>2005176.1948203489</v>
      </c>
      <c r="R412" s="890">
        <f>'P&amp;L - Concept C2 - All'!T157</f>
        <v>2090219.4185109185</v>
      </c>
      <c r="S412" s="890">
        <f>'P&amp;L - Concept C2 - All'!U157</f>
        <v>2129683.778611924</v>
      </c>
      <c r="T412" s="890">
        <f>'P&amp;L - Concept C2 - All'!V157</f>
        <v>2165523.8187674955</v>
      </c>
      <c r="U412" s="890">
        <f>'P&amp;L - Concept C2 - All'!W157</f>
        <v>2202080.6597261792</v>
      </c>
      <c r="V412" s="890">
        <f>'P&amp;L - Concept C2 - All'!X157</f>
        <v>2239368.6375040361</v>
      </c>
      <c r="W412" s="914">
        <f t="shared" si="21"/>
        <v>34486200.732383475</v>
      </c>
      <c r="X412" s="912"/>
      <c r="Y412" s="912"/>
      <c r="Z412" s="912"/>
      <c r="AA412" s="912"/>
    </row>
    <row r="413" spans="1:27" s="341" customFormat="1">
      <c r="A413" s="561"/>
      <c r="B413" s="561"/>
      <c r="C413" s="890"/>
      <c r="D413" s="890"/>
      <c r="E413" s="890"/>
      <c r="F413" s="890"/>
      <c r="G413" s="890"/>
      <c r="H413" s="890"/>
      <c r="I413" s="890"/>
      <c r="J413" s="890"/>
      <c r="K413" s="890"/>
      <c r="L413" s="890"/>
      <c r="M413" s="890"/>
      <c r="N413" s="890"/>
      <c r="O413" s="890"/>
      <c r="P413" s="890"/>
      <c r="Q413" s="890"/>
      <c r="R413" s="890"/>
      <c r="S413" s="890"/>
      <c r="T413" s="890"/>
      <c r="U413" s="890"/>
      <c r="V413" s="890"/>
      <c r="W413" s="914"/>
      <c r="X413" s="912"/>
      <c r="Y413" s="912"/>
      <c r="Z413" s="912"/>
      <c r="AA413" s="912"/>
    </row>
    <row r="414" spans="1:27" s="341" customFormat="1">
      <c r="A414" s="561" t="s">
        <v>136</v>
      </c>
      <c r="B414" s="561"/>
      <c r="C414" s="890">
        <f>'P&amp;L - Concept C2 - All'!E165</f>
        <v>0</v>
      </c>
      <c r="D414" s="890">
        <f>'P&amp;L - Concept C2 - All'!F165</f>
        <v>96205</v>
      </c>
      <c r="E414" s="890">
        <f>'P&amp;L - Concept C2 - All'!G165</f>
        <v>98129.1</v>
      </c>
      <c r="F414" s="890">
        <f>'P&amp;L - Concept C2 - All'!H165</f>
        <v>100091.682</v>
      </c>
      <c r="G414" s="890">
        <f>'P&amp;L - Concept C2 - All'!I165</f>
        <v>102093.51564</v>
      </c>
      <c r="H414" s="890">
        <f>'P&amp;L - Concept C2 - All'!J165</f>
        <v>104135.3859528</v>
      </c>
      <c r="I414" s="890">
        <f>'P&amp;L - Concept C2 - All'!K165</f>
        <v>106218.093671856</v>
      </c>
      <c r="J414" s="890">
        <f>'P&amp;L - Concept C2 - All'!L165</f>
        <v>108342.45554529312</v>
      </c>
      <c r="K414" s="890">
        <f>'P&amp;L - Concept C2 - All'!M165</f>
        <v>110509.30465619899</v>
      </c>
      <c r="L414" s="890">
        <f>'P&amp;L - Concept C2 - All'!N165</f>
        <v>112719.49074932297</v>
      </c>
      <c r="M414" s="890">
        <f>'P&amp;L - Concept C2 - All'!O165</f>
        <v>114973.88056430944</v>
      </c>
      <c r="N414" s="890">
        <f>'P&amp;L - Concept C2 - All'!P165</f>
        <v>117273.35817559563</v>
      </c>
      <c r="O414" s="890">
        <f>'P&amp;L - Concept C2 - All'!Q165</f>
        <v>119618.82533910754</v>
      </c>
      <c r="P414" s="890">
        <f>'P&amp;L - Concept C2 - All'!R165</f>
        <v>122011.20184588969</v>
      </c>
      <c r="Q414" s="890">
        <f>'P&amp;L - Concept C2 - All'!S165</f>
        <v>124451.42588280747</v>
      </c>
      <c r="R414" s="890">
        <f>'P&amp;L - Concept C2 - All'!T165</f>
        <v>126940.45440046364</v>
      </c>
      <c r="S414" s="890">
        <f>'P&amp;L - Concept C2 - All'!U165</f>
        <v>129479.26348847292</v>
      </c>
      <c r="T414" s="890">
        <f>'P&amp;L - Concept C2 - All'!V165</f>
        <v>132068.84875824238</v>
      </c>
      <c r="U414" s="890">
        <f>'P&amp;L - Concept C2 - All'!W165</f>
        <v>134710.22573340722</v>
      </c>
      <c r="V414" s="890">
        <f>'P&amp;L - Concept C2 - All'!X165</f>
        <v>137404.43024807537</v>
      </c>
      <c r="W414" s="914">
        <f t="shared" si="21"/>
        <v>2197375.9426518423</v>
      </c>
      <c r="X414" s="912"/>
      <c r="Y414" s="912"/>
      <c r="Z414" s="912"/>
      <c r="AA414" s="912"/>
    </row>
    <row r="415" spans="1:27" s="341" customFormat="1">
      <c r="A415" s="561" t="s">
        <v>127</v>
      </c>
      <c r="B415" s="561"/>
      <c r="C415" s="890">
        <f>SUM('P&amp;L - Concept C2 - All'!E166:E168)</f>
        <v>922285.92</v>
      </c>
      <c r="D415" s="890">
        <f>SUM('P&amp;L - Concept C2 - All'!F166:F168)</f>
        <v>922285.92</v>
      </c>
      <c r="E415" s="890">
        <f>SUM('P&amp;L - Concept C2 - All'!G166:G168)</f>
        <v>922285.92</v>
      </c>
      <c r="F415" s="890">
        <f>SUM('P&amp;L - Concept C2 - All'!H166:H168)</f>
        <v>922285.92</v>
      </c>
      <c r="G415" s="890">
        <f>SUM('P&amp;L - Concept C2 - All'!I166:I168)</f>
        <v>922285.92</v>
      </c>
      <c r="H415" s="890">
        <f>SUM('P&amp;L - Concept C2 - All'!J166:J168)</f>
        <v>922285.92</v>
      </c>
      <c r="I415" s="890">
        <f>SUM('P&amp;L - Concept C2 - All'!K166:K168)</f>
        <v>922285.92</v>
      </c>
      <c r="J415" s="890">
        <f>SUM('P&amp;L - Concept C2 - All'!L166:L168)</f>
        <v>922285.92</v>
      </c>
      <c r="K415" s="890">
        <f>SUM('P&amp;L - Concept C2 - All'!M166:M168)</f>
        <v>922285.92</v>
      </c>
      <c r="L415" s="890">
        <f>SUM('P&amp;L - Concept C2 - All'!N166:N168)</f>
        <v>922285.92</v>
      </c>
      <c r="M415" s="890">
        <f>SUM('P&amp;L - Concept C2 - All'!O166:O168)</f>
        <v>922285.92</v>
      </c>
      <c r="N415" s="890">
        <f>SUM('P&amp;L - Concept C2 - All'!P166:P168)</f>
        <v>922285.92</v>
      </c>
      <c r="O415" s="890">
        <f>SUM('P&amp;L - Concept C2 - All'!Q166:Q168)</f>
        <v>922285.92</v>
      </c>
      <c r="P415" s="890">
        <f>SUM('P&amp;L - Concept C2 - All'!R166:R168)</f>
        <v>922285.92</v>
      </c>
      <c r="Q415" s="890">
        <f>SUM('P&amp;L - Concept C2 - All'!S166:S168)</f>
        <v>922285.92</v>
      </c>
      <c r="R415" s="890">
        <f>SUM('P&amp;L - Concept C2 - All'!T166:T168)</f>
        <v>922285.92</v>
      </c>
      <c r="S415" s="890">
        <f>SUM('P&amp;L - Concept C2 - All'!U166:U168)</f>
        <v>922285.92</v>
      </c>
      <c r="T415" s="890">
        <f>SUM('P&amp;L - Concept C2 - All'!V166:V168)</f>
        <v>922285.92</v>
      </c>
      <c r="U415" s="890">
        <f>SUM('P&amp;L - Concept C2 - All'!W166:W168)</f>
        <v>922285.92</v>
      </c>
      <c r="V415" s="890">
        <f>SUM('P&amp;L - Concept C2 - All'!X166:X168)</f>
        <v>922285.92</v>
      </c>
      <c r="W415" s="914">
        <f t="shared" si="21"/>
        <v>18445718.400000002</v>
      </c>
      <c r="X415" s="912">
        <f>SUM(W414:W415)</f>
        <v>20643094.342651844</v>
      </c>
      <c r="Y415" s="912"/>
      <c r="Z415" s="912"/>
      <c r="AA415" s="912"/>
    </row>
    <row r="416" spans="1:27" s="341" customFormat="1">
      <c r="A416" s="561"/>
      <c r="B416" s="561"/>
      <c r="C416" s="890"/>
      <c r="D416" s="890"/>
      <c r="E416" s="890"/>
      <c r="F416" s="890"/>
      <c r="G416" s="890"/>
      <c r="H416" s="890"/>
      <c r="I416" s="890"/>
      <c r="J416" s="890"/>
      <c r="K416" s="890"/>
      <c r="L416" s="890"/>
      <c r="M416" s="890"/>
      <c r="N416" s="890"/>
      <c r="O416" s="890"/>
      <c r="P416" s="890"/>
      <c r="Q416" s="890"/>
      <c r="R416" s="890"/>
      <c r="S416" s="890"/>
      <c r="T416" s="890"/>
      <c r="U416" s="890"/>
      <c r="V416" s="890"/>
      <c r="W416" s="914"/>
      <c r="X416" s="912"/>
      <c r="Y416" s="912"/>
      <c r="Z416" s="912"/>
      <c r="AA416" s="912"/>
    </row>
    <row r="417" spans="1:27" s="341" customFormat="1">
      <c r="A417" s="561" t="s">
        <v>138</v>
      </c>
      <c r="B417" s="561"/>
      <c r="C417" s="890">
        <f>'P&amp;L - Concept C2 - All'!E171</f>
        <v>-148033.33333333331</v>
      </c>
      <c r="D417" s="890">
        <f>'P&amp;L - Concept C2 - All'!F171</f>
        <v>1127032.5020305291</v>
      </c>
      <c r="E417" s="890">
        <f>'P&amp;L - Concept C2 - All'!G171</f>
        <v>1293502.1240711394</v>
      </c>
      <c r="F417" s="890">
        <f>'P&amp;L - Concept C2 - All'!H171</f>
        <v>1319152.166552562</v>
      </c>
      <c r="G417" s="890">
        <f>'P&amp;L - Concept C2 - All'!I171</f>
        <v>1345315.2098836135</v>
      </c>
      <c r="H417" s="890">
        <f>'P&amp;L - Concept C2 - All'!J171</f>
        <v>1560595.4825083069</v>
      </c>
      <c r="I417" s="890">
        <f>'P&amp;L - Concept C2 - All'!K171</f>
        <v>1591785.5540043979</v>
      </c>
      <c r="J417" s="890">
        <f>'P&amp;L - Concept C2 - All'!L171</f>
        <v>1619062.5081400406</v>
      </c>
      <c r="K417" s="890">
        <f>'P&amp;L - Concept C2 - All'!M171</f>
        <v>1646885.0013583975</v>
      </c>
      <c r="L417" s="890">
        <f>'P&amp;L - Concept C2 - All'!N171</f>
        <v>1675263.9444411211</v>
      </c>
      <c r="M417" s="890">
        <f>'P&amp;L - Concept C2 - All'!O171</f>
        <v>1754641.9254010532</v>
      </c>
      <c r="N417" s="890">
        <f>'P&amp;L - Concept C2 - All'!P171</f>
        <v>1788557.8805743193</v>
      </c>
      <c r="O417" s="890">
        <f>'P&amp;L - Concept C2 - All'!Q171</f>
        <v>1818673.8420052512</v>
      </c>
      <c r="P417" s="890">
        <f>'P&amp;L - Concept C2 - All'!R171</f>
        <v>1849392.1226648001</v>
      </c>
      <c r="Q417" s="890">
        <f>'P&amp;L - Concept C2 - All'!S171</f>
        <v>1880724.7689375414</v>
      </c>
      <c r="R417" s="890">
        <f>'P&amp;L - Concept C2 - All'!T171</f>
        <v>1963278.9641104548</v>
      </c>
      <c r="S417" s="890">
        <f>'P&amp;L - Concept C2 - All'!U171</f>
        <v>2000204.5151234511</v>
      </c>
      <c r="T417" s="890">
        <f>'P&amp;L - Concept C2 - All'!V171</f>
        <v>2033454.9700092531</v>
      </c>
      <c r="U417" s="890">
        <f>'P&amp;L - Concept C2 - All'!W171</f>
        <v>2067370.4339927719</v>
      </c>
      <c r="V417" s="890">
        <f>'P&amp;L - Concept C2 - All'!X171</f>
        <v>2101964.2072559609</v>
      </c>
      <c r="W417" s="914">
        <f t="shared" si="21"/>
        <v>32288824.789731637</v>
      </c>
      <c r="X417" s="912"/>
      <c r="Y417" s="912"/>
      <c r="Z417" s="912"/>
      <c r="AA417" s="912"/>
    </row>
    <row r="418" spans="1:27" s="341" customFormat="1">
      <c r="A418" s="561"/>
      <c r="B418" s="561"/>
      <c r="C418" s="890"/>
      <c r="D418" s="890"/>
      <c r="E418" s="890"/>
      <c r="F418" s="890"/>
      <c r="G418" s="890"/>
      <c r="H418" s="890"/>
      <c r="I418" s="890"/>
      <c r="J418" s="890"/>
      <c r="K418" s="890"/>
      <c r="L418" s="890"/>
      <c r="M418" s="890"/>
      <c r="N418" s="890"/>
      <c r="O418" s="890"/>
      <c r="P418" s="890"/>
      <c r="Q418" s="890"/>
      <c r="R418" s="890"/>
      <c r="S418" s="890"/>
      <c r="T418" s="890"/>
      <c r="U418" s="890"/>
      <c r="V418" s="890"/>
      <c r="W418" s="914"/>
      <c r="X418" s="912"/>
      <c r="Y418" s="912"/>
      <c r="Z418" s="912"/>
      <c r="AA418" s="912"/>
    </row>
    <row r="419" spans="1:27" s="341" customFormat="1">
      <c r="A419" s="893" t="s">
        <v>130</v>
      </c>
      <c r="B419" s="893"/>
      <c r="C419" s="894">
        <f>'P&amp;L - Concept C2 - All'!E175</f>
        <v>-1070319.2533333334</v>
      </c>
      <c r="D419" s="894">
        <f>'P&amp;L - Concept C2 - All'!F175</f>
        <v>204746.58203052904</v>
      </c>
      <c r="E419" s="894">
        <f>'P&amp;L - Concept C2 - All'!G175</f>
        <v>371216.20407113945</v>
      </c>
      <c r="F419" s="894">
        <f>'P&amp;L - Concept C2 - All'!H175</f>
        <v>396866.24655256199</v>
      </c>
      <c r="G419" s="894">
        <f>'P&amp;L - Concept C2 - All'!I175</f>
        <v>423029.28988361335</v>
      </c>
      <c r="H419" s="894">
        <f>'P&amp;L - Concept C2 - All'!J175</f>
        <v>638309.56250830682</v>
      </c>
      <c r="I419" s="894">
        <f>'P&amp;L - Concept C2 - All'!K175</f>
        <v>669499.6340043979</v>
      </c>
      <c r="J419" s="894">
        <f>'P&amp;L - Concept C2 - All'!L175</f>
        <v>696776.58814004052</v>
      </c>
      <c r="K419" s="894">
        <f>'P&amp;L - Concept C2 - All'!M175</f>
        <v>724599.0813583975</v>
      </c>
      <c r="L419" s="894">
        <f>'P&amp;L - Concept C2 - All'!N175</f>
        <v>752978.02444112115</v>
      </c>
      <c r="M419" s="894">
        <f>'P&amp;L - Concept C2 - All'!O175</f>
        <v>832356.00540105312</v>
      </c>
      <c r="N419" s="894">
        <f>'P&amp;L - Concept C2 - All'!P175</f>
        <v>866271.96057431912</v>
      </c>
      <c r="O419" s="894">
        <f>'P&amp;L - Concept C2 - All'!Q175</f>
        <v>896387.92200525117</v>
      </c>
      <c r="P419" s="894">
        <f>'P&amp;L - Concept C2 - All'!R175</f>
        <v>927106.2026648001</v>
      </c>
      <c r="Q419" s="894">
        <f>'P&amp;L - Concept C2 - All'!S175</f>
        <v>958438.84893754136</v>
      </c>
      <c r="R419" s="894">
        <f>'P&amp;L - Concept C2 - All'!T175</f>
        <v>1040993.0441104549</v>
      </c>
      <c r="S419" s="894">
        <f>'P&amp;L - Concept C2 - All'!U175</f>
        <v>1077918.5951234512</v>
      </c>
      <c r="T419" s="894">
        <f>'P&amp;L - Concept C2 - All'!V175</f>
        <v>1111169.050009253</v>
      </c>
      <c r="U419" s="894">
        <f>'P&amp;L - Concept C2 - All'!W175</f>
        <v>1145084.513992772</v>
      </c>
      <c r="V419" s="894">
        <f>'P&amp;L - Concept C2 - All'!X175</f>
        <v>1179678.2872559605</v>
      </c>
      <c r="W419" s="914">
        <f>SUM(C419:V419)</f>
        <v>13843106.389731631</v>
      </c>
      <c r="X419" s="912"/>
      <c r="Y419" s="912"/>
      <c r="Z419" s="912"/>
      <c r="AA419" s="912"/>
    </row>
    <row r="420" spans="1:27" s="341" customFormat="1">
      <c r="A420" s="561" t="s">
        <v>404</v>
      </c>
      <c r="B420" s="708">
        <f>'P&amp;L - Concept C2 - All'!B176</f>
        <v>0.39601692267151645</v>
      </c>
      <c r="W420" s="910"/>
      <c r="X420" s="912"/>
      <c r="Y420" s="912"/>
      <c r="Z420" s="912"/>
      <c r="AA420" s="912"/>
    </row>
    <row r="421" spans="1:27" s="341" customFormat="1">
      <c r="A421" s="895"/>
      <c r="B421" s="895"/>
      <c r="C421" s="895"/>
      <c r="D421" s="895"/>
      <c r="E421" s="895"/>
      <c r="F421" s="895"/>
      <c r="G421" s="895"/>
      <c r="H421" s="895"/>
      <c r="I421" s="895"/>
      <c r="J421" s="895"/>
      <c r="K421" s="895"/>
      <c r="L421" s="895"/>
      <c r="M421" s="895"/>
      <c r="N421" s="895"/>
      <c r="O421" s="895"/>
      <c r="P421" s="895"/>
      <c r="Q421" s="895"/>
      <c r="R421" s="895"/>
      <c r="S421" s="895"/>
      <c r="T421" s="895"/>
      <c r="U421" s="895"/>
      <c r="V421" s="895"/>
      <c r="W421" s="910"/>
      <c r="X421" s="912"/>
      <c r="Y421" s="912"/>
      <c r="Z421" s="912"/>
      <c r="AA421" s="912"/>
    </row>
  </sheetData>
  <pageMargins left="0.7" right="0.7" top="0.75" bottom="0.75" header="0.3" footer="0.3"/>
  <pageSetup orientation="portrait" horizontalDpi="1200" verticalDpi="12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FD192"/>
  <sheetViews>
    <sheetView topLeftCell="E70" zoomScale="70" zoomScaleNormal="70" workbookViewId="0">
      <selection activeCell="N86" sqref="N86"/>
    </sheetView>
  </sheetViews>
  <sheetFormatPr defaultColWidth="9" defaultRowHeight="16.5"/>
  <cols>
    <col min="1" max="1" width="45.625" style="33" customWidth="1"/>
    <col min="2" max="2" width="51.25" style="33" bestFit="1" customWidth="1"/>
    <col min="3" max="3" width="18.125" style="33" bestFit="1" customWidth="1"/>
    <col min="4" max="4" width="16.25" style="109" bestFit="1" customWidth="1"/>
    <col min="5" max="5" width="13.125" style="33" bestFit="1" customWidth="1"/>
    <col min="6" max="6" width="20.5" style="33" bestFit="1" customWidth="1"/>
    <col min="7" max="7" width="20.25" style="33" bestFit="1" customWidth="1"/>
    <col min="8" max="8" width="26.75" style="33" bestFit="1" customWidth="1"/>
    <col min="9" max="9" width="12.125" style="33" bestFit="1" customWidth="1"/>
    <col min="10" max="10" width="13.875" style="33" bestFit="1" customWidth="1"/>
    <col min="11" max="11" width="7.75" style="166" bestFit="1" customWidth="1"/>
    <col min="12" max="12" width="15.875" style="33" bestFit="1" customWidth="1"/>
    <col min="13" max="13" width="17.5" style="33" bestFit="1" customWidth="1"/>
    <col min="14" max="14" width="17.125" style="33" bestFit="1" customWidth="1"/>
    <col min="15" max="15" width="16.375" style="33" bestFit="1" customWidth="1"/>
    <col min="16" max="16" width="17.125" style="33" bestFit="1" customWidth="1"/>
    <col min="17" max="17" width="17.5" style="33" bestFit="1" customWidth="1"/>
    <col min="18" max="18" width="16.75" style="33" bestFit="1" customWidth="1"/>
    <col min="19" max="19" width="16.375" style="33" bestFit="1" customWidth="1"/>
    <col min="20" max="20" width="16.75" style="33" bestFit="1" customWidth="1"/>
    <col min="21" max="21" width="17.125" style="33" bestFit="1" customWidth="1"/>
    <col min="22" max="22" width="17.5" style="33" bestFit="1" customWidth="1"/>
    <col min="23" max="23" width="17.125" style="33" bestFit="1" customWidth="1"/>
    <col min="24" max="26" width="17.5" style="33" bestFit="1" customWidth="1"/>
    <col min="27" max="27" width="17.125" style="33" bestFit="1" customWidth="1"/>
    <col min="28" max="31" width="17.5" style="33" bestFit="1" customWidth="1"/>
    <col min="32" max="32" width="22.625" style="33" bestFit="1" customWidth="1"/>
    <col min="33" max="33" width="12.625" style="33" bestFit="1" customWidth="1"/>
    <col min="34" max="16384" width="9" style="33"/>
  </cols>
  <sheetData>
    <row r="1" spans="1:31" ht="18.75" thickBot="1">
      <c r="A1" s="11" t="str">
        <f>Intro!A1</f>
        <v>Town of Bar Harbor</v>
      </c>
      <c r="B1" s="13"/>
      <c r="C1" s="13"/>
      <c r="D1" s="99"/>
      <c r="E1" s="14"/>
      <c r="F1" s="14"/>
      <c r="G1" s="34"/>
      <c r="H1" s="34"/>
      <c r="I1" s="34"/>
      <c r="J1" s="34"/>
      <c r="K1" s="16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</row>
    <row r="2" spans="1:31" ht="17.25" thickBot="1">
      <c r="A2" s="380" t="str">
        <f>Intro!A2</f>
        <v>Ferry Property Business Plan</v>
      </c>
      <c r="B2" s="13"/>
      <c r="C2" s="13"/>
      <c r="D2" s="99"/>
      <c r="E2" s="14"/>
      <c r="F2" s="14"/>
      <c r="G2" s="34"/>
      <c r="H2" s="34"/>
      <c r="I2" s="34"/>
      <c r="J2" s="34"/>
      <c r="K2" s="16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</row>
    <row r="3" spans="1:31" s="392" customFormat="1" ht="14.25" thickBot="1">
      <c r="A3" s="384" t="str">
        <f>Intro!A3</f>
        <v>05.23.2018</v>
      </c>
      <c r="B3" s="2"/>
      <c r="C3" s="382"/>
      <c r="D3" s="393"/>
      <c r="E3" s="385"/>
      <c r="F3" s="385"/>
      <c r="G3" s="389"/>
      <c r="H3" s="389"/>
      <c r="I3" s="389"/>
      <c r="J3" s="389"/>
      <c r="K3" s="390"/>
      <c r="L3" s="391"/>
      <c r="M3" s="391"/>
      <c r="N3" s="391"/>
      <c r="O3" s="391"/>
      <c r="P3" s="391"/>
      <c r="Q3" s="391"/>
      <c r="R3" s="391"/>
      <c r="S3" s="391"/>
      <c r="T3" s="391"/>
      <c r="U3" s="391"/>
      <c r="V3" s="391"/>
      <c r="W3" s="391"/>
      <c r="X3" s="391"/>
      <c r="Y3" s="391"/>
      <c r="Z3" s="391"/>
      <c r="AA3" s="391"/>
      <c r="AB3" s="391"/>
      <c r="AC3" s="391"/>
      <c r="AD3" s="391"/>
      <c r="AE3" s="391"/>
    </row>
    <row r="4" spans="1:31" s="392" customFormat="1" ht="13.5">
      <c r="A4" s="384" t="str">
        <f ca="1">Intro!A4</f>
        <v>Town of Bar Harbor</v>
      </c>
      <c r="B4" s="382"/>
      <c r="C4" s="382"/>
      <c r="D4" s="393"/>
      <c r="E4" s="383">
        <f ca="1">NOW()</f>
        <v>43242.835659143515</v>
      </c>
      <c r="F4" s="383"/>
      <c r="G4" s="389"/>
      <c r="H4" s="389"/>
      <c r="I4" s="389"/>
      <c r="J4" s="389"/>
      <c r="K4" s="390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  <c r="W4" s="391"/>
      <c r="X4" s="391"/>
      <c r="Y4" s="391"/>
      <c r="Z4" s="391"/>
      <c r="AA4" s="391"/>
      <c r="AB4" s="391"/>
      <c r="AC4" s="391"/>
      <c r="AD4" s="391"/>
      <c r="AE4" s="391"/>
    </row>
    <row r="5" spans="1:31">
      <c r="A5" s="231" t="s">
        <v>342</v>
      </c>
      <c r="B5" s="231"/>
      <c r="C5" s="232"/>
      <c r="D5" s="233"/>
      <c r="E5" s="232"/>
      <c r="F5" s="232"/>
      <c r="G5" s="234"/>
      <c r="H5" s="234"/>
      <c r="I5" s="234"/>
      <c r="J5" s="234"/>
      <c r="K5" s="235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1:31">
      <c r="A6" s="237"/>
      <c r="B6" s="237"/>
      <c r="C6" s="237"/>
      <c r="D6" s="238"/>
      <c r="E6" s="237"/>
      <c r="F6" s="237"/>
      <c r="G6" s="237"/>
      <c r="H6" s="237"/>
      <c r="I6" s="237"/>
      <c r="J6" s="237"/>
      <c r="K6" s="659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</row>
    <row r="7" spans="1:31" ht="48.75" customHeight="1">
      <c r="A7" s="239"/>
      <c r="B7" s="240" t="s">
        <v>45</v>
      </c>
      <c r="C7" s="241" t="s">
        <v>46</v>
      </c>
      <c r="D7" s="242" t="s">
        <v>47</v>
      </c>
      <c r="E7" s="240" t="s">
        <v>21</v>
      </c>
      <c r="F7" s="240" t="s">
        <v>48</v>
      </c>
      <c r="G7" s="240" t="s">
        <v>49</v>
      </c>
      <c r="H7" s="240" t="s">
        <v>59</v>
      </c>
      <c r="I7" s="240" t="s">
        <v>22</v>
      </c>
      <c r="J7" s="240" t="s">
        <v>50</v>
      </c>
      <c r="K7" s="243">
        <v>2018</v>
      </c>
      <c r="L7" s="243">
        <v>2019</v>
      </c>
      <c r="M7" s="243">
        <v>2020</v>
      </c>
      <c r="N7" s="243">
        <v>2021</v>
      </c>
      <c r="O7" s="243">
        <v>2022</v>
      </c>
      <c r="P7" s="243">
        <v>2023</v>
      </c>
      <c r="Q7" s="243">
        <v>2024</v>
      </c>
      <c r="R7" s="243">
        <v>2025</v>
      </c>
      <c r="S7" s="243">
        <v>2026</v>
      </c>
      <c r="T7" s="243">
        <v>2027</v>
      </c>
      <c r="U7" s="243">
        <v>2028</v>
      </c>
      <c r="V7" s="243">
        <v>2029</v>
      </c>
      <c r="W7" s="243">
        <v>2030</v>
      </c>
      <c r="X7" s="243">
        <v>2031</v>
      </c>
      <c r="Y7" s="243">
        <v>2032</v>
      </c>
      <c r="Z7" s="243">
        <v>2033</v>
      </c>
      <c r="AA7" s="243">
        <v>2034</v>
      </c>
      <c r="AB7" s="243">
        <v>2035</v>
      </c>
      <c r="AC7" s="243">
        <v>2036</v>
      </c>
      <c r="AD7" s="243">
        <v>2037</v>
      </c>
      <c r="AE7" s="243">
        <v>2038</v>
      </c>
    </row>
    <row r="8" spans="1:31" s="18" customFormat="1" ht="17.25" thickBot="1">
      <c r="K8" s="488"/>
    </row>
    <row r="9" spans="1:31" s="18" customFormat="1" ht="17.25" thickBot="1">
      <c r="A9" s="117" t="s">
        <v>381</v>
      </c>
      <c r="B9" s="484" t="str">
        <f>'P&amp;L - Concept B1 - Carnival'!B9</f>
        <v>Scenario 3 - Percent of 2018 Business - Carnival</v>
      </c>
      <c r="K9" s="489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  <c r="Y9" s="327"/>
      <c r="Z9" s="327"/>
      <c r="AA9" s="327"/>
      <c r="AB9" s="327"/>
      <c r="AC9" s="327"/>
      <c r="AD9" s="327"/>
      <c r="AE9" s="327"/>
    </row>
    <row r="10" spans="1:31" s="18" customFormat="1">
      <c r="A10" s="649"/>
      <c r="B10" s="372"/>
      <c r="K10" s="489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  <c r="Y10" s="327"/>
      <c r="Z10" s="327"/>
      <c r="AA10" s="327"/>
      <c r="AB10" s="327"/>
      <c r="AC10" s="327"/>
      <c r="AD10" s="327"/>
      <c r="AE10" s="327"/>
    </row>
    <row r="11" spans="1:31">
      <c r="A11" s="38" t="s">
        <v>52</v>
      </c>
      <c r="B11" s="38"/>
      <c r="C11" s="38"/>
      <c r="D11" s="101"/>
      <c r="E11" s="38"/>
      <c r="F11" s="38"/>
      <c r="G11" s="37"/>
      <c r="H11" s="37"/>
      <c r="I11" s="38"/>
      <c r="J11" s="37"/>
      <c r="K11" s="784">
        <f>'OPEX - Concept A1'!K11</f>
        <v>0</v>
      </c>
      <c r="L11" s="311">
        <f>'BH Tariffs'!D52</f>
        <v>1.02</v>
      </c>
      <c r="M11" s="311">
        <f>'BH Tariffs'!E52</f>
        <v>1.0404</v>
      </c>
      <c r="N11" s="311">
        <f>'BH Tariffs'!F52</f>
        <v>1.0612079999999999</v>
      </c>
      <c r="O11" s="311">
        <f>'BH Tariffs'!G52</f>
        <v>1.08243216</v>
      </c>
      <c r="P11" s="311">
        <f>'BH Tariffs'!H52</f>
        <v>1.1040808032</v>
      </c>
      <c r="Q11" s="311">
        <f>'BH Tariffs'!I52</f>
        <v>1.1261624192640001</v>
      </c>
      <c r="R11" s="311">
        <f>'BH Tariffs'!J52</f>
        <v>1.14868566764928</v>
      </c>
      <c r="S11" s="311">
        <f>'BH Tariffs'!K52</f>
        <v>1.1716593810022657</v>
      </c>
      <c r="T11" s="311">
        <f>'BH Tariffs'!L52</f>
        <v>1.1950925686223111</v>
      </c>
      <c r="U11" s="311">
        <f>'BH Tariffs'!M52</f>
        <v>1.2189944199947573</v>
      </c>
      <c r="V11" s="311">
        <f>'BH Tariffs'!N52</f>
        <v>1.2433743083946525</v>
      </c>
      <c r="W11" s="311">
        <f>'BH Tariffs'!O52</f>
        <v>1.2682417945625455</v>
      </c>
      <c r="X11" s="311">
        <f>'BH Tariffs'!P52</f>
        <v>1.2936066304537963</v>
      </c>
      <c r="Y11" s="311">
        <f>'BH Tariffs'!Q52</f>
        <v>1.3194787630628724</v>
      </c>
      <c r="Z11" s="311">
        <f>'BH Tariffs'!R52</f>
        <v>1.3458683383241299</v>
      </c>
      <c r="AA11" s="311">
        <f>'BH Tariffs'!S52</f>
        <v>1.3727857050906125</v>
      </c>
      <c r="AB11" s="311">
        <f>'BH Tariffs'!T52</f>
        <v>1.4002414191924248</v>
      </c>
      <c r="AC11" s="311">
        <f>'BH Tariffs'!U52</f>
        <v>1.4282462475762734</v>
      </c>
      <c r="AD11" s="311">
        <f>'BH Tariffs'!V52</f>
        <v>1.4568111725277988</v>
      </c>
      <c r="AE11" s="311">
        <f>'BH Tariffs'!W52</f>
        <v>1.4859473959783549</v>
      </c>
    </row>
    <row r="12" spans="1:31">
      <c r="A12" s="38" t="s">
        <v>58</v>
      </c>
      <c r="B12" s="38"/>
      <c r="C12" s="37"/>
      <c r="D12" s="76"/>
      <c r="E12" s="79">
        <v>0.2</v>
      </c>
      <c r="F12" s="172"/>
      <c r="G12" s="36"/>
      <c r="H12" s="36"/>
      <c r="I12" s="38"/>
      <c r="J12" s="36"/>
      <c r="K12" s="661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200"/>
      <c r="AC12" s="200"/>
      <c r="AD12" s="200"/>
      <c r="AE12" s="200"/>
    </row>
    <row r="13" spans="1:31">
      <c r="A13" s="38" t="s">
        <v>51</v>
      </c>
      <c r="B13" s="38"/>
      <c r="C13" s="37"/>
      <c r="D13" s="76"/>
      <c r="E13" s="79"/>
      <c r="F13" s="79">
        <v>0.4</v>
      </c>
      <c r="G13" s="36"/>
      <c r="H13" s="36"/>
      <c r="I13" s="38"/>
      <c r="J13" s="36"/>
      <c r="K13" s="661"/>
      <c r="L13" s="200"/>
      <c r="M13" s="200"/>
      <c r="N13" s="200"/>
      <c r="O13" s="200"/>
      <c r="P13" s="200"/>
      <c r="Q13" s="200"/>
      <c r="R13" s="200"/>
      <c r="S13" s="200"/>
      <c r="T13" s="200"/>
      <c r="U13" s="200"/>
      <c r="V13" s="200"/>
      <c r="W13" s="200"/>
      <c r="X13" s="200"/>
      <c r="Y13" s="200"/>
      <c r="Z13" s="200"/>
      <c r="AA13" s="200"/>
      <c r="AB13" s="200"/>
      <c r="AC13" s="200"/>
      <c r="AD13" s="200"/>
      <c r="AE13" s="200"/>
    </row>
    <row r="14" spans="1:31" s="18" customFormat="1">
      <c r="A14" s="649"/>
      <c r="B14" s="372"/>
      <c r="K14" s="489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7"/>
      <c r="X14" s="327"/>
      <c r="Y14" s="327"/>
      <c r="Z14" s="327"/>
      <c r="AA14" s="327"/>
      <c r="AB14" s="327"/>
      <c r="AC14" s="327"/>
      <c r="AD14" s="327"/>
      <c r="AE14" s="327"/>
    </row>
    <row r="15" spans="1:31" s="18" customFormat="1">
      <c r="K15" s="489"/>
      <c r="L15" s="327"/>
      <c r="M15" s="327"/>
      <c r="N15" s="327"/>
      <c r="O15" s="327"/>
      <c r="P15" s="327"/>
      <c r="Q15" s="327"/>
      <c r="R15" s="327"/>
      <c r="S15" s="327"/>
      <c r="T15" s="327"/>
      <c r="U15" s="327"/>
      <c r="V15" s="327"/>
      <c r="W15" s="327"/>
      <c r="X15" s="327"/>
      <c r="Y15" s="327"/>
      <c r="Z15" s="327"/>
      <c r="AA15" s="327"/>
      <c r="AB15" s="327"/>
      <c r="AC15" s="327"/>
      <c r="AD15" s="327"/>
      <c r="AE15" s="327"/>
    </row>
    <row r="16" spans="1:31" s="582" customFormat="1" ht="14.25">
      <c r="A16" s="582" t="s">
        <v>83</v>
      </c>
      <c r="K16" s="490"/>
      <c r="L16" s="785"/>
      <c r="M16" s="785"/>
      <c r="N16" s="785"/>
      <c r="O16" s="785"/>
      <c r="P16" s="785"/>
      <c r="Q16" s="785"/>
      <c r="R16" s="785"/>
      <c r="S16" s="785"/>
      <c r="T16" s="785"/>
      <c r="U16" s="785"/>
      <c r="V16" s="785"/>
      <c r="W16" s="785"/>
      <c r="X16" s="785"/>
      <c r="Y16" s="785"/>
      <c r="Z16" s="785"/>
      <c r="AA16" s="785"/>
      <c r="AB16" s="785"/>
      <c r="AC16" s="785"/>
      <c r="AD16" s="785"/>
      <c r="AE16" s="785"/>
    </row>
    <row r="17" spans="1:31" s="96" customFormat="1">
      <c r="A17" s="53" t="str">
        <f>'Cruise Projections'!A67</f>
        <v>Passengers</v>
      </c>
      <c r="B17" s="487"/>
      <c r="C17" s="487"/>
      <c r="K17" s="486">
        <f>'P&amp;L - Concept B1 - Carnival'!D12</f>
        <v>0</v>
      </c>
      <c r="L17" s="313">
        <f>'P&amp;L - Concept B1 - Carnival'!E12</f>
        <v>0</v>
      </c>
      <c r="M17" s="313">
        <f>'P&amp;L - Concept B1 - Carnival'!F12</f>
        <v>105331.33459735833</v>
      </c>
      <c r="N17" s="313">
        <f>'P&amp;L - Concept B1 - Carnival'!G12</f>
        <v>105331.33459735833</v>
      </c>
      <c r="O17" s="313">
        <f>'P&amp;L - Concept B1 - Carnival'!H12</f>
        <v>105331.33459735833</v>
      </c>
      <c r="P17" s="313">
        <f>'P&amp;L - Concept B1 - Carnival'!I12</f>
        <v>105331.33459735833</v>
      </c>
      <c r="Q17" s="313">
        <f>'P&amp;L - Concept B1 - Carnival'!J12</f>
        <v>105331.33459735833</v>
      </c>
      <c r="R17" s="313">
        <f>'P&amp;L - Concept B1 - Carnival'!K12</f>
        <v>105331.33459735833</v>
      </c>
      <c r="S17" s="313">
        <f>'P&amp;L - Concept B1 - Carnival'!L12</f>
        <v>105331.33459735833</v>
      </c>
      <c r="T17" s="313">
        <f>'P&amp;L - Concept B1 - Carnival'!M12</f>
        <v>105331.33459735833</v>
      </c>
      <c r="U17" s="313">
        <f>'P&amp;L - Concept B1 - Carnival'!N12</f>
        <v>105331.33459735833</v>
      </c>
      <c r="V17" s="313">
        <f>'P&amp;L - Concept B1 - Carnival'!O12</f>
        <v>105331.33459735833</v>
      </c>
      <c r="W17" s="313">
        <f>'P&amp;L - Concept B1 - Carnival'!P12</f>
        <v>105331.33459735833</v>
      </c>
      <c r="X17" s="313">
        <f>'P&amp;L - Concept B1 - Carnival'!Q12</f>
        <v>105331.33459735833</v>
      </c>
      <c r="Y17" s="313">
        <f>'P&amp;L - Concept B1 - Carnival'!R12</f>
        <v>105331.33459735833</v>
      </c>
      <c r="Z17" s="313">
        <f>'P&amp;L - Concept B1 - Carnival'!S12</f>
        <v>105331.33459735833</v>
      </c>
      <c r="AA17" s="313">
        <f>'P&amp;L - Concept B1 - Carnival'!T12</f>
        <v>105331.33459735833</v>
      </c>
      <c r="AB17" s="313">
        <f>'P&amp;L - Concept B1 - Carnival'!U12</f>
        <v>105331.33459735833</v>
      </c>
      <c r="AC17" s="313">
        <f>'P&amp;L - Concept B1 - Carnival'!V12</f>
        <v>105331.33459735833</v>
      </c>
      <c r="AD17" s="313">
        <f>'P&amp;L - Concept B1 - Carnival'!W12</f>
        <v>105331.33459735833</v>
      </c>
      <c r="AE17" s="313">
        <f>'P&amp;L - Concept B1 - Carnival'!X12</f>
        <v>105331.33459735833</v>
      </c>
    </row>
    <row r="18" spans="1:31" s="96" customFormat="1">
      <c r="A18" s="53" t="str">
        <f>'Cruise Projections'!A68</f>
        <v>Calls</v>
      </c>
      <c r="B18" s="487"/>
      <c r="C18" s="487"/>
      <c r="K18" s="486">
        <f>'P&amp;L - Concept B1 - Carnival'!D13</f>
        <v>0</v>
      </c>
      <c r="L18" s="313">
        <f>'P&amp;L - Concept B1 - Carnival'!E13</f>
        <v>0</v>
      </c>
      <c r="M18" s="313">
        <f>'P&amp;L - Concept B1 - Carnival'!F13</f>
        <v>60.199999999999996</v>
      </c>
      <c r="N18" s="313">
        <f>'P&amp;L - Concept B1 - Carnival'!G13</f>
        <v>60.199999999999996</v>
      </c>
      <c r="O18" s="313">
        <f>'P&amp;L - Concept B1 - Carnival'!H13</f>
        <v>60.199999999999996</v>
      </c>
      <c r="P18" s="313">
        <f>'P&amp;L - Concept B1 - Carnival'!I13</f>
        <v>60.199999999999996</v>
      </c>
      <c r="Q18" s="313">
        <f>'P&amp;L - Concept B1 - Carnival'!J13</f>
        <v>60.199999999999996</v>
      </c>
      <c r="R18" s="313">
        <f>'P&amp;L - Concept B1 - Carnival'!K13</f>
        <v>60.199999999999996</v>
      </c>
      <c r="S18" s="313">
        <f>'P&amp;L - Concept B1 - Carnival'!L13</f>
        <v>60.199999999999996</v>
      </c>
      <c r="T18" s="313">
        <f>'P&amp;L - Concept B1 - Carnival'!M13</f>
        <v>60.199999999999996</v>
      </c>
      <c r="U18" s="313">
        <f>'P&amp;L - Concept B1 - Carnival'!N13</f>
        <v>60.199999999999996</v>
      </c>
      <c r="V18" s="313">
        <f>'P&amp;L - Concept B1 - Carnival'!O13</f>
        <v>60.199999999999996</v>
      </c>
      <c r="W18" s="313">
        <f>'P&amp;L - Concept B1 - Carnival'!P13</f>
        <v>60.199999999999996</v>
      </c>
      <c r="X18" s="313">
        <f>'P&amp;L - Concept B1 - Carnival'!Q13</f>
        <v>60.199999999999996</v>
      </c>
      <c r="Y18" s="313">
        <f>'P&amp;L - Concept B1 - Carnival'!R13</f>
        <v>60.199999999999996</v>
      </c>
      <c r="Z18" s="313">
        <f>'P&amp;L - Concept B1 - Carnival'!S13</f>
        <v>60.199999999999996</v>
      </c>
      <c r="AA18" s="313">
        <f>'P&amp;L - Concept B1 - Carnival'!T13</f>
        <v>60.199999999999996</v>
      </c>
      <c r="AB18" s="313">
        <f>'P&amp;L - Concept B1 - Carnival'!U13</f>
        <v>60.199999999999996</v>
      </c>
      <c r="AC18" s="313">
        <f>'P&amp;L - Concept B1 - Carnival'!V13</f>
        <v>60.199999999999996</v>
      </c>
      <c r="AD18" s="313">
        <f>'P&amp;L - Concept B1 - Carnival'!W13</f>
        <v>60.199999999999996</v>
      </c>
      <c r="AE18" s="313">
        <f>'P&amp;L - Concept B1 - Carnival'!X13</f>
        <v>60.199999999999996</v>
      </c>
    </row>
    <row r="19" spans="1:31" s="96" customFormat="1">
      <c r="A19" s="53" t="str">
        <f>'Cruise Projections'!A69</f>
        <v>Passengers per Call</v>
      </c>
      <c r="B19" s="487"/>
      <c r="C19" s="487"/>
      <c r="K19" s="486">
        <f>'P&amp;L - Concept B1 - Carnival'!D14</f>
        <v>0</v>
      </c>
      <c r="L19" s="313">
        <f>'P&amp;L - Concept B1 - Carnival'!E14</f>
        <v>0</v>
      </c>
      <c r="M19" s="313">
        <f>'P&amp;L - Concept B1 - Carnival'!F14</f>
        <v>1749.6899434777133</v>
      </c>
      <c r="N19" s="313">
        <f>'P&amp;L - Concept B1 - Carnival'!G14</f>
        <v>1749.6899434777133</v>
      </c>
      <c r="O19" s="313">
        <f>'P&amp;L - Concept B1 - Carnival'!H14</f>
        <v>1749.6899434777133</v>
      </c>
      <c r="P19" s="313">
        <f>'P&amp;L - Concept B1 - Carnival'!I14</f>
        <v>1749.6899434777133</v>
      </c>
      <c r="Q19" s="313">
        <f>'P&amp;L - Concept B1 - Carnival'!J14</f>
        <v>1749.6899434777133</v>
      </c>
      <c r="R19" s="313">
        <f>'P&amp;L - Concept B1 - Carnival'!K14</f>
        <v>1749.6899434777133</v>
      </c>
      <c r="S19" s="313">
        <f>'P&amp;L - Concept B1 - Carnival'!L14</f>
        <v>1749.6899434777133</v>
      </c>
      <c r="T19" s="313">
        <f>'P&amp;L - Concept B1 - Carnival'!M14</f>
        <v>1749.6899434777133</v>
      </c>
      <c r="U19" s="313">
        <f>'P&amp;L - Concept B1 - Carnival'!N14</f>
        <v>1749.6899434777133</v>
      </c>
      <c r="V19" s="313">
        <f>'P&amp;L - Concept B1 - Carnival'!O14</f>
        <v>1749.6899434777133</v>
      </c>
      <c r="W19" s="313">
        <f>'P&amp;L - Concept B1 - Carnival'!P14</f>
        <v>1749.6899434777133</v>
      </c>
      <c r="X19" s="313">
        <f>'P&amp;L - Concept B1 - Carnival'!Q14</f>
        <v>1749.6899434777133</v>
      </c>
      <c r="Y19" s="313">
        <f>'P&amp;L - Concept B1 - Carnival'!R14</f>
        <v>1749.6899434777133</v>
      </c>
      <c r="Z19" s="313">
        <f>'P&amp;L - Concept B1 - Carnival'!S14</f>
        <v>1749.6899434777133</v>
      </c>
      <c r="AA19" s="313">
        <f>'P&amp;L - Concept B1 - Carnival'!T14</f>
        <v>1749.6899434777133</v>
      </c>
      <c r="AB19" s="313">
        <f>'P&amp;L - Concept B1 - Carnival'!U14</f>
        <v>1749.6899434777133</v>
      </c>
      <c r="AC19" s="313">
        <f>'P&amp;L - Concept B1 - Carnival'!V14</f>
        <v>1749.6899434777133</v>
      </c>
      <c r="AD19" s="313">
        <f>'P&amp;L - Concept B1 - Carnival'!W14</f>
        <v>1749.6899434777133</v>
      </c>
      <c r="AE19" s="313">
        <f>'P&amp;L - Concept B1 - Carnival'!X14</f>
        <v>1749.6899434777133</v>
      </c>
    </row>
    <row r="20" spans="1:31" s="96" customFormat="1">
      <c r="A20" s="54" t="s">
        <v>313</v>
      </c>
      <c r="B20" s="487"/>
      <c r="C20" s="487"/>
      <c r="K20" s="486">
        <f>'P&amp;L - Concept B1 - Carnival'!D15</f>
        <v>0</v>
      </c>
      <c r="L20" s="313">
        <f>'P&amp;L - Concept B1 - Carnival'!E15</f>
        <v>0</v>
      </c>
      <c r="M20" s="313">
        <f>'P&amp;L - Concept B1 - Carnival'!F15</f>
        <v>4120</v>
      </c>
      <c r="N20" s="313">
        <f>'P&amp;L - Concept B1 - Carnival'!G15</f>
        <v>4120</v>
      </c>
      <c r="O20" s="313">
        <f>'P&amp;L - Concept B1 - Carnival'!H15</f>
        <v>4120</v>
      </c>
      <c r="P20" s="313">
        <f>'P&amp;L - Concept B1 - Carnival'!I15</f>
        <v>4120</v>
      </c>
      <c r="Q20" s="313">
        <f>'P&amp;L - Concept B1 - Carnival'!J15</f>
        <v>4120</v>
      </c>
      <c r="R20" s="313">
        <f>'P&amp;L - Concept B1 - Carnival'!K15</f>
        <v>4120</v>
      </c>
      <c r="S20" s="313">
        <f>'P&amp;L - Concept B1 - Carnival'!L15</f>
        <v>4120</v>
      </c>
      <c r="T20" s="313">
        <f>'P&amp;L - Concept B1 - Carnival'!M15</f>
        <v>4120</v>
      </c>
      <c r="U20" s="313">
        <f>'P&amp;L - Concept B1 - Carnival'!N15</f>
        <v>4120</v>
      </c>
      <c r="V20" s="313">
        <f>'P&amp;L - Concept B1 - Carnival'!O15</f>
        <v>4120</v>
      </c>
      <c r="W20" s="313">
        <f>'P&amp;L - Concept B1 - Carnival'!P15</f>
        <v>4120</v>
      </c>
      <c r="X20" s="313">
        <f>'P&amp;L - Concept B1 - Carnival'!Q15</f>
        <v>4120</v>
      </c>
      <c r="Y20" s="313">
        <f>'P&amp;L - Concept B1 - Carnival'!R15</f>
        <v>4120</v>
      </c>
      <c r="Z20" s="313">
        <f>'P&amp;L - Concept B1 - Carnival'!S15</f>
        <v>4120</v>
      </c>
      <c r="AA20" s="313">
        <f>'P&amp;L - Concept B1 - Carnival'!T15</f>
        <v>4120</v>
      </c>
      <c r="AB20" s="313">
        <f>'P&amp;L - Concept B1 - Carnival'!U15</f>
        <v>4120</v>
      </c>
      <c r="AC20" s="313">
        <f>'P&amp;L - Concept B1 - Carnival'!V15</f>
        <v>4120</v>
      </c>
      <c r="AD20" s="313">
        <f>'P&amp;L - Concept B1 - Carnival'!W15</f>
        <v>4120</v>
      </c>
      <c r="AE20" s="313">
        <f>'P&amp;L - Concept B1 - Carnival'!X15</f>
        <v>4120</v>
      </c>
    </row>
    <row r="21" spans="1:31" s="18" customFormat="1">
      <c r="A21" s="54"/>
      <c r="B21" s="21"/>
      <c r="C21" s="21"/>
      <c r="K21" s="486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  <c r="Y21" s="313"/>
      <c r="Z21" s="313"/>
      <c r="AA21" s="313"/>
      <c r="AB21" s="313"/>
      <c r="AC21" s="313"/>
      <c r="AD21" s="313"/>
      <c r="AE21" s="313"/>
    </row>
    <row r="22" spans="1:31" s="547" customFormat="1" ht="14.25">
      <c r="A22" s="549" t="s">
        <v>163</v>
      </c>
      <c r="B22" s="550"/>
      <c r="C22" s="550"/>
      <c r="K22" s="610"/>
      <c r="L22" s="551"/>
      <c r="M22" s="551"/>
      <c r="N22" s="551"/>
      <c r="O22" s="551"/>
      <c r="P22" s="551"/>
      <c r="Q22" s="551"/>
      <c r="R22" s="551"/>
      <c r="S22" s="551"/>
      <c r="T22" s="551"/>
      <c r="U22" s="551"/>
      <c r="V22" s="551"/>
      <c r="W22" s="551"/>
      <c r="X22" s="551"/>
      <c r="Y22" s="551"/>
      <c r="Z22" s="551"/>
      <c r="AA22" s="551"/>
      <c r="AB22" s="551"/>
      <c r="AC22" s="551"/>
      <c r="AD22" s="551"/>
      <c r="AE22" s="551"/>
    </row>
    <row r="23" spans="1:31" s="341" customFormat="1">
      <c r="A23" s="552" t="str">
        <f>'International Ferry Projections'!A11</f>
        <v>Passengers</v>
      </c>
      <c r="B23" s="553"/>
      <c r="C23" s="553"/>
      <c r="K23" s="554">
        <f>'P&amp;L - Concept B1 - Carnival'!D18</f>
        <v>0</v>
      </c>
      <c r="L23" s="555">
        <f>'P&amp;L - Concept B1 - Carnival'!E18</f>
        <v>60000</v>
      </c>
      <c r="M23" s="555">
        <f>'P&amp;L - Concept B1 - Carnival'!F18</f>
        <v>70000</v>
      </c>
      <c r="N23" s="555">
        <f>'P&amp;L - Concept B1 - Carnival'!G18</f>
        <v>80000</v>
      </c>
      <c r="O23" s="555">
        <f>'P&amp;L - Concept B1 - Carnival'!H18</f>
        <v>80000</v>
      </c>
      <c r="P23" s="555">
        <f>'P&amp;L - Concept B1 - Carnival'!I18</f>
        <v>80000</v>
      </c>
      <c r="Q23" s="555">
        <f>'P&amp;L - Concept B1 - Carnival'!J18</f>
        <v>80000</v>
      </c>
      <c r="R23" s="555">
        <f>'P&amp;L - Concept B1 - Carnival'!K18</f>
        <v>80000</v>
      </c>
      <c r="S23" s="555">
        <f>'P&amp;L - Concept B1 - Carnival'!L18</f>
        <v>80000</v>
      </c>
      <c r="T23" s="555">
        <f>'P&amp;L - Concept B1 - Carnival'!M18</f>
        <v>80000</v>
      </c>
      <c r="U23" s="555">
        <f>'P&amp;L - Concept B1 - Carnival'!N18</f>
        <v>80000</v>
      </c>
      <c r="V23" s="555">
        <f>'P&amp;L - Concept B1 - Carnival'!O18</f>
        <v>80000</v>
      </c>
      <c r="W23" s="555">
        <f>'P&amp;L - Concept B1 - Carnival'!P18</f>
        <v>80000</v>
      </c>
      <c r="X23" s="555">
        <f>'P&amp;L - Concept B1 - Carnival'!Q18</f>
        <v>80000</v>
      </c>
      <c r="Y23" s="555">
        <f>'P&amp;L - Concept B1 - Carnival'!R18</f>
        <v>80000</v>
      </c>
      <c r="Z23" s="555">
        <f>'P&amp;L - Concept B1 - Carnival'!S18</f>
        <v>80000</v>
      </c>
      <c r="AA23" s="555">
        <f>'P&amp;L - Concept B1 - Carnival'!T18</f>
        <v>80000</v>
      </c>
      <c r="AB23" s="555">
        <f>'P&amp;L - Concept B1 - Carnival'!U18</f>
        <v>80000</v>
      </c>
      <c r="AC23" s="555">
        <f>'P&amp;L - Concept B1 - Carnival'!V18</f>
        <v>80000</v>
      </c>
      <c r="AD23" s="555">
        <f>'P&amp;L - Concept B1 - Carnival'!W18</f>
        <v>80000</v>
      </c>
      <c r="AE23" s="555">
        <f>'P&amp;L - Concept B1 - Carnival'!X18</f>
        <v>80000</v>
      </c>
    </row>
    <row r="24" spans="1:31" s="341" customFormat="1">
      <c r="A24" s="552" t="str">
        <f>'International Ferry Projections'!A12</f>
        <v>Cars</v>
      </c>
      <c r="B24" s="553"/>
      <c r="C24" s="553"/>
      <c r="K24" s="554">
        <f>'P&amp;L - Concept B1 - Carnival'!D19</f>
        <v>0</v>
      </c>
      <c r="L24" s="555">
        <f>'P&amp;L - Concept B1 - Carnival'!E19</f>
        <v>24000</v>
      </c>
      <c r="M24" s="555">
        <f>'P&amp;L - Concept B1 - Carnival'!F19</f>
        <v>28000</v>
      </c>
      <c r="N24" s="555">
        <f>'P&amp;L - Concept B1 - Carnival'!G19</f>
        <v>32000</v>
      </c>
      <c r="O24" s="555">
        <f>'P&amp;L - Concept B1 - Carnival'!H19</f>
        <v>32000</v>
      </c>
      <c r="P24" s="555">
        <f>'P&amp;L - Concept B1 - Carnival'!I19</f>
        <v>32000</v>
      </c>
      <c r="Q24" s="555">
        <f>'P&amp;L - Concept B1 - Carnival'!J19</f>
        <v>32000</v>
      </c>
      <c r="R24" s="555">
        <f>'P&amp;L - Concept B1 - Carnival'!K19</f>
        <v>32000</v>
      </c>
      <c r="S24" s="555">
        <f>'P&amp;L - Concept B1 - Carnival'!L19</f>
        <v>32000</v>
      </c>
      <c r="T24" s="555">
        <f>'P&amp;L - Concept B1 - Carnival'!M19</f>
        <v>32000</v>
      </c>
      <c r="U24" s="555">
        <f>'P&amp;L - Concept B1 - Carnival'!N19</f>
        <v>32000</v>
      </c>
      <c r="V24" s="555">
        <f>'P&amp;L - Concept B1 - Carnival'!O19</f>
        <v>32000</v>
      </c>
      <c r="W24" s="555">
        <f>'P&amp;L - Concept B1 - Carnival'!P19</f>
        <v>32000</v>
      </c>
      <c r="X24" s="555">
        <f>'P&amp;L - Concept B1 - Carnival'!Q19</f>
        <v>32000</v>
      </c>
      <c r="Y24" s="555">
        <f>'P&amp;L - Concept B1 - Carnival'!R19</f>
        <v>32000</v>
      </c>
      <c r="Z24" s="555">
        <f>'P&amp;L - Concept B1 - Carnival'!S19</f>
        <v>32000</v>
      </c>
      <c r="AA24" s="555">
        <f>'P&amp;L - Concept B1 - Carnival'!T19</f>
        <v>32000</v>
      </c>
      <c r="AB24" s="555">
        <f>'P&amp;L - Concept B1 - Carnival'!U19</f>
        <v>32000</v>
      </c>
      <c r="AC24" s="555">
        <f>'P&amp;L - Concept B1 - Carnival'!V19</f>
        <v>32000</v>
      </c>
      <c r="AD24" s="555">
        <f>'P&amp;L - Concept B1 - Carnival'!W19</f>
        <v>32000</v>
      </c>
      <c r="AE24" s="555">
        <f>'P&amp;L - Concept B1 - Carnival'!X19</f>
        <v>32000</v>
      </c>
    </row>
    <row r="25" spans="1:31" s="341" customFormat="1">
      <c r="A25" s="552" t="str">
        <f>'International Ferry Projections'!A13</f>
        <v>Buses</v>
      </c>
      <c r="B25" s="553"/>
      <c r="C25" s="553"/>
      <c r="K25" s="554">
        <f>'P&amp;L - Concept B1 - Carnival'!D20</f>
        <v>0</v>
      </c>
      <c r="L25" s="555">
        <f>'P&amp;L - Concept B1 - Carnival'!E20</f>
        <v>40</v>
      </c>
      <c r="M25" s="555">
        <f>'P&amp;L - Concept B1 - Carnival'!F20</f>
        <v>50</v>
      </c>
      <c r="N25" s="555">
        <f>'P&amp;L - Concept B1 - Carnival'!G20</f>
        <v>60</v>
      </c>
      <c r="O25" s="555">
        <f>'P&amp;L - Concept B1 - Carnival'!H20</f>
        <v>60</v>
      </c>
      <c r="P25" s="555">
        <f>'P&amp;L - Concept B1 - Carnival'!I20</f>
        <v>60</v>
      </c>
      <c r="Q25" s="555">
        <f>'P&amp;L - Concept B1 - Carnival'!J20</f>
        <v>60</v>
      </c>
      <c r="R25" s="555">
        <f>'P&amp;L - Concept B1 - Carnival'!K20</f>
        <v>60</v>
      </c>
      <c r="S25" s="555">
        <f>'P&amp;L - Concept B1 - Carnival'!L20</f>
        <v>60</v>
      </c>
      <c r="T25" s="555">
        <f>'P&amp;L - Concept B1 - Carnival'!M20</f>
        <v>60</v>
      </c>
      <c r="U25" s="555">
        <f>'P&amp;L - Concept B1 - Carnival'!N20</f>
        <v>60</v>
      </c>
      <c r="V25" s="555">
        <f>'P&amp;L - Concept B1 - Carnival'!O20</f>
        <v>60</v>
      </c>
      <c r="W25" s="555">
        <f>'P&amp;L - Concept B1 - Carnival'!P20</f>
        <v>60</v>
      </c>
      <c r="X25" s="555">
        <f>'P&amp;L - Concept B1 - Carnival'!Q20</f>
        <v>60</v>
      </c>
      <c r="Y25" s="555">
        <f>'P&amp;L - Concept B1 - Carnival'!R20</f>
        <v>60</v>
      </c>
      <c r="Z25" s="555">
        <f>'P&amp;L - Concept B1 - Carnival'!S20</f>
        <v>60</v>
      </c>
      <c r="AA25" s="555">
        <f>'P&amp;L - Concept B1 - Carnival'!T20</f>
        <v>60</v>
      </c>
      <c r="AB25" s="555">
        <f>'P&amp;L - Concept B1 - Carnival'!U20</f>
        <v>60</v>
      </c>
      <c r="AC25" s="555">
        <f>'P&amp;L - Concept B1 - Carnival'!V20</f>
        <v>60</v>
      </c>
      <c r="AD25" s="555">
        <f>'P&amp;L - Concept B1 - Carnival'!W20</f>
        <v>60</v>
      </c>
      <c r="AE25" s="555">
        <f>'P&amp;L - Concept B1 - Carnival'!X20</f>
        <v>60</v>
      </c>
    </row>
    <row r="26" spans="1:31" s="18" customFormat="1">
      <c r="A26" s="54"/>
      <c r="B26" s="21"/>
      <c r="C26" s="21"/>
      <c r="K26" s="486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</row>
    <row r="27" spans="1:31" s="582" customFormat="1">
      <c r="A27" s="293" t="str">
        <f>'BH Tariffs'!A30</f>
        <v>Local Ferry</v>
      </c>
      <c r="B27" s="581"/>
      <c r="C27" s="581"/>
      <c r="K27" s="486"/>
      <c r="L27" s="329"/>
      <c r="M27" s="329"/>
      <c r="N27" s="329"/>
      <c r="O27" s="329"/>
      <c r="P27" s="329"/>
      <c r="Q27" s="329"/>
      <c r="R27" s="329"/>
      <c r="S27" s="329"/>
      <c r="T27" s="329"/>
      <c r="U27" s="329"/>
      <c r="V27" s="329"/>
      <c r="W27" s="329"/>
      <c r="X27" s="329"/>
      <c r="Y27" s="329"/>
      <c r="Z27" s="329"/>
      <c r="AA27" s="329"/>
      <c r="AB27" s="329"/>
      <c r="AC27" s="329"/>
      <c r="AD27" s="329"/>
      <c r="AE27" s="329"/>
    </row>
    <row r="28" spans="1:31" s="96" customFormat="1">
      <c r="A28" s="54" t="str">
        <f>'BH Tariffs'!A31</f>
        <v>Dock Rent (6 Months Only)</v>
      </c>
      <c r="B28" s="487"/>
      <c r="C28" s="487"/>
      <c r="K28" s="486">
        <f>'P&amp;L - Concept B1 - Carnival'!D23</f>
        <v>0</v>
      </c>
      <c r="L28" s="623" t="str">
        <f>'P&amp;L - Concept B1 - Carnival'!E23</f>
        <v>see Tariff</v>
      </c>
      <c r="M28" s="623" t="str">
        <f>'P&amp;L - Concept B1 - Carnival'!F23</f>
        <v>see Tariff</v>
      </c>
      <c r="N28" s="623" t="str">
        <f>'P&amp;L - Concept B1 - Carnival'!G23</f>
        <v>see Tariff</v>
      </c>
      <c r="O28" s="623" t="str">
        <f>'P&amp;L - Concept B1 - Carnival'!H23</f>
        <v>see Tariff</v>
      </c>
      <c r="P28" s="623" t="str">
        <f>'P&amp;L - Concept B1 - Carnival'!I23</f>
        <v>see Tariff</v>
      </c>
      <c r="Q28" s="623" t="str">
        <f>'P&amp;L - Concept B1 - Carnival'!J23</f>
        <v>see Tariff</v>
      </c>
      <c r="R28" s="623" t="str">
        <f>'P&amp;L - Concept B1 - Carnival'!K23</f>
        <v>see Tariff</v>
      </c>
      <c r="S28" s="623" t="str">
        <f>'P&amp;L - Concept B1 - Carnival'!L23</f>
        <v>see Tariff</v>
      </c>
      <c r="T28" s="623" t="str">
        <f>'P&amp;L - Concept B1 - Carnival'!M23</f>
        <v>see Tariff</v>
      </c>
      <c r="U28" s="623" t="str">
        <f>'P&amp;L - Concept B1 - Carnival'!N23</f>
        <v>see Tariff</v>
      </c>
      <c r="V28" s="623" t="str">
        <f>'P&amp;L - Concept B1 - Carnival'!O23</f>
        <v>see Tariff</v>
      </c>
      <c r="W28" s="623" t="str">
        <f>'P&amp;L - Concept B1 - Carnival'!P23</f>
        <v>see Tariff</v>
      </c>
      <c r="X28" s="623" t="str">
        <f>'P&amp;L - Concept B1 - Carnival'!Q23</f>
        <v>see Tariff</v>
      </c>
      <c r="Y28" s="623" t="str">
        <f>'P&amp;L - Concept B1 - Carnival'!R23</f>
        <v>see Tariff</v>
      </c>
      <c r="Z28" s="623" t="str">
        <f>'P&amp;L - Concept B1 - Carnival'!S23</f>
        <v>see Tariff</v>
      </c>
      <c r="AA28" s="623" t="str">
        <f>'P&amp;L - Concept B1 - Carnival'!T23</f>
        <v>see Tariff</v>
      </c>
      <c r="AB28" s="623" t="str">
        <f>'P&amp;L - Concept B1 - Carnival'!U23</f>
        <v>see Tariff</v>
      </c>
      <c r="AC28" s="623" t="str">
        <f>'P&amp;L - Concept B1 - Carnival'!V23</f>
        <v>see Tariff</v>
      </c>
      <c r="AD28" s="623" t="str">
        <f>'P&amp;L - Concept B1 - Carnival'!W23</f>
        <v>see Tariff</v>
      </c>
      <c r="AE28" s="623" t="str">
        <f>'P&amp;L - Concept B1 - Carnival'!X23</f>
        <v>see Tariff</v>
      </c>
    </row>
    <row r="29" spans="1:31" s="341" customFormat="1">
      <c r="A29" s="552"/>
      <c r="B29" s="553"/>
      <c r="C29" s="553"/>
      <c r="K29" s="554"/>
      <c r="L29" s="555"/>
      <c r="M29" s="555"/>
      <c r="N29" s="555"/>
      <c r="O29" s="555"/>
      <c r="P29" s="555"/>
      <c r="Q29" s="555"/>
      <c r="R29" s="555"/>
      <c r="S29" s="555"/>
      <c r="T29" s="555"/>
      <c r="U29" s="555"/>
      <c r="V29" s="555"/>
      <c r="W29" s="555"/>
      <c r="X29" s="555"/>
      <c r="Y29" s="555"/>
      <c r="Z29" s="555"/>
      <c r="AA29" s="555"/>
      <c r="AB29" s="555"/>
      <c r="AC29" s="555"/>
      <c r="AD29" s="555"/>
      <c r="AE29" s="555"/>
    </row>
    <row r="30" spans="1:31" s="96" customFormat="1">
      <c r="A30" s="559" t="s">
        <v>227</v>
      </c>
      <c r="B30" s="487"/>
      <c r="C30" s="487"/>
      <c r="K30" s="486"/>
      <c r="L30" s="313"/>
      <c r="M30" s="313"/>
      <c r="N30" s="313"/>
      <c r="O30" s="313"/>
      <c r="P30" s="313"/>
      <c r="Q30" s="313"/>
      <c r="R30" s="313"/>
      <c r="S30" s="313"/>
      <c r="T30" s="313"/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</row>
    <row r="31" spans="1:31" s="96" customFormat="1">
      <c r="A31" s="559"/>
      <c r="B31" s="487"/>
      <c r="C31" s="487"/>
      <c r="K31" s="486"/>
      <c r="L31" s="313"/>
      <c r="M31" s="313"/>
      <c r="N31" s="313"/>
      <c r="O31" s="313"/>
      <c r="P31" s="313"/>
      <c r="Q31" s="313"/>
      <c r="R31" s="313"/>
      <c r="S31" s="313"/>
      <c r="T31" s="313"/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</row>
    <row r="32" spans="1:31" s="341" customFormat="1">
      <c r="A32" s="552" t="s">
        <v>420</v>
      </c>
      <c r="B32" s="553"/>
      <c r="C32" s="553"/>
      <c r="K32" s="554">
        <f>'P&amp;L - Concept B1 - Carnival'!D27</f>
        <v>0</v>
      </c>
      <c r="L32" s="555">
        <f>'P&amp;L - Concept B1 - Carnival'!E27</f>
        <v>0</v>
      </c>
      <c r="M32" s="555">
        <f>'P&amp;L - Concept B1 - Carnival'!F27</f>
        <v>214</v>
      </c>
      <c r="N32" s="555">
        <f>'P&amp;L - Concept B1 - Carnival'!G27</f>
        <v>214</v>
      </c>
      <c r="O32" s="555">
        <f>'P&amp;L - Concept B1 - Carnival'!H27</f>
        <v>214</v>
      </c>
      <c r="P32" s="555">
        <f>'P&amp;L - Concept B1 - Carnival'!I27</f>
        <v>214</v>
      </c>
      <c r="Q32" s="555">
        <f>'P&amp;L - Concept B1 - Carnival'!J27</f>
        <v>214</v>
      </c>
      <c r="R32" s="555">
        <f>'P&amp;L - Concept B1 - Carnival'!K27</f>
        <v>214</v>
      </c>
      <c r="S32" s="555">
        <f>'P&amp;L - Concept B1 - Carnival'!L27</f>
        <v>214</v>
      </c>
      <c r="T32" s="555">
        <f>'P&amp;L - Concept B1 - Carnival'!M27</f>
        <v>214</v>
      </c>
      <c r="U32" s="555">
        <f>'P&amp;L - Concept B1 - Carnival'!N27</f>
        <v>214</v>
      </c>
      <c r="V32" s="555">
        <f>'P&amp;L - Concept B1 - Carnival'!O27</f>
        <v>214</v>
      </c>
      <c r="W32" s="555">
        <f>'P&amp;L - Concept B1 - Carnival'!P27</f>
        <v>214</v>
      </c>
      <c r="X32" s="555">
        <f>'P&amp;L - Concept B1 - Carnival'!Q27</f>
        <v>214</v>
      </c>
      <c r="Y32" s="555">
        <f>'P&amp;L - Concept B1 - Carnival'!R27</f>
        <v>214</v>
      </c>
      <c r="Z32" s="555">
        <f>'P&amp;L - Concept B1 - Carnival'!S27</f>
        <v>214</v>
      </c>
      <c r="AA32" s="555">
        <f>'P&amp;L - Concept B1 - Carnival'!T27</f>
        <v>214</v>
      </c>
      <c r="AB32" s="555">
        <f>'P&amp;L - Concept B1 - Carnival'!U27</f>
        <v>214</v>
      </c>
      <c r="AC32" s="555">
        <f>'P&amp;L - Concept B1 - Carnival'!V27</f>
        <v>214</v>
      </c>
      <c r="AD32" s="555">
        <f>'P&amp;L - Concept B1 - Carnival'!W27</f>
        <v>214</v>
      </c>
      <c r="AE32" s="555">
        <f>'P&amp;L - Concept B1 - Carnival'!X27</f>
        <v>214</v>
      </c>
    </row>
    <row r="33" spans="1:33" s="96" customFormat="1">
      <c r="A33" s="54" t="s">
        <v>205</v>
      </c>
      <c r="B33" s="487"/>
      <c r="C33" s="487"/>
      <c r="K33" s="486">
        <f>'P&amp;L - Concept B1 - Carnival'!D28</f>
        <v>0</v>
      </c>
      <c r="L33" s="330">
        <f>'P&amp;L - Concept B1 - Carnival'!E28</f>
        <v>0</v>
      </c>
      <c r="M33" s="330">
        <f>'P&amp;L - Concept B1 - Carnival'!F28</f>
        <v>60.199999999999996</v>
      </c>
      <c r="N33" s="330">
        <f>'P&amp;L - Concept B1 - Carnival'!G28</f>
        <v>60.199999999999996</v>
      </c>
      <c r="O33" s="330">
        <f>'P&amp;L - Concept B1 - Carnival'!H28</f>
        <v>60.199999999999996</v>
      </c>
      <c r="P33" s="330">
        <f>'P&amp;L - Concept B1 - Carnival'!I28</f>
        <v>60.199999999999996</v>
      </c>
      <c r="Q33" s="330">
        <f>'P&amp;L - Concept B1 - Carnival'!J28</f>
        <v>60.199999999999996</v>
      </c>
      <c r="R33" s="330">
        <f>'P&amp;L - Concept B1 - Carnival'!K28</f>
        <v>60.199999999999996</v>
      </c>
      <c r="S33" s="330">
        <f>'P&amp;L - Concept B1 - Carnival'!L28</f>
        <v>60.199999999999996</v>
      </c>
      <c r="T33" s="330">
        <f>'P&amp;L - Concept B1 - Carnival'!M28</f>
        <v>60.199999999999996</v>
      </c>
      <c r="U33" s="330">
        <f>'P&amp;L - Concept B1 - Carnival'!N28</f>
        <v>60.199999999999996</v>
      </c>
      <c r="V33" s="330">
        <f>'P&amp;L - Concept B1 - Carnival'!O28</f>
        <v>60.199999999999996</v>
      </c>
      <c r="W33" s="330">
        <f>'P&amp;L - Concept B1 - Carnival'!P28</f>
        <v>60.199999999999996</v>
      </c>
      <c r="X33" s="330">
        <f>'P&amp;L - Concept B1 - Carnival'!Q28</f>
        <v>60.199999999999996</v>
      </c>
      <c r="Y33" s="330">
        <f>'P&amp;L - Concept B1 - Carnival'!R28</f>
        <v>60.199999999999996</v>
      </c>
      <c r="Z33" s="330">
        <f>'P&amp;L - Concept B1 - Carnival'!S28</f>
        <v>60.199999999999996</v>
      </c>
      <c r="AA33" s="330">
        <f>'P&amp;L - Concept B1 - Carnival'!T28</f>
        <v>60.199999999999996</v>
      </c>
      <c r="AB33" s="330">
        <f>'P&amp;L - Concept B1 - Carnival'!U28</f>
        <v>60.199999999999996</v>
      </c>
      <c r="AC33" s="330">
        <f>'P&amp;L - Concept B1 - Carnival'!V28</f>
        <v>60.199999999999996</v>
      </c>
      <c r="AD33" s="330">
        <f>'P&amp;L - Concept B1 - Carnival'!W28</f>
        <v>60.199999999999996</v>
      </c>
      <c r="AE33" s="330">
        <f>'P&amp;L - Concept B1 - Carnival'!X28</f>
        <v>60.199999999999996</v>
      </c>
    </row>
    <row r="34" spans="1:33" s="341" customFormat="1">
      <c r="A34" s="552" t="s">
        <v>219</v>
      </c>
      <c r="B34" s="553"/>
      <c r="C34" s="553"/>
      <c r="K34" s="554">
        <f>'P&amp;L - Concept B1 - Carnival'!D29</f>
        <v>0</v>
      </c>
      <c r="L34" s="560">
        <f>'P&amp;L - Concept B1 - Carnival'!E29</f>
        <v>150</v>
      </c>
      <c r="M34" s="560">
        <f>'P&amp;L - Concept B1 - Carnival'!F29</f>
        <v>150</v>
      </c>
      <c r="N34" s="560">
        <f>'P&amp;L - Concept B1 - Carnival'!G29</f>
        <v>150</v>
      </c>
      <c r="O34" s="560">
        <f>'P&amp;L - Concept B1 - Carnival'!H29</f>
        <v>150</v>
      </c>
      <c r="P34" s="560">
        <f>'P&amp;L - Concept B1 - Carnival'!I29</f>
        <v>150</v>
      </c>
      <c r="Q34" s="560">
        <f>'P&amp;L - Concept B1 - Carnival'!J29</f>
        <v>150</v>
      </c>
      <c r="R34" s="560">
        <f>'P&amp;L - Concept B1 - Carnival'!K29</f>
        <v>150</v>
      </c>
      <c r="S34" s="560">
        <f>'P&amp;L - Concept B1 - Carnival'!L29</f>
        <v>150</v>
      </c>
      <c r="T34" s="560">
        <f>'P&amp;L - Concept B1 - Carnival'!M29</f>
        <v>150</v>
      </c>
      <c r="U34" s="560">
        <f>'P&amp;L - Concept B1 - Carnival'!N29</f>
        <v>150</v>
      </c>
      <c r="V34" s="560">
        <f>'P&amp;L - Concept B1 - Carnival'!O29</f>
        <v>150</v>
      </c>
      <c r="W34" s="560">
        <f>'P&amp;L - Concept B1 - Carnival'!P29</f>
        <v>150</v>
      </c>
      <c r="X34" s="560">
        <f>'P&amp;L - Concept B1 - Carnival'!Q29</f>
        <v>150</v>
      </c>
      <c r="Y34" s="560">
        <f>'P&amp;L - Concept B1 - Carnival'!R29</f>
        <v>150</v>
      </c>
      <c r="Z34" s="560">
        <f>'P&amp;L - Concept B1 - Carnival'!S29</f>
        <v>150</v>
      </c>
      <c r="AA34" s="560">
        <f>'P&amp;L - Concept B1 - Carnival'!T29</f>
        <v>150</v>
      </c>
      <c r="AB34" s="560">
        <f>'P&amp;L - Concept B1 - Carnival'!U29</f>
        <v>150</v>
      </c>
      <c r="AC34" s="560">
        <f>'P&amp;L - Concept B1 - Carnival'!V29</f>
        <v>150</v>
      </c>
      <c r="AD34" s="560">
        <f>'P&amp;L - Concept B1 - Carnival'!W29</f>
        <v>150</v>
      </c>
      <c r="AE34" s="560">
        <f>'P&amp;L - Concept B1 - Carnival'!X29</f>
        <v>150</v>
      </c>
    </row>
    <row r="35" spans="1:33" s="341" customFormat="1">
      <c r="A35" s="552" t="s">
        <v>220</v>
      </c>
      <c r="B35" s="553"/>
      <c r="C35" s="553"/>
      <c r="K35" s="554">
        <f>'P&amp;L - Concept B1 - Carnival'!D30</f>
        <v>0</v>
      </c>
      <c r="L35" s="611">
        <v>0</v>
      </c>
      <c r="M35" s="611">
        <v>0</v>
      </c>
      <c r="N35" s="611">
        <v>0</v>
      </c>
      <c r="O35" s="611">
        <v>0</v>
      </c>
      <c r="P35" s="611">
        <v>0</v>
      </c>
      <c r="Q35" s="611">
        <v>0</v>
      </c>
      <c r="R35" s="611">
        <v>0</v>
      </c>
      <c r="S35" s="611">
        <v>0</v>
      </c>
      <c r="T35" s="611">
        <v>0</v>
      </c>
      <c r="U35" s="611">
        <v>0</v>
      </c>
      <c r="V35" s="611">
        <v>0</v>
      </c>
      <c r="W35" s="611">
        <v>0</v>
      </c>
      <c r="X35" s="611">
        <v>0</v>
      </c>
      <c r="Y35" s="611">
        <v>0</v>
      </c>
      <c r="Z35" s="611">
        <v>0</v>
      </c>
      <c r="AA35" s="611">
        <v>0</v>
      </c>
      <c r="AB35" s="611">
        <v>0</v>
      </c>
      <c r="AC35" s="611">
        <v>0</v>
      </c>
      <c r="AD35" s="611">
        <v>0</v>
      </c>
      <c r="AE35" s="611">
        <v>0</v>
      </c>
      <c r="AF35" s="611"/>
      <c r="AG35" s="611"/>
    </row>
    <row r="36" spans="1:33" s="96" customFormat="1">
      <c r="A36" s="54" t="s">
        <v>226</v>
      </c>
      <c r="B36" s="487"/>
      <c r="C36" s="487"/>
      <c r="K36" s="486">
        <f>'P&amp;L - Concept B1 - Carnival'!D31</f>
        <v>0</v>
      </c>
      <c r="L36" s="330">
        <f>'P&amp;L - Concept B1 - Carnival'!E31</f>
        <v>0</v>
      </c>
      <c r="M36" s="330">
        <f>'P&amp;L - Concept B1 - Carnival'!F31</f>
        <v>125</v>
      </c>
      <c r="N36" s="330">
        <f>'P&amp;L - Concept B1 - Carnival'!G31</f>
        <v>125</v>
      </c>
      <c r="O36" s="330">
        <f>'P&amp;L - Concept B1 - Carnival'!H31</f>
        <v>125</v>
      </c>
      <c r="P36" s="330">
        <f>'P&amp;L - Concept B1 - Carnival'!I31</f>
        <v>125</v>
      </c>
      <c r="Q36" s="330">
        <f>'P&amp;L - Concept B1 - Carnival'!J31</f>
        <v>125</v>
      </c>
      <c r="R36" s="330">
        <f>'P&amp;L - Concept B1 - Carnival'!K31</f>
        <v>125</v>
      </c>
      <c r="S36" s="330">
        <f>'P&amp;L - Concept B1 - Carnival'!L31</f>
        <v>125</v>
      </c>
      <c r="T36" s="330">
        <f>'P&amp;L - Concept B1 - Carnival'!M31</f>
        <v>125</v>
      </c>
      <c r="U36" s="330">
        <f>'P&amp;L - Concept B1 - Carnival'!N31</f>
        <v>125</v>
      </c>
      <c r="V36" s="330">
        <f>'P&amp;L - Concept B1 - Carnival'!O31</f>
        <v>125</v>
      </c>
      <c r="W36" s="330">
        <f>'P&amp;L - Concept B1 - Carnival'!P31</f>
        <v>125</v>
      </c>
      <c r="X36" s="330">
        <f>'P&amp;L - Concept B1 - Carnival'!Q31</f>
        <v>125</v>
      </c>
      <c r="Y36" s="330">
        <f>'P&amp;L - Concept B1 - Carnival'!R31</f>
        <v>125</v>
      </c>
      <c r="Z36" s="330">
        <f>'P&amp;L - Concept B1 - Carnival'!S31</f>
        <v>125</v>
      </c>
      <c r="AA36" s="330">
        <f>'P&amp;L - Concept B1 - Carnival'!T31</f>
        <v>125</v>
      </c>
      <c r="AB36" s="330">
        <f>'P&amp;L - Concept B1 - Carnival'!U31</f>
        <v>125</v>
      </c>
      <c r="AC36" s="330">
        <f>'P&amp;L - Concept B1 - Carnival'!V31</f>
        <v>125</v>
      </c>
      <c r="AD36" s="330">
        <f>'P&amp;L - Concept B1 - Carnival'!W31</f>
        <v>125</v>
      </c>
      <c r="AE36" s="330">
        <f>'P&amp;L - Concept B1 - Carnival'!X31</f>
        <v>125</v>
      </c>
    </row>
    <row r="37" spans="1:33" s="18" customFormat="1">
      <c r="A37" s="54"/>
      <c r="B37" s="21"/>
      <c r="C37" s="21"/>
      <c r="K37" s="486"/>
      <c r="L37" s="495"/>
      <c r="M37" s="495"/>
      <c r="N37" s="495"/>
      <c r="O37" s="495"/>
      <c r="P37" s="495"/>
      <c r="Q37" s="495"/>
      <c r="R37" s="495"/>
      <c r="S37" s="495"/>
      <c r="T37" s="495"/>
      <c r="U37" s="495"/>
      <c r="V37" s="495"/>
      <c r="W37" s="495"/>
      <c r="X37" s="495"/>
      <c r="Y37" s="495"/>
      <c r="Z37" s="495"/>
      <c r="AA37" s="495"/>
      <c r="AB37" s="495"/>
      <c r="AC37" s="495"/>
      <c r="AD37" s="495"/>
      <c r="AE37" s="495"/>
    </row>
    <row r="38" spans="1:33" s="96" customFormat="1">
      <c r="A38" s="54" t="s">
        <v>206</v>
      </c>
      <c r="B38" s="487"/>
      <c r="C38" s="487"/>
      <c r="K38" s="486">
        <f>'P&amp;L - Concept B1 - Carnival'!D33</f>
        <v>0</v>
      </c>
      <c r="L38" s="313">
        <f>'P&amp;L - Concept B1 - Carnival'!E33</f>
        <v>0</v>
      </c>
      <c r="M38" s="313">
        <f>'P&amp;L - Concept B1 - Carnival'!F33</f>
        <v>1749.6899434777133</v>
      </c>
      <c r="N38" s="313">
        <f>'P&amp;L - Concept B1 - Carnival'!G33</f>
        <v>1749.6899434777133</v>
      </c>
      <c r="O38" s="313">
        <f>'P&amp;L - Concept B1 - Carnival'!H33</f>
        <v>1749.6899434777133</v>
      </c>
      <c r="P38" s="313">
        <f>'P&amp;L - Concept B1 - Carnival'!I33</f>
        <v>1749.6899434777133</v>
      </c>
      <c r="Q38" s="313">
        <f>'P&amp;L - Concept B1 - Carnival'!J33</f>
        <v>1749.6899434777133</v>
      </c>
      <c r="R38" s="313">
        <f>'P&amp;L - Concept B1 - Carnival'!K33</f>
        <v>1749.6899434777133</v>
      </c>
      <c r="S38" s="313">
        <f>'P&amp;L - Concept B1 - Carnival'!L33</f>
        <v>1749.6899434777133</v>
      </c>
      <c r="T38" s="313">
        <f>'P&amp;L - Concept B1 - Carnival'!M33</f>
        <v>1749.6899434777133</v>
      </c>
      <c r="U38" s="313">
        <f>'P&amp;L - Concept B1 - Carnival'!N33</f>
        <v>1749.6899434777133</v>
      </c>
      <c r="V38" s="313">
        <f>'P&amp;L - Concept B1 - Carnival'!O33</f>
        <v>1749.6899434777133</v>
      </c>
      <c r="W38" s="313">
        <f>'P&amp;L - Concept B1 - Carnival'!P33</f>
        <v>1749.6899434777133</v>
      </c>
      <c r="X38" s="313">
        <f>'P&amp;L - Concept B1 - Carnival'!Q33</f>
        <v>1749.6899434777133</v>
      </c>
      <c r="Y38" s="313">
        <f>'P&amp;L - Concept B1 - Carnival'!R33</f>
        <v>1749.6899434777133</v>
      </c>
      <c r="Z38" s="313">
        <f>'P&amp;L - Concept B1 - Carnival'!S33</f>
        <v>1749.6899434777133</v>
      </c>
      <c r="AA38" s="313">
        <f>'P&amp;L - Concept B1 - Carnival'!T33</f>
        <v>1749.6899434777133</v>
      </c>
      <c r="AB38" s="313">
        <f>'P&amp;L - Concept B1 - Carnival'!U33</f>
        <v>1749.6899434777133</v>
      </c>
      <c r="AC38" s="313">
        <f>'P&amp;L - Concept B1 - Carnival'!V33</f>
        <v>1749.6899434777133</v>
      </c>
      <c r="AD38" s="313">
        <f>'P&amp;L - Concept B1 - Carnival'!W33</f>
        <v>1749.6899434777133</v>
      </c>
      <c r="AE38" s="313">
        <f>'P&amp;L - Concept B1 - Carnival'!X33</f>
        <v>1749.6899434777133</v>
      </c>
    </row>
    <row r="39" spans="1:33" s="96" customFormat="1">
      <c r="A39" s="54" t="s">
        <v>207</v>
      </c>
      <c r="B39" s="487"/>
      <c r="C39" s="487"/>
      <c r="K39" s="486">
        <f>'P&amp;L - Concept B1 - Carnival'!D34</f>
        <v>0</v>
      </c>
      <c r="L39" s="313">
        <f>'P&amp;L - Concept B1 - Carnival'!E34</f>
        <v>0</v>
      </c>
      <c r="M39" s="313">
        <f>'P&amp;L - Concept B1 - Carnival'!F34</f>
        <v>5500</v>
      </c>
      <c r="N39" s="313">
        <f>'P&amp;L - Concept B1 - Carnival'!G34</f>
        <v>5500</v>
      </c>
      <c r="O39" s="313">
        <f>'P&amp;L - Concept B1 - Carnival'!H34</f>
        <v>5500</v>
      </c>
      <c r="P39" s="313">
        <f>'P&amp;L - Concept B1 - Carnival'!I34</f>
        <v>5500</v>
      </c>
      <c r="Q39" s="313">
        <f>'P&amp;L - Concept B1 - Carnival'!J34</f>
        <v>5500</v>
      </c>
      <c r="R39" s="313">
        <f>'P&amp;L - Concept B1 - Carnival'!K34</f>
        <v>5500</v>
      </c>
      <c r="S39" s="313">
        <f>'P&amp;L - Concept B1 - Carnival'!L34</f>
        <v>5500</v>
      </c>
      <c r="T39" s="313">
        <f>'P&amp;L - Concept B1 - Carnival'!M34</f>
        <v>5500</v>
      </c>
      <c r="U39" s="313">
        <f>'P&amp;L - Concept B1 - Carnival'!N34</f>
        <v>5500</v>
      </c>
      <c r="V39" s="313">
        <f>'P&amp;L - Concept B1 - Carnival'!O34</f>
        <v>5500</v>
      </c>
      <c r="W39" s="313">
        <f>'P&amp;L - Concept B1 - Carnival'!P34</f>
        <v>5500</v>
      </c>
      <c r="X39" s="313">
        <f>'P&amp;L - Concept B1 - Carnival'!Q34</f>
        <v>5500</v>
      </c>
      <c r="Y39" s="313">
        <f>'P&amp;L - Concept B1 - Carnival'!R34</f>
        <v>5500</v>
      </c>
      <c r="Z39" s="313">
        <f>'P&amp;L - Concept B1 - Carnival'!S34</f>
        <v>5500</v>
      </c>
      <c r="AA39" s="313">
        <f>'P&amp;L - Concept B1 - Carnival'!T34</f>
        <v>5500</v>
      </c>
      <c r="AB39" s="313">
        <f>'P&amp;L - Concept B1 - Carnival'!U34</f>
        <v>5500</v>
      </c>
      <c r="AC39" s="313">
        <f>'P&amp;L - Concept B1 - Carnival'!V34</f>
        <v>5500</v>
      </c>
      <c r="AD39" s="313">
        <f>'P&amp;L - Concept B1 - Carnival'!W34</f>
        <v>5500</v>
      </c>
      <c r="AE39" s="313">
        <f>'P&amp;L - Concept B1 - Carnival'!X34</f>
        <v>5500</v>
      </c>
    </row>
    <row r="40" spans="1:33" s="341" customFormat="1">
      <c r="A40" s="552" t="s">
        <v>221</v>
      </c>
      <c r="B40" s="553"/>
      <c r="C40" s="553"/>
      <c r="K40" s="554">
        <f>'P&amp;L - Concept B1 - Carnival'!D35</f>
        <v>0</v>
      </c>
      <c r="L40" s="560">
        <f>'P&amp;L - Concept B1 - Carnival'!E35</f>
        <v>400</v>
      </c>
      <c r="M40" s="560">
        <f>'P&amp;L - Concept B1 - Carnival'!F35</f>
        <v>466.66666666666669</v>
      </c>
      <c r="N40" s="560">
        <f>'P&amp;L - Concept B1 - Carnival'!G35</f>
        <v>533.33333333333337</v>
      </c>
      <c r="O40" s="560">
        <f>'P&amp;L - Concept B1 - Carnival'!H35</f>
        <v>533.33333333333337</v>
      </c>
      <c r="P40" s="560">
        <f>'P&amp;L - Concept B1 - Carnival'!I35</f>
        <v>533.33333333333337</v>
      </c>
      <c r="Q40" s="560">
        <f>'P&amp;L - Concept B1 - Carnival'!J35</f>
        <v>533.33333333333337</v>
      </c>
      <c r="R40" s="560">
        <f>'P&amp;L - Concept B1 - Carnival'!K35</f>
        <v>533.33333333333337</v>
      </c>
      <c r="S40" s="560">
        <f>'P&amp;L - Concept B1 - Carnival'!L35</f>
        <v>533.33333333333337</v>
      </c>
      <c r="T40" s="560">
        <f>'P&amp;L - Concept B1 - Carnival'!M35</f>
        <v>533.33333333333337</v>
      </c>
      <c r="U40" s="560">
        <f>'P&amp;L - Concept B1 - Carnival'!N35</f>
        <v>533.33333333333337</v>
      </c>
      <c r="V40" s="560">
        <f>'P&amp;L - Concept B1 - Carnival'!O35</f>
        <v>533.33333333333337</v>
      </c>
      <c r="W40" s="560">
        <f>'P&amp;L - Concept B1 - Carnival'!P35</f>
        <v>533.33333333333337</v>
      </c>
      <c r="X40" s="560">
        <f>'P&amp;L - Concept B1 - Carnival'!Q35</f>
        <v>533.33333333333337</v>
      </c>
      <c r="Y40" s="560">
        <f>'P&amp;L - Concept B1 - Carnival'!R35</f>
        <v>533.33333333333337</v>
      </c>
      <c r="Z40" s="560">
        <f>'P&amp;L - Concept B1 - Carnival'!S35</f>
        <v>533.33333333333337</v>
      </c>
      <c r="AA40" s="560">
        <f>'P&amp;L - Concept B1 - Carnival'!T35</f>
        <v>533.33333333333337</v>
      </c>
      <c r="AB40" s="560">
        <f>'P&amp;L - Concept B1 - Carnival'!U35</f>
        <v>533.33333333333337</v>
      </c>
      <c r="AC40" s="560">
        <f>'P&amp;L - Concept B1 - Carnival'!V35</f>
        <v>533.33333333333337</v>
      </c>
      <c r="AD40" s="560">
        <f>'P&amp;L - Concept B1 - Carnival'!W35</f>
        <v>533.33333333333337</v>
      </c>
      <c r="AE40" s="560">
        <f>'P&amp;L - Concept B1 - Carnival'!X35</f>
        <v>533.33333333333337</v>
      </c>
    </row>
    <row r="41" spans="1:33" s="341" customFormat="1">
      <c r="A41" s="552" t="s">
        <v>222</v>
      </c>
      <c r="B41" s="553"/>
      <c r="C41" s="553"/>
      <c r="K41" s="554">
        <f>'P&amp;L - Concept B1 - Carnival'!D36</f>
        <v>0</v>
      </c>
      <c r="L41" s="560">
        <f>'P&amp;L - Concept B1 - Carnival'!E36</f>
        <v>800</v>
      </c>
      <c r="M41" s="560">
        <f>'P&amp;L - Concept B1 - Carnival'!F36</f>
        <v>800</v>
      </c>
      <c r="N41" s="560">
        <f>'P&amp;L - Concept B1 - Carnival'!G36</f>
        <v>800</v>
      </c>
      <c r="O41" s="560">
        <f>'P&amp;L - Concept B1 - Carnival'!H36</f>
        <v>800</v>
      </c>
      <c r="P41" s="560">
        <f>'P&amp;L - Concept B1 - Carnival'!I36</f>
        <v>800</v>
      </c>
      <c r="Q41" s="560">
        <f>'P&amp;L - Concept B1 - Carnival'!J36</f>
        <v>800</v>
      </c>
      <c r="R41" s="560">
        <f>'P&amp;L - Concept B1 - Carnival'!K36</f>
        <v>800</v>
      </c>
      <c r="S41" s="560">
        <f>'P&amp;L - Concept B1 - Carnival'!L36</f>
        <v>800</v>
      </c>
      <c r="T41" s="560">
        <f>'P&amp;L - Concept B1 - Carnival'!M36</f>
        <v>800</v>
      </c>
      <c r="U41" s="560">
        <f>'P&amp;L - Concept B1 - Carnival'!N36</f>
        <v>800</v>
      </c>
      <c r="V41" s="560">
        <f>'P&amp;L - Concept B1 - Carnival'!O36</f>
        <v>800</v>
      </c>
      <c r="W41" s="560">
        <f>'P&amp;L - Concept B1 - Carnival'!P36</f>
        <v>800</v>
      </c>
      <c r="X41" s="560">
        <f>'P&amp;L - Concept B1 - Carnival'!Q36</f>
        <v>800</v>
      </c>
      <c r="Y41" s="560">
        <f>'P&amp;L - Concept B1 - Carnival'!R36</f>
        <v>800</v>
      </c>
      <c r="Z41" s="560">
        <f>'P&amp;L - Concept B1 - Carnival'!S36</f>
        <v>800</v>
      </c>
      <c r="AA41" s="560">
        <f>'P&amp;L - Concept B1 - Carnival'!T36</f>
        <v>800</v>
      </c>
      <c r="AB41" s="560">
        <f>'P&amp;L - Concept B1 - Carnival'!U36</f>
        <v>800</v>
      </c>
      <c r="AC41" s="560">
        <f>'P&amp;L - Concept B1 - Carnival'!V36</f>
        <v>800</v>
      </c>
      <c r="AD41" s="560">
        <f>'P&amp;L - Concept B1 - Carnival'!W36</f>
        <v>800</v>
      </c>
      <c r="AE41" s="560">
        <f>'P&amp;L - Concept B1 - Carnival'!X36</f>
        <v>800</v>
      </c>
    </row>
    <row r="42" spans="1:33" s="341" customFormat="1">
      <c r="A42" s="552" t="s">
        <v>208</v>
      </c>
      <c r="B42" s="553"/>
      <c r="C42" s="553"/>
      <c r="K42" s="554">
        <f>'P&amp;L - Concept B1 - Carnival'!D37</f>
        <v>0</v>
      </c>
      <c r="L42" s="560">
        <f>'P&amp;L - Concept B1 - Carnival'!E37</f>
        <v>800</v>
      </c>
      <c r="M42" s="560">
        <f>'P&amp;L - Concept B1 - Carnival'!F37</f>
        <v>6300</v>
      </c>
      <c r="N42" s="560">
        <f>'P&amp;L - Concept B1 - Carnival'!G37</f>
        <v>6300</v>
      </c>
      <c r="O42" s="560">
        <f>'P&amp;L - Concept B1 - Carnival'!H37</f>
        <v>6300</v>
      </c>
      <c r="P42" s="560">
        <f>'P&amp;L - Concept B1 - Carnival'!I37</f>
        <v>6300</v>
      </c>
      <c r="Q42" s="560">
        <f>'P&amp;L - Concept B1 - Carnival'!J37</f>
        <v>6300</v>
      </c>
      <c r="R42" s="560">
        <f>'P&amp;L - Concept B1 - Carnival'!K37</f>
        <v>6300</v>
      </c>
      <c r="S42" s="560">
        <f>'P&amp;L - Concept B1 - Carnival'!L37</f>
        <v>6300</v>
      </c>
      <c r="T42" s="560">
        <f>'P&amp;L - Concept B1 - Carnival'!M37</f>
        <v>6300</v>
      </c>
      <c r="U42" s="560">
        <f>'P&amp;L - Concept B1 - Carnival'!N37</f>
        <v>6300</v>
      </c>
      <c r="V42" s="560">
        <f>'P&amp;L - Concept B1 - Carnival'!O37</f>
        <v>6300</v>
      </c>
      <c r="W42" s="560">
        <f>'P&amp;L - Concept B1 - Carnival'!P37</f>
        <v>6300</v>
      </c>
      <c r="X42" s="560">
        <f>'P&amp;L - Concept B1 - Carnival'!Q37</f>
        <v>6300</v>
      </c>
      <c r="Y42" s="560">
        <f>'P&amp;L - Concept B1 - Carnival'!R37</f>
        <v>6300</v>
      </c>
      <c r="Z42" s="560">
        <f>'P&amp;L - Concept B1 - Carnival'!S37</f>
        <v>6300</v>
      </c>
      <c r="AA42" s="560">
        <f>'P&amp;L - Concept B1 - Carnival'!T37</f>
        <v>6300</v>
      </c>
      <c r="AB42" s="560">
        <f>'P&amp;L - Concept B1 - Carnival'!U37</f>
        <v>6300</v>
      </c>
      <c r="AC42" s="560">
        <f>'P&amp;L - Concept B1 - Carnival'!V37</f>
        <v>6300</v>
      </c>
      <c r="AD42" s="560">
        <f>'P&amp;L - Concept B1 - Carnival'!W37</f>
        <v>6300</v>
      </c>
      <c r="AE42" s="560">
        <f>'P&amp;L - Concept B1 - Carnival'!X37</f>
        <v>6300</v>
      </c>
    </row>
    <row r="43" spans="1:33" s="18" customFormat="1">
      <c r="A43" s="54"/>
      <c r="B43" s="21"/>
      <c r="C43" s="21"/>
      <c r="K43" s="486"/>
      <c r="L43" s="330"/>
      <c r="M43" s="330"/>
      <c r="N43" s="330"/>
      <c r="O43" s="330"/>
      <c r="P43" s="330"/>
      <c r="Q43" s="330"/>
      <c r="R43" s="330"/>
      <c r="S43" s="330"/>
      <c r="T43" s="330"/>
      <c r="U43" s="330"/>
      <c r="V43" s="330"/>
      <c r="W43" s="330"/>
      <c r="X43" s="330"/>
      <c r="Y43" s="330"/>
      <c r="Z43" s="330"/>
      <c r="AA43" s="330"/>
      <c r="AB43" s="330"/>
      <c r="AC43" s="330"/>
      <c r="AD43" s="330"/>
      <c r="AE43" s="330"/>
    </row>
    <row r="44" spans="1:33" s="341" customFormat="1">
      <c r="A44" s="552" t="s">
        <v>223</v>
      </c>
      <c r="B44" s="557"/>
      <c r="C44" s="557"/>
      <c r="K44" s="554">
        <f>'P&amp;L - Concept B1 - Carnival'!D39</f>
        <v>0</v>
      </c>
      <c r="L44" s="555">
        <f>'P&amp;L - Concept B1 - Carnival'!E39</f>
        <v>160.26666666666668</v>
      </c>
      <c r="M44" s="555">
        <f>'P&amp;L - Concept B1 - Carnival'!F39</f>
        <v>187</v>
      </c>
      <c r="N44" s="555">
        <f>'P&amp;L - Concept B1 - Carnival'!G39</f>
        <v>213.73333333333332</v>
      </c>
      <c r="O44" s="555">
        <f>'P&amp;L - Concept B1 - Carnival'!H39</f>
        <v>213.73333333333332</v>
      </c>
      <c r="P44" s="555">
        <f>'P&amp;L - Concept B1 - Carnival'!I39</f>
        <v>213.73333333333332</v>
      </c>
      <c r="Q44" s="555">
        <f>'P&amp;L - Concept B1 - Carnival'!J39</f>
        <v>213.73333333333332</v>
      </c>
      <c r="R44" s="555">
        <f>'P&amp;L - Concept B1 - Carnival'!K39</f>
        <v>213.73333333333332</v>
      </c>
      <c r="S44" s="555">
        <f>'P&amp;L - Concept B1 - Carnival'!L39</f>
        <v>213.73333333333332</v>
      </c>
      <c r="T44" s="555">
        <f>'P&amp;L - Concept B1 - Carnival'!M39</f>
        <v>213.73333333333332</v>
      </c>
      <c r="U44" s="555">
        <f>'P&amp;L - Concept B1 - Carnival'!N39</f>
        <v>213.73333333333332</v>
      </c>
      <c r="V44" s="555">
        <f>'P&amp;L - Concept B1 - Carnival'!O39</f>
        <v>213.73333333333332</v>
      </c>
      <c r="W44" s="555">
        <f>'P&amp;L - Concept B1 - Carnival'!P39</f>
        <v>213.73333333333332</v>
      </c>
      <c r="X44" s="555">
        <f>'P&amp;L - Concept B1 - Carnival'!Q39</f>
        <v>213.73333333333332</v>
      </c>
      <c r="Y44" s="555">
        <f>'P&amp;L - Concept B1 - Carnival'!R39</f>
        <v>213.73333333333332</v>
      </c>
      <c r="Z44" s="555">
        <f>'P&amp;L - Concept B1 - Carnival'!S39</f>
        <v>213.73333333333332</v>
      </c>
      <c r="AA44" s="555">
        <f>'P&amp;L - Concept B1 - Carnival'!T39</f>
        <v>213.73333333333332</v>
      </c>
      <c r="AB44" s="555">
        <f>'P&amp;L - Concept B1 - Carnival'!U39</f>
        <v>213.73333333333332</v>
      </c>
      <c r="AC44" s="555">
        <f>'P&amp;L - Concept B1 - Carnival'!V39</f>
        <v>213.73333333333332</v>
      </c>
      <c r="AD44" s="555">
        <f>'P&amp;L - Concept B1 - Carnival'!W39</f>
        <v>213.73333333333332</v>
      </c>
      <c r="AE44" s="555">
        <f>'P&amp;L - Concept B1 - Carnival'!X39</f>
        <v>213.73333333333332</v>
      </c>
    </row>
    <row r="45" spans="1:33" s="18" customFormat="1">
      <c r="A45" s="54"/>
      <c r="B45" s="74"/>
      <c r="C45" s="74"/>
      <c r="K45" s="492"/>
      <c r="L45" s="308"/>
      <c r="M45" s="308"/>
      <c r="N45" s="308"/>
      <c r="O45" s="308"/>
      <c r="P45" s="308"/>
      <c r="Q45" s="308"/>
      <c r="R45" s="308"/>
      <c r="S45" s="308"/>
      <c r="T45" s="308"/>
      <c r="U45" s="308"/>
      <c r="V45" s="308"/>
      <c r="W45" s="308"/>
      <c r="X45" s="308"/>
      <c r="Y45" s="308"/>
      <c r="Z45" s="308"/>
      <c r="AA45" s="308"/>
      <c r="AB45" s="308"/>
      <c r="AC45" s="308"/>
      <c r="AD45" s="308"/>
      <c r="AE45" s="308"/>
    </row>
    <row r="46" spans="1:33" s="18" customFormat="1">
      <c r="A46" s="293" t="s">
        <v>26</v>
      </c>
      <c r="B46" s="74"/>
      <c r="C46" s="74"/>
      <c r="K46" s="492"/>
      <c r="L46" s="308"/>
      <c r="M46" s="308"/>
      <c r="N46" s="308"/>
      <c r="O46" s="308"/>
      <c r="P46" s="308"/>
      <c r="Q46" s="308"/>
      <c r="R46" s="308"/>
      <c r="S46" s="308"/>
      <c r="T46" s="308"/>
      <c r="U46" s="308"/>
      <c r="V46" s="308"/>
      <c r="W46" s="308"/>
      <c r="X46" s="308"/>
      <c r="Y46" s="308"/>
      <c r="Z46" s="308"/>
      <c r="AA46" s="308"/>
      <c r="AB46" s="308"/>
      <c r="AC46" s="308"/>
      <c r="AD46" s="308"/>
      <c r="AE46" s="308"/>
    </row>
    <row r="47" spans="1:33" s="18" customFormat="1">
      <c r="A47" s="54" t="s">
        <v>264</v>
      </c>
      <c r="B47" s="277"/>
      <c r="C47" s="74"/>
      <c r="K47" s="486">
        <f>'P&amp;L - Concept B1 - Carnival'!D42</f>
        <v>0</v>
      </c>
      <c r="L47" s="313">
        <f>'P&amp;L - Concept B1 - Carnival'!E42</f>
        <v>1201.4583333333335</v>
      </c>
      <c r="M47" s="313">
        <f>'P&amp;L - Concept B1 - Carnival'!F42</f>
        <v>2402.916666666667</v>
      </c>
      <c r="N47" s="313">
        <f>'P&amp;L - Concept B1 - Carnival'!G42</f>
        <v>2402.916666666667</v>
      </c>
      <c r="O47" s="313">
        <f>'P&amp;L - Concept B1 - Carnival'!H42</f>
        <v>2402.916666666667</v>
      </c>
      <c r="P47" s="313">
        <f>'P&amp;L - Concept B1 - Carnival'!I42</f>
        <v>2402.916666666667</v>
      </c>
      <c r="Q47" s="313">
        <f>'P&amp;L - Concept B1 - Carnival'!J42</f>
        <v>2402.916666666667</v>
      </c>
      <c r="R47" s="313">
        <f>'P&amp;L - Concept B1 - Carnival'!K42</f>
        <v>2402.916666666667</v>
      </c>
      <c r="S47" s="313">
        <f>'P&amp;L - Concept B1 - Carnival'!L42</f>
        <v>2402.916666666667</v>
      </c>
      <c r="T47" s="313">
        <f>'P&amp;L - Concept B1 - Carnival'!M42</f>
        <v>2402.916666666667</v>
      </c>
      <c r="U47" s="313">
        <f>'P&amp;L - Concept B1 - Carnival'!N42</f>
        <v>2402.916666666667</v>
      </c>
      <c r="V47" s="313">
        <f>'P&amp;L - Concept B1 - Carnival'!O42</f>
        <v>2402.916666666667</v>
      </c>
      <c r="W47" s="313">
        <f>'P&amp;L - Concept B1 - Carnival'!P42</f>
        <v>2402.916666666667</v>
      </c>
      <c r="X47" s="313">
        <f>'P&amp;L - Concept B1 - Carnival'!Q42</f>
        <v>2402.916666666667</v>
      </c>
      <c r="Y47" s="313">
        <f>'P&amp;L - Concept B1 - Carnival'!R42</f>
        <v>2402.916666666667</v>
      </c>
      <c r="Z47" s="313">
        <f>'P&amp;L - Concept B1 - Carnival'!S42</f>
        <v>2402.916666666667</v>
      </c>
      <c r="AA47" s="313">
        <f>'P&amp;L - Concept B1 - Carnival'!T42</f>
        <v>2402.916666666667</v>
      </c>
      <c r="AB47" s="313">
        <f>'P&amp;L - Concept B1 - Carnival'!U42</f>
        <v>2402.916666666667</v>
      </c>
      <c r="AC47" s="313">
        <f>'P&amp;L - Concept B1 - Carnival'!V42</f>
        <v>2402.916666666667</v>
      </c>
      <c r="AD47" s="313">
        <f>'P&amp;L - Concept B1 - Carnival'!W42</f>
        <v>2402.916666666667</v>
      </c>
      <c r="AE47" s="313">
        <f>'P&amp;L - Concept B1 - Carnival'!X42</f>
        <v>2402.916666666667</v>
      </c>
    </row>
    <row r="48" spans="1:33" s="18" customFormat="1">
      <c r="A48" s="54" t="s">
        <v>267</v>
      </c>
      <c r="B48" s="277"/>
      <c r="C48" s="74"/>
      <c r="K48" s="486">
        <f>'P&amp;L - Concept B1 - Carnival'!D43</f>
        <v>0</v>
      </c>
      <c r="L48" s="313">
        <f>'P&amp;L - Concept B1 - Carnival'!E43</f>
        <v>14265.416666666664</v>
      </c>
      <c r="M48" s="313">
        <f>'P&amp;L - Concept B1 - Carnival'!F43</f>
        <v>28530.833333333328</v>
      </c>
      <c r="N48" s="313">
        <f>'P&amp;L - Concept B1 - Carnival'!G43</f>
        <v>28530.833333333328</v>
      </c>
      <c r="O48" s="313">
        <f>'P&amp;L - Concept B1 - Carnival'!H43</f>
        <v>28530.833333333328</v>
      </c>
      <c r="P48" s="313">
        <f>'P&amp;L - Concept B1 - Carnival'!I43</f>
        <v>28530.833333333328</v>
      </c>
      <c r="Q48" s="313">
        <f>'P&amp;L - Concept B1 - Carnival'!J43</f>
        <v>28530.833333333328</v>
      </c>
      <c r="R48" s="313">
        <f>'P&amp;L - Concept B1 - Carnival'!K43</f>
        <v>28530.833333333328</v>
      </c>
      <c r="S48" s="313">
        <f>'P&amp;L - Concept B1 - Carnival'!L43</f>
        <v>28530.833333333328</v>
      </c>
      <c r="T48" s="313">
        <f>'P&amp;L - Concept B1 - Carnival'!M43</f>
        <v>28530.833333333328</v>
      </c>
      <c r="U48" s="313">
        <f>'P&amp;L - Concept B1 - Carnival'!N43</f>
        <v>28530.833333333328</v>
      </c>
      <c r="V48" s="313">
        <f>'P&amp;L - Concept B1 - Carnival'!O43</f>
        <v>28530.833333333328</v>
      </c>
      <c r="W48" s="313">
        <f>'P&amp;L - Concept B1 - Carnival'!P43</f>
        <v>28530.833333333328</v>
      </c>
      <c r="X48" s="313">
        <f>'P&amp;L - Concept B1 - Carnival'!Q43</f>
        <v>28530.833333333328</v>
      </c>
      <c r="Y48" s="313">
        <f>'P&amp;L - Concept B1 - Carnival'!R43</f>
        <v>28530.833333333328</v>
      </c>
      <c r="Z48" s="313">
        <f>'P&amp;L - Concept B1 - Carnival'!S43</f>
        <v>28530.833333333328</v>
      </c>
      <c r="AA48" s="313">
        <f>'P&amp;L - Concept B1 - Carnival'!T43</f>
        <v>28530.833333333328</v>
      </c>
      <c r="AB48" s="313">
        <f>'P&amp;L - Concept B1 - Carnival'!U43</f>
        <v>28530.833333333328</v>
      </c>
      <c r="AC48" s="313">
        <f>'P&amp;L - Concept B1 - Carnival'!V43</f>
        <v>28530.833333333328</v>
      </c>
      <c r="AD48" s="313">
        <f>'P&amp;L - Concept B1 - Carnival'!W43</f>
        <v>28530.833333333328</v>
      </c>
      <c r="AE48" s="313">
        <f>'P&amp;L - Concept B1 - Carnival'!X43</f>
        <v>28530.833333333328</v>
      </c>
    </row>
    <row r="49" spans="1:32 16384:16384" s="96" customFormat="1">
      <c r="A49" s="54" t="s">
        <v>274</v>
      </c>
      <c r="B49" s="435"/>
      <c r="C49" s="583"/>
      <c r="K49" s="486">
        <f>'P&amp;L - Concept B1 - Carnival'!D44</f>
        <v>0</v>
      </c>
      <c r="L49" s="313">
        <f>'P&amp;L - Concept B1 - Carnival'!E44</f>
        <v>15466.874999999998</v>
      </c>
      <c r="M49" s="313">
        <f>'P&amp;L - Concept B1 - Carnival'!F44</f>
        <v>30933.749999999996</v>
      </c>
      <c r="N49" s="313">
        <f>'P&amp;L - Concept B1 - Carnival'!G44</f>
        <v>30933.749999999996</v>
      </c>
      <c r="O49" s="313">
        <f>'P&amp;L - Concept B1 - Carnival'!H44</f>
        <v>30933.749999999996</v>
      </c>
      <c r="P49" s="313">
        <f>'P&amp;L - Concept B1 - Carnival'!I44</f>
        <v>30933.749999999996</v>
      </c>
      <c r="Q49" s="313">
        <f>'P&amp;L - Concept B1 - Carnival'!J44</f>
        <v>30933.749999999996</v>
      </c>
      <c r="R49" s="313">
        <f>'P&amp;L - Concept B1 - Carnival'!K44</f>
        <v>30933.749999999996</v>
      </c>
      <c r="S49" s="313">
        <f>'P&amp;L - Concept B1 - Carnival'!L44</f>
        <v>30933.749999999996</v>
      </c>
      <c r="T49" s="313">
        <f>'P&amp;L - Concept B1 - Carnival'!M44</f>
        <v>30933.749999999996</v>
      </c>
      <c r="U49" s="313">
        <f>'P&amp;L - Concept B1 - Carnival'!N44</f>
        <v>30933.749999999996</v>
      </c>
      <c r="V49" s="313">
        <f>'P&amp;L - Concept B1 - Carnival'!O44</f>
        <v>30933.749999999996</v>
      </c>
      <c r="W49" s="313">
        <f>'P&amp;L - Concept B1 - Carnival'!P44</f>
        <v>30933.749999999996</v>
      </c>
      <c r="X49" s="313">
        <f>'P&amp;L - Concept B1 - Carnival'!Q44</f>
        <v>30933.749999999996</v>
      </c>
      <c r="Y49" s="313">
        <f>'P&amp;L - Concept B1 - Carnival'!R44</f>
        <v>30933.749999999996</v>
      </c>
      <c r="Z49" s="313">
        <f>'P&amp;L - Concept B1 - Carnival'!S44</f>
        <v>30933.749999999996</v>
      </c>
      <c r="AA49" s="313">
        <f>'P&amp;L - Concept B1 - Carnival'!T44</f>
        <v>30933.749999999996</v>
      </c>
      <c r="AB49" s="313">
        <f>'P&amp;L - Concept B1 - Carnival'!U44</f>
        <v>30933.749999999996</v>
      </c>
      <c r="AC49" s="313">
        <f>'P&amp;L - Concept B1 - Carnival'!V44</f>
        <v>30933.749999999996</v>
      </c>
      <c r="AD49" s="313">
        <f>'P&amp;L - Concept B1 - Carnival'!W44</f>
        <v>30933.749999999996</v>
      </c>
      <c r="AE49" s="313">
        <f>'P&amp;L - Concept B1 - Carnival'!X44</f>
        <v>30933.749999999996</v>
      </c>
    </row>
    <row r="50" spans="1:32 16384:16384" s="18" customFormat="1">
      <c r="A50" s="54"/>
      <c r="B50" s="277"/>
      <c r="C50" s="74"/>
      <c r="K50" s="499"/>
      <c r="L50" s="308"/>
      <c r="M50" s="308"/>
      <c r="N50" s="308"/>
      <c r="O50" s="308"/>
      <c r="P50" s="308"/>
      <c r="Q50" s="308"/>
      <c r="R50" s="308"/>
      <c r="S50" s="308"/>
      <c r="T50" s="308"/>
      <c r="U50" s="308"/>
      <c r="V50" s="308"/>
      <c r="W50" s="308"/>
      <c r="X50" s="308"/>
      <c r="Y50" s="308"/>
      <c r="Z50" s="308"/>
      <c r="AA50" s="308"/>
      <c r="AB50" s="308"/>
      <c r="AC50" s="308"/>
      <c r="AD50" s="308"/>
      <c r="AE50" s="308"/>
    </row>
    <row r="51" spans="1:32 16384:16384" s="341" customFormat="1">
      <c r="A51" s="552" t="s">
        <v>224</v>
      </c>
      <c r="B51" s="556"/>
      <c r="C51" s="557"/>
      <c r="K51" s="554">
        <f>'P&amp;L - Concept B1 - Carnival'!D46</f>
        <v>0</v>
      </c>
      <c r="L51" s="558">
        <f>'P&amp;L - Concept B1 - Carnival'!E46</f>
        <v>3</v>
      </c>
      <c r="M51" s="558">
        <f>'P&amp;L - Concept B1 - Carnival'!F46</f>
        <v>3</v>
      </c>
      <c r="N51" s="558">
        <f>'P&amp;L - Concept B1 - Carnival'!G46</f>
        <v>3</v>
      </c>
      <c r="O51" s="558">
        <f>'P&amp;L - Concept B1 - Carnival'!H46</f>
        <v>3</v>
      </c>
      <c r="P51" s="558">
        <f>'P&amp;L - Concept B1 - Carnival'!I46</f>
        <v>3</v>
      </c>
      <c r="Q51" s="558">
        <f>'P&amp;L - Concept B1 - Carnival'!J46</f>
        <v>3</v>
      </c>
      <c r="R51" s="558">
        <f>'P&amp;L - Concept B1 - Carnival'!K46</f>
        <v>3</v>
      </c>
      <c r="S51" s="558">
        <f>'P&amp;L - Concept B1 - Carnival'!L46</f>
        <v>3</v>
      </c>
      <c r="T51" s="558">
        <f>'P&amp;L - Concept B1 - Carnival'!M46</f>
        <v>3</v>
      </c>
      <c r="U51" s="558">
        <f>'P&amp;L - Concept B1 - Carnival'!N46</f>
        <v>3</v>
      </c>
      <c r="V51" s="558">
        <f>'P&amp;L - Concept B1 - Carnival'!O46</f>
        <v>3</v>
      </c>
      <c r="W51" s="558">
        <f>'P&amp;L - Concept B1 - Carnival'!P46</f>
        <v>3</v>
      </c>
      <c r="X51" s="558">
        <f>'P&amp;L - Concept B1 - Carnival'!Q46</f>
        <v>3</v>
      </c>
      <c r="Y51" s="558">
        <f>'P&amp;L - Concept B1 - Carnival'!R46</f>
        <v>3</v>
      </c>
      <c r="Z51" s="558">
        <f>'P&amp;L - Concept B1 - Carnival'!S46</f>
        <v>3</v>
      </c>
      <c r="AA51" s="558">
        <f>'P&amp;L - Concept B1 - Carnival'!T46</f>
        <v>3</v>
      </c>
      <c r="AB51" s="558">
        <f>'P&amp;L - Concept B1 - Carnival'!U46</f>
        <v>3</v>
      </c>
      <c r="AC51" s="558">
        <f>'P&amp;L - Concept B1 - Carnival'!V46</f>
        <v>3</v>
      </c>
      <c r="AD51" s="558">
        <f>'P&amp;L - Concept B1 - Carnival'!W46</f>
        <v>3</v>
      </c>
      <c r="AE51" s="558">
        <f>'P&amp;L - Concept B1 - Carnival'!X46</f>
        <v>3</v>
      </c>
    </row>
    <row r="52" spans="1:32 16384:16384" s="96" customFormat="1">
      <c r="A52" s="54" t="s">
        <v>225</v>
      </c>
      <c r="B52" s="435"/>
      <c r="C52" s="583"/>
      <c r="K52" s="486">
        <f>'P&amp;L - Concept B1 - Carnival'!D47</f>
        <v>0</v>
      </c>
      <c r="L52" s="496">
        <f>'P&amp;L - Concept B1 - Carnival'!E47</f>
        <v>1</v>
      </c>
      <c r="M52" s="496">
        <f>'P&amp;L - Concept B1 - Carnival'!F47</f>
        <v>1</v>
      </c>
      <c r="N52" s="496">
        <f>'P&amp;L - Concept B1 - Carnival'!G47</f>
        <v>1</v>
      </c>
      <c r="O52" s="496">
        <f>'P&amp;L - Concept B1 - Carnival'!H47</f>
        <v>1</v>
      </c>
      <c r="P52" s="496">
        <f>'P&amp;L - Concept B1 - Carnival'!I47</f>
        <v>1</v>
      </c>
      <c r="Q52" s="496">
        <f>'P&amp;L - Concept B1 - Carnival'!J47</f>
        <v>1</v>
      </c>
      <c r="R52" s="496">
        <f>'P&amp;L - Concept B1 - Carnival'!K47</f>
        <v>1</v>
      </c>
      <c r="S52" s="496">
        <f>'P&amp;L - Concept B1 - Carnival'!L47</f>
        <v>1</v>
      </c>
      <c r="T52" s="496">
        <f>'P&amp;L - Concept B1 - Carnival'!M47</f>
        <v>1</v>
      </c>
      <c r="U52" s="496">
        <f>'P&amp;L - Concept B1 - Carnival'!N47</f>
        <v>1</v>
      </c>
      <c r="V52" s="496">
        <f>'P&amp;L - Concept B1 - Carnival'!O47</f>
        <v>1</v>
      </c>
      <c r="W52" s="496">
        <f>'P&amp;L - Concept B1 - Carnival'!P47</f>
        <v>1</v>
      </c>
      <c r="X52" s="496">
        <f>'P&amp;L - Concept B1 - Carnival'!Q47</f>
        <v>1</v>
      </c>
      <c r="Y52" s="496">
        <f>'P&amp;L - Concept B1 - Carnival'!R47</f>
        <v>1</v>
      </c>
      <c r="Z52" s="496">
        <f>'P&amp;L - Concept B1 - Carnival'!S47</f>
        <v>1</v>
      </c>
      <c r="AA52" s="496">
        <f>'P&amp;L - Concept B1 - Carnival'!T47</f>
        <v>1</v>
      </c>
      <c r="AB52" s="496">
        <f>'P&amp;L - Concept B1 - Carnival'!U47</f>
        <v>1</v>
      </c>
      <c r="AC52" s="496">
        <f>'P&amp;L - Concept B1 - Carnival'!V47</f>
        <v>1</v>
      </c>
      <c r="AD52" s="496">
        <f>'P&amp;L - Concept B1 - Carnival'!W47</f>
        <v>1</v>
      </c>
      <c r="AE52" s="496">
        <f>'P&amp;L - Concept B1 - Carnival'!X47</f>
        <v>1</v>
      </c>
    </row>
    <row r="53" spans="1:32 16384:16384" s="18" customFormat="1">
      <c r="A53" s="54" t="s">
        <v>209</v>
      </c>
      <c r="B53" s="277"/>
      <c r="C53" s="74"/>
      <c r="K53" s="486">
        <f>'P&amp;L - Concept B1 - Carnival'!D48</f>
        <v>0</v>
      </c>
      <c r="L53" s="496">
        <f>'P&amp;L - Concept B1 - Carnival'!E48</f>
        <v>0.5</v>
      </c>
      <c r="M53" s="496">
        <f>'P&amp;L - Concept B1 - Carnival'!F48</f>
        <v>0.5</v>
      </c>
      <c r="N53" s="496">
        <f>'P&amp;L - Concept B1 - Carnival'!G48</f>
        <v>0.5</v>
      </c>
      <c r="O53" s="496">
        <f>'P&amp;L - Concept B1 - Carnival'!H48</f>
        <v>0.5</v>
      </c>
      <c r="P53" s="496">
        <f>'P&amp;L - Concept B1 - Carnival'!I48</f>
        <v>0.5</v>
      </c>
      <c r="Q53" s="496">
        <f>'P&amp;L - Concept B1 - Carnival'!J48</f>
        <v>0.5</v>
      </c>
      <c r="R53" s="496">
        <f>'P&amp;L - Concept B1 - Carnival'!K48</f>
        <v>0.5</v>
      </c>
      <c r="S53" s="496">
        <f>'P&amp;L - Concept B1 - Carnival'!L48</f>
        <v>0.5</v>
      </c>
      <c r="T53" s="496">
        <f>'P&amp;L - Concept B1 - Carnival'!M48</f>
        <v>0.5</v>
      </c>
      <c r="U53" s="496">
        <f>'P&amp;L - Concept B1 - Carnival'!N48</f>
        <v>0.5</v>
      </c>
      <c r="V53" s="496">
        <f>'P&amp;L - Concept B1 - Carnival'!O48</f>
        <v>0.5</v>
      </c>
      <c r="W53" s="496">
        <f>'P&amp;L - Concept B1 - Carnival'!P48</f>
        <v>0.5</v>
      </c>
      <c r="X53" s="496">
        <f>'P&amp;L - Concept B1 - Carnival'!Q48</f>
        <v>0.5</v>
      </c>
      <c r="Y53" s="496">
        <f>'P&amp;L - Concept B1 - Carnival'!R48</f>
        <v>0.5</v>
      </c>
      <c r="Z53" s="496">
        <f>'P&amp;L - Concept B1 - Carnival'!S48</f>
        <v>0.5</v>
      </c>
      <c r="AA53" s="496">
        <f>'P&amp;L - Concept B1 - Carnival'!T48</f>
        <v>0.5</v>
      </c>
      <c r="AB53" s="496">
        <f>'P&amp;L - Concept B1 - Carnival'!U48</f>
        <v>0.5</v>
      </c>
      <c r="AC53" s="496">
        <f>'P&amp;L - Concept B1 - Carnival'!V48</f>
        <v>0.5</v>
      </c>
      <c r="AD53" s="496">
        <f>'P&amp;L - Concept B1 - Carnival'!W48</f>
        <v>0.5</v>
      </c>
      <c r="AE53" s="496">
        <f>'P&amp;L - Concept B1 - Carnival'!X48</f>
        <v>0.5</v>
      </c>
    </row>
    <row r="54" spans="1:32 16384:16384" s="18" customFormat="1">
      <c r="A54" s="54" t="s">
        <v>289</v>
      </c>
      <c r="B54" s="277"/>
      <c r="C54" s="74"/>
      <c r="K54" s="486">
        <f>'P&amp;L - Concept B1 - Carnival'!D49</f>
        <v>0</v>
      </c>
      <c r="L54" s="496">
        <f>'P&amp;L - Concept B1 - Carnival'!E49</f>
        <v>0.75</v>
      </c>
      <c r="M54" s="496">
        <f>'P&amp;L - Concept B1 - Carnival'!F49</f>
        <v>0.75</v>
      </c>
      <c r="N54" s="496">
        <f>'P&amp;L - Concept B1 - Carnival'!G49</f>
        <v>0.75</v>
      </c>
      <c r="O54" s="496">
        <f>'P&amp;L - Concept B1 - Carnival'!H49</f>
        <v>0.75</v>
      </c>
      <c r="P54" s="496">
        <f>'P&amp;L - Concept B1 - Carnival'!I49</f>
        <v>0.75</v>
      </c>
      <c r="Q54" s="496">
        <f>'P&amp;L - Concept B1 - Carnival'!J49</f>
        <v>0.75</v>
      </c>
      <c r="R54" s="496">
        <f>'P&amp;L - Concept B1 - Carnival'!K49</f>
        <v>0.75</v>
      </c>
      <c r="S54" s="496">
        <f>'P&amp;L - Concept B1 - Carnival'!L49</f>
        <v>0.75</v>
      </c>
      <c r="T54" s="496">
        <f>'P&amp;L - Concept B1 - Carnival'!M49</f>
        <v>0.75</v>
      </c>
      <c r="U54" s="496">
        <f>'P&amp;L - Concept B1 - Carnival'!N49</f>
        <v>0.75</v>
      </c>
      <c r="V54" s="496">
        <f>'P&amp;L - Concept B1 - Carnival'!O49</f>
        <v>0.75</v>
      </c>
      <c r="W54" s="496">
        <f>'P&amp;L - Concept B1 - Carnival'!P49</f>
        <v>0.75</v>
      </c>
      <c r="X54" s="496">
        <f>'P&amp;L - Concept B1 - Carnival'!Q49</f>
        <v>0.75</v>
      </c>
      <c r="Y54" s="496">
        <f>'P&amp;L - Concept B1 - Carnival'!R49</f>
        <v>0.75</v>
      </c>
      <c r="Z54" s="496">
        <f>'P&amp;L - Concept B1 - Carnival'!S49</f>
        <v>0.75</v>
      </c>
      <c r="AA54" s="496">
        <f>'P&amp;L - Concept B1 - Carnival'!T49</f>
        <v>0.75</v>
      </c>
      <c r="AB54" s="496">
        <f>'P&amp;L - Concept B1 - Carnival'!U49</f>
        <v>0.75</v>
      </c>
      <c r="AC54" s="496">
        <f>'P&amp;L - Concept B1 - Carnival'!V49</f>
        <v>0.75</v>
      </c>
      <c r="AD54" s="496">
        <f>'P&amp;L - Concept B1 - Carnival'!W49</f>
        <v>0.75</v>
      </c>
      <c r="AE54" s="496">
        <f>'P&amp;L - Concept B1 - Carnival'!X49</f>
        <v>0.75</v>
      </c>
      <c r="XFD54" s="570">
        <f>SUM(K54:XFC54)</f>
        <v>15</v>
      </c>
    </row>
    <row r="55" spans="1:32 16384:16384" s="18" customFormat="1">
      <c r="A55" s="54"/>
      <c r="B55" s="277"/>
      <c r="C55" s="74"/>
      <c r="K55" s="486">
        <f>'P&amp;L - Concept B1 - Carnival'!D50</f>
        <v>0</v>
      </c>
      <c r="L55" s="496">
        <f>'P&amp;L - Concept B1 - Carnival'!E50</f>
        <v>0</v>
      </c>
      <c r="M55" s="496">
        <f>'P&amp;L - Concept B1 - Carnival'!F50</f>
        <v>0</v>
      </c>
      <c r="N55" s="496">
        <f>'P&amp;L - Concept B1 - Carnival'!G50</f>
        <v>0</v>
      </c>
      <c r="O55" s="496">
        <f>'P&amp;L - Concept B1 - Carnival'!H50</f>
        <v>0</v>
      </c>
      <c r="P55" s="496">
        <f>'P&amp;L - Concept B1 - Carnival'!I50</f>
        <v>0</v>
      </c>
      <c r="Q55" s="496">
        <f>'P&amp;L - Concept B1 - Carnival'!J50</f>
        <v>0</v>
      </c>
      <c r="R55" s="496">
        <f>'P&amp;L - Concept B1 - Carnival'!K50</f>
        <v>0</v>
      </c>
      <c r="S55" s="496">
        <f>'P&amp;L - Concept B1 - Carnival'!L50</f>
        <v>0</v>
      </c>
      <c r="T55" s="496">
        <f>'P&amp;L - Concept B1 - Carnival'!M50</f>
        <v>0</v>
      </c>
      <c r="U55" s="496">
        <f>'P&amp;L - Concept B1 - Carnival'!N50</f>
        <v>0</v>
      </c>
      <c r="V55" s="496">
        <f>'P&amp;L - Concept B1 - Carnival'!O50</f>
        <v>0</v>
      </c>
      <c r="W55" s="496">
        <f>'P&amp;L - Concept B1 - Carnival'!P50</f>
        <v>0</v>
      </c>
      <c r="X55" s="496">
        <f>'P&amp;L - Concept B1 - Carnival'!Q50</f>
        <v>0</v>
      </c>
      <c r="Y55" s="496">
        <f>'P&amp;L - Concept B1 - Carnival'!R50</f>
        <v>0</v>
      </c>
      <c r="Z55" s="496">
        <f>'P&amp;L - Concept B1 - Carnival'!S50</f>
        <v>0</v>
      </c>
      <c r="AA55" s="496">
        <f>'P&amp;L - Concept B1 - Carnival'!T50</f>
        <v>0</v>
      </c>
      <c r="AB55" s="496">
        <f>'P&amp;L - Concept B1 - Carnival'!U50</f>
        <v>0</v>
      </c>
      <c r="AC55" s="496">
        <f>'P&amp;L - Concept B1 - Carnival'!V50</f>
        <v>0</v>
      </c>
      <c r="AD55" s="496">
        <f>'P&amp;L - Concept B1 - Carnival'!W50</f>
        <v>0</v>
      </c>
      <c r="AE55" s="496">
        <f>'P&amp;L - Concept B1 - Carnival'!X50</f>
        <v>0</v>
      </c>
      <c r="XFD55" s="570"/>
    </row>
    <row r="56" spans="1:32 16384:16384" s="18" customFormat="1">
      <c r="A56" s="54" t="s">
        <v>312</v>
      </c>
      <c r="B56" s="277"/>
      <c r="C56" s="74"/>
      <c r="K56" s="486">
        <f>'P&amp;L - Concept B1 - Carnival'!D51</f>
        <v>0</v>
      </c>
      <c r="L56" s="313">
        <f>'P&amp;L - Concept B1 - Carnival'!E51</f>
        <v>3595</v>
      </c>
      <c r="M56" s="313">
        <f>'P&amp;L - Concept B1 - Carnival'!F51</f>
        <v>7190</v>
      </c>
      <c r="N56" s="313">
        <f>'P&amp;L - Concept B1 - Carnival'!G51</f>
        <v>7190</v>
      </c>
      <c r="O56" s="313">
        <f>'P&amp;L - Concept B1 - Carnival'!H51</f>
        <v>7190</v>
      </c>
      <c r="P56" s="313">
        <f>'P&amp;L - Concept B1 - Carnival'!I51</f>
        <v>7190</v>
      </c>
      <c r="Q56" s="313">
        <f>'P&amp;L - Concept B1 - Carnival'!J51</f>
        <v>7190</v>
      </c>
      <c r="R56" s="313">
        <f>'P&amp;L - Concept B1 - Carnival'!K51</f>
        <v>7190</v>
      </c>
      <c r="S56" s="313">
        <f>'P&amp;L - Concept B1 - Carnival'!L51</f>
        <v>7190</v>
      </c>
      <c r="T56" s="313">
        <f>'P&amp;L - Concept B1 - Carnival'!M51</f>
        <v>7190</v>
      </c>
      <c r="U56" s="313">
        <f>'P&amp;L - Concept B1 - Carnival'!N51</f>
        <v>7190</v>
      </c>
      <c r="V56" s="313">
        <f>'P&amp;L - Concept B1 - Carnival'!O51</f>
        <v>7190</v>
      </c>
      <c r="W56" s="313">
        <f>'P&amp;L - Concept B1 - Carnival'!P51</f>
        <v>7190</v>
      </c>
      <c r="X56" s="313">
        <f>'P&amp;L - Concept B1 - Carnival'!Q51</f>
        <v>7190</v>
      </c>
      <c r="Y56" s="313">
        <f>'P&amp;L - Concept B1 - Carnival'!R51</f>
        <v>7190</v>
      </c>
      <c r="Z56" s="313">
        <f>'P&amp;L - Concept B1 - Carnival'!S51</f>
        <v>7190</v>
      </c>
      <c r="AA56" s="313">
        <f>'P&amp;L - Concept B1 - Carnival'!T51</f>
        <v>7190</v>
      </c>
      <c r="AB56" s="313">
        <f>'P&amp;L - Concept B1 - Carnival'!U51</f>
        <v>7190</v>
      </c>
      <c r="AC56" s="313">
        <f>'P&amp;L - Concept B1 - Carnival'!V51</f>
        <v>7190</v>
      </c>
      <c r="AD56" s="313">
        <f>'P&amp;L - Concept B1 - Carnival'!W51</f>
        <v>7190</v>
      </c>
      <c r="AE56" s="313">
        <f>'P&amp;L - Concept B1 - Carnival'!X51</f>
        <v>7190</v>
      </c>
      <c r="XFD56" s="570"/>
    </row>
    <row r="57" spans="1:32 16384:16384" s="18" customFormat="1">
      <c r="A57" s="54"/>
      <c r="B57" s="277"/>
      <c r="C57" s="74"/>
      <c r="K57" s="486"/>
      <c r="L57" s="308"/>
      <c r="M57" s="308"/>
      <c r="N57" s="308"/>
      <c r="O57" s="308"/>
      <c r="P57" s="308"/>
      <c r="Q57" s="308"/>
      <c r="R57" s="308"/>
      <c r="S57" s="308"/>
      <c r="T57" s="308"/>
      <c r="U57" s="308"/>
      <c r="V57" s="308"/>
      <c r="W57" s="308"/>
      <c r="X57" s="308"/>
      <c r="Y57" s="308"/>
      <c r="Z57" s="308"/>
      <c r="AA57" s="308"/>
      <c r="AB57" s="308"/>
      <c r="AC57" s="308"/>
      <c r="AD57" s="308"/>
      <c r="AE57" s="308"/>
    </row>
    <row r="58" spans="1:32 16384:16384" s="612" customFormat="1">
      <c r="A58" s="613" t="s">
        <v>292</v>
      </c>
      <c r="B58" s="614"/>
      <c r="C58" s="615"/>
      <c r="D58" s="717"/>
      <c r="E58" s="717"/>
      <c r="F58" s="717"/>
      <c r="G58" s="717"/>
      <c r="H58" s="717"/>
      <c r="I58" s="717"/>
      <c r="J58" s="717"/>
      <c r="K58" s="616">
        <f>'P&amp;L - Concept B1 - Carnival'!D53</f>
        <v>0</v>
      </c>
      <c r="L58" s="617">
        <f>'P&amp;L - Concept B1 - Carnival'!E53</f>
        <v>0</v>
      </c>
      <c r="M58" s="617">
        <f>'P&amp;L - Concept B1 - Carnival'!F53</f>
        <v>0</v>
      </c>
      <c r="N58" s="617">
        <f>'P&amp;L - Concept B1 - Carnival'!G53</f>
        <v>100000</v>
      </c>
      <c r="O58" s="617">
        <f>'P&amp;L - Concept B1 - Carnival'!H53</f>
        <v>100000</v>
      </c>
      <c r="P58" s="617">
        <f>'P&amp;L - Concept B1 - Carnival'!I53</f>
        <v>100000</v>
      </c>
      <c r="Q58" s="617">
        <f>'P&amp;L - Concept B1 - Carnival'!J53</f>
        <v>100000</v>
      </c>
      <c r="R58" s="617">
        <f>'P&amp;L - Concept B1 - Carnival'!K53</f>
        <v>100000</v>
      </c>
      <c r="S58" s="617">
        <f>'P&amp;L - Concept B1 - Carnival'!L53</f>
        <v>100000</v>
      </c>
      <c r="T58" s="617">
        <f>'P&amp;L - Concept B1 - Carnival'!M53</f>
        <v>100000</v>
      </c>
      <c r="U58" s="617">
        <f>'P&amp;L - Concept B1 - Carnival'!N53</f>
        <v>100000</v>
      </c>
      <c r="V58" s="617">
        <f>'P&amp;L - Concept B1 - Carnival'!O53</f>
        <v>100000</v>
      </c>
      <c r="W58" s="617">
        <f>'P&amp;L - Concept B1 - Carnival'!P53</f>
        <v>100000</v>
      </c>
      <c r="X58" s="617">
        <f>'P&amp;L - Concept B1 - Carnival'!Q53</f>
        <v>100000</v>
      </c>
      <c r="Y58" s="617">
        <f>'P&amp;L - Concept B1 - Carnival'!R53</f>
        <v>100000</v>
      </c>
      <c r="Z58" s="617">
        <f>'P&amp;L - Concept B1 - Carnival'!S53</f>
        <v>100000</v>
      </c>
      <c r="AA58" s="617">
        <f>'P&amp;L - Concept B1 - Carnival'!T53</f>
        <v>100000</v>
      </c>
      <c r="AB58" s="617">
        <f>'P&amp;L - Concept B1 - Carnival'!U53</f>
        <v>100000</v>
      </c>
      <c r="AC58" s="617">
        <f>'P&amp;L - Concept B1 - Carnival'!V53</f>
        <v>100000</v>
      </c>
      <c r="AD58" s="617">
        <f>'P&amp;L - Concept B1 - Carnival'!W53</f>
        <v>100000</v>
      </c>
      <c r="AE58" s="618">
        <f>'P&amp;L - Concept B1 - Carnival'!X53</f>
        <v>100000</v>
      </c>
    </row>
    <row r="59" spans="1:32 16384:16384" s="18" customFormat="1">
      <c r="A59" s="54"/>
      <c r="B59" s="277"/>
      <c r="C59" s="74"/>
      <c r="K59" s="486">
        <f>'P&amp;L - Concept B1 - Carnival'!D54</f>
        <v>0</v>
      </c>
      <c r="L59" s="308"/>
      <c r="M59" s="308"/>
      <c r="N59" s="308"/>
      <c r="O59" s="308"/>
      <c r="P59" s="308"/>
      <c r="Q59" s="308"/>
      <c r="R59" s="308"/>
      <c r="S59" s="308"/>
      <c r="T59" s="308"/>
      <c r="U59" s="308"/>
      <c r="V59" s="308"/>
      <c r="W59" s="308"/>
      <c r="X59" s="308"/>
      <c r="Y59" s="308"/>
      <c r="Z59" s="308"/>
      <c r="AA59" s="308"/>
      <c r="AB59" s="308"/>
      <c r="AC59" s="308"/>
      <c r="AD59" s="308"/>
      <c r="AE59" s="308"/>
    </row>
    <row r="60" spans="1:32 16384:16384" s="547" customFormat="1">
      <c r="A60" s="549" t="str">
        <f>'BH Tariffs'!A33</f>
        <v>Recreational/Commercial Marina</v>
      </c>
      <c r="B60" s="714"/>
      <c r="C60" s="715"/>
      <c r="K60" s="554">
        <f>'P&amp;L - Concept B1 - Carnival'!D55</f>
        <v>0</v>
      </c>
      <c r="L60" s="716"/>
      <c r="M60" s="716"/>
      <c r="N60" s="716"/>
      <c r="O60" s="716"/>
      <c r="P60" s="716"/>
      <c r="Q60" s="716"/>
      <c r="R60" s="716"/>
      <c r="S60" s="716"/>
      <c r="T60" s="716"/>
      <c r="U60" s="716"/>
      <c r="V60" s="716"/>
      <c r="W60" s="716"/>
      <c r="X60" s="716"/>
      <c r="Y60" s="716"/>
      <c r="Z60" s="716"/>
      <c r="AA60" s="716"/>
      <c r="AB60" s="716"/>
      <c r="AC60" s="716"/>
      <c r="AD60" s="716"/>
      <c r="AE60" s="716"/>
    </row>
    <row r="61" spans="1:32 16384:16384" s="341" customFormat="1">
      <c r="A61" s="552" t="s">
        <v>291</v>
      </c>
      <c r="B61" s="556"/>
      <c r="C61" s="557"/>
      <c r="K61" s="554">
        <f>'P&amp;L - Concept B1 - Carnival'!D56</f>
        <v>0</v>
      </c>
      <c r="L61" s="555">
        <f>'P&amp;L - Concept B1 - Carnival'!E56</f>
        <v>0</v>
      </c>
      <c r="M61" s="555">
        <f>'P&amp;L - Concept B1 - Carnival'!F56</f>
        <v>0</v>
      </c>
      <c r="N61" s="555">
        <f>'P&amp;L - Concept B1 - Carnival'!G56</f>
        <v>0</v>
      </c>
      <c r="O61" s="555">
        <f>'P&amp;L - Concept B1 - Carnival'!H56</f>
        <v>0</v>
      </c>
      <c r="P61" s="555">
        <f>'P&amp;L - Concept B1 - Carnival'!I56</f>
        <v>0</v>
      </c>
      <c r="Q61" s="555">
        <f>'P&amp;L - Concept B1 - Carnival'!J56</f>
        <v>0</v>
      </c>
      <c r="R61" s="555">
        <f>'P&amp;L - Concept B1 - Carnival'!K56</f>
        <v>0</v>
      </c>
      <c r="S61" s="555">
        <f>'P&amp;L - Concept B1 - Carnival'!L56</f>
        <v>0</v>
      </c>
      <c r="T61" s="555">
        <f>'P&amp;L - Concept B1 - Carnival'!M56</f>
        <v>0</v>
      </c>
      <c r="U61" s="555">
        <f>'P&amp;L - Concept B1 - Carnival'!N56</f>
        <v>0</v>
      </c>
      <c r="V61" s="555">
        <f>'P&amp;L - Concept B1 - Carnival'!O56</f>
        <v>0</v>
      </c>
      <c r="W61" s="555">
        <f>'P&amp;L - Concept B1 - Carnival'!P56</f>
        <v>0</v>
      </c>
      <c r="X61" s="555">
        <f>'P&amp;L - Concept B1 - Carnival'!Q56</f>
        <v>0</v>
      </c>
      <c r="Y61" s="555">
        <f>'P&amp;L - Concept B1 - Carnival'!R56</f>
        <v>0</v>
      </c>
      <c r="Z61" s="555">
        <f>'P&amp;L - Concept B1 - Carnival'!S56</f>
        <v>0</v>
      </c>
      <c r="AA61" s="555">
        <f>'P&amp;L - Concept B1 - Carnival'!T56</f>
        <v>0</v>
      </c>
      <c r="AB61" s="555">
        <f>'P&amp;L - Concept B1 - Carnival'!U56</f>
        <v>0</v>
      </c>
      <c r="AC61" s="555">
        <f>'P&amp;L - Concept B1 - Carnival'!V56</f>
        <v>0</v>
      </c>
      <c r="AD61" s="555">
        <f>'P&amp;L - Concept B1 - Carnival'!W56</f>
        <v>0</v>
      </c>
      <c r="AE61" s="555">
        <f>'P&amp;L - Concept B1 - Carnival'!X56</f>
        <v>0</v>
      </c>
    </row>
    <row r="62" spans="1:32 16384:16384" s="341" customFormat="1">
      <c r="A62" s="552" t="s">
        <v>293</v>
      </c>
      <c r="B62" s="556"/>
      <c r="C62" s="557"/>
      <c r="K62" s="554">
        <f>'P&amp;L - Concept B1 - Carnival'!D57</f>
        <v>0</v>
      </c>
      <c r="L62" s="555">
        <f>'P&amp;L - Concept B1 - Carnival'!E57</f>
        <v>0</v>
      </c>
      <c r="M62" s="555">
        <f>'P&amp;L - Concept B1 - Carnival'!F57</f>
        <v>0</v>
      </c>
      <c r="N62" s="555">
        <f>'P&amp;L - Concept B1 - Carnival'!G57</f>
        <v>0</v>
      </c>
      <c r="O62" s="555">
        <f>'P&amp;L - Concept B1 - Carnival'!H57</f>
        <v>0</v>
      </c>
      <c r="P62" s="555">
        <f>'P&amp;L - Concept B1 - Carnival'!I57</f>
        <v>0</v>
      </c>
      <c r="Q62" s="555">
        <f>'P&amp;L - Concept B1 - Carnival'!J57</f>
        <v>0</v>
      </c>
      <c r="R62" s="555">
        <f>'P&amp;L - Concept B1 - Carnival'!K57</f>
        <v>0</v>
      </c>
      <c r="S62" s="555">
        <f>'P&amp;L - Concept B1 - Carnival'!L57</f>
        <v>0</v>
      </c>
      <c r="T62" s="555">
        <f>'P&amp;L - Concept B1 - Carnival'!M57</f>
        <v>0</v>
      </c>
      <c r="U62" s="555">
        <f>'P&amp;L - Concept B1 - Carnival'!N57</f>
        <v>0</v>
      </c>
      <c r="V62" s="555">
        <f>'P&amp;L - Concept B1 - Carnival'!O57</f>
        <v>0</v>
      </c>
      <c r="W62" s="555">
        <f>'P&amp;L - Concept B1 - Carnival'!P57</f>
        <v>0</v>
      </c>
      <c r="X62" s="555">
        <f>'P&amp;L - Concept B1 - Carnival'!Q57</f>
        <v>0</v>
      </c>
      <c r="Y62" s="555">
        <f>'P&amp;L - Concept B1 - Carnival'!R57</f>
        <v>0</v>
      </c>
      <c r="Z62" s="555">
        <f>'P&amp;L - Concept B1 - Carnival'!S57</f>
        <v>0</v>
      </c>
      <c r="AA62" s="555">
        <f>'P&amp;L - Concept B1 - Carnival'!T57</f>
        <v>0</v>
      </c>
      <c r="AB62" s="555">
        <f>'P&amp;L - Concept B1 - Carnival'!U57</f>
        <v>0</v>
      </c>
      <c r="AC62" s="555">
        <f>'P&amp;L - Concept B1 - Carnival'!V57</f>
        <v>0</v>
      </c>
      <c r="AD62" s="555">
        <f>'P&amp;L - Concept B1 - Carnival'!W57</f>
        <v>0</v>
      </c>
      <c r="AE62" s="555">
        <f>'P&amp;L - Concept B1 - Carnival'!X57</f>
        <v>0</v>
      </c>
    </row>
    <row r="63" spans="1:32 16384:16384" s="341" customFormat="1">
      <c r="A63" s="552" t="s">
        <v>294</v>
      </c>
      <c r="B63" s="556"/>
      <c r="C63" s="557"/>
      <c r="K63" s="554">
        <f>'P&amp;L - Concept B1 - Carnival'!D58</f>
        <v>0</v>
      </c>
      <c r="L63" s="555">
        <f>'P&amp;L - Concept B1 - Carnival'!E58</f>
        <v>0</v>
      </c>
      <c r="M63" s="555">
        <f>'P&amp;L - Concept B1 - Carnival'!F58</f>
        <v>0</v>
      </c>
      <c r="N63" s="555">
        <f>'P&amp;L - Concept B1 - Carnival'!G58</f>
        <v>0</v>
      </c>
      <c r="O63" s="555">
        <f>'P&amp;L - Concept B1 - Carnival'!H58</f>
        <v>0</v>
      </c>
      <c r="P63" s="555">
        <f>'P&amp;L - Concept B1 - Carnival'!I58</f>
        <v>0</v>
      </c>
      <c r="Q63" s="555">
        <f>'P&amp;L - Concept B1 - Carnival'!J58</f>
        <v>0</v>
      </c>
      <c r="R63" s="555">
        <f>'P&amp;L - Concept B1 - Carnival'!K58</f>
        <v>0</v>
      </c>
      <c r="S63" s="555">
        <f>'P&amp;L - Concept B1 - Carnival'!L58</f>
        <v>0</v>
      </c>
      <c r="T63" s="555">
        <f>'P&amp;L - Concept B1 - Carnival'!M58</f>
        <v>0</v>
      </c>
      <c r="U63" s="555">
        <f>'P&amp;L - Concept B1 - Carnival'!N58</f>
        <v>0</v>
      </c>
      <c r="V63" s="555">
        <f>'P&amp;L - Concept B1 - Carnival'!O58</f>
        <v>0</v>
      </c>
      <c r="W63" s="555">
        <f>'P&amp;L - Concept B1 - Carnival'!P58</f>
        <v>0</v>
      </c>
      <c r="X63" s="555">
        <f>'P&amp;L - Concept B1 - Carnival'!Q58</f>
        <v>0</v>
      </c>
      <c r="Y63" s="555">
        <f>'P&amp;L - Concept B1 - Carnival'!R58</f>
        <v>0</v>
      </c>
      <c r="Z63" s="555">
        <f>'P&amp;L - Concept B1 - Carnival'!S58</f>
        <v>0</v>
      </c>
      <c r="AA63" s="555">
        <f>'P&amp;L - Concept B1 - Carnival'!T58</f>
        <v>0</v>
      </c>
      <c r="AB63" s="555">
        <f>'P&amp;L - Concept B1 - Carnival'!U58</f>
        <v>0</v>
      </c>
      <c r="AC63" s="555">
        <f>'P&amp;L - Concept B1 - Carnival'!V58</f>
        <v>0</v>
      </c>
      <c r="AD63" s="555">
        <f>'P&amp;L - Concept B1 - Carnival'!W58</f>
        <v>0</v>
      </c>
      <c r="AE63" s="555">
        <f>'P&amp;L - Concept B1 - Carnival'!X58</f>
        <v>0</v>
      </c>
    </row>
    <row r="64" spans="1:32 16384:16384" s="167" customFormat="1">
      <c r="A64" s="497" t="s">
        <v>170</v>
      </c>
      <c r="B64" s="450"/>
      <c r="C64" s="498"/>
      <c r="K64" s="499">
        <f>'P&amp;L - Concept B1 - Carnival'!D59</f>
        <v>0</v>
      </c>
      <c r="L64" s="587">
        <f>'P&amp;L - Concept B1 - Carnival'!E59</f>
        <v>0</v>
      </c>
      <c r="M64" s="587">
        <f>'P&amp;L - Concept B1 - Carnival'!F59</f>
        <v>0</v>
      </c>
      <c r="N64" s="587">
        <f>'P&amp;L - Concept B1 - Carnival'!G59</f>
        <v>0</v>
      </c>
      <c r="O64" s="587">
        <f>'P&amp;L - Concept B1 - Carnival'!H59</f>
        <v>0</v>
      </c>
      <c r="P64" s="587">
        <f>'P&amp;L - Concept B1 - Carnival'!I59</f>
        <v>0</v>
      </c>
      <c r="Q64" s="587">
        <f>'P&amp;L - Concept B1 - Carnival'!J59</f>
        <v>0</v>
      </c>
      <c r="R64" s="587">
        <f>'P&amp;L - Concept B1 - Carnival'!K59</f>
        <v>0</v>
      </c>
      <c r="S64" s="587">
        <f>'P&amp;L - Concept B1 - Carnival'!L59</f>
        <v>0</v>
      </c>
      <c r="T64" s="587">
        <f>'P&amp;L - Concept B1 - Carnival'!M59</f>
        <v>0</v>
      </c>
      <c r="U64" s="587">
        <f>'P&amp;L - Concept B1 - Carnival'!N59</f>
        <v>0</v>
      </c>
      <c r="V64" s="587">
        <f>'P&amp;L - Concept B1 - Carnival'!O59</f>
        <v>0</v>
      </c>
      <c r="W64" s="587">
        <f>'P&amp;L - Concept B1 - Carnival'!P59</f>
        <v>0</v>
      </c>
      <c r="X64" s="587">
        <f>'P&amp;L - Concept B1 - Carnival'!Q59</f>
        <v>0</v>
      </c>
      <c r="Y64" s="587">
        <f>'P&amp;L - Concept B1 - Carnival'!R59</f>
        <v>0</v>
      </c>
      <c r="Z64" s="587">
        <f>'P&amp;L - Concept B1 - Carnival'!S59</f>
        <v>0</v>
      </c>
      <c r="AA64" s="587">
        <f>'P&amp;L - Concept B1 - Carnival'!T59</f>
        <v>0</v>
      </c>
      <c r="AB64" s="587">
        <f>'P&amp;L - Concept B1 - Carnival'!U59</f>
        <v>0</v>
      </c>
      <c r="AC64" s="587">
        <f>'P&amp;L - Concept B1 - Carnival'!V59</f>
        <v>0</v>
      </c>
      <c r="AD64" s="587">
        <f>'P&amp;L - Concept B1 - Carnival'!W59</f>
        <v>0</v>
      </c>
      <c r="AE64" s="587">
        <f>'P&amp;L - Concept B1 - Carnival'!X59</f>
        <v>0</v>
      </c>
      <c r="AF64" s="167" t="str">
        <f>'P&amp;L - Concept B1 - Carnival'!Y59</f>
        <v>cost recovery assumed</v>
      </c>
    </row>
    <row r="65" spans="1:32" s="167" customFormat="1">
      <c r="A65" s="497" t="s">
        <v>16</v>
      </c>
      <c r="B65" s="450"/>
      <c r="C65" s="498"/>
      <c r="K65" s="499">
        <f>'P&amp;L - Concept B1 - Carnival'!D60</f>
        <v>0</v>
      </c>
      <c r="L65" s="587">
        <f>'P&amp;L - Concept B1 - Carnival'!E60</f>
        <v>0</v>
      </c>
      <c r="M65" s="587">
        <f>'P&amp;L - Concept B1 - Carnival'!F60</f>
        <v>0</v>
      </c>
      <c r="N65" s="587">
        <f>'P&amp;L - Concept B1 - Carnival'!G60</f>
        <v>0</v>
      </c>
      <c r="O65" s="587">
        <f>'P&amp;L - Concept B1 - Carnival'!H60</f>
        <v>0</v>
      </c>
      <c r="P65" s="587">
        <f>'P&amp;L - Concept B1 - Carnival'!I60</f>
        <v>0</v>
      </c>
      <c r="Q65" s="587">
        <f>'P&amp;L - Concept B1 - Carnival'!J60</f>
        <v>0</v>
      </c>
      <c r="R65" s="587">
        <f>'P&amp;L - Concept B1 - Carnival'!K60</f>
        <v>0</v>
      </c>
      <c r="S65" s="587">
        <f>'P&amp;L - Concept B1 - Carnival'!L60</f>
        <v>0</v>
      </c>
      <c r="T65" s="587">
        <f>'P&amp;L - Concept B1 - Carnival'!M60</f>
        <v>0</v>
      </c>
      <c r="U65" s="587">
        <f>'P&amp;L - Concept B1 - Carnival'!N60</f>
        <v>0</v>
      </c>
      <c r="V65" s="587">
        <f>'P&amp;L - Concept B1 - Carnival'!O60</f>
        <v>0</v>
      </c>
      <c r="W65" s="587">
        <f>'P&amp;L - Concept B1 - Carnival'!P60</f>
        <v>0</v>
      </c>
      <c r="X65" s="587">
        <f>'P&amp;L - Concept B1 - Carnival'!Q60</f>
        <v>0</v>
      </c>
      <c r="Y65" s="587">
        <f>'P&amp;L - Concept B1 - Carnival'!R60</f>
        <v>0</v>
      </c>
      <c r="Z65" s="587">
        <f>'P&amp;L - Concept B1 - Carnival'!S60</f>
        <v>0</v>
      </c>
      <c r="AA65" s="587">
        <f>'P&amp;L - Concept B1 - Carnival'!T60</f>
        <v>0</v>
      </c>
      <c r="AB65" s="587">
        <f>'P&amp;L - Concept B1 - Carnival'!U60</f>
        <v>0</v>
      </c>
      <c r="AC65" s="587">
        <f>'P&amp;L - Concept B1 - Carnival'!V60</f>
        <v>0</v>
      </c>
      <c r="AD65" s="587">
        <f>'P&amp;L - Concept B1 - Carnival'!W60</f>
        <v>0</v>
      </c>
      <c r="AE65" s="587">
        <f>'P&amp;L - Concept B1 - Carnival'!X60</f>
        <v>0</v>
      </c>
      <c r="AF65" s="167" t="str">
        <f>'P&amp;L - Concept B1 - Carnival'!Y60</f>
        <v>cost recovery assumed</v>
      </c>
    </row>
    <row r="66" spans="1:32" s="18" customFormat="1">
      <c r="A66" s="54"/>
      <c r="B66" s="277"/>
      <c r="C66" s="74"/>
      <c r="K66" s="492"/>
      <c r="L66" s="308"/>
      <c r="M66" s="308"/>
      <c r="N66" s="308"/>
      <c r="O66" s="308"/>
      <c r="P66" s="308"/>
      <c r="Q66" s="308"/>
      <c r="R66" s="308"/>
      <c r="S66" s="308"/>
      <c r="T66" s="308"/>
      <c r="U66" s="308"/>
      <c r="V66" s="308"/>
      <c r="W66" s="308"/>
      <c r="X66" s="308"/>
      <c r="Y66" s="308"/>
      <c r="Z66" s="308"/>
      <c r="AA66" s="308"/>
      <c r="AB66" s="308"/>
      <c r="AC66" s="308"/>
      <c r="AD66" s="308"/>
      <c r="AE66" s="308"/>
    </row>
    <row r="67" spans="1:32" s="18" customFormat="1">
      <c r="A67" s="293" t="s">
        <v>2</v>
      </c>
      <c r="B67" s="277"/>
      <c r="C67" s="74"/>
      <c r="K67" s="492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</row>
    <row r="68" spans="1:32" s="96" customFormat="1">
      <c r="A68" s="54" t="s">
        <v>290</v>
      </c>
      <c r="B68" s="435">
        <v>500</v>
      </c>
      <c r="C68" s="487"/>
      <c r="K68" s="486">
        <f>'P&amp;L - Concept B1 - Carnival'!D63</f>
        <v>0</v>
      </c>
      <c r="L68" s="313">
        <f>'P&amp;L - Concept B1 - Carnival'!E63</f>
        <v>0</v>
      </c>
      <c r="M68" s="313">
        <f>'P&amp;L - Concept B1 - Carnival'!F63</f>
        <v>0</v>
      </c>
      <c r="N68" s="313">
        <f>'P&amp;L - Concept B1 - Carnival'!G63</f>
        <v>500</v>
      </c>
      <c r="O68" s="313">
        <f>'P&amp;L - Concept B1 - Carnival'!H63</f>
        <v>500</v>
      </c>
      <c r="P68" s="313">
        <f>'P&amp;L - Concept B1 - Carnival'!I63</f>
        <v>500</v>
      </c>
      <c r="Q68" s="313">
        <f>'P&amp;L - Concept B1 - Carnival'!J63</f>
        <v>500</v>
      </c>
      <c r="R68" s="313">
        <f>'P&amp;L - Concept B1 - Carnival'!K63</f>
        <v>500</v>
      </c>
      <c r="S68" s="313">
        <f>'P&amp;L - Concept B1 - Carnival'!L63</f>
        <v>500</v>
      </c>
      <c r="T68" s="313">
        <f>'P&amp;L - Concept B1 - Carnival'!M63</f>
        <v>500</v>
      </c>
      <c r="U68" s="313">
        <f>'P&amp;L - Concept B1 - Carnival'!N63</f>
        <v>500</v>
      </c>
      <c r="V68" s="313">
        <f>'P&amp;L - Concept B1 - Carnival'!O63</f>
        <v>500</v>
      </c>
      <c r="W68" s="313">
        <f>'P&amp;L - Concept B1 - Carnival'!P63</f>
        <v>500</v>
      </c>
      <c r="X68" s="313">
        <f>'P&amp;L - Concept B1 - Carnival'!Q63</f>
        <v>500</v>
      </c>
      <c r="Y68" s="313">
        <f>'P&amp;L - Concept B1 - Carnival'!R63</f>
        <v>500</v>
      </c>
      <c r="Z68" s="313">
        <f>'P&amp;L - Concept B1 - Carnival'!S63</f>
        <v>500</v>
      </c>
      <c r="AA68" s="313">
        <f>'P&amp;L - Concept B1 - Carnival'!T63</f>
        <v>500</v>
      </c>
      <c r="AB68" s="313">
        <f>'P&amp;L - Concept B1 - Carnival'!U63</f>
        <v>500</v>
      </c>
      <c r="AC68" s="313">
        <f>'P&amp;L - Concept B1 - Carnival'!V63</f>
        <v>500</v>
      </c>
      <c r="AD68" s="313">
        <f>'P&amp;L - Concept B1 - Carnival'!W63</f>
        <v>500</v>
      </c>
      <c r="AE68" s="313">
        <f>'P&amp;L - Concept B1 - Carnival'!X63</f>
        <v>500</v>
      </c>
    </row>
    <row r="69" spans="1:32" s="96" customFormat="1">
      <c r="A69" s="54" t="s">
        <v>210</v>
      </c>
      <c r="B69" s="487"/>
      <c r="C69" s="487"/>
      <c r="K69" s="486">
        <f>'P&amp;L - Concept B1 - Carnival'!D65</f>
        <v>0</v>
      </c>
      <c r="L69" s="313">
        <f>'P&amp;L - Concept B1 - Carnival'!E65</f>
        <v>0</v>
      </c>
      <c r="M69" s="313">
        <f>'P&amp;L - Concept B1 - Carnival'!F65</f>
        <v>1</v>
      </c>
      <c r="N69" s="313">
        <f>'P&amp;L - Concept B1 - Carnival'!G65</f>
        <v>2</v>
      </c>
      <c r="O69" s="313">
        <f>'P&amp;L - Concept B1 - Carnival'!H65</f>
        <v>2</v>
      </c>
      <c r="P69" s="313">
        <f>'P&amp;L - Concept B1 - Carnival'!I65</f>
        <v>2</v>
      </c>
      <c r="Q69" s="313">
        <f>'P&amp;L - Concept B1 - Carnival'!J65</f>
        <v>3</v>
      </c>
      <c r="R69" s="313">
        <f>'P&amp;L - Concept B1 - Carnival'!K65</f>
        <v>3</v>
      </c>
      <c r="S69" s="313">
        <f>'P&amp;L - Concept B1 - Carnival'!L65</f>
        <v>3</v>
      </c>
      <c r="T69" s="313">
        <f>'P&amp;L - Concept B1 - Carnival'!M65</f>
        <v>3</v>
      </c>
      <c r="U69" s="313">
        <f>'P&amp;L - Concept B1 - Carnival'!N65</f>
        <v>3</v>
      </c>
      <c r="V69" s="313">
        <f>'P&amp;L - Concept B1 - Carnival'!O65</f>
        <v>4</v>
      </c>
      <c r="W69" s="313">
        <f>'P&amp;L - Concept B1 - Carnival'!P65</f>
        <v>4</v>
      </c>
      <c r="X69" s="313">
        <f>'P&amp;L - Concept B1 - Carnival'!Q65</f>
        <v>4</v>
      </c>
      <c r="Y69" s="313">
        <f>'P&amp;L - Concept B1 - Carnival'!R65</f>
        <v>4</v>
      </c>
      <c r="Z69" s="313">
        <f>'P&amp;L - Concept B1 - Carnival'!S65</f>
        <v>4</v>
      </c>
      <c r="AA69" s="313">
        <f>'P&amp;L - Concept B1 - Carnival'!T65</f>
        <v>5</v>
      </c>
      <c r="AB69" s="313">
        <f>'P&amp;L - Concept B1 - Carnival'!U65</f>
        <v>5</v>
      </c>
      <c r="AC69" s="313">
        <f>'P&amp;L - Concept B1 - Carnival'!V65</f>
        <v>5</v>
      </c>
      <c r="AD69" s="313">
        <f>'P&amp;L - Concept B1 - Carnival'!W65</f>
        <v>5</v>
      </c>
      <c r="AE69" s="313">
        <f>'P&amp;L - Concept B1 - Carnival'!X65</f>
        <v>5</v>
      </c>
    </row>
    <row r="70" spans="1:32" s="96" customFormat="1">
      <c r="A70" s="96" t="s">
        <v>211</v>
      </c>
      <c r="K70" s="486">
        <f>'P&amp;L - Concept B1 - Carnival'!D66</f>
        <v>0</v>
      </c>
      <c r="L70" s="435">
        <f>'P&amp;L - Concept B1 - Carnival'!E66</f>
        <v>0</v>
      </c>
      <c r="M70" s="435">
        <f>'P&amp;L - Concept B1 - Carnival'!F66</f>
        <v>3</v>
      </c>
      <c r="N70" s="435">
        <f>'P&amp;L - Concept B1 - Carnival'!G66</f>
        <v>3</v>
      </c>
      <c r="O70" s="435">
        <f>'P&amp;L - Concept B1 - Carnival'!H66</f>
        <v>3</v>
      </c>
      <c r="P70" s="435">
        <f>'P&amp;L - Concept B1 - Carnival'!I66</f>
        <v>3</v>
      </c>
      <c r="Q70" s="435">
        <f>'P&amp;L - Concept B1 - Carnival'!J66</f>
        <v>3</v>
      </c>
      <c r="R70" s="435">
        <f>'P&amp;L - Concept B1 - Carnival'!K66</f>
        <v>3</v>
      </c>
      <c r="S70" s="435">
        <f>'P&amp;L - Concept B1 - Carnival'!L66</f>
        <v>3</v>
      </c>
      <c r="T70" s="435">
        <f>'P&amp;L - Concept B1 - Carnival'!M66</f>
        <v>3</v>
      </c>
      <c r="U70" s="435">
        <f>'P&amp;L - Concept B1 - Carnival'!N66</f>
        <v>3</v>
      </c>
      <c r="V70" s="435">
        <f>'P&amp;L - Concept B1 - Carnival'!O66</f>
        <v>3</v>
      </c>
      <c r="W70" s="435">
        <f>'P&amp;L - Concept B1 - Carnival'!P66</f>
        <v>3</v>
      </c>
      <c r="X70" s="435">
        <f>'P&amp;L - Concept B1 - Carnival'!Q66</f>
        <v>3</v>
      </c>
      <c r="Y70" s="435">
        <f>'P&amp;L - Concept B1 - Carnival'!R66</f>
        <v>3</v>
      </c>
      <c r="Z70" s="435">
        <f>'P&amp;L - Concept B1 - Carnival'!S66</f>
        <v>3</v>
      </c>
      <c r="AA70" s="435">
        <f>'P&amp;L - Concept B1 - Carnival'!T66</f>
        <v>3</v>
      </c>
      <c r="AB70" s="435">
        <f>'P&amp;L - Concept B1 - Carnival'!U66</f>
        <v>3</v>
      </c>
      <c r="AC70" s="435">
        <f>'P&amp;L - Concept B1 - Carnival'!V66</f>
        <v>3</v>
      </c>
      <c r="AD70" s="435">
        <f>'P&amp;L - Concept B1 - Carnival'!W66</f>
        <v>3</v>
      </c>
      <c r="AE70" s="435">
        <f>'P&amp;L - Concept B1 - Carnival'!X66</f>
        <v>3</v>
      </c>
    </row>
    <row r="71" spans="1:32" s="96" customFormat="1">
      <c r="K71" s="486"/>
      <c r="L71" s="435"/>
      <c r="M71" s="435"/>
      <c r="N71" s="435"/>
      <c r="O71" s="435"/>
      <c r="P71" s="435"/>
      <c r="Q71" s="435"/>
      <c r="R71" s="435"/>
      <c r="S71" s="435"/>
      <c r="T71" s="435"/>
      <c r="U71" s="435"/>
      <c r="V71" s="435"/>
      <c r="W71" s="435"/>
      <c r="X71" s="435"/>
      <c r="Y71" s="435"/>
      <c r="Z71" s="435"/>
      <c r="AA71" s="435"/>
      <c r="AB71" s="435"/>
      <c r="AC71" s="435"/>
      <c r="AD71" s="435"/>
      <c r="AE71" s="435"/>
    </row>
    <row r="72" spans="1:32" s="18" customFormat="1">
      <c r="A72" s="28"/>
      <c r="K72" s="486"/>
      <c r="L72" s="331"/>
      <c r="M72" s="333"/>
      <c r="N72" s="331"/>
      <c r="O72" s="331"/>
      <c r="P72" s="331"/>
      <c r="Q72" s="331"/>
      <c r="R72" s="331"/>
      <c r="S72" s="331"/>
      <c r="T72" s="331"/>
      <c r="U72" s="331"/>
      <c r="V72" s="331"/>
      <c r="W72" s="331"/>
      <c r="X72" s="331"/>
      <c r="Y72" s="331"/>
      <c r="Z72" s="331"/>
      <c r="AA72" s="331"/>
      <c r="AB72" s="331"/>
      <c r="AC72" s="331"/>
      <c r="AD72" s="331"/>
      <c r="AE72" s="331"/>
    </row>
    <row r="73" spans="1:32">
      <c r="A73" s="168" t="s">
        <v>131</v>
      </c>
      <c r="B73" s="168"/>
      <c r="C73" s="169"/>
      <c r="D73" s="170"/>
      <c r="E73" s="171"/>
      <c r="F73" s="171"/>
      <c r="G73" s="171"/>
      <c r="H73" s="171"/>
      <c r="I73" s="168"/>
      <c r="J73" s="171"/>
      <c r="K73" s="681"/>
      <c r="L73" s="314"/>
      <c r="M73" s="314"/>
      <c r="N73" s="314"/>
      <c r="O73" s="314"/>
      <c r="P73" s="314"/>
      <c r="Q73" s="314"/>
      <c r="R73" s="314"/>
      <c r="S73" s="314"/>
      <c r="T73" s="314"/>
      <c r="U73" s="314"/>
      <c r="V73" s="314"/>
      <c r="W73" s="314"/>
      <c r="X73" s="314"/>
      <c r="Y73" s="314"/>
      <c r="Z73" s="314"/>
      <c r="AA73" s="314"/>
      <c r="AB73" s="314"/>
      <c r="AC73" s="314"/>
      <c r="AD73" s="314"/>
      <c r="AE73" s="314"/>
    </row>
    <row r="74" spans="1:32" s="252" customFormat="1">
      <c r="A74" s="183"/>
      <c r="B74" s="183"/>
      <c r="C74" s="364"/>
      <c r="D74" s="365"/>
      <c r="E74" s="184"/>
      <c r="F74" s="184"/>
      <c r="G74" s="184"/>
      <c r="H74" s="184"/>
      <c r="I74" s="183"/>
      <c r="J74" s="184"/>
      <c r="K74" s="664"/>
      <c r="L74" s="366"/>
      <c r="M74" s="366"/>
      <c r="N74" s="366"/>
      <c r="O74" s="366"/>
      <c r="P74" s="366"/>
      <c r="Q74" s="366"/>
      <c r="R74" s="366"/>
      <c r="S74" s="366"/>
      <c r="T74" s="366"/>
      <c r="U74" s="366"/>
      <c r="V74" s="366"/>
      <c r="W74" s="366"/>
      <c r="X74" s="366"/>
      <c r="Y74" s="366"/>
      <c r="Z74" s="366"/>
      <c r="AA74" s="366"/>
      <c r="AB74" s="366"/>
      <c r="AC74" s="366"/>
      <c r="AD74" s="366"/>
      <c r="AE74" s="366"/>
    </row>
    <row r="75" spans="1:32">
      <c r="A75" s="41" t="s">
        <v>13</v>
      </c>
      <c r="B75" s="41"/>
      <c r="C75" s="105"/>
      <c r="D75" s="106"/>
      <c r="E75" s="37"/>
      <c r="F75" s="37"/>
      <c r="G75" s="37"/>
      <c r="H75" s="37"/>
      <c r="I75" s="41"/>
      <c r="J75" s="37"/>
      <c r="K75" s="683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</row>
    <row r="76" spans="1:32">
      <c r="A76" s="96" t="s">
        <v>418</v>
      </c>
      <c r="B76" s="735" t="s">
        <v>12</v>
      </c>
      <c r="C76" s="663">
        <v>75000</v>
      </c>
      <c r="D76" s="736">
        <f t="shared" ref="D76:D77" si="0">C76/2080</f>
        <v>36.057692307692307</v>
      </c>
      <c r="E76" s="663">
        <v>0</v>
      </c>
      <c r="F76" s="663">
        <f>(C76*$F$13)</f>
        <v>30000</v>
      </c>
      <c r="G76" s="663">
        <f>SUM(C76,E76:F76)</f>
        <v>105000</v>
      </c>
      <c r="H76" s="663"/>
      <c r="I76" s="736"/>
      <c r="J76" s="663"/>
      <c r="K76" s="683">
        <v>0</v>
      </c>
      <c r="L76" s="665">
        <v>0</v>
      </c>
      <c r="M76" s="666">
        <f>G76</f>
        <v>105000</v>
      </c>
      <c r="N76" s="666">
        <f>($G$76*L11)</f>
        <v>107100</v>
      </c>
      <c r="O76" s="666">
        <f t="shared" ref="O76:AE76" si="1">($G$76*M11)</f>
        <v>109242</v>
      </c>
      <c r="P76" s="666">
        <f t="shared" si="1"/>
        <v>111426.84</v>
      </c>
      <c r="Q76" s="666">
        <f t="shared" si="1"/>
        <v>113655.3768</v>
      </c>
      <c r="R76" s="666">
        <f t="shared" si="1"/>
        <v>115928.48433600001</v>
      </c>
      <c r="S76" s="666">
        <f t="shared" si="1"/>
        <v>118247.05402272001</v>
      </c>
      <c r="T76" s="666">
        <f t="shared" si="1"/>
        <v>120611.9951031744</v>
      </c>
      <c r="U76" s="666">
        <f t="shared" si="1"/>
        <v>123024.2350052379</v>
      </c>
      <c r="V76" s="666">
        <f t="shared" si="1"/>
        <v>125484.71970534266</v>
      </c>
      <c r="W76" s="666">
        <f t="shared" si="1"/>
        <v>127994.41409944952</v>
      </c>
      <c r="X76" s="666">
        <f t="shared" si="1"/>
        <v>130554.30238143851</v>
      </c>
      <c r="Y76" s="666">
        <f t="shared" si="1"/>
        <v>133165.38842906727</v>
      </c>
      <c r="Z76" s="666">
        <f t="shared" si="1"/>
        <v>135828.69619764862</v>
      </c>
      <c r="AA76" s="666">
        <f t="shared" si="1"/>
        <v>138545.27012160158</v>
      </c>
      <c r="AB76" s="666">
        <f t="shared" si="1"/>
        <v>141316.17552403364</v>
      </c>
      <c r="AC76" s="666">
        <f t="shared" si="1"/>
        <v>144142.4990345143</v>
      </c>
      <c r="AD76" s="666">
        <f t="shared" si="1"/>
        <v>147025.34901520461</v>
      </c>
      <c r="AE76" s="666">
        <f t="shared" si="1"/>
        <v>149965.8559955087</v>
      </c>
    </row>
    <row r="77" spans="1:32">
      <c r="A77" s="737" t="s">
        <v>417</v>
      </c>
      <c r="B77" s="738" t="s">
        <v>12</v>
      </c>
      <c r="C77" s="739">
        <v>35000</v>
      </c>
      <c r="D77" s="740">
        <f t="shared" si="0"/>
        <v>16.826923076923077</v>
      </c>
      <c r="E77" s="739">
        <v>0</v>
      </c>
      <c r="F77" s="739">
        <f t="shared" ref="F77" si="2">(C77*$F$13)</f>
        <v>14000</v>
      </c>
      <c r="G77" s="739">
        <f t="shared" ref="G77" si="3">SUM(C77,E77:F77)</f>
        <v>49000</v>
      </c>
      <c r="H77" s="739"/>
      <c r="I77" s="740"/>
      <c r="J77" s="739"/>
      <c r="K77" s="741">
        <v>0</v>
      </c>
      <c r="L77" s="742">
        <f>G77*0.25</f>
        <v>12250</v>
      </c>
      <c r="M77" s="742">
        <f>G77*0.5</f>
        <v>24500</v>
      </c>
      <c r="N77" s="742">
        <f>($G$77*0.5*L11)</f>
        <v>24990</v>
      </c>
      <c r="O77" s="742">
        <f t="shared" ref="O77:AE77" si="4">($G$77*0.5*M11)</f>
        <v>25489.8</v>
      </c>
      <c r="P77" s="742">
        <f t="shared" si="4"/>
        <v>25999.595999999998</v>
      </c>
      <c r="Q77" s="742">
        <f t="shared" si="4"/>
        <v>26519.587919999998</v>
      </c>
      <c r="R77" s="742">
        <f t="shared" si="4"/>
        <v>27049.979678399999</v>
      </c>
      <c r="S77" s="742">
        <f t="shared" si="4"/>
        <v>27590.979271968001</v>
      </c>
      <c r="T77" s="742">
        <f t="shared" si="4"/>
        <v>28142.798857407361</v>
      </c>
      <c r="U77" s="742">
        <f t="shared" si="4"/>
        <v>28705.654834555509</v>
      </c>
      <c r="V77" s="742">
        <f t="shared" si="4"/>
        <v>29279.767931246621</v>
      </c>
      <c r="W77" s="742">
        <f t="shared" si="4"/>
        <v>29865.363289871555</v>
      </c>
      <c r="X77" s="742">
        <f t="shared" si="4"/>
        <v>30462.670555668985</v>
      </c>
      <c r="Y77" s="742">
        <f t="shared" si="4"/>
        <v>31071.923966782364</v>
      </c>
      <c r="Z77" s="742">
        <f t="shared" si="4"/>
        <v>31693.362446118008</v>
      </c>
      <c r="AA77" s="742">
        <f t="shared" si="4"/>
        <v>32327.229695040372</v>
      </c>
      <c r="AB77" s="742">
        <f t="shared" si="4"/>
        <v>32973.774288941182</v>
      </c>
      <c r="AC77" s="742">
        <f t="shared" si="4"/>
        <v>33633.249774720003</v>
      </c>
      <c r="AD77" s="742">
        <f t="shared" si="4"/>
        <v>34305.914770214411</v>
      </c>
      <c r="AE77" s="742">
        <f t="shared" si="4"/>
        <v>34992.0330656187</v>
      </c>
    </row>
    <row r="78" spans="1:32" s="56" customFormat="1" ht="14.25">
      <c r="A78" s="164" t="s">
        <v>416</v>
      </c>
      <c r="B78" s="164"/>
      <c r="C78" s="667">
        <f>SUM(C76:C77)</f>
        <v>110000</v>
      </c>
      <c r="D78" s="667"/>
      <c r="E78" s="667">
        <f>SUM(E76:E77)</f>
        <v>0</v>
      </c>
      <c r="F78" s="667">
        <f>SUM(F76:F77)</f>
        <v>44000</v>
      </c>
      <c r="G78" s="667">
        <f>SUM(G76:G77)</f>
        <v>154000</v>
      </c>
      <c r="H78" s="667"/>
      <c r="I78" s="668"/>
      <c r="J78" s="667"/>
      <c r="K78" s="685">
        <f>SUMIF($B76:$B77,"FT",K76:K77)</f>
        <v>0</v>
      </c>
      <c r="L78" s="669">
        <f t="shared" ref="L78:AE78" si="5">SUM(L76:L77)</f>
        <v>12250</v>
      </c>
      <c r="M78" s="669">
        <f t="shared" si="5"/>
        <v>129500</v>
      </c>
      <c r="N78" s="669">
        <f t="shared" si="5"/>
        <v>132090</v>
      </c>
      <c r="O78" s="669">
        <f t="shared" si="5"/>
        <v>134731.79999999999</v>
      </c>
      <c r="P78" s="669">
        <f t="shared" si="5"/>
        <v>137426.43599999999</v>
      </c>
      <c r="Q78" s="669">
        <f t="shared" si="5"/>
        <v>140174.96471999999</v>
      </c>
      <c r="R78" s="669">
        <f t="shared" si="5"/>
        <v>142978.4640144</v>
      </c>
      <c r="S78" s="669">
        <f t="shared" si="5"/>
        <v>145838.03329468801</v>
      </c>
      <c r="T78" s="669">
        <f t="shared" si="5"/>
        <v>148754.79396058177</v>
      </c>
      <c r="U78" s="669">
        <f t="shared" si="5"/>
        <v>151729.88983979341</v>
      </c>
      <c r="V78" s="669">
        <f t="shared" si="5"/>
        <v>154764.48763658927</v>
      </c>
      <c r="W78" s="669">
        <f t="shared" si="5"/>
        <v>157859.77738932107</v>
      </c>
      <c r="X78" s="669">
        <f t="shared" si="5"/>
        <v>161016.97293710749</v>
      </c>
      <c r="Y78" s="669">
        <f t="shared" si="5"/>
        <v>164237.31239584964</v>
      </c>
      <c r="Z78" s="669">
        <f t="shared" si="5"/>
        <v>167522.05864376662</v>
      </c>
      <c r="AA78" s="669">
        <f t="shared" si="5"/>
        <v>170872.49981664197</v>
      </c>
      <c r="AB78" s="669">
        <f t="shared" si="5"/>
        <v>174289.94981297481</v>
      </c>
      <c r="AC78" s="669">
        <f t="shared" si="5"/>
        <v>177775.7488092343</v>
      </c>
      <c r="AD78" s="669">
        <f t="shared" si="5"/>
        <v>181331.26378541903</v>
      </c>
      <c r="AE78" s="669">
        <f t="shared" si="5"/>
        <v>184957.88906112738</v>
      </c>
    </row>
    <row r="79" spans="1:32" s="56" customFormat="1" ht="14.25">
      <c r="A79" s="164"/>
      <c r="B79" s="164"/>
      <c r="C79" s="667"/>
      <c r="D79" s="667"/>
      <c r="E79" s="667"/>
      <c r="F79" s="667"/>
      <c r="G79" s="667"/>
      <c r="H79" s="667"/>
      <c r="I79" s="668"/>
      <c r="J79" s="667"/>
      <c r="K79" s="685"/>
      <c r="L79" s="669"/>
      <c r="M79" s="669"/>
      <c r="N79" s="669"/>
      <c r="O79" s="669"/>
      <c r="P79" s="669"/>
      <c r="Q79" s="669"/>
      <c r="R79" s="669"/>
      <c r="S79" s="669"/>
      <c r="T79" s="669"/>
      <c r="U79" s="669"/>
      <c r="V79" s="669"/>
      <c r="W79" s="669"/>
      <c r="X79" s="669"/>
      <c r="Y79" s="669"/>
      <c r="Z79" s="669"/>
      <c r="AA79" s="669"/>
      <c r="AB79" s="669"/>
      <c r="AC79" s="669"/>
      <c r="AD79" s="669"/>
      <c r="AE79" s="669"/>
    </row>
    <row r="80" spans="1:32">
      <c r="A80" s="37" t="s">
        <v>411</v>
      </c>
      <c r="B80" s="37"/>
      <c r="C80" s="57"/>
      <c r="E80" s="57"/>
      <c r="F80" s="57"/>
      <c r="G80" s="57"/>
      <c r="H80" s="57"/>
      <c r="I80" s="43"/>
      <c r="J80" s="42"/>
      <c r="K80" s="743">
        <f t="shared" ref="K80:AE80" si="6">COUNTIF(K76:K77,"&gt;100")</f>
        <v>0</v>
      </c>
      <c r="L80" s="496">
        <f t="shared" si="6"/>
        <v>1</v>
      </c>
      <c r="M80" s="496">
        <f t="shared" si="6"/>
        <v>2</v>
      </c>
      <c r="N80" s="496">
        <f t="shared" si="6"/>
        <v>2</v>
      </c>
      <c r="O80" s="496">
        <f t="shared" si="6"/>
        <v>2</v>
      </c>
      <c r="P80" s="496">
        <f t="shared" si="6"/>
        <v>2</v>
      </c>
      <c r="Q80" s="496">
        <f t="shared" si="6"/>
        <v>2</v>
      </c>
      <c r="R80" s="496">
        <f t="shared" si="6"/>
        <v>2</v>
      </c>
      <c r="S80" s="496">
        <f t="shared" si="6"/>
        <v>2</v>
      </c>
      <c r="T80" s="496">
        <f t="shared" si="6"/>
        <v>2</v>
      </c>
      <c r="U80" s="496">
        <f t="shared" si="6"/>
        <v>2</v>
      </c>
      <c r="V80" s="496">
        <f t="shared" si="6"/>
        <v>2</v>
      </c>
      <c r="W80" s="496">
        <f t="shared" si="6"/>
        <v>2</v>
      </c>
      <c r="X80" s="496">
        <f t="shared" si="6"/>
        <v>2</v>
      </c>
      <c r="Y80" s="496">
        <f t="shared" si="6"/>
        <v>2</v>
      </c>
      <c r="Z80" s="496">
        <f t="shared" si="6"/>
        <v>2</v>
      </c>
      <c r="AA80" s="496">
        <f t="shared" si="6"/>
        <v>2</v>
      </c>
      <c r="AB80" s="496">
        <f t="shared" si="6"/>
        <v>2</v>
      </c>
      <c r="AC80" s="496">
        <f t="shared" si="6"/>
        <v>2</v>
      </c>
      <c r="AD80" s="496">
        <f t="shared" si="6"/>
        <v>2</v>
      </c>
      <c r="AE80" s="496">
        <f t="shared" si="6"/>
        <v>2</v>
      </c>
      <c r="AF80" s="744"/>
    </row>
    <row r="81" spans="1:35">
      <c r="A81" s="745" t="s">
        <v>412</v>
      </c>
      <c r="B81" s="745"/>
      <c r="C81" s="746"/>
      <c r="D81" s="116"/>
      <c r="E81" s="746"/>
      <c r="F81" s="746"/>
      <c r="G81" s="746"/>
      <c r="H81" s="746"/>
      <c r="I81" s="747"/>
      <c r="J81" s="748"/>
      <c r="K81" s="749">
        <f t="shared" ref="K81" si="7">K82-K80</f>
        <v>0</v>
      </c>
      <c r="L81" s="750">
        <v>0</v>
      </c>
      <c r="M81" s="750">
        <v>0</v>
      </c>
      <c r="N81" s="750">
        <v>0</v>
      </c>
      <c r="O81" s="750">
        <v>0</v>
      </c>
      <c r="P81" s="750">
        <v>0</v>
      </c>
      <c r="Q81" s="750">
        <v>0</v>
      </c>
      <c r="R81" s="750">
        <v>0</v>
      </c>
      <c r="S81" s="750">
        <v>0</v>
      </c>
      <c r="T81" s="750">
        <v>0</v>
      </c>
      <c r="U81" s="750">
        <v>0</v>
      </c>
      <c r="V81" s="750">
        <v>0</v>
      </c>
      <c r="W81" s="750">
        <v>0</v>
      </c>
      <c r="X81" s="750">
        <v>0</v>
      </c>
      <c r="Y81" s="750">
        <v>0</v>
      </c>
      <c r="Z81" s="750">
        <v>0</v>
      </c>
      <c r="AA81" s="750">
        <v>0</v>
      </c>
      <c r="AB81" s="750">
        <v>0</v>
      </c>
      <c r="AC81" s="750">
        <v>0</v>
      </c>
      <c r="AD81" s="750">
        <v>0</v>
      </c>
      <c r="AE81" s="750">
        <v>0</v>
      </c>
    </row>
    <row r="82" spans="1:35" s="56" customFormat="1" ht="14.25">
      <c r="A82" s="164" t="s">
        <v>413</v>
      </c>
      <c r="B82" s="164"/>
      <c r="C82" s="75"/>
      <c r="D82" s="173"/>
      <c r="E82" s="75"/>
      <c r="F82" s="75"/>
      <c r="G82" s="75"/>
      <c r="H82" s="75"/>
      <c r="I82" s="174"/>
      <c r="J82" s="181"/>
      <c r="K82" s="751">
        <f>COUNTIF(K76:K77,"&gt;0")</f>
        <v>0</v>
      </c>
      <c r="L82" s="752">
        <f>SUM(L80:L81)</f>
        <v>1</v>
      </c>
      <c r="M82" s="752">
        <f t="shared" ref="M82:AE82" si="8">SUM(M80:M81)</f>
        <v>2</v>
      </c>
      <c r="N82" s="752">
        <f t="shared" si="8"/>
        <v>2</v>
      </c>
      <c r="O82" s="752">
        <f t="shared" si="8"/>
        <v>2</v>
      </c>
      <c r="P82" s="752">
        <f t="shared" si="8"/>
        <v>2</v>
      </c>
      <c r="Q82" s="752">
        <f t="shared" si="8"/>
        <v>2</v>
      </c>
      <c r="R82" s="752">
        <f t="shared" si="8"/>
        <v>2</v>
      </c>
      <c r="S82" s="752">
        <f t="shared" si="8"/>
        <v>2</v>
      </c>
      <c r="T82" s="752">
        <f t="shared" si="8"/>
        <v>2</v>
      </c>
      <c r="U82" s="752">
        <f t="shared" si="8"/>
        <v>2</v>
      </c>
      <c r="V82" s="752">
        <f t="shared" si="8"/>
        <v>2</v>
      </c>
      <c r="W82" s="752">
        <f t="shared" si="8"/>
        <v>2</v>
      </c>
      <c r="X82" s="752">
        <f t="shared" si="8"/>
        <v>2</v>
      </c>
      <c r="Y82" s="752">
        <f t="shared" si="8"/>
        <v>2</v>
      </c>
      <c r="Z82" s="752">
        <f t="shared" si="8"/>
        <v>2</v>
      </c>
      <c r="AA82" s="752">
        <f t="shared" si="8"/>
        <v>2</v>
      </c>
      <c r="AB82" s="752">
        <f t="shared" si="8"/>
        <v>2</v>
      </c>
      <c r="AC82" s="752">
        <f t="shared" si="8"/>
        <v>2</v>
      </c>
      <c r="AD82" s="752">
        <f t="shared" si="8"/>
        <v>2</v>
      </c>
      <c r="AE82" s="752">
        <f t="shared" si="8"/>
        <v>2</v>
      </c>
    </row>
    <row r="83" spans="1:35" s="56" customFormat="1" ht="14.25">
      <c r="A83" s="164"/>
      <c r="B83" s="164"/>
      <c r="C83" s="75"/>
      <c r="D83" s="173"/>
      <c r="E83" s="75"/>
      <c r="F83" s="75"/>
      <c r="G83" s="75"/>
      <c r="H83" s="75"/>
      <c r="I83" s="174"/>
      <c r="J83" s="181"/>
      <c r="K83" s="685"/>
      <c r="L83" s="315"/>
      <c r="M83" s="315"/>
      <c r="N83" s="315"/>
      <c r="O83" s="315"/>
      <c r="P83" s="315"/>
      <c r="Q83" s="315"/>
      <c r="R83" s="315"/>
      <c r="S83" s="315"/>
      <c r="T83" s="315"/>
      <c r="U83" s="315"/>
      <c r="V83" s="315"/>
      <c r="W83" s="315"/>
      <c r="X83" s="315"/>
      <c r="Y83" s="315"/>
      <c r="Z83" s="315"/>
      <c r="AA83" s="315"/>
      <c r="AB83" s="315"/>
      <c r="AC83" s="315"/>
      <c r="AD83" s="315"/>
      <c r="AE83" s="315"/>
    </row>
    <row r="84" spans="1:35">
      <c r="A84" s="48" t="s">
        <v>68</v>
      </c>
      <c r="B84" s="48"/>
      <c r="C84" s="77"/>
      <c r="D84" s="76"/>
      <c r="E84" s="57"/>
      <c r="F84" s="57"/>
      <c r="G84" s="77"/>
      <c r="H84" s="77"/>
      <c r="I84" s="50"/>
      <c r="J84" s="49"/>
      <c r="K84" s="683"/>
      <c r="L84" s="316"/>
      <c r="M84" s="316"/>
      <c r="N84" s="316"/>
      <c r="O84" s="316"/>
      <c r="P84" s="316"/>
      <c r="Q84" s="316"/>
      <c r="R84" s="316"/>
      <c r="S84" s="316"/>
      <c r="T84" s="316"/>
      <c r="U84" s="316"/>
      <c r="V84" s="316"/>
      <c r="W84" s="316"/>
      <c r="X84" s="316"/>
      <c r="Y84" s="316"/>
      <c r="Z84" s="316"/>
      <c r="AA84" s="316"/>
      <c r="AB84" s="316"/>
      <c r="AC84" s="316"/>
      <c r="AD84" s="316"/>
      <c r="AE84" s="316"/>
    </row>
    <row r="85" spans="1:35" s="68" customFormat="1" ht="14.25">
      <c r="A85" s="214" t="s">
        <v>80</v>
      </c>
      <c r="B85" s="189"/>
      <c r="C85" s="209"/>
      <c r="D85" s="210"/>
      <c r="E85" s="211"/>
      <c r="F85" s="211"/>
      <c r="G85" s="209"/>
      <c r="H85" s="209"/>
      <c r="I85" s="213"/>
      <c r="J85" s="212"/>
      <c r="K85" s="686"/>
      <c r="L85" s="317"/>
      <c r="M85" s="317"/>
      <c r="N85" s="317"/>
      <c r="O85" s="317"/>
      <c r="P85" s="317"/>
      <c r="Q85" s="317"/>
      <c r="R85" s="317"/>
      <c r="S85" s="317"/>
      <c r="T85" s="317"/>
      <c r="U85" s="317"/>
      <c r="V85" s="317"/>
      <c r="W85" s="317"/>
      <c r="X85" s="317"/>
      <c r="Y85" s="317"/>
      <c r="Z85" s="317"/>
      <c r="AA85" s="317"/>
      <c r="AB85" s="317"/>
      <c r="AC85" s="317"/>
      <c r="AD85" s="317"/>
      <c r="AE85" s="317"/>
    </row>
    <row r="86" spans="1:35">
      <c r="A86" s="37" t="s">
        <v>41</v>
      </c>
      <c r="B86" s="37"/>
      <c r="C86" s="110"/>
      <c r="D86" s="106"/>
      <c r="E86" s="57"/>
      <c r="F86" s="57"/>
      <c r="G86" s="57"/>
      <c r="H86" s="57"/>
      <c r="I86" s="51"/>
      <c r="J86" s="663"/>
      <c r="K86" s="683">
        <f>K$82*$J86*R$9</f>
        <v>0</v>
      </c>
      <c r="L86" s="666">
        <v>25000</v>
      </c>
      <c r="M86" s="666">
        <v>1000</v>
      </c>
      <c r="N86" s="666">
        <f>$M$86*L11</f>
        <v>1020</v>
      </c>
      <c r="O86" s="666">
        <f t="shared" ref="O86:AE86" si="9">$M$86*M11</f>
        <v>1040.4000000000001</v>
      </c>
      <c r="P86" s="666">
        <f t="shared" si="9"/>
        <v>1061.2079999999999</v>
      </c>
      <c r="Q86" s="666">
        <f t="shared" si="9"/>
        <v>1082.4321600000001</v>
      </c>
      <c r="R86" s="666">
        <f t="shared" si="9"/>
        <v>1104.0808032</v>
      </c>
      <c r="S86" s="666">
        <f t="shared" si="9"/>
        <v>1126.1624192640002</v>
      </c>
      <c r="T86" s="666">
        <f t="shared" si="9"/>
        <v>1148.68566764928</v>
      </c>
      <c r="U86" s="666">
        <f t="shared" si="9"/>
        <v>1171.6593810022657</v>
      </c>
      <c r="V86" s="666">
        <v>25000</v>
      </c>
      <c r="W86" s="666">
        <f t="shared" si="9"/>
        <v>1218.9944199947574</v>
      </c>
      <c r="X86" s="666">
        <f t="shared" si="9"/>
        <v>1243.3743083946524</v>
      </c>
      <c r="Y86" s="666">
        <f t="shared" si="9"/>
        <v>1268.2417945625455</v>
      </c>
      <c r="Z86" s="666">
        <f t="shared" si="9"/>
        <v>1293.6066304537962</v>
      </c>
      <c r="AA86" s="666">
        <f t="shared" si="9"/>
        <v>1319.4787630628723</v>
      </c>
      <c r="AB86" s="666">
        <f t="shared" si="9"/>
        <v>1345.8683383241298</v>
      </c>
      <c r="AC86" s="666">
        <f t="shared" si="9"/>
        <v>1372.7857050906125</v>
      </c>
      <c r="AD86" s="666">
        <f t="shared" si="9"/>
        <v>1400.2414191924249</v>
      </c>
      <c r="AE86" s="666">
        <f t="shared" si="9"/>
        <v>1428.2462475762734</v>
      </c>
    </row>
    <row r="87" spans="1:35">
      <c r="A87" s="37" t="s">
        <v>424</v>
      </c>
      <c r="B87" s="37"/>
      <c r="C87" s="110"/>
      <c r="D87" s="106"/>
      <c r="E87" s="57"/>
      <c r="F87" s="57"/>
      <c r="G87" s="57"/>
      <c r="H87" s="57"/>
      <c r="I87" s="51"/>
      <c r="J87" s="663"/>
      <c r="K87" s="683">
        <f>K$82*$J87*R$9</f>
        <v>0</v>
      </c>
      <c r="L87" s="666">
        <v>10000</v>
      </c>
      <c r="M87" s="666">
        <v>500</v>
      </c>
      <c r="N87" s="666">
        <f>$M$87*M11</f>
        <v>520.20000000000005</v>
      </c>
      <c r="O87" s="666">
        <f>$M$87*N11</f>
        <v>530.60399999999993</v>
      </c>
      <c r="P87" s="666">
        <f>$M$87*O11</f>
        <v>541.21608000000003</v>
      </c>
      <c r="Q87" s="666">
        <v>5000</v>
      </c>
      <c r="R87" s="666">
        <f>$M$87*Q11</f>
        <v>563.08120963200008</v>
      </c>
      <c r="S87" s="666">
        <f>$M$87*R11</f>
        <v>574.34283382464002</v>
      </c>
      <c r="T87" s="666">
        <f>$M$87*S11</f>
        <v>585.82969050113286</v>
      </c>
      <c r="U87" s="666">
        <f>$M$87*T11</f>
        <v>597.54628431115555</v>
      </c>
      <c r="V87" s="666">
        <v>5000</v>
      </c>
      <c r="W87" s="666">
        <f>$M$87*V11</f>
        <v>621.68715419732621</v>
      </c>
      <c r="X87" s="666">
        <f>$M$87*W11</f>
        <v>634.12089728127273</v>
      </c>
      <c r="Y87" s="666">
        <f>$M$87*X11</f>
        <v>646.80331522689812</v>
      </c>
      <c r="Z87" s="666">
        <f>$M$87*Y11</f>
        <v>659.73938153143615</v>
      </c>
      <c r="AA87" s="666">
        <v>5000</v>
      </c>
      <c r="AB87" s="666">
        <f>$M$87*AA11</f>
        <v>686.39285254530625</v>
      </c>
      <c r="AC87" s="666">
        <f>$M$87*AB11</f>
        <v>700.12070959621246</v>
      </c>
      <c r="AD87" s="666">
        <f>$M$87*AC11</f>
        <v>714.1231237881367</v>
      </c>
      <c r="AE87" s="666">
        <f>$M$87*AD11</f>
        <v>728.40558626389941</v>
      </c>
    </row>
    <row r="88" spans="1:35">
      <c r="A88" s="37" t="s">
        <v>42</v>
      </c>
      <c r="B88" s="37"/>
      <c r="C88" s="110"/>
      <c r="D88" s="106"/>
      <c r="E88" s="57"/>
      <c r="F88" s="57"/>
      <c r="G88" s="57"/>
      <c r="H88" s="57"/>
      <c r="I88" s="51"/>
      <c r="J88" s="663"/>
      <c r="K88" s="683">
        <f>K$82*$J88*R$9</f>
        <v>0</v>
      </c>
      <c r="L88" s="666">
        <v>50000</v>
      </c>
      <c r="M88" s="666">
        <f t="shared" ref="M88:AE88" si="10">($L$88*L11)</f>
        <v>51000</v>
      </c>
      <c r="N88" s="666">
        <f t="shared" si="10"/>
        <v>52020</v>
      </c>
      <c r="O88" s="666">
        <f t="shared" si="10"/>
        <v>53060.399999999994</v>
      </c>
      <c r="P88" s="666">
        <f t="shared" si="10"/>
        <v>54121.608</v>
      </c>
      <c r="Q88" s="666">
        <f t="shared" si="10"/>
        <v>55204.040160000004</v>
      </c>
      <c r="R88" s="666">
        <f t="shared" si="10"/>
        <v>56308.120963200003</v>
      </c>
      <c r="S88" s="666">
        <f t="shared" si="10"/>
        <v>57434.283382464004</v>
      </c>
      <c r="T88" s="666">
        <f t="shared" si="10"/>
        <v>58582.969050113286</v>
      </c>
      <c r="U88" s="666">
        <f t="shared" si="10"/>
        <v>59754.628431115554</v>
      </c>
      <c r="V88" s="666">
        <f t="shared" si="10"/>
        <v>60949.720999737867</v>
      </c>
      <c r="W88" s="666">
        <f t="shared" si="10"/>
        <v>62168.715419732624</v>
      </c>
      <c r="X88" s="666">
        <f t="shared" si="10"/>
        <v>63412.089728127277</v>
      </c>
      <c r="Y88" s="666">
        <f t="shared" si="10"/>
        <v>64680.331522689812</v>
      </c>
      <c r="Z88" s="666">
        <f t="shared" si="10"/>
        <v>65973.938153143623</v>
      </c>
      <c r="AA88" s="666">
        <f t="shared" si="10"/>
        <v>67293.416916206494</v>
      </c>
      <c r="AB88" s="666">
        <f t="shared" si="10"/>
        <v>68639.285254530623</v>
      </c>
      <c r="AC88" s="666">
        <f t="shared" si="10"/>
        <v>70012.07095962124</v>
      </c>
      <c r="AD88" s="666">
        <f t="shared" si="10"/>
        <v>71412.312378813673</v>
      </c>
      <c r="AE88" s="666">
        <f t="shared" si="10"/>
        <v>72840.558626389946</v>
      </c>
    </row>
    <row r="89" spans="1:35">
      <c r="A89" s="37" t="s">
        <v>43</v>
      </c>
      <c r="B89" s="37"/>
      <c r="C89" s="110"/>
      <c r="D89" s="106"/>
      <c r="E89" s="57"/>
      <c r="F89" s="57"/>
      <c r="G89" s="57"/>
      <c r="H89" s="57"/>
      <c r="I89" s="51" t="s">
        <v>8</v>
      </c>
      <c r="J89" s="663">
        <v>500</v>
      </c>
      <c r="K89" s="683">
        <v>0</v>
      </c>
      <c r="L89" s="666">
        <f>J89*L82</f>
        <v>500</v>
      </c>
      <c r="M89" s="666">
        <f t="shared" ref="M89:AE89" si="11">$J$89*M82*L11</f>
        <v>1020</v>
      </c>
      <c r="N89" s="666">
        <f t="shared" si="11"/>
        <v>1040.4000000000001</v>
      </c>
      <c r="O89" s="666">
        <f t="shared" si="11"/>
        <v>1061.2079999999999</v>
      </c>
      <c r="P89" s="666">
        <f t="shared" si="11"/>
        <v>1082.4321600000001</v>
      </c>
      <c r="Q89" s="666">
        <f t="shared" si="11"/>
        <v>1104.0808032</v>
      </c>
      <c r="R89" s="666">
        <f t="shared" si="11"/>
        <v>1126.1624192640002</v>
      </c>
      <c r="S89" s="666">
        <f t="shared" si="11"/>
        <v>1148.68566764928</v>
      </c>
      <c r="T89" s="666">
        <f t="shared" si="11"/>
        <v>1171.6593810022657</v>
      </c>
      <c r="U89" s="666">
        <f t="shared" si="11"/>
        <v>1195.0925686223111</v>
      </c>
      <c r="V89" s="666">
        <f t="shared" si="11"/>
        <v>1218.9944199947574</v>
      </c>
      <c r="W89" s="666">
        <f t="shared" si="11"/>
        <v>1243.3743083946524</v>
      </c>
      <c r="X89" s="666">
        <f t="shared" si="11"/>
        <v>1268.2417945625455</v>
      </c>
      <c r="Y89" s="666">
        <f t="shared" si="11"/>
        <v>1293.6066304537962</v>
      </c>
      <c r="Z89" s="666">
        <f t="shared" si="11"/>
        <v>1319.4787630628723</v>
      </c>
      <c r="AA89" s="666">
        <f t="shared" si="11"/>
        <v>1345.8683383241298</v>
      </c>
      <c r="AB89" s="666">
        <f t="shared" si="11"/>
        <v>1372.7857050906125</v>
      </c>
      <c r="AC89" s="666">
        <f t="shared" si="11"/>
        <v>1400.2414191924249</v>
      </c>
      <c r="AD89" s="666">
        <f t="shared" si="11"/>
        <v>1428.2462475762734</v>
      </c>
      <c r="AE89" s="666">
        <f t="shared" si="11"/>
        <v>1456.8111725277988</v>
      </c>
    </row>
    <row r="90" spans="1:35">
      <c r="A90" s="37" t="s">
        <v>44</v>
      </c>
      <c r="B90" s="37"/>
      <c r="C90" s="110"/>
      <c r="D90" s="106"/>
      <c r="E90" s="57"/>
      <c r="F90" s="57"/>
      <c r="G90" s="57"/>
      <c r="H90" s="57"/>
      <c r="I90" s="51" t="s">
        <v>8</v>
      </c>
      <c r="J90" s="663">
        <v>250</v>
      </c>
      <c r="K90" s="683">
        <v>0</v>
      </c>
      <c r="L90" s="666">
        <f>J90*L82</f>
        <v>250</v>
      </c>
      <c r="M90" s="666">
        <f t="shared" ref="M90:AE90" si="12">$J$90*M82*L11</f>
        <v>510</v>
      </c>
      <c r="N90" s="666">
        <f t="shared" si="12"/>
        <v>520.20000000000005</v>
      </c>
      <c r="O90" s="666">
        <f t="shared" si="12"/>
        <v>530.60399999999993</v>
      </c>
      <c r="P90" s="666">
        <f t="shared" si="12"/>
        <v>541.21608000000003</v>
      </c>
      <c r="Q90" s="666">
        <f t="shared" si="12"/>
        <v>552.0404016</v>
      </c>
      <c r="R90" s="666">
        <f t="shared" si="12"/>
        <v>563.08120963200008</v>
      </c>
      <c r="S90" s="666">
        <f t="shared" si="12"/>
        <v>574.34283382464002</v>
      </c>
      <c r="T90" s="666">
        <f t="shared" si="12"/>
        <v>585.82969050113286</v>
      </c>
      <c r="U90" s="666">
        <f t="shared" si="12"/>
        <v>597.54628431115555</v>
      </c>
      <c r="V90" s="666">
        <f t="shared" si="12"/>
        <v>609.49720999737872</v>
      </c>
      <c r="W90" s="666">
        <f t="shared" si="12"/>
        <v>621.68715419732621</v>
      </c>
      <c r="X90" s="666">
        <f t="shared" si="12"/>
        <v>634.12089728127273</v>
      </c>
      <c r="Y90" s="666">
        <f t="shared" si="12"/>
        <v>646.80331522689812</v>
      </c>
      <c r="Z90" s="666">
        <f t="shared" si="12"/>
        <v>659.73938153143615</v>
      </c>
      <c r="AA90" s="666">
        <f t="shared" si="12"/>
        <v>672.9341691620649</v>
      </c>
      <c r="AB90" s="666">
        <f t="shared" si="12"/>
        <v>686.39285254530625</v>
      </c>
      <c r="AC90" s="666">
        <f t="shared" si="12"/>
        <v>700.12070959621246</v>
      </c>
      <c r="AD90" s="666">
        <f t="shared" si="12"/>
        <v>714.1231237881367</v>
      </c>
      <c r="AE90" s="666">
        <f t="shared" si="12"/>
        <v>728.40558626389941</v>
      </c>
      <c r="AF90" s="44"/>
    </row>
    <row r="91" spans="1:35">
      <c r="A91" s="745" t="s">
        <v>2</v>
      </c>
      <c r="B91" s="745"/>
      <c r="C91" s="753"/>
      <c r="D91" s="754"/>
      <c r="E91" s="746"/>
      <c r="F91" s="746"/>
      <c r="G91" s="746"/>
      <c r="H91" s="746"/>
      <c r="I91" s="755"/>
      <c r="J91" s="739"/>
      <c r="K91" s="741">
        <v>0</v>
      </c>
      <c r="L91" s="742">
        <v>1000</v>
      </c>
      <c r="M91" s="742">
        <f t="shared" ref="M91:AE91" si="13">($L$91*L11)</f>
        <v>1020</v>
      </c>
      <c r="N91" s="742">
        <f t="shared" si="13"/>
        <v>1040.4000000000001</v>
      </c>
      <c r="O91" s="742">
        <f t="shared" si="13"/>
        <v>1061.2079999999999</v>
      </c>
      <c r="P91" s="742">
        <f t="shared" si="13"/>
        <v>1082.4321600000001</v>
      </c>
      <c r="Q91" s="742">
        <f t="shared" si="13"/>
        <v>1104.0808032</v>
      </c>
      <c r="R91" s="742">
        <f t="shared" si="13"/>
        <v>1126.1624192640002</v>
      </c>
      <c r="S91" s="742">
        <f t="shared" si="13"/>
        <v>1148.68566764928</v>
      </c>
      <c r="T91" s="742">
        <f t="shared" si="13"/>
        <v>1171.6593810022657</v>
      </c>
      <c r="U91" s="742">
        <f t="shared" si="13"/>
        <v>1195.0925686223111</v>
      </c>
      <c r="V91" s="742">
        <f t="shared" si="13"/>
        <v>1218.9944199947574</v>
      </c>
      <c r="W91" s="742">
        <f t="shared" si="13"/>
        <v>1243.3743083946524</v>
      </c>
      <c r="X91" s="742">
        <f t="shared" si="13"/>
        <v>1268.2417945625455</v>
      </c>
      <c r="Y91" s="742">
        <f t="shared" si="13"/>
        <v>1293.6066304537962</v>
      </c>
      <c r="Z91" s="742">
        <f t="shared" si="13"/>
        <v>1319.4787630628723</v>
      </c>
      <c r="AA91" s="742">
        <f t="shared" si="13"/>
        <v>1345.8683383241298</v>
      </c>
      <c r="AB91" s="742">
        <f t="shared" si="13"/>
        <v>1372.7857050906125</v>
      </c>
      <c r="AC91" s="742">
        <f t="shared" si="13"/>
        <v>1400.2414191924249</v>
      </c>
      <c r="AD91" s="742">
        <f t="shared" si="13"/>
        <v>1428.2462475762734</v>
      </c>
      <c r="AE91" s="742">
        <f t="shared" si="13"/>
        <v>1456.8111725277988</v>
      </c>
    </row>
    <row r="92" spans="1:35" s="56" customFormat="1" ht="14.25">
      <c r="A92" s="164" t="s">
        <v>409</v>
      </c>
      <c r="B92" s="215"/>
      <c r="C92" s="216"/>
      <c r="D92" s="217"/>
      <c r="E92" s="218"/>
      <c r="F92" s="218"/>
      <c r="G92" s="218"/>
      <c r="H92" s="218"/>
      <c r="I92" s="219"/>
      <c r="J92" s="756"/>
      <c r="K92" s="687">
        <f>SUM(K86:K91)</f>
        <v>0</v>
      </c>
      <c r="L92" s="757">
        <f>SUM(L86:L91)</f>
        <v>86750</v>
      </c>
      <c r="M92" s="757">
        <f t="shared" ref="M92:AE92" si="14">SUM(M86:M91)</f>
        <v>55050</v>
      </c>
      <c r="N92" s="757">
        <f t="shared" si="14"/>
        <v>56161.2</v>
      </c>
      <c r="O92" s="757">
        <f t="shared" si="14"/>
        <v>57284.423999999992</v>
      </c>
      <c r="P92" s="757">
        <f t="shared" si="14"/>
        <v>58430.112479999989</v>
      </c>
      <c r="Q92" s="757">
        <f t="shared" si="14"/>
        <v>64046.674328000001</v>
      </c>
      <c r="R92" s="757">
        <f t="shared" si="14"/>
        <v>60790.689024192005</v>
      </c>
      <c r="S92" s="757">
        <f t="shared" si="14"/>
        <v>62006.502804675845</v>
      </c>
      <c r="T92" s="757">
        <f t="shared" si="14"/>
        <v>63246.632860769365</v>
      </c>
      <c r="U92" s="757">
        <f t="shared" si="14"/>
        <v>64511.565517984753</v>
      </c>
      <c r="V92" s="757">
        <f t="shared" si="14"/>
        <v>93997.207049724777</v>
      </c>
      <c r="W92" s="757">
        <f t="shared" si="14"/>
        <v>67117.832764911334</v>
      </c>
      <c r="X92" s="757">
        <f t="shared" si="14"/>
        <v>68460.189420209572</v>
      </c>
      <c r="Y92" s="757">
        <f t="shared" si="14"/>
        <v>69829.39320861375</v>
      </c>
      <c r="Z92" s="757">
        <f t="shared" si="14"/>
        <v>71225.981072786046</v>
      </c>
      <c r="AA92" s="757">
        <f t="shared" si="14"/>
        <v>76977.566525079688</v>
      </c>
      <c r="AB92" s="757">
        <f t="shared" si="14"/>
        <v>74103.510708126603</v>
      </c>
      <c r="AC92" s="757">
        <f t="shared" si="14"/>
        <v>75585.580922289111</v>
      </c>
      <c r="AD92" s="757">
        <f t="shared" si="14"/>
        <v>77097.292540734925</v>
      </c>
      <c r="AE92" s="757">
        <f t="shared" si="14"/>
        <v>78639.238391549618</v>
      </c>
    </row>
    <row r="93" spans="1:35" s="56" customFormat="1" ht="14.25">
      <c r="A93" s="164"/>
      <c r="B93" s="215"/>
      <c r="C93" s="216"/>
      <c r="D93" s="217"/>
      <c r="E93" s="218"/>
      <c r="F93" s="218"/>
      <c r="G93" s="218"/>
      <c r="H93" s="218"/>
      <c r="I93" s="219"/>
      <c r="J93" s="220"/>
      <c r="K93" s="687"/>
      <c r="L93" s="318"/>
      <c r="M93" s="318"/>
      <c r="N93" s="318"/>
      <c r="O93" s="318"/>
      <c r="P93" s="318"/>
      <c r="Q93" s="318"/>
      <c r="R93" s="318"/>
      <c r="S93" s="318"/>
      <c r="T93" s="318"/>
      <c r="U93" s="318"/>
      <c r="V93" s="318"/>
      <c r="W93" s="318"/>
      <c r="X93" s="318"/>
      <c r="Y93" s="318"/>
      <c r="Z93" s="318"/>
      <c r="AA93" s="318"/>
      <c r="AB93" s="318"/>
      <c r="AC93" s="318"/>
      <c r="AD93" s="318"/>
      <c r="AE93" s="318"/>
    </row>
    <row r="94" spans="1:35" s="56" customFormat="1" ht="14.25">
      <c r="A94" s="720" t="s">
        <v>26</v>
      </c>
      <c r="B94" s="215"/>
      <c r="C94" s="218"/>
      <c r="D94" s="721"/>
      <c r="E94" s="218"/>
      <c r="F94" s="218"/>
      <c r="G94" s="218"/>
      <c r="H94" s="218"/>
      <c r="I94" s="722"/>
      <c r="J94" s="220"/>
      <c r="K94" s="687"/>
      <c r="L94" s="318"/>
      <c r="M94" s="318"/>
      <c r="N94" s="318"/>
      <c r="O94" s="318"/>
      <c r="P94" s="318"/>
      <c r="Q94" s="318"/>
      <c r="R94" s="318"/>
      <c r="S94" s="318"/>
      <c r="T94" s="318"/>
      <c r="U94" s="318"/>
      <c r="V94" s="318"/>
      <c r="W94" s="318"/>
      <c r="X94" s="318"/>
      <c r="Y94" s="318"/>
      <c r="Z94" s="318"/>
      <c r="AA94" s="318"/>
      <c r="AB94" s="318"/>
      <c r="AC94" s="318"/>
      <c r="AD94" s="318"/>
      <c r="AE94" s="318"/>
      <c r="AF94" s="723"/>
      <c r="AG94" s="723"/>
      <c r="AH94" s="723"/>
      <c r="AI94" s="723"/>
    </row>
    <row r="95" spans="1:35">
      <c r="A95" s="190" t="s">
        <v>41</v>
      </c>
      <c r="B95" s="190"/>
      <c r="C95" s="194"/>
      <c r="D95" s="758"/>
      <c r="E95" s="194"/>
      <c r="F95" s="194"/>
      <c r="G95" s="759"/>
      <c r="H95" s="759"/>
      <c r="I95" s="760"/>
      <c r="J95" s="761"/>
      <c r="K95" s="689">
        <v>0</v>
      </c>
      <c r="L95" s="665">
        <v>1000</v>
      </c>
      <c r="M95" s="665">
        <f>$L$95*L11</f>
        <v>1020</v>
      </c>
      <c r="N95" s="665">
        <f t="shared" ref="N95:P95" si="15">$L$95*M11</f>
        <v>1040.4000000000001</v>
      </c>
      <c r="O95" s="665">
        <f t="shared" si="15"/>
        <v>1061.2079999999999</v>
      </c>
      <c r="P95" s="665">
        <f t="shared" si="15"/>
        <v>1082.4321600000001</v>
      </c>
      <c r="Q95" s="665">
        <v>25000</v>
      </c>
      <c r="R95" s="665">
        <f>$Q$95*L11</f>
        <v>25500</v>
      </c>
      <c r="S95" s="665">
        <f t="shared" ref="S95:AE95" si="16">$Q$95*M11</f>
        <v>26010</v>
      </c>
      <c r="T95" s="665">
        <f t="shared" si="16"/>
        <v>26530.199999999997</v>
      </c>
      <c r="U95" s="665">
        <f t="shared" si="16"/>
        <v>27060.804</v>
      </c>
      <c r="V95" s="665">
        <f t="shared" si="16"/>
        <v>27602.020080000002</v>
      </c>
      <c r="W95" s="665">
        <f t="shared" si="16"/>
        <v>28154.060481600001</v>
      </c>
      <c r="X95" s="665">
        <f t="shared" si="16"/>
        <v>28717.141691232002</v>
      </c>
      <c r="Y95" s="665">
        <f t="shared" si="16"/>
        <v>29291.484525056643</v>
      </c>
      <c r="Z95" s="665">
        <f t="shared" si="16"/>
        <v>29877.314215557777</v>
      </c>
      <c r="AA95" s="665">
        <f t="shared" si="16"/>
        <v>30474.860499868933</v>
      </c>
      <c r="AB95" s="665">
        <f t="shared" si="16"/>
        <v>31084.357709866312</v>
      </c>
      <c r="AC95" s="665">
        <f t="shared" si="16"/>
        <v>31706.044864063639</v>
      </c>
      <c r="AD95" s="665">
        <f t="shared" si="16"/>
        <v>32340.165761344906</v>
      </c>
      <c r="AE95" s="665">
        <f t="shared" si="16"/>
        <v>32986.969076571811</v>
      </c>
      <c r="AF95" s="55"/>
      <c r="AG95" s="55"/>
      <c r="AH95" s="55"/>
      <c r="AI95" s="55"/>
    </row>
    <row r="96" spans="1:35">
      <c r="A96" s="745" t="s">
        <v>302</v>
      </c>
      <c r="B96" s="745"/>
      <c r="C96" s="746"/>
      <c r="D96" s="116"/>
      <c r="E96" s="746"/>
      <c r="F96" s="746"/>
      <c r="G96" s="753"/>
      <c r="H96" s="753"/>
      <c r="I96" s="755"/>
      <c r="J96" s="762"/>
      <c r="K96" s="741">
        <v>0</v>
      </c>
      <c r="L96" s="742">
        <f>'Shuttle Projections'!C28/2</f>
        <v>233675</v>
      </c>
      <c r="M96" s="742">
        <f>'Shuttle Projections'!D28</f>
        <v>476697</v>
      </c>
      <c r="N96" s="742">
        <f>'Shuttle Projections'!E28</f>
        <v>486230.94000000006</v>
      </c>
      <c r="O96" s="742">
        <f>'Shuttle Projections'!F28</f>
        <v>495955.55879999994</v>
      </c>
      <c r="P96" s="742">
        <f>'Shuttle Projections'!G28</f>
        <v>505874.66997599998</v>
      </c>
      <c r="Q96" s="742">
        <f>'Shuttle Projections'!H28</f>
        <v>515992.16337552003</v>
      </c>
      <c r="R96" s="742">
        <f>'Shuttle Projections'!I28</f>
        <v>526312.00664303044</v>
      </c>
      <c r="S96" s="742">
        <f>'Shuttle Projections'!J28</f>
        <v>536838.24677589093</v>
      </c>
      <c r="T96" s="742">
        <f>'Shuttle Projections'!K28</f>
        <v>547575.01171140897</v>
      </c>
      <c r="U96" s="742">
        <f>'Shuttle Projections'!L28</f>
        <v>558526.51194563706</v>
      </c>
      <c r="V96" s="742">
        <f>'Shuttle Projections'!M28</f>
        <v>569697.04218454985</v>
      </c>
      <c r="W96" s="742">
        <f>'Shuttle Projections'!N28</f>
        <v>581090.98302824085</v>
      </c>
      <c r="X96" s="742">
        <f>'Shuttle Projections'!O28</f>
        <v>592712.80268880562</v>
      </c>
      <c r="Y96" s="742">
        <f>'Shuttle Projections'!P28</f>
        <v>604567.05874258175</v>
      </c>
      <c r="Z96" s="742">
        <f>'Shuttle Projections'!Q28</f>
        <v>616658.39991743339</v>
      </c>
      <c r="AA96" s="742">
        <f>'Shuttle Projections'!R28</f>
        <v>628991.5679157821</v>
      </c>
      <c r="AB96" s="742">
        <f>'Shuttle Projections'!S28</f>
        <v>641571.39927409776</v>
      </c>
      <c r="AC96" s="742">
        <f>'Shuttle Projections'!T28</f>
        <v>654402.82725957979</v>
      </c>
      <c r="AD96" s="742">
        <f>'Shuttle Projections'!U28</f>
        <v>667490.88380477135</v>
      </c>
      <c r="AE96" s="742">
        <f>'Shuttle Projections'!V28</f>
        <v>680840.70148086676</v>
      </c>
    </row>
    <row r="97" spans="1:33" s="56" customFormat="1" ht="14.25">
      <c r="A97" s="164" t="s">
        <v>410</v>
      </c>
      <c r="B97" s="164"/>
      <c r="C97" s="75"/>
      <c r="D97" s="173"/>
      <c r="E97" s="75"/>
      <c r="F97" s="75"/>
      <c r="G97" s="75"/>
      <c r="H97" s="75"/>
      <c r="I97" s="174"/>
      <c r="J97" s="175"/>
      <c r="K97" s="685">
        <v>0</v>
      </c>
      <c r="L97" s="669">
        <f>SUM(L95:L96)</f>
        <v>234675</v>
      </c>
      <c r="M97" s="669">
        <f t="shared" ref="M97:AE97" si="17">SUM(M95:M96)</f>
        <v>477717</v>
      </c>
      <c r="N97" s="669">
        <f t="shared" si="17"/>
        <v>487271.34000000008</v>
      </c>
      <c r="O97" s="669">
        <f t="shared" si="17"/>
        <v>497016.76679999992</v>
      </c>
      <c r="P97" s="669">
        <f t="shared" si="17"/>
        <v>506957.102136</v>
      </c>
      <c r="Q97" s="669">
        <f t="shared" si="17"/>
        <v>540992.16337552003</v>
      </c>
      <c r="R97" s="669">
        <f t="shared" si="17"/>
        <v>551812.00664303044</v>
      </c>
      <c r="S97" s="669">
        <f t="shared" si="17"/>
        <v>562848.24677589093</v>
      </c>
      <c r="T97" s="669">
        <f t="shared" si="17"/>
        <v>574105.21171140892</v>
      </c>
      <c r="U97" s="669">
        <f t="shared" si="17"/>
        <v>585587.31594563706</v>
      </c>
      <c r="V97" s="669">
        <f t="shared" si="17"/>
        <v>597299.0622645499</v>
      </c>
      <c r="W97" s="669">
        <f t="shared" si="17"/>
        <v>609245.04350984085</v>
      </c>
      <c r="X97" s="669">
        <f t="shared" si="17"/>
        <v>621429.9443800376</v>
      </c>
      <c r="Y97" s="669">
        <f t="shared" si="17"/>
        <v>633858.54326763842</v>
      </c>
      <c r="Z97" s="669">
        <f t="shared" si="17"/>
        <v>646535.71413299115</v>
      </c>
      <c r="AA97" s="669">
        <f t="shared" si="17"/>
        <v>659466.42841565108</v>
      </c>
      <c r="AB97" s="669">
        <f t="shared" si="17"/>
        <v>672655.75698396412</v>
      </c>
      <c r="AC97" s="669">
        <f t="shared" si="17"/>
        <v>686108.87212364341</v>
      </c>
      <c r="AD97" s="669">
        <f t="shared" si="17"/>
        <v>699831.0495661163</v>
      </c>
      <c r="AE97" s="669">
        <f t="shared" si="17"/>
        <v>713827.67055743863</v>
      </c>
    </row>
    <row r="98" spans="1:33" s="56" customFormat="1" ht="14.25">
      <c r="A98" s="164"/>
      <c r="B98" s="164"/>
      <c r="C98" s="75"/>
      <c r="D98" s="173"/>
      <c r="E98" s="75"/>
      <c r="F98" s="75"/>
      <c r="G98" s="75"/>
      <c r="H98" s="75"/>
      <c r="I98" s="174"/>
      <c r="J98" s="175"/>
      <c r="K98" s="685"/>
      <c r="L98" s="669"/>
      <c r="M98" s="669"/>
      <c r="N98" s="669"/>
      <c r="O98" s="669"/>
      <c r="P98" s="669"/>
      <c r="Q98" s="669"/>
      <c r="R98" s="669"/>
      <c r="S98" s="669"/>
      <c r="T98" s="669"/>
      <c r="U98" s="669"/>
      <c r="V98" s="669"/>
      <c r="W98" s="669"/>
      <c r="X98" s="669"/>
      <c r="Y98" s="669"/>
      <c r="Z98" s="669"/>
      <c r="AA98" s="669"/>
      <c r="AB98" s="669"/>
      <c r="AC98" s="669"/>
      <c r="AD98" s="669"/>
      <c r="AE98" s="669"/>
    </row>
    <row r="99" spans="1:33" s="56" customFormat="1" ht="14.25">
      <c r="A99" s="164" t="s">
        <v>78</v>
      </c>
      <c r="B99" s="164"/>
      <c r="C99" s="75"/>
      <c r="D99" s="173"/>
      <c r="E99" s="75"/>
      <c r="F99" s="75"/>
      <c r="G99" s="75"/>
      <c r="H99" s="75"/>
      <c r="I99" s="174"/>
      <c r="J99" s="175"/>
      <c r="K99" s="685">
        <v>0</v>
      </c>
      <c r="L99" s="669">
        <f>SUM(L92,L97)</f>
        <v>321425</v>
      </c>
      <c r="M99" s="669">
        <f t="shared" ref="M99:AE99" si="18">SUM(M92,M97)</f>
        <v>532767</v>
      </c>
      <c r="N99" s="669">
        <f t="shared" si="18"/>
        <v>543432.54</v>
      </c>
      <c r="O99" s="669">
        <f t="shared" si="18"/>
        <v>554301.19079999987</v>
      </c>
      <c r="P99" s="669">
        <f t="shared" si="18"/>
        <v>565387.21461599995</v>
      </c>
      <c r="Q99" s="669">
        <f t="shared" si="18"/>
        <v>605038.83770352008</v>
      </c>
      <c r="R99" s="669">
        <f t="shared" si="18"/>
        <v>612602.69566722249</v>
      </c>
      <c r="S99" s="669">
        <f t="shared" si="18"/>
        <v>624854.74958056677</v>
      </c>
      <c r="T99" s="669">
        <f t="shared" si="18"/>
        <v>637351.84457217832</v>
      </c>
      <c r="U99" s="669">
        <f t="shared" si="18"/>
        <v>650098.88146362186</v>
      </c>
      <c r="V99" s="669">
        <f t="shared" si="18"/>
        <v>691296.26931427466</v>
      </c>
      <c r="W99" s="669">
        <f t="shared" si="18"/>
        <v>676362.8762747522</v>
      </c>
      <c r="X99" s="669">
        <f t="shared" si="18"/>
        <v>689890.13380024722</v>
      </c>
      <c r="Y99" s="669">
        <f t="shared" si="18"/>
        <v>703687.93647625216</v>
      </c>
      <c r="Z99" s="669">
        <f t="shared" si="18"/>
        <v>717761.69520577719</v>
      </c>
      <c r="AA99" s="669">
        <f t="shared" si="18"/>
        <v>736443.99494073074</v>
      </c>
      <c r="AB99" s="669">
        <f t="shared" si="18"/>
        <v>746759.26769209071</v>
      </c>
      <c r="AC99" s="669">
        <f t="shared" si="18"/>
        <v>761694.45304593258</v>
      </c>
      <c r="AD99" s="669">
        <f t="shared" si="18"/>
        <v>776928.34210685128</v>
      </c>
      <c r="AE99" s="669">
        <f t="shared" si="18"/>
        <v>792466.90894898819</v>
      </c>
    </row>
    <row r="100" spans="1:33">
      <c r="A100" s="47"/>
      <c r="B100" s="47"/>
      <c r="C100" s="78"/>
      <c r="D100" s="100"/>
      <c r="E100" s="78"/>
      <c r="F100" s="78"/>
      <c r="G100" s="78"/>
      <c r="H100" s="78"/>
      <c r="I100" s="52"/>
      <c r="J100" s="114"/>
      <c r="K100" s="683"/>
      <c r="L100" s="115"/>
      <c r="M100" s="115"/>
      <c r="N100" s="115"/>
      <c r="O100" s="115"/>
      <c r="P100" s="115"/>
      <c r="Q100" s="115"/>
      <c r="R100" s="115"/>
      <c r="S100" s="115"/>
      <c r="T100" s="115"/>
      <c r="U100" s="115"/>
      <c r="V100" s="115"/>
      <c r="W100" s="115"/>
      <c r="X100" s="115"/>
      <c r="Y100" s="115"/>
      <c r="Z100" s="115"/>
      <c r="AA100" s="115"/>
      <c r="AB100" s="115"/>
      <c r="AC100" s="115"/>
      <c r="AD100" s="115"/>
      <c r="AE100" s="115"/>
    </row>
    <row r="101" spans="1:33">
      <c r="A101" s="168" t="s">
        <v>25</v>
      </c>
      <c r="B101" s="168"/>
      <c r="C101" s="176"/>
      <c r="D101" s="177"/>
      <c r="E101" s="176"/>
      <c r="F101" s="176"/>
      <c r="G101" s="176"/>
      <c r="H101" s="176"/>
      <c r="I101" s="178"/>
      <c r="J101" s="179"/>
      <c r="K101" s="682"/>
      <c r="L101" s="319"/>
      <c r="M101" s="319"/>
      <c r="N101" s="319"/>
      <c r="O101" s="319"/>
      <c r="P101" s="319"/>
      <c r="Q101" s="319"/>
      <c r="R101" s="319"/>
      <c r="S101" s="319"/>
      <c r="T101" s="319"/>
      <c r="U101" s="319"/>
      <c r="V101" s="319"/>
      <c r="W101" s="319"/>
      <c r="X101" s="319"/>
      <c r="Y101" s="319"/>
      <c r="Z101" s="319"/>
      <c r="AA101" s="319"/>
      <c r="AB101" s="319"/>
      <c r="AC101" s="319"/>
      <c r="AD101" s="319"/>
      <c r="AE101" s="319"/>
    </row>
    <row r="102" spans="1:33" s="252" customFormat="1">
      <c r="A102" s="183"/>
      <c r="B102" s="183"/>
      <c r="C102" s="185"/>
      <c r="D102" s="186"/>
      <c r="E102" s="185"/>
      <c r="F102" s="185"/>
      <c r="G102" s="185"/>
      <c r="H102" s="185"/>
      <c r="I102" s="302"/>
      <c r="J102" s="188"/>
      <c r="K102" s="683"/>
      <c r="L102" s="320"/>
      <c r="M102" s="320"/>
      <c r="N102" s="320"/>
      <c r="O102" s="320"/>
      <c r="P102" s="320"/>
      <c r="Q102" s="320"/>
      <c r="R102" s="320"/>
      <c r="S102" s="320"/>
      <c r="T102" s="320"/>
      <c r="U102" s="320"/>
      <c r="V102" s="320"/>
      <c r="W102" s="320"/>
      <c r="X102" s="320"/>
      <c r="Y102" s="320"/>
      <c r="Z102" s="320"/>
      <c r="AA102" s="320"/>
      <c r="AB102" s="320"/>
      <c r="AC102" s="320"/>
      <c r="AD102" s="320"/>
      <c r="AE102" s="320"/>
    </row>
    <row r="103" spans="1:33">
      <c r="A103" s="37" t="s">
        <v>425</v>
      </c>
      <c r="B103" s="37"/>
      <c r="C103" s="57"/>
      <c r="E103" s="57"/>
      <c r="F103" s="57"/>
      <c r="G103" s="57"/>
      <c r="H103" s="998"/>
      <c r="I103" s="51" t="s">
        <v>532</v>
      </c>
      <c r="J103" s="624">
        <f>((6350/6)*7)+((6500/6)*7)</f>
        <v>14991.666666666666</v>
      </c>
      <c r="K103" s="683">
        <v>0</v>
      </c>
      <c r="L103" s="671">
        <f>J103</f>
        <v>14991.666666666666</v>
      </c>
      <c r="M103" s="671">
        <f>$L$103*L11</f>
        <v>15291.5</v>
      </c>
      <c r="N103" s="671">
        <f t="shared" ref="N103:AE103" si="19">$L$103*M11</f>
        <v>15597.33</v>
      </c>
      <c r="O103" s="671">
        <f t="shared" si="19"/>
        <v>15909.276599999997</v>
      </c>
      <c r="P103" s="671">
        <f t="shared" si="19"/>
        <v>16227.462131999999</v>
      </c>
      <c r="Q103" s="671">
        <f t="shared" si="19"/>
        <v>16552.011374639998</v>
      </c>
      <c r="R103" s="671">
        <f t="shared" si="19"/>
        <v>16883.0516021328</v>
      </c>
      <c r="S103" s="671">
        <f t="shared" si="19"/>
        <v>17220.712634175456</v>
      </c>
      <c r="T103" s="671">
        <f t="shared" si="19"/>
        <v>17565.126886858965</v>
      </c>
      <c r="U103" s="671">
        <f t="shared" si="19"/>
        <v>17916.429424596146</v>
      </c>
      <c r="V103" s="671">
        <f t="shared" si="19"/>
        <v>18274.758013088071</v>
      </c>
      <c r="W103" s="671">
        <f t="shared" si="19"/>
        <v>18640.253173349829</v>
      </c>
      <c r="X103" s="671">
        <f t="shared" si="19"/>
        <v>19013.058236816825</v>
      </c>
      <c r="Y103" s="671">
        <f t="shared" si="19"/>
        <v>19393.319401553163</v>
      </c>
      <c r="Z103" s="671">
        <f t="shared" si="19"/>
        <v>19781.185789584226</v>
      </c>
      <c r="AA103" s="671">
        <f t="shared" si="19"/>
        <v>20176.809505375913</v>
      </c>
      <c r="AB103" s="671">
        <f t="shared" si="19"/>
        <v>20580.345695483433</v>
      </c>
      <c r="AC103" s="671">
        <f t="shared" si="19"/>
        <v>20991.952609393102</v>
      </c>
      <c r="AD103" s="671">
        <f t="shared" si="19"/>
        <v>21411.791661580963</v>
      </c>
      <c r="AE103" s="671">
        <f t="shared" si="19"/>
        <v>21840.027494812584</v>
      </c>
    </row>
    <row r="104" spans="1:33">
      <c r="A104" s="37" t="s">
        <v>16</v>
      </c>
      <c r="B104" s="37"/>
      <c r="C104" s="57"/>
      <c r="E104" s="57"/>
      <c r="F104" s="57"/>
      <c r="G104" s="57"/>
      <c r="H104" s="998"/>
      <c r="I104" s="51" t="s">
        <v>17</v>
      </c>
      <c r="J104" s="624">
        <f>1250</f>
        <v>1250</v>
      </c>
      <c r="K104" s="683">
        <v>0</v>
      </c>
      <c r="L104" s="671">
        <f>J104*7</f>
        <v>8750</v>
      </c>
      <c r="M104" s="671">
        <f>$L$104*L11</f>
        <v>8925</v>
      </c>
      <c r="N104" s="671">
        <f t="shared" ref="N104:AE104" si="20">$L$104*M11</f>
        <v>9103.5</v>
      </c>
      <c r="O104" s="671">
        <f t="shared" si="20"/>
        <v>9285.57</v>
      </c>
      <c r="P104" s="671">
        <f t="shared" si="20"/>
        <v>9471.2813999999998</v>
      </c>
      <c r="Q104" s="671">
        <f t="shared" si="20"/>
        <v>9660.7070280000007</v>
      </c>
      <c r="R104" s="671">
        <f t="shared" si="20"/>
        <v>9853.9211685600003</v>
      </c>
      <c r="S104" s="671">
        <f t="shared" si="20"/>
        <v>10050.9995919312</v>
      </c>
      <c r="T104" s="671">
        <f t="shared" si="20"/>
        <v>10252.019583769825</v>
      </c>
      <c r="U104" s="671">
        <f t="shared" si="20"/>
        <v>10457.059975445221</v>
      </c>
      <c r="V104" s="671">
        <f t="shared" si="20"/>
        <v>10666.201174954127</v>
      </c>
      <c r="W104" s="671">
        <f t="shared" si="20"/>
        <v>10879.52519845321</v>
      </c>
      <c r="X104" s="671">
        <f t="shared" si="20"/>
        <v>11097.115702422274</v>
      </c>
      <c r="Y104" s="671">
        <f t="shared" si="20"/>
        <v>11319.058016470717</v>
      </c>
      <c r="Z104" s="671">
        <f t="shared" si="20"/>
        <v>11545.439176800133</v>
      </c>
      <c r="AA104" s="671">
        <f t="shared" si="20"/>
        <v>11776.347960336136</v>
      </c>
      <c r="AB104" s="671">
        <f t="shared" si="20"/>
        <v>12011.874919542859</v>
      </c>
      <c r="AC104" s="671">
        <f t="shared" si="20"/>
        <v>12252.112417933717</v>
      </c>
      <c r="AD104" s="671">
        <f t="shared" si="20"/>
        <v>12497.154666292392</v>
      </c>
      <c r="AE104" s="671">
        <f t="shared" si="20"/>
        <v>12747.09775961824</v>
      </c>
    </row>
    <row r="105" spans="1:33" s="702" customFormat="1">
      <c r="A105" s="701" t="s">
        <v>53</v>
      </c>
      <c r="B105" s="701"/>
      <c r="C105" s="705"/>
      <c r="D105" s="984"/>
      <c r="E105" s="705"/>
      <c r="F105" s="705"/>
      <c r="G105" s="705"/>
      <c r="H105" s="985"/>
      <c r="I105" s="706" t="s">
        <v>17</v>
      </c>
      <c r="J105" s="986">
        <v>0</v>
      </c>
      <c r="K105" s="987">
        <v>0</v>
      </c>
      <c r="L105" s="988">
        <f t="shared" ref="L105:L106" si="21">J105*12</f>
        <v>0</v>
      </c>
      <c r="M105" s="988">
        <f t="shared" ref="M105:M106" si="22">L105*1.03</f>
        <v>0</v>
      </c>
      <c r="N105" s="988">
        <f t="shared" ref="N105:N106" si="23">M105*1.03</f>
        <v>0</v>
      </c>
      <c r="O105" s="988">
        <f t="shared" ref="O105:O106" si="24">N105*1.03</f>
        <v>0</v>
      </c>
      <c r="P105" s="988">
        <f t="shared" ref="P105:P106" si="25">O105*1.03</f>
        <v>0</v>
      </c>
      <c r="Q105" s="988">
        <f t="shared" ref="Q105:Q106" si="26">P105*1.03</f>
        <v>0</v>
      </c>
      <c r="R105" s="988">
        <f t="shared" ref="R105:R106" si="27">Q105*1.03</f>
        <v>0</v>
      </c>
      <c r="S105" s="988">
        <f t="shared" ref="S105:S106" si="28">R105*1.03</f>
        <v>0</v>
      </c>
      <c r="T105" s="988">
        <f t="shared" ref="T105:T106" si="29">S105*1.03</f>
        <v>0</v>
      </c>
      <c r="U105" s="988">
        <f t="shared" ref="U105:U106" si="30">T105*1.03</f>
        <v>0</v>
      </c>
      <c r="V105" s="988">
        <f t="shared" ref="V105:V106" si="31">U105*1.03</f>
        <v>0</v>
      </c>
      <c r="W105" s="988">
        <f t="shared" ref="W105:W106" si="32">V105*1.03</f>
        <v>0</v>
      </c>
      <c r="X105" s="988">
        <f t="shared" ref="X105:X106" si="33">W105*1.03</f>
        <v>0</v>
      </c>
      <c r="Y105" s="988">
        <f t="shared" ref="Y105:Y106" si="34">X105*1.03</f>
        <v>0</v>
      </c>
      <c r="Z105" s="988">
        <f t="shared" ref="Z105:Z106" si="35">Y105*1.03</f>
        <v>0</v>
      </c>
      <c r="AA105" s="988">
        <f t="shared" ref="AA105:AA106" si="36">Z105*1.03</f>
        <v>0</v>
      </c>
      <c r="AB105" s="988">
        <f t="shared" ref="AB105:AB106" si="37">AA105*1.03</f>
        <v>0</v>
      </c>
      <c r="AC105" s="988">
        <f t="shared" ref="AC105:AC106" si="38">AB105*1.03</f>
        <v>0</v>
      </c>
      <c r="AD105" s="988">
        <f t="shared" ref="AD105:AD106" si="39">AC105*1.03</f>
        <v>0</v>
      </c>
      <c r="AE105" s="988">
        <f t="shared" ref="AE105:AE106" si="40">AD105*1.03</f>
        <v>0</v>
      </c>
    </row>
    <row r="106" spans="1:33" s="702" customFormat="1">
      <c r="A106" s="989" t="s">
        <v>54</v>
      </c>
      <c r="B106" s="990"/>
      <c r="C106" s="991"/>
      <c r="D106" s="992"/>
      <c r="E106" s="991"/>
      <c r="F106" s="991"/>
      <c r="G106" s="991"/>
      <c r="H106" s="993"/>
      <c r="I106" s="994" t="s">
        <v>17</v>
      </c>
      <c r="J106" s="995">
        <v>0</v>
      </c>
      <c r="K106" s="996">
        <v>0</v>
      </c>
      <c r="L106" s="997">
        <f t="shared" si="21"/>
        <v>0</v>
      </c>
      <c r="M106" s="997">
        <f t="shared" si="22"/>
        <v>0</v>
      </c>
      <c r="N106" s="997">
        <f t="shared" si="23"/>
        <v>0</v>
      </c>
      <c r="O106" s="997">
        <f t="shared" si="24"/>
        <v>0</v>
      </c>
      <c r="P106" s="997">
        <f t="shared" si="25"/>
        <v>0</v>
      </c>
      <c r="Q106" s="997">
        <f t="shared" si="26"/>
        <v>0</v>
      </c>
      <c r="R106" s="997">
        <f t="shared" si="27"/>
        <v>0</v>
      </c>
      <c r="S106" s="997">
        <f t="shared" si="28"/>
        <v>0</v>
      </c>
      <c r="T106" s="997">
        <f t="shared" si="29"/>
        <v>0</v>
      </c>
      <c r="U106" s="997">
        <f t="shared" si="30"/>
        <v>0</v>
      </c>
      <c r="V106" s="997">
        <f t="shared" si="31"/>
        <v>0</v>
      </c>
      <c r="W106" s="997">
        <f t="shared" si="32"/>
        <v>0</v>
      </c>
      <c r="X106" s="997">
        <f t="shared" si="33"/>
        <v>0</v>
      </c>
      <c r="Y106" s="997">
        <f t="shared" si="34"/>
        <v>0</v>
      </c>
      <c r="Z106" s="997">
        <f t="shared" si="35"/>
        <v>0</v>
      </c>
      <c r="AA106" s="997">
        <f t="shared" si="36"/>
        <v>0</v>
      </c>
      <c r="AB106" s="997">
        <f t="shared" si="37"/>
        <v>0</v>
      </c>
      <c r="AC106" s="997">
        <f t="shared" si="38"/>
        <v>0</v>
      </c>
      <c r="AD106" s="997">
        <f t="shared" si="39"/>
        <v>0</v>
      </c>
      <c r="AE106" s="997">
        <f t="shared" si="40"/>
        <v>0</v>
      </c>
    </row>
    <row r="107" spans="1:33" s="56" customFormat="1" ht="14.25">
      <c r="A107" s="56" t="s">
        <v>55</v>
      </c>
      <c r="B107" s="164"/>
      <c r="C107" s="75"/>
      <c r="D107" s="173"/>
      <c r="E107" s="75"/>
      <c r="F107" s="75"/>
      <c r="G107" s="75"/>
      <c r="H107" s="75"/>
      <c r="I107" s="999"/>
      <c r="J107" s="1000"/>
      <c r="K107" s="685">
        <v>0</v>
      </c>
      <c r="L107" s="1001">
        <f>SUM(L103:L106)</f>
        <v>23741.666666666664</v>
      </c>
      <c r="M107" s="1001">
        <f t="shared" ref="M107" si="41">SUM(M103:M106)</f>
        <v>24216.5</v>
      </c>
      <c r="N107" s="1001">
        <f t="shared" ref="N107" si="42">SUM(N103:N106)</f>
        <v>24700.83</v>
      </c>
      <c r="O107" s="1001">
        <f t="shared" ref="O107" si="43">SUM(O103:O106)</f>
        <v>25194.846599999997</v>
      </c>
      <c r="P107" s="1001">
        <f t="shared" ref="P107" si="44">SUM(P103:P106)</f>
        <v>25698.743532</v>
      </c>
      <c r="Q107" s="1001">
        <f t="shared" ref="Q107" si="45">SUM(Q103:Q106)</f>
        <v>26212.718402639999</v>
      </c>
      <c r="R107" s="1001">
        <f t="shared" ref="R107" si="46">SUM(R103:R106)</f>
        <v>26736.972770692802</v>
      </c>
      <c r="S107" s="1001">
        <f t="shared" ref="S107" si="47">SUM(S103:S106)</f>
        <v>27271.712226106654</v>
      </c>
      <c r="T107" s="1001">
        <f t="shared" ref="T107" si="48">SUM(T103:T106)</f>
        <v>27817.146470628788</v>
      </c>
      <c r="U107" s="1001">
        <f t="shared" ref="U107" si="49">SUM(U103:U106)</f>
        <v>28373.48940004137</v>
      </c>
      <c r="V107" s="1001">
        <f t="shared" ref="V107" si="50">SUM(V103:V106)</f>
        <v>28940.959188042198</v>
      </c>
      <c r="W107" s="1001">
        <f t="shared" ref="W107" si="51">SUM(W103:W106)</f>
        <v>29519.77837180304</v>
      </c>
      <c r="X107" s="1001">
        <f t="shared" ref="X107" si="52">SUM(X103:X106)</f>
        <v>30110.173939239099</v>
      </c>
      <c r="Y107" s="1001">
        <f t="shared" ref="Y107" si="53">SUM(Y103:Y106)</f>
        <v>30712.37741802388</v>
      </c>
      <c r="Z107" s="1001">
        <f t="shared" ref="Z107" si="54">SUM(Z103:Z106)</f>
        <v>31326.624966384359</v>
      </c>
      <c r="AA107" s="1001">
        <f t="shared" ref="AA107" si="55">SUM(AA103:AA106)</f>
        <v>31953.157465712051</v>
      </c>
      <c r="AB107" s="1001">
        <f t="shared" ref="AB107" si="56">SUM(AB103:AB106)</f>
        <v>32592.220615026294</v>
      </c>
      <c r="AC107" s="1001">
        <f t="shared" ref="AC107" si="57">SUM(AC103:AC106)</f>
        <v>33244.065027326818</v>
      </c>
      <c r="AD107" s="1001">
        <f t="shared" ref="AD107" si="58">SUM(AD103:AD106)</f>
        <v>33908.946327873353</v>
      </c>
      <c r="AE107" s="1001">
        <f t="shared" ref="AE107" si="59">SUM(AE103:AE106)</f>
        <v>34587.125254430823</v>
      </c>
    </row>
    <row r="108" spans="1:33">
      <c r="A108" s="56"/>
      <c r="B108" s="37"/>
      <c r="C108" s="57"/>
      <c r="E108" s="57"/>
      <c r="F108" s="57"/>
      <c r="G108" s="57"/>
      <c r="H108" s="57"/>
      <c r="I108" s="51"/>
      <c r="J108" s="624"/>
      <c r="K108" s="683"/>
      <c r="L108" s="666"/>
      <c r="M108" s="666"/>
      <c r="N108" s="666"/>
      <c r="O108" s="666"/>
      <c r="P108" s="666"/>
      <c r="Q108" s="666"/>
      <c r="R108" s="666"/>
      <c r="S108" s="666"/>
      <c r="T108" s="666"/>
      <c r="U108" s="666"/>
      <c r="V108" s="666"/>
      <c r="W108" s="666"/>
      <c r="X108" s="666"/>
      <c r="Y108" s="666"/>
      <c r="Z108" s="666"/>
      <c r="AA108" s="666"/>
      <c r="AB108" s="666"/>
      <c r="AC108" s="666"/>
      <c r="AD108" s="666"/>
      <c r="AE108" s="666"/>
    </row>
    <row r="109" spans="1:33">
      <c r="A109" s="47" t="s">
        <v>7</v>
      </c>
      <c r="B109" s="47" t="s">
        <v>7</v>
      </c>
      <c r="C109" s="78" t="s">
        <v>7</v>
      </c>
      <c r="D109" s="100"/>
      <c r="E109" s="78" t="s">
        <v>7</v>
      </c>
      <c r="F109" s="78"/>
      <c r="G109" s="78" t="s">
        <v>7</v>
      </c>
      <c r="H109" s="78"/>
      <c r="I109" s="52" t="s">
        <v>7</v>
      </c>
      <c r="J109" s="672"/>
      <c r="K109" s="673"/>
      <c r="L109" s="672"/>
      <c r="M109" s="672"/>
      <c r="N109" s="672"/>
      <c r="O109" s="672"/>
      <c r="P109" s="672"/>
      <c r="Q109" s="672"/>
      <c r="R109" s="672"/>
      <c r="S109" s="672"/>
      <c r="T109" s="672"/>
      <c r="U109" s="672"/>
      <c r="V109" s="672"/>
      <c r="W109" s="672"/>
      <c r="X109" s="672"/>
      <c r="Y109" s="672"/>
      <c r="Z109" s="672"/>
      <c r="AA109" s="672"/>
      <c r="AB109" s="672"/>
      <c r="AC109" s="672"/>
      <c r="AD109" s="672"/>
      <c r="AE109" s="672"/>
    </row>
    <row r="110" spans="1:33">
      <c r="A110" s="47"/>
      <c r="B110" s="47"/>
      <c r="C110" s="78"/>
      <c r="D110" s="100"/>
      <c r="E110" s="78"/>
      <c r="F110" s="78"/>
      <c r="G110" s="78"/>
      <c r="H110" s="78"/>
      <c r="I110" s="52"/>
      <c r="J110" s="672"/>
      <c r="K110" s="683"/>
      <c r="L110" s="666"/>
      <c r="M110" s="666"/>
      <c r="N110" s="666"/>
      <c r="O110" s="666"/>
      <c r="P110" s="666"/>
      <c r="Q110" s="666"/>
      <c r="R110" s="666"/>
      <c r="S110" s="666"/>
      <c r="T110" s="666"/>
      <c r="U110" s="666"/>
      <c r="V110" s="666"/>
      <c r="W110" s="666"/>
      <c r="X110" s="666"/>
      <c r="Y110" s="666"/>
      <c r="Z110" s="666"/>
      <c r="AA110" s="666"/>
      <c r="AB110" s="666"/>
      <c r="AC110" s="666"/>
      <c r="AD110" s="666"/>
      <c r="AE110" s="666"/>
    </row>
    <row r="111" spans="1:33" s="56" customFormat="1" ht="14.25">
      <c r="A111" s="203" t="s">
        <v>303</v>
      </c>
      <c r="B111" s="203"/>
      <c r="C111" s="204"/>
      <c r="D111" s="205"/>
      <c r="E111" s="204"/>
      <c r="F111" s="204"/>
      <c r="G111" s="204"/>
      <c r="H111" s="204"/>
      <c r="I111" s="206"/>
      <c r="J111" s="674"/>
      <c r="K111" s="676">
        <f>SUM(K78,K99,K107)</f>
        <v>0</v>
      </c>
      <c r="L111" s="676">
        <f>SUM(L78,L99,L107)</f>
        <v>357416.66666666669</v>
      </c>
      <c r="M111" s="676">
        <f t="shared" ref="M111:AE111" si="60">SUM(M78,M99,M107)</f>
        <v>686483.5</v>
      </c>
      <c r="N111" s="676">
        <f t="shared" si="60"/>
        <v>700223.37</v>
      </c>
      <c r="O111" s="676">
        <f t="shared" si="60"/>
        <v>714227.83739999984</v>
      </c>
      <c r="P111" s="676">
        <f t="shared" si="60"/>
        <v>728512.39414799993</v>
      </c>
      <c r="Q111" s="676">
        <f t="shared" si="60"/>
        <v>771426.52082615998</v>
      </c>
      <c r="R111" s="676">
        <f t="shared" si="60"/>
        <v>782318.1324523153</v>
      </c>
      <c r="S111" s="676">
        <f t="shared" si="60"/>
        <v>797964.49510136142</v>
      </c>
      <c r="T111" s="676">
        <f t="shared" si="60"/>
        <v>813923.78500338888</v>
      </c>
      <c r="U111" s="676">
        <f t="shared" si="60"/>
        <v>830202.2607034567</v>
      </c>
      <c r="V111" s="676">
        <f t="shared" si="60"/>
        <v>875001.71613890608</v>
      </c>
      <c r="W111" s="676">
        <f t="shared" si="60"/>
        <v>863742.43203587621</v>
      </c>
      <c r="X111" s="676">
        <f t="shared" si="60"/>
        <v>881017.28067659389</v>
      </c>
      <c r="Y111" s="676">
        <f t="shared" si="60"/>
        <v>898637.62629012566</v>
      </c>
      <c r="Z111" s="676">
        <f t="shared" si="60"/>
        <v>916610.37881592824</v>
      </c>
      <c r="AA111" s="676">
        <f t="shared" si="60"/>
        <v>939269.6522230847</v>
      </c>
      <c r="AB111" s="676">
        <f t="shared" si="60"/>
        <v>953641.4381200918</v>
      </c>
      <c r="AC111" s="676">
        <f t="shared" si="60"/>
        <v>972714.26688249363</v>
      </c>
      <c r="AD111" s="676">
        <f t="shared" si="60"/>
        <v>992168.55222014373</v>
      </c>
      <c r="AE111" s="676">
        <f t="shared" si="60"/>
        <v>1012011.9232645463</v>
      </c>
      <c r="AG111" s="199"/>
    </row>
    <row r="112" spans="1:33">
      <c r="A112" s="37"/>
      <c r="B112" s="37"/>
      <c r="C112" s="57"/>
      <c r="E112" s="110"/>
      <c r="F112" s="110"/>
      <c r="G112" s="57"/>
      <c r="H112" s="57"/>
      <c r="I112" s="43"/>
      <c r="J112" s="44"/>
      <c r="K112" s="683"/>
      <c r="L112" s="115"/>
      <c r="M112" s="115"/>
      <c r="N112" s="115"/>
      <c r="O112" s="115"/>
      <c r="P112" s="115"/>
      <c r="Q112" s="115"/>
      <c r="R112" s="115"/>
      <c r="S112" s="115"/>
      <c r="T112" s="115"/>
      <c r="U112" s="115"/>
      <c r="V112" s="115"/>
      <c r="W112" s="115"/>
      <c r="X112" s="115"/>
      <c r="Y112" s="115"/>
      <c r="Z112" s="115"/>
      <c r="AA112" s="115"/>
      <c r="AB112" s="115"/>
      <c r="AC112" s="115"/>
      <c r="AD112" s="115"/>
      <c r="AE112" s="115"/>
      <c r="AG112" s="199"/>
    </row>
    <row r="113" spans="1:33">
      <c r="A113" s="47" t="s">
        <v>7</v>
      </c>
      <c r="B113" s="47" t="s">
        <v>7</v>
      </c>
      <c r="C113" s="78" t="s">
        <v>7</v>
      </c>
      <c r="D113" s="100"/>
      <c r="E113" s="78" t="s">
        <v>7</v>
      </c>
      <c r="F113" s="78"/>
      <c r="G113" s="78" t="s">
        <v>7</v>
      </c>
      <c r="H113" s="78"/>
      <c r="I113" s="52" t="s">
        <v>7</v>
      </c>
      <c r="J113" s="114"/>
      <c r="K113" s="673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G113" s="199"/>
    </row>
    <row r="114" spans="1:33">
      <c r="A114" s="47"/>
      <c r="B114" s="47"/>
      <c r="C114" s="78"/>
      <c r="D114" s="100"/>
      <c r="E114" s="78"/>
      <c r="F114" s="78"/>
      <c r="G114" s="78"/>
      <c r="H114" s="78"/>
      <c r="I114" s="52"/>
      <c r="J114" s="114"/>
      <c r="K114" s="683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5"/>
      <c r="Z114" s="115"/>
      <c r="AA114" s="115"/>
      <c r="AB114" s="115"/>
      <c r="AC114" s="115"/>
      <c r="AD114" s="115"/>
      <c r="AE114" s="115"/>
      <c r="AG114" s="199"/>
    </row>
    <row r="115" spans="1:33">
      <c r="A115" s="168" t="s">
        <v>71</v>
      </c>
      <c r="B115" s="171"/>
      <c r="C115" s="176"/>
      <c r="D115" s="177"/>
      <c r="E115" s="176"/>
      <c r="F115" s="176"/>
      <c r="G115" s="176"/>
      <c r="H115" s="176"/>
      <c r="I115" s="182"/>
      <c r="J115" s="179"/>
      <c r="K115" s="682"/>
      <c r="L115" s="319"/>
      <c r="M115" s="319"/>
      <c r="N115" s="319"/>
      <c r="O115" s="319"/>
      <c r="P115" s="319"/>
      <c r="Q115" s="319"/>
      <c r="R115" s="319"/>
      <c r="S115" s="319"/>
      <c r="T115" s="319"/>
      <c r="U115" s="319"/>
      <c r="V115" s="319"/>
      <c r="W115" s="319"/>
      <c r="X115" s="319"/>
      <c r="Y115" s="319"/>
      <c r="Z115" s="319"/>
      <c r="AA115" s="319"/>
      <c r="AB115" s="319"/>
      <c r="AC115" s="319"/>
      <c r="AD115" s="319"/>
      <c r="AE115" s="319"/>
      <c r="AG115" s="199"/>
    </row>
    <row r="116" spans="1:33" s="252" customFormat="1">
      <c r="A116" s="183"/>
      <c r="B116" s="184"/>
      <c r="C116" s="185"/>
      <c r="D116" s="186"/>
      <c r="E116" s="185"/>
      <c r="F116" s="185"/>
      <c r="G116" s="185"/>
      <c r="H116" s="185"/>
      <c r="I116" s="187"/>
      <c r="J116" s="188"/>
      <c r="K116" s="683"/>
      <c r="L116" s="320"/>
      <c r="M116" s="320"/>
      <c r="N116" s="320"/>
      <c r="O116" s="320"/>
      <c r="P116" s="320"/>
      <c r="Q116" s="320"/>
      <c r="R116" s="320"/>
      <c r="S116" s="320"/>
      <c r="T116" s="320"/>
      <c r="U116" s="320"/>
      <c r="V116" s="320"/>
      <c r="W116" s="320"/>
      <c r="X116" s="320"/>
      <c r="Y116" s="320"/>
      <c r="Z116" s="320"/>
      <c r="AA116" s="320"/>
      <c r="AB116" s="320"/>
      <c r="AC116" s="320"/>
      <c r="AD116" s="320"/>
      <c r="AE116" s="320"/>
      <c r="AG116" s="363"/>
    </row>
    <row r="117" spans="1:33">
      <c r="A117" s="39" t="s">
        <v>0</v>
      </c>
      <c r="B117" s="39"/>
      <c r="C117" s="102"/>
      <c r="D117" s="103"/>
      <c r="E117" s="104"/>
      <c r="F117" s="104"/>
      <c r="G117" s="104"/>
      <c r="H117" s="104"/>
      <c r="I117" s="39"/>
      <c r="J117" s="104"/>
      <c r="K117" s="688"/>
      <c r="L117" s="335"/>
      <c r="M117" s="335"/>
      <c r="N117" s="335"/>
      <c r="O117" s="335"/>
      <c r="P117" s="335"/>
      <c r="Q117" s="335"/>
      <c r="R117" s="335"/>
      <c r="S117" s="335"/>
      <c r="T117" s="335"/>
      <c r="U117" s="335"/>
      <c r="V117" s="335"/>
      <c r="W117" s="335"/>
      <c r="X117" s="335"/>
      <c r="Y117" s="335"/>
      <c r="Z117" s="335"/>
      <c r="AA117" s="335"/>
      <c r="AB117" s="335"/>
      <c r="AC117" s="335"/>
      <c r="AD117" s="335"/>
      <c r="AE117" s="335"/>
    </row>
    <row r="118" spans="1:33">
      <c r="A118" s="41" t="s">
        <v>13</v>
      </c>
      <c r="B118" s="41"/>
      <c r="C118" s="105"/>
      <c r="D118" s="106"/>
      <c r="E118" s="37"/>
      <c r="F118" s="37"/>
      <c r="G118" s="37"/>
      <c r="H118" s="37"/>
      <c r="I118" s="41"/>
      <c r="J118" s="37"/>
      <c r="K118" s="683"/>
      <c r="L118" s="200"/>
      <c r="M118" s="200"/>
      <c r="N118" s="200"/>
      <c r="O118" s="200"/>
      <c r="P118" s="200"/>
      <c r="Q118" s="200"/>
      <c r="R118" s="200"/>
      <c r="S118" s="200"/>
      <c r="T118" s="200"/>
      <c r="U118" s="201"/>
      <c r="V118" s="323"/>
      <c r="W118" s="200"/>
      <c r="X118" s="200"/>
      <c r="Y118" s="200"/>
      <c r="Z118" s="200"/>
      <c r="AA118" s="200"/>
      <c r="AB118" s="200"/>
      <c r="AC118" s="200"/>
      <c r="AD118" s="200"/>
      <c r="AE118" s="201"/>
    </row>
    <row r="119" spans="1:33">
      <c r="A119" s="96" t="s">
        <v>56</v>
      </c>
      <c r="B119" s="735" t="s">
        <v>12</v>
      </c>
      <c r="C119" s="663">
        <v>55000</v>
      </c>
      <c r="D119" s="736">
        <f>C119/2080</f>
        <v>26.442307692307693</v>
      </c>
      <c r="E119" s="663">
        <v>0</v>
      </c>
      <c r="F119" s="663">
        <f>C119*$F$13</f>
        <v>22000</v>
      </c>
      <c r="G119" s="663">
        <f>SUM(C119,E119:F119)</f>
        <v>77000</v>
      </c>
      <c r="H119" s="736">
        <f>G119/2080*8</f>
        <v>296.15384615384613</v>
      </c>
      <c r="I119" s="736"/>
      <c r="J119" s="663"/>
      <c r="K119" s="683">
        <v>0</v>
      </c>
      <c r="L119" s="665">
        <v>0</v>
      </c>
      <c r="M119" s="665">
        <f>$H$119*M32*0.25</f>
        <v>15844.230769230768</v>
      </c>
      <c r="N119" s="665">
        <f t="shared" ref="N119:AE119" si="61">$M$119*M11</f>
        <v>16484.33769230769</v>
      </c>
      <c r="O119" s="665">
        <f t="shared" si="61"/>
        <v>16814.024446153842</v>
      </c>
      <c r="P119" s="665">
        <f t="shared" si="61"/>
        <v>17150.304935076922</v>
      </c>
      <c r="Q119" s="665">
        <f t="shared" si="61"/>
        <v>17493.31103377846</v>
      </c>
      <c r="R119" s="665">
        <f t="shared" si="61"/>
        <v>17843.177254454029</v>
      </c>
      <c r="S119" s="665">
        <f t="shared" si="61"/>
        <v>18200.040799543109</v>
      </c>
      <c r="T119" s="665">
        <f t="shared" si="61"/>
        <v>18564.041615533974</v>
      </c>
      <c r="U119" s="665">
        <f t="shared" si="61"/>
        <v>18935.322447844654</v>
      </c>
      <c r="V119" s="665">
        <f t="shared" si="61"/>
        <v>19314.028896801548</v>
      </c>
      <c r="W119" s="665">
        <f t="shared" si="61"/>
        <v>19700.30947473758</v>
      </c>
      <c r="X119" s="665">
        <f t="shared" si="61"/>
        <v>20094.31566423233</v>
      </c>
      <c r="Y119" s="665">
        <f t="shared" si="61"/>
        <v>20496.201977516976</v>
      </c>
      <c r="Z119" s="665">
        <f t="shared" si="61"/>
        <v>20906.126017067316</v>
      </c>
      <c r="AA119" s="665">
        <f t="shared" si="61"/>
        <v>21324.248537408665</v>
      </c>
      <c r="AB119" s="665">
        <f t="shared" si="61"/>
        <v>21750.733508156838</v>
      </c>
      <c r="AC119" s="665">
        <f t="shared" si="61"/>
        <v>22185.748178319976</v>
      </c>
      <c r="AD119" s="665">
        <f t="shared" si="61"/>
        <v>22629.463141886376</v>
      </c>
      <c r="AE119" s="665">
        <f t="shared" si="61"/>
        <v>23082.052404724102</v>
      </c>
    </row>
    <row r="120" spans="1:33">
      <c r="A120" s="96" t="s">
        <v>57</v>
      </c>
      <c r="B120" s="735" t="s">
        <v>15</v>
      </c>
      <c r="C120" s="663">
        <v>15000</v>
      </c>
      <c r="D120" s="736">
        <f>C120/2080</f>
        <v>7.2115384615384617</v>
      </c>
      <c r="E120" s="663">
        <f>C120*E12</f>
        <v>3000</v>
      </c>
      <c r="F120" s="663">
        <f t="shared" ref="F120:F121" si="62">C120*$F$13</f>
        <v>6000</v>
      </c>
      <c r="G120" s="663">
        <f t="shared" ref="G120:G121" si="63">SUM(C120,E120:F120)</f>
        <v>24000</v>
      </c>
      <c r="H120" s="736">
        <f>G120/2080*12</f>
        <v>138.46153846153845</v>
      </c>
      <c r="I120" s="736"/>
      <c r="J120" s="663"/>
      <c r="K120" s="683">
        <v>0</v>
      </c>
      <c r="L120" s="665">
        <v>0</v>
      </c>
      <c r="M120" s="665">
        <f>$H$120*M32*0.5</f>
        <v>14815.384615384615</v>
      </c>
      <c r="N120" s="665">
        <f t="shared" ref="N120:AE120" si="64">$M$120*M11</f>
        <v>15413.926153846154</v>
      </c>
      <c r="O120" s="665">
        <f t="shared" si="64"/>
        <v>15722.204676923076</v>
      </c>
      <c r="P120" s="665">
        <f t="shared" si="64"/>
        <v>16036.648770461537</v>
      </c>
      <c r="Q120" s="665">
        <f t="shared" si="64"/>
        <v>16357.381745870769</v>
      </c>
      <c r="R120" s="665">
        <f t="shared" si="64"/>
        <v>16684.529380788186</v>
      </c>
      <c r="S120" s="665">
        <f t="shared" si="64"/>
        <v>17018.219968403948</v>
      </c>
      <c r="T120" s="665">
        <f t="shared" si="64"/>
        <v>17358.58436777203</v>
      </c>
      <c r="U120" s="665">
        <f t="shared" si="64"/>
        <v>17705.756055127469</v>
      </c>
      <c r="V120" s="665">
        <f t="shared" si="64"/>
        <v>18059.871176230019</v>
      </c>
      <c r="W120" s="665">
        <f t="shared" si="64"/>
        <v>18421.068599754621</v>
      </c>
      <c r="X120" s="665">
        <f t="shared" si="64"/>
        <v>18789.489971749714</v>
      </c>
      <c r="Y120" s="665">
        <f t="shared" si="64"/>
        <v>19165.279771184705</v>
      </c>
      <c r="Z120" s="665">
        <f t="shared" si="64"/>
        <v>19548.5853666084</v>
      </c>
      <c r="AA120" s="665">
        <f t="shared" si="64"/>
        <v>19939.55707394057</v>
      </c>
      <c r="AB120" s="665">
        <f t="shared" si="64"/>
        <v>20338.348215419381</v>
      </c>
      <c r="AC120" s="665">
        <f t="shared" si="64"/>
        <v>20745.115179727771</v>
      </c>
      <c r="AD120" s="665">
        <f t="shared" si="64"/>
        <v>21160.017483322328</v>
      </c>
      <c r="AE120" s="665">
        <f t="shared" si="64"/>
        <v>21583.217832988772</v>
      </c>
    </row>
    <row r="121" spans="1:33">
      <c r="A121" s="737" t="s">
        <v>57</v>
      </c>
      <c r="B121" s="738" t="s">
        <v>15</v>
      </c>
      <c r="C121" s="739">
        <v>15000</v>
      </c>
      <c r="D121" s="740">
        <f>C121/2080</f>
        <v>7.2115384615384617</v>
      </c>
      <c r="E121" s="739">
        <f>C121*$E$12</f>
        <v>3000</v>
      </c>
      <c r="F121" s="739">
        <f t="shared" si="62"/>
        <v>6000</v>
      </c>
      <c r="G121" s="739">
        <f t="shared" si="63"/>
        <v>24000</v>
      </c>
      <c r="H121" s="740">
        <f t="shared" ref="H121" si="65">G121/2080*12</f>
        <v>138.46153846153845</v>
      </c>
      <c r="I121" s="740"/>
      <c r="J121" s="739"/>
      <c r="K121" s="741">
        <v>0</v>
      </c>
      <c r="L121" s="742">
        <v>0</v>
      </c>
      <c r="M121" s="742">
        <f>$H$121*M32*0.5</f>
        <v>14815.384615384615</v>
      </c>
      <c r="N121" s="742">
        <f t="shared" ref="N121:AE121" si="66">$M$121*M11</f>
        <v>15413.926153846154</v>
      </c>
      <c r="O121" s="742">
        <f t="shared" si="66"/>
        <v>15722.204676923076</v>
      </c>
      <c r="P121" s="742">
        <f t="shared" si="66"/>
        <v>16036.648770461537</v>
      </c>
      <c r="Q121" s="742">
        <f t="shared" si="66"/>
        <v>16357.381745870769</v>
      </c>
      <c r="R121" s="742">
        <f t="shared" si="66"/>
        <v>16684.529380788186</v>
      </c>
      <c r="S121" s="742">
        <f t="shared" si="66"/>
        <v>17018.219968403948</v>
      </c>
      <c r="T121" s="742">
        <f t="shared" si="66"/>
        <v>17358.58436777203</v>
      </c>
      <c r="U121" s="742">
        <f t="shared" si="66"/>
        <v>17705.756055127469</v>
      </c>
      <c r="V121" s="742">
        <f t="shared" si="66"/>
        <v>18059.871176230019</v>
      </c>
      <c r="W121" s="742">
        <f t="shared" si="66"/>
        <v>18421.068599754621</v>
      </c>
      <c r="X121" s="742">
        <f t="shared" si="66"/>
        <v>18789.489971749714</v>
      </c>
      <c r="Y121" s="742">
        <f t="shared" si="66"/>
        <v>19165.279771184705</v>
      </c>
      <c r="Z121" s="742">
        <f t="shared" si="66"/>
        <v>19548.5853666084</v>
      </c>
      <c r="AA121" s="742">
        <f t="shared" si="66"/>
        <v>19939.55707394057</v>
      </c>
      <c r="AB121" s="742">
        <f t="shared" si="66"/>
        <v>20338.348215419381</v>
      </c>
      <c r="AC121" s="742">
        <f t="shared" si="66"/>
        <v>20745.115179727771</v>
      </c>
      <c r="AD121" s="742">
        <f t="shared" si="66"/>
        <v>21160.017483322328</v>
      </c>
      <c r="AE121" s="742">
        <f t="shared" si="66"/>
        <v>21583.217832988772</v>
      </c>
    </row>
    <row r="122" spans="1:33">
      <c r="A122" s="164" t="s">
        <v>414</v>
      </c>
      <c r="B122" s="164"/>
      <c r="C122" s="667">
        <f>SUM(C119:C121)</f>
        <v>85000</v>
      </c>
      <c r="D122" s="667"/>
      <c r="E122" s="667">
        <f>SUM(E119:E121)</f>
        <v>6000</v>
      </c>
      <c r="F122" s="667">
        <f>SUM(F119:F121)</f>
        <v>34000</v>
      </c>
      <c r="G122" s="667">
        <f>SUM(G119:G121)</f>
        <v>125000</v>
      </c>
      <c r="H122" s="667">
        <f>SUM(H119:H121)</f>
        <v>573.07692307692309</v>
      </c>
      <c r="I122" s="668"/>
      <c r="J122" s="667"/>
      <c r="K122" s="685">
        <f>SUMIF($B119:$B121,"FT",K119:K121)</f>
        <v>0</v>
      </c>
      <c r="L122" s="669">
        <f>SUM(L119:L121)</f>
        <v>0</v>
      </c>
      <c r="M122" s="669">
        <f t="shared" ref="M122:AE122" si="67">SUM(M119:M121)</f>
        <v>45475</v>
      </c>
      <c r="N122" s="669">
        <f t="shared" si="67"/>
        <v>47312.19</v>
      </c>
      <c r="O122" s="669">
        <f t="shared" si="67"/>
        <v>48258.433799999999</v>
      </c>
      <c r="P122" s="669">
        <f t="shared" si="67"/>
        <v>49223.602475999993</v>
      </c>
      <c r="Q122" s="669">
        <f t="shared" si="67"/>
        <v>50208.074525520002</v>
      </c>
      <c r="R122" s="669">
        <f t="shared" si="67"/>
        <v>51212.236016030394</v>
      </c>
      <c r="S122" s="669">
        <f t="shared" si="67"/>
        <v>52236.480736351004</v>
      </c>
      <c r="T122" s="669">
        <f t="shared" si="67"/>
        <v>53281.210351078029</v>
      </c>
      <c r="U122" s="669">
        <f t="shared" si="67"/>
        <v>54346.834558099596</v>
      </c>
      <c r="V122" s="669">
        <f t="shared" si="67"/>
        <v>55433.771249261583</v>
      </c>
      <c r="W122" s="669">
        <f t="shared" si="67"/>
        <v>56542.446674246821</v>
      </c>
      <c r="X122" s="669">
        <f t="shared" si="67"/>
        <v>57673.295607731765</v>
      </c>
      <c r="Y122" s="669">
        <f t="shared" si="67"/>
        <v>58826.761519886393</v>
      </c>
      <c r="Z122" s="669">
        <f t="shared" si="67"/>
        <v>60003.29675028412</v>
      </c>
      <c r="AA122" s="669">
        <f t="shared" si="67"/>
        <v>61203.362685289801</v>
      </c>
      <c r="AB122" s="669">
        <f t="shared" si="67"/>
        <v>62427.4299389956</v>
      </c>
      <c r="AC122" s="669">
        <f t="shared" si="67"/>
        <v>63675.978537775518</v>
      </c>
      <c r="AD122" s="669">
        <f t="shared" si="67"/>
        <v>64949.498108531028</v>
      </c>
      <c r="AE122" s="669">
        <f t="shared" si="67"/>
        <v>66248.488070701642</v>
      </c>
    </row>
    <row r="123" spans="1:33">
      <c r="A123" s="37"/>
      <c r="B123" s="37"/>
      <c r="C123" s="663"/>
      <c r="D123" s="663"/>
      <c r="E123" s="663"/>
      <c r="F123" s="663"/>
      <c r="G123" s="663"/>
      <c r="H123" s="663"/>
      <c r="I123" s="670"/>
      <c r="J123" s="663"/>
      <c r="K123" s="683"/>
      <c r="L123" s="666"/>
      <c r="M123" s="666"/>
      <c r="N123" s="666"/>
      <c r="O123" s="666"/>
      <c r="P123" s="666"/>
      <c r="Q123" s="666"/>
      <c r="R123" s="666"/>
      <c r="S123" s="666"/>
      <c r="T123" s="666"/>
      <c r="U123" s="666"/>
      <c r="V123" s="666"/>
      <c r="W123" s="666"/>
      <c r="X123" s="666"/>
      <c r="Y123" s="666"/>
      <c r="Z123" s="666"/>
      <c r="AA123" s="666"/>
      <c r="AB123" s="666"/>
      <c r="AC123" s="666"/>
      <c r="AD123" s="666"/>
      <c r="AE123" s="666"/>
    </row>
    <row r="124" spans="1:33">
      <c r="A124" s="37" t="s">
        <v>11</v>
      </c>
      <c r="B124" s="37"/>
      <c r="C124" s="663"/>
      <c r="D124" s="663"/>
      <c r="E124" s="663"/>
      <c r="F124" s="663"/>
      <c r="G124" s="663"/>
      <c r="H124" s="663"/>
      <c r="I124" s="670"/>
      <c r="J124" s="663"/>
      <c r="K124" s="743">
        <f>COUNTIF(K119:K121,"&gt;100")</f>
        <v>0</v>
      </c>
      <c r="L124" s="496">
        <f>COUNTIF(L119,"&gt;100")</f>
        <v>0</v>
      </c>
      <c r="M124" s="496">
        <f t="shared" ref="M124:AE124" si="68">COUNTIF(M119,"&gt;100")</f>
        <v>1</v>
      </c>
      <c r="N124" s="496">
        <f t="shared" si="68"/>
        <v>1</v>
      </c>
      <c r="O124" s="496">
        <f t="shared" si="68"/>
        <v>1</v>
      </c>
      <c r="P124" s="496">
        <f t="shared" si="68"/>
        <v>1</v>
      </c>
      <c r="Q124" s="496">
        <f t="shared" si="68"/>
        <v>1</v>
      </c>
      <c r="R124" s="496">
        <f t="shared" si="68"/>
        <v>1</v>
      </c>
      <c r="S124" s="496">
        <f t="shared" si="68"/>
        <v>1</v>
      </c>
      <c r="T124" s="496">
        <f t="shared" si="68"/>
        <v>1</v>
      </c>
      <c r="U124" s="496">
        <f t="shared" si="68"/>
        <v>1</v>
      </c>
      <c r="V124" s="496">
        <f t="shared" si="68"/>
        <v>1</v>
      </c>
      <c r="W124" s="496">
        <f t="shared" si="68"/>
        <v>1</v>
      </c>
      <c r="X124" s="496">
        <f t="shared" si="68"/>
        <v>1</v>
      </c>
      <c r="Y124" s="496">
        <f t="shared" si="68"/>
        <v>1</v>
      </c>
      <c r="Z124" s="496">
        <f t="shared" si="68"/>
        <v>1</v>
      </c>
      <c r="AA124" s="496">
        <f t="shared" si="68"/>
        <v>1</v>
      </c>
      <c r="AB124" s="496">
        <f t="shared" si="68"/>
        <v>1</v>
      </c>
      <c r="AC124" s="496">
        <f t="shared" si="68"/>
        <v>1</v>
      </c>
      <c r="AD124" s="496">
        <f t="shared" si="68"/>
        <v>1</v>
      </c>
      <c r="AE124" s="496">
        <f t="shared" si="68"/>
        <v>1</v>
      </c>
    </row>
    <row r="125" spans="1:33">
      <c r="A125" s="745" t="s">
        <v>10</v>
      </c>
      <c r="B125" s="745"/>
      <c r="C125" s="739"/>
      <c r="D125" s="739"/>
      <c r="E125" s="739"/>
      <c r="F125" s="739"/>
      <c r="G125" s="739"/>
      <c r="H125" s="739"/>
      <c r="I125" s="763"/>
      <c r="J125" s="739"/>
      <c r="K125" s="749">
        <f t="shared" ref="K125" si="69">K126-K124</f>
        <v>0</v>
      </c>
      <c r="L125" s="750">
        <f>COUNTIF(L120:L121,"&gt;100")</f>
        <v>0</v>
      </c>
      <c r="M125" s="750">
        <f t="shared" ref="M125:AE125" si="70">COUNTIF(M120:M121,"&gt;100")</f>
        <v>2</v>
      </c>
      <c r="N125" s="750">
        <f t="shared" si="70"/>
        <v>2</v>
      </c>
      <c r="O125" s="750">
        <f t="shared" si="70"/>
        <v>2</v>
      </c>
      <c r="P125" s="750">
        <f t="shared" si="70"/>
        <v>2</v>
      </c>
      <c r="Q125" s="750">
        <f t="shared" si="70"/>
        <v>2</v>
      </c>
      <c r="R125" s="750">
        <f t="shared" si="70"/>
        <v>2</v>
      </c>
      <c r="S125" s="750">
        <f t="shared" si="70"/>
        <v>2</v>
      </c>
      <c r="T125" s="750">
        <f t="shared" si="70"/>
        <v>2</v>
      </c>
      <c r="U125" s="750">
        <f t="shared" si="70"/>
        <v>2</v>
      </c>
      <c r="V125" s="750">
        <f t="shared" si="70"/>
        <v>2</v>
      </c>
      <c r="W125" s="750">
        <f t="shared" si="70"/>
        <v>2</v>
      </c>
      <c r="X125" s="750">
        <f t="shared" si="70"/>
        <v>2</v>
      </c>
      <c r="Y125" s="750">
        <f t="shared" si="70"/>
        <v>2</v>
      </c>
      <c r="Z125" s="750">
        <f t="shared" si="70"/>
        <v>2</v>
      </c>
      <c r="AA125" s="750">
        <f t="shared" si="70"/>
        <v>2</v>
      </c>
      <c r="AB125" s="750">
        <f t="shared" si="70"/>
        <v>2</v>
      </c>
      <c r="AC125" s="750">
        <f t="shared" si="70"/>
        <v>2</v>
      </c>
      <c r="AD125" s="750">
        <f t="shared" si="70"/>
        <v>2</v>
      </c>
      <c r="AE125" s="750">
        <f t="shared" si="70"/>
        <v>2</v>
      </c>
    </row>
    <row r="126" spans="1:33">
      <c r="A126" s="164" t="s">
        <v>9</v>
      </c>
      <c r="B126" s="164"/>
      <c r="C126" s="667"/>
      <c r="D126" s="667"/>
      <c r="E126" s="667"/>
      <c r="F126" s="667"/>
      <c r="G126" s="667"/>
      <c r="H126" s="667"/>
      <c r="I126" s="668"/>
      <c r="J126" s="667"/>
      <c r="K126" s="751">
        <f t="shared" ref="K126:AE126" si="71">COUNTIF(K119:K121,"&gt;0")</f>
        <v>0</v>
      </c>
      <c r="L126" s="752">
        <f t="shared" si="71"/>
        <v>0</v>
      </c>
      <c r="M126" s="752">
        <f t="shared" si="71"/>
        <v>3</v>
      </c>
      <c r="N126" s="752">
        <f t="shared" si="71"/>
        <v>3</v>
      </c>
      <c r="O126" s="752">
        <f t="shared" si="71"/>
        <v>3</v>
      </c>
      <c r="P126" s="752">
        <f t="shared" si="71"/>
        <v>3</v>
      </c>
      <c r="Q126" s="752">
        <f t="shared" si="71"/>
        <v>3</v>
      </c>
      <c r="R126" s="752">
        <f t="shared" si="71"/>
        <v>3</v>
      </c>
      <c r="S126" s="752">
        <f t="shared" si="71"/>
        <v>3</v>
      </c>
      <c r="T126" s="752">
        <f t="shared" si="71"/>
        <v>3</v>
      </c>
      <c r="U126" s="752">
        <f t="shared" si="71"/>
        <v>3</v>
      </c>
      <c r="V126" s="752">
        <f t="shared" si="71"/>
        <v>3</v>
      </c>
      <c r="W126" s="752">
        <f t="shared" si="71"/>
        <v>3</v>
      </c>
      <c r="X126" s="752">
        <f t="shared" si="71"/>
        <v>3</v>
      </c>
      <c r="Y126" s="752">
        <f t="shared" si="71"/>
        <v>3</v>
      </c>
      <c r="Z126" s="752">
        <f t="shared" si="71"/>
        <v>3</v>
      </c>
      <c r="AA126" s="752">
        <f t="shared" si="71"/>
        <v>3</v>
      </c>
      <c r="AB126" s="752">
        <f t="shared" si="71"/>
        <v>3</v>
      </c>
      <c r="AC126" s="752">
        <f t="shared" si="71"/>
        <v>3</v>
      </c>
      <c r="AD126" s="752">
        <f t="shared" si="71"/>
        <v>3</v>
      </c>
      <c r="AE126" s="752">
        <f t="shared" si="71"/>
        <v>3</v>
      </c>
    </row>
    <row r="127" spans="1:33">
      <c r="A127" s="37"/>
      <c r="B127" s="37"/>
      <c r="C127" s="57"/>
      <c r="E127" s="57"/>
      <c r="F127" s="57"/>
      <c r="G127" s="57"/>
      <c r="H127" s="57"/>
      <c r="I127" s="43"/>
      <c r="J127" s="42"/>
      <c r="K127" s="683"/>
      <c r="L127" s="316"/>
      <c r="M127" s="316"/>
      <c r="N127" s="316"/>
      <c r="O127" s="316"/>
      <c r="P127" s="316"/>
      <c r="Q127" s="316"/>
      <c r="R127" s="316"/>
      <c r="S127" s="316"/>
      <c r="T127" s="316"/>
      <c r="U127" s="316"/>
      <c r="V127" s="316"/>
      <c r="W127" s="316"/>
      <c r="X127" s="316"/>
      <c r="Y127" s="316"/>
      <c r="Z127" s="316"/>
      <c r="AA127" s="316"/>
      <c r="AB127" s="316"/>
      <c r="AC127" s="316"/>
      <c r="AD127" s="316"/>
      <c r="AE127" s="316"/>
    </row>
    <row r="128" spans="1:33" s="55" customFormat="1">
      <c r="A128" s="190" t="s">
        <v>60</v>
      </c>
      <c r="B128" s="191"/>
      <c r="C128" s="192"/>
      <c r="D128" s="193"/>
      <c r="E128" s="194"/>
      <c r="F128" s="194"/>
      <c r="G128" s="192"/>
      <c r="H128" s="192"/>
      <c r="I128" s="195">
        <v>0.2</v>
      </c>
      <c r="J128" s="196"/>
      <c r="K128" s="683">
        <v>0</v>
      </c>
      <c r="L128" s="665">
        <f>$I$128*L122</f>
        <v>0</v>
      </c>
      <c r="M128" s="665">
        <f t="shared" ref="M128:AE128" si="72">$I$128*M122</f>
        <v>9095</v>
      </c>
      <c r="N128" s="665">
        <f t="shared" si="72"/>
        <v>9462.4380000000001</v>
      </c>
      <c r="O128" s="665">
        <f t="shared" si="72"/>
        <v>9651.6867600000005</v>
      </c>
      <c r="P128" s="665">
        <f t="shared" si="72"/>
        <v>9844.7204951999993</v>
      </c>
      <c r="Q128" s="665">
        <f t="shared" si="72"/>
        <v>10041.614905104001</v>
      </c>
      <c r="R128" s="665">
        <f t="shared" si="72"/>
        <v>10242.44720320608</v>
      </c>
      <c r="S128" s="665">
        <f t="shared" si="72"/>
        <v>10447.296147270201</v>
      </c>
      <c r="T128" s="665">
        <f t="shared" si="72"/>
        <v>10656.242070215607</v>
      </c>
      <c r="U128" s="665">
        <f t="shared" si="72"/>
        <v>10869.36691161992</v>
      </c>
      <c r="V128" s="665">
        <f t="shared" si="72"/>
        <v>11086.754249852318</v>
      </c>
      <c r="W128" s="665">
        <f t="shared" si="72"/>
        <v>11308.489334849364</v>
      </c>
      <c r="X128" s="665">
        <f t="shared" si="72"/>
        <v>11534.659121546354</v>
      </c>
      <c r="Y128" s="665">
        <f t="shared" si="72"/>
        <v>11765.352303977279</v>
      </c>
      <c r="Z128" s="665">
        <f t="shared" si="72"/>
        <v>12000.659350056825</v>
      </c>
      <c r="AA128" s="665">
        <f t="shared" si="72"/>
        <v>12240.672537057961</v>
      </c>
      <c r="AB128" s="665">
        <f t="shared" si="72"/>
        <v>12485.48598779912</v>
      </c>
      <c r="AC128" s="665">
        <f t="shared" si="72"/>
        <v>12735.195707555104</v>
      </c>
      <c r="AD128" s="665">
        <f t="shared" si="72"/>
        <v>12989.899621706207</v>
      </c>
      <c r="AE128" s="665">
        <f t="shared" si="72"/>
        <v>13249.697614140328</v>
      </c>
    </row>
    <row r="129" spans="1:33">
      <c r="A129" s="190"/>
      <c r="B129" s="191"/>
      <c r="C129" s="192"/>
      <c r="D129" s="193"/>
      <c r="E129" s="194"/>
      <c r="F129" s="194"/>
      <c r="G129" s="192"/>
      <c r="H129" s="192"/>
      <c r="I129" s="195"/>
      <c r="J129" s="196"/>
      <c r="K129" s="685"/>
      <c r="L129" s="665"/>
      <c r="M129" s="665"/>
      <c r="N129" s="665"/>
      <c r="O129" s="665"/>
      <c r="P129" s="665"/>
      <c r="Q129" s="665"/>
      <c r="R129" s="665"/>
      <c r="S129" s="665"/>
      <c r="T129" s="665"/>
      <c r="U129" s="665"/>
      <c r="V129" s="665"/>
      <c r="W129" s="665"/>
      <c r="X129" s="665"/>
      <c r="Y129" s="665"/>
      <c r="Z129" s="665"/>
      <c r="AA129" s="665"/>
      <c r="AB129" s="665"/>
      <c r="AC129" s="665"/>
      <c r="AD129" s="665"/>
      <c r="AE129" s="665"/>
    </row>
    <row r="130" spans="1:33">
      <c r="A130" s="164" t="s">
        <v>61</v>
      </c>
      <c r="B130" s="164"/>
      <c r="C130" s="75"/>
      <c r="D130" s="173"/>
      <c r="E130" s="75"/>
      <c r="F130" s="75"/>
      <c r="G130" s="75"/>
      <c r="H130" s="75"/>
      <c r="I130" s="174"/>
      <c r="J130" s="175"/>
      <c r="K130" s="685">
        <v>0</v>
      </c>
      <c r="L130" s="669">
        <f>SUM(L122,L128)</f>
        <v>0</v>
      </c>
      <c r="M130" s="669">
        <f t="shared" ref="M130:AE130" si="73">SUM(M122,M128)</f>
        <v>54570</v>
      </c>
      <c r="N130" s="669">
        <f t="shared" si="73"/>
        <v>56774.628000000004</v>
      </c>
      <c r="O130" s="669">
        <f t="shared" si="73"/>
        <v>57910.120559999996</v>
      </c>
      <c r="P130" s="669">
        <f t="shared" si="73"/>
        <v>59068.322971199988</v>
      </c>
      <c r="Q130" s="669">
        <f t="shared" si="73"/>
        <v>60249.689430623999</v>
      </c>
      <c r="R130" s="669">
        <f t="shared" si="73"/>
        <v>61454.683219236475</v>
      </c>
      <c r="S130" s="669">
        <f t="shared" si="73"/>
        <v>62683.776883621205</v>
      </c>
      <c r="T130" s="669">
        <f t="shared" si="73"/>
        <v>63937.452421293638</v>
      </c>
      <c r="U130" s="669">
        <f t="shared" si="73"/>
        <v>65216.201469719512</v>
      </c>
      <c r="V130" s="669">
        <f t="shared" si="73"/>
        <v>66520.525499113894</v>
      </c>
      <c r="W130" s="669">
        <f t="shared" si="73"/>
        <v>67850.936009096185</v>
      </c>
      <c r="X130" s="669">
        <f t="shared" si="73"/>
        <v>69207.954729278121</v>
      </c>
      <c r="Y130" s="669">
        <f t="shared" si="73"/>
        <v>70592.113823863678</v>
      </c>
      <c r="Z130" s="669">
        <f t="shared" si="73"/>
        <v>72003.956100340947</v>
      </c>
      <c r="AA130" s="669">
        <f t="shared" si="73"/>
        <v>73444.035222347768</v>
      </c>
      <c r="AB130" s="669">
        <f t="shared" si="73"/>
        <v>74912.915926794725</v>
      </c>
      <c r="AC130" s="669">
        <f t="shared" si="73"/>
        <v>76411.174245330621</v>
      </c>
      <c r="AD130" s="669">
        <f t="shared" si="73"/>
        <v>77939.397730237237</v>
      </c>
      <c r="AE130" s="669">
        <f t="shared" si="73"/>
        <v>79498.18568484197</v>
      </c>
    </row>
    <row r="131" spans="1:33">
      <c r="A131" s="183"/>
      <c r="B131" s="184"/>
      <c r="C131" s="185"/>
      <c r="D131" s="186"/>
      <c r="E131" s="185"/>
      <c r="F131" s="185"/>
      <c r="G131" s="185"/>
      <c r="H131" s="185"/>
      <c r="I131" s="187"/>
      <c r="J131" s="188"/>
      <c r="K131" s="683"/>
      <c r="L131" s="320"/>
      <c r="M131" s="320"/>
      <c r="N131" s="320"/>
      <c r="O131" s="320"/>
      <c r="P131" s="320"/>
      <c r="Q131" s="320"/>
      <c r="R131" s="320"/>
      <c r="S131" s="320"/>
      <c r="T131" s="320"/>
      <c r="U131" s="320"/>
      <c r="V131" s="320"/>
      <c r="W131" s="320"/>
      <c r="X131" s="320"/>
      <c r="Y131" s="320"/>
      <c r="Z131" s="320"/>
      <c r="AA131" s="320"/>
      <c r="AB131" s="320"/>
      <c r="AC131" s="320"/>
      <c r="AD131" s="320"/>
      <c r="AE131" s="320"/>
    </row>
    <row r="132" spans="1:33">
      <c r="A132" s="39" t="s">
        <v>4</v>
      </c>
      <c r="B132" s="39"/>
      <c r="C132" s="111"/>
      <c r="D132" s="112"/>
      <c r="E132" s="111"/>
      <c r="F132" s="111"/>
      <c r="G132" s="111"/>
      <c r="H132" s="111"/>
      <c r="I132" s="40"/>
      <c r="J132" s="113"/>
      <c r="K132" s="688"/>
      <c r="L132" s="321"/>
      <c r="M132" s="321"/>
      <c r="N132" s="321"/>
      <c r="O132" s="321"/>
      <c r="P132" s="321"/>
      <c r="Q132" s="321"/>
      <c r="R132" s="321"/>
      <c r="S132" s="321"/>
      <c r="T132" s="321"/>
      <c r="U132" s="321"/>
      <c r="V132" s="321"/>
      <c r="W132" s="321"/>
      <c r="X132" s="321"/>
      <c r="Y132" s="321"/>
      <c r="Z132" s="321"/>
      <c r="AA132" s="321"/>
      <c r="AB132" s="321"/>
      <c r="AC132" s="321"/>
      <c r="AD132" s="321"/>
      <c r="AE132" s="321"/>
    </row>
    <row r="133" spans="1:33">
      <c r="A133" s="41" t="s">
        <v>13</v>
      </c>
      <c r="B133" s="41"/>
      <c r="C133" s="105"/>
      <c r="D133" s="106"/>
      <c r="E133" s="37"/>
      <c r="F133" s="37"/>
      <c r="G133" s="37"/>
      <c r="H133" s="37"/>
      <c r="I133" s="41"/>
      <c r="J133" s="37"/>
      <c r="K133" s="683"/>
      <c r="L133" s="200"/>
      <c r="M133" s="200"/>
      <c r="N133" s="200"/>
      <c r="O133" s="200"/>
      <c r="P133" s="200"/>
      <c r="Q133" s="200"/>
      <c r="R133" s="200"/>
      <c r="S133" s="200"/>
      <c r="T133" s="200"/>
      <c r="U133" s="201"/>
      <c r="V133" s="323"/>
      <c r="W133" s="200"/>
      <c r="X133" s="200"/>
      <c r="Y133" s="200"/>
      <c r="Z133" s="200"/>
      <c r="AA133" s="200"/>
      <c r="AB133" s="200"/>
      <c r="AC133" s="200"/>
      <c r="AD133" s="200"/>
      <c r="AE133" s="201"/>
    </row>
    <row r="134" spans="1:33">
      <c r="A134" s="33" t="s">
        <v>65</v>
      </c>
      <c r="B134" s="735" t="s">
        <v>12</v>
      </c>
      <c r="C134" s="663">
        <v>65000</v>
      </c>
      <c r="D134" s="736">
        <f>C134/2080</f>
        <v>31.25</v>
      </c>
      <c r="E134" s="663">
        <v>0</v>
      </c>
      <c r="F134" s="663">
        <f>C134*$F$13</f>
        <v>26000</v>
      </c>
      <c r="G134" s="663">
        <f>SUM(C134,E134:F134)</f>
        <v>91000</v>
      </c>
      <c r="H134" s="736">
        <f>G134/2080*8</f>
        <v>350</v>
      </c>
      <c r="I134" s="764"/>
      <c r="J134" s="765"/>
      <c r="K134" s="683">
        <v>0</v>
      </c>
      <c r="L134" s="665">
        <v>0</v>
      </c>
      <c r="M134" s="665">
        <f>$H$134*M32*0.25</f>
        <v>18725</v>
      </c>
      <c r="N134" s="665">
        <f t="shared" ref="N134:AE134" si="74">$M$134*L11</f>
        <v>19099.5</v>
      </c>
      <c r="O134" s="665">
        <f t="shared" si="74"/>
        <v>19481.490000000002</v>
      </c>
      <c r="P134" s="665">
        <f t="shared" si="74"/>
        <v>19871.1198</v>
      </c>
      <c r="Q134" s="665">
        <f t="shared" si="74"/>
        <v>20268.542195999999</v>
      </c>
      <c r="R134" s="665">
        <f t="shared" si="74"/>
        <v>20673.91303992</v>
      </c>
      <c r="S134" s="665">
        <f t="shared" si="74"/>
        <v>21087.391300718402</v>
      </c>
      <c r="T134" s="665">
        <f t="shared" si="74"/>
        <v>21509.139126732767</v>
      </c>
      <c r="U134" s="665">
        <f t="shared" si="74"/>
        <v>21939.321909267426</v>
      </c>
      <c r="V134" s="665">
        <f t="shared" si="74"/>
        <v>22378.108347452773</v>
      </c>
      <c r="W134" s="665">
        <f t="shared" si="74"/>
        <v>22825.670514401831</v>
      </c>
      <c r="X134" s="665">
        <f t="shared" si="74"/>
        <v>23282.183924689867</v>
      </c>
      <c r="Y134" s="665">
        <f t="shared" si="74"/>
        <v>23747.827603183665</v>
      </c>
      <c r="Z134" s="665">
        <f t="shared" si="74"/>
        <v>24222.784155247336</v>
      </c>
      <c r="AA134" s="665">
        <f t="shared" si="74"/>
        <v>24707.239838352285</v>
      </c>
      <c r="AB134" s="665">
        <f t="shared" si="74"/>
        <v>25201.384635119332</v>
      </c>
      <c r="AC134" s="665">
        <f t="shared" si="74"/>
        <v>25705.412327821719</v>
      </c>
      <c r="AD134" s="665">
        <f t="shared" si="74"/>
        <v>26219.520574378155</v>
      </c>
      <c r="AE134" s="665">
        <f t="shared" si="74"/>
        <v>26743.910985865718</v>
      </c>
    </row>
    <row r="135" spans="1:33">
      <c r="A135" s="37" t="s">
        <v>62</v>
      </c>
      <c r="B135" s="735" t="s">
        <v>12</v>
      </c>
      <c r="C135" s="663">
        <v>85000</v>
      </c>
      <c r="D135" s="736">
        <f>C135/2080</f>
        <v>40.865384615384613</v>
      </c>
      <c r="E135" s="663">
        <f>C135*$L$15</f>
        <v>0</v>
      </c>
      <c r="F135" s="663">
        <f t="shared" ref="F135:F138" si="75">C135*$F$13</f>
        <v>34000</v>
      </c>
      <c r="G135" s="663">
        <f t="shared" ref="G135:G138" si="76">SUM(C135,E135:F135)</f>
        <v>119000</v>
      </c>
      <c r="H135" s="736">
        <f>G135/2080*8</f>
        <v>457.69230769230768</v>
      </c>
      <c r="I135" s="764"/>
      <c r="J135" s="765"/>
      <c r="K135" s="683">
        <v>0</v>
      </c>
      <c r="L135" s="665">
        <v>0</v>
      </c>
      <c r="M135" s="665">
        <f>$H$135*M32*0.1</f>
        <v>9794.6153846153848</v>
      </c>
      <c r="N135" s="665">
        <f t="shared" ref="N135:AE135" si="77">$M$135*L11</f>
        <v>9990.5076923076922</v>
      </c>
      <c r="O135" s="665">
        <f t="shared" si="77"/>
        <v>10190.317846153846</v>
      </c>
      <c r="P135" s="665">
        <f t="shared" si="77"/>
        <v>10394.124203076923</v>
      </c>
      <c r="Q135" s="665">
        <f t="shared" si="77"/>
        <v>10602.006687138461</v>
      </c>
      <c r="R135" s="665">
        <f t="shared" si="77"/>
        <v>10814.046820881231</v>
      </c>
      <c r="S135" s="665">
        <f t="shared" si="77"/>
        <v>11030.327757298855</v>
      </c>
      <c r="T135" s="665">
        <f t="shared" si="77"/>
        <v>11250.934312444833</v>
      </c>
      <c r="U135" s="665">
        <f t="shared" si="77"/>
        <v>11475.95299869373</v>
      </c>
      <c r="V135" s="665">
        <f t="shared" si="77"/>
        <v>11705.472058667605</v>
      </c>
      <c r="W135" s="665">
        <f t="shared" si="77"/>
        <v>11939.581499840959</v>
      </c>
      <c r="X135" s="665">
        <f t="shared" si="77"/>
        <v>12178.373129837777</v>
      </c>
      <c r="Y135" s="665">
        <f t="shared" si="77"/>
        <v>12421.940592434532</v>
      </c>
      <c r="Z135" s="665">
        <f t="shared" si="77"/>
        <v>12670.379404283221</v>
      </c>
      <c r="AA135" s="665">
        <f t="shared" si="77"/>
        <v>12923.786992368889</v>
      </c>
      <c r="AB135" s="665">
        <f t="shared" si="77"/>
        <v>13182.262732216266</v>
      </c>
      <c r="AC135" s="665">
        <f t="shared" si="77"/>
        <v>13445.907986860591</v>
      </c>
      <c r="AD135" s="665">
        <f t="shared" si="77"/>
        <v>13714.826146597805</v>
      </c>
      <c r="AE135" s="665">
        <f t="shared" si="77"/>
        <v>13989.122669529761</v>
      </c>
    </row>
    <row r="136" spans="1:33">
      <c r="A136" s="37" t="s">
        <v>419</v>
      </c>
      <c r="B136" s="735" t="s">
        <v>12</v>
      </c>
      <c r="C136" s="663">
        <v>75000</v>
      </c>
      <c r="D136" s="736">
        <f>C136/2080</f>
        <v>36.057692307692307</v>
      </c>
      <c r="E136" s="663">
        <f>C136*$L$15</f>
        <v>0</v>
      </c>
      <c r="F136" s="663">
        <f t="shared" si="75"/>
        <v>30000</v>
      </c>
      <c r="G136" s="663">
        <f t="shared" si="76"/>
        <v>105000</v>
      </c>
      <c r="H136" s="736">
        <f>G136/2080*8</f>
        <v>403.84615384615387</v>
      </c>
      <c r="I136" s="764"/>
      <c r="J136" s="765"/>
      <c r="K136" s="683">
        <v>0</v>
      </c>
      <c r="L136" s="665">
        <v>0</v>
      </c>
      <c r="M136" s="665">
        <f>$H$136*M32*0.1</f>
        <v>8642.3076923076933</v>
      </c>
      <c r="N136" s="665">
        <f t="shared" ref="N136:AE136" si="78">$M$136*L11</f>
        <v>8815.1538461538476</v>
      </c>
      <c r="O136" s="665">
        <f t="shared" si="78"/>
        <v>8991.4569230769248</v>
      </c>
      <c r="P136" s="665">
        <f t="shared" si="78"/>
        <v>9171.2860615384616</v>
      </c>
      <c r="Q136" s="665">
        <f t="shared" si="78"/>
        <v>9354.7117827692309</v>
      </c>
      <c r="R136" s="665">
        <f t="shared" si="78"/>
        <v>9541.8060184246169</v>
      </c>
      <c r="S136" s="665">
        <f t="shared" si="78"/>
        <v>9732.6421387931096</v>
      </c>
      <c r="T136" s="665">
        <f t="shared" si="78"/>
        <v>9927.2949815689717</v>
      </c>
      <c r="U136" s="665">
        <f t="shared" si="78"/>
        <v>10125.840881200351</v>
      </c>
      <c r="V136" s="665">
        <f t="shared" si="78"/>
        <v>10328.357698824359</v>
      </c>
      <c r="W136" s="665">
        <f t="shared" si="78"/>
        <v>10534.924852800847</v>
      </c>
      <c r="X136" s="665">
        <f t="shared" si="78"/>
        <v>10745.623349856864</v>
      </c>
      <c r="Y136" s="665">
        <f t="shared" si="78"/>
        <v>10960.535816854001</v>
      </c>
      <c r="Z136" s="665">
        <f t="shared" si="78"/>
        <v>11179.746533191079</v>
      </c>
      <c r="AA136" s="665">
        <f t="shared" si="78"/>
        <v>11403.341463854902</v>
      </c>
      <c r="AB136" s="665">
        <f t="shared" si="78"/>
        <v>11631.408293132001</v>
      </c>
      <c r="AC136" s="665">
        <f t="shared" si="78"/>
        <v>11864.03645899464</v>
      </c>
      <c r="AD136" s="665">
        <f t="shared" si="78"/>
        <v>12101.317188174535</v>
      </c>
      <c r="AE136" s="665">
        <f t="shared" si="78"/>
        <v>12343.343531938026</v>
      </c>
    </row>
    <row r="137" spans="1:33">
      <c r="A137" s="37" t="s">
        <v>63</v>
      </c>
      <c r="B137" s="735" t="s">
        <v>15</v>
      </c>
      <c r="C137" s="663">
        <v>15000</v>
      </c>
      <c r="D137" s="736">
        <f t="shared" ref="D137:D138" si="79">C137/2080</f>
        <v>7.2115384615384617</v>
      </c>
      <c r="E137" s="663">
        <f>C137*$L$15</f>
        <v>0</v>
      </c>
      <c r="F137" s="663">
        <f t="shared" si="75"/>
        <v>6000</v>
      </c>
      <c r="G137" s="663">
        <f t="shared" si="76"/>
        <v>21000</v>
      </c>
      <c r="H137" s="736">
        <f t="shared" ref="H137:H138" si="80">G137/2080*8</f>
        <v>80.769230769230774</v>
      </c>
      <c r="I137" s="764"/>
      <c r="J137" s="765"/>
      <c r="K137" s="683">
        <v>0</v>
      </c>
      <c r="L137" s="665">
        <v>0</v>
      </c>
      <c r="M137" s="665">
        <f>($H$137*M32)*0.5</f>
        <v>8642.3076923076933</v>
      </c>
      <c r="N137" s="665">
        <f t="shared" ref="N137:AE137" si="81">$M$137*L11</f>
        <v>8815.1538461538476</v>
      </c>
      <c r="O137" s="665">
        <f t="shared" si="81"/>
        <v>8991.4569230769248</v>
      </c>
      <c r="P137" s="665">
        <f t="shared" si="81"/>
        <v>9171.2860615384616</v>
      </c>
      <c r="Q137" s="665">
        <f t="shared" si="81"/>
        <v>9354.7117827692309</v>
      </c>
      <c r="R137" s="665">
        <f t="shared" si="81"/>
        <v>9541.8060184246169</v>
      </c>
      <c r="S137" s="665">
        <f t="shared" si="81"/>
        <v>9732.6421387931096</v>
      </c>
      <c r="T137" s="665">
        <f t="shared" si="81"/>
        <v>9927.2949815689717</v>
      </c>
      <c r="U137" s="665">
        <f t="shared" si="81"/>
        <v>10125.840881200351</v>
      </c>
      <c r="V137" s="665">
        <f t="shared" si="81"/>
        <v>10328.357698824359</v>
      </c>
      <c r="W137" s="665">
        <f t="shared" si="81"/>
        <v>10534.924852800847</v>
      </c>
      <c r="X137" s="665">
        <f t="shared" si="81"/>
        <v>10745.623349856864</v>
      </c>
      <c r="Y137" s="665">
        <f t="shared" si="81"/>
        <v>10960.535816854001</v>
      </c>
      <c r="Z137" s="665">
        <f t="shared" si="81"/>
        <v>11179.746533191079</v>
      </c>
      <c r="AA137" s="665">
        <f t="shared" si="81"/>
        <v>11403.341463854902</v>
      </c>
      <c r="AB137" s="665">
        <f t="shared" si="81"/>
        <v>11631.408293132001</v>
      </c>
      <c r="AC137" s="665">
        <f t="shared" si="81"/>
        <v>11864.03645899464</v>
      </c>
      <c r="AD137" s="665">
        <f t="shared" si="81"/>
        <v>12101.317188174535</v>
      </c>
      <c r="AE137" s="665">
        <f t="shared" si="81"/>
        <v>12343.343531938026</v>
      </c>
    </row>
    <row r="138" spans="1:33">
      <c r="A138" s="745" t="s">
        <v>63</v>
      </c>
      <c r="B138" s="738" t="s">
        <v>15</v>
      </c>
      <c r="C138" s="739">
        <v>15000</v>
      </c>
      <c r="D138" s="740">
        <f t="shared" si="79"/>
        <v>7.2115384615384617</v>
      </c>
      <c r="E138" s="739">
        <f>C138*$L$15</f>
        <v>0</v>
      </c>
      <c r="F138" s="739">
        <f t="shared" si="75"/>
        <v>6000</v>
      </c>
      <c r="G138" s="739">
        <f t="shared" si="76"/>
        <v>21000</v>
      </c>
      <c r="H138" s="740">
        <f t="shared" si="80"/>
        <v>80.769230769230774</v>
      </c>
      <c r="I138" s="766"/>
      <c r="J138" s="767"/>
      <c r="K138" s="741">
        <v>0</v>
      </c>
      <c r="L138" s="742">
        <v>0</v>
      </c>
      <c r="M138" s="742">
        <f>($H$138*M32)*0.5</f>
        <v>8642.3076923076933</v>
      </c>
      <c r="N138" s="742">
        <f t="shared" ref="N138:AE138" si="82">$M$138*L11</f>
        <v>8815.1538461538476</v>
      </c>
      <c r="O138" s="742">
        <f t="shared" si="82"/>
        <v>8991.4569230769248</v>
      </c>
      <c r="P138" s="742">
        <f t="shared" si="82"/>
        <v>9171.2860615384616</v>
      </c>
      <c r="Q138" s="742">
        <f t="shared" si="82"/>
        <v>9354.7117827692309</v>
      </c>
      <c r="R138" s="742">
        <f t="shared" si="82"/>
        <v>9541.8060184246169</v>
      </c>
      <c r="S138" s="742">
        <f t="shared" si="82"/>
        <v>9732.6421387931096</v>
      </c>
      <c r="T138" s="742">
        <f t="shared" si="82"/>
        <v>9927.2949815689717</v>
      </c>
      <c r="U138" s="742">
        <f t="shared" si="82"/>
        <v>10125.840881200351</v>
      </c>
      <c r="V138" s="742">
        <f t="shared" si="82"/>
        <v>10328.357698824359</v>
      </c>
      <c r="W138" s="742">
        <f t="shared" si="82"/>
        <v>10534.924852800847</v>
      </c>
      <c r="X138" s="742">
        <f t="shared" si="82"/>
        <v>10745.623349856864</v>
      </c>
      <c r="Y138" s="742">
        <f t="shared" si="82"/>
        <v>10960.535816854001</v>
      </c>
      <c r="Z138" s="742">
        <f t="shared" si="82"/>
        <v>11179.746533191079</v>
      </c>
      <c r="AA138" s="742">
        <f t="shared" si="82"/>
        <v>11403.341463854902</v>
      </c>
      <c r="AB138" s="742">
        <f t="shared" si="82"/>
        <v>11631.408293132001</v>
      </c>
      <c r="AC138" s="742">
        <f t="shared" si="82"/>
        <v>11864.03645899464</v>
      </c>
      <c r="AD138" s="742">
        <f t="shared" si="82"/>
        <v>12101.317188174535</v>
      </c>
      <c r="AE138" s="742">
        <f t="shared" si="82"/>
        <v>12343.343531938026</v>
      </c>
    </row>
    <row r="139" spans="1:33" s="56" customFormat="1" ht="14.25">
      <c r="A139" s="164" t="s">
        <v>415</v>
      </c>
      <c r="B139" s="164"/>
      <c r="C139" s="667">
        <f>SUM(C134:C138)</f>
        <v>255000</v>
      </c>
      <c r="D139" s="667"/>
      <c r="E139" s="667">
        <f>SUM(E134:E138)</f>
        <v>0</v>
      </c>
      <c r="F139" s="667">
        <f>SUM(F134:F138)</f>
        <v>102000</v>
      </c>
      <c r="G139" s="667">
        <f>SUM(G134:G138)</f>
        <v>357000</v>
      </c>
      <c r="H139" s="667">
        <f>SUM(H134:H138)</f>
        <v>1373.0769230769229</v>
      </c>
      <c r="I139" s="768"/>
      <c r="J139" s="769"/>
      <c r="K139" s="685">
        <f>SUMIF($B134:$B138,"FT",K134:K138)</f>
        <v>0</v>
      </c>
      <c r="L139" s="669">
        <f>SUMIF($B134:$B138,"FT",L134:L138)</f>
        <v>0</v>
      </c>
      <c r="M139" s="669">
        <f>SUM(M134:M138)</f>
        <v>54446.538461538468</v>
      </c>
      <c r="N139" s="669">
        <f t="shared" ref="N139:AE139" si="83">SUM(N134:N138)</f>
        <v>55535.469230769231</v>
      </c>
      <c r="O139" s="669">
        <f t="shared" si="83"/>
        <v>56646.178615384626</v>
      </c>
      <c r="P139" s="669">
        <f t="shared" si="83"/>
        <v>57779.102187692311</v>
      </c>
      <c r="Q139" s="669">
        <f t="shared" si="83"/>
        <v>58934.684231446139</v>
      </c>
      <c r="R139" s="669">
        <f t="shared" si="83"/>
        <v>60113.377916075071</v>
      </c>
      <c r="S139" s="669">
        <f t="shared" si="83"/>
        <v>61315.645474396588</v>
      </c>
      <c r="T139" s="669">
        <f t="shared" si="83"/>
        <v>62541.958383884514</v>
      </c>
      <c r="U139" s="669">
        <f t="shared" si="83"/>
        <v>63792.797551562195</v>
      </c>
      <c r="V139" s="669">
        <f t="shared" si="83"/>
        <v>65068.653502593457</v>
      </c>
      <c r="W139" s="669">
        <f t="shared" si="83"/>
        <v>66370.026572645322</v>
      </c>
      <c r="X139" s="669">
        <f t="shared" si="83"/>
        <v>67697.427104098228</v>
      </c>
      <c r="Y139" s="669">
        <f t="shared" si="83"/>
        <v>69051.375646180197</v>
      </c>
      <c r="Z139" s="669">
        <f t="shared" si="83"/>
        <v>70432.403159103793</v>
      </c>
      <c r="AA139" s="669">
        <f t="shared" si="83"/>
        <v>71841.051222285882</v>
      </c>
      <c r="AB139" s="669">
        <f t="shared" si="83"/>
        <v>73277.872246731597</v>
      </c>
      <c r="AC139" s="669">
        <f t="shared" si="83"/>
        <v>74743.429691666228</v>
      </c>
      <c r="AD139" s="669">
        <f t="shared" si="83"/>
        <v>76238.298285499564</v>
      </c>
      <c r="AE139" s="669">
        <f t="shared" si="83"/>
        <v>77763.064251209551</v>
      </c>
    </row>
    <row r="140" spans="1:33">
      <c r="A140" s="37"/>
      <c r="B140" s="37"/>
      <c r="C140" s="663"/>
      <c r="D140" s="663"/>
      <c r="E140" s="663"/>
      <c r="F140" s="663"/>
      <c r="G140" s="663"/>
      <c r="H140" s="663"/>
      <c r="I140" s="107"/>
      <c r="J140" s="108"/>
      <c r="K140" s="683"/>
      <c r="L140" s="666"/>
      <c r="M140" s="666"/>
      <c r="N140" s="666"/>
      <c r="O140" s="666"/>
      <c r="P140" s="666"/>
      <c r="Q140" s="666"/>
      <c r="R140" s="666"/>
      <c r="S140" s="666"/>
      <c r="T140" s="666"/>
      <c r="U140" s="666"/>
      <c r="V140" s="666"/>
      <c r="W140" s="666"/>
      <c r="X140" s="666"/>
      <c r="Y140" s="666"/>
      <c r="Z140" s="666"/>
      <c r="AA140" s="666"/>
      <c r="AB140" s="666"/>
      <c r="AC140" s="666"/>
      <c r="AD140" s="666"/>
      <c r="AE140" s="666"/>
    </row>
    <row r="141" spans="1:33">
      <c r="A141" s="37" t="s">
        <v>11</v>
      </c>
      <c r="B141" s="37"/>
      <c r="C141" s="57"/>
      <c r="E141" s="57"/>
      <c r="F141" s="57"/>
      <c r="G141" s="57"/>
      <c r="H141" s="57"/>
      <c r="I141" s="43"/>
      <c r="J141" s="42"/>
      <c r="K141" s="770">
        <f>COUNTIF(K134:K138,"&gt;100")</f>
        <v>0</v>
      </c>
      <c r="L141" s="771">
        <f>COUNTIF(L134:L136,"&gt;100")</f>
        <v>0</v>
      </c>
      <c r="M141" s="771">
        <f t="shared" ref="M141:AE141" si="84">COUNTIF(M134:M136,"&gt;100")</f>
        <v>3</v>
      </c>
      <c r="N141" s="771">
        <f t="shared" si="84"/>
        <v>3</v>
      </c>
      <c r="O141" s="771">
        <f t="shared" si="84"/>
        <v>3</v>
      </c>
      <c r="P141" s="771">
        <f t="shared" si="84"/>
        <v>3</v>
      </c>
      <c r="Q141" s="771">
        <f t="shared" si="84"/>
        <v>3</v>
      </c>
      <c r="R141" s="771">
        <f t="shared" si="84"/>
        <v>3</v>
      </c>
      <c r="S141" s="771">
        <f t="shared" si="84"/>
        <v>3</v>
      </c>
      <c r="T141" s="771">
        <f t="shared" si="84"/>
        <v>3</v>
      </c>
      <c r="U141" s="771">
        <f t="shared" si="84"/>
        <v>3</v>
      </c>
      <c r="V141" s="771">
        <f t="shared" si="84"/>
        <v>3</v>
      </c>
      <c r="W141" s="771">
        <f t="shared" si="84"/>
        <v>3</v>
      </c>
      <c r="X141" s="771">
        <f t="shared" si="84"/>
        <v>3</v>
      </c>
      <c r="Y141" s="771">
        <f t="shared" si="84"/>
        <v>3</v>
      </c>
      <c r="Z141" s="771">
        <f t="shared" si="84"/>
        <v>3</v>
      </c>
      <c r="AA141" s="771">
        <f t="shared" si="84"/>
        <v>3</v>
      </c>
      <c r="AB141" s="771">
        <f t="shared" si="84"/>
        <v>3</v>
      </c>
      <c r="AC141" s="771">
        <f t="shared" si="84"/>
        <v>3</v>
      </c>
      <c r="AD141" s="771">
        <f t="shared" si="84"/>
        <v>3</v>
      </c>
      <c r="AE141" s="771">
        <f t="shared" si="84"/>
        <v>3</v>
      </c>
      <c r="AF141" s="772"/>
      <c r="AG141" s="772"/>
    </row>
    <row r="142" spans="1:33">
      <c r="A142" s="745" t="s">
        <v>10</v>
      </c>
      <c r="B142" s="745"/>
      <c r="C142" s="746"/>
      <c r="D142" s="116"/>
      <c r="E142" s="746"/>
      <c r="F142" s="746"/>
      <c r="G142" s="746"/>
      <c r="H142" s="746"/>
      <c r="I142" s="747"/>
      <c r="J142" s="748"/>
      <c r="K142" s="773">
        <v>0</v>
      </c>
      <c r="L142" s="774">
        <f>COUNTIF(L137:L138,"&gt;100")</f>
        <v>0</v>
      </c>
      <c r="M142" s="774">
        <f t="shared" ref="M142:AE142" si="85">COUNTIF(M137:M138,"&gt;100")</f>
        <v>2</v>
      </c>
      <c r="N142" s="774">
        <f t="shared" si="85"/>
        <v>2</v>
      </c>
      <c r="O142" s="774">
        <f t="shared" si="85"/>
        <v>2</v>
      </c>
      <c r="P142" s="774">
        <f t="shared" si="85"/>
        <v>2</v>
      </c>
      <c r="Q142" s="774">
        <f t="shared" si="85"/>
        <v>2</v>
      </c>
      <c r="R142" s="774">
        <f t="shared" si="85"/>
        <v>2</v>
      </c>
      <c r="S142" s="774">
        <f t="shared" si="85"/>
        <v>2</v>
      </c>
      <c r="T142" s="774">
        <f t="shared" si="85"/>
        <v>2</v>
      </c>
      <c r="U142" s="774">
        <f t="shared" si="85"/>
        <v>2</v>
      </c>
      <c r="V142" s="774">
        <f t="shared" si="85"/>
        <v>2</v>
      </c>
      <c r="W142" s="774">
        <f t="shared" si="85"/>
        <v>2</v>
      </c>
      <c r="X142" s="774">
        <f t="shared" si="85"/>
        <v>2</v>
      </c>
      <c r="Y142" s="774">
        <f t="shared" si="85"/>
        <v>2</v>
      </c>
      <c r="Z142" s="774">
        <f t="shared" si="85"/>
        <v>2</v>
      </c>
      <c r="AA142" s="774">
        <f t="shared" si="85"/>
        <v>2</v>
      </c>
      <c r="AB142" s="774">
        <f t="shared" si="85"/>
        <v>2</v>
      </c>
      <c r="AC142" s="774">
        <f t="shared" si="85"/>
        <v>2</v>
      </c>
      <c r="AD142" s="774">
        <f t="shared" si="85"/>
        <v>2</v>
      </c>
      <c r="AE142" s="774">
        <f t="shared" si="85"/>
        <v>2</v>
      </c>
      <c r="AF142" s="772"/>
      <c r="AG142" s="772"/>
    </row>
    <row r="143" spans="1:33" s="56" customFormat="1" ht="14.25">
      <c r="A143" s="164" t="s">
        <v>9</v>
      </c>
      <c r="B143" s="164"/>
      <c r="C143" s="75"/>
      <c r="D143" s="173"/>
      <c r="E143" s="75"/>
      <c r="F143" s="75"/>
      <c r="G143" s="75"/>
      <c r="H143" s="75"/>
      <c r="I143" s="174"/>
      <c r="J143" s="181"/>
      <c r="K143" s="775">
        <v>0</v>
      </c>
      <c r="L143" s="776">
        <f>SUM(L141:L142)</f>
        <v>0</v>
      </c>
      <c r="M143" s="776">
        <f t="shared" ref="M143:AE143" si="86">COUNTIF(M134:M138,"&gt;0")</f>
        <v>5</v>
      </c>
      <c r="N143" s="776">
        <f t="shared" si="86"/>
        <v>5</v>
      </c>
      <c r="O143" s="776">
        <f t="shared" si="86"/>
        <v>5</v>
      </c>
      <c r="P143" s="776">
        <f t="shared" si="86"/>
        <v>5</v>
      </c>
      <c r="Q143" s="776">
        <f t="shared" si="86"/>
        <v>5</v>
      </c>
      <c r="R143" s="776">
        <f t="shared" si="86"/>
        <v>5</v>
      </c>
      <c r="S143" s="776">
        <f t="shared" si="86"/>
        <v>5</v>
      </c>
      <c r="T143" s="776">
        <f t="shared" si="86"/>
        <v>5</v>
      </c>
      <c r="U143" s="776">
        <f t="shared" si="86"/>
        <v>5</v>
      </c>
      <c r="V143" s="776">
        <f t="shared" si="86"/>
        <v>5</v>
      </c>
      <c r="W143" s="776">
        <f t="shared" si="86"/>
        <v>5</v>
      </c>
      <c r="X143" s="776">
        <f t="shared" si="86"/>
        <v>5</v>
      </c>
      <c r="Y143" s="776">
        <f t="shared" si="86"/>
        <v>5</v>
      </c>
      <c r="Z143" s="776">
        <f t="shared" si="86"/>
        <v>5</v>
      </c>
      <c r="AA143" s="776">
        <f t="shared" si="86"/>
        <v>5</v>
      </c>
      <c r="AB143" s="776">
        <f t="shared" si="86"/>
        <v>5</v>
      </c>
      <c r="AC143" s="776">
        <f t="shared" si="86"/>
        <v>5</v>
      </c>
      <c r="AD143" s="776">
        <f t="shared" si="86"/>
        <v>5</v>
      </c>
      <c r="AE143" s="776">
        <f t="shared" si="86"/>
        <v>5</v>
      </c>
      <c r="AF143" s="723"/>
      <c r="AG143" s="723"/>
    </row>
    <row r="144" spans="1:33">
      <c r="B144" s="37"/>
      <c r="C144" s="57"/>
      <c r="E144" s="57"/>
      <c r="F144" s="57"/>
      <c r="G144" s="57"/>
      <c r="H144" s="57"/>
      <c r="I144" s="43"/>
      <c r="J144" s="42"/>
      <c r="K144" s="683"/>
      <c r="L144" s="316"/>
      <c r="M144" s="316"/>
      <c r="N144" s="316"/>
      <c r="O144" s="316"/>
      <c r="P144" s="316"/>
      <c r="Q144" s="316"/>
      <c r="R144" s="316"/>
      <c r="S144" s="316"/>
      <c r="T144" s="316"/>
      <c r="U144" s="316"/>
      <c r="V144" s="316"/>
      <c r="W144" s="316"/>
      <c r="X144" s="316"/>
      <c r="Y144" s="316"/>
      <c r="Z144" s="316"/>
      <c r="AA144" s="316"/>
      <c r="AB144" s="316"/>
      <c r="AC144" s="316"/>
      <c r="AD144" s="316"/>
      <c r="AE144" s="316"/>
    </row>
    <row r="145" spans="1:33">
      <c r="A145" s="33" t="s">
        <v>60</v>
      </c>
      <c r="B145" s="191"/>
      <c r="C145" s="192"/>
      <c r="D145" s="193"/>
      <c r="E145" s="194"/>
      <c r="F145" s="194"/>
      <c r="G145" s="192"/>
      <c r="H145" s="192"/>
      <c r="I145" s="195">
        <v>0.2</v>
      </c>
      <c r="J145" s="196"/>
      <c r="K145" s="689">
        <v>0</v>
      </c>
      <c r="L145" s="665">
        <f t="shared" ref="L145:AE145" si="87">L139*$I$145</f>
        <v>0</v>
      </c>
      <c r="M145" s="665">
        <f t="shared" si="87"/>
        <v>10889.307692307695</v>
      </c>
      <c r="N145" s="665">
        <f t="shared" si="87"/>
        <v>11107.093846153846</v>
      </c>
      <c r="O145" s="665">
        <f t="shared" si="87"/>
        <v>11329.235723076927</v>
      </c>
      <c r="P145" s="665">
        <f t="shared" si="87"/>
        <v>11555.820437538463</v>
      </c>
      <c r="Q145" s="665">
        <f t="shared" si="87"/>
        <v>11786.936846289229</v>
      </c>
      <c r="R145" s="665">
        <f t="shared" si="87"/>
        <v>12022.675583215016</v>
      </c>
      <c r="S145" s="665">
        <f t="shared" si="87"/>
        <v>12263.129094879318</v>
      </c>
      <c r="T145" s="665">
        <f t="shared" si="87"/>
        <v>12508.391676776904</v>
      </c>
      <c r="U145" s="665">
        <f t="shared" si="87"/>
        <v>12758.55951031244</v>
      </c>
      <c r="V145" s="665">
        <f t="shared" si="87"/>
        <v>13013.730700518692</v>
      </c>
      <c r="W145" s="665">
        <f t="shared" si="87"/>
        <v>13274.005314529066</v>
      </c>
      <c r="X145" s="665">
        <f t="shared" si="87"/>
        <v>13539.485420819647</v>
      </c>
      <c r="Y145" s="665">
        <f t="shared" si="87"/>
        <v>13810.275129236041</v>
      </c>
      <c r="Z145" s="665">
        <f t="shared" si="87"/>
        <v>14086.480631820759</v>
      </c>
      <c r="AA145" s="665">
        <f t="shared" si="87"/>
        <v>14368.210244457177</v>
      </c>
      <c r="AB145" s="665">
        <f t="shared" si="87"/>
        <v>14655.574449346321</v>
      </c>
      <c r="AC145" s="665">
        <f t="shared" si="87"/>
        <v>14948.685938333247</v>
      </c>
      <c r="AD145" s="665">
        <f t="shared" si="87"/>
        <v>15247.659657099914</v>
      </c>
      <c r="AE145" s="665">
        <f t="shared" si="87"/>
        <v>15552.612850241911</v>
      </c>
    </row>
    <row r="146" spans="1:33">
      <c r="B146" s="191"/>
      <c r="C146" s="192"/>
      <c r="D146" s="193"/>
      <c r="E146" s="194"/>
      <c r="F146" s="194"/>
      <c r="G146" s="192"/>
      <c r="H146" s="192"/>
      <c r="I146" s="195"/>
      <c r="J146" s="196"/>
      <c r="K146" s="689"/>
      <c r="L146" s="665"/>
      <c r="M146" s="665"/>
      <c r="N146" s="665"/>
      <c r="O146" s="665"/>
      <c r="P146" s="665"/>
      <c r="Q146" s="665"/>
      <c r="R146" s="665"/>
      <c r="S146" s="665"/>
      <c r="T146" s="665"/>
      <c r="U146" s="665"/>
      <c r="V146" s="665"/>
      <c r="W146" s="665"/>
      <c r="X146" s="665"/>
      <c r="Y146" s="665"/>
      <c r="Z146" s="665"/>
      <c r="AA146" s="665"/>
      <c r="AB146" s="665"/>
      <c r="AC146" s="665"/>
      <c r="AD146" s="665"/>
      <c r="AE146" s="665"/>
    </row>
    <row r="147" spans="1:33" s="197" customFormat="1" ht="14.25">
      <c r="A147" s="197" t="s">
        <v>68</v>
      </c>
      <c r="D147" s="198"/>
      <c r="K147" s="690"/>
      <c r="L147" s="677"/>
      <c r="M147" s="677"/>
      <c r="N147" s="677"/>
      <c r="O147" s="677"/>
      <c r="P147" s="677"/>
      <c r="Q147" s="677"/>
      <c r="R147" s="677"/>
      <c r="S147" s="677"/>
      <c r="T147" s="677"/>
      <c r="U147" s="677"/>
      <c r="V147" s="677"/>
      <c r="W147" s="677"/>
      <c r="X147" s="677"/>
      <c r="Y147" s="677"/>
      <c r="Z147" s="677"/>
      <c r="AA147" s="677"/>
      <c r="AB147" s="677"/>
      <c r="AC147" s="677"/>
      <c r="AD147" s="677"/>
      <c r="AE147" s="677"/>
    </row>
    <row r="148" spans="1:33">
      <c r="A148" s="37" t="s">
        <v>423</v>
      </c>
      <c r="B148" s="37"/>
      <c r="C148" s="110"/>
      <c r="D148" s="106"/>
      <c r="E148" s="57"/>
      <c r="F148" s="57"/>
      <c r="G148" s="57"/>
      <c r="H148" s="57"/>
      <c r="I148" s="49"/>
      <c r="J148" s="44"/>
      <c r="K148" s="683">
        <f>COUNTIF(K$114:K$121,"&gt;0")*$J148*R$9</f>
        <v>0</v>
      </c>
      <c r="L148" s="666">
        <v>0</v>
      </c>
      <c r="M148" s="666">
        <v>10000</v>
      </c>
      <c r="N148" s="666">
        <f t="shared" ref="N148:AE148" si="88">$M$148*L11</f>
        <v>10200</v>
      </c>
      <c r="O148" s="666">
        <f t="shared" si="88"/>
        <v>10404</v>
      </c>
      <c r="P148" s="666">
        <f t="shared" si="88"/>
        <v>10612.08</v>
      </c>
      <c r="Q148" s="666">
        <f t="shared" si="88"/>
        <v>10824.321599999999</v>
      </c>
      <c r="R148" s="666">
        <f t="shared" si="88"/>
        <v>11040.808032000001</v>
      </c>
      <c r="S148" s="666">
        <f t="shared" si="88"/>
        <v>11261.62419264</v>
      </c>
      <c r="T148" s="666">
        <f t="shared" si="88"/>
        <v>11486.8566764928</v>
      </c>
      <c r="U148" s="666">
        <f t="shared" si="88"/>
        <v>11716.593810022658</v>
      </c>
      <c r="V148" s="666">
        <f t="shared" si="88"/>
        <v>11950.92568622311</v>
      </c>
      <c r="W148" s="666">
        <f t="shared" si="88"/>
        <v>12189.944199947573</v>
      </c>
      <c r="X148" s="666">
        <f t="shared" si="88"/>
        <v>12433.743083946525</v>
      </c>
      <c r="Y148" s="666">
        <f t="shared" si="88"/>
        <v>12682.417945625455</v>
      </c>
      <c r="Z148" s="666">
        <f t="shared" si="88"/>
        <v>12936.066304537962</v>
      </c>
      <c r="AA148" s="666">
        <f t="shared" si="88"/>
        <v>13194.787630628723</v>
      </c>
      <c r="AB148" s="666">
        <f t="shared" si="88"/>
        <v>13458.683383241299</v>
      </c>
      <c r="AC148" s="666">
        <f t="shared" si="88"/>
        <v>13727.857050906125</v>
      </c>
      <c r="AD148" s="666">
        <f t="shared" si="88"/>
        <v>14002.414191924248</v>
      </c>
      <c r="AE148" s="666">
        <f t="shared" si="88"/>
        <v>14282.462475762733</v>
      </c>
    </row>
    <row r="149" spans="1:33">
      <c r="A149" s="37" t="s">
        <v>67</v>
      </c>
      <c r="B149" s="37"/>
      <c r="C149" s="110"/>
      <c r="D149" s="106"/>
      <c r="E149" s="57"/>
      <c r="F149" s="57"/>
      <c r="G149" s="57"/>
      <c r="H149" s="57"/>
      <c r="I149" s="51"/>
      <c r="J149" s="44"/>
      <c r="K149" s="683">
        <v>0</v>
      </c>
      <c r="L149" s="666">
        <v>0</v>
      </c>
      <c r="M149" s="666">
        <v>10000</v>
      </c>
      <c r="N149" s="666">
        <f t="shared" ref="N149:AE149" si="89">$M$149*L11</f>
        <v>10200</v>
      </c>
      <c r="O149" s="666">
        <f t="shared" si="89"/>
        <v>10404</v>
      </c>
      <c r="P149" s="666">
        <f t="shared" si="89"/>
        <v>10612.08</v>
      </c>
      <c r="Q149" s="666">
        <f t="shared" si="89"/>
        <v>10824.321599999999</v>
      </c>
      <c r="R149" s="666">
        <f t="shared" si="89"/>
        <v>11040.808032000001</v>
      </c>
      <c r="S149" s="666">
        <f t="shared" si="89"/>
        <v>11261.62419264</v>
      </c>
      <c r="T149" s="666">
        <f t="shared" si="89"/>
        <v>11486.8566764928</v>
      </c>
      <c r="U149" s="666">
        <f t="shared" si="89"/>
        <v>11716.593810022658</v>
      </c>
      <c r="V149" s="666">
        <f t="shared" si="89"/>
        <v>11950.92568622311</v>
      </c>
      <c r="W149" s="666">
        <f t="shared" si="89"/>
        <v>12189.944199947573</v>
      </c>
      <c r="X149" s="666">
        <f t="shared" si="89"/>
        <v>12433.743083946525</v>
      </c>
      <c r="Y149" s="666">
        <f t="shared" si="89"/>
        <v>12682.417945625455</v>
      </c>
      <c r="Z149" s="666">
        <f t="shared" si="89"/>
        <v>12936.066304537962</v>
      </c>
      <c r="AA149" s="666">
        <f t="shared" si="89"/>
        <v>13194.787630628723</v>
      </c>
      <c r="AB149" s="666">
        <f t="shared" si="89"/>
        <v>13458.683383241299</v>
      </c>
      <c r="AC149" s="666">
        <f t="shared" si="89"/>
        <v>13727.857050906125</v>
      </c>
      <c r="AD149" s="666">
        <f t="shared" si="89"/>
        <v>14002.414191924248</v>
      </c>
      <c r="AE149" s="666">
        <f t="shared" si="89"/>
        <v>14282.462475762733</v>
      </c>
    </row>
    <row r="150" spans="1:33">
      <c r="A150" s="180" t="s">
        <v>2</v>
      </c>
      <c r="B150" s="777"/>
      <c r="C150" s="778"/>
      <c r="D150" s="779"/>
      <c r="E150" s="746"/>
      <c r="F150" s="746"/>
      <c r="G150" s="778"/>
      <c r="H150" s="778"/>
      <c r="I150" s="780"/>
      <c r="J150" s="781"/>
      <c r="K150" s="741">
        <v>0</v>
      </c>
      <c r="L150" s="742">
        <v>0</v>
      </c>
      <c r="M150" s="742">
        <v>0</v>
      </c>
      <c r="N150" s="742">
        <v>0</v>
      </c>
      <c r="O150" s="742">
        <v>0</v>
      </c>
      <c r="P150" s="742">
        <v>0</v>
      </c>
      <c r="Q150" s="742">
        <v>0</v>
      </c>
      <c r="R150" s="742">
        <v>0</v>
      </c>
      <c r="S150" s="742">
        <v>0</v>
      </c>
      <c r="T150" s="742">
        <v>0</v>
      </c>
      <c r="U150" s="742">
        <v>0</v>
      </c>
      <c r="V150" s="742">
        <v>0</v>
      </c>
      <c r="W150" s="742">
        <v>0</v>
      </c>
      <c r="X150" s="742">
        <v>0</v>
      </c>
      <c r="Y150" s="742">
        <v>0</v>
      </c>
      <c r="Z150" s="742">
        <v>0</v>
      </c>
      <c r="AA150" s="742">
        <v>0</v>
      </c>
      <c r="AB150" s="742">
        <v>0</v>
      </c>
      <c r="AC150" s="742">
        <v>0</v>
      </c>
      <c r="AD150" s="742">
        <v>0</v>
      </c>
      <c r="AE150" s="742">
        <v>0</v>
      </c>
    </row>
    <row r="151" spans="1:33" s="56" customFormat="1" ht="14.25">
      <c r="A151" s="164" t="s">
        <v>78</v>
      </c>
      <c r="B151" s="164"/>
      <c r="C151" s="75"/>
      <c r="D151" s="173"/>
      <c r="E151" s="75"/>
      <c r="F151" s="75"/>
      <c r="G151" s="75"/>
      <c r="H151" s="75"/>
      <c r="I151" s="174"/>
      <c r="J151" s="175"/>
      <c r="K151" s="685">
        <v>0</v>
      </c>
      <c r="L151" s="669">
        <f t="shared" ref="L151:AE151" si="90">SUM(L148:L150)</f>
        <v>0</v>
      </c>
      <c r="M151" s="669">
        <f t="shared" si="90"/>
        <v>20000</v>
      </c>
      <c r="N151" s="669">
        <f t="shared" si="90"/>
        <v>20400</v>
      </c>
      <c r="O151" s="669">
        <f t="shared" si="90"/>
        <v>20808</v>
      </c>
      <c r="P151" s="669">
        <f t="shared" si="90"/>
        <v>21224.16</v>
      </c>
      <c r="Q151" s="669">
        <f t="shared" si="90"/>
        <v>21648.643199999999</v>
      </c>
      <c r="R151" s="669">
        <f t="shared" si="90"/>
        <v>22081.616064000002</v>
      </c>
      <c r="S151" s="669">
        <f t="shared" si="90"/>
        <v>22523.24838528</v>
      </c>
      <c r="T151" s="669">
        <f t="shared" si="90"/>
        <v>22973.7133529856</v>
      </c>
      <c r="U151" s="669">
        <f t="shared" si="90"/>
        <v>23433.187620045315</v>
      </c>
      <c r="V151" s="669">
        <f t="shared" si="90"/>
        <v>23901.851372446221</v>
      </c>
      <c r="W151" s="669">
        <f t="shared" si="90"/>
        <v>24379.888399895146</v>
      </c>
      <c r="X151" s="669">
        <f t="shared" si="90"/>
        <v>24867.48616789305</v>
      </c>
      <c r="Y151" s="669">
        <f t="shared" si="90"/>
        <v>25364.83589125091</v>
      </c>
      <c r="Z151" s="669">
        <f t="shared" si="90"/>
        <v>25872.132609075925</v>
      </c>
      <c r="AA151" s="669">
        <f t="shared" si="90"/>
        <v>26389.575261257447</v>
      </c>
      <c r="AB151" s="669">
        <f t="shared" si="90"/>
        <v>26917.366766482599</v>
      </c>
      <c r="AC151" s="669">
        <f t="shared" si="90"/>
        <v>27455.714101812249</v>
      </c>
      <c r="AD151" s="669">
        <f t="shared" si="90"/>
        <v>28004.828383848497</v>
      </c>
      <c r="AE151" s="669">
        <f t="shared" si="90"/>
        <v>28564.924951525467</v>
      </c>
    </row>
    <row r="152" spans="1:33" s="56" customFormat="1" ht="14.25">
      <c r="A152" s="164"/>
      <c r="B152" s="164"/>
      <c r="C152" s="75"/>
      <c r="D152" s="173"/>
      <c r="E152" s="75"/>
      <c r="F152" s="75"/>
      <c r="G152" s="75"/>
      <c r="H152" s="75"/>
      <c r="I152" s="174"/>
      <c r="J152" s="175"/>
      <c r="K152" s="685"/>
      <c r="L152" s="669"/>
      <c r="M152" s="669"/>
      <c r="N152" s="669"/>
      <c r="O152" s="669"/>
      <c r="P152" s="669"/>
      <c r="Q152" s="669"/>
      <c r="R152" s="669"/>
      <c r="S152" s="669"/>
      <c r="T152" s="669"/>
      <c r="U152" s="669"/>
      <c r="V152" s="669"/>
      <c r="W152" s="669"/>
      <c r="X152" s="669"/>
      <c r="Y152" s="669"/>
      <c r="Z152" s="669"/>
      <c r="AA152" s="669"/>
      <c r="AB152" s="669"/>
      <c r="AC152" s="669"/>
      <c r="AD152" s="669"/>
      <c r="AE152" s="669"/>
    </row>
    <row r="153" spans="1:33" s="56" customFormat="1" ht="14.25">
      <c r="A153" s="164" t="s">
        <v>66</v>
      </c>
      <c r="B153" s="164"/>
      <c r="C153" s="75"/>
      <c r="D153" s="173"/>
      <c r="E153" s="75"/>
      <c r="F153" s="75"/>
      <c r="G153" s="75"/>
      <c r="H153" s="75"/>
      <c r="I153" s="174"/>
      <c r="J153" s="175"/>
      <c r="K153" s="685">
        <v>0</v>
      </c>
      <c r="L153" s="669">
        <f>SUM(L139,L151)</f>
        <v>0</v>
      </c>
      <c r="M153" s="669">
        <f>SUM(M139,M145,M151)</f>
        <v>85335.846153846156</v>
      </c>
      <c r="N153" s="669">
        <f t="shared" ref="N153:AE153" si="91">SUM(N139,N145,N151)</f>
        <v>87042.563076923077</v>
      </c>
      <c r="O153" s="669">
        <f t="shared" si="91"/>
        <v>88783.41433846156</v>
      </c>
      <c r="P153" s="669">
        <f t="shared" si="91"/>
        <v>90559.082625230774</v>
      </c>
      <c r="Q153" s="669">
        <f t="shared" si="91"/>
        <v>92370.264277735376</v>
      </c>
      <c r="R153" s="669">
        <f t="shared" si="91"/>
        <v>94217.669563290081</v>
      </c>
      <c r="S153" s="669">
        <f t="shared" si="91"/>
        <v>96102.022954555898</v>
      </c>
      <c r="T153" s="669">
        <f t="shared" si="91"/>
        <v>98024.063413647003</v>
      </c>
      <c r="U153" s="669">
        <f t="shared" si="91"/>
        <v>99984.544681919942</v>
      </c>
      <c r="V153" s="669">
        <f t="shared" si="91"/>
        <v>101984.23557555837</v>
      </c>
      <c r="W153" s="669">
        <f t="shared" si="91"/>
        <v>104023.92028706953</v>
      </c>
      <c r="X153" s="669">
        <f t="shared" si="91"/>
        <v>106104.39869281092</v>
      </c>
      <c r="Y153" s="669">
        <f t="shared" si="91"/>
        <v>108226.48666666714</v>
      </c>
      <c r="Z153" s="669">
        <f t="shared" si="91"/>
        <v>110391.01640000047</v>
      </c>
      <c r="AA153" s="669">
        <f t="shared" si="91"/>
        <v>112598.8367280005</v>
      </c>
      <c r="AB153" s="669">
        <f t="shared" si="91"/>
        <v>114850.8134625605</v>
      </c>
      <c r="AC153" s="669">
        <f t="shared" si="91"/>
        <v>117147.82973181173</v>
      </c>
      <c r="AD153" s="669">
        <f t="shared" si="91"/>
        <v>119490.78632644797</v>
      </c>
      <c r="AE153" s="669">
        <f t="shared" si="91"/>
        <v>121880.60205297693</v>
      </c>
    </row>
    <row r="154" spans="1:33" s="56" customFormat="1" ht="14.25">
      <c r="A154" s="164"/>
      <c r="B154" s="164"/>
      <c r="C154" s="75"/>
      <c r="D154" s="173"/>
      <c r="E154" s="75"/>
      <c r="F154" s="75"/>
      <c r="G154" s="75"/>
      <c r="H154" s="75"/>
      <c r="I154" s="174"/>
      <c r="J154" s="175"/>
      <c r="K154" s="685"/>
      <c r="L154" s="669"/>
      <c r="M154" s="669"/>
      <c r="N154" s="669"/>
      <c r="O154" s="669"/>
      <c r="P154" s="669"/>
      <c r="Q154" s="669"/>
      <c r="R154" s="669"/>
      <c r="S154" s="669"/>
      <c r="T154" s="669"/>
      <c r="U154" s="669"/>
      <c r="V154" s="669"/>
      <c r="W154" s="669"/>
      <c r="X154" s="669"/>
      <c r="Y154" s="669"/>
      <c r="Z154" s="669"/>
      <c r="AA154" s="669"/>
      <c r="AB154" s="669"/>
      <c r="AC154" s="669"/>
      <c r="AD154" s="669"/>
      <c r="AE154" s="669"/>
    </row>
    <row r="155" spans="1:33">
      <c r="A155" s="47" t="s">
        <v>7</v>
      </c>
      <c r="B155" s="47" t="s">
        <v>7</v>
      </c>
      <c r="C155" s="78" t="s">
        <v>7</v>
      </c>
      <c r="D155" s="100"/>
      <c r="E155" s="78" t="s">
        <v>7</v>
      </c>
      <c r="F155" s="78"/>
      <c r="G155" s="78" t="s">
        <v>7</v>
      </c>
      <c r="H155" s="78"/>
      <c r="I155" s="52" t="s">
        <v>7</v>
      </c>
      <c r="J155" s="114"/>
      <c r="K155" s="673"/>
      <c r="L155" s="672"/>
      <c r="M155" s="672"/>
      <c r="N155" s="672"/>
      <c r="O155" s="672"/>
      <c r="P155" s="672"/>
      <c r="Q155" s="672"/>
      <c r="R155" s="672"/>
      <c r="S155" s="672"/>
      <c r="T155" s="672"/>
      <c r="U155" s="672"/>
      <c r="V155" s="672"/>
      <c r="W155" s="672"/>
      <c r="X155" s="672"/>
      <c r="Y155" s="672"/>
      <c r="Z155" s="672"/>
      <c r="AA155" s="672"/>
      <c r="AB155" s="672"/>
      <c r="AC155" s="672"/>
      <c r="AD155" s="672"/>
      <c r="AE155" s="672"/>
    </row>
    <row r="156" spans="1:33">
      <c r="A156" s="47"/>
      <c r="B156" s="47"/>
      <c r="C156" s="78"/>
      <c r="D156" s="100"/>
      <c r="E156" s="78"/>
      <c r="F156" s="78"/>
      <c r="G156" s="78"/>
      <c r="H156" s="78"/>
      <c r="I156" s="52"/>
      <c r="J156" s="114"/>
      <c r="K156" s="664"/>
      <c r="L156" s="666"/>
      <c r="M156" s="666"/>
      <c r="N156" s="666"/>
      <c r="O156" s="666"/>
      <c r="P156" s="666"/>
      <c r="Q156" s="666"/>
      <c r="R156" s="666"/>
      <c r="S156" s="666"/>
      <c r="T156" s="666"/>
      <c r="U156" s="666"/>
      <c r="V156" s="666"/>
      <c r="W156" s="666"/>
      <c r="X156" s="666"/>
      <c r="Y156" s="666"/>
      <c r="Z156" s="666"/>
      <c r="AA156" s="666"/>
      <c r="AB156" s="666"/>
      <c r="AC156" s="666"/>
      <c r="AD156" s="666"/>
      <c r="AE156" s="666"/>
    </row>
    <row r="157" spans="1:33" s="56" customFormat="1" ht="14.25">
      <c r="A157" s="203" t="s">
        <v>79</v>
      </c>
      <c r="B157" s="203"/>
      <c r="C157" s="204"/>
      <c r="D157" s="205"/>
      <c r="E157" s="204"/>
      <c r="F157" s="204"/>
      <c r="G157" s="204"/>
      <c r="H157" s="204"/>
      <c r="I157" s="206"/>
      <c r="J157" s="207"/>
      <c r="K157" s="675">
        <v>0</v>
      </c>
      <c r="L157" s="676">
        <f t="shared" ref="L157:AE157" si="92">SUM(L130,L153)</f>
        <v>0</v>
      </c>
      <c r="M157" s="676">
        <f t="shared" si="92"/>
        <v>139905.84615384616</v>
      </c>
      <c r="N157" s="676">
        <f t="shared" si="92"/>
        <v>143817.19107692307</v>
      </c>
      <c r="O157" s="676">
        <f t="shared" si="92"/>
        <v>146693.53489846154</v>
      </c>
      <c r="P157" s="676">
        <f t="shared" si="92"/>
        <v>149627.40559643076</v>
      </c>
      <c r="Q157" s="676">
        <f t="shared" si="92"/>
        <v>152619.95370835939</v>
      </c>
      <c r="R157" s="676">
        <f t="shared" si="92"/>
        <v>155672.35278252655</v>
      </c>
      <c r="S157" s="676">
        <f t="shared" si="92"/>
        <v>158785.7998381771</v>
      </c>
      <c r="T157" s="676">
        <f t="shared" si="92"/>
        <v>161961.51583494066</v>
      </c>
      <c r="U157" s="676">
        <f t="shared" si="92"/>
        <v>165200.74615163944</v>
      </c>
      <c r="V157" s="676">
        <f t="shared" si="92"/>
        <v>168504.76107467228</v>
      </c>
      <c r="W157" s="676">
        <f t="shared" si="92"/>
        <v>171874.85629616573</v>
      </c>
      <c r="X157" s="676">
        <f t="shared" si="92"/>
        <v>175312.35342208904</v>
      </c>
      <c r="Y157" s="676">
        <f t="shared" si="92"/>
        <v>178818.60049053084</v>
      </c>
      <c r="Z157" s="676">
        <f t="shared" si="92"/>
        <v>182394.97250034142</v>
      </c>
      <c r="AA157" s="676">
        <f t="shared" si="92"/>
        <v>186042.87195034826</v>
      </c>
      <c r="AB157" s="676">
        <f t="shared" si="92"/>
        <v>189763.72938935523</v>
      </c>
      <c r="AC157" s="676">
        <f t="shared" si="92"/>
        <v>193559.00397714233</v>
      </c>
      <c r="AD157" s="676">
        <f t="shared" si="92"/>
        <v>197430.18405668519</v>
      </c>
      <c r="AE157" s="676">
        <f t="shared" si="92"/>
        <v>201378.7877378189</v>
      </c>
      <c r="AG157" s="199"/>
    </row>
    <row r="158" spans="1:33">
      <c r="K158" s="664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</row>
    <row r="159" spans="1:33">
      <c r="A159" s="47" t="s">
        <v>7</v>
      </c>
      <c r="B159" s="47" t="s">
        <v>7</v>
      </c>
      <c r="C159" s="78" t="s">
        <v>7</v>
      </c>
      <c r="D159" s="100"/>
      <c r="E159" s="78" t="s">
        <v>7</v>
      </c>
      <c r="F159" s="78"/>
      <c r="G159" s="78" t="s">
        <v>7</v>
      </c>
      <c r="H159" s="78"/>
      <c r="I159" s="52" t="s">
        <v>7</v>
      </c>
      <c r="J159" s="114"/>
      <c r="K159" s="673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</row>
    <row r="160" spans="1:33">
      <c r="K160" s="664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G160" s="199"/>
    </row>
    <row r="161" spans="1:33" s="56" customFormat="1" ht="14.25">
      <c r="A161" s="208" t="s">
        <v>115</v>
      </c>
      <c r="B161" s="208"/>
      <c r="C161" s="208"/>
      <c r="D161" s="202"/>
      <c r="E161" s="208"/>
      <c r="F161" s="208"/>
      <c r="G161" s="208"/>
      <c r="H161" s="208"/>
      <c r="I161" s="208"/>
      <c r="J161" s="208"/>
      <c r="K161" s="678">
        <f>SUM(K151,K111)</f>
        <v>0</v>
      </c>
      <c r="L161" s="678">
        <f t="shared" ref="L161:AE161" si="93">SUM(L111,L157)</f>
        <v>357416.66666666669</v>
      </c>
      <c r="M161" s="678">
        <f t="shared" si="93"/>
        <v>826389.34615384613</v>
      </c>
      <c r="N161" s="678">
        <f t="shared" si="93"/>
        <v>844040.56107692304</v>
      </c>
      <c r="O161" s="678">
        <f t="shared" si="93"/>
        <v>860921.37229846139</v>
      </c>
      <c r="P161" s="678">
        <f t="shared" si="93"/>
        <v>878139.7997444307</v>
      </c>
      <c r="Q161" s="678">
        <f t="shared" si="93"/>
        <v>924046.47453451937</v>
      </c>
      <c r="R161" s="678">
        <f t="shared" si="93"/>
        <v>937990.48523484182</v>
      </c>
      <c r="S161" s="678">
        <f t="shared" si="93"/>
        <v>956750.29493953846</v>
      </c>
      <c r="T161" s="678">
        <f t="shared" si="93"/>
        <v>975885.3008383296</v>
      </c>
      <c r="U161" s="678">
        <f t="shared" si="93"/>
        <v>995403.0068550962</v>
      </c>
      <c r="V161" s="678">
        <f t="shared" si="93"/>
        <v>1043506.4772135783</v>
      </c>
      <c r="W161" s="678">
        <f t="shared" si="93"/>
        <v>1035617.2883320419</v>
      </c>
      <c r="X161" s="678">
        <f t="shared" si="93"/>
        <v>1056329.634098683</v>
      </c>
      <c r="Y161" s="678">
        <f t="shared" si="93"/>
        <v>1077456.2267806565</v>
      </c>
      <c r="Z161" s="678">
        <f t="shared" si="93"/>
        <v>1099005.3513162697</v>
      </c>
      <c r="AA161" s="678">
        <f t="shared" si="93"/>
        <v>1125312.524173433</v>
      </c>
      <c r="AB161" s="678">
        <f t="shared" si="93"/>
        <v>1143405.1675094471</v>
      </c>
      <c r="AC161" s="678">
        <f t="shared" si="93"/>
        <v>1166273.2708596359</v>
      </c>
      <c r="AD161" s="678">
        <f t="shared" si="93"/>
        <v>1189598.7362768289</v>
      </c>
      <c r="AE161" s="678">
        <f t="shared" si="93"/>
        <v>1213390.7110023652</v>
      </c>
      <c r="AG161" s="199"/>
    </row>
    <row r="162" spans="1:33">
      <c r="K162" s="664"/>
      <c r="L162" s="666"/>
      <c r="M162" s="666"/>
      <c r="N162" s="666"/>
      <c r="O162" s="666"/>
      <c r="P162" s="666"/>
      <c r="Q162" s="666"/>
      <c r="R162" s="666"/>
      <c r="S162" s="666"/>
      <c r="T162" s="666"/>
      <c r="U162" s="666"/>
      <c r="V162" s="666"/>
      <c r="W162" s="666"/>
      <c r="X162" s="666"/>
      <c r="Y162" s="666"/>
      <c r="Z162" s="666"/>
      <c r="AA162" s="666"/>
      <c r="AB162" s="666"/>
      <c r="AC162" s="666"/>
      <c r="AD162" s="666"/>
      <c r="AE162" s="666"/>
      <c r="AG162" s="199"/>
    </row>
    <row r="163" spans="1:33">
      <c r="A163" s="251"/>
      <c r="B163" s="251"/>
      <c r="C163" s="251"/>
      <c r="D163" s="259"/>
      <c r="E163" s="251"/>
      <c r="F163" s="251"/>
      <c r="G163" s="251"/>
      <c r="H163" s="251"/>
      <c r="I163" s="251"/>
      <c r="J163" s="251"/>
      <c r="K163" s="679"/>
      <c r="L163" s="680"/>
      <c r="M163" s="680"/>
      <c r="N163" s="680"/>
      <c r="O163" s="680"/>
      <c r="P163" s="680"/>
      <c r="Q163" s="680"/>
      <c r="R163" s="680"/>
      <c r="S163" s="680"/>
      <c r="T163" s="680"/>
      <c r="U163" s="680"/>
      <c r="V163" s="680"/>
      <c r="W163" s="680"/>
      <c r="X163" s="680"/>
      <c r="Y163" s="680"/>
      <c r="Z163" s="680"/>
      <c r="AA163" s="680"/>
      <c r="AB163" s="680"/>
      <c r="AC163" s="680"/>
      <c r="AD163" s="680"/>
      <c r="AE163" s="680"/>
      <c r="AG163" s="199"/>
    </row>
    <row r="164" spans="1:33">
      <c r="K164" s="664"/>
      <c r="L164" s="666"/>
      <c r="M164" s="666"/>
      <c r="N164" s="666"/>
      <c r="O164" s="666"/>
      <c r="P164" s="666"/>
      <c r="Q164" s="666"/>
      <c r="R164" s="666"/>
      <c r="S164" s="666"/>
      <c r="T164" s="666"/>
      <c r="U164" s="666"/>
      <c r="V164" s="666"/>
      <c r="W164" s="666"/>
      <c r="X164" s="666"/>
      <c r="Y164" s="666"/>
      <c r="Z164" s="666"/>
      <c r="AA164" s="666"/>
      <c r="AB164" s="666"/>
      <c r="AC164" s="666"/>
      <c r="AD164" s="666"/>
      <c r="AE164" s="666"/>
      <c r="AG164" s="199"/>
    </row>
    <row r="165" spans="1:33">
      <c r="A165" s="249" t="s">
        <v>84</v>
      </c>
      <c r="B165" s="281"/>
      <c r="C165" s="281"/>
      <c r="D165" s="177"/>
      <c r="E165" s="281"/>
      <c r="F165" s="281"/>
      <c r="G165" s="281"/>
      <c r="H165" s="281"/>
      <c r="I165" s="281"/>
      <c r="J165" s="281"/>
      <c r="K165" s="681"/>
      <c r="L165" s="682"/>
      <c r="M165" s="682"/>
      <c r="N165" s="682"/>
      <c r="O165" s="682"/>
      <c r="P165" s="682"/>
      <c r="Q165" s="682"/>
      <c r="R165" s="682"/>
      <c r="S165" s="682"/>
      <c r="T165" s="682"/>
      <c r="U165" s="682"/>
      <c r="V165" s="682"/>
      <c r="W165" s="682"/>
      <c r="X165" s="682"/>
      <c r="Y165" s="682"/>
      <c r="Z165" s="682"/>
      <c r="AA165" s="682"/>
      <c r="AB165" s="682"/>
      <c r="AC165" s="682"/>
      <c r="AD165" s="682"/>
      <c r="AE165" s="682"/>
      <c r="AG165" s="199"/>
    </row>
    <row r="166" spans="1:33" s="252" customFormat="1">
      <c r="A166" s="257"/>
      <c r="D166" s="186"/>
      <c r="K166" s="664"/>
      <c r="L166" s="671"/>
      <c r="M166" s="671"/>
      <c r="N166" s="671"/>
      <c r="O166" s="671"/>
      <c r="P166" s="671"/>
      <c r="Q166" s="671"/>
      <c r="R166" s="671"/>
      <c r="S166" s="671"/>
      <c r="T166" s="671"/>
      <c r="U166" s="671"/>
      <c r="V166" s="671"/>
      <c r="W166" s="671"/>
      <c r="X166" s="671"/>
      <c r="Y166" s="671"/>
      <c r="Z166" s="671"/>
      <c r="AA166" s="671"/>
      <c r="AB166" s="671"/>
      <c r="AC166" s="671"/>
      <c r="AD166" s="671"/>
      <c r="AE166" s="671"/>
      <c r="AG166" s="363"/>
    </row>
    <row r="167" spans="1:33">
      <c r="A167" s="96" t="s">
        <v>136</v>
      </c>
      <c r="B167" s="37"/>
      <c r="C167" s="110"/>
      <c r="D167" s="106"/>
      <c r="E167" s="57"/>
      <c r="F167" s="57"/>
      <c r="G167" s="57"/>
      <c r="H167" s="57"/>
      <c r="I167" s="51"/>
      <c r="J167" s="44"/>
      <c r="K167" s="514"/>
      <c r="L167" s="515"/>
      <c r="M167" s="515"/>
      <c r="N167" s="515"/>
      <c r="O167" s="515"/>
      <c r="P167" s="515"/>
      <c r="Q167" s="515"/>
      <c r="R167" s="515"/>
      <c r="S167" s="515"/>
      <c r="T167" s="515"/>
      <c r="U167" s="515"/>
      <c r="V167" s="515"/>
      <c r="W167" s="515"/>
      <c r="X167" s="515"/>
      <c r="Y167" s="515"/>
      <c r="Z167" s="515"/>
      <c r="AA167" s="515"/>
      <c r="AB167" s="515"/>
      <c r="AC167" s="515"/>
      <c r="AD167" s="515"/>
      <c r="AE167" s="515"/>
      <c r="AG167" s="199"/>
    </row>
    <row r="168" spans="1:33">
      <c r="A168" s="37" t="s">
        <v>456</v>
      </c>
      <c r="K168" s="683">
        <v>0</v>
      </c>
      <c r="L168" s="663">
        <v>0</v>
      </c>
      <c r="M168" s="663">
        <f>53485</f>
        <v>53485</v>
      </c>
      <c r="N168" s="663">
        <f t="shared" ref="N168:AE168" si="94">$M$168*L11</f>
        <v>54554.700000000004</v>
      </c>
      <c r="O168" s="663">
        <f t="shared" si="94"/>
        <v>55645.794000000002</v>
      </c>
      <c r="P168" s="663">
        <f t="shared" si="94"/>
        <v>56758.709879999995</v>
      </c>
      <c r="Q168" s="663">
        <f t="shared" si="94"/>
        <v>57893.8840776</v>
      </c>
      <c r="R168" s="663">
        <f t="shared" si="94"/>
        <v>59051.761759152003</v>
      </c>
      <c r="S168" s="663">
        <f t="shared" si="94"/>
        <v>60232.796994335047</v>
      </c>
      <c r="T168" s="663">
        <f t="shared" si="94"/>
        <v>61437.452934221743</v>
      </c>
      <c r="U168" s="663">
        <f t="shared" si="94"/>
        <v>62666.201992906186</v>
      </c>
      <c r="V168" s="663">
        <f t="shared" si="94"/>
        <v>63919.526032764305</v>
      </c>
      <c r="W168" s="663">
        <f t="shared" si="94"/>
        <v>65197.916553419593</v>
      </c>
      <c r="X168" s="663">
        <f t="shared" si="94"/>
        <v>66501.874884487988</v>
      </c>
      <c r="Y168" s="663">
        <f t="shared" si="94"/>
        <v>67831.912382177747</v>
      </c>
      <c r="Z168" s="663">
        <f t="shared" si="94"/>
        <v>69188.5506298213</v>
      </c>
      <c r="AA168" s="663">
        <f t="shared" si="94"/>
        <v>70572.321642417723</v>
      </c>
      <c r="AB168" s="663">
        <f t="shared" si="94"/>
        <v>71983.768075266082</v>
      </c>
      <c r="AC168" s="663">
        <f t="shared" si="94"/>
        <v>73423.443436771413</v>
      </c>
      <c r="AD168" s="663">
        <f t="shared" si="94"/>
        <v>74891.912305506848</v>
      </c>
      <c r="AE168" s="663">
        <f t="shared" si="94"/>
        <v>76389.750551616977</v>
      </c>
    </row>
    <row r="169" spans="1:33">
      <c r="K169" s="683"/>
    </row>
    <row r="170" spans="1:33">
      <c r="A170" s="1102" t="s">
        <v>576</v>
      </c>
      <c r="K170" s="683">
        <v>0</v>
      </c>
      <c r="L170" s="882">
        <f>'Capital Financing'!$B$33</f>
        <v>612119.16</v>
      </c>
      <c r="M170" s="882">
        <f>'Capital Financing'!$B$33</f>
        <v>612119.16</v>
      </c>
      <c r="N170" s="882">
        <f>'Capital Financing'!$B$33</f>
        <v>612119.16</v>
      </c>
      <c r="O170" s="882">
        <f>'Capital Financing'!$B$33</f>
        <v>612119.16</v>
      </c>
      <c r="P170" s="882">
        <f>'Capital Financing'!$B$33</f>
        <v>612119.16</v>
      </c>
      <c r="Q170" s="882">
        <f>'Capital Financing'!$B$33</f>
        <v>612119.16</v>
      </c>
      <c r="R170" s="882">
        <f>'Capital Financing'!$B$33</f>
        <v>612119.16</v>
      </c>
      <c r="S170" s="882">
        <f>'Capital Financing'!$B$33</f>
        <v>612119.16</v>
      </c>
      <c r="T170" s="882">
        <f>'Capital Financing'!$B$33</f>
        <v>612119.16</v>
      </c>
      <c r="U170" s="882">
        <f>'Capital Financing'!$B$33</f>
        <v>612119.16</v>
      </c>
      <c r="V170" s="882">
        <f>'Capital Financing'!$B$33</f>
        <v>612119.16</v>
      </c>
      <c r="W170" s="882">
        <f>'Capital Financing'!$B$33</f>
        <v>612119.16</v>
      </c>
      <c r="X170" s="882">
        <f>'Capital Financing'!$B$33</f>
        <v>612119.16</v>
      </c>
      <c r="Y170" s="882">
        <f>'Capital Financing'!$B$33</f>
        <v>612119.16</v>
      </c>
      <c r="Z170" s="882">
        <f>'Capital Financing'!$B$33</f>
        <v>612119.16</v>
      </c>
      <c r="AA170" s="882">
        <f>'Capital Financing'!$B$33</f>
        <v>612119.16</v>
      </c>
      <c r="AB170" s="882">
        <f>'Capital Financing'!$B$33</f>
        <v>612119.16</v>
      </c>
      <c r="AC170" s="882">
        <f>'Capital Financing'!$B$33</f>
        <v>612119.16</v>
      </c>
      <c r="AD170" s="882">
        <f>'Capital Financing'!$B$33</f>
        <v>612119.16</v>
      </c>
      <c r="AE170" s="882">
        <f>'Capital Financing'!$B$33</f>
        <v>612119.16</v>
      </c>
    </row>
    <row r="171" spans="1:33" s="702" customFormat="1">
      <c r="A171" s="341" t="s">
        <v>315</v>
      </c>
      <c r="B171" s="701"/>
      <c r="C171" s="703"/>
      <c r="D171" s="704"/>
      <c r="E171" s="705"/>
      <c r="F171" s="705"/>
      <c r="G171" s="705"/>
      <c r="H171" s="705"/>
      <c r="I171" s="706"/>
      <c r="J171" s="707"/>
      <c r="K171" s="699">
        <v>0</v>
      </c>
      <c r="L171" s="700">
        <v>0</v>
      </c>
      <c r="M171" s="700">
        <v>0</v>
      </c>
      <c r="N171" s="700">
        <v>0</v>
      </c>
      <c r="O171" s="700">
        <v>0</v>
      </c>
      <c r="P171" s="700">
        <v>0</v>
      </c>
      <c r="Q171" s="700">
        <v>0</v>
      </c>
      <c r="R171" s="700">
        <v>0</v>
      </c>
      <c r="S171" s="700">
        <v>0</v>
      </c>
      <c r="T171" s="700">
        <v>0</v>
      </c>
      <c r="U171" s="700">
        <v>0</v>
      </c>
      <c r="V171" s="700">
        <v>0</v>
      </c>
      <c r="W171" s="700">
        <v>0</v>
      </c>
      <c r="X171" s="700">
        <v>0</v>
      </c>
      <c r="Y171" s="700">
        <v>0</v>
      </c>
      <c r="Z171" s="700">
        <v>0</v>
      </c>
      <c r="AA171" s="700">
        <v>0</v>
      </c>
      <c r="AB171" s="700">
        <v>0</v>
      </c>
      <c r="AC171" s="700">
        <v>0</v>
      </c>
      <c r="AD171" s="700">
        <v>0</v>
      </c>
      <c r="AE171" s="700">
        <v>0</v>
      </c>
      <c r="AG171" s="708"/>
    </row>
    <row r="172" spans="1:33">
      <c r="A172" s="180" t="s">
        <v>316</v>
      </c>
      <c r="B172" s="180"/>
      <c r="C172" s="180"/>
      <c r="D172" s="116"/>
      <c r="E172" s="180"/>
      <c r="F172" s="180"/>
      <c r="G172" s="180"/>
      <c r="H172" s="180"/>
      <c r="I172" s="180"/>
      <c r="J172" s="180"/>
      <c r="K172" s="505">
        <v>0</v>
      </c>
      <c r="L172" s="506">
        <v>246000</v>
      </c>
      <c r="M172" s="506">
        <v>246000</v>
      </c>
      <c r="N172" s="506">
        <v>246000</v>
      </c>
      <c r="O172" s="506">
        <v>246000</v>
      </c>
      <c r="P172" s="506">
        <v>246000</v>
      </c>
      <c r="Q172" s="506">
        <v>246000</v>
      </c>
      <c r="R172" s="506">
        <v>246000</v>
      </c>
      <c r="S172" s="506">
        <v>246000</v>
      </c>
      <c r="T172" s="506">
        <v>246000</v>
      </c>
      <c r="U172" s="506">
        <v>246000</v>
      </c>
      <c r="V172" s="506">
        <v>246000</v>
      </c>
      <c r="W172" s="506">
        <v>246000</v>
      </c>
      <c r="X172" s="506">
        <v>246000</v>
      </c>
      <c r="Y172" s="506">
        <v>246000</v>
      </c>
      <c r="Z172" s="506">
        <v>246000</v>
      </c>
      <c r="AA172" s="506">
        <v>246000</v>
      </c>
      <c r="AB172" s="506">
        <v>246000</v>
      </c>
      <c r="AC172" s="506">
        <v>246000</v>
      </c>
      <c r="AD172" s="506">
        <v>246000</v>
      </c>
      <c r="AE172" s="506">
        <v>246000</v>
      </c>
      <c r="AG172" s="199"/>
    </row>
    <row r="173" spans="1:33" s="56" customFormat="1" ht="14.25">
      <c r="A173" s="56" t="s">
        <v>134</v>
      </c>
      <c r="D173" s="173"/>
      <c r="K173" s="524">
        <f t="shared" ref="K173:AE173" si="95">SUM(K167:K172)</f>
        <v>0</v>
      </c>
      <c r="L173" s="525">
        <f t="shared" si="95"/>
        <v>858119.16</v>
      </c>
      <c r="M173" s="525">
        <f t="shared" si="95"/>
        <v>911604.16</v>
      </c>
      <c r="N173" s="525">
        <f t="shared" si="95"/>
        <v>912673.86</v>
      </c>
      <c r="O173" s="525">
        <f t="shared" si="95"/>
        <v>913764.95400000003</v>
      </c>
      <c r="P173" s="525">
        <f t="shared" si="95"/>
        <v>914877.86988000001</v>
      </c>
      <c r="Q173" s="525">
        <f t="shared" si="95"/>
        <v>916013.0440776</v>
      </c>
      <c r="R173" s="525">
        <f t="shared" si="95"/>
        <v>917170.92175915209</v>
      </c>
      <c r="S173" s="525">
        <f t="shared" si="95"/>
        <v>918351.95699433505</v>
      </c>
      <c r="T173" s="525">
        <f t="shared" si="95"/>
        <v>919556.61293422175</v>
      </c>
      <c r="U173" s="525">
        <f t="shared" si="95"/>
        <v>920785.3619929062</v>
      </c>
      <c r="V173" s="525">
        <f t="shared" si="95"/>
        <v>922038.68603276438</v>
      </c>
      <c r="W173" s="525">
        <f t="shared" si="95"/>
        <v>923317.07655341958</v>
      </c>
      <c r="X173" s="525">
        <f t="shared" si="95"/>
        <v>924621.03488448798</v>
      </c>
      <c r="Y173" s="525">
        <f t="shared" si="95"/>
        <v>925951.07238217781</v>
      </c>
      <c r="Z173" s="525">
        <f t="shared" si="95"/>
        <v>927307.71062982129</v>
      </c>
      <c r="AA173" s="525">
        <f t="shared" si="95"/>
        <v>928691.48164241773</v>
      </c>
      <c r="AB173" s="525">
        <f t="shared" si="95"/>
        <v>930102.92807526607</v>
      </c>
      <c r="AC173" s="525">
        <f t="shared" si="95"/>
        <v>931542.60343677143</v>
      </c>
      <c r="AD173" s="525">
        <f t="shared" si="95"/>
        <v>933011.07230550691</v>
      </c>
      <c r="AE173" s="525">
        <f t="shared" si="95"/>
        <v>934508.91055161704</v>
      </c>
      <c r="AG173" s="199"/>
    </row>
    <row r="174" spans="1:33">
      <c r="K174" s="683"/>
      <c r="L174" s="666"/>
      <c r="M174" s="666"/>
      <c r="N174" s="666"/>
      <c r="O174" s="666"/>
      <c r="P174" s="666"/>
      <c r="Q174" s="666"/>
      <c r="R174" s="666"/>
      <c r="S174" s="666"/>
      <c r="T174" s="666"/>
      <c r="U174" s="666"/>
      <c r="V174" s="666"/>
      <c r="W174" s="666"/>
      <c r="X174" s="666"/>
      <c r="Y174" s="666"/>
      <c r="Z174" s="666"/>
      <c r="AA174" s="666"/>
      <c r="AB174" s="666"/>
      <c r="AC174" s="666"/>
      <c r="AD174" s="666"/>
      <c r="AE174" s="666"/>
      <c r="AG174" s="199"/>
    </row>
    <row r="175" spans="1:33" s="56" customFormat="1" ht="14.25">
      <c r="A175" s="208" t="s">
        <v>86</v>
      </c>
      <c r="B175" s="718">
        <f>SUM(L175:AE175)</f>
        <v>18384010.478132468</v>
      </c>
      <c r="C175" s="208"/>
      <c r="D175" s="202"/>
      <c r="E175" s="208"/>
      <c r="F175" s="208"/>
      <c r="G175" s="208"/>
      <c r="H175" s="208"/>
      <c r="I175" s="208"/>
      <c r="J175" s="208"/>
      <c r="K175" s="678">
        <f>SUM(K168:K168)</f>
        <v>0</v>
      </c>
      <c r="L175" s="678">
        <f>L173</f>
        <v>858119.16</v>
      </c>
      <c r="M175" s="678">
        <f t="shared" ref="M175:AE175" si="96">M173</f>
        <v>911604.16</v>
      </c>
      <c r="N175" s="678">
        <f t="shared" si="96"/>
        <v>912673.86</v>
      </c>
      <c r="O175" s="678">
        <f t="shared" si="96"/>
        <v>913764.95400000003</v>
      </c>
      <c r="P175" s="678">
        <f t="shared" si="96"/>
        <v>914877.86988000001</v>
      </c>
      <c r="Q175" s="678">
        <f t="shared" si="96"/>
        <v>916013.0440776</v>
      </c>
      <c r="R175" s="678">
        <f t="shared" si="96"/>
        <v>917170.92175915209</v>
      </c>
      <c r="S175" s="678">
        <f t="shared" si="96"/>
        <v>918351.95699433505</v>
      </c>
      <c r="T175" s="678">
        <f t="shared" si="96"/>
        <v>919556.61293422175</v>
      </c>
      <c r="U175" s="678">
        <f t="shared" si="96"/>
        <v>920785.3619929062</v>
      </c>
      <c r="V175" s="678">
        <f t="shared" si="96"/>
        <v>922038.68603276438</v>
      </c>
      <c r="W175" s="678">
        <f t="shared" si="96"/>
        <v>923317.07655341958</v>
      </c>
      <c r="X175" s="678">
        <f t="shared" si="96"/>
        <v>924621.03488448798</v>
      </c>
      <c r="Y175" s="678">
        <f t="shared" si="96"/>
        <v>925951.07238217781</v>
      </c>
      <c r="Z175" s="678">
        <f t="shared" si="96"/>
        <v>927307.71062982129</v>
      </c>
      <c r="AA175" s="678">
        <f t="shared" si="96"/>
        <v>928691.48164241773</v>
      </c>
      <c r="AB175" s="678">
        <f t="shared" si="96"/>
        <v>930102.92807526607</v>
      </c>
      <c r="AC175" s="678">
        <f t="shared" si="96"/>
        <v>931542.60343677143</v>
      </c>
      <c r="AD175" s="678">
        <f t="shared" si="96"/>
        <v>933011.07230550691</v>
      </c>
      <c r="AE175" s="678">
        <f t="shared" si="96"/>
        <v>934508.91055161704</v>
      </c>
      <c r="AG175" s="199"/>
    </row>
    <row r="176" spans="1:33">
      <c r="K176" s="662"/>
      <c r="L176" s="201"/>
      <c r="M176" s="201"/>
      <c r="N176" s="201"/>
      <c r="O176" s="201"/>
      <c r="P176" s="201"/>
      <c r="Q176" s="201"/>
      <c r="R176" s="201"/>
      <c r="S176" s="201"/>
      <c r="T176" s="201"/>
      <c r="U176" s="201"/>
      <c r="V176" s="201"/>
      <c r="W176" s="201"/>
      <c r="X176" s="201"/>
      <c r="Y176" s="201"/>
      <c r="Z176" s="201"/>
      <c r="AA176" s="201"/>
      <c r="AB176" s="201"/>
      <c r="AC176" s="201"/>
      <c r="AD176" s="201"/>
      <c r="AE176" s="201"/>
    </row>
    <row r="177" spans="1:31">
      <c r="A177" s="251"/>
      <c r="B177" s="251"/>
      <c r="C177" s="251"/>
      <c r="D177" s="259"/>
      <c r="E177" s="251"/>
      <c r="F177" s="251"/>
      <c r="G177" s="251"/>
      <c r="H177" s="251"/>
      <c r="I177" s="251"/>
      <c r="J177" s="251"/>
      <c r="K177" s="324"/>
      <c r="L177" s="325"/>
      <c r="M177" s="325"/>
      <c r="N177" s="325"/>
      <c r="O177" s="325"/>
      <c r="P177" s="325"/>
      <c r="Q177" s="325"/>
      <c r="R177" s="325"/>
      <c r="S177" s="325"/>
      <c r="T177" s="325"/>
      <c r="U177" s="325"/>
      <c r="V177" s="325"/>
      <c r="W177" s="325"/>
      <c r="X177" s="325"/>
      <c r="Y177" s="325"/>
      <c r="Z177" s="325"/>
      <c r="AA177" s="325"/>
      <c r="AB177" s="325"/>
      <c r="AC177" s="325"/>
      <c r="AD177" s="325"/>
      <c r="AE177" s="325"/>
    </row>
    <row r="178" spans="1:31">
      <c r="K178" s="322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1"/>
      <c r="Y178" s="201"/>
      <c r="Z178" s="201"/>
      <c r="AA178" s="201"/>
      <c r="AB178" s="201"/>
      <c r="AC178" s="201"/>
      <c r="AD178" s="201"/>
      <c r="AE178" s="201"/>
    </row>
    <row r="179" spans="1:31">
      <c r="A179"/>
      <c r="K179" s="322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1"/>
      <c r="Y179" s="201"/>
      <c r="Z179" s="201"/>
      <c r="AA179" s="201"/>
      <c r="AB179" s="201"/>
      <c r="AC179" s="201"/>
      <c r="AD179" s="201"/>
      <c r="AE179" s="201"/>
    </row>
    <row r="180" spans="1:31">
      <c r="A180"/>
      <c r="K180" s="322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</row>
    <row r="181" spans="1:31">
      <c r="K181" s="322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</row>
    <row r="182" spans="1:31">
      <c r="K182" s="322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  <c r="AA182" s="201"/>
      <c r="AB182" s="201"/>
      <c r="AC182" s="201"/>
      <c r="AD182" s="201"/>
      <c r="AE182" s="201"/>
    </row>
    <row r="183" spans="1:31">
      <c r="K183" s="322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</row>
    <row r="184" spans="1:31">
      <c r="K184" s="322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  <c r="AA184" s="201"/>
      <c r="AB184" s="201"/>
      <c r="AC184" s="201"/>
      <c r="AD184" s="201"/>
      <c r="AE184" s="201"/>
    </row>
    <row r="185" spans="1:31">
      <c r="K185" s="322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</row>
    <row r="186" spans="1:31">
      <c r="K186" s="322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</row>
    <row r="187" spans="1:31">
      <c r="K187" s="322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</row>
    <row r="188" spans="1:31">
      <c r="K188" s="322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</row>
    <row r="189" spans="1:31">
      <c r="K189" s="322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</row>
    <row r="190" spans="1:31">
      <c r="K190" s="322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</row>
    <row r="191" spans="1:31">
      <c r="K191" s="322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</row>
    <row r="192" spans="1:31">
      <c r="K192" s="322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</row>
  </sheetData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FD192"/>
  <sheetViews>
    <sheetView topLeftCell="A130" zoomScale="70" zoomScaleNormal="70" workbookViewId="0">
      <selection activeCell="B130" sqref="B1:AF1048576"/>
    </sheetView>
  </sheetViews>
  <sheetFormatPr defaultColWidth="9" defaultRowHeight="16.5"/>
  <cols>
    <col min="1" max="1" width="45.625" style="33" customWidth="1"/>
    <col min="2" max="2" width="48.5" style="33" bestFit="1" customWidth="1"/>
    <col min="3" max="3" width="18.125" style="33" bestFit="1" customWidth="1"/>
    <col min="4" max="4" width="16.25" style="109" bestFit="1" customWidth="1"/>
    <col min="5" max="5" width="13.125" style="33" bestFit="1" customWidth="1"/>
    <col min="6" max="6" width="20.5" style="33" bestFit="1" customWidth="1"/>
    <col min="7" max="7" width="20.25" style="33" bestFit="1" customWidth="1"/>
    <col min="8" max="8" width="21.75" style="33" bestFit="1" customWidth="1"/>
    <col min="9" max="9" width="12.125" style="33" bestFit="1" customWidth="1"/>
    <col min="10" max="10" width="13.875" style="33" bestFit="1" customWidth="1"/>
    <col min="11" max="11" width="7.75" style="166" bestFit="1" customWidth="1"/>
    <col min="12" max="12" width="15.875" style="33" bestFit="1" customWidth="1"/>
    <col min="13" max="13" width="17.5" style="33" bestFit="1" customWidth="1"/>
    <col min="14" max="14" width="17.125" style="33" bestFit="1" customWidth="1"/>
    <col min="15" max="15" width="16.375" style="33" bestFit="1" customWidth="1"/>
    <col min="16" max="16" width="17.125" style="33" bestFit="1" customWidth="1"/>
    <col min="17" max="17" width="17.5" style="33" bestFit="1" customWidth="1"/>
    <col min="18" max="18" width="16.75" style="33" bestFit="1" customWidth="1"/>
    <col min="19" max="19" width="16.375" style="33" bestFit="1" customWidth="1"/>
    <col min="20" max="20" width="16.75" style="33" bestFit="1" customWidth="1"/>
    <col min="21" max="21" width="17.125" style="33" bestFit="1" customWidth="1"/>
    <col min="22" max="22" width="17.5" style="33" bestFit="1" customWidth="1"/>
    <col min="23" max="23" width="17.125" style="33" bestFit="1" customWidth="1"/>
    <col min="24" max="26" width="17.5" style="33" bestFit="1" customWidth="1"/>
    <col min="27" max="27" width="17.125" style="33" bestFit="1" customWidth="1"/>
    <col min="28" max="31" width="17.5" style="33" bestFit="1" customWidth="1"/>
    <col min="32" max="32" width="22.625" style="33" bestFit="1" customWidth="1"/>
    <col min="33" max="33" width="12.625" style="33" bestFit="1" customWidth="1"/>
    <col min="34" max="16384" width="9" style="33"/>
  </cols>
  <sheetData>
    <row r="1" spans="1:31" ht="18.75" thickBot="1">
      <c r="A1" s="11" t="str">
        <f>Intro!A1</f>
        <v>Town of Bar Harbor</v>
      </c>
      <c r="B1" s="13"/>
      <c r="C1" s="13"/>
      <c r="D1" s="99"/>
      <c r="E1" s="14"/>
      <c r="F1" s="14"/>
      <c r="G1" s="34"/>
      <c r="H1" s="34"/>
      <c r="I1" s="34"/>
      <c r="J1" s="34"/>
      <c r="K1" s="16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</row>
    <row r="2" spans="1:31" ht="17.25" thickBot="1">
      <c r="A2" s="380" t="str">
        <f>Intro!A2</f>
        <v>Ferry Property Business Plan</v>
      </c>
      <c r="B2" s="13"/>
      <c r="C2" s="13"/>
      <c r="D2" s="99"/>
      <c r="E2" s="14"/>
      <c r="F2" s="14"/>
      <c r="G2" s="34"/>
      <c r="H2" s="34"/>
      <c r="I2" s="34"/>
      <c r="J2" s="34"/>
      <c r="K2" s="16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</row>
    <row r="3" spans="1:31" s="392" customFormat="1" ht="14.25" thickBot="1">
      <c r="A3" s="384" t="str">
        <f>Intro!A3</f>
        <v>05.23.2018</v>
      </c>
      <c r="B3" s="2"/>
      <c r="C3" s="382"/>
      <c r="D3" s="393"/>
      <c r="E3" s="385"/>
      <c r="F3" s="385"/>
      <c r="G3" s="389"/>
      <c r="H3" s="389"/>
      <c r="I3" s="389"/>
      <c r="J3" s="389"/>
      <c r="K3" s="390"/>
      <c r="L3" s="391"/>
      <c r="M3" s="391"/>
      <c r="N3" s="391"/>
      <c r="O3" s="391"/>
      <c r="P3" s="391"/>
      <c r="Q3" s="391"/>
      <c r="R3" s="391"/>
      <c r="S3" s="391"/>
      <c r="T3" s="391"/>
      <c r="U3" s="391"/>
      <c r="V3" s="391"/>
      <c r="W3" s="391"/>
      <c r="X3" s="391"/>
      <c r="Y3" s="391"/>
      <c r="Z3" s="391"/>
      <c r="AA3" s="391"/>
      <c r="AB3" s="391"/>
      <c r="AC3" s="391"/>
      <c r="AD3" s="391"/>
      <c r="AE3" s="391"/>
    </row>
    <row r="4" spans="1:31" s="392" customFormat="1" ht="13.5">
      <c r="A4" s="384" t="str">
        <f ca="1">Intro!A4</f>
        <v>Town of Bar Harbor</v>
      </c>
      <c r="B4" s="382"/>
      <c r="C4" s="382"/>
      <c r="D4" s="393"/>
      <c r="E4" s="383">
        <f ca="1">NOW()</f>
        <v>43242.835659143515</v>
      </c>
      <c r="F4" s="383"/>
      <c r="G4" s="389"/>
      <c r="H4" s="389"/>
      <c r="I4" s="389"/>
      <c r="J4" s="389"/>
      <c r="K4" s="390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  <c r="W4" s="391"/>
      <c r="X4" s="391"/>
      <c r="Y4" s="391"/>
      <c r="Z4" s="391"/>
      <c r="AA4" s="391"/>
      <c r="AB4" s="391"/>
      <c r="AC4" s="391"/>
      <c r="AD4" s="391"/>
      <c r="AE4" s="391"/>
    </row>
    <row r="5" spans="1:31">
      <c r="A5" s="231" t="s">
        <v>342</v>
      </c>
      <c r="B5" s="231"/>
      <c r="C5" s="232"/>
      <c r="D5" s="233"/>
      <c r="E5" s="232"/>
      <c r="F5" s="232"/>
      <c r="G5" s="234"/>
      <c r="H5" s="234"/>
      <c r="I5" s="234"/>
      <c r="J5" s="234"/>
      <c r="K5" s="235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1:31">
      <c r="A6" s="237"/>
      <c r="B6" s="237"/>
      <c r="C6" s="237"/>
      <c r="D6" s="238"/>
      <c r="E6" s="237"/>
      <c r="F6" s="237"/>
      <c r="G6" s="237"/>
      <c r="H6" s="237"/>
      <c r="I6" s="237"/>
      <c r="J6" s="237"/>
      <c r="K6" s="659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</row>
    <row r="7" spans="1:31" ht="48.75" customHeight="1">
      <c r="A7" s="239"/>
      <c r="B7" s="240" t="s">
        <v>45</v>
      </c>
      <c r="C7" s="241" t="s">
        <v>46</v>
      </c>
      <c r="D7" s="242" t="s">
        <v>47</v>
      </c>
      <c r="E7" s="240" t="s">
        <v>21</v>
      </c>
      <c r="F7" s="240" t="s">
        <v>48</v>
      </c>
      <c r="G7" s="240" t="s">
        <v>49</v>
      </c>
      <c r="H7" s="240" t="s">
        <v>59</v>
      </c>
      <c r="I7" s="240" t="s">
        <v>22</v>
      </c>
      <c r="J7" s="240" t="s">
        <v>50</v>
      </c>
      <c r="K7" s="243">
        <v>2018</v>
      </c>
      <c r="L7" s="243">
        <v>2019</v>
      </c>
      <c r="M7" s="243">
        <v>2020</v>
      </c>
      <c r="N7" s="243">
        <v>2021</v>
      </c>
      <c r="O7" s="243">
        <v>2022</v>
      </c>
      <c r="P7" s="243">
        <v>2023</v>
      </c>
      <c r="Q7" s="243">
        <v>2024</v>
      </c>
      <c r="R7" s="243">
        <v>2025</v>
      </c>
      <c r="S7" s="243">
        <v>2026</v>
      </c>
      <c r="T7" s="243">
        <v>2027</v>
      </c>
      <c r="U7" s="243">
        <v>2028</v>
      </c>
      <c r="V7" s="243">
        <v>2029</v>
      </c>
      <c r="W7" s="243">
        <v>2030</v>
      </c>
      <c r="X7" s="243">
        <v>2031</v>
      </c>
      <c r="Y7" s="243">
        <v>2032</v>
      </c>
      <c r="Z7" s="243">
        <v>2033</v>
      </c>
      <c r="AA7" s="243">
        <v>2034</v>
      </c>
      <c r="AB7" s="243">
        <v>2035</v>
      </c>
      <c r="AC7" s="243">
        <v>2036</v>
      </c>
      <c r="AD7" s="243">
        <v>2037</v>
      </c>
      <c r="AE7" s="243">
        <v>2038</v>
      </c>
    </row>
    <row r="8" spans="1:31" s="18" customFormat="1" ht="17.25" thickBot="1">
      <c r="K8" s="488"/>
    </row>
    <row r="9" spans="1:31" s="18" customFormat="1" ht="17.25" thickBot="1">
      <c r="A9" s="117" t="s">
        <v>381</v>
      </c>
      <c r="B9" s="484" t="str">
        <f>'P&amp;L - Concept B1 - RCCL'!B9</f>
        <v>Scenario 4 - Percent of 2018 Business - RCCL</v>
      </c>
      <c r="K9" s="489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  <c r="Y9" s="327"/>
      <c r="Z9" s="327"/>
      <c r="AA9" s="327"/>
      <c r="AB9" s="327"/>
      <c r="AC9" s="327"/>
      <c r="AD9" s="327"/>
      <c r="AE9" s="327"/>
    </row>
    <row r="10" spans="1:31" s="18" customFormat="1">
      <c r="A10" s="649"/>
      <c r="B10" s="372"/>
      <c r="K10" s="489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  <c r="Y10" s="327"/>
      <c r="Z10" s="327"/>
      <c r="AA10" s="327"/>
      <c r="AB10" s="327"/>
      <c r="AC10" s="327"/>
      <c r="AD10" s="327"/>
      <c r="AE10" s="327"/>
    </row>
    <row r="11" spans="1:31">
      <c r="A11" s="38" t="s">
        <v>52</v>
      </c>
      <c r="B11" s="38"/>
      <c r="C11" s="38"/>
      <c r="D11" s="101"/>
      <c r="E11" s="38"/>
      <c r="F11" s="38"/>
      <c r="G11" s="37"/>
      <c r="H11" s="37"/>
      <c r="I11" s="38"/>
      <c r="J11" s="37"/>
      <c r="K11" s="784">
        <f>'OPEX - Concept A1'!K11</f>
        <v>0</v>
      </c>
      <c r="L11" s="311">
        <f>'BH Tariffs'!D52</f>
        <v>1.02</v>
      </c>
      <c r="M11" s="311">
        <f>'BH Tariffs'!E52</f>
        <v>1.0404</v>
      </c>
      <c r="N11" s="311">
        <f>'BH Tariffs'!F52</f>
        <v>1.0612079999999999</v>
      </c>
      <c r="O11" s="311">
        <f>'BH Tariffs'!G52</f>
        <v>1.08243216</v>
      </c>
      <c r="P11" s="311">
        <f>'BH Tariffs'!H52</f>
        <v>1.1040808032</v>
      </c>
      <c r="Q11" s="311">
        <f>'BH Tariffs'!I52</f>
        <v>1.1261624192640001</v>
      </c>
      <c r="R11" s="311">
        <f>'BH Tariffs'!J52</f>
        <v>1.14868566764928</v>
      </c>
      <c r="S11" s="311">
        <f>'BH Tariffs'!K52</f>
        <v>1.1716593810022657</v>
      </c>
      <c r="T11" s="311">
        <f>'BH Tariffs'!L52</f>
        <v>1.1950925686223111</v>
      </c>
      <c r="U11" s="311">
        <f>'BH Tariffs'!M52</f>
        <v>1.2189944199947573</v>
      </c>
      <c r="V11" s="311">
        <f>'BH Tariffs'!N52</f>
        <v>1.2433743083946525</v>
      </c>
      <c r="W11" s="311">
        <f>'BH Tariffs'!O52</f>
        <v>1.2682417945625455</v>
      </c>
      <c r="X11" s="311">
        <f>'BH Tariffs'!P52</f>
        <v>1.2936066304537963</v>
      </c>
      <c r="Y11" s="311">
        <f>'BH Tariffs'!Q52</f>
        <v>1.3194787630628724</v>
      </c>
      <c r="Z11" s="311">
        <f>'BH Tariffs'!R52</f>
        <v>1.3458683383241299</v>
      </c>
      <c r="AA11" s="311">
        <f>'BH Tariffs'!S52</f>
        <v>1.3727857050906125</v>
      </c>
      <c r="AB11" s="311">
        <f>'BH Tariffs'!T52</f>
        <v>1.4002414191924248</v>
      </c>
      <c r="AC11" s="311">
        <f>'BH Tariffs'!U52</f>
        <v>1.4282462475762734</v>
      </c>
      <c r="AD11" s="311">
        <f>'BH Tariffs'!V52</f>
        <v>1.4568111725277988</v>
      </c>
      <c r="AE11" s="311">
        <f>'BH Tariffs'!W52</f>
        <v>1.4859473959783549</v>
      </c>
    </row>
    <row r="12" spans="1:31">
      <c r="A12" s="38" t="s">
        <v>58</v>
      </c>
      <c r="B12" s="38"/>
      <c r="C12" s="37"/>
      <c r="D12" s="76"/>
      <c r="E12" s="79">
        <v>0.2</v>
      </c>
      <c r="F12" s="172"/>
      <c r="G12" s="36"/>
      <c r="H12" s="36"/>
      <c r="I12" s="38"/>
      <c r="J12" s="36"/>
      <c r="K12" s="661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200"/>
      <c r="AC12" s="200"/>
      <c r="AD12" s="200"/>
      <c r="AE12" s="200"/>
    </row>
    <row r="13" spans="1:31">
      <c r="A13" s="38" t="s">
        <v>51</v>
      </c>
      <c r="B13" s="38"/>
      <c r="C13" s="37"/>
      <c r="D13" s="76"/>
      <c r="E13" s="79"/>
      <c r="F13" s="79">
        <v>0.4</v>
      </c>
      <c r="G13" s="36"/>
      <c r="H13" s="36"/>
      <c r="I13" s="38"/>
      <c r="J13" s="36"/>
      <c r="K13" s="661"/>
      <c r="L13" s="200"/>
      <c r="M13" s="200"/>
      <c r="N13" s="200"/>
      <c r="O13" s="200"/>
      <c r="P13" s="200"/>
      <c r="Q13" s="200"/>
      <c r="R13" s="200"/>
      <c r="S13" s="200"/>
      <c r="T13" s="200"/>
      <c r="U13" s="200"/>
      <c r="V13" s="200"/>
      <c r="W13" s="200"/>
      <c r="X13" s="200"/>
      <c r="Y13" s="200"/>
      <c r="Z13" s="200"/>
      <c r="AA13" s="200"/>
      <c r="AB13" s="200"/>
      <c r="AC13" s="200"/>
      <c r="AD13" s="200"/>
      <c r="AE13" s="200"/>
    </row>
    <row r="14" spans="1:31" s="18" customFormat="1">
      <c r="A14" s="649"/>
      <c r="B14" s="372"/>
      <c r="K14" s="489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7"/>
      <c r="X14" s="327"/>
      <c r="Y14" s="327"/>
      <c r="Z14" s="327"/>
      <c r="AA14" s="327"/>
      <c r="AB14" s="327"/>
      <c r="AC14" s="327"/>
      <c r="AD14" s="327"/>
      <c r="AE14" s="327"/>
    </row>
    <row r="15" spans="1:31" s="18" customFormat="1">
      <c r="K15" s="489"/>
      <c r="L15" s="327"/>
      <c r="M15" s="327"/>
      <c r="N15" s="327"/>
      <c r="O15" s="327"/>
      <c r="P15" s="327"/>
      <c r="Q15" s="327"/>
      <c r="R15" s="327"/>
      <c r="S15" s="327"/>
      <c r="T15" s="327"/>
      <c r="U15" s="327"/>
      <c r="V15" s="327"/>
      <c r="W15" s="327"/>
      <c r="X15" s="327"/>
      <c r="Y15" s="327"/>
      <c r="Z15" s="327"/>
      <c r="AA15" s="327"/>
      <c r="AB15" s="327"/>
      <c r="AC15" s="327"/>
      <c r="AD15" s="327"/>
      <c r="AE15" s="327"/>
    </row>
    <row r="16" spans="1:31" s="582" customFormat="1" ht="14.25">
      <c r="A16" s="582" t="s">
        <v>83</v>
      </c>
      <c r="K16" s="490"/>
      <c r="L16" s="785"/>
      <c r="M16" s="785"/>
      <c r="N16" s="785"/>
      <c r="O16" s="785"/>
      <c r="P16" s="785"/>
      <c r="Q16" s="785"/>
      <c r="R16" s="785"/>
      <c r="S16" s="785"/>
      <c r="T16" s="785"/>
      <c r="U16" s="785"/>
      <c r="V16" s="785"/>
      <c r="W16" s="785"/>
      <c r="X16" s="785"/>
      <c r="Y16" s="785"/>
      <c r="Z16" s="785"/>
      <c r="AA16" s="785"/>
      <c r="AB16" s="785"/>
      <c r="AC16" s="785"/>
      <c r="AD16" s="785"/>
      <c r="AE16" s="785"/>
    </row>
    <row r="17" spans="1:31" s="96" customFormat="1">
      <c r="A17" s="53" t="str">
        <f>'Cruise Projections'!A67</f>
        <v>Passengers</v>
      </c>
      <c r="B17" s="487"/>
      <c r="C17" s="487"/>
      <c r="K17" s="486">
        <f>'P&amp;L - Concept B1 - Carnival'!D12</f>
        <v>0</v>
      </c>
      <c r="L17" s="313">
        <f>'P&amp;L - Concept B1 - RCCL'!E12</f>
        <v>0</v>
      </c>
      <c r="M17" s="313">
        <f>'P&amp;L - Concept B1 - RCCL'!F12</f>
        <v>89162.177869620791</v>
      </c>
      <c r="N17" s="313">
        <f>'P&amp;L - Concept B1 - RCCL'!G12</f>
        <v>89162.177869620791</v>
      </c>
      <c r="O17" s="313">
        <f>'P&amp;L - Concept B1 - RCCL'!H12</f>
        <v>89162.177869620791</v>
      </c>
      <c r="P17" s="313">
        <f>'P&amp;L - Concept B1 - RCCL'!I12</f>
        <v>89162.177869620791</v>
      </c>
      <c r="Q17" s="313">
        <f>'P&amp;L - Concept B1 - RCCL'!J12</f>
        <v>89162.177869620791</v>
      </c>
      <c r="R17" s="313">
        <f>'P&amp;L - Concept B1 - RCCL'!K12</f>
        <v>89162.177869620791</v>
      </c>
      <c r="S17" s="313">
        <f>'P&amp;L - Concept B1 - RCCL'!L12</f>
        <v>89162.177869620791</v>
      </c>
      <c r="T17" s="313">
        <f>'P&amp;L - Concept B1 - RCCL'!M12</f>
        <v>89162.177869620791</v>
      </c>
      <c r="U17" s="313">
        <f>'P&amp;L - Concept B1 - RCCL'!N12</f>
        <v>89162.177869620791</v>
      </c>
      <c r="V17" s="313">
        <f>'P&amp;L - Concept B1 - RCCL'!O12</f>
        <v>89162.177869620791</v>
      </c>
      <c r="W17" s="313">
        <f>'P&amp;L - Concept B1 - RCCL'!P12</f>
        <v>89162.177869620791</v>
      </c>
      <c r="X17" s="313">
        <f>'P&amp;L - Concept B1 - RCCL'!Q12</f>
        <v>89162.177869620791</v>
      </c>
      <c r="Y17" s="313">
        <f>'P&amp;L - Concept B1 - RCCL'!R12</f>
        <v>89162.177869620791</v>
      </c>
      <c r="Z17" s="313">
        <f>'P&amp;L - Concept B1 - RCCL'!S12</f>
        <v>89162.177869620791</v>
      </c>
      <c r="AA17" s="313">
        <f>'P&amp;L - Concept B1 - RCCL'!T12</f>
        <v>89162.177869620791</v>
      </c>
      <c r="AB17" s="313">
        <f>'P&amp;L - Concept B1 - RCCL'!U12</f>
        <v>89162.177869620791</v>
      </c>
      <c r="AC17" s="313">
        <f>'P&amp;L - Concept B1 - RCCL'!V12</f>
        <v>89162.177869620791</v>
      </c>
      <c r="AD17" s="313">
        <f>'P&amp;L - Concept B1 - RCCL'!W12</f>
        <v>89162.177869620791</v>
      </c>
      <c r="AE17" s="313">
        <f>'P&amp;L - Concept B1 - RCCL'!X12</f>
        <v>89162.177869620791</v>
      </c>
    </row>
    <row r="18" spans="1:31" s="96" customFormat="1">
      <c r="A18" s="53" t="str">
        <f>'Cruise Projections'!A68</f>
        <v>Calls</v>
      </c>
      <c r="B18" s="487"/>
      <c r="C18" s="487"/>
      <c r="K18" s="486">
        <f>'P&amp;L - Concept B1 - Carnival'!D13</f>
        <v>0</v>
      </c>
      <c r="L18" s="313">
        <f>'P&amp;L - Concept B1 - RCCL'!E13</f>
        <v>0</v>
      </c>
      <c r="M18" s="313">
        <f>'P&amp;L - Concept B1 - RCCL'!F13</f>
        <v>28.666666666666664</v>
      </c>
      <c r="N18" s="313">
        <f>'P&amp;L - Concept B1 - RCCL'!G13</f>
        <v>28.666666666666664</v>
      </c>
      <c r="O18" s="313">
        <f>'P&amp;L - Concept B1 - RCCL'!H13</f>
        <v>28.666666666666664</v>
      </c>
      <c r="P18" s="313">
        <f>'P&amp;L - Concept B1 - RCCL'!I13</f>
        <v>28.666666666666664</v>
      </c>
      <c r="Q18" s="313">
        <f>'P&amp;L - Concept B1 - RCCL'!J13</f>
        <v>28.666666666666664</v>
      </c>
      <c r="R18" s="313">
        <f>'P&amp;L - Concept B1 - RCCL'!K13</f>
        <v>28.666666666666664</v>
      </c>
      <c r="S18" s="313">
        <f>'P&amp;L - Concept B1 - RCCL'!L13</f>
        <v>28.666666666666664</v>
      </c>
      <c r="T18" s="313">
        <f>'P&amp;L - Concept B1 - RCCL'!M13</f>
        <v>28.666666666666664</v>
      </c>
      <c r="U18" s="313">
        <f>'P&amp;L - Concept B1 - RCCL'!N13</f>
        <v>28.666666666666664</v>
      </c>
      <c r="V18" s="313">
        <f>'P&amp;L - Concept B1 - RCCL'!O13</f>
        <v>28.666666666666664</v>
      </c>
      <c r="W18" s="313">
        <f>'P&amp;L - Concept B1 - RCCL'!P13</f>
        <v>28.666666666666664</v>
      </c>
      <c r="X18" s="313">
        <f>'P&amp;L - Concept B1 - RCCL'!Q13</f>
        <v>28.666666666666664</v>
      </c>
      <c r="Y18" s="313">
        <f>'P&amp;L - Concept B1 - RCCL'!R13</f>
        <v>28.666666666666664</v>
      </c>
      <c r="Z18" s="313">
        <f>'P&amp;L - Concept B1 - RCCL'!S13</f>
        <v>28.666666666666664</v>
      </c>
      <c r="AA18" s="313">
        <f>'P&amp;L - Concept B1 - RCCL'!T13</f>
        <v>28.666666666666664</v>
      </c>
      <c r="AB18" s="313">
        <f>'P&amp;L - Concept B1 - RCCL'!U13</f>
        <v>28.666666666666664</v>
      </c>
      <c r="AC18" s="313">
        <f>'P&amp;L - Concept B1 - RCCL'!V13</f>
        <v>28.666666666666664</v>
      </c>
      <c r="AD18" s="313">
        <f>'P&amp;L - Concept B1 - RCCL'!W13</f>
        <v>28.666666666666664</v>
      </c>
      <c r="AE18" s="313">
        <f>'P&amp;L - Concept B1 - RCCL'!X13</f>
        <v>28.666666666666664</v>
      </c>
    </row>
    <row r="19" spans="1:31" s="96" customFormat="1">
      <c r="A19" s="53" t="str">
        <f>'Cruise Projections'!A69</f>
        <v>Passengers per Call</v>
      </c>
      <c r="B19" s="487"/>
      <c r="C19" s="487"/>
      <c r="K19" s="486">
        <f>'P&amp;L - Concept B1 - Carnival'!D14</f>
        <v>0</v>
      </c>
      <c r="L19" s="313">
        <f>'P&amp;L - Concept B1 - RCCL'!E14</f>
        <v>0</v>
      </c>
      <c r="M19" s="313">
        <f>'P&amp;L - Concept B1 - RCCL'!F14</f>
        <v>3110.3085303356092</v>
      </c>
      <c r="N19" s="313">
        <f>'P&amp;L - Concept B1 - RCCL'!G14</f>
        <v>3110.3085303356092</v>
      </c>
      <c r="O19" s="313">
        <f>'P&amp;L - Concept B1 - RCCL'!H14</f>
        <v>3110.3085303356092</v>
      </c>
      <c r="P19" s="313">
        <f>'P&amp;L - Concept B1 - RCCL'!I14</f>
        <v>3110.3085303356092</v>
      </c>
      <c r="Q19" s="313">
        <f>'P&amp;L - Concept B1 - RCCL'!J14</f>
        <v>3110.3085303356092</v>
      </c>
      <c r="R19" s="313">
        <f>'P&amp;L - Concept B1 - RCCL'!K14</f>
        <v>3110.3085303356092</v>
      </c>
      <c r="S19" s="313">
        <f>'P&amp;L - Concept B1 - RCCL'!L14</f>
        <v>3110.3085303356092</v>
      </c>
      <c r="T19" s="313">
        <f>'P&amp;L - Concept B1 - RCCL'!M14</f>
        <v>3110.3085303356092</v>
      </c>
      <c r="U19" s="313">
        <f>'P&amp;L - Concept B1 - RCCL'!N14</f>
        <v>3110.3085303356092</v>
      </c>
      <c r="V19" s="313">
        <f>'P&amp;L - Concept B1 - RCCL'!O14</f>
        <v>3110.3085303356092</v>
      </c>
      <c r="W19" s="313">
        <f>'P&amp;L - Concept B1 - RCCL'!P14</f>
        <v>3110.3085303356092</v>
      </c>
      <c r="X19" s="313">
        <f>'P&amp;L - Concept B1 - RCCL'!Q14</f>
        <v>3110.3085303356092</v>
      </c>
      <c r="Y19" s="313">
        <f>'P&amp;L - Concept B1 - RCCL'!R14</f>
        <v>3110.3085303356092</v>
      </c>
      <c r="Z19" s="313">
        <f>'P&amp;L - Concept B1 - RCCL'!S14</f>
        <v>3110.3085303356092</v>
      </c>
      <c r="AA19" s="313">
        <f>'P&amp;L - Concept B1 - RCCL'!T14</f>
        <v>3110.3085303356092</v>
      </c>
      <c r="AB19" s="313">
        <f>'P&amp;L - Concept B1 - RCCL'!U14</f>
        <v>3110.3085303356092</v>
      </c>
      <c r="AC19" s="313">
        <f>'P&amp;L - Concept B1 - RCCL'!V14</f>
        <v>3110.3085303356092</v>
      </c>
      <c r="AD19" s="313">
        <f>'P&amp;L - Concept B1 - RCCL'!W14</f>
        <v>3110.3085303356092</v>
      </c>
      <c r="AE19" s="313">
        <f>'P&amp;L - Concept B1 - RCCL'!X14</f>
        <v>3110.3085303356092</v>
      </c>
    </row>
    <row r="20" spans="1:31" s="96" customFormat="1">
      <c r="A20" s="54" t="s">
        <v>313</v>
      </c>
      <c r="B20" s="487"/>
      <c r="C20" s="487"/>
      <c r="K20" s="486">
        <f>'P&amp;L - Concept B1 - Carnival'!D15</f>
        <v>0</v>
      </c>
      <c r="L20" s="313">
        <f>'P&amp;L - Concept B1 - RCCL'!E15</f>
        <v>0</v>
      </c>
      <c r="M20" s="313">
        <f>'P&amp;L - Concept B1 - RCCL'!F15</f>
        <v>4120</v>
      </c>
      <c r="N20" s="313">
        <f>'P&amp;L - Concept B1 - RCCL'!G15</f>
        <v>4120</v>
      </c>
      <c r="O20" s="313">
        <f>'P&amp;L - Concept B1 - RCCL'!H15</f>
        <v>4120</v>
      </c>
      <c r="P20" s="313">
        <f>'P&amp;L - Concept B1 - RCCL'!I15</f>
        <v>4120</v>
      </c>
      <c r="Q20" s="313">
        <f>'P&amp;L - Concept B1 - RCCL'!J15</f>
        <v>4120</v>
      </c>
      <c r="R20" s="313">
        <f>'P&amp;L - Concept B1 - RCCL'!K15</f>
        <v>4120</v>
      </c>
      <c r="S20" s="313">
        <f>'P&amp;L - Concept B1 - RCCL'!L15</f>
        <v>4120</v>
      </c>
      <c r="T20" s="313">
        <f>'P&amp;L - Concept B1 - RCCL'!M15</f>
        <v>4120</v>
      </c>
      <c r="U20" s="313">
        <f>'P&amp;L - Concept B1 - RCCL'!N15</f>
        <v>4120</v>
      </c>
      <c r="V20" s="313">
        <f>'P&amp;L - Concept B1 - RCCL'!O15</f>
        <v>4120</v>
      </c>
      <c r="W20" s="313">
        <f>'P&amp;L - Concept B1 - RCCL'!P15</f>
        <v>4120</v>
      </c>
      <c r="X20" s="313">
        <f>'P&amp;L - Concept B1 - RCCL'!Q15</f>
        <v>4120</v>
      </c>
      <c r="Y20" s="313">
        <f>'P&amp;L - Concept B1 - RCCL'!R15</f>
        <v>4120</v>
      </c>
      <c r="Z20" s="313">
        <f>'P&amp;L - Concept B1 - RCCL'!S15</f>
        <v>4120</v>
      </c>
      <c r="AA20" s="313">
        <f>'P&amp;L - Concept B1 - RCCL'!T15</f>
        <v>4120</v>
      </c>
      <c r="AB20" s="313">
        <f>'P&amp;L - Concept B1 - RCCL'!U15</f>
        <v>4120</v>
      </c>
      <c r="AC20" s="313">
        <f>'P&amp;L - Concept B1 - RCCL'!V15</f>
        <v>4120</v>
      </c>
      <c r="AD20" s="313">
        <f>'P&amp;L - Concept B1 - RCCL'!W15</f>
        <v>4120</v>
      </c>
      <c r="AE20" s="313">
        <f>'P&amp;L - Concept B1 - RCCL'!X15</f>
        <v>4120</v>
      </c>
    </row>
    <row r="21" spans="1:31" s="18" customFormat="1">
      <c r="A21" s="54"/>
      <c r="B21" s="21"/>
      <c r="C21" s="21"/>
      <c r="K21" s="486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  <c r="Y21" s="313"/>
      <c r="Z21" s="313"/>
      <c r="AA21" s="313"/>
      <c r="AB21" s="313"/>
      <c r="AC21" s="313"/>
      <c r="AD21" s="313"/>
      <c r="AE21" s="313"/>
    </row>
    <row r="22" spans="1:31" s="547" customFormat="1">
      <c r="A22" s="549" t="s">
        <v>163</v>
      </c>
      <c r="B22" s="550"/>
      <c r="C22" s="550"/>
      <c r="K22" s="610"/>
      <c r="L22" s="555"/>
      <c r="M22" s="555"/>
      <c r="N22" s="555"/>
      <c r="O22" s="555"/>
      <c r="P22" s="555"/>
      <c r="Q22" s="555"/>
      <c r="R22" s="555"/>
      <c r="S22" s="555"/>
      <c r="T22" s="555"/>
      <c r="U22" s="555"/>
      <c r="V22" s="555"/>
      <c r="W22" s="555"/>
      <c r="X22" s="555"/>
      <c r="Y22" s="555"/>
      <c r="Z22" s="555"/>
      <c r="AA22" s="555"/>
      <c r="AB22" s="555"/>
      <c r="AC22" s="555"/>
      <c r="AD22" s="555"/>
      <c r="AE22" s="555"/>
    </row>
    <row r="23" spans="1:31" s="341" customFormat="1">
      <c r="A23" s="552" t="str">
        <f>'International Ferry Projections'!A11</f>
        <v>Passengers</v>
      </c>
      <c r="B23" s="553"/>
      <c r="C23" s="553"/>
      <c r="K23" s="554">
        <f>'P&amp;L - Concept B1 - Carnival'!D18</f>
        <v>0</v>
      </c>
      <c r="L23" s="555">
        <f>'P&amp;L - Concept B1 - RCCL'!E18</f>
        <v>60000</v>
      </c>
      <c r="M23" s="555">
        <f>'P&amp;L - Concept B1 - RCCL'!F18</f>
        <v>70000</v>
      </c>
      <c r="N23" s="555">
        <f>'P&amp;L - Concept B1 - RCCL'!G18</f>
        <v>80000</v>
      </c>
      <c r="O23" s="555">
        <f>'P&amp;L - Concept B1 - RCCL'!H18</f>
        <v>80000</v>
      </c>
      <c r="P23" s="555">
        <f>'P&amp;L - Concept B1 - RCCL'!I18</f>
        <v>80000</v>
      </c>
      <c r="Q23" s="555">
        <f>'P&amp;L - Concept B1 - RCCL'!J18</f>
        <v>80000</v>
      </c>
      <c r="R23" s="555">
        <f>'P&amp;L - Concept B1 - RCCL'!K18</f>
        <v>80000</v>
      </c>
      <c r="S23" s="555">
        <f>'P&amp;L - Concept B1 - RCCL'!L18</f>
        <v>80000</v>
      </c>
      <c r="T23" s="555">
        <f>'P&amp;L - Concept B1 - RCCL'!M18</f>
        <v>80000</v>
      </c>
      <c r="U23" s="555">
        <f>'P&amp;L - Concept B1 - RCCL'!N18</f>
        <v>80000</v>
      </c>
      <c r="V23" s="555">
        <f>'P&amp;L - Concept B1 - RCCL'!O18</f>
        <v>80000</v>
      </c>
      <c r="W23" s="555">
        <f>'P&amp;L - Concept B1 - RCCL'!P18</f>
        <v>80000</v>
      </c>
      <c r="X23" s="555">
        <f>'P&amp;L - Concept B1 - RCCL'!Q18</f>
        <v>80000</v>
      </c>
      <c r="Y23" s="555">
        <f>'P&amp;L - Concept B1 - RCCL'!R18</f>
        <v>80000</v>
      </c>
      <c r="Z23" s="555">
        <f>'P&amp;L - Concept B1 - RCCL'!S18</f>
        <v>80000</v>
      </c>
      <c r="AA23" s="555">
        <f>'P&amp;L - Concept B1 - RCCL'!T18</f>
        <v>80000</v>
      </c>
      <c r="AB23" s="555">
        <f>'P&amp;L - Concept B1 - RCCL'!U18</f>
        <v>80000</v>
      </c>
      <c r="AC23" s="555">
        <f>'P&amp;L - Concept B1 - RCCL'!V18</f>
        <v>80000</v>
      </c>
      <c r="AD23" s="555">
        <f>'P&amp;L - Concept B1 - RCCL'!W18</f>
        <v>80000</v>
      </c>
      <c r="AE23" s="555">
        <f>'P&amp;L - Concept B1 - RCCL'!X18</f>
        <v>80000</v>
      </c>
    </row>
    <row r="24" spans="1:31" s="341" customFormat="1">
      <c r="A24" s="552" t="str">
        <f>'International Ferry Projections'!A12</f>
        <v>Cars</v>
      </c>
      <c r="B24" s="553"/>
      <c r="C24" s="553"/>
      <c r="K24" s="554">
        <f>'P&amp;L - Concept B1 - Carnival'!D19</f>
        <v>0</v>
      </c>
      <c r="L24" s="555">
        <f>'P&amp;L - Concept B1 - RCCL'!E19</f>
        <v>24000</v>
      </c>
      <c r="M24" s="555">
        <f>'P&amp;L - Concept B1 - RCCL'!F19</f>
        <v>28000</v>
      </c>
      <c r="N24" s="555">
        <f>'P&amp;L - Concept B1 - RCCL'!G19</f>
        <v>32000</v>
      </c>
      <c r="O24" s="555">
        <f>'P&amp;L - Concept B1 - RCCL'!H19</f>
        <v>32000</v>
      </c>
      <c r="P24" s="555">
        <f>'P&amp;L - Concept B1 - RCCL'!I19</f>
        <v>32000</v>
      </c>
      <c r="Q24" s="555">
        <f>'P&amp;L - Concept B1 - RCCL'!J19</f>
        <v>32000</v>
      </c>
      <c r="R24" s="555">
        <f>'P&amp;L - Concept B1 - RCCL'!K19</f>
        <v>32000</v>
      </c>
      <c r="S24" s="555">
        <f>'P&amp;L - Concept B1 - RCCL'!L19</f>
        <v>32000</v>
      </c>
      <c r="T24" s="555">
        <f>'P&amp;L - Concept B1 - RCCL'!M19</f>
        <v>32000</v>
      </c>
      <c r="U24" s="555">
        <f>'P&amp;L - Concept B1 - RCCL'!N19</f>
        <v>32000</v>
      </c>
      <c r="V24" s="555">
        <f>'P&amp;L - Concept B1 - RCCL'!O19</f>
        <v>32000</v>
      </c>
      <c r="W24" s="555">
        <f>'P&amp;L - Concept B1 - RCCL'!P19</f>
        <v>32000</v>
      </c>
      <c r="X24" s="555">
        <f>'P&amp;L - Concept B1 - RCCL'!Q19</f>
        <v>32000</v>
      </c>
      <c r="Y24" s="555">
        <f>'P&amp;L - Concept B1 - RCCL'!R19</f>
        <v>32000</v>
      </c>
      <c r="Z24" s="555">
        <f>'P&amp;L - Concept B1 - RCCL'!S19</f>
        <v>32000</v>
      </c>
      <c r="AA24" s="555">
        <f>'P&amp;L - Concept B1 - RCCL'!T19</f>
        <v>32000</v>
      </c>
      <c r="AB24" s="555">
        <f>'P&amp;L - Concept B1 - RCCL'!U19</f>
        <v>32000</v>
      </c>
      <c r="AC24" s="555">
        <f>'P&amp;L - Concept B1 - RCCL'!V19</f>
        <v>32000</v>
      </c>
      <c r="AD24" s="555">
        <f>'P&amp;L - Concept B1 - RCCL'!W19</f>
        <v>32000</v>
      </c>
      <c r="AE24" s="555">
        <f>'P&amp;L - Concept B1 - RCCL'!X19</f>
        <v>32000</v>
      </c>
    </row>
    <row r="25" spans="1:31" s="341" customFormat="1">
      <c r="A25" s="552" t="str">
        <f>'International Ferry Projections'!A13</f>
        <v>Buses</v>
      </c>
      <c r="B25" s="553"/>
      <c r="C25" s="553"/>
      <c r="K25" s="554">
        <f>'P&amp;L - Concept B1 - Carnival'!D20</f>
        <v>0</v>
      </c>
      <c r="L25" s="555">
        <f>'P&amp;L - Concept B1 - RCCL'!E20</f>
        <v>40</v>
      </c>
      <c r="M25" s="555">
        <f>'P&amp;L - Concept B1 - RCCL'!F20</f>
        <v>50</v>
      </c>
      <c r="N25" s="555">
        <f>'P&amp;L - Concept B1 - RCCL'!G20</f>
        <v>60</v>
      </c>
      <c r="O25" s="555">
        <f>'P&amp;L - Concept B1 - RCCL'!H20</f>
        <v>60</v>
      </c>
      <c r="P25" s="555">
        <f>'P&amp;L - Concept B1 - RCCL'!I20</f>
        <v>60</v>
      </c>
      <c r="Q25" s="555">
        <f>'P&amp;L - Concept B1 - RCCL'!J20</f>
        <v>60</v>
      </c>
      <c r="R25" s="555">
        <f>'P&amp;L - Concept B1 - RCCL'!K20</f>
        <v>60</v>
      </c>
      <c r="S25" s="555">
        <f>'P&amp;L - Concept B1 - RCCL'!L20</f>
        <v>60</v>
      </c>
      <c r="T25" s="555">
        <f>'P&amp;L - Concept B1 - RCCL'!M20</f>
        <v>60</v>
      </c>
      <c r="U25" s="555">
        <f>'P&amp;L - Concept B1 - RCCL'!N20</f>
        <v>60</v>
      </c>
      <c r="V25" s="555">
        <f>'P&amp;L - Concept B1 - RCCL'!O20</f>
        <v>60</v>
      </c>
      <c r="W25" s="555">
        <f>'P&amp;L - Concept B1 - RCCL'!P20</f>
        <v>60</v>
      </c>
      <c r="X25" s="555">
        <f>'P&amp;L - Concept B1 - RCCL'!Q20</f>
        <v>60</v>
      </c>
      <c r="Y25" s="555">
        <f>'P&amp;L - Concept B1 - RCCL'!R20</f>
        <v>60</v>
      </c>
      <c r="Z25" s="555">
        <f>'P&amp;L - Concept B1 - RCCL'!S20</f>
        <v>60</v>
      </c>
      <c r="AA25" s="555">
        <f>'P&amp;L - Concept B1 - RCCL'!T20</f>
        <v>60</v>
      </c>
      <c r="AB25" s="555">
        <f>'P&amp;L - Concept B1 - RCCL'!U20</f>
        <v>60</v>
      </c>
      <c r="AC25" s="555">
        <f>'P&amp;L - Concept B1 - RCCL'!V20</f>
        <v>60</v>
      </c>
      <c r="AD25" s="555">
        <f>'P&amp;L - Concept B1 - RCCL'!W20</f>
        <v>60</v>
      </c>
      <c r="AE25" s="555">
        <f>'P&amp;L - Concept B1 - RCCL'!X20</f>
        <v>60</v>
      </c>
    </row>
    <row r="26" spans="1:31" s="18" customFormat="1">
      <c r="A26" s="54"/>
      <c r="B26" s="21"/>
      <c r="C26" s="21"/>
      <c r="K26" s="486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</row>
    <row r="27" spans="1:31" s="582" customFormat="1">
      <c r="A27" s="293" t="str">
        <f>'BH Tariffs'!A30</f>
        <v>Local Ferry</v>
      </c>
      <c r="B27" s="581"/>
      <c r="C27" s="581"/>
      <c r="K27" s="486"/>
      <c r="L27" s="313"/>
      <c r="M27" s="313"/>
      <c r="N27" s="313"/>
      <c r="O27" s="313"/>
      <c r="P27" s="313"/>
      <c r="Q27" s="313"/>
      <c r="R27" s="313"/>
      <c r="S27" s="313"/>
      <c r="T27" s="313"/>
      <c r="U27" s="313"/>
      <c r="V27" s="313"/>
      <c r="W27" s="313"/>
      <c r="X27" s="313"/>
      <c r="Y27" s="313"/>
      <c r="Z27" s="313"/>
      <c r="AA27" s="313"/>
      <c r="AB27" s="313"/>
      <c r="AC27" s="313"/>
      <c r="AD27" s="313"/>
      <c r="AE27" s="313"/>
    </row>
    <row r="28" spans="1:31" s="96" customFormat="1">
      <c r="A28" s="54" t="str">
        <f>'BH Tariffs'!A31</f>
        <v>Dock Rent (6 Months Only)</v>
      </c>
      <c r="B28" s="487"/>
      <c r="C28" s="487"/>
      <c r="K28" s="486">
        <f>'P&amp;L - Concept B1 - Carnival'!D23</f>
        <v>0</v>
      </c>
      <c r="L28" s="313" t="str">
        <f>'P&amp;L - Concept B1 - RCCL'!E23</f>
        <v>see Tariff</v>
      </c>
      <c r="M28" s="313" t="str">
        <f>'P&amp;L - Concept B1 - RCCL'!F23</f>
        <v>see Tariff</v>
      </c>
      <c r="N28" s="313" t="str">
        <f>'P&amp;L - Concept B1 - RCCL'!G23</f>
        <v>see Tariff</v>
      </c>
      <c r="O28" s="313" t="str">
        <f>'P&amp;L - Concept B1 - RCCL'!H23</f>
        <v>see Tariff</v>
      </c>
      <c r="P28" s="313" t="str">
        <f>'P&amp;L - Concept B1 - RCCL'!I23</f>
        <v>see Tariff</v>
      </c>
      <c r="Q28" s="313" t="str">
        <f>'P&amp;L - Concept B1 - RCCL'!J23</f>
        <v>see Tariff</v>
      </c>
      <c r="R28" s="313" t="str">
        <f>'P&amp;L - Concept B1 - RCCL'!K23</f>
        <v>see Tariff</v>
      </c>
      <c r="S28" s="313" t="str">
        <f>'P&amp;L - Concept B1 - RCCL'!L23</f>
        <v>see Tariff</v>
      </c>
      <c r="T28" s="313" t="str">
        <f>'P&amp;L - Concept B1 - RCCL'!M23</f>
        <v>see Tariff</v>
      </c>
      <c r="U28" s="313" t="str">
        <f>'P&amp;L - Concept B1 - RCCL'!N23</f>
        <v>see Tariff</v>
      </c>
      <c r="V28" s="313" t="str">
        <f>'P&amp;L - Concept B1 - RCCL'!O23</f>
        <v>see Tariff</v>
      </c>
      <c r="W28" s="313" t="str">
        <f>'P&amp;L - Concept B1 - RCCL'!P23</f>
        <v>see Tariff</v>
      </c>
      <c r="X28" s="313" t="str">
        <f>'P&amp;L - Concept B1 - RCCL'!Q23</f>
        <v>see Tariff</v>
      </c>
      <c r="Y28" s="313" t="str">
        <f>'P&amp;L - Concept B1 - RCCL'!R23</f>
        <v>see Tariff</v>
      </c>
      <c r="Z28" s="313" t="str">
        <f>'P&amp;L - Concept B1 - RCCL'!S23</f>
        <v>see Tariff</v>
      </c>
      <c r="AA28" s="313" t="str">
        <f>'P&amp;L - Concept B1 - RCCL'!T23</f>
        <v>see Tariff</v>
      </c>
      <c r="AB28" s="313" t="str">
        <f>'P&amp;L - Concept B1 - RCCL'!U23</f>
        <v>see Tariff</v>
      </c>
      <c r="AC28" s="313" t="str">
        <f>'P&amp;L - Concept B1 - RCCL'!V23</f>
        <v>see Tariff</v>
      </c>
      <c r="AD28" s="313" t="str">
        <f>'P&amp;L - Concept B1 - RCCL'!W23</f>
        <v>see Tariff</v>
      </c>
      <c r="AE28" s="313" t="str">
        <f>'P&amp;L - Concept B1 - RCCL'!X23</f>
        <v>see Tariff</v>
      </c>
    </row>
    <row r="29" spans="1:31" s="341" customFormat="1">
      <c r="A29" s="552"/>
      <c r="B29" s="553"/>
      <c r="C29" s="553"/>
      <c r="K29" s="554"/>
      <c r="L29" s="313"/>
      <c r="M29" s="313"/>
      <c r="N29" s="313"/>
      <c r="O29" s="313"/>
      <c r="P29" s="313"/>
      <c r="Q29" s="313"/>
      <c r="R29" s="313"/>
      <c r="S29" s="313"/>
      <c r="T29" s="313"/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</row>
    <row r="30" spans="1:31" s="96" customFormat="1">
      <c r="A30" s="559" t="s">
        <v>227</v>
      </c>
      <c r="B30" s="487"/>
      <c r="C30" s="487"/>
      <c r="K30" s="486"/>
      <c r="L30" s="313"/>
      <c r="M30" s="313"/>
      <c r="N30" s="313"/>
      <c r="O30" s="313"/>
      <c r="P30" s="313"/>
      <c r="Q30" s="313"/>
      <c r="R30" s="313"/>
      <c r="S30" s="313"/>
      <c r="T30" s="313"/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</row>
    <row r="31" spans="1:31" s="96" customFormat="1">
      <c r="A31" s="559"/>
      <c r="B31" s="487"/>
      <c r="C31" s="487"/>
      <c r="K31" s="486"/>
      <c r="L31" s="313"/>
      <c r="M31" s="313"/>
      <c r="N31" s="313"/>
      <c r="O31" s="313"/>
      <c r="P31" s="313"/>
      <c r="Q31" s="313"/>
      <c r="R31" s="313"/>
      <c r="S31" s="313"/>
      <c r="T31" s="313"/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</row>
    <row r="32" spans="1:31" s="341" customFormat="1">
      <c r="A32" s="552" t="s">
        <v>420</v>
      </c>
      <c r="B32" s="553"/>
      <c r="C32" s="553"/>
      <c r="K32" s="554">
        <f>'P&amp;L - Concept B1 - Carnival'!D27</f>
        <v>0</v>
      </c>
      <c r="L32" s="555">
        <f>'P&amp;L - Concept B1 - RCCL'!E27</f>
        <v>0</v>
      </c>
      <c r="M32" s="555">
        <f>'P&amp;L - Concept B1 - RCCL'!F27</f>
        <v>214</v>
      </c>
      <c r="N32" s="555">
        <f>'P&amp;L - Concept B1 - RCCL'!G27</f>
        <v>214</v>
      </c>
      <c r="O32" s="555">
        <f>'P&amp;L - Concept B1 - RCCL'!H27</f>
        <v>214</v>
      </c>
      <c r="P32" s="555">
        <f>'P&amp;L - Concept B1 - RCCL'!I27</f>
        <v>214</v>
      </c>
      <c r="Q32" s="555">
        <f>'P&amp;L - Concept B1 - RCCL'!J27</f>
        <v>214</v>
      </c>
      <c r="R32" s="555">
        <f>'P&amp;L - Concept B1 - RCCL'!K27</f>
        <v>214</v>
      </c>
      <c r="S32" s="555">
        <f>'P&amp;L - Concept B1 - RCCL'!L27</f>
        <v>214</v>
      </c>
      <c r="T32" s="555">
        <f>'P&amp;L - Concept B1 - RCCL'!M27</f>
        <v>214</v>
      </c>
      <c r="U32" s="555">
        <f>'P&amp;L - Concept B1 - RCCL'!N27</f>
        <v>214</v>
      </c>
      <c r="V32" s="555">
        <f>'P&amp;L - Concept B1 - RCCL'!O27</f>
        <v>214</v>
      </c>
      <c r="W32" s="555">
        <f>'P&amp;L - Concept B1 - RCCL'!P27</f>
        <v>214</v>
      </c>
      <c r="X32" s="555">
        <f>'P&amp;L - Concept B1 - RCCL'!Q27</f>
        <v>214</v>
      </c>
      <c r="Y32" s="555">
        <f>'P&amp;L - Concept B1 - RCCL'!R27</f>
        <v>214</v>
      </c>
      <c r="Z32" s="555">
        <f>'P&amp;L - Concept B1 - RCCL'!S27</f>
        <v>214</v>
      </c>
      <c r="AA32" s="555">
        <f>'P&amp;L - Concept B1 - RCCL'!T27</f>
        <v>214</v>
      </c>
      <c r="AB32" s="555">
        <f>'P&amp;L - Concept B1 - RCCL'!U27</f>
        <v>214</v>
      </c>
      <c r="AC32" s="555">
        <f>'P&amp;L - Concept B1 - RCCL'!V27</f>
        <v>214</v>
      </c>
      <c r="AD32" s="555">
        <f>'P&amp;L - Concept B1 - RCCL'!W27</f>
        <v>214</v>
      </c>
      <c r="AE32" s="555">
        <f>'P&amp;L - Concept B1 - RCCL'!X27</f>
        <v>214</v>
      </c>
    </row>
    <row r="33" spans="1:31" s="96" customFormat="1">
      <c r="A33" s="54" t="s">
        <v>205</v>
      </c>
      <c r="B33" s="487"/>
      <c r="C33" s="487"/>
      <c r="K33" s="486">
        <f>'P&amp;L - Concept B1 - Carnival'!D28</f>
        <v>0</v>
      </c>
      <c r="L33" s="313">
        <f>'P&amp;L - Concept B1 - RCCL'!E28</f>
        <v>0</v>
      </c>
      <c r="M33" s="313">
        <f>'P&amp;L - Concept B1 - RCCL'!F28</f>
        <v>28.666666666666664</v>
      </c>
      <c r="N33" s="313">
        <f>'P&amp;L - Concept B1 - RCCL'!G28</f>
        <v>28.666666666666664</v>
      </c>
      <c r="O33" s="313">
        <f>'P&amp;L - Concept B1 - RCCL'!H28</f>
        <v>28.666666666666664</v>
      </c>
      <c r="P33" s="313">
        <f>'P&amp;L - Concept B1 - RCCL'!I28</f>
        <v>28.666666666666664</v>
      </c>
      <c r="Q33" s="313">
        <f>'P&amp;L - Concept B1 - RCCL'!J28</f>
        <v>28.666666666666664</v>
      </c>
      <c r="R33" s="313">
        <f>'P&amp;L - Concept B1 - RCCL'!K28</f>
        <v>28.666666666666664</v>
      </c>
      <c r="S33" s="313">
        <f>'P&amp;L - Concept B1 - RCCL'!L28</f>
        <v>28.666666666666664</v>
      </c>
      <c r="T33" s="313">
        <f>'P&amp;L - Concept B1 - RCCL'!M28</f>
        <v>28.666666666666664</v>
      </c>
      <c r="U33" s="313">
        <f>'P&amp;L - Concept B1 - RCCL'!N28</f>
        <v>28.666666666666664</v>
      </c>
      <c r="V33" s="313">
        <f>'P&amp;L - Concept B1 - RCCL'!O28</f>
        <v>28.666666666666664</v>
      </c>
      <c r="W33" s="313">
        <f>'P&amp;L - Concept B1 - RCCL'!P28</f>
        <v>28.666666666666664</v>
      </c>
      <c r="X33" s="313">
        <f>'P&amp;L - Concept B1 - RCCL'!Q28</f>
        <v>28.666666666666664</v>
      </c>
      <c r="Y33" s="313">
        <f>'P&amp;L - Concept B1 - RCCL'!R28</f>
        <v>28.666666666666664</v>
      </c>
      <c r="Z33" s="313">
        <f>'P&amp;L - Concept B1 - RCCL'!S28</f>
        <v>28.666666666666664</v>
      </c>
      <c r="AA33" s="313">
        <f>'P&amp;L - Concept B1 - RCCL'!T28</f>
        <v>28.666666666666664</v>
      </c>
      <c r="AB33" s="313">
        <f>'P&amp;L - Concept B1 - RCCL'!U28</f>
        <v>28.666666666666664</v>
      </c>
      <c r="AC33" s="313">
        <f>'P&amp;L - Concept B1 - RCCL'!V28</f>
        <v>28.666666666666664</v>
      </c>
      <c r="AD33" s="313">
        <f>'P&amp;L - Concept B1 - RCCL'!W28</f>
        <v>28.666666666666664</v>
      </c>
      <c r="AE33" s="313">
        <f>'P&amp;L - Concept B1 - RCCL'!X28</f>
        <v>28.666666666666664</v>
      </c>
    </row>
    <row r="34" spans="1:31" s="341" customFormat="1">
      <c r="A34" s="552" t="s">
        <v>219</v>
      </c>
      <c r="B34" s="553"/>
      <c r="C34" s="553"/>
      <c r="K34" s="554">
        <f>'P&amp;L - Concept B1 - Carnival'!D29</f>
        <v>0</v>
      </c>
      <c r="L34" s="313">
        <f>'P&amp;L - Concept B1 - RCCL'!E29</f>
        <v>150</v>
      </c>
      <c r="M34" s="313">
        <f>'P&amp;L - Concept B1 - RCCL'!F29</f>
        <v>150</v>
      </c>
      <c r="N34" s="313">
        <f>'P&amp;L - Concept B1 - RCCL'!G29</f>
        <v>150</v>
      </c>
      <c r="O34" s="313">
        <f>'P&amp;L - Concept B1 - RCCL'!H29</f>
        <v>150</v>
      </c>
      <c r="P34" s="313">
        <f>'P&amp;L - Concept B1 - RCCL'!I29</f>
        <v>150</v>
      </c>
      <c r="Q34" s="313">
        <f>'P&amp;L - Concept B1 - RCCL'!J29</f>
        <v>150</v>
      </c>
      <c r="R34" s="313">
        <f>'P&amp;L - Concept B1 - RCCL'!K29</f>
        <v>150</v>
      </c>
      <c r="S34" s="313">
        <f>'P&amp;L - Concept B1 - RCCL'!L29</f>
        <v>150</v>
      </c>
      <c r="T34" s="313">
        <f>'P&amp;L - Concept B1 - RCCL'!M29</f>
        <v>150</v>
      </c>
      <c r="U34" s="313">
        <f>'P&amp;L - Concept B1 - RCCL'!N29</f>
        <v>150</v>
      </c>
      <c r="V34" s="313">
        <f>'P&amp;L - Concept B1 - RCCL'!O29</f>
        <v>150</v>
      </c>
      <c r="W34" s="313">
        <f>'P&amp;L - Concept B1 - RCCL'!P29</f>
        <v>150</v>
      </c>
      <c r="X34" s="313">
        <f>'P&amp;L - Concept B1 - RCCL'!Q29</f>
        <v>150</v>
      </c>
      <c r="Y34" s="313">
        <f>'P&amp;L - Concept B1 - RCCL'!R29</f>
        <v>150</v>
      </c>
      <c r="Z34" s="313">
        <f>'P&amp;L - Concept B1 - RCCL'!S29</f>
        <v>150</v>
      </c>
      <c r="AA34" s="313">
        <f>'P&amp;L - Concept B1 - RCCL'!T29</f>
        <v>150</v>
      </c>
      <c r="AB34" s="313">
        <f>'P&amp;L - Concept B1 - RCCL'!U29</f>
        <v>150</v>
      </c>
      <c r="AC34" s="313">
        <f>'P&amp;L - Concept B1 - RCCL'!V29</f>
        <v>150</v>
      </c>
      <c r="AD34" s="313">
        <f>'P&amp;L - Concept B1 - RCCL'!W29</f>
        <v>150</v>
      </c>
      <c r="AE34" s="313">
        <f>'P&amp;L - Concept B1 - RCCL'!X29</f>
        <v>150</v>
      </c>
    </row>
    <row r="35" spans="1:31" s="341" customFormat="1">
      <c r="A35" s="552" t="s">
        <v>220</v>
      </c>
      <c r="B35" s="553"/>
      <c r="C35" s="553"/>
      <c r="K35" s="554">
        <f>'P&amp;L - Concept B1 - Carnival'!D30</f>
        <v>0</v>
      </c>
      <c r="L35" s="788">
        <v>0</v>
      </c>
      <c r="M35" s="788">
        <v>0</v>
      </c>
      <c r="N35" s="788">
        <v>0</v>
      </c>
      <c r="O35" s="788">
        <v>0</v>
      </c>
      <c r="P35" s="788">
        <v>0</v>
      </c>
      <c r="Q35" s="788">
        <v>0</v>
      </c>
      <c r="R35" s="788">
        <v>0</v>
      </c>
      <c r="S35" s="788">
        <v>0</v>
      </c>
      <c r="T35" s="788">
        <v>0</v>
      </c>
      <c r="U35" s="788">
        <v>0</v>
      </c>
      <c r="V35" s="788">
        <v>0</v>
      </c>
      <c r="W35" s="788">
        <v>0</v>
      </c>
      <c r="X35" s="788">
        <v>0</v>
      </c>
      <c r="Y35" s="788">
        <v>0</v>
      </c>
      <c r="Z35" s="788">
        <v>0</v>
      </c>
      <c r="AA35" s="788">
        <v>0</v>
      </c>
      <c r="AB35" s="788">
        <v>0</v>
      </c>
      <c r="AC35" s="788">
        <v>0</v>
      </c>
      <c r="AD35" s="788">
        <v>0</v>
      </c>
      <c r="AE35" s="788">
        <v>0</v>
      </c>
    </row>
    <row r="36" spans="1:31" s="96" customFormat="1">
      <c r="A36" s="54" t="s">
        <v>226</v>
      </c>
      <c r="B36" s="487"/>
      <c r="C36" s="487"/>
      <c r="K36" s="486">
        <f>'P&amp;L - Concept B1 - Carnival'!D31</f>
        <v>0</v>
      </c>
      <c r="L36" s="313">
        <f>'P&amp;L - Concept B1 - RCCL'!E31</f>
        <v>0</v>
      </c>
      <c r="M36" s="313">
        <f>'P&amp;L - Concept B1 - RCCL'!F31</f>
        <v>125</v>
      </c>
      <c r="N36" s="313">
        <f>'P&amp;L - Concept B1 - RCCL'!G31</f>
        <v>125</v>
      </c>
      <c r="O36" s="313">
        <f>'P&amp;L - Concept B1 - RCCL'!H31</f>
        <v>125</v>
      </c>
      <c r="P36" s="313">
        <f>'P&amp;L - Concept B1 - RCCL'!I31</f>
        <v>125</v>
      </c>
      <c r="Q36" s="313">
        <f>'P&amp;L - Concept B1 - RCCL'!J31</f>
        <v>125</v>
      </c>
      <c r="R36" s="313">
        <f>'P&amp;L - Concept B1 - RCCL'!K31</f>
        <v>125</v>
      </c>
      <c r="S36" s="313">
        <f>'P&amp;L - Concept B1 - RCCL'!L31</f>
        <v>125</v>
      </c>
      <c r="T36" s="313">
        <f>'P&amp;L - Concept B1 - RCCL'!M31</f>
        <v>125</v>
      </c>
      <c r="U36" s="313">
        <f>'P&amp;L - Concept B1 - RCCL'!N31</f>
        <v>125</v>
      </c>
      <c r="V36" s="313">
        <f>'P&amp;L - Concept B1 - RCCL'!O31</f>
        <v>125</v>
      </c>
      <c r="W36" s="313">
        <f>'P&amp;L - Concept B1 - RCCL'!P31</f>
        <v>125</v>
      </c>
      <c r="X36" s="313">
        <f>'P&amp;L - Concept B1 - RCCL'!Q31</f>
        <v>125</v>
      </c>
      <c r="Y36" s="313">
        <f>'P&amp;L - Concept B1 - RCCL'!R31</f>
        <v>125</v>
      </c>
      <c r="Z36" s="313">
        <f>'P&amp;L - Concept B1 - RCCL'!S31</f>
        <v>125</v>
      </c>
      <c r="AA36" s="313">
        <f>'P&amp;L - Concept B1 - RCCL'!T31</f>
        <v>125</v>
      </c>
      <c r="AB36" s="313">
        <f>'P&amp;L - Concept B1 - RCCL'!U31</f>
        <v>125</v>
      </c>
      <c r="AC36" s="313">
        <f>'P&amp;L - Concept B1 - RCCL'!V31</f>
        <v>125</v>
      </c>
      <c r="AD36" s="313">
        <f>'P&amp;L - Concept B1 - RCCL'!W31</f>
        <v>125</v>
      </c>
      <c r="AE36" s="313">
        <f>'P&amp;L - Concept B1 - RCCL'!X31</f>
        <v>125</v>
      </c>
    </row>
    <row r="37" spans="1:31" s="18" customFormat="1">
      <c r="A37" s="54"/>
      <c r="B37" s="21"/>
      <c r="C37" s="21"/>
      <c r="K37" s="486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</row>
    <row r="38" spans="1:31" s="96" customFormat="1">
      <c r="A38" s="54" t="s">
        <v>206</v>
      </c>
      <c r="B38" s="487"/>
      <c r="C38" s="487"/>
      <c r="K38" s="486">
        <f>'P&amp;L - Concept B1 - Carnival'!D33</f>
        <v>0</v>
      </c>
      <c r="L38" s="313">
        <f>'P&amp;L - Concept B1 - RCCL'!E33</f>
        <v>0</v>
      </c>
      <c r="M38" s="313">
        <f>'P&amp;L - Concept B1 - RCCL'!F33</f>
        <v>3110.3085303356092</v>
      </c>
      <c r="N38" s="313">
        <f>'P&amp;L - Concept B1 - RCCL'!G33</f>
        <v>3110.3085303356092</v>
      </c>
      <c r="O38" s="313">
        <f>'P&amp;L - Concept B1 - RCCL'!H33</f>
        <v>3110.3085303356092</v>
      </c>
      <c r="P38" s="313">
        <f>'P&amp;L - Concept B1 - RCCL'!I33</f>
        <v>3110.3085303356092</v>
      </c>
      <c r="Q38" s="313">
        <f>'P&amp;L - Concept B1 - RCCL'!J33</f>
        <v>3110.3085303356092</v>
      </c>
      <c r="R38" s="313">
        <f>'P&amp;L - Concept B1 - RCCL'!K33</f>
        <v>3110.3085303356092</v>
      </c>
      <c r="S38" s="313">
        <f>'P&amp;L - Concept B1 - RCCL'!L33</f>
        <v>3110.3085303356092</v>
      </c>
      <c r="T38" s="313">
        <f>'P&amp;L - Concept B1 - RCCL'!M33</f>
        <v>3110.3085303356092</v>
      </c>
      <c r="U38" s="313">
        <f>'P&amp;L - Concept B1 - RCCL'!N33</f>
        <v>3110.3085303356092</v>
      </c>
      <c r="V38" s="313">
        <f>'P&amp;L - Concept B1 - RCCL'!O33</f>
        <v>3110.3085303356092</v>
      </c>
      <c r="W38" s="313">
        <f>'P&amp;L - Concept B1 - RCCL'!P33</f>
        <v>3110.3085303356092</v>
      </c>
      <c r="X38" s="313">
        <f>'P&amp;L - Concept B1 - RCCL'!Q33</f>
        <v>3110.3085303356092</v>
      </c>
      <c r="Y38" s="313">
        <f>'P&amp;L - Concept B1 - RCCL'!R33</f>
        <v>3110.3085303356092</v>
      </c>
      <c r="Z38" s="313">
        <f>'P&amp;L - Concept B1 - RCCL'!S33</f>
        <v>3110.3085303356092</v>
      </c>
      <c r="AA38" s="313">
        <f>'P&amp;L - Concept B1 - RCCL'!T33</f>
        <v>3110.3085303356092</v>
      </c>
      <c r="AB38" s="313">
        <f>'P&amp;L - Concept B1 - RCCL'!U33</f>
        <v>3110.3085303356092</v>
      </c>
      <c r="AC38" s="313">
        <f>'P&amp;L - Concept B1 - RCCL'!V33</f>
        <v>3110.3085303356092</v>
      </c>
      <c r="AD38" s="313">
        <f>'P&amp;L - Concept B1 - RCCL'!W33</f>
        <v>3110.3085303356092</v>
      </c>
      <c r="AE38" s="313">
        <f>'P&amp;L - Concept B1 - RCCL'!X33</f>
        <v>3110.3085303356092</v>
      </c>
    </row>
    <row r="39" spans="1:31" s="96" customFormat="1">
      <c r="A39" s="54" t="s">
        <v>207</v>
      </c>
      <c r="B39" s="487"/>
      <c r="C39" s="487"/>
      <c r="K39" s="486">
        <f>'P&amp;L - Concept B1 - Carnival'!D34</f>
        <v>0</v>
      </c>
      <c r="L39" s="313">
        <f>'P&amp;L - Concept B1 - RCCL'!E34</f>
        <v>0</v>
      </c>
      <c r="M39" s="313">
        <f>'P&amp;L - Concept B1 - RCCL'!F34</f>
        <v>5500</v>
      </c>
      <c r="N39" s="313">
        <f>'P&amp;L - Concept B1 - RCCL'!G34</f>
        <v>5500</v>
      </c>
      <c r="O39" s="313">
        <f>'P&amp;L - Concept B1 - RCCL'!H34</f>
        <v>5500</v>
      </c>
      <c r="P39" s="313">
        <f>'P&amp;L - Concept B1 - RCCL'!I34</f>
        <v>5500</v>
      </c>
      <c r="Q39" s="313">
        <f>'P&amp;L - Concept B1 - RCCL'!J34</f>
        <v>5500</v>
      </c>
      <c r="R39" s="313">
        <f>'P&amp;L - Concept B1 - RCCL'!K34</f>
        <v>5500</v>
      </c>
      <c r="S39" s="313">
        <f>'P&amp;L - Concept B1 - RCCL'!L34</f>
        <v>5500</v>
      </c>
      <c r="T39" s="313">
        <f>'P&amp;L - Concept B1 - RCCL'!M34</f>
        <v>5500</v>
      </c>
      <c r="U39" s="313">
        <f>'P&amp;L - Concept B1 - RCCL'!N34</f>
        <v>5500</v>
      </c>
      <c r="V39" s="313">
        <f>'P&amp;L - Concept B1 - RCCL'!O34</f>
        <v>5500</v>
      </c>
      <c r="W39" s="313">
        <f>'P&amp;L - Concept B1 - RCCL'!P34</f>
        <v>5500</v>
      </c>
      <c r="X39" s="313">
        <f>'P&amp;L - Concept B1 - RCCL'!Q34</f>
        <v>5500</v>
      </c>
      <c r="Y39" s="313">
        <f>'P&amp;L - Concept B1 - RCCL'!R34</f>
        <v>5500</v>
      </c>
      <c r="Z39" s="313">
        <f>'P&amp;L - Concept B1 - RCCL'!S34</f>
        <v>5500</v>
      </c>
      <c r="AA39" s="313">
        <f>'P&amp;L - Concept B1 - RCCL'!T34</f>
        <v>5500</v>
      </c>
      <c r="AB39" s="313">
        <f>'P&amp;L - Concept B1 - RCCL'!U34</f>
        <v>5500</v>
      </c>
      <c r="AC39" s="313">
        <f>'P&amp;L - Concept B1 - RCCL'!V34</f>
        <v>5500</v>
      </c>
      <c r="AD39" s="313">
        <f>'P&amp;L - Concept B1 - RCCL'!W34</f>
        <v>5500</v>
      </c>
      <c r="AE39" s="313">
        <f>'P&amp;L - Concept B1 - RCCL'!X34</f>
        <v>5500</v>
      </c>
    </row>
    <row r="40" spans="1:31" s="341" customFormat="1">
      <c r="A40" s="552" t="s">
        <v>221</v>
      </c>
      <c r="B40" s="553"/>
      <c r="C40" s="553"/>
      <c r="K40" s="554">
        <f>'P&amp;L - Concept B1 - Carnival'!D35</f>
        <v>0</v>
      </c>
      <c r="L40" s="555">
        <f>'P&amp;L - Concept B1 - RCCL'!E35</f>
        <v>400</v>
      </c>
      <c r="M40" s="555">
        <f>'P&amp;L - Concept B1 - RCCL'!F35</f>
        <v>466.66666666666669</v>
      </c>
      <c r="N40" s="555">
        <f>'P&amp;L - Concept B1 - RCCL'!G35</f>
        <v>533.33333333333337</v>
      </c>
      <c r="O40" s="555">
        <f>'P&amp;L - Concept B1 - RCCL'!H35</f>
        <v>533.33333333333337</v>
      </c>
      <c r="P40" s="555">
        <f>'P&amp;L - Concept B1 - RCCL'!I35</f>
        <v>533.33333333333337</v>
      </c>
      <c r="Q40" s="555">
        <f>'P&amp;L - Concept B1 - RCCL'!J35</f>
        <v>533.33333333333337</v>
      </c>
      <c r="R40" s="555">
        <f>'P&amp;L - Concept B1 - RCCL'!K35</f>
        <v>533.33333333333337</v>
      </c>
      <c r="S40" s="555">
        <f>'P&amp;L - Concept B1 - RCCL'!L35</f>
        <v>533.33333333333337</v>
      </c>
      <c r="T40" s="555">
        <f>'P&amp;L - Concept B1 - RCCL'!M35</f>
        <v>533.33333333333337</v>
      </c>
      <c r="U40" s="555">
        <f>'P&amp;L - Concept B1 - RCCL'!N35</f>
        <v>533.33333333333337</v>
      </c>
      <c r="V40" s="555">
        <f>'P&amp;L - Concept B1 - RCCL'!O35</f>
        <v>533.33333333333337</v>
      </c>
      <c r="W40" s="555">
        <f>'P&amp;L - Concept B1 - RCCL'!P35</f>
        <v>533.33333333333337</v>
      </c>
      <c r="X40" s="555">
        <f>'P&amp;L - Concept B1 - RCCL'!Q35</f>
        <v>533.33333333333337</v>
      </c>
      <c r="Y40" s="555">
        <f>'P&amp;L - Concept B1 - RCCL'!R35</f>
        <v>533.33333333333337</v>
      </c>
      <c r="Z40" s="555">
        <f>'P&amp;L - Concept B1 - RCCL'!S35</f>
        <v>533.33333333333337</v>
      </c>
      <c r="AA40" s="555">
        <f>'P&amp;L - Concept B1 - RCCL'!T35</f>
        <v>533.33333333333337</v>
      </c>
      <c r="AB40" s="555">
        <f>'P&amp;L - Concept B1 - RCCL'!U35</f>
        <v>533.33333333333337</v>
      </c>
      <c r="AC40" s="555">
        <f>'P&amp;L - Concept B1 - RCCL'!V35</f>
        <v>533.33333333333337</v>
      </c>
      <c r="AD40" s="555">
        <f>'P&amp;L - Concept B1 - RCCL'!W35</f>
        <v>533.33333333333337</v>
      </c>
      <c r="AE40" s="555">
        <f>'P&amp;L - Concept B1 - RCCL'!X35</f>
        <v>533.33333333333337</v>
      </c>
    </row>
    <row r="41" spans="1:31" s="341" customFormat="1">
      <c r="A41" s="552" t="s">
        <v>222</v>
      </c>
      <c r="B41" s="553"/>
      <c r="C41" s="553"/>
      <c r="K41" s="554">
        <f>'P&amp;L - Concept B1 - Carnival'!D36</f>
        <v>0</v>
      </c>
      <c r="L41" s="555">
        <f>'P&amp;L - Concept B1 - RCCL'!E36</f>
        <v>800</v>
      </c>
      <c r="M41" s="555">
        <f>'P&amp;L - Concept B1 - RCCL'!F36</f>
        <v>800</v>
      </c>
      <c r="N41" s="555">
        <f>'P&amp;L - Concept B1 - RCCL'!G36</f>
        <v>800</v>
      </c>
      <c r="O41" s="555">
        <f>'P&amp;L - Concept B1 - RCCL'!H36</f>
        <v>800</v>
      </c>
      <c r="P41" s="555">
        <f>'P&amp;L - Concept B1 - RCCL'!I36</f>
        <v>800</v>
      </c>
      <c r="Q41" s="555">
        <f>'P&amp;L - Concept B1 - RCCL'!J36</f>
        <v>800</v>
      </c>
      <c r="R41" s="555">
        <f>'P&amp;L - Concept B1 - RCCL'!K36</f>
        <v>800</v>
      </c>
      <c r="S41" s="555">
        <f>'P&amp;L - Concept B1 - RCCL'!L36</f>
        <v>800</v>
      </c>
      <c r="T41" s="555">
        <f>'P&amp;L - Concept B1 - RCCL'!M36</f>
        <v>800</v>
      </c>
      <c r="U41" s="555">
        <f>'P&amp;L - Concept B1 - RCCL'!N36</f>
        <v>800</v>
      </c>
      <c r="V41" s="555">
        <f>'P&amp;L - Concept B1 - RCCL'!O36</f>
        <v>800</v>
      </c>
      <c r="W41" s="555">
        <f>'P&amp;L - Concept B1 - RCCL'!P36</f>
        <v>800</v>
      </c>
      <c r="X41" s="555">
        <f>'P&amp;L - Concept B1 - RCCL'!Q36</f>
        <v>800</v>
      </c>
      <c r="Y41" s="555">
        <f>'P&amp;L - Concept B1 - RCCL'!R36</f>
        <v>800</v>
      </c>
      <c r="Z41" s="555">
        <f>'P&amp;L - Concept B1 - RCCL'!S36</f>
        <v>800</v>
      </c>
      <c r="AA41" s="555">
        <f>'P&amp;L - Concept B1 - RCCL'!T36</f>
        <v>800</v>
      </c>
      <c r="AB41" s="555">
        <f>'P&amp;L - Concept B1 - RCCL'!U36</f>
        <v>800</v>
      </c>
      <c r="AC41" s="555">
        <f>'P&amp;L - Concept B1 - RCCL'!V36</f>
        <v>800</v>
      </c>
      <c r="AD41" s="555">
        <f>'P&amp;L - Concept B1 - RCCL'!W36</f>
        <v>800</v>
      </c>
      <c r="AE41" s="555">
        <f>'P&amp;L - Concept B1 - RCCL'!X36</f>
        <v>800</v>
      </c>
    </row>
    <row r="42" spans="1:31" s="341" customFormat="1">
      <c r="A42" s="552" t="s">
        <v>208</v>
      </c>
      <c r="B42" s="553"/>
      <c r="C42" s="553"/>
      <c r="K42" s="554">
        <f>'P&amp;L - Concept B1 - Carnival'!D37</f>
        <v>0</v>
      </c>
      <c r="L42" s="555">
        <f>'P&amp;L - Concept B1 - RCCL'!E37</f>
        <v>800</v>
      </c>
      <c r="M42" s="555">
        <f>'P&amp;L - Concept B1 - RCCL'!F37</f>
        <v>6300</v>
      </c>
      <c r="N42" s="555">
        <f>'P&amp;L - Concept B1 - RCCL'!G37</f>
        <v>6300</v>
      </c>
      <c r="O42" s="555">
        <f>'P&amp;L - Concept B1 - RCCL'!H37</f>
        <v>6300</v>
      </c>
      <c r="P42" s="555">
        <f>'P&amp;L - Concept B1 - RCCL'!I37</f>
        <v>6300</v>
      </c>
      <c r="Q42" s="555">
        <f>'P&amp;L - Concept B1 - RCCL'!J37</f>
        <v>6300</v>
      </c>
      <c r="R42" s="555">
        <f>'P&amp;L - Concept B1 - RCCL'!K37</f>
        <v>6300</v>
      </c>
      <c r="S42" s="555">
        <f>'P&amp;L - Concept B1 - RCCL'!L37</f>
        <v>6300</v>
      </c>
      <c r="T42" s="555">
        <f>'P&amp;L - Concept B1 - RCCL'!M37</f>
        <v>6300</v>
      </c>
      <c r="U42" s="555">
        <f>'P&amp;L - Concept B1 - RCCL'!N37</f>
        <v>6300</v>
      </c>
      <c r="V42" s="555">
        <f>'P&amp;L - Concept B1 - RCCL'!O37</f>
        <v>6300</v>
      </c>
      <c r="W42" s="555">
        <f>'P&amp;L - Concept B1 - RCCL'!P37</f>
        <v>6300</v>
      </c>
      <c r="X42" s="555">
        <f>'P&amp;L - Concept B1 - RCCL'!Q37</f>
        <v>6300</v>
      </c>
      <c r="Y42" s="555">
        <f>'P&amp;L - Concept B1 - RCCL'!R37</f>
        <v>6300</v>
      </c>
      <c r="Z42" s="555">
        <f>'P&amp;L - Concept B1 - RCCL'!S37</f>
        <v>6300</v>
      </c>
      <c r="AA42" s="555">
        <f>'P&amp;L - Concept B1 - RCCL'!T37</f>
        <v>6300</v>
      </c>
      <c r="AB42" s="555">
        <f>'P&amp;L - Concept B1 - RCCL'!U37</f>
        <v>6300</v>
      </c>
      <c r="AC42" s="555">
        <f>'P&amp;L - Concept B1 - RCCL'!V37</f>
        <v>6300</v>
      </c>
      <c r="AD42" s="555">
        <f>'P&amp;L - Concept B1 - RCCL'!W37</f>
        <v>6300</v>
      </c>
      <c r="AE42" s="555">
        <f>'P&amp;L - Concept B1 - RCCL'!X37</f>
        <v>6300</v>
      </c>
    </row>
    <row r="43" spans="1:31" s="18" customFormat="1">
      <c r="A43" s="54"/>
      <c r="B43" s="21"/>
      <c r="C43" s="21"/>
      <c r="K43" s="486"/>
      <c r="L43" s="313"/>
      <c r="M43" s="313"/>
      <c r="N43" s="313"/>
      <c r="O43" s="313"/>
      <c r="P43" s="313"/>
      <c r="Q43" s="313"/>
      <c r="R43" s="313"/>
      <c r="S43" s="313"/>
      <c r="T43" s="313"/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</row>
    <row r="44" spans="1:31" s="341" customFormat="1">
      <c r="A44" s="552" t="s">
        <v>223</v>
      </c>
      <c r="B44" s="557"/>
      <c r="C44" s="557"/>
      <c r="K44" s="554">
        <f>'P&amp;L - Concept B1 - Carnival'!D39</f>
        <v>0</v>
      </c>
      <c r="L44" s="313">
        <f>'P&amp;L - Concept B1 - RCCL'!E39</f>
        <v>160.26666666666668</v>
      </c>
      <c r="M44" s="313">
        <f>'P&amp;L - Concept B1 - RCCL'!F39</f>
        <v>187</v>
      </c>
      <c r="N44" s="313">
        <f>'P&amp;L - Concept B1 - RCCL'!G39</f>
        <v>213.73333333333332</v>
      </c>
      <c r="O44" s="313">
        <f>'P&amp;L - Concept B1 - RCCL'!H39</f>
        <v>213.73333333333332</v>
      </c>
      <c r="P44" s="313">
        <f>'P&amp;L - Concept B1 - RCCL'!I39</f>
        <v>213.73333333333332</v>
      </c>
      <c r="Q44" s="313">
        <f>'P&amp;L - Concept B1 - RCCL'!J39</f>
        <v>213.73333333333332</v>
      </c>
      <c r="R44" s="313">
        <f>'P&amp;L - Concept B1 - RCCL'!K39</f>
        <v>213.73333333333332</v>
      </c>
      <c r="S44" s="313">
        <f>'P&amp;L - Concept B1 - RCCL'!L39</f>
        <v>213.73333333333332</v>
      </c>
      <c r="T44" s="313">
        <f>'P&amp;L - Concept B1 - RCCL'!M39</f>
        <v>213.73333333333332</v>
      </c>
      <c r="U44" s="313">
        <f>'P&amp;L - Concept B1 - RCCL'!N39</f>
        <v>213.73333333333332</v>
      </c>
      <c r="V44" s="313">
        <f>'P&amp;L - Concept B1 - RCCL'!O39</f>
        <v>213.73333333333332</v>
      </c>
      <c r="W44" s="313">
        <f>'P&amp;L - Concept B1 - RCCL'!P39</f>
        <v>213.73333333333332</v>
      </c>
      <c r="X44" s="313">
        <f>'P&amp;L - Concept B1 - RCCL'!Q39</f>
        <v>213.73333333333332</v>
      </c>
      <c r="Y44" s="313">
        <f>'P&amp;L - Concept B1 - RCCL'!R39</f>
        <v>213.73333333333332</v>
      </c>
      <c r="Z44" s="313">
        <f>'P&amp;L - Concept B1 - RCCL'!S39</f>
        <v>213.73333333333332</v>
      </c>
      <c r="AA44" s="313">
        <f>'P&amp;L - Concept B1 - RCCL'!T39</f>
        <v>213.73333333333332</v>
      </c>
      <c r="AB44" s="313">
        <f>'P&amp;L - Concept B1 - RCCL'!U39</f>
        <v>213.73333333333332</v>
      </c>
      <c r="AC44" s="313">
        <f>'P&amp;L - Concept B1 - RCCL'!V39</f>
        <v>213.73333333333332</v>
      </c>
      <c r="AD44" s="313">
        <f>'P&amp;L - Concept B1 - RCCL'!W39</f>
        <v>213.73333333333332</v>
      </c>
      <c r="AE44" s="313">
        <f>'P&amp;L - Concept B1 - RCCL'!X39</f>
        <v>213.73333333333332</v>
      </c>
    </row>
    <row r="45" spans="1:31" s="18" customFormat="1">
      <c r="A45" s="54"/>
      <c r="B45" s="74"/>
      <c r="C45" s="74"/>
      <c r="K45" s="492"/>
      <c r="L45" s="313"/>
      <c r="M45" s="313"/>
      <c r="N45" s="313"/>
      <c r="O45" s="313"/>
      <c r="P45" s="313"/>
      <c r="Q45" s="313"/>
      <c r="R45" s="313"/>
      <c r="S45" s="313"/>
      <c r="T45" s="313"/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</row>
    <row r="46" spans="1:31" s="18" customFormat="1">
      <c r="A46" s="293" t="s">
        <v>26</v>
      </c>
      <c r="B46" s="74"/>
      <c r="C46" s="74"/>
      <c r="K46" s="492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</row>
    <row r="47" spans="1:31" s="18" customFormat="1">
      <c r="A47" s="54" t="s">
        <v>264</v>
      </c>
      <c r="B47" s="277"/>
      <c r="C47" s="74"/>
      <c r="K47" s="486">
        <f>'P&amp;L - Concept B1 - Carnival'!D42</f>
        <v>0</v>
      </c>
      <c r="L47" s="313">
        <f>'P&amp;L - Concept B1 - RCCL'!E42</f>
        <v>1201.4583333333335</v>
      </c>
      <c r="M47" s="313">
        <f>'P&amp;L - Concept B1 - RCCL'!F42</f>
        <v>2402.916666666667</v>
      </c>
      <c r="N47" s="313">
        <f>'P&amp;L - Concept B1 - RCCL'!G42</f>
        <v>2402.916666666667</v>
      </c>
      <c r="O47" s="313">
        <f>'P&amp;L - Concept B1 - RCCL'!H42</f>
        <v>2402.916666666667</v>
      </c>
      <c r="P47" s="313">
        <f>'P&amp;L - Concept B1 - RCCL'!I42</f>
        <v>2402.916666666667</v>
      </c>
      <c r="Q47" s="313">
        <f>'P&amp;L - Concept B1 - RCCL'!J42</f>
        <v>2402.916666666667</v>
      </c>
      <c r="R47" s="313">
        <f>'P&amp;L - Concept B1 - RCCL'!K42</f>
        <v>2402.916666666667</v>
      </c>
      <c r="S47" s="313">
        <f>'P&amp;L - Concept B1 - RCCL'!L42</f>
        <v>2402.916666666667</v>
      </c>
      <c r="T47" s="313">
        <f>'P&amp;L - Concept B1 - RCCL'!M42</f>
        <v>2402.916666666667</v>
      </c>
      <c r="U47" s="313">
        <f>'P&amp;L - Concept B1 - RCCL'!N42</f>
        <v>2402.916666666667</v>
      </c>
      <c r="V47" s="313">
        <f>'P&amp;L - Concept B1 - RCCL'!O42</f>
        <v>2402.916666666667</v>
      </c>
      <c r="W47" s="313">
        <f>'P&amp;L - Concept B1 - RCCL'!P42</f>
        <v>2402.916666666667</v>
      </c>
      <c r="X47" s="313">
        <f>'P&amp;L - Concept B1 - RCCL'!Q42</f>
        <v>2402.916666666667</v>
      </c>
      <c r="Y47" s="313">
        <f>'P&amp;L - Concept B1 - RCCL'!R42</f>
        <v>2402.916666666667</v>
      </c>
      <c r="Z47" s="313">
        <f>'P&amp;L - Concept B1 - RCCL'!S42</f>
        <v>2402.916666666667</v>
      </c>
      <c r="AA47" s="313">
        <f>'P&amp;L - Concept B1 - RCCL'!T42</f>
        <v>2402.916666666667</v>
      </c>
      <c r="AB47" s="313">
        <f>'P&amp;L - Concept B1 - RCCL'!U42</f>
        <v>2402.916666666667</v>
      </c>
      <c r="AC47" s="313">
        <f>'P&amp;L - Concept B1 - RCCL'!V42</f>
        <v>2402.916666666667</v>
      </c>
      <c r="AD47" s="313">
        <f>'P&amp;L - Concept B1 - RCCL'!W42</f>
        <v>2402.916666666667</v>
      </c>
      <c r="AE47" s="313">
        <f>'P&amp;L - Concept B1 - RCCL'!X42</f>
        <v>2402.916666666667</v>
      </c>
    </row>
    <row r="48" spans="1:31" s="18" customFormat="1">
      <c r="A48" s="54" t="s">
        <v>267</v>
      </c>
      <c r="B48" s="277"/>
      <c r="C48" s="74"/>
      <c r="K48" s="486">
        <f>'P&amp;L - Concept B1 - Carnival'!D43</f>
        <v>0</v>
      </c>
      <c r="L48" s="313">
        <f>'P&amp;L - Concept B1 - RCCL'!E43</f>
        <v>14265.416666666664</v>
      </c>
      <c r="M48" s="313">
        <f>'P&amp;L - Concept B1 - RCCL'!F43</f>
        <v>28530.833333333328</v>
      </c>
      <c r="N48" s="313">
        <f>'P&amp;L - Concept B1 - RCCL'!G43</f>
        <v>28530.833333333328</v>
      </c>
      <c r="O48" s="313">
        <f>'P&amp;L - Concept B1 - RCCL'!H43</f>
        <v>28530.833333333328</v>
      </c>
      <c r="P48" s="313">
        <f>'P&amp;L - Concept B1 - RCCL'!I43</f>
        <v>28530.833333333328</v>
      </c>
      <c r="Q48" s="313">
        <f>'P&amp;L - Concept B1 - RCCL'!J43</f>
        <v>28530.833333333328</v>
      </c>
      <c r="R48" s="313">
        <f>'P&amp;L - Concept B1 - RCCL'!K43</f>
        <v>28530.833333333328</v>
      </c>
      <c r="S48" s="313">
        <f>'P&amp;L - Concept B1 - RCCL'!L43</f>
        <v>28530.833333333328</v>
      </c>
      <c r="T48" s="313">
        <f>'P&amp;L - Concept B1 - RCCL'!M43</f>
        <v>28530.833333333328</v>
      </c>
      <c r="U48" s="313">
        <f>'P&amp;L - Concept B1 - RCCL'!N43</f>
        <v>28530.833333333328</v>
      </c>
      <c r="V48" s="313">
        <f>'P&amp;L - Concept B1 - RCCL'!O43</f>
        <v>28530.833333333328</v>
      </c>
      <c r="W48" s="313">
        <f>'P&amp;L - Concept B1 - RCCL'!P43</f>
        <v>28530.833333333328</v>
      </c>
      <c r="X48" s="313">
        <f>'P&amp;L - Concept B1 - RCCL'!Q43</f>
        <v>28530.833333333328</v>
      </c>
      <c r="Y48" s="313">
        <f>'P&amp;L - Concept B1 - RCCL'!R43</f>
        <v>28530.833333333328</v>
      </c>
      <c r="Z48" s="313">
        <f>'P&amp;L - Concept B1 - RCCL'!S43</f>
        <v>28530.833333333328</v>
      </c>
      <c r="AA48" s="313">
        <f>'P&amp;L - Concept B1 - RCCL'!T43</f>
        <v>28530.833333333328</v>
      </c>
      <c r="AB48" s="313">
        <f>'P&amp;L - Concept B1 - RCCL'!U43</f>
        <v>28530.833333333328</v>
      </c>
      <c r="AC48" s="313">
        <f>'P&amp;L - Concept B1 - RCCL'!V43</f>
        <v>28530.833333333328</v>
      </c>
      <c r="AD48" s="313">
        <f>'P&amp;L - Concept B1 - RCCL'!W43</f>
        <v>28530.833333333328</v>
      </c>
      <c r="AE48" s="313">
        <f>'P&amp;L - Concept B1 - RCCL'!X43</f>
        <v>28530.833333333328</v>
      </c>
    </row>
    <row r="49" spans="1:32 16384:16384" s="96" customFormat="1">
      <c r="A49" s="54" t="s">
        <v>274</v>
      </c>
      <c r="B49" s="435"/>
      <c r="C49" s="583"/>
      <c r="K49" s="486">
        <f>'P&amp;L - Concept B1 - Carnival'!D44</f>
        <v>0</v>
      </c>
      <c r="L49" s="313">
        <f>'P&amp;L - Concept B1 - RCCL'!E44</f>
        <v>15466.874999999998</v>
      </c>
      <c r="M49" s="313">
        <f>'P&amp;L - Concept B1 - RCCL'!F44</f>
        <v>30933.749999999996</v>
      </c>
      <c r="N49" s="313">
        <f>'P&amp;L - Concept B1 - RCCL'!G44</f>
        <v>30933.749999999996</v>
      </c>
      <c r="O49" s="313">
        <f>'P&amp;L - Concept B1 - RCCL'!H44</f>
        <v>30933.749999999996</v>
      </c>
      <c r="P49" s="313">
        <f>'P&amp;L - Concept B1 - RCCL'!I44</f>
        <v>30933.749999999996</v>
      </c>
      <c r="Q49" s="313">
        <f>'P&amp;L - Concept B1 - RCCL'!J44</f>
        <v>30933.749999999996</v>
      </c>
      <c r="R49" s="313">
        <f>'P&amp;L - Concept B1 - RCCL'!K44</f>
        <v>30933.749999999996</v>
      </c>
      <c r="S49" s="313">
        <f>'P&amp;L - Concept B1 - RCCL'!L44</f>
        <v>30933.749999999996</v>
      </c>
      <c r="T49" s="313">
        <f>'P&amp;L - Concept B1 - RCCL'!M44</f>
        <v>30933.749999999996</v>
      </c>
      <c r="U49" s="313">
        <f>'P&amp;L - Concept B1 - RCCL'!N44</f>
        <v>30933.749999999996</v>
      </c>
      <c r="V49" s="313">
        <f>'P&amp;L - Concept B1 - RCCL'!O44</f>
        <v>30933.749999999996</v>
      </c>
      <c r="W49" s="313">
        <f>'P&amp;L - Concept B1 - RCCL'!P44</f>
        <v>30933.749999999996</v>
      </c>
      <c r="X49" s="313">
        <f>'P&amp;L - Concept B1 - RCCL'!Q44</f>
        <v>30933.749999999996</v>
      </c>
      <c r="Y49" s="313">
        <f>'P&amp;L - Concept B1 - RCCL'!R44</f>
        <v>30933.749999999996</v>
      </c>
      <c r="Z49" s="313">
        <f>'P&amp;L - Concept B1 - RCCL'!S44</f>
        <v>30933.749999999996</v>
      </c>
      <c r="AA49" s="313">
        <f>'P&amp;L - Concept B1 - RCCL'!T44</f>
        <v>30933.749999999996</v>
      </c>
      <c r="AB49" s="313">
        <f>'P&amp;L - Concept B1 - RCCL'!U44</f>
        <v>30933.749999999996</v>
      </c>
      <c r="AC49" s="313">
        <f>'P&amp;L - Concept B1 - RCCL'!V44</f>
        <v>30933.749999999996</v>
      </c>
      <c r="AD49" s="313">
        <f>'P&amp;L - Concept B1 - RCCL'!W44</f>
        <v>30933.749999999996</v>
      </c>
      <c r="AE49" s="313">
        <f>'P&amp;L - Concept B1 - RCCL'!X44</f>
        <v>30933.749999999996</v>
      </c>
    </row>
    <row r="50" spans="1:32 16384:16384" s="18" customFormat="1">
      <c r="A50" s="54"/>
      <c r="B50" s="277"/>
      <c r="C50" s="74"/>
      <c r="K50" s="499"/>
      <c r="L50" s="313"/>
      <c r="M50" s="313"/>
      <c r="N50" s="313"/>
      <c r="O50" s="313"/>
      <c r="P50" s="313"/>
      <c r="Q50" s="313"/>
      <c r="R50" s="313"/>
      <c r="S50" s="313"/>
      <c r="T50" s="313"/>
      <c r="U50" s="313"/>
      <c r="V50" s="313"/>
      <c r="W50" s="313"/>
      <c r="X50" s="313"/>
      <c r="Y50" s="313"/>
      <c r="Z50" s="313"/>
      <c r="AA50" s="313"/>
      <c r="AB50" s="313"/>
      <c r="AC50" s="313"/>
      <c r="AD50" s="313"/>
      <c r="AE50" s="313"/>
    </row>
    <row r="51" spans="1:32 16384:16384" s="341" customFormat="1">
      <c r="A51" s="552" t="s">
        <v>224</v>
      </c>
      <c r="B51" s="556"/>
      <c r="C51" s="557"/>
      <c r="K51" s="554">
        <f>'P&amp;L - Concept B1 - Carnival'!D46</f>
        <v>0</v>
      </c>
      <c r="L51" s="558">
        <f>'P&amp;L - Concept B1 - RCCL'!E46</f>
        <v>3</v>
      </c>
      <c r="M51" s="558">
        <f>'P&amp;L - Concept B1 - RCCL'!F46</f>
        <v>3</v>
      </c>
      <c r="N51" s="558">
        <f>'P&amp;L - Concept B1 - RCCL'!G46</f>
        <v>3</v>
      </c>
      <c r="O51" s="558">
        <f>'P&amp;L - Concept B1 - RCCL'!H46</f>
        <v>3</v>
      </c>
      <c r="P51" s="558">
        <f>'P&amp;L - Concept B1 - RCCL'!I46</f>
        <v>3</v>
      </c>
      <c r="Q51" s="558">
        <f>'P&amp;L - Concept B1 - RCCL'!J46</f>
        <v>3</v>
      </c>
      <c r="R51" s="558">
        <f>'P&amp;L - Concept B1 - RCCL'!K46</f>
        <v>3</v>
      </c>
      <c r="S51" s="558">
        <f>'P&amp;L - Concept B1 - RCCL'!L46</f>
        <v>3</v>
      </c>
      <c r="T51" s="558">
        <f>'P&amp;L - Concept B1 - RCCL'!M46</f>
        <v>3</v>
      </c>
      <c r="U51" s="558">
        <f>'P&amp;L - Concept B1 - RCCL'!N46</f>
        <v>3</v>
      </c>
      <c r="V51" s="558">
        <f>'P&amp;L - Concept B1 - RCCL'!O46</f>
        <v>3</v>
      </c>
      <c r="W51" s="558">
        <f>'P&amp;L - Concept B1 - RCCL'!P46</f>
        <v>3</v>
      </c>
      <c r="X51" s="558">
        <f>'P&amp;L - Concept B1 - RCCL'!Q46</f>
        <v>3</v>
      </c>
      <c r="Y51" s="558">
        <f>'P&amp;L - Concept B1 - RCCL'!R46</f>
        <v>3</v>
      </c>
      <c r="Z51" s="558">
        <f>'P&amp;L - Concept B1 - RCCL'!S46</f>
        <v>3</v>
      </c>
      <c r="AA51" s="558">
        <f>'P&amp;L - Concept B1 - RCCL'!T46</f>
        <v>3</v>
      </c>
      <c r="AB51" s="558">
        <f>'P&amp;L - Concept B1 - RCCL'!U46</f>
        <v>3</v>
      </c>
      <c r="AC51" s="558">
        <f>'P&amp;L - Concept B1 - RCCL'!V46</f>
        <v>3</v>
      </c>
      <c r="AD51" s="558">
        <f>'P&amp;L - Concept B1 - RCCL'!W46</f>
        <v>3</v>
      </c>
      <c r="AE51" s="558">
        <f>'P&amp;L - Concept B1 - RCCL'!X46</f>
        <v>3</v>
      </c>
    </row>
    <row r="52" spans="1:32 16384:16384" s="96" customFormat="1">
      <c r="A52" s="54" t="s">
        <v>225</v>
      </c>
      <c r="B52" s="435"/>
      <c r="C52" s="583"/>
      <c r="K52" s="486">
        <f>'P&amp;L - Concept B1 - Carnival'!D47</f>
        <v>0</v>
      </c>
      <c r="L52" s="496">
        <f>'P&amp;L - Concept B1 - RCCL'!E47</f>
        <v>1</v>
      </c>
      <c r="M52" s="496">
        <f>'P&amp;L - Concept B1 - RCCL'!F47</f>
        <v>1</v>
      </c>
      <c r="N52" s="496">
        <f>'P&amp;L - Concept B1 - RCCL'!G47</f>
        <v>1</v>
      </c>
      <c r="O52" s="496">
        <f>'P&amp;L - Concept B1 - RCCL'!H47</f>
        <v>1</v>
      </c>
      <c r="P52" s="496">
        <f>'P&amp;L - Concept B1 - RCCL'!I47</f>
        <v>1</v>
      </c>
      <c r="Q52" s="496">
        <f>'P&amp;L - Concept B1 - RCCL'!J47</f>
        <v>1</v>
      </c>
      <c r="R52" s="496">
        <f>'P&amp;L - Concept B1 - RCCL'!K47</f>
        <v>1</v>
      </c>
      <c r="S52" s="496">
        <f>'P&amp;L - Concept B1 - RCCL'!L47</f>
        <v>1</v>
      </c>
      <c r="T52" s="496">
        <f>'P&amp;L - Concept B1 - RCCL'!M47</f>
        <v>1</v>
      </c>
      <c r="U52" s="496">
        <f>'P&amp;L - Concept B1 - RCCL'!N47</f>
        <v>1</v>
      </c>
      <c r="V52" s="496">
        <f>'P&amp;L - Concept B1 - RCCL'!O47</f>
        <v>1</v>
      </c>
      <c r="W52" s="496">
        <f>'P&amp;L - Concept B1 - RCCL'!P47</f>
        <v>1</v>
      </c>
      <c r="X52" s="496">
        <f>'P&amp;L - Concept B1 - RCCL'!Q47</f>
        <v>1</v>
      </c>
      <c r="Y52" s="496">
        <f>'P&amp;L - Concept B1 - RCCL'!R47</f>
        <v>1</v>
      </c>
      <c r="Z52" s="496">
        <f>'P&amp;L - Concept B1 - RCCL'!S47</f>
        <v>1</v>
      </c>
      <c r="AA52" s="496">
        <f>'P&amp;L - Concept B1 - RCCL'!T47</f>
        <v>1</v>
      </c>
      <c r="AB52" s="496">
        <f>'P&amp;L - Concept B1 - RCCL'!U47</f>
        <v>1</v>
      </c>
      <c r="AC52" s="496">
        <f>'P&amp;L - Concept B1 - RCCL'!V47</f>
        <v>1</v>
      </c>
      <c r="AD52" s="496">
        <f>'P&amp;L - Concept B1 - RCCL'!W47</f>
        <v>1</v>
      </c>
      <c r="AE52" s="496">
        <f>'P&amp;L - Concept B1 - RCCL'!X47</f>
        <v>1</v>
      </c>
    </row>
    <row r="53" spans="1:32 16384:16384" s="18" customFormat="1">
      <c r="A53" s="54" t="s">
        <v>209</v>
      </c>
      <c r="B53" s="277"/>
      <c r="C53" s="74"/>
      <c r="K53" s="486">
        <f>'P&amp;L - Concept B1 - Carnival'!D48</f>
        <v>0</v>
      </c>
      <c r="L53" s="496">
        <f>'P&amp;L - Concept B1 - RCCL'!E48</f>
        <v>0.5</v>
      </c>
      <c r="M53" s="496">
        <f>'P&amp;L - Concept B1 - RCCL'!F48</f>
        <v>0.5</v>
      </c>
      <c r="N53" s="496">
        <f>'P&amp;L - Concept B1 - RCCL'!G48</f>
        <v>0.5</v>
      </c>
      <c r="O53" s="496">
        <f>'P&amp;L - Concept B1 - RCCL'!H48</f>
        <v>0.5</v>
      </c>
      <c r="P53" s="496">
        <f>'P&amp;L - Concept B1 - RCCL'!I48</f>
        <v>0.5</v>
      </c>
      <c r="Q53" s="496">
        <f>'P&amp;L - Concept B1 - RCCL'!J48</f>
        <v>0.5</v>
      </c>
      <c r="R53" s="496">
        <f>'P&amp;L - Concept B1 - RCCL'!K48</f>
        <v>0.5</v>
      </c>
      <c r="S53" s="496">
        <f>'P&amp;L - Concept B1 - RCCL'!L48</f>
        <v>0.5</v>
      </c>
      <c r="T53" s="496">
        <f>'P&amp;L - Concept B1 - RCCL'!M48</f>
        <v>0.5</v>
      </c>
      <c r="U53" s="496">
        <f>'P&amp;L - Concept B1 - RCCL'!N48</f>
        <v>0.5</v>
      </c>
      <c r="V53" s="496">
        <f>'P&amp;L - Concept B1 - RCCL'!O48</f>
        <v>0.5</v>
      </c>
      <c r="W53" s="496">
        <f>'P&amp;L - Concept B1 - RCCL'!P48</f>
        <v>0.5</v>
      </c>
      <c r="X53" s="496">
        <f>'P&amp;L - Concept B1 - RCCL'!Q48</f>
        <v>0.5</v>
      </c>
      <c r="Y53" s="496">
        <f>'P&amp;L - Concept B1 - RCCL'!R48</f>
        <v>0.5</v>
      </c>
      <c r="Z53" s="496">
        <f>'P&amp;L - Concept B1 - RCCL'!S48</f>
        <v>0.5</v>
      </c>
      <c r="AA53" s="496">
        <f>'P&amp;L - Concept B1 - RCCL'!T48</f>
        <v>0.5</v>
      </c>
      <c r="AB53" s="496">
        <f>'P&amp;L - Concept B1 - RCCL'!U48</f>
        <v>0.5</v>
      </c>
      <c r="AC53" s="496">
        <f>'P&amp;L - Concept B1 - RCCL'!V48</f>
        <v>0.5</v>
      </c>
      <c r="AD53" s="496">
        <f>'P&amp;L - Concept B1 - RCCL'!W48</f>
        <v>0.5</v>
      </c>
      <c r="AE53" s="496">
        <f>'P&amp;L - Concept B1 - RCCL'!X48</f>
        <v>0.5</v>
      </c>
    </row>
    <row r="54" spans="1:32 16384:16384" s="18" customFormat="1">
      <c r="A54" s="54" t="s">
        <v>289</v>
      </c>
      <c r="B54" s="277"/>
      <c r="C54" s="74"/>
      <c r="K54" s="486">
        <f>'P&amp;L - Concept B1 - Carnival'!D49</f>
        <v>0</v>
      </c>
      <c r="L54" s="496">
        <f>'P&amp;L - Concept B1 - RCCL'!E49</f>
        <v>0.75</v>
      </c>
      <c r="M54" s="496">
        <f>'P&amp;L - Concept B1 - RCCL'!F49</f>
        <v>0.75</v>
      </c>
      <c r="N54" s="496">
        <f>'P&amp;L - Concept B1 - RCCL'!G49</f>
        <v>0.75</v>
      </c>
      <c r="O54" s="496">
        <f>'P&amp;L - Concept B1 - RCCL'!H49</f>
        <v>0.75</v>
      </c>
      <c r="P54" s="496">
        <f>'P&amp;L - Concept B1 - RCCL'!I49</f>
        <v>0.75</v>
      </c>
      <c r="Q54" s="496">
        <f>'P&amp;L - Concept B1 - RCCL'!J49</f>
        <v>0.75</v>
      </c>
      <c r="R54" s="496">
        <f>'P&amp;L - Concept B1 - RCCL'!K49</f>
        <v>0.75</v>
      </c>
      <c r="S54" s="496">
        <f>'P&amp;L - Concept B1 - RCCL'!L49</f>
        <v>0.75</v>
      </c>
      <c r="T54" s="496">
        <f>'P&amp;L - Concept B1 - RCCL'!M49</f>
        <v>0.75</v>
      </c>
      <c r="U54" s="496">
        <f>'P&amp;L - Concept B1 - RCCL'!N49</f>
        <v>0.75</v>
      </c>
      <c r="V54" s="496">
        <f>'P&amp;L - Concept B1 - RCCL'!O49</f>
        <v>0.75</v>
      </c>
      <c r="W54" s="496">
        <f>'P&amp;L - Concept B1 - RCCL'!P49</f>
        <v>0.75</v>
      </c>
      <c r="X54" s="496">
        <f>'P&amp;L - Concept B1 - RCCL'!Q49</f>
        <v>0.75</v>
      </c>
      <c r="Y54" s="496">
        <f>'P&amp;L - Concept B1 - RCCL'!R49</f>
        <v>0.75</v>
      </c>
      <c r="Z54" s="496">
        <f>'P&amp;L - Concept B1 - RCCL'!S49</f>
        <v>0.75</v>
      </c>
      <c r="AA54" s="496">
        <f>'P&amp;L - Concept B1 - RCCL'!T49</f>
        <v>0.75</v>
      </c>
      <c r="AB54" s="496">
        <f>'P&amp;L - Concept B1 - RCCL'!U49</f>
        <v>0.75</v>
      </c>
      <c r="AC54" s="496">
        <f>'P&amp;L - Concept B1 - RCCL'!V49</f>
        <v>0.75</v>
      </c>
      <c r="AD54" s="496">
        <f>'P&amp;L - Concept B1 - RCCL'!W49</f>
        <v>0.75</v>
      </c>
      <c r="AE54" s="496">
        <f>'P&amp;L - Concept B1 - RCCL'!X49</f>
        <v>0.75</v>
      </c>
      <c r="XFD54" s="570">
        <f>SUM(K54:XFC54)</f>
        <v>15</v>
      </c>
    </row>
    <row r="55" spans="1:32 16384:16384" s="18" customFormat="1">
      <c r="A55" s="54"/>
      <c r="B55" s="277"/>
      <c r="C55" s="74"/>
      <c r="K55" s="486"/>
      <c r="L55" s="313"/>
      <c r="M55" s="313"/>
      <c r="N55" s="313"/>
      <c r="O55" s="313"/>
      <c r="P55" s="313"/>
      <c r="Q55" s="313"/>
      <c r="R55" s="313"/>
      <c r="S55" s="313"/>
      <c r="T55" s="313"/>
      <c r="U55" s="313"/>
      <c r="V55" s="313"/>
      <c r="W55" s="313"/>
      <c r="X55" s="313"/>
      <c r="Y55" s="313"/>
      <c r="Z55" s="313"/>
      <c r="AA55" s="313"/>
      <c r="AB55" s="313"/>
      <c r="AC55" s="313"/>
      <c r="AD55" s="313"/>
      <c r="AE55" s="313"/>
      <c r="XFD55" s="570"/>
    </row>
    <row r="56" spans="1:32 16384:16384" s="18" customFormat="1">
      <c r="A56" s="54" t="s">
        <v>312</v>
      </c>
      <c r="B56" s="277"/>
      <c r="C56" s="74"/>
      <c r="K56" s="486">
        <f>'P&amp;L - Concept B1 - Carnival'!D51</f>
        <v>0</v>
      </c>
      <c r="L56" s="313">
        <f>'P&amp;L - Concept B1 - RCCL'!E51</f>
        <v>3595</v>
      </c>
      <c r="M56" s="313">
        <f>'P&amp;L - Concept B1 - RCCL'!F51</f>
        <v>7190</v>
      </c>
      <c r="N56" s="313">
        <f>'P&amp;L - Concept B1 - RCCL'!G51</f>
        <v>7190</v>
      </c>
      <c r="O56" s="313">
        <f>'P&amp;L - Concept B1 - RCCL'!H51</f>
        <v>7190</v>
      </c>
      <c r="P56" s="313">
        <f>'P&amp;L - Concept B1 - RCCL'!I51</f>
        <v>7190</v>
      </c>
      <c r="Q56" s="313">
        <f>'P&amp;L - Concept B1 - RCCL'!J51</f>
        <v>7190</v>
      </c>
      <c r="R56" s="313">
        <f>'P&amp;L - Concept B1 - RCCL'!K51</f>
        <v>7190</v>
      </c>
      <c r="S56" s="313">
        <f>'P&amp;L - Concept B1 - RCCL'!L51</f>
        <v>7190</v>
      </c>
      <c r="T56" s="313">
        <f>'P&amp;L - Concept B1 - RCCL'!M51</f>
        <v>7190</v>
      </c>
      <c r="U56" s="313">
        <f>'P&amp;L - Concept B1 - RCCL'!N51</f>
        <v>7190</v>
      </c>
      <c r="V56" s="313">
        <f>'P&amp;L - Concept B1 - RCCL'!O51</f>
        <v>7190</v>
      </c>
      <c r="W56" s="313">
        <f>'P&amp;L - Concept B1 - RCCL'!P51</f>
        <v>7190</v>
      </c>
      <c r="X56" s="313">
        <f>'P&amp;L - Concept B1 - RCCL'!Q51</f>
        <v>7190</v>
      </c>
      <c r="Y56" s="313">
        <f>'P&amp;L - Concept B1 - RCCL'!R51</f>
        <v>7190</v>
      </c>
      <c r="Z56" s="313">
        <f>'P&amp;L - Concept B1 - RCCL'!S51</f>
        <v>7190</v>
      </c>
      <c r="AA56" s="313">
        <f>'P&amp;L - Concept B1 - RCCL'!T51</f>
        <v>7190</v>
      </c>
      <c r="AB56" s="313">
        <f>'P&amp;L - Concept B1 - RCCL'!U51</f>
        <v>7190</v>
      </c>
      <c r="AC56" s="313">
        <f>'P&amp;L - Concept B1 - RCCL'!V51</f>
        <v>7190</v>
      </c>
      <c r="AD56" s="313">
        <f>'P&amp;L - Concept B1 - RCCL'!W51</f>
        <v>7190</v>
      </c>
      <c r="AE56" s="313">
        <f>'P&amp;L - Concept B1 - RCCL'!X51</f>
        <v>7190</v>
      </c>
      <c r="XFD56" s="570"/>
    </row>
    <row r="57" spans="1:32 16384:16384" s="18" customFormat="1">
      <c r="A57" s="54"/>
      <c r="B57" s="277"/>
      <c r="C57" s="74"/>
      <c r="K57" s="486"/>
      <c r="L57" s="313"/>
      <c r="M57" s="313"/>
      <c r="N57" s="313"/>
      <c r="O57" s="313"/>
      <c r="P57" s="313"/>
      <c r="Q57" s="313"/>
      <c r="R57" s="313"/>
      <c r="S57" s="313"/>
      <c r="T57" s="313"/>
      <c r="U57" s="313"/>
      <c r="V57" s="313"/>
      <c r="W57" s="313"/>
      <c r="X57" s="313"/>
      <c r="Y57" s="313"/>
      <c r="Z57" s="313"/>
      <c r="AA57" s="313"/>
      <c r="AB57" s="313"/>
      <c r="AC57" s="313"/>
      <c r="AD57" s="313"/>
      <c r="AE57" s="313"/>
    </row>
    <row r="58" spans="1:32 16384:16384" s="612" customFormat="1">
      <c r="A58" s="613" t="s">
        <v>292</v>
      </c>
      <c r="B58" s="614"/>
      <c r="C58" s="615"/>
      <c r="D58" s="717"/>
      <c r="E58" s="717"/>
      <c r="F58" s="717"/>
      <c r="G58" s="717"/>
      <c r="H58" s="717"/>
      <c r="I58" s="717"/>
      <c r="J58" s="717"/>
      <c r="K58" s="616">
        <f>'P&amp;L - Concept B1 - Carnival'!D53</f>
        <v>0</v>
      </c>
      <c r="L58" s="616">
        <f>'P&amp;L - Concept B1 - RCCL'!E53</f>
        <v>0</v>
      </c>
      <c r="M58" s="616">
        <f>'P&amp;L - Concept B1 - RCCL'!F53</f>
        <v>0</v>
      </c>
      <c r="N58" s="616">
        <f>'P&amp;L - Concept B1 - RCCL'!G53</f>
        <v>100000</v>
      </c>
      <c r="O58" s="616">
        <f>'P&amp;L - Concept B1 - RCCL'!H53</f>
        <v>100000</v>
      </c>
      <c r="P58" s="616">
        <f>'P&amp;L - Concept B1 - RCCL'!I53</f>
        <v>100000</v>
      </c>
      <c r="Q58" s="616">
        <f>'P&amp;L - Concept B1 - RCCL'!J53</f>
        <v>100000</v>
      </c>
      <c r="R58" s="616">
        <f>'P&amp;L - Concept B1 - RCCL'!K53</f>
        <v>100000</v>
      </c>
      <c r="S58" s="616">
        <f>'P&amp;L - Concept B1 - RCCL'!L53</f>
        <v>100000</v>
      </c>
      <c r="T58" s="616">
        <f>'P&amp;L - Concept B1 - RCCL'!M53</f>
        <v>100000</v>
      </c>
      <c r="U58" s="616">
        <f>'P&amp;L - Concept B1 - RCCL'!N53</f>
        <v>100000</v>
      </c>
      <c r="V58" s="616">
        <f>'P&amp;L - Concept B1 - RCCL'!O53</f>
        <v>100000</v>
      </c>
      <c r="W58" s="616">
        <f>'P&amp;L - Concept B1 - RCCL'!P53</f>
        <v>100000</v>
      </c>
      <c r="X58" s="616">
        <f>'P&amp;L - Concept B1 - RCCL'!Q53</f>
        <v>100000</v>
      </c>
      <c r="Y58" s="616">
        <f>'P&amp;L - Concept B1 - RCCL'!R53</f>
        <v>100000</v>
      </c>
      <c r="Z58" s="616">
        <f>'P&amp;L - Concept B1 - RCCL'!S53</f>
        <v>100000</v>
      </c>
      <c r="AA58" s="616">
        <f>'P&amp;L - Concept B1 - RCCL'!T53</f>
        <v>100000</v>
      </c>
      <c r="AB58" s="616">
        <f>'P&amp;L - Concept B1 - RCCL'!U53</f>
        <v>100000</v>
      </c>
      <c r="AC58" s="616">
        <f>'P&amp;L - Concept B1 - RCCL'!V53</f>
        <v>100000</v>
      </c>
      <c r="AD58" s="616">
        <f>'P&amp;L - Concept B1 - RCCL'!W53</f>
        <v>100000</v>
      </c>
      <c r="AE58" s="787">
        <f>'P&amp;L - Concept B1 - RCCL'!X53</f>
        <v>100000</v>
      </c>
    </row>
    <row r="59" spans="1:32 16384:16384" s="18" customFormat="1">
      <c r="A59" s="54"/>
      <c r="B59" s="277"/>
      <c r="C59" s="74"/>
      <c r="K59" s="486"/>
      <c r="L59" s="313"/>
      <c r="M59" s="313"/>
      <c r="N59" s="313"/>
      <c r="O59" s="313"/>
      <c r="P59" s="313"/>
      <c r="Q59" s="313"/>
      <c r="R59" s="313"/>
      <c r="S59" s="313"/>
      <c r="T59" s="313"/>
      <c r="U59" s="313"/>
      <c r="V59" s="313"/>
      <c r="W59" s="313"/>
      <c r="X59" s="313"/>
      <c r="Y59" s="313"/>
      <c r="Z59" s="313"/>
      <c r="AA59" s="313"/>
      <c r="AB59" s="313"/>
      <c r="AC59" s="313"/>
      <c r="AD59" s="313"/>
      <c r="AE59" s="313"/>
    </row>
    <row r="60" spans="1:32 16384:16384" s="547" customFormat="1">
      <c r="A60" s="549" t="str">
        <f>'BH Tariffs'!A33</f>
        <v>Recreational/Commercial Marina</v>
      </c>
      <c r="B60" s="714"/>
      <c r="C60" s="715"/>
      <c r="K60" s="554"/>
      <c r="L60" s="555"/>
      <c r="M60" s="555"/>
      <c r="N60" s="555"/>
      <c r="O60" s="555"/>
      <c r="P60" s="555"/>
      <c r="Q60" s="555"/>
      <c r="R60" s="555"/>
      <c r="S60" s="555"/>
      <c r="T60" s="555"/>
      <c r="U60" s="555"/>
      <c r="V60" s="555"/>
      <c r="W60" s="555"/>
      <c r="X60" s="555"/>
      <c r="Y60" s="555"/>
      <c r="Z60" s="555"/>
      <c r="AA60" s="555"/>
      <c r="AB60" s="555"/>
      <c r="AC60" s="555"/>
      <c r="AD60" s="555"/>
      <c r="AE60" s="555"/>
    </row>
    <row r="61" spans="1:32 16384:16384" s="341" customFormat="1">
      <c r="A61" s="552" t="s">
        <v>291</v>
      </c>
      <c r="B61" s="556"/>
      <c r="C61" s="557"/>
      <c r="K61" s="554">
        <f>'P&amp;L - Concept B1 - Carnival'!D56</f>
        <v>0</v>
      </c>
      <c r="L61" s="555">
        <f>'P&amp;L - Concept B1 - RCCL'!E56</f>
        <v>0</v>
      </c>
      <c r="M61" s="555">
        <f>'P&amp;L - Concept B1 - RCCL'!F56</f>
        <v>0</v>
      </c>
      <c r="N61" s="555">
        <f>'P&amp;L - Concept B1 - RCCL'!G56</f>
        <v>0</v>
      </c>
      <c r="O61" s="555">
        <f>'P&amp;L - Concept B1 - RCCL'!H56</f>
        <v>0</v>
      </c>
      <c r="P61" s="555">
        <f>'P&amp;L - Concept B1 - RCCL'!I56</f>
        <v>0</v>
      </c>
      <c r="Q61" s="555">
        <f>'P&amp;L - Concept B1 - RCCL'!J56</f>
        <v>0</v>
      </c>
      <c r="R61" s="555">
        <f>'P&amp;L - Concept B1 - RCCL'!K56</f>
        <v>0</v>
      </c>
      <c r="S61" s="555">
        <f>'P&amp;L - Concept B1 - RCCL'!L56</f>
        <v>0</v>
      </c>
      <c r="T61" s="555">
        <f>'P&amp;L - Concept B1 - RCCL'!M56</f>
        <v>0</v>
      </c>
      <c r="U61" s="555">
        <f>'P&amp;L - Concept B1 - RCCL'!N56</f>
        <v>0</v>
      </c>
      <c r="V61" s="555">
        <f>'P&amp;L - Concept B1 - RCCL'!O56</f>
        <v>0</v>
      </c>
      <c r="W61" s="555">
        <f>'P&amp;L - Concept B1 - RCCL'!P56</f>
        <v>0</v>
      </c>
      <c r="X61" s="555">
        <f>'P&amp;L - Concept B1 - RCCL'!Q56</f>
        <v>0</v>
      </c>
      <c r="Y61" s="555">
        <f>'P&amp;L - Concept B1 - RCCL'!R56</f>
        <v>0</v>
      </c>
      <c r="Z61" s="555">
        <f>'P&amp;L - Concept B1 - RCCL'!S56</f>
        <v>0</v>
      </c>
      <c r="AA61" s="555">
        <f>'P&amp;L - Concept B1 - RCCL'!T56</f>
        <v>0</v>
      </c>
      <c r="AB61" s="555">
        <f>'P&amp;L - Concept B1 - RCCL'!U56</f>
        <v>0</v>
      </c>
      <c r="AC61" s="555">
        <f>'P&amp;L - Concept B1 - RCCL'!V56</f>
        <v>0</v>
      </c>
      <c r="AD61" s="555">
        <f>'P&amp;L - Concept B1 - RCCL'!W56</f>
        <v>0</v>
      </c>
      <c r="AE61" s="555">
        <f>'P&amp;L - Concept B1 - RCCL'!X56</f>
        <v>0</v>
      </c>
    </row>
    <row r="62" spans="1:32 16384:16384" s="341" customFormat="1">
      <c r="A62" s="552" t="s">
        <v>293</v>
      </c>
      <c r="B62" s="556"/>
      <c r="C62" s="557"/>
      <c r="K62" s="554">
        <f>'P&amp;L - Concept B1 - Carnival'!D57</f>
        <v>0</v>
      </c>
      <c r="L62" s="555">
        <f>'P&amp;L - Concept B1 - RCCL'!E57</f>
        <v>0</v>
      </c>
      <c r="M62" s="555">
        <f>'P&amp;L - Concept B1 - RCCL'!F57</f>
        <v>0</v>
      </c>
      <c r="N62" s="555">
        <f>'P&amp;L - Concept B1 - RCCL'!G57</f>
        <v>0</v>
      </c>
      <c r="O62" s="555">
        <f>'P&amp;L - Concept B1 - RCCL'!H57</f>
        <v>0</v>
      </c>
      <c r="P62" s="555">
        <f>'P&amp;L - Concept B1 - RCCL'!I57</f>
        <v>0</v>
      </c>
      <c r="Q62" s="555">
        <f>'P&amp;L - Concept B1 - RCCL'!J57</f>
        <v>0</v>
      </c>
      <c r="R62" s="555">
        <f>'P&amp;L - Concept B1 - RCCL'!K57</f>
        <v>0</v>
      </c>
      <c r="S62" s="555">
        <f>'P&amp;L - Concept B1 - RCCL'!L57</f>
        <v>0</v>
      </c>
      <c r="T62" s="555">
        <f>'P&amp;L - Concept B1 - RCCL'!M57</f>
        <v>0</v>
      </c>
      <c r="U62" s="555">
        <f>'P&amp;L - Concept B1 - RCCL'!N57</f>
        <v>0</v>
      </c>
      <c r="V62" s="555">
        <f>'P&amp;L - Concept B1 - RCCL'!O57</f>
        <v>0</v>
      </c>
      <c r="W62" s="555">
        <f>'P&amp;L - Concept B1 - RCCL'!P57</f>
        <v>0</v>
      </c>
      <c r="X62" s="555">
        <f>'P&amp;L - Concept B1 - RCCL'!Q57</f>
        <v>0</v>
      </c>
      <c r="Y62" s="555">
        <f>'P&amp;L - Concept B1 - RCCL'!R57</f>
        <v>0</v>
      </c>
      <c r="Z62" s="555">
        <f>'P&amp;L - Concept B1 - RCCL'!S57</f>
        <v>0</v>
      </c>
      <c r="AA62" s="555">
        <f>'P&amp;L - Concept B1 - RCCL'!T57</f>
        <v>0</v>
      </c>
      <c r="AB62" s="555">
        <f>'P&amp;L - Concept B1 - RCCL'!U57</f>
        <v>0</v>
      </c>
      <c r="AC62" s="555">
        <f>'P&amp;L - Concept B1 - RCCL'!V57</f>
        <v>0</v>
      </c>
      <c r="AD62" s="555">
        <f>'P&amp;L - Concept B1 - RCCL'!W57</f>
        <v>0</v>
      </c>
      <c r="AE62" s="555">
        <f>'P&amp;L - Concept B1 - RCCL'!X57</f>
        <v>0</v>
      </c>
    </row>
    <row r="63" spans="1:32 16384:16384" s="341" customFormat="1">
      <c r="A63" s="552" t="s">
        <v>294</v>
      </c>
      <c r="B63" s="556"/>
      <c r="C63" s="557"/>
      <c r="K63" s="554">
        <f>'P&amp;L - Concept B1 - Carnival'!D58</f>
        <v>0</v>
      </c>
      <c r="L63" s="555">
        <f>'P&amp;L - Concept B1 - RCCL'!E58</f>
        <v>0</v>
      </c>
      <c r="M63" s="555">
        <f>'P&amp;L - Concept B1 - RCCL'!F58</f>
        <v>0</v>
      </c>
      <c r="N63" s="555">
        <f>'P&amp;L - Concept B1 - RCCL'!G58</f>
        <v>0</v>
      </c>
      <c r="O63" s="555">
        <f>'P&amp;L - Concept B1 - RCCL'!H58</f>
        <v>0</v>
      </c>
      <c r="P63" s="555">
        <f>'P&amp;L - Concept B1 - RCCL'!I58</f>
        <v>0</v>
      </c>
      <c r="Q63" s="555">
        <f>'P&amp;L - Concept B1 - RCCL'!J58</f>
        <v>0</v>
      </c>
      <c r="R63" s="555">
        <f>'P&amp;L - Concept B1 - RCCL'!K58</f>
        <v>0</v>
      </c>
      <c r="S63" s="555">
        <f>'P&amp;L - Concept B1 - RCCL'!L58</f>
        <v>0</v>
      </c>
      <c r="T63" s="555">
        <f>'P&amp;L - Concept B1 - RCCL'!M58</f>
        <v>0</v>
      </c>
      <c r="U63" s="555">
        <f>'P&amp;L - Concept B1 - RCCL'!N58</f>
        <v>0</v>
      </c>
      <c r="V63" s="555">
        <f>'P&amp;L - Concept B1 - RCCL'!O58</f>
        <v>0</v>
      </c>
      <c r="W63" s="555">
        <f>'P&amp;L - Concept B1 - RCCL'!P58</f>
        <v>0</v>
      </c>
      <c r="X63" s="555">
        <f>'P&amp;L - Concept B1 - RCCL'!Q58</f>
        <v>0</v>
      </c>
      <c r="Y63" s="555">
        <f>'P&amp;L - Concept B1 - RCCL'!R58</f>
        <v>0</v>
      </c>
      <c r="Z63" s="555">
        <f>'P&amp;L - Concept B1 - RCCL'!S58</f>
        <v>0</v>
      </c>
      <c r="AA63" s="555">
        <f>'P&amp;L - Concept B1 - RCCL'!T58</f>
        <v>0</v>
      </c>
      <c r="AB63" s="555">
        <f>'P&amp;L - Concept B1 - RCCL'!U58</f>
        <v>0</v>
      </c>
      <c r="AC63" s="555">
        <f>'P&amp;L - Concept B1 - RCCL'!V58</f>
        <v>0</v>
      </c>
      <c r="AD63" s="555">
        <f>'P&amp;L - Concept B1 - RCCL'!W58</f>
        <v>0</v>
      </c>
      <c r="AE63" s="555">
        <f>'P&amp;L - Concept B1 - RCCL'!X58</f>
        <v>0</v>
      </c>
    </row>
    <row r="64" spans="1:32 16384:16384" s="167" customFormat="1">
      <c r="A64" s="497" t="s">
        <v>170</v>
      </c>
      <c r="B64" s="450"/>
      <c r="C64" s="498"/>
      <c r="K64" s="486">
        <f>'P&amp;L - Concept B1 - Carnival'!D59</f>
        <v>0</v>
      </c>
      <c r="L64" s="313">
        <f>'P&amp;L - Concept B1 - RCCL'!E59</f>
        <v>0</v>
      </c>
      <c r="M64" s="313">
        <f>'P&amp;L - Concept B1 - RCCL'!F59</f>
        <v>0</v>
      </c>
      <c r="N64" s="313">
        <f>'P&amp;L - Concept B1 - RCCL'!G59</f>
        <v>0</v>
      </c>
      <c r="O64" s="313">
        <f>'P&amp;L - Concept B1 - RCCL'!H59</f>
        <v>0</v>
      </c>
      <c r="P64" s="313">
        <f>'P&amp;L - Concept B1 - RCCL'!I59</f>
        <v>0</v>
      </c>
      <c r="Q64" s="313">
        <f>'P&amp;L - Concept B1 - RCCL'!J59</f>
        <v>0</v>
      </c>
      <c r="R64" s="313">
        <f>'P&amp;L - Concept B1 - RCCL'!K59</f>
        <v>0</v>
      </c>
      <c r="S64" s="313">
        <f>'P&amp;L - Concept B1 - RCCL'!L59</f>
        <v>0</v>
      </c>
      <c r="T64" s="313">
        <f>'P&amp;L - Concept B1 - RCCL'!M59</f>
        <v>0</v>
      </c>
      <c r="U64" s="313">
        <f>'P&amp;L - Concept B1 - RCCL'!N59</f>
        <v>0</v>
      </c>
      <c r="V64" s="313">
        <f>'P&amp;L - Concept B1 - RCCL'!O59</f>
        <v>0</v>
      </c>
      <c r="W64" s="313">
        <f>'P&amp;L - Concept B1 - RCCL'!P59</f>
        <v>0</v>
      </c>
      <c r="X64" s="313">
        <f>'P&amp;L - Concept B1 - RCCL'!Q59</f>
        <v>0</v>
      </c>
      <c r="Y64" s="313">
        <f>'P&amp;L - Concept B1 - RCCL'!R59</f>
        <v>0</v>
      </c>
      <c r="Z64" s="313">
        <f>'P&amp;L - Concept B1 - RCCL'!S59</f>
        <v>0</v>
      </c>
      <c r="AA64" s="313">
        <f>'P&amp;L - Concept B1 - RCCL'!T59</f>
        <v>0</v>
      </c>
      <c r="AB64" s="313">
        <f>'P&amp;L - Concept B1 - RCCL'!U59</f>
        <v>0</v>
      </c>
      <c r="AC64" s="313">
        <f>'P&amp;L - Concept B1 - RCCL'!V59</f>
        <v>0</v>
      </c>
      <c r="AD64" s="313">
        <f>'P&amp;L - Concept B1 - RCCL'!W59</f>
        <v>0</v>
      </c>
      <c r="AE64" s="313">
        <f>'P&amp;L - Concept B1 - RCCL'!X59</f>
        <v>0</v>
      </c>
      <c r="AF64" s="167" t="str">
        <f>'P&amp;L - Concept B1 - Carnival'!Y59</f>
        <v>cost recovery assumed</v>
      </c>
    </row>
    <row r="65" spans="1:32" s="167" customFormat="1">
      <c r="A65" s="497" t="s">
        <v>16</v>
      </c>
      <c r="B65" s="450"/>
      <c r="C65" s="498"/>
      <c r="K65" s="499">
        <f>'P&amp;L - Concept B1 - Carnival'!D60</f>
        <v>0</v>
      </c>
      <c r="L65" s="313">
        <f>'P&amp;L - Concept B1 - RCCL'!E60</f>
        <v>0</v>
      </c>
      <c r="M65" s="313">
        <f>'P&amp;L - Concept B1 - RCCL'!F60</f>
        <v>0</v>
      </c>
      <c r="N65" s="313">
        <f>'P&amp;L - Concept B1 - RCCL'!G60</f>
        <v>0</v>
      </c>
      <c r="O65" s="313">
        <f>'P&amp;L - Concept B1 - RCCL'!H60</f>
        <v>0</v>
      </c>
      <c r="P65" s="313">
        <f>'P&amp;L - Concept B1 - RCCL'!I60</f>
        <v>0</v>
      </c>
      <c r="Q65" s="313">
        <f>'P&amp;L - Concept B1 - RCCL'!J60</f>
        <v>0</v>
      </c>
      <c r="R65" s="313">
        <f>'P&amp;L - Concept B1 - RCCL'!K60</f>
        <v>0</v>
      </c>
      <c r="S65" s="313">
        <f>'P&amp;L - Concept B1 - RCCL'!L60</f>
        <v>0</v>
      </c>
      <c r="T65" s="313">
        <f>'P&amp;L - Concept B1 - RCCL'!M60</f>
        <v>0</v>
      </c>
      <c r="U65" s="313">
        <f>'P&amp;L - Concept B1 - RCCL'!N60</f>
        <v>0</v>
      </c>
      <c r="V65" s="313">
        <f>'P&amp;L - Concept B1 - RCCL'!O60</f>
        <v>0</v>
      </c>
      <c r="W65" s="313">
        <f>'P&amp;L - Concept B1 - RCCL'!P60</f>
        <v>0</v>
      </c>
      <c r="X65" s="313">
        <f>'P&amp;L - Concept B1 - RCCL'!Q60</f>
        <v>0</v>
      </c>
      <c r="Y65" s="313">
        <f>'P&amp;L - Concept B1 - RCCL'!R60</f>
        <v>0</v>
      </c>
      <c r="Z65" s="313">
        <f>'P&amp;L - Concept B1 - RCCL'!S60</f>
        <v>0</v>
      </c>
      <c r="AA65" s="313">
        <f>'P&amp;L - Concept B1 - RCCL'!T60</f>
        <v>0</v>
      </c>
      <c r="AB65" s="313">
        <f>'P&amp;L - Concept B1 - RCCL'!U60</f>
        <v>0</v>
      </c>
      <c r="AC65" s="313">
        <f>'P&amp;L - Concept B1 - RCCL'!V60</f>
        <v>0</v>
      </c>
      <c r="AD65" s="313">
        <f>'P&amp;L - Concept B1 - RCCL'!W60</f>
        <v>0</v>
      </c>
      <c r="AE65" s="313">
        <f>'P&amp;L - Concept B1 - RCCL'!X60</f>
        <v>0</v>
      </c>
      <c r="AF65" s="167" t="str">
        <f>'P&amp;L - Concept B1 - Carnival'!Y60</f>
        <v>cost recovery assumed</v>
      </c>
    </row>
    <row r="66" spans="1:32" s="18" customFormat="1">
      <c r="A66" s="54"/>
      <c r="B66" s="277"/>
      <c r="C66" s="74"/>
      <c r="K66" s="492"/>
      <c r="L66" s="313"/>
      <c r="M66" s="313"/>
      <c r="N66" s="313"/>
      <c r="O66" s="313"/>
      <c r="P66" s="313"/>
      <c r="Q66" s="313"/>
      <c r="R66" s="313"/>
      <c r="S66" s="313"/>
      <c r="T66" s="313"/>
      <c r="U66" s="313"/>
      <c r="V66" s="313"/>
      <c r="W66" s="313"/>
      <c r="X66" s="313"/>
      <c r="Y66" s="313"/>
      <c r="Z66" s="313"/>
      <c r="AA66" s="313"/>
      <c r="AB66" s="313"/>
      <c r="AC66" s="313"/>
      <c r="AD66" s="313"/>
      <c r="AE66" s="313"/>
    </row>
    <row r="67" spans="1:32" s="18" customFormat="1">
      <c r="A67" s="293" t="s">
        <v>2</v>
      </c>
      <c r="B67" s="277"/>
      <c r="C67" s="74"/>
      <c r="K67" s="492"/>
      <c r="L67" s="313">
        <f>'P&amp;L - Concept B1 - RCCL'!E62</f>
        <v>0</v>
      </c>
      <c r="M67" s="313">
        <f>'P&amp;L - Concept B1 - RCCL'!F62</f>
        <v>0</v>
      </c>
      <c r="N67" s="313">
        <f>'P&amp;L - Concept B1 - RCCL'!G62</f>
        <v>0</v>
      </c>
      <c r="O67" s="313">
        <f>'P&amp;L - Concept B1 - RCCL'!H62</f>
        <v>0</v>
      </c>
      <c r="P67" s="313">
        <f>'P&amp;L - Concept B1 - RCCL'!I62</f>
        <v>0</v>
      </c>
      <c r="Q67" s="313">
        <f>'P&amp;L - Concept B1 - RCCL'!J62</f>
        <v>0</v>
      </c>
      <c r="R67" s="313">
        <f>'P&amp;L - Concept B1 - RCCL'!K62</f>
        <v>0</v>
      </c>
      <c r="S67" s="313">
        <f>'P&amp;L - Concept B1 - RCCL'!L62</f>
        <v>0</v>
      </c>
      <c r="T67" s="313">
        <f>'P&amp;L - Concept B1 - RCCL'!M62</f>
        <v>0</v>
      </c>
      <c r="U67" s="313">
        <f>'P&amp;L - Concept B1 - RCCL'!N62</f>
        <v>0</v>
      </c>
      <c r="V67" s="313">
        <f>'P&amp;L - Concept B1 - RCCL'!O62</f>
        <v>0</v>
      </c>
      <c r="W67" s="313">
        <f>'P&amp;L - Concept B1 - RCCL'!P62</f>
        <v>0</v>
      </c>
      <c r="X67" s="313">
        <f>'P&amp;L - Concept B1 - RCCL'!Q62</f>
        <v>0</v>
      </c>
      <c r="Y67" s="313">
        <f>'P&amp;L - Concept B1 - RCCL'!R62</f>
        <v>0</v>
      </c>
      <c r="Z67" s="313">
        <f>'P&amp;L - Concept B1 - RCCL'!S62</f>
        <v>0</v>
      </c>
      <c r="AA67" s="313">
        <f>'P&amp;L - Concept B1 - RCCL'!T62</f>
        <v>0</v>
      </c>
      <c r="AB67" s="313">
        <f>'P&amp;L - Concept B1 - RCCL'!U62</f>
        <v>0</v>
      </c>
      <c r="AC67" s="313">
        <f>'P&amp;L - Concept B1 - RCCL'!V62</f>
        <v>0</v>
      </c>
      <c r="AD67" s="313">
        <f>'P&amp;L - Concept B1 - RCCL'!W62</f>
        <v>0</v>
      </c>
      <c r="AE67" s="313">
        <f>'P&amp;L - Concept B1 - RCCL'!X62</f>
        <v>0</v>
      </c>
    </row>
    <row r="68" spans="1:32" s="96" customFormat="1">
      <c r="A68" s="54" t="s">
        <v>290</v>
      </c>
      <c r="B68" s="435">
        <v>500</v>
      </c>
      <c r="C68" s="487"/>
      <c r="K68" s="486">
        <f>'P&amp;L - Concept B1 - Carnival'!D63</f>
        <v>0</v>
      </c>
      <c r="L68" s="313">
        <f>'P&amp;L - Concept B1 - RCCL'!E63</f>
        <v>0</v>
      </c>
      <c r="M68" s="313">
        <f>'P&amp;L - Concept B1 - RCCL'!F63</f>
        <v>0</v>
      </c>
      <c r="N68" s="313">
        <f>'P&amp;L - Concept B1 - RCCL'!G63</f>
        <v>500</v>
      </c>
      <c r="O68" s="313">
        <f>'P&amp;L - Concept B1 - RCCL'!H63</f>
        <v>500</v>
      </c>
      <c r="P68" s="313">
        <f>'P&amp;L - Concept B1 - RCCL'!I63</f>
        <v>500</v>
      </c>
      <c r="Q68" s="313">
        <f>'P&amp;L - Concept B1 - RCCL'!J63</f>
        <v>500</v>
      </c>
      <c r="R68" s="313">
        <f>'P&amp;L - Concept B1 - RCCL'!K63</f>
        <v>500</v>
      </c>
      <c r="S68" s="313">
        <f>'P&amp;L - Concept B1 - RCCL'!L63</f>
        <v>500</v>
      </c>
      <c r="T68" s="313">
        <f>'P&amp;L - Concept B1 - RCCL'!M63</f>
        <v>500</v>
      </c>
      <c r="U68" s="313">
        <f>'P&amp;L - Concept B1 - RCCL'!N63</f>
        <v>500</v>
      </c>
      <c r="V68" s="313">
        <f>'P&amp;L - Concept B1 - RCCL'!O63</f>
        <v>500</v>
      </c>
      <c r="W68" s="313">
        <f>'P&amp;L - Concept B1 - RCCL'!P63</f>
        <v>500</v>
      </c>
      <c r="X68" s="313">
        <f>'P&amp;L - Concept B1 - RCCL'!Q63</f>
        <v>500</v>
      </c>
      <c r="Y68" s="313">
        <f>'P&amp;L - Concept B1 - RCCL'!R63</f>
        <v>500</v>
      </c>
      <c r="Z68" s="313">
        <f>'P&amp;L - Concept B1 - RCCL'!S63</f>
        <v>500</v>
      </c>
      <c r="AA68" s="313">
        <f>'P&amp;L - Concept B1 - RCCL'!T63</f>
        <v>500</v>
      </c>
      <c r="AB68" s="313">
        <f>'P&amp;L - Concept B1 - RCCL'!U63</f>
        <v>500</v>
      </c>
      <c r="AC68" s="313">
        <f>'P&amp;L - Concept B1 - RCCL'!V63</f>
        <v>500</v>
      </c>
      <c r="AD68" s="313">
        <f>'P&amp;L - Concept B1 - RCCL'!W63</f>
        <v>500</v>
      </c>
      <c r="AE68" s="313">
        <f>'P&amp;L - Concept B1 - RCCL'!X63</f>
        <v>500</v>
      </c>
    </row>
    <row r="69" spans="1:32" s="96" customFormat="1">
      <c r="A69" s="54" t="s">
        <v>210</v>
      </c>
      <c r="B69" s="487"/>
      <c r="C69" s="487"/>
      <c r="K69" s="486">
        <f>'P&amp;L - Concept B1 - Carnival'!D65</f>
        <v>0</v>
      </c>
      <c r="L69" s="313">
        <f>'P&amp;L - Concept B1 - RCCL'!E65</f>
        <v>0</v>
      </c>
      <c r="M69" s="313">
        <f>'P&amp;L - Concept B1 - RCCL'!F65</f>
        <v>1</v>
      </c>
      <c r="N69" s="313">
        <f>'P&amp;L - Concept B1 - RCCL'!G65</f>
        <v>2</v>
      </c>
      <c r="O69" s="313">
        <f>'P&amp;L - Concept B1 - RCCL'!H65</f>
        <v>2</v>
      </c>
      <c r="P69" s="313">
        <f>'P&amp;L - Concept B1 - RCCL'!I65</f>
        <v>2</v>
      </c>
      <c r="Q69" s="313">
        <f>'P&amp;L - Concept B1 - RCCL'!J65</f>
        <v>3</v>
      </c>
      <c r="R69" s="313">
        <f>'P&amp;L - Concept B1 - RCCL'!K65</f>
        <v>3</v>
      </c>
      <c r="S69" s="313">
        <f>'P&amp;L - Concept B1 - RCCL'!L65</f>
        <v>3</v>
      </c>
      <c r="T69" s="313">
        <f>'P&amp;L - Concept B1 - RCCL'!M65</f>
        <v>3</v>
      </c>
      <c r="U69" s="313">
        <f>'P&amp;L - Concept B1 - RCCL'!N65</f>
        <v>3</v>
      </c>
      <c r="V69" s="313">
        <f>'P&amp;L - Concept B1 - RCCL'!O65</f>
        <v>4</v>
      </c>
      <c r="W69" s="313">
        <f>'P&amp;L - Concept B1 - RCCL'!P65</f>
        <v>4</v>
      </c>
      <c r="X69" s="313">
        <f>'P&amp;L - Concept B1 - RCCL'!Q65</f>
        <v>4</v>
      </c>
      <c r="Y69" s="313">
        <f>'P&amp;L - Concept B1 - RCCL'!R65</f>
        <v>4</v>
      </c>
      <c r="Z69" s="313">
        <f>'P&amp;L - Concept B1 - RCCL'!S65</f>
        <v>4</v>
      </c>
      <c r="AA69" s="313">
        <f>'P&amp;L - Concept B1 - RCCL'!T65</f>
        <v>5</v>
      </c>
      <c r="AB69" s="313">
        <f>'P&amp;L - Concept B1 - RCCL'!U65</f>
        <v>5</v>
      </c>
      <c r="AC69" s="313">
        <f>'P&amp;L - Concept B1 - RCCL'!V65</f>
        <v>5</v>
      </c>
      <c r="AD69" s="313">
        <f>'P&amp;L - Concept B1 - RCCL'!W65</f>
        <v>5</v>
      </c>
      <c r="AE69" s="313">
        <f>'P&amp;L - Concept B1 - RCCL'!X65</f>
        <v>5</v>
      </c>
    </row>
    <row r="70" spans="1:32" s="96" customFormat="1">
      <c r="A70" s="96" t="s">
        <v>211</v>
      </c>
      <c r="K70" s="486">
        <f>'P&amp;L - Concept B1 - Carnival'!D66</f>
        <v>0</v>
      </c>
      <c r="L70" s="313">
        <f>'P&amp;L - Concept B1 - RCCL'!E66</f>
        <v>0</v>
      </c>
      <c r="M70" s="313">
        <f>'P&amp;L - Concept B1 - RCCL'!F66</f>
        <v>3</v>
      </c>
      <c r="N70" s="313">
        <f>'P&amp;L - Concept B1 - RCCL'!G66</f>
        <v>3</v>
      </c>
      <c r="O70" s="313">
        <f>'P&amp;L - Concept B1 - RCCL'!H66</f>
        <v>3</v>
      </c>
      <c r="P70" s="313">
        <f>'P&amp;L - Concept B1 - RCCL'!I66</f>
        <v>3</v>
      </c>
      <c r="Q70" s="313">
        <f>'P&amp;L - Concept B1 - RCCL'!J66</f>
        <v>3</v>
      </c>
      <c r="R70" s="313">
        <f>'P&amp;L - Concept B1 - RCCL'!K66</f>
        <v>3</v>
      </c>
      <c r="S70" s="313">
        <f>'P&amp;L - Concept B1 - RCCL'!L66</f>
        <v>3</v>
      </c>
      <c r="T70" s="313">
        <f>'P&amp;L - Concept B1 - RCCL'!M66</f>
        <v>3</v>
      </c>
      <c r="U70" s="313">
        <f>'P&amp;L - Concept B1 - RCCL'!N66</f>
        <v>3</v>
      </c>
      <c r="V70" s="313">
        <f>'P&amp;L - Concept B1 - RCCL'!O66</f>
        <v>3</v>
      </c>
      <c r="W70" s="313">
        <f>'P&amp;L - Concept B1 - RCCL'!P66</f>
        <v>3</v>
      </c>
      <c r="X70" s="313">
        <f>'P&amp;L - Concept B1 - RCCL'!Q66</f>
        <v>3</v>
      </c>
      <c r="Y70" s="313">
        <f>'P&amp;L - Concept B1 - RCCL'!R66</f>
        <v>3</v>
      </c>
      <c r="Z70" s="313">
        <f>'P&amp;L - Concept B1 - RCCL'!S66</f>
        <v>3</v>
      </c>
      <c r="AA70" s="313">
        <f>'P&amp;L - Concept B1 - RCCL'!T66</f>
        <v>3</v>
      </c>
      <c r="AB70" s="313">
        <f>'P&amp;L - Concept B1 - RCCL'!U66</f>
        <v>3</v>
      </c>
      <c r="AC70" s="313">
        <f>'P&amp;L - Concept B1 - RCCL'!V66</f>
        <v>3</v>
      </c>
      <c r="AD70" s="313">
        <f>'P&amp;L - Concept B1 - RCCL'!W66</f>
        <v>3</v>
      </c>
      <c r="AE70" s="313">
        <f>'P&amp;L - Concept B1 - RCCL'!X66</f>
        <v>3</v>
      </c>
    </row>
    <row r="71" spans="1:32" s="96" customFormat="1">
      <c r="K71" s="486"/>
      <c r="L71" s="435"/>
      <c r="M71" s="435"/>
      <c r="N71" s="435"/>
      <c r="O71" s="435"/>
      <c r="P71" s="435"/>
      <c r="Q71" s="435"/>
      <c r="R71" s="435"/>
      <c r="S71" s="435"/>
      <c r="T71" s="435"/>
      <c r="U71" s="435"/>
      <c r="V71" s="435"/>
      <c r="W71" s="435"/>
      <c r="X71" s="435"/>
      <c r="Y71" s="435"/>
      <c r="Z71" s="435"/>
      <c r="AA71" s="435"/>
      <c r="AB71" s="435"/>
      <c r="AC71" s="435"/>
      <c r="AD71" s="435"/>
      <c r="AE71" s="435"/>
    </row>
    <row r="72" spans="1:32" s="18" customFormat="1">
      <c r="A72" s="28"/>
      <c r="K72" s="486"/>
      <c r="L72" s="331"/>
      <c r="M72" s="333"/>
      <c r="N72" s="331"/>
      <c r="O72" s="331"/>
      <c r="P72" s="331"/>
      <c r="Q72" s="331"/>
      <c r="R72" s="331"/>
      <c r="S72" s="331"/>
      <c r="T72" s="331"/>
      <c r="U72" s="331"/>
      <c r="V72" s="331"/>
      <c r="W72" s="331"/>
      <c r="X72" s="331"/>
      <c r="Y72" s="331"/>
      <c r="Z72" s="331"/>
      <c r="AA72" s="331"/>
      <c r="AB72" s="331"/>
      <c r="AC72" s="331"/>
      <c r="AD72" s="331"/>
      <c r="AE72" s="331"/>
    </row>
    <row r="73" spans="1:32">
      <c r="A73" s="168" t="s">
        <v>131</v>
      </c>
      <c r="B73" s="168"/>
      <c r="C73" s="169"/>
      <c r="D73" s="170"/>
      <c r="E73" s="171"/>
      <c r="F73" s="171"/>
      <c r="G73" s="171"/>
      <c r="H73" s="171"/>
      <c r="I73" s="168"/>
      <c r="J73" s="171"/>
      <c r="K73" s="681"/>
      <c r="L73" s="314"/>
      <c r="M73" s="314"/>
      <c r="N73" s="314"/>
      <c r="O73" s="314"/>
      <c r="P73" s="314"/>
      <c r="Q73" s="314"/>
      <c r="R73" s="314"/>
      <c r="S73" s="314"/>
      <c r="T73" s="314"/>
      <c r="U73" s="314"/>
      <c r="V73" s="314"/>
      <c r="W73" s="314"/>
      <c r="X73" s="314"/>
      <c r="Y73" s="314"/>
      <c r="Z73" s="314"/>
      <c r="AA73" s="314"/>
      <c r="AB73" s="314"/>
      <c r="AC73" s="314"/>
      <c r="AD73" s="314"/>
      <c r="AE73" s="314"/>
    </row>
    <row r="74" spans="1:32" s="252" customFormat="1">
      <c r="A74" s="183"/>
      <c r="B74" s="183"/>
      <c r="C74" s="364"/>
      <c r="D74" s="365"/>
      <c r="E74" s="184"/>
      <c r="F74" s="184"/>
      <c r="G74" s="184"/>
      <c r="H74" s="184"/>
      <c r="I74" s="183"/>
      <c r="J74" s="184"/>
      <c r="K74" s="664"/>
      <c r="L74" s="366"/>
      <c r="M74" s="366"/>
      <c r="N74" s="366"/>
      <c r="O74" s="366"/>
      <c r="P74" s="366"/>
      <c r="Q74" s="366"/>
      <c r="R74" s="366"/>
      <c r="S74" s="366"/>
      <c r="T74" s="366"/>
      <c r="U74" s="366"/>
      <c r="V74" s="366"/>
      <c r="W74" s="366"/>
      <c r="X74" s="366"/>
      <c r="Y74" s="366"/>
      <c r="Z74" s="366"/>
      <c r="AA74" s="366"/>
      <c r="AB74" s="366"/>
      <c r="AC74" s="366"/>
      <c r="AD74" s="366"/>
      <c r="AE74" s="366"/>
    </row>
    <row r="75" spans="1:32">
      <c r="A75" s="41" t="s">
        <v>13</v>
      </c>
      <c r="B75" s="41"/>
      <c r="C75" s="105"/>
      <c r="D75" s="106"/>
      <c r="E75" s="37"/>
      <c r="F75" s="37"/>
      <c r="G75" s="37"/>
      <c r="H75" s="37"/>
      <c r="I75" s="41"/>
      <c r="J75" s="37"/>
      <c r="K75" s="683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</row>
    <row r="76" spans="1:32">
      <c r="A76" s="96" t="s">
        <v>418</v>
      </c>
      <c r="B76" s="735" t="s">
        <v>12</v>
      </c>
      <c r="C76" s="663">
        <v>75000</v>
      </c>
      <c r="D76" s="736">
        <f t="shared" ref="D76:D77" si="0">C76/2080</f>
        <v>36.057692307692307</v>
      </c>
      <c r="E76" s="663">
        <v>0</v>
      </c>
      <c r="F76" s="663">
        <f>(C76*$F$13)</f>
        <v>30000</v>
      </c>
      <c r="G76" s="663">
        <f>SUM(C76,E76:F76)</f>
        <v>105000</v>
      </c>
      <c r="H76" s="663"/>
      <c r="I76" s="736"/>
      <c r="J76" s="663"/>
      <c r="K76" s="683">
        <v>0</v>
      </c>
      <c r="L76" s="665">
        <v>0</v>
      </c>
      <c r="M76" s="666">
        <f>G76</f>
        <v>105000</v>
      </c>
      <c r="N76" s="666">
        <f>($G$76*L11)</f>
        <v>107100</v>
      </c>
      <c r="O76" s="666">
        <f t="shared" ref="O76:AE76" si="1">($G$76*M11)</f>
        <v>109242</v>
      </c>
      <c r="P76" s="666">
        <f t="shared" si="1"/>
        <v>111426.84</v>
      </c>
      <c r="Q76" s="666">
        <f t="shared" si="1"/>
        <v>113655.3768</v>
      </c>
      <c r="R76" s="666">
        <f t="shared" si="1"/>
        <v>115928.48433600001</v>
      </c>
      <c r="S76" s="666">
        <f t="shared" si="1"/>
        <v>118247.05402272001</v>
      </c>
      <c r="T76" s="666">
        <f t="shared" si="1"/>
        <v>120611.9951031744</v>
      </c>
      <c r="U76" s="666">
        <f t="shared" si="1"/>
        <v>123024.2350052379</v>
      </c>
      <c r="V76" s="666">
        <f t="shared" si="1"/>
        <v>125484.71970534266</v>
      </c>
      <c r="W76" s="666">
        <f t="shared" si="1"/>
        <v>127994.41409944952</v>
      </c>
      <c r="X76" s="666">
        <f t="shared" si="1"/>
        <v>130554.30238143851</v>
      </c>
      <c r="Y76" s="666">
        <f t="shared" si="1"/>
        <v>133165.38842906727</v>
      </c>
      <c r="Z76" s="666">
        <f t="shared" si="1"/>
        <v>135828.69619764862</v>
      </c>
      <c r="AA76" s="666">
        <f t="shared" si="1"/>
        <v>138545.27012160158</v>
      </c>
      <c r="AB76" s="666">
        <f t="shared" si="1"/>
        <v>141316.17552403364</v>
      </c>
      <c r="AC76" s="666">
        <f t="shared" si="1"/>
        <v>144142.4990345143</v>
      </c>
      <c r="AD76" s="666">
        <f t="shared" si="1"/>
        <v>147025.34901520461</v>
      </c>
      <c r="AE76" s="666">
        <f t="shared" si="1"/>
        <v>149965.8559955087</v>
      </c>
    </row>
    <row r="77" spans="1:32">
      <c r="A77" s="737" t="s">
        <v>417</v>
      </c>
      <c r="B77" s="738" t="s">
        <v>12</v>
      </c>
      <c r="C77" s="739">
        <v>35000</v>
      </c>
      <c r="D77" s="740">
        <f t="shared" si="0"/>
        <v>16.826923076923077</v>
      </c>
      <c r="E77" s="739">
        <v>0</v>
      </c>
      <c r="F77" s="739">
        <f t="shared" ref="F77" si="2">(C77*$F$13)</f>
        <v>14000</v>
      </c>
      <c r="G77" s="739">
        <f t="shared" ref="G77" si="3">SUM(C77,E77:F77)</f>
        <v>49000</v>
      </c>
      <c r="H77" s="739"/>
      <c r="I77" s="740"/>
      <c r="J77" s="739"/>
      <c r="K77" s="741">
        <v>0</v>
      </c>
      <c r="L77" s="742">
        <f>G77*0.25</f>
        <v>12250</v>
      </c>
      <c r="M77" s="742">
        <f>G77*0.5</f>
        <v>24500</v>
      </c>
      <c r="N77" s="742">
        <f>($G$77*0.5*L11)</f>
        <v>24990</v>
      </c>
      <c r="O77" s="742">
        <f t="shared" ref="O77:AE77" si="4">($G$77*0.5*M11)</f>
        <v>25489.8</v>
      </c>
      <c r="P77" s="742">
        <f t="shared" si="4"/>
        <v>25999.595999999998</v>
      </c>
      <c r="Q77" s="742">
        <f t="shared" si="4"/>
        <v>26519.587919999998</v>
      </c>
      <c r="R77" s="742">
        <f t="shared" si="4"/>
        <v>27049.979678399999</v>
      </c>
      <c r="S77" s="742">
        <f t="shared" si="4"/>
        <v>27590.979271968001</v>
      </c>
      <c r="T77" s="742">
        <f t="shared" si="4"/>
        <v>28142.798857407361</v>
      </c>
      <c r="U77" s="742">
        <f t="shared" si="4"/>
        <v>28705.654834555509</v>
      </c>
      <c r="V77" s="742">
        <f t="shared" si="4"/>
        <v>29279.767931246621</v>
      </c>
      <c r="W77" s="742">
        <f t="shared" si="4"/>
        <v>29865.363289871555</v>
      </c>
      <c r="X77" s="742">
        <f t="shared" si="4"/>
        <v>30462.670555668985</v>
      </c>
      <c r="Y77" s="742">
        <f t="shared" si="4"/>
        <v>31071.923966782364</v>
      </c>
      <c r="Z77" s="742">
        <f t="shared" si="4"/>
        <v>31693.362446118008</v>
      </c>
      <c r="AA77" s="742">
        <f t="shared" si="4"/>
        <v>32327.229695040372</v>
      </c>
      <c r="AB77" s="742">
        <f t="shared" si="4"/>
        <v>32973.774288941182</v>
      </c>
      <c r="AC77" s="742">
        <f t="shared" si="4"/>
        <v>33633.249774720003</v>
      </c>
      <c r="AD77" s="742">
        <f t="shared" si="4"/>
        <v>34305.914770214411</v>
      </c>
      <c r="AE77" s="742">
        <f t="shared" si="4"/>
        <v>34992.0330656187</v>
      </c>
    </row>
    <row r="78" spans="1:32" s="56" customFormat="1" ht="14.25">
      <c r="A78" s="164" t="s">
        <v>416</v>
      </c>
      <c r="B78" s="164"/>
      <c r="C78" s="667">
        <f>SUM(C76:C77)</f>
        <v>110000</v>
      </c>
      <c r="D78" s="667"/>
      <c r="E78" s="667">
        <f>SUM(E76:E77)</f>
        <v>0</v>
      </c>
      <c r="F78" s="667">
        <f>SUM(F76:F77)</f>
        <v>44000</v>
      </c>
      <c r="G78" s="667">
        <f>SUM(G76:G77)</f>
        <v>154000</v>
      </c>
      <c r="H78" s="667"/>
      <c r="I78" s="668"/>
      <c r="J78" s="667"/>
      <c r="K78" s="685">
        <f>SUMIF($B76:$B77,"FT",K76:K77)</f>
        <v>0</v>
      </c>
      <c r="L78" s="669">
        <f t="shared" ref="L78:AE78" si="5">SUM(L76:L77)</f>
        <v>12250</v>
      </c>
      <c r="M78" s="669">
        <f t="shared" si="5"/>
        <v>129500</v>
      </c>
      <c r="N78" s="669">
        <f t="shared" si="5"/>
        <v>132090</v>
      </c>
      <c r="O78" s="669">
        <f t="shared" si="5"/>
        <v>134731.79999999999</v>
      </c>
      <c r="P78" s="669">
        <f t="shared" si="5"/>
        <v>137426.43599999999</v>
      </c>
      <c r="Q78" s="669">
        <f t="shared" si="5"/>
        <v>140174.96471999999</v>
      </c>
      <c r="R78" s="669">
        <f t="shared" si="5"/>
        <v>142978.4640144</v>
      </c>
      <c r="S78" s="669">
        <f t="shared" si="5"/>
        <v>145838.03329468801</v>
      </c>
      <c r="T78" s="669">
        <f t="shared" si="5"/>
        <v>148754.79396058177</v>
      </c>
      <c r="U78" s="669">
        <f t="shared" si="5"/>
        <v>151729.88983979341</v>
      </c>
      <c r="V78" s="669">
        <f t="shared" si="5"/>
        <v>154764.48763658927</v>
      </c>
      <c r="W78" s="669">
        <f t="shared" si="5"/>
        <v>157859.77738932107</v>
      </c>
      <c r="X78" s="669">
        <f t="shared" si="5"/>
        <v>161016.97293710749</v>
      </c>
      <c r="Y78" s="669">
        <f t="shared" si="5"/>
        <v>164237.31239584964</v>
      </c>
      <c r="Z78" s="669">
        <f t="shared" si="5"/>
        <v>167522.05864376662</v>
      </c>
      <c r="AA78" s="669">
        <f t="shared" si="5"/>
        <v>170872.49981664197</v>
      </c>
      <c r="AB78" s="669">
        <f t="shared" si="5"/>
        <v>174289.94981297481</v>
      </c>
      <c r="AC78" s="669">
        <f t="shared" si="5"/>
        <v>177775.7488092343</v>
      </c>
      <c r="AD78" s="669">
        <f t="shared" si="5"/>
        <v>181331.26378541903</v>
      </c>
      <c r="AE78" s="669">
        <f t="shared" si="5"/>
        <v>184957.88906112738</v>
      </c>
    </row>
    <row r="79" spans="1:32" s="56" customFormat="1" ht="14.25">
      <c r="A79" s="164"/>
      <c r="B79" s="164"/>
      <c r="C79" s="667"/>
      <c r="D79" s="667"/>
      <c r="E79" s="667"/>
      <c r="F79" s="667"/>
      <c r="G79" s="667"/>
      <c r="H79" s="667"/>
      <c r="I79" s="668"/>
      <c r="J79" s="667"/>
      <c r="K79" s="685"/>
      <c r="L79" s="669"/>
      <c r="M79" s="669"/>
      <c r="N79" s="669"/>
      <c r="O79" s="669"/>
      <c r="P79" s="669"/>
      <c r="Q79" s="669"/>
      <c r="R79" s="669"/>
      <c r="S79" s="669"/>
      <c r="T79" s="669"/>
      <c r="U79" s="669"/>
      <c r="V79" s="669"/>
      <c r="W79" s="669"/>
      <c r="X79" s="669"/>
      <c r="Y79" s="669"/>
      <c r="Z79" s="669"/>
      <c r="AA79" s="669"/>
      <c r="AB79" s="669"/>
      <c r="AC79" s="669"/>
      <c r="AD79" s="669"/>
      <c r="AE79" s="669"/>
    </row>
    <row r="80" spans="1:32">
      <c r="A80" s="37" t="s">
        <v>411</v>
      </c>
      <c r="B80" s="37"/>
      <c r="C80" s="57"/>
      <c r="E80" s="57"/>
      <c r="F80" s="57"/>
      <c r="G80" s="57"/>
      <c r="H80" s="57"/>
      <c r="I80" s="43"/>
      <c r="J80" s="42"/>
      <c r="K80" s="743">
        <f t="shared" ref="K80:AE80" si="6">COUNTIF(K76:K77,"&gt;100")</f>
        <v>0</v>
      </c>
      <c r="L80" s="496">
        <f t="shared" si="6"/>
        <v>1</v>
      </c>
      <c r="M80" s="496">
        <f t="shared" si="6"/>
        <v>2</v>
      </c>
      <c r="N80" s="496">
        <f t="shared" si="6"/>
        <v>2</v>
      </c>
      <c r="O80" s="496">
        <f t="shared" si="6"/>
        <v>2</v>
      </c>
      <c r="P80" s="496">
        <f t="shared" si="6"/>
        <v>2</v>
      </c>
      <c r="Q80" s="496">
        <f t="shared" si="6"/>
        <v>2</v>
      </c>
      <c r="R80" s="496">
        <f t="shared" si="6"/>
        <v>2</v>
      </c>
      <c r="S80" s="496">
        <f t="shared" si="6"/>
        <v>2</v>
      </c>
      <c r="T80" s="496">
        <f t="shared" si="6"/>
        <v>2</v>
      </c>
      <c r="U80" s="496">
        <f t="shared" si="6"/>
        <v>2</v>
      </c>
      <c r="V80" s="496">
        <f t="shared" si="6"/>
        <v>2</v>
      </c>
      <c r="W80" s="496">
        <f t="shared" si="6"/>
        <v>2</v>
      </c>
      <c r="X80" s="496">
        <f t="shared" si="6"/>
        <v>2</v>
      </c>
      <c r="Y80" s="496">
        <f t="shared" si="6"/>
        <v>2</v>
      </c>
      <c r="Z80" s="496">
        <f t="shared" si="6"/>
        <v>2</v>
      </c>
      <c r="AA80" s="496">
        <f t="shared" si="6"/>
        <v>2</v>
      </c>
      <c r="AB80" s="496">
        <f t="shared" si="6"/>
        <v>2</v>
      </c>
      <c r="AC80" s="496">
        <f t="shared" si="6"/>
        <v>2</v>
      </c>
      <c r="AD80" s="496">
        <f t="shared" si="6"/>
        <v>2</v>
      </c>
      <c r="AE80" s="496">
        <f t="shared" si="6"/>
        <v>2</v>
      </c>
      <c r="AF80" s="744"/>
    </row>
    <row r="81" spans="1:35">
      <c r="A81" s="745" t="s">
        <v>412</v>
      </c>
      <c r="B81" s="745"/>
      <c r="C81" s="746"/>
      <c r="D81" s="116"/>
      <c r="E81" s="746"/>
      <c r="F81" s="746"/>
      <c r="G81" s="746"/>
      <c r="H81" s="746"/>
      <c r="I81" s="747"/>
      <c r="J81" s="748"/>
      <c r="K81" s="749">
        <f t="shared" ref="K81" si="7">K82-K80</f>
        <v>0</v>
      </c>
      <c r="L81" s="750">
        <v>0</v>
      </c>
      <c r="M81" s="750">
        <f>L81</f>
        <v>0</v>
      </c>
      <c r="N81" s="750">
        <f t="shared" ref="N81:AE81" si="8">M81</f>
        <v>0</v>
      </c>
      <c r="O81" s="750">
        <f t="shared" si="8"/>
        <v>0</v>
      </c>
      <c r="P81" s="750">
        <f t="shared" si="8"/>
        <v>0</v>
      </c>
      <c r="Q81" s="750">
        <f t="shared" si="8"/>
        <v>0</v>
      </c>
      <c r="R81" s="750">
        <f t="shared" si="8"/>
        <v>0</v>
      </c>
      <c r="S81" s="750">
        <f t="shared" si="8"/>
        <v>0</v>
      </c>
      <c r="T81" s="750">
        <f t="shared" si="8"/>
        <v>0</v>
      </c>
      <c r="U81" s="750">
        <f t="shared" si="8"/>
        <v>0</v>
      </c>
      <c r="V81" s="750">
        <f t="shared" si="8"/>
        <v>0</v>
      </c>
      <c r="W81" s="750">
        <f t="shared" si="8"/>
        <v>0</v>
      </c>
      <c r="X81" s="750">
        <f t="shared" si="8"/>
        <v>0</v>
      </c>
      <c r="Y81" s="750">
        <f t="shared" si="8"/>
        <v>0</v>
      </c>
      <c r="Z81" s="750">
        <f t="shared" si="8"/>
        <v>0</v>
      </c>
      <c r="AA81" s="750">
        <f t="shared" si="8"/>
        <v>0</v>
      </c>
      <c r="AB81" s="750">
        <f t="shared" si="8"/>
        <v>0</v>
      </c>
      <c r="AC81" s="750">
        <f t="shared" si="8"/>
        <v>0</v>
      </c>
      <c r="AD81" s="750">
        <f t="shared" si="8"/>
        <v>0</v>
      </c>
      <c r="AE81" s="750">
        <f t="shared" si="8"/>
        <v>0</v>
      </c>
    </row>
    <row r="82" spans="1:35" s="56" customFormat="1" ht="14.25">
      <c r="A82" s="164" t="s">
        <v>413</v>
      </c>
      <c r="B82" s="164"/>
      <c r="C82" s="75"/>
      <c r="D82" s="173"/>
      <c r="E82" s="75"/>
      <c r="F82" s="75"/>
      <c r="G82" s="75"/>
      <c r="H82" s="75"/>
      <c r="I82" s="174"/>
      <c r="J82" s="181"/>
      <c r="K82" s="751">
        <f>COUNTIF(K76:K77,"&gt;0")</f>
        <v>0</v>
      </c>
      <c r="L82" s="752">
        <f>SUM(L80:L81)</f>
        <v>1</v>
      </c>
      <c r="M82" s="752">
        <f t="shared" ref="M82:AE82" si="9">SUM(M80:M81)</f>
        <v>2</v>
      </c>
      <c r="N82" s="752">
        <f t="shared" si="9"/>
        <v>2</v>
      </c>
      <c r="O82" s="752">
        <f t="shared" si="9"/>
        <v>2</v>
      </c>
      <c r="P82" s="752">
        <f t="shared" si="9"/>
        <v>2</v>
      </c>
      <c r="Q82" s="752">
        <f t="shared" si="9"/>
        <v>2</v>
      </c>
      <c r="R82" s="752">
        <f t="shared" si="9"/>
        <v>2</v>
      </c>
      <c r="S82" s="752">
        <f t="shared" si="9"/>
        <v>2</v>
      </c>
      <c r="T82" s="752">
        <f t="shared" si="9"/>
        <v>2</v>
      </c>
      <c r="U82" s="752">
        <f t="shared" si="9"/>
        <v>2</v>
      </c>
      <c r="V82" s="752">
        <f t="shared" si="9"/>
        <v>2</v>
      </c>
      <c r="W82" s="752">
        <f t="shared" si="9"/>
        <v>2</v>
      </c>
      <c r="X82" s="752">
        <f t="shared" si="9"/>
        <v>2</v>
      </c>
      <c r="Y82" s="752">
        <f t="shared" si="9"/>
        <v>2</v>
      </c>
      <c r="Z82" s="752">
        <f t="shared" si="9"/>
        <v>2</v>
      </c>
      <c r="AA82" s="752">
        <f t="shared" si="9"/>
        <v>2</v>
      </c>
      <c r="AB82" s="752">
        <f t="shared" si="9"/>
        <v>2</v>
      </c>
      <c r="AC82" s="752">
        <f t="shared" si="9"/>
        <v>2</v>
      </c>
      <c r="AD82" s="752">
        <f t="shared" si="9"/>
        <v>2</v>
      </c>
      <c r="AE82" s="752">
        <f t="shared" si="9"/>
        <v>2</v>
      </c>
    </row>
    <row r="83" spans="1:35" s="56" customFormat="1" ht="14.25">
      <c r="A83" s="164"/>
      <c r="B83" s="164"/>
      <c r="C83" s="75"/>
      <c r="D83" s="173"/>
      <c r="E83" s="75"/>
      <c r="F83" s="75"/>
      <c r="G83" s="75"/>
      <c r="H83" s="75"/>
      <c r="I83" s="174"/>
      <c r="J83" s="181"/>
      <c r="K83" s="685"/>
      <c r="L83" s="315"/>
      <c r="M83" s="315"/>
      <c r="N83" s="315"/>
      <c r="O83" s="315"/>
      <c r="P83" s="315"/>
      <c r="Q83" s="315"/>
      <c r="R83" s="315"/>
      <c r="S83" s="315"/>
      <c r="T83" s="315"/>
      <c r="U83" s="315"/>
      <c r="V83" s="315"/>
      <c r="W83" s="315"/>
      <c r="X83" s="315"/>
      <c r="Y83" s="315"/>
      <c r="Z83" s="315"/>
      <c r="AA83" s="315"/>
      <c r="AB83" s="315"/>
      <c r="AC83" s="315"/>
      <c r="AD83" s="315"/>
      <c r="AE83" s="315"/>
    </row>
    <row r="84" spans="1:35">
      <c r="A84" s="48" t="s">
        <v>68</v>
      </c>
      <c r="B84" s="48"/>
      <c r="C84" s="77"/>
      <c r="D84" s="76"/>
      <c r="E84" s="57"/>
      <c r="F84" s="57"/>
      <c r="G84" s="77"/>
      <c r="H84" s="77"/>
      <c r="I84" s="50"/>
      <c r="J84" s="49"/>
      <c r="K84" s="683"/>
      <c r="L84" s="316"/>
      <c r="M84" s="316"/>
      <c r="N84" s="316"/>
      <c r="O84" s="316"/>
      <c r="P84" s="316"/>
      <c r="Q84" s="316"/>
      <c r="R84" s="316"/>
      <c r="S84" s="316"/>
      <c r="T84" s="316"/>
      <c r="U84" s="316"/>
      <c r="V84" s="316"/>
      <c r="W84" s="316"/>
      <c r="X84" s="316"/>
      <c r="Y84" s="316"/>
      <c r="Z84" s="316"/>
      <c r="AA84" s="316"/>
      <c r="AB84" s="316"/>
      <c r="AC84" s="316"/>
      <c r="AD84" s="316"/>
      <c r="AE84" s="316"/>
    </row>
    <row r="85" spans="1:35" s="68" customFormat="1" ht="14.25">
      <c r="A85" s="214" t="s">
        <v>80</v>
      </c>
      <c r="B85" s="189"/>
      <c r="C85" s="209"/>
      <c r="D85" s="210"/>
      <c r="E85" s="211"/>
      <c r="F85" s="211"/>
      <c r="G85" s="209"/>
      <c r="H85" s="209"/>
      <c r="I85" s="213"/>
      <c r="J85" s="212"/>
      <c r="K85" s="686"/>
      <c r="L85" s="317"/>
      <c r="M85" s="317"/>
      <c r="N85" s="317"/>
      <c r="O85" s="317"/>
      <c r="P85" s="317"/>
      <c r="Q85" s="317"/>
      <c r="R85" s="317"/>
      <c r="S85" s="317"/>
      <c r="T85" s="317"/>
      <c r="U85" s="317"/>
      <c r="V85" s="317"/>
      <c r="W85" s="317"/>
      <c r="X85" s="317"/>
      <c r="Y85" s="317"/>
      <c r="Z85" s="317"/>
      <c r="AA85" s="317"/>
      <c r="AB85" s="317"/>
      <c r="AC85" s="317"/>
      <c r="AD85" s="317"/>
      <c r="AE85" s="317"/>
    </row>
    <row r="86" spans="1:35">
      <c r="A86" s="37" t="s">
        <v>41</v>
      </c>
      <c r="B86" s="37"/>
      <c r="C86" s="110"/>
      <c r="D86" s="106"/>
      <c r="E86" s="57"/>
      <c r="F86" s="57"/>
      <c r="G86" s="57"/>
      <c r="H86" s="57"/>
      <c r="I86" s="51"/>
      <c r="J86" s="663"/>
      <c r="K86" s="683">
        <f>K$82*$J86*R$9</f>
        <v>0</v>
      </c>
      <c r="L86" s="666">
        <v>25000</v>
      </c>
      <c r="M86" s="666">
        <v>1000</v>
      </c>
      <c r="N86" s="666">
        <f>$M$86*L11</f>
        <v>1020</v>
      </c>
      <c r="O86" s="666">
        <f t="shared" ref="O86:AE86" si="10">$M$86*M11</f>
        <v>1040.4000000000001</v>
      </c>
      <c r="P86" s="666">
        <f t="shared" si="10"/>
        <v>1061.2079999999999</v>
      </c>
      <c r="Q86" s="666">
        <f t="shared" si="10"/>
        <v>1082.4321600000001</v>
      </c>
      <c r="R86" s="666">
        <f t="shared" si="10"/>
        <v>1104.0808032</v>
      </c>
      <c r="S86" s="666">
        <f t="shared" si="10"/>
        <v>1126.1624192640002</v>
      </c>
      <c r="T86" s="666">
        <f t="shared" si="10"/>
        <v>1148.68566764928</v>
      </c>
      <c r="U86" s="666">
        <f t="shared" si="10"/>
        <v>1171.6593810022657</v>
      </c>
      <c r="V86" s="666">
        <v>25000</v>
      </c>
      <c r="W86" s="666">
        <f t="shared" si="10"/>
        <v>1218.9944199947574</v>
      </c>
      <c r="X86" s="666">
        <f t="shared" si="10"/>
        <v>1243.3743083946524</v>
      </c>
      <c r="Y86" s="666">
        <f t="shared" si="10"/>
        <v>1268.2417945625455</v>
      </c>
      <c r="Z86" s="666">
        <f t="shared" si="10"/>
        <v>1293.6066304537962</v>
      </c>
      <c r="AA86" s="666">
        <f t="shared" si="10"/>
        <v>1319.4787630628723</v>
      </c>
      <c r="AB86" s="666">
        <f t="shared" si="10"/>
        <v>1345.8683383241298</v>
      </c>
      <c r="AC86" s="666">
        <f t="shared" si="10"/>
        <v>1372.7857050906125</v>
      </c>
      <c r="AD86" s="666">
        <f t="shared" si="10"/>
        <v>1400.2414191924249</v>
      </c>
      <c r="AE86" s="666">
        <f t="shared" si="10"/>
        <v>1428.2462475762734</v>
      </c>
    </row>
    <row r="87" spans="1:35">
      <c r="A87" s="37" t="s">
        <v>424</v>
      </c>
      <c r="B87" s="37"/>
      <c r="C87" s="110"/>
      <c r="D87" s="106"/>
      <c r="E87" s="57"/>
      <c r="F87" s="57"/>
      <c r="G87" s="57"/>
      <c r="H87" s="57"/>
      <c r="I87" s="51"/>
      <c r="J87" s="663"/>
      <c r="K87" s="683">
        <f>K$82*$J87*R$9</f>
        <v>0</v>
      </c>
      <c r="L87" s="666">
        <v>10000</v>
      </c>
      <c r="M87" s="666">
        <v>500</v>
      </c>
      <c r="N87" s="666">
        <f>$M$87*M11</f>
        <v>520.20000000000005</v>
      </c>
      <c r="O87" s="666">
        <f>$M$87*N11</f>
        <v>530.60399999999993</v>
      </c>
      <c r="P87" s="666">
        <f>$M$87*O11</f>
        <v>541.21608000000003</v>
      </c>
      <c r="Q87" s="666">
        <v>5000</v>
      </c>
      <c r="R87" s="666">
        <f>$M$87*Q11</f>
        <v>563.08120963200008</v>
      </c>
      <c r="S87" s="666">
        <f>$M$87*R11</f>
        <v>574.34283382464002</v>
      </c>
      <c r="T87" s="666">
        <f>$M$87*S11</f>
        <v>585.82969050113286</v>
      </c>
      <c r="U87" s="666">
        <f>$M$87*T11</f>
        <v>597.54628431115555</v>
      </c>
      <c r="V87" s="666">
        <v>5000</v>
      </c>
      <c r="W87" s="666">
        <f>$M$87*V11</f>
        <v>621.68715419732621</v>
      </c>
      <c r="X87" s="666">
        <f>$M$87*W11</f>
        <v>634.12089728127273</v>
      </c>
      <c r="Y87" s="666">
        <f>$M$87*X11</f>
        <v>646.80331522689812</v>
      </c>
      <c r="Z87" s="666">
        <f>$M$87*Y11</f>
        <v>659.73938153143615</v>
      </c>
      <c r="AA87" s="666">
        <v>5000</v>
      </c>
      <c r="AB87" s="666">
        <f>$M$87*AA11</f>
        <v>686.39285254530625</v>
      </c>
      <c r="AC87" s="666">
        <f>$M$87*AB11</f>
        <v>700.12070959621246</v>
      </c>
      <c r="AD87" s="666">
        <f>$M$87*AC11</f>
        <v>714.1231237881367</v>
      </c>
      <c r="AE87" s="666">
        <f>$M$87*AD11</f>
        <v>728.40558626389941</v>
      </c>
    </row>
    <row r="88" spans="1:35">
      <c r="A88" s="37" t="s">
        <v>42</v>
      </c>
      <c r="B88" s="37"/>
      <c r="C88" s="110"/>
      <c r="D88" s="106"/>
      <c r="E88" s="57"/>
      <c r="F88" s="57"/>
      <c r="G88" s="57"/>
      <c r="H88" s="57"/>
      <c r="I88" s="51"/>
      <c r="J88" s="663"/>
      <c r="K88" s="683">
        <f>K$82*$J88*R$9</f>
        <v>0</v>
      </c>
      <c r="L88" s="666">
        <v>50000</v>
      </c>
      <c r="M88" s="666">
        <f t="shared" ref="M88:AE88" si="11">($L$88*L11)</f>
        <v>51000</v>
      </c>
      <c r="N88" s="666">
        <f t="shared" si="11"/>
        <v>52020</v>
      </c>
      <c r="O88" s="666">
        <f t="shared" si="11"/>
        <v>53060.399999999994</v>
      </c>
      <c r="P88" s="666">
        <f t="shared" si="11"/>
        <v>54121.608</v>
      </c>
      <c r="Q88" s="666">
        <f t="shared" si="11"/>
        <v>55204.040160000004</v>
      </c>
      <c r="R88" s="666">
        <f t="shared" si="11"/>
        <v>56308.120963200003</v>
      </c>
      <c r="S88" s="666">
        <f t="shared" si="11"/>
        <v>57434.283382464004</v>
      </c>
      <c r="T88" s="666">
        <f t="shared" si="11"/>
        <v>58582.969050113286</v>
      </c>
      <c r="U88" s="666">
        <f t="shared" si="11"/>
        <v>59754.628431115554</v>
      </c>
      <c r="V88" s="666">
        <f t="shared" si="11"/>
        <v>60949.720999737867</v>
      </c>
      <c r="W88" s="666">
        <f t="shared" si="11"/>
        <v>62168.715419732624</v>
      </c>
      <c r="X88" s="666">
        <f t="shared" si="11"/>
        <v>63412.089728127277</v>
      </c>
      <c r="Y88" s="666">
        <f t="shared" si="11"/>
        <v>64680.331522689812</v>
      </c>
      <c r="Z88" s="666">
        <f t="shared" si="11"/>
        <v>65973.938153143623</v>
      </c>
      <c r="AA88" s="666">
        <f t="shared" si="11"/>
        <v>67293.416916206494</v>
      </c>
      <c r="AB88" s="666">
        <f t="shared" si="11"/>
        <v>68639.285254530623</v>
      </c>
      <c r="AC88" s="666">
        <f t="shared" si="11"/>
        <v>70012.07095962124</v>
      </c>
      <c r="AD88" s="666">
        <f t="shared" si="11"/>
        <v>71412.312378813673</v>
      </c>
      <c r="AE88" s="666">
        <f t="shared" si="11"/>
        <v>72840.558626389946</v>
      </c>
    </row>
    <row r="89" spans="1:35">
      <c r="A89" s="37" t="s">
        <v>43</v>
      </c>
      <c r="B89" s="37"/>
      <c r="C89" s="110"/>
      <c r="D89" s="106"/>
      <c r="E89" s="57"/>
      <c r="F89" s="57"/>
      <c r="G89" s="57"/>
      <c r="H89" s="57"/>
      <c r="I89" s="51" t="s">
        <v>8</v>
      </c>
      <c r="J89" s="663">
        <v>500</v>
      </c>
      <c r="K89" s="683">
        <v>0</v>
      </c>
      <c r="L89" s="666">
        <f>J89*L82</f>
        <v>500</v>
      </c>
      <c r="M89" s="666">
        <f t="shared" ref="M89:AE89" si="12">$J$89*M82*L11</f>
        <v>1020</v>
      </c>
      <c r="N89" s="666">
        <f t="shared" si="12"/>
        <v>1040.4000000000001</v>
      </c>
      <c r="O89" s="666">
        <f t="shared" si="12"/>
        <v>1061.2079999999999</v>
      </c>
      <c r="P89" s="666">
        <f t="shared" si="12"/>
        <v>1082.4321600000001</v>
      </c>
      <c r="Q89" s="666">
        <f t="shared" si="12"/>
        <v>1104.0808032</v>
      </c>
      <c r="R89" s="666">
        <f t="shared" si="12"/>
        <v>1126.1624192640002</v>
      </c>
      <c r="S89" s="666">
        <f t="shared" si="12"/>
        <v>1148.68566764928</v>
      </c>
      <c r="T89" s="666">
        <f t="shared" si="12"/>
        <v>1171.6593810022657</v>
      </c>
      <c r="U89" s="666">
        <f t="shared" si="12"/>
        <v>1195.0925686223111</v>
      </c>
      <c r="V89" s="666">
        <f t="shared" si="12"/>
        <v>1218.9944199947574</v>
      </c>
      <c r="W89" s="666">
        <f t="shared" si="12"/>
        <v>1243.3743083946524</v>
      </c>
      <c r="X89" s="666">
        <f t="shared" si="12"/>
        <v>1268.2417945625455</v>
      </c>
      <c r="Y89" s="666">
        <f t="shared" si="12"/>
        <v>1293.6066304537962</v>
      </c>
      <c r="Z89" s="666">
        <f t="shared" si="12"/>
        <v>1319.4787630628723</v>
      </c>
      <c r="AA89" s="666">
        <f t="shared" si="12"/>
        <v>1345.8683383241298</v>
      </c>
      <c r="AB89" s="666">
        <f t="shared" si="12"/>
        <v>1372.7857050906125</v>
      </c>
      <c r="AC89" s="666">
        <f t="shared" si="12"/>
        <v>1400.2414191924249</v>
      </c>
      <c r="AD89" s="666">
        <f t="shared" si="12"/>
        <v>1428.2462475762734</v>
      </c>
      <c r="AE89" s="666">
        <f t="shared" si="12"/>
        <v>1456.8111725277988</v>
      </c>
    </row>
    <row r="90" spans="1:35">
      <c r="A90" s="37" t="s">
        <v>44</v>
      </c>
      <c r="B90" s="37"/>
      <c r="C90" s="110"/>
      <c r="D90" s="106"/>
      <c r="E90" s="57"/>
      <c r="F90" s="57"/>
      <c r="G90" s="57"/>
      <c r="H90" s="57"/>
      <c r="I90" s="51" t="s">
        <v>8</v>
      </c>
      <c r="J90" s="663">
        <v>250</v>
      </c>
      <c r="K90" s="683">
        <v>0</v>
      </c>
      <c r="L90" s="666">
        <f>J90*L82</f>
        <v>250</v>
      </c>
      <c r="M90" s="666">
        <f t="shared" ref="M90:AE90" si="13">$J$90*M82*L11</f>
        <v>510</v>
      </c>
      <c r="N90" s="666">
        <f t="shared" si="13"/>
        <v>520.20000000000005</v>
      </c>
      <c r="O90" s="666">
        <f t="shared" si="13"/>
        <v>530.60399999999993</v>
      </c>
      <c r="P90" s="666">
        <f t="shared" si="13"/>
        <v>541.21608000000003</v>
      </c>
      <c r="Q90" s="666">
        <f t="shared" si="13"/>
        <v>552.0404016</v>
      </c>
      <c r="R90" s="666">
        <f t="shared" si="13"/>
        <v>563.08120963200008</v>
      </c>
      <c r="S90" s="666">
        <f t="shared" si="13"/>
        <v>574.34283382464002</v>
      </c>
      <c r="T90" s="666">
        <f t="shared" si="13"/>
        <v>585.82969050113286</v>
      </c>
      <c r="U90" s="666">
        <f t="shared" si="13"/>
        <v>597.54628431115555</v>
      </c>
      <c r="V90" s="666">
        <f t="shared" si="13"/>
        <v>609.49720999737872</v>
      </c>
      <c r="W90" s="666">
        <f t="shared" si="13"/>
        <v>621.68715419732621</v>
      </c>
      <c r="X90" s="666">
        <f t="shared" si="13"/>
        <v>634.12089728127273</v>
      </c>
      <c r="Y90" s="666">
        <f t="shared" si="13"/>
        <v>646.80331522689812</v>
      </c>
      <c r="Z90" s="666">
        <f t="shared" si="13"/>
        <v>659.73938153143615</v>
      </c>
      <c r="AA90" s="666">
        <f t="shared" si="13"/>
        <v>672.9341691620649</v>
      </c>
      <c r="AB90" s="666">
        <f t="shared" si="13"/>
        <v>686.39285254530625</v>
      </c>
      <c r="AC90" s="666">
        <f t="shared" si="13"/>
        <v>700.12070959621246</v>
      </c>
      <c r="AD90" s="666">
        <f t="shared" si="13"/>
        <v>714.1231237881367</v>
      </c>
      <c r="AE90" s="666">
        <f t="shared" si="13"/>
        <v>728.40558626389941</v>
      </c>
      <c r="AF90" s="44"/>
    </row>
    <row r="91" spans="1:35">
      <c r="A91" s="745" t="s">
        <v>2</v>
      </c>
      <c r="B91" s="745"/>
      <c r="C91" s="753"/>
      <c r="D91" s="754"/>
      <c r="E91" s="746"/>
      <c r="F91" s="746"/>
      <c r="G91" s="746"/>
      <c r="H91" s="746"/>
      <c r="I91" s="755"/>
      <c r="J91" s="739"/>
      <c r="K91" s="741">
        <v>0</v>
      </c>
      <c r="L91" s="742">
        <v>1000</v>
      </c>
      <c r="M91" s="742">
        <f t="shared" ref="M91:AE91" si="14">($L$91*L11)</f>
        <v>1020</v>
      </c>
      <c r="N91" s="742">
        <f t="shared" si="14"/>
        <v>1040.4000000000001</v>
      </c>
      <c r="O91" s="742">
        <f t="shared" si="14"/>
        <v>1061.2079999999999</v>
      </c>
      <c r="P91" s="742">
        <f t="shared" si="14"/>
        <v>1082.4321600000001</v>
      </c>
      <c r="Q91" s="742">
        <f t="shared" si="14"/>
        <v>1104.0808032</v>
      </c>
      <c r="R91" s="742">
        <f t="shared" si="14"/>
        <v>1126.1624192640002</v>
      </c>
      <c r="S91" s="742">
        <f t="shared" si="14"/>
        <v>1148.68566764928</v>
      </c>
      <c r="T91" s="742">
        <f t="shared" si="14"/>
        <v>1171.6593810022657</v>
      </c>
      <c r="U91" s="742">
        <f t="shared" si="14"/>
        <v>1195.0925686223111</v>
      </c>
      <c r="V91" s="742">
        <f t="shared" si="14"/>
        <v>1218.9944199947574</v>
      </c>
      <c r="W91" s="742">
        <f t="shared" si="14"/>
        <v>1243.3743083946524</v>
      </c>
      <c r="X91" s="742">
        <f t="shared" si="14"/>
        <v>1268.2417945625455</v>
      </c>
      <c r="Y91" s="742">
        <f t="shared" si="14"/>
        <v>1293.6066304537962</v>
      </c>
      <c r="Z91" s="742">
        <f t="shared" si="14"/>
        <v>1319.4787630628723</v>
      </c>
      <c r="AA91" s="742">
        <f t="shared" si="14"/>
        <v>1345.8683383241298</v>
      </c>
      <c r="AB91" s="742">
        <f t="shared" si="14"/>
        <v>1372.7857050906125</v>
      </c>
      <c r="AC91" s="742">
        <f t="shared" si="14"/>
        <v>1400.2414191924249</v>
      </c>
      <c r="AD91" s="742">
        <f t="shared" si="14"/>
        <v>1428.2462475762734</v>
      </c>
      <c r="AE91" s="742">
        <f t="shared" si="14"/>
        <v>1456.8111725277988</v>
      </c>
    </row>
    <row r="92" spans="1:35" s="56" customFormat="1" ht="14.25">
      <c r="A92" s="164" t="s">
        <v>409</v>
      </c>
      <c r="B92" s="215"/>
      <c r="C92" s="216"/>
      <c r="D92" s="217"/>
      <c r="E92" s="218"/>
      <c r="F92" s="218"/>
      <c r="G92" s="218"/>
      <c r="H92" s="218"/>
      <c r="I92" s="219"/>
      <c r="J92" s="756"/>
      <c r="K92" s="687">
        <f>SUM(K86:K91)</f>
        <v>0</v>
      </c>
      <c r="L92" s="757">
        <f>SUM(L86:L91)</f>
        <v>86750</v>
      </c>
      <c r="M92" s="757">
        <f t="shared" ref="M92:AE92" si="15">SUM(M86:M91)</f>
        <v>55050</v>
      </c>
      <c r="N92" s="757">
        <f t="shared" si="15"/>
        <v>56161.2</v>
      </c>
      <c r="O92" s="757">
        <f t="shared" si="15"/>
        <v>57284.423999999992</v>
      </c>
      <c r="P92" s="757">
        <f t="shared" si="15"/>
        <v>58430.112479999989</v>
      </c>
      <c r="Q92" s="757">
        <f t="shared" si="15"/>
        <v>64046.674328000001</v>
      </c>
      <c r="R92" s="757">
        <f t="shared" si="15"/>
        <v>60790.689024192005</v>
      </c>
      <c r="S92" s="757">
        <f t="shared" si="15"/>
        <v>62006.502804675845</v>
      </c>
      <c r="T92" s="757">
        <f t="shared" si="15"/>
        <v>63246.632860769365</v>
      </c>
      <c r="U92" s="757">
        <f t="shared" si="15"/>
        <v>64511.565517984753</v>
      </c>
      <c r="V92" s="757">
        <f t="shared" si="15"/>
        <v>93997.207049724777</v>
      </c>
      <c r="W92" s="757">
        <f t="shared" si="15"/>
        <v>67117.832764911334</v>
      </c>
      <c r="X92" s="757">
        <f t="shared" si="15"/>
        <v>68460.189420209572</v>
      </c>
      <c r="Y92" s="757">
        <f t="shared" si="15"/>
        <v>69829.39320861375</v>
      </c>
      <c r="Z92" s="757">
        <f t="shared" si="15"/>
        <v>71225.981072786046</v>
      </c>
      <c r="AA92" s="757">
        <f t="shared" si="15"/>
        <v>76977.566525079688</v>
      </c>
      <c r="AB92" s="757">
        <f t="shared" si="15"/>
        <v>74103.510708126603</v>
      </c>
      <c r="AC92" s="757">
        <f t="shared" si="15"/>
        <v>75585.580922289111</v>
      </c>
      <c r="AD92" s="757">
        <f t="shared" si="15"/>
        <v>77097.292540734925</v>
      </c>
      <c r="AE92" s="757">
        <f t="shared" si="15"/>
        <v>78639.238391549618</v>
      </c>
    </row>
    <row r="93" spans="1:35" s="56" customFormat="1" ht="14.25">
      <c r="A93" s="164"/>
      <c r="B93" s="215"/>
      <c r="C93" s="216"/>
      <c r="D93" s="217"/>
      <c r="E93" s="218"/>
      <c r="F93" s="218"/>
      <c r="G93" s="218"/>
      <c r="H93" s="218"/>
      <c r="I93" s="219"/>
      <c r="J93" s="220"/>
      <c r="K93" s="687"/>
      <c r="L93" s="318"/>
      <c r="M93" s="318"/>
      <c r="N93" s="318"/>
      <c r="O93" s="318"/>
      <c r="P93" s="318"/>
      <c r="Q93" s="318"/>
      <c r="R93" s="318"/>
      <c r="S93" s="318"/>
      <c r="T93" s="318"/>
      <c r="U93" s="318"/>
      <c r="V93" s="318"/>
      <c r="W93" s="318"/>
      <c r="X93" s="318"/>
      <c r="Y93" s="318"/>
      <c r="Z93" s="318"/>
      <c r="AA93" s="318"/>
      <c r="AB93" s="318"/>
      <c r="AC93" s="318"/>
      <c r="AD93" s="318"/>
      <c r="AE93" s="318"/>
    </row>
    <row r="94" spans="1:35" s="56" customFormat="1" ht="14.25">
      <c r="A94" s="720" t="s">
        <v>26</v>
      </c>
      <c r="B94" s="215"/>
      <c r="C94" s="218"/>
      <c r="D94" s="721"/>
      <c r="E94" s="218"/>
      <c r="F94" s="218"/>
      <c r="G94" s="218"/>
      <c r="H94" s="218"/>
      <c r="I94" s="722"/>
      <c r="J94" s="220"/>
      <c r="K94" s="687"/>
      <c r="L94" s="318"/>
      <c r="M94" s="318"/>
      <c r="N94" s="318"/>
      <c r="O94" s="318"/>
      <c r="P94" s="318"/>
      <c r="Q94" s="318"/>
      <c r="R94" s="318"/>
      <c r="S94" s="318"/>
      <c r="T94" s="318"/>
      <c r="U94" s="318"/>
      <c r="V94" s="318"/>
      <c r="W94" s="318"/>
      <c r="X94" s="318"/>
      <c r="Y94" s="318"/>
      <c r="Z94" s="318"/>
      <c r="AA94" s="318"/>
      <c r="AB94" s="318"/>
      <c r="AC94" s="318"/>
      <c r="AD94" s="318"/>
      <c r="AE94" s="318"/>
      <c r="AF94" s="723"/>
      <c r="AG94" s="723"/>
      <c r="AH94" s="723"/>
      <c r="AI94" s="723"/>
    </row>
    <row r="95" spans="1:35">
      <c r="A95" s="190" t="s">
        <v>41</v>
      </c>
      <c r="B95" s="190"/>
      <c r="C95" s="194"/>
      <c r="D95" s="758"/>
      <c r="E95" s="194"/>
      <c r="F95" s="194"/>
      <c r="G95" s="759"/>
      <c r="H95" s="759"/>
      <c r="I95" s="760"/>
      <c r="J95" s="761"/>
      <c r="K95" s="689">
        <v>0</v>
      </c>
      <c r="L95" s="665">
        <v>1000</v>
      </c>
      <c r="M95" s="665">
        <f>$L$95*L11</f>
        <v>1020</v>
      </c>
      <c r="N95" s="665">
        <f t="shared" ref="N95:P95" si="16">$L$95*M11</f>
        <v>1040.4000000000001</v>
      </c>
      <c r="O95" s="665">
        <f t="shared" si="16"/>
        <v>1061.2079999999999</v>
      </c>
      <c r="P95" s="665">
        <f t="shared" si="16"/>
        <v>1082.4321600000001</v>
      </c>
      <c r="Q95" s="665">
        <v>25000</v>
      </c>
      <c r="R95" s="665">
        <f>$Q$95*L11</f>
        <v>25500</v>
      </c>
      <c r="S95" s="665">
        <f t="shared" ref="S95:AE95" si="17">$Q$95*M11</f>
        <v>26010</v>
      </c>
      <c r="T95" s="665">
        <f t="shared" si="17"/>
        <v>26530.199999999997</v>
      </c>
      <c r="U95" s="665">
        <f t="shared" si="17"/>
        <v>27060.804</v>
      </c>
      <c r="V95" s="665">
        <f t="shared" si="17"/>
        <v>27602.020080000002</v>
      </c>
      <c r="W95" s="665">
        <f t="shared" si="17"/>
        <v>28154.060481600001</v>
      </c>
      <c r="X95" s="665">
        <f t="shared" si="17"/>
        <v>28717.141691232002</v>
      </c>
      <c r="Y95" s="665">
        <f t="shared" si="17"/>
        <v>29291.484525056643</v>
      </c>
      <c r="Z95" s="665">
        <f t="shared" si="17"/>
        <v>29877.314215557777</v>
      </c>
      <c r="AA95" s="665">
        <f t="shared" si="17"/>
        <v>30474.860499868933</v>
      </c>
      <c r="AB95" s="665">
        <f t="shared" si="17"/>
        <v>31084.357709866312</v>
      </c>
      <c r="AC95" s="665">
        <f t="shared" si="17"/>
        <v>31706.044864063639</v>
      </c>
      <c r="AD95" s="665">
        <f t="shared" si="17"/>
        <v>32340.165761344906</v>
      </c>
      <c r="AE95" s="665">
        <f t="shared" si="17"/>
        <v>32986.969076571811</v>
      </c>
      <c r="AF95" s="55"/>
      <c r="AG95" s="55"/>
      <c r="AH95" s="55"/>
      <c r="AI95" s="55"/>
    </row>
    <row r="96" spans="1:35">
      <c r="A96" s="745" t="s">
        <v>302</v>
      </c>
      <c r="B96" s="745"/>
      <c r="C96" s="746"/>
      <c r="D96" s="116"/>
      <c r="E96" s="746"/>
      <c r="F96" s="746"/>
      <c r="G96" s="753"/>
      <c r="H96" s="753"/>
      <c r="I96" s="755"/>
      <c r="J96" s="762"/>
      <c r="K96" s="741">
        <v>0</v>
      </c>
      <c r="L96" s="742">
        <f>'Shuttle Projections'!C28/2</f>
        <v>233675</v>
      </c>
      <c r="M96" s="742">
        <f>'Shuttle Projections'!D28</f>
        <v>476697</v>
      </c>
      <c r="N96" s="742">
        <f>'Shuttle Projections'!E28</f>
        <v>486230.94000000006</v>
      </c>
      <c r="O96" s="742">
        <f>'Shuttle Projections'!F28</f>
        <v>495955.55879999994</v>
      </c>
      <c r="P96" s="742">
        <f>'Shuttle Projections'!G28</f>
        <v>505874.66997599998</v>
      </c>
      <c r="Q96" s="742">
        <f>'Shuttle Projections'!H28</f>
        <v>515992.16337552003</v>
      </c>
      <c r="R96" s="742">
        <f>'Shuttle Projections'!I28</f>
        <v>526312.00664303044</v>
      </c>
      <c r="S96" s="742">
        <f>'Shuttle Projections'!J28</f>
        <v>536838.24677589093</v>
      </c>
      <c r="T96" s="742">
        <f>'Shuttle Projections'!K28</f>
        <v>547575.01171140897</v>
      </c>
      <c r="U96" s="742">
        <f>'Shuttle Projections'!L28</f>
        <v>558526.51194563706</v>
      </c>
      <c r="V96" s="742">
        <f>'Shuttle Projections'!M28</f>
        <v>569697.04218454985</v>
      </c>
      <c r="W96" s="742">
        <f>'Shuttle Projections'!N28</f>
        <v>581090.98302824085</v>
      </c>
      <c r="X96" s="742">
        <f>'Shuttle Projections'!O28</f>
        <v>592712.80268880562</v>
      </c>
      <c r="Y96" s="742">
        <f>'Shuttle Projections'!P28</f>
        <v>604567.05874258175</v>
      </c>
      <c r="Z96" s="742">
        <f>'Shuttle Projections'!Q28</f>
        <v>616658.39991743339</v>
      </c>
      <c r="AA96" s="742">
        <f>'Shuttle Projections'!R28</f>
        <v>628991.5679157821</v>
      </c>
      <c r="AB96" s="742">
        <f>'Shuttle Projections'!S28</f>
        <v>641571.39927409776</v>
      </c>
      <c r="AC96" s="742">
        <f>'Shuttle Projections'!T28</f>
        <v>654402.82725957979</v>
      </c>
      <c r="AD96" s="742">
        <f>'Shuttle Projections'!U28</f>
        <v>667490.88380477135</v>
      </c>
      <c r="AE96" s="742">
        <f>'Shuttle Projections'!V28</f>
        <v>680840.70148086676</v>
      </c>
    </row>
    <row r="97" spans="1:33" s="56" customFormat="1" ht="14.25">
      <c r="A97" s="164" t="s">
        <v>410</v>
      </c>
      <c r="B97" s="164"/>
      <c r="C97" s="75"/>
      <c r="D97" s="173"/>
      <c r="E97" s="75"/>
      <c r="F97" s="75"/>
      <c r="G97" s="75"/>
      <c r="H97" s="75"/>
      <c r="I97" s="174"/>
      <c r="J97" s="175"/>
      <c r="K97" s="685">
        <v>0</v>
      </c>
      <c r="L97" s="669">
        <f>SUM(L95:L96)</f>
        <v>234675</v>
      </c>
      <c r="M97" s="669">
        <f t="shared" ref="M97:AE97" si="18">SUM(M95:M96)</f>
        <v>477717</v>
      </c>
      <c r="N97" s="669">
        <f t="shared" si="18"/>
        <v>487271.34000000008</v>
      </c>
      <c r="O97" s="669">
        <f t="shared" si="18"/>
        <v>497016.76679999992</v>
      </c>
      <c r="P97" s="669">
        <f t="shared" si="18"/>
        <v>506957.102136</v>
      </c>
      <c r="Q97" s="669">
        <f t="shared" si="18"/>
        <v>540992.16337552003</v>
      </c>
      <c r="R97" s="669">
        <f t="shared" si="18"/>
        <v>551812.00664303044</v>
      </c>
      <c r="S97" s="669">
        <f t="shared" si="18"/>
        <v>562848.24677589093</v>
      </c>
      <c r="T97" s="669">
        <f t="shared" si="18"/>
        <v>574105.21171140892</v>
      </c>
      <c r="U97" s="669">
        <f t="shared" si="18"/>
        <v>585587.31594563706</v>
      </c>
      <c r="V97" s="669">
        <f t="shared" si="18"/>
        <v>597299.0622645499</v>
      </c>
      <c r="W97" s="669">
        <f t="shared" si="18"/>
        <v>609245.04350984085</v>
      </c>
      <c r="X97" s="669">
        <f t="shared" si="18"/>
        <v>621429.9443800376</v>
      </c>
      <c r="Y97" s="669">
        <f t="shared" si="18"/>
        <v>633858.54326763842</v>
      </c>
      <c r="Z97" s="669">
        <f t="shared" si="18"/>
        <v>646535.71413299115</v>
      </c>
      <c r="AA97" s="669">
        <f t="shared" si="18"/>
        <v>659466.42841565108</v>
      </c>
      <c r="AB97" s="669">
        <f t="shared" si="18"/>
        <v>672655.75698396412</v>
      </c>
      <c r="AC97" s="669">
        <f t="shared" si="18"/>
        <v>686108.87212364341</v>
      </c>
      <c r="AD97" s="669">
        <f t="shared" si="18"/>
        <v>699831.0495661163</v>
      </c>
      <c r="AE97" s="669">
        <f t="shared" si="18"/>
        <v>713827.67055743863</v>
      </c>
    </row>
    <row r="98" spans="1:33" s="56" customFormat="1" ht="14.25">
      <c r="A98" s="164"/>
      <c r="B98" s="164"/>
      <c r="C98" s="75"/>
      <c r="D98" s="173"/>
      <c r="E98" s="75"/>
      <c r="F98" s="75"/>
      <c r="G98" s="75"/>
      <c r="H98" s="75"/>
      <c r="I98" s="174"/>
      <c r="J98" s="175"/>
      <c r="K98" s="685"/>
      <c r="L98" s="669"/>
      <c r="M98" s="669"/>
      <c r="N98" s="669"/>
      <c r="O98" s="669"/>
      <c r="P98" s="669"/>
      <c r="Q98" s="669"/>
      <c r="R98" s="669"/>
      <c r="S98" s="669"/>
      <c r="T98" s="669"/>
      <c r="U98" s="669"/>
      <c r="V98" s="669"/>
      <c r="W98" s="669"/>
      <c r="X98" s="669"/>
      <c r="Y98" s="669"/>
      <c r="Z98" s="669"/>
      <c r="AA98" s="669"/>
      <c r="AB98" s="669"/>
      <c r="AC98" s="669"/>
      <c r="AD98" s="669"/>
      <c r="AE98" s="669"/>
    </row>
    <row r="99" spans="1:33" s="56" customFormat="1" ht="14.25">
      <c r="A99" s="164" t="s">
        <v>78</v>
      </c>
      <c r="B99" s="164"/>
      <c r="C99" s="75"/>
      <c r="D99" s="173"/>
      <c r="E99" s="75"/>
      <c r="F99" s="75"/>
      <c r="G99" s="75"/>
      <c r="H99" s="75"/>
      <c r="I99" s="174"/>
      <c r="J99" s="175"/>
      <c r="K99" s="685">
        <v>0</v>
      </c>
      <c r="L99" s="669">
        <f>SUM(L92,L97)</f>
        <v>321425</v>
      </c>
      <c r="M99" s="669">
        <f t="shared" ref="M99:AE99" si="19">SUM(M92,M97)</f>
        <v>532767</v>
      </c>
      <c r="N99" s="669">
        <f t="shared" si="19"/>
        <v>543432.54</v>
      </c>
      <c r="O99" s="669">
        <f t="shared" si="19"/>
        <v>554301.19079999987</v>
      </c>
      <c r="P99" s="669">
        <f t="shared" si="19"/>
        <v>565387.21461599995</v>
      </c>
      <c r="Q99" s="669">
        <f t="shared" si="19"/>
        <v>605038.83770352008</v>
      </c>
      <c r="R99" s="669">
        <f t="shared" si="19"/>
        <v>612602.69566722249</v>
      </c>
      <c r="S99" s="669">
        <f t="shared" si="19"/>
        <v>624854.74958056677</v>
      </c>
      <c r="T99" s="669">
        <f t="shared" si="19"/>
        <v>637351.84457217832</v>
      </c>
      <c r="U99" s="669">
        <f t="shared" si="19"/>
        <v>650098.88146362186</v>
      </c>
      <c r="V99" s="669">
        <f t="shared" si="19"/>
        <v>691296.26931427466</v>
      </c>
      <c r="W99" s="669">
        <f t="shared" si="19"/>
        <v>676362.8762747522</v>
      </c>
      <c r="X99" s="669">
        <f t="shared" si="19"/>
        <v>689890.13380024722</v>
      </c>
      <c r="Y99" s="669">
        <f t="shared" si="19"/>
        <v>703687.93647625216</v>
      </c>
      <c r="Z99" s="669">
        <f t="shared" si="19"/>
        <v>717761.69520577719</v>
      </c>
      <c r="AA99" s="669">
        <f t="shared" si="19"/>
        <v>736443.99494073074</v>
      </c>
      <c r="AB99" s="669">
        <f t="shared" si="19"/>
        <v>746759.26769209071</v>
      </c>
      <c r="AC99" s="669">
        <f t="shared" si="19"/>
        <v>761694.45304593258</v>
      </c>
      <c r="AD99" s="669">
        <f t="shared" si="19"/>
        <v>776928.34210685128</v>
      </c>
      <c r="AE99" s="669">
        <f t="shared" si="19"/>
        <v>792466.90894898819</v>
      </c>
    </row>
    <row r="100" spans="1:33">
      <c r="A100" s="47"/>
      <c r="B100" s="47"/>
      <c r="C100" s="78"/>
      <c r="D100" s="100"/>
      <c r="E100" s="78"/>
      <c r="F100" s="78"/>
      <c r="G100" s="78"/>
      <c r="H100" s="78"/>
      <c r="I100" s="52"/>
      <c r="J100" s="114"/>
      <c r="K100" s="683"/>
      <c r="L100" s="115"/>
      <c r="M100" s="115"/>
      <c r="N100" s="115"/>
      <c r="O100" s="115"/>
      <c r="P100" s="115"/>
      <c r="Q100" s="115"/>
      <c r="R100" s="115"/>
      <c r="S100" s="115"/>
      <c r="T100" s="115"/>
      <c r="U100" s="115"/>
      <c r="V100" s="115"/>
      <c r="W100" s="115"/>
      <c r="X100" s="115"/>
      <c r="Y100" s="115"/>
      <c r="Z100" s="115"/>
      <c r="AA100" s="115"/>
      <c r="AB100" s="115"/>
      <c r="AC100" s="115"/>
      <c r="AD100" s="115"/>
      <c r="AE100" s="115"/>
    </row>
    <row r="101" spans="1:33">
      <c r="A101" s="168" t="s">
        <v>25</v>
      </c>
      <c r="B101" s="168"/>
      <c r="C101" s="176"/>
      <c r="D101" s="177"/>
      <c r="E101" s="176"/>
      <c r="F101" s="176"/>
      <c r="G101" s="176"/>
      <c r="H101" s="176"/>
      <c r="I101" s="178"/>
      <c r="J101" s="179"/>
      <c r="K101" s="682"/>
      <c r="L101" s="319"/>
      <c r="M101" s="319"/>
      <c r="N101" s="319"/>
      <c r="O101" s="319"/>
      <c r="P101" s="319"/>
      <c r="Q101" s="319"/>
      <c r="R101" s="319"/>
      <c r="S101" s="319"/>
      <c r="T101" s="319"/>
      <c r="U101" s="319"/>
      <c r="V101" s="319"/>
      <c r="W101" s="319"/>
      <c r="X101" s="319"/>
      <c r="Y101" s="319"/>
      <c r="Z101" s="319"/>
      <c r="AA101" s="319"/>
      <c r="AB101" s="319"/>
      <c r="AC101" s="319"/>
      <c r="AD101" s="319"/>
      <c r="AE101" s="319"/>
    </row>
    <row r="102" spans="1:33" s="252" customFormat="1">
      <c r="A102" s="183"/>
      <c r="B102" s="183"/>
      <c r="C102" s="185"/>
      <c r="D102" s="186"/>
      <c r="E102" s="185"/>
      <c r="F102" s="185"/>
      <c r="G102" s="185"/>
      <c r="H102" s="185"/>
      <c r="I102" s="302"/>
      <c r="J102" s="188"/>
      <c r="K102" s="683"/>
      <c r="L102" s="320"/>
      <c r="M102" s="320"/>
      <c r="N102" s="320"/>
      <c r="O102" s="320"/>
      <c r="P102" s="320"/>
      <c r="Q102" s="320"/>
      <c r="R102" s="320"/>
      <c r="S102" s="320"/>
      <c r="T102" s="320"/>
      <c r="U102" s="320"/>
      <c r="V102" s="320"/>
      <c r="W102" s="320"/>
      <c r="X102" s="320"/>
      <c r="Y102" s="320"/>
      <c r="Z102" s="320"/>
      <c r="AA102" s="320"/>
      <c r="AB102" s="320"/>
      <c r="AC102" s="320"/>
      <c r="AD102" s="320"/>
      <c r="AE102" s="320"/>
    </row>
    <row r="103" spans="1:33">
      <c r="A103" s="37" t="s">
        <v>425</v>
      </c>
      <c r="B103" s="37"/>
      <c r="C103" s="57"/>
      <c r="E103" s="57"/>
      <c r="F103" s="57"/>
      <c r="G103" s="57"/>
      <c r="H103" s="998"/>
      <c r="I103" s="51" t="s">
        <v>532</v>
      </c>
      <c r="J103" s="624">
        <f>((6350/6)*7)+((6500/6)*7)</f>
        <v>14991.666666666666</v>
      </c>
      <c r="K103" s="683">
        <v>0</v>
      </c>
      <c r="L103" s="671">
        <f>J103</f>
        <v>14991.666666666666</v>
      </c>
      <c r="M103" s="671">
        <f>$L$103*L11</f>
        <v>15291.5</v>
      </c>
      <c r="N103" s="671">
        <f t="shared" ref="N103:AE103" si="20">$L$103*M11</f>
        <v>15597.33</v>
      </c>
      <c r="O103" s="671">
        <f t="shared" si="20"/>
        <v>15909.276599999997</v>
      </c>
      <c r="P103" s="671">
        <f t="shared" si="20"/>
        <v>16227.462131999999</v>
      </c>
      <c r="Q103" s="671">
        <f t="shared" si="20"/>
        <v>16552.011374639998</v>
      </c>
      <c r="R103" s="671">
        <f t="shared" si="20"/>
        <v>16883.0516021328</v>
      </c>
      <c r="S103" s="671">
        <f t="shared" si="20"/>
        <v>17220.712634175456</v>
      </c>
      <c r="T103" s="671">
        <f t="shared" si="20"/>
        <v>17565.126886858965</v>
      </c>
      <c r="U103" s="671">
        <f t="shared" si="20"/>
        <v>17916.429424596146</v>
      </c>
      <c r="V103" s="671">
        <f t="shared" si="20"/>
        <v>18274.758013088071</v>
      </c>
      <c r="W103" s="671">
        <f t="shared" si="20"/>
        <v>18640.253173349829</v>
      </c>
      <c r="X103" s="671">
        <f t="shared" si="20"/>
        <v>19013.058236816825</v>
      </c>
      <c r="Y103" s="671">
        <f t="shared" si="20"/>
        <v>19393.319401553163</v>
      </c>
      <c r="Z103" s="671">
        <f t="shared" si="20"/>
        <v>19781.185789584226</v>
      </c>
      <c r="AA103" s="671">
        <f t="shared" si="20"/>
        <v>20176.809505375913</v>
      </c>
      <c r="AB103" s="671">
        <f t="shared" si="20"/>
        <v>20580.345695483433</v>
      </c>
      <c r="AC103" s="671">
        <f t="shared" si="20"/>
        <v>20991.952609393102</v>
      </c>
      <c r="AD103" s="671">
        <f t="shared" si="20"/>
        <v>21411.791661580963</v>
      </c>
      <c r="AE103" s="671">
        <f t="shared" si="20"/>
        <v>21840.027494812584</v>
      </c>
    </row>
    <row r="104" spans="1:33">
      <c r="A104" s="37" t="s">
        <v>16</v>
      </c>
      <c r="B104" s="37"/>
      <c r="C104" s="57"/>
      <c r="E104" s="57"/>
      <c r="F104" s="57"/>
      <c r="G104" s="57"/>
      <c r="H104" s="998"/>
      <c r="I104" s="51" t="s">
        <v>17</v>
      </c>
      <c r="J104" s="624">
        <f>1250</f>
        <v>1250</v>
      </c>
      <c r="K104" s="683">
        <v>0</v>
      </c>
      <c r="L104" s="671">
        <f>J104*7</f>
        <v>8750</v>
      </c>
      <c r="M104" s="671">
        <f>$L$104*L11</f>
        <v>8925</v>
      </c>
      <c r="N104" s="671">
        <f t="shared" ref="N104:AE104" si="21">$L$104*M11</f>
        <v>9103.5</v>
      </c>
      <c r="O104" s="671">
        <f t="shared" si="21"/>
        <v>9285.57</v>
      </c>
      <c r="P104" s="671">
        <f t="shared" si="21"/>
        <v>9471.2813999999998</v>
      </c>
      <c r="Q104" s="671">
        <f t="shared" si="21"/>
        <v>9660.7070280000007</v>
      </c>
      <c r="R104" s="671">
        <f t="shared" si="21"/>
        <v>9853.9211685600003</v>
      </c>
      <c r="S104" s="671">
        <f t="shared" si="21"/>
        <v>10050.9995919312</v>
      </c>
      <c r="T104" s="671">
        <f t="shared" si="21"/>
        <v>10252.019583769825</v>
      </c>
      <c r="U104" s="671">
        <f t="shared" si="21"/>
        <v>10457.059975445221</v>
      </c>
      <c r="V104" s="671">
        <f t="shared" si="21"/>
        <v>10666.201174954127</v>
      </c>
      <c r="W104" s="671">
        <f t="shared" si="21"/>
        <v>10879.52519845321</v>
      </c>
      <c r="X104" s="671">
        <f t="shared" si="21"/>
        <v>11097.115702422274</v>
      </c>
      <c r="Y104" s="671">
        <f t="shared" si="21"/>
        <v>11319.058016470717</v>
      </c>
      <c r="Z104" s="671">
        <f t="shared" si="21"/>
        <v>11545.439176800133</v>
      </c>
      <c r="AA104" s="671">
        <f t="shared" si="21"/>
        <v>11776.347960336136</v>
      </c>
      <c r="AB104" s="671">
        <f t="shared" si="21"/>
        <v>12011.874919542859</v>
      </c>
      <c r="AC104" s="671">
        <f t="shared" si="21"/>
        <v>12252.112417933717</v>
      </c>
      <c r="AD104" s="671">
        <f t="shared" si="21"/>
        <v>12497.154666292392</v>
      </c>
      <c r="AE104" s="671">
        <f t="shared" si="21"/>
        <v>12747.09775961824</v>
      </c>
    </row>
    <row r="105" spans="1:33" s="702" customFormat="1">
      <c r="A105" s="701" t="s">
        <v>53</v>
      </c>
      <c r="B105" s="701"/>
      <c r="C105" s="705"/>
      <c r="D105" s="984"/>
      <c r="E105" s="705"/>
      <c r="F105" s="705"/>
      <c r="G105" s="705"/>
      <c r="H105" s="985"/>
      <c r="I105" s="706" t="s">
        <v>17</v>
      </c>
      <c r="J105" s="986">
        <v>0</v>
      </c>
      <c r="K105" s="987">
        <v>0</v>
      </c>
      <c r="L105" s="988">
        <f t="shared" ref="L105:L106" si="22">J105*12</f>
        <v>0</v>
      </c>
      <c r="M105" s="988">
        <f t="shared" ref="M105:AB106" si="23">L105*1.03</f>
        <v>0</v>
      </c>
      <c r="N105" s="988">
        <f t="shared" si="23"/>
        <v>0</v>
      </c>
      <c r="O105" s="988">
        <f t="shared" si="23"/>
        <v>0</v>
      </c>
      <c r="P105" s="988">
        <f t="shared" si="23"/>
        <v>0</v>
      </c>
      <c r="Q105" s="988">
        <f t="shared" si="23"/>
        <v>0</v>
      </c>
      <c r="R105" s="988">
        <f t="shared" si="23"/>
        <v>0</v>
      </c>
      <c r="S105" s="988">
        <f t="shared" si="23"/>
        <v>0</v>
      </c>
      <c r="T105" s="988">
        <f t="shared" si="23"/>
        <v>0</v>
      </c>
      <c r="U105" s="988">
        <f t="shared" si="23"/>
        <v>0</v>
      </c>
      <c r="V105" s="988">
        <f t="shared" si="23"/>
        <v>0</v>
      </c>
      <c r="W105" s="988">
        <f t="shared" si="23"/>
        <v>0</v>
      </c>
      <c r="X105" s="988">
        <f t="shared" si="23"/>
        <v>0</v>
      </c>
      <c r="Y105" s="988">
        <f t="shared" si="23"/>
        <v>0</v>
      </c>
      <c r="Z105" s="988">
        <f t="shared" si="23"/>
        <v>0</v>
      </c>
      <c r="AA105" s="988">
        <f t="shared" si="23"/>
        <v>0</v>
      </c>
      <c r="AB105" s="988">
        <f t="shared" si="23"/>
        <v>0</v>
      </c>
      <c r="AC105" s="988">
        <f t="shared" ref="AC105:AE106" si="24">AB105*1.03</f>
        <v>0</v>
      </c>
      <c r="AD105" s="988">
        <f t="shared" si="24"/>
        <v>0</v>
      </c>
      <c r="AE105" s="988">
        <f t="shared" si="24"/>
        <v>0</v>
      </c>
    </row>
    <row r="106" spans="1:33" s="702" customFormat="1">
      <c r="A106" s="989" t="s">
        <v>54</v>
      </c>
      <c r="B106" s="990"/>
      <c r="C106" s="991"/>
      <c r="D106" s="992"/>
      <c r="E106" s="991"/>
      <c r="F106" s="991"/>
      <c r="G106" s="991"/>
      <c r="H106" s="993"/>
      <c r="I106" s="994" t="s">
        <v>17</v>
      </c>
      <c r="J106" s="995">
        <v>0</v>
      </c>
      <c r="K106" s="996">
        <v>0</v>
      </c>
      <c r="L106" s="997">
        <f t="shared" si="22"/>
        <v>0</v>
      </c>
      <c r="M106" s="997">
        <f t="shared" si="23"/>
        <v>0</v>
      </c>
      <c r="N106" s="997">
        <f t="shared" si="23"/>
        <v>0</v>
      </c>
      <c r="O106" s="997">
        <f t="shared" si="23"/>
        <v>0</v>
      </c>
      <c r="P106" s="997">
        <f t="shared" si="23"/>
        <v>0</v>
      </c>
      <c r="Q106" s="997">
        <f t="shared" si="23"/>
        <v>0</v>
      </c>
      <c r="R106" s="997">
        <f t="shared" si="23"/>
        <v>0</v>
      </c>
      <c r="S106" s="997">
        <f t="shared" si="23"/>
        <v>0</v>
      </c>
      <c r="T106" s="997">
        <f t="shared" si="23"/>
        <v>0</v>
      </c>
      <c r="U106" s="997">
        <f t="shared" si="23"/>
        <v>0</v>
      </c>
      <c r="V106" s="997">
        <f t="shared" si="23"/>
        <v>0</v>
      </c>
      <c r="W106" s="997">
        <f t="shared" si="23"/>
        <v>0</v>
      </c>
      <c r="X106" s="997">
        <f t="shared" si="23"/>
        <v>0</v>
      </c>
      <c r="Y106" s="997">
        <f t="shared" si="23"/>
        <v>0</v>
      </c>
      <c r="Z106" s="997">
        <f t="shared" si="23"/>
        <v>0</v>
      </c>
      <c r="AA106" s="997">
        <f t="shared" si="23"/>
        <v>0</v>
      </c>
      <c r="AB106" s="997">
        <f t="shared" si="23"/>
        <v>0</v>
      </c>
      <c r="AC106" s="997">
        <f t="shared" si="24"/>
        <v>0</v>
      </c>
      <c r="AD106" s="997">
        <f t="shared" si="24"/>
        <v>0</v>
      </c>
      <c r="AE106" s="997">
        <f t="shared" si="24"/>
        <v>0</v>
      </c>
    </row>
    <row r="107" spans="1:33" s="56" customFormat="1" ht="14.25">
      <c r="A107" s="56" t="s">
        <v>55</v>
      </c>
      <c r="B107" s="164"/>
      <c r="C107" s="75"/>
      <c r="D107" s="173"/>
      <c r="E107" s="75"/>
      <c r="F107" s="75"/>
      <c r="G107" s="75"/>
      <c r="H107" s="75"/>
      <c r="I107" s="999"/>
      <c r="J107" s="1000"/>
      <c r="K107" s="685">
        <v>0</v>
      </c>
      <c r="L107" s="1001">
        <f>SUM(L103:L106)</f>
        <v>23741.666666666664</v>
      </c>
      <c r="M107" s="1001">
        <f t="shared" ref="M107:AE107" si="25">SUM(M103:M106)</f>
        <v>24216.5</v>
      </c>
      <c r="N107" s="1001">
        <f t="shared" si="25"/>
        <v>24700.83</v>
      </c>
      <c r="O107" s="1001">
        <f t="shared" si="25"/>
        <v>25194.846599999997</v>
      </c>
      <c r="P107" s="1001">
        <f t="shared" si="25"/>
        <v>25698.743532</v>
      </c>
      <c r="Q107" s="1001">
        <f t="shared" si="25"/>
        <v>26212.718402639999</v>
      </c>
      <c r="R107" s="1001">
        <f t="shared" si="25"/>
        <v>26736.972770692802</v>
      </c>
      <c r="S107" s="1001">
        <f t="shared" si="25"/>
        <v>27271.712226106654</v>
      </c>
      <c r="T107" s="1001">
        <f t="shared" si="25"/>
        <v>27817.146470628788</v>
      </c>
      <c r="U107" s="1001">
        <f t="shared" si="25"/>
        <v>28373.48940004137</v>
      </c>
      <c r="V107" s="1001">
        <f t="shared" si="25"/>
        <v>28940.959188042198</v>
      </c>
      <c r="W107" s="1001">
        <f t="shared" si="25"/>
        <v>29519.77837180304</v>
      </c>
      <c r="X107" s="1001">
        <f t="shared" si="25"/>
        <v>30110.173939239099</v>
      </c>
      <c r="Y107" s="1001">
        <f t="shared" si="25"/>
        <v>30712.37741802388</v>
      </c>
      <c r="Z107" s="1001">
        <f t="shared" si="25"/>
        <v>31326.624966384359</v>
      </c>
      <c r="AA107" s="1001">
        <f t="shared" si="25"/>
        <v>31953.157465712051</v>
      </c>
      <c r="AB107" s="1001">
        <f t="shared" si="25"/>
        <v>32592.220615026294</v>
      </c>
      <c r="AC107" s="1001">
        <f t="shared" si="25"/>
        <v>33244.065027326818</v>
      </c>
      <c r="AD107" s="1001">
        <f t="shared" si="25"/>
        <v>33908.946327873353</v>
      </c>
      <c r="AE107" s="1001">
        <f t="shared" si="25"/>
        <v>34587.125254430823</v>
      </c>
    </row>
    <row r="108" spans="1:33">
      <c r="A108" s="56"/>
      <c r="B108" s="37"/>
      <c r="C108" s="57"/>
      <c r="E108" s="57"/>
      <c r="F108" s="57"/>
      <c r="G108" s="57"/>
      <c r="H108" s="57"/>
      <c r="I108" s="51"/>
      <c r="J108" s="624"/>
      <c r="K108" s="683"/>
      <c r="L108" s="666"/>
      <c r="M108" s="666"/>
      <c r="N108" s="666"/>
      <c r="O108" s="666"/>
      <c r="P108" s="666"/>
      <c r="Q108" s="666"/>
      <c r="R108" s="666"/>
      <c r="S108" s="666"/>
      <c r="T108" s="666"/>
      <c r="U108" s="666"/>
      <c r="V108" s="666"/>
      <c r="W108" s="666"/>
      <c r="X108" s="666"/>
      <c r="Y108" s="666"/>
      <c r="Z108" s="666"/>
      <c r="AA108" s="666"/>
      <c r="AB108" s="666"/>
      <c r="AC108" s="666"/>
      <c r="AD108" s="666"/>
      <c r="AE108" s="666"/>
    </row>
    <row r="109" spans="1:33">
      <c r="A109" s="47" t="s">
        <v>7</v>
      </c>
      <c r="B109" s="47" t="s">
        <v>7</v>
      </c>
      <c r="C109" s="78" t="s">
        <v>7</v>
      </c>
      <c r="D109" s="100"/>
      <c r="E109" s="78" t="s">
        <v>7</v>
      </c>
      <c r="F109" s="78"/>
      <c r="G109" s="78" t="s">
        <v>7</v>
      </c>
      <c r="H109" s="78"/>
      <c r="I109" s="52" t="s">
        <v>7</v>
      </c>
      <c r="J109" s="672"/>
      <c r="K109" s="673"/>
      <c r="L109" s="672"/>
      <c r="M109" s="672"/>
      <c r="N109" s="672"/>
      <c r="O109" s="672"/>
      <c r="P109" s="672"/>
      <c r="Q109" s="672"/>
      <c r="R109" s="672"/>
      <c r="S109" s="672"/>
      <c r="T109" s="672"/>
      <c r="U109" s="672"/>
      <c r="V109" s="672"/>
      <c r="W109" s="672"/>
      <c r="X109" s="672"/>
      <c r="Y109" s="672"/>
      <c r="Z109" s="672"/>
      <c r="AA109" s="672"/>
      <c r="AB109" s="672"/>
      <c r="AC109" s="672"/>
      <c r="AD109" s="672"/>
      <c r="AE109" s="672"/>
    </row>
    <row r="110" spans="1:33">
      <c r="A110" s="47"/>
      <c r="B110" s="47"/>
      <c r="C110" s="78"/>
      <c r="D110" s="100"/>
      <c r="E110" s="78"/>
      <c r="F110" s="78"/>
      <c r="G110" s="78"/>
      <c r="H110" s="78"/>
      <c r="I110" s="52"/>
      <c r="J110" s="672"/>
      <c r="K110" s="683"/>
      <c r="L110" s="666"/>
      <c r="M110" s="666"/>
      <c r="N110" s="666"/>
      <c r="O110" s="666"/>
      <c r="P110" s="666"/>
      <c r="Q110" s="666"/>
      <c r="R110" s="666"/>
      <c r="S110" s="666"/>
      <c r="T110" s="666"/>
      <c r="U110" s="666"/>
      <c r="V110" s="666"/>
      <c r="W110" s="666"/>
      <c r="X110" s="666"/>
      <c r="Y110" s="666"/>
      <c r="Z110" s="666"/>
      <c r="AA110" s="666"/>
      <c r="AB110" s="666"/>
      <c r="AC110" s="666"/>
      <c r="AD110" s="666"/>
      <c r="AE110" s="666"/>
    </row>
    <row r="111" spans="1:33" s="56" customFormat="1" ht="14.25">
      <c r="A111" s="203" t="s">
        <v>303</v>
      </c>
      <c r="B111" s="203"/>
      <c r="C111" s="204"/>
      <c r="D111" s="205"/>
      <c r="E111" s="204"/>
      <c r="F111" s="204"/>
      <c r="G111" s="204"/>
      <c r="H111" s="204"/>
      <c r="I111" s="206"/>
      <c r="J111" s="674"/>
      <c r="K111" s="676">
        <f>SUM(K78,K99,K107)</f>
        <v>0</v>
      </c>
      <c r="L111" s="676">
        <f>SUM(L78,L99,L107)</f>
        <v>357416.66666666669</v>
      </c>
      <c r="M111" s="676">
        <f t="shared" ref="M111:AE111" si="26">SUM(M78,M99,M107)</f>
        <v>686483.5</v>
      </c>
      <c r="N111" s="676">
        <f t="shared" si="26"/>
        <v>700223.37</v>
      </c>
      <c r="O111" s="676">
        <f t="shared" si="26"/>
        <v>714227.83739999984</v>
      </c>
      <c r="P111" s="676">
        <f t="shared" si="26"/>
        <v>728512.39414799993</v>
      </c>
      <c r="Q111" s="676">
        <f t="shared" si="26"/>
        <v>771426.52082615998</v>
      </c>
      <c r="R111" s="676">
        <f t="shared" si="26"/>
        <v>782318.1324523153</v>
      </c>
      <c r="S111" s="676">
        <f t="shared" si="26"/>
        <v>797964.49510136142</v>
      </c>
      <c r="T111" s="676">
        <f t="shared" si="26"/>
        <v>813923.78500338888</v>
      </c>
      <c r="U111" s="676">
        <f t="shared" si="26"/>
        <v>830202.2607034567</v>
      </c>
      <c r="V111" s="676">
        <f t="shared" si="26"/>
        <v>875001.71613890608</v>
      </c>
      <c r="W111" s="676">
        <f t="shared" si="26"/>
        <v>863742.43203587621</v>
      </c>
      <c r="X111" s="676">
        <f t="shared" si="26"/>
        <v>881017.28067659389</v>
      </c>
      <c r="Y111" s="676">
        <f t="shared" si="26"/>
        <v>898637.62629012566</v>
      </c>
      <c r="Z111" s="676">
        <f t="shared" si="26"/>
        <v>916610.37881592824</v>
      </c>
      <c r="AA111" s="676">
        <f t="shared" si="26"/>
        <v>939269.6522230847</v>
      </c>
      <c r="AB111" s="676">
        <f t="shared" si="26"/>
        <v>953641.4381200918</v>
      </c>
      <c r="AC111" s="676">
        <f t="shared" si="26"/>
        <v>972714.26688249363</v>
      </c>
      <c r="AD111" s="676">
        <f t="shared" si="26"/>
        <v>992168.55222014373</v>
      </c>
      <c r="AE111" s="676">
        <f t="shared" si="26"/>
        <v>1012011.9232645463</v>
      </c>
      <c r="AG111" s="199"/>
    </row>
    <row r="112" spans="1:33">
      <c r="A112" s="37"/>
      <c r="B112" s="37"/>
      <c r="C112" s="57"/>
      <c r="E112" s="110"/>
      <c r="F112" s="110"/>
      <c r="G112" s="57"/>
      <c r="H112" s="57"/>
      <c r="I112" s="43"/>
      <c r="J112" s="44"/>
      <c r="K112" s="683"/>
      <c r="L112" s="115"/>
      <c r="M112" s="115"/>
      <c r="N112" s="115"/>
      <c r="O112" s="115"/>
      <c r="P112" s="115"/>
      <c r="Q112" s="115"/>
      <c r="R112" s="115"/>
      <c r="S112" s="115"/>
      <c r="T112" s="115"/>
      <c r="U112" s="115"/>
      <c r="V112" s="115"/>
      <c r="W112" s="115"/>
      <c r="X112" s="115"/>
      <c r="Y112" s="115"/>
      <c r="Z112" s="115"/>
      <c r="AA112" s="115"/>
      <c r="AB112" s="115"/>
      <c r="AC112" s="115"/>
      <c r="AD112" s="115"/>
      <c r="AE112" s="115"/>
      <c r="AG112" s="199"/>
    </row>
    <row r="113" spans="1:33">
      <c r="A113" s="47" t="s">
        <v>7</v>
      </c>
      <c r="B113" s="47" t="s">
        <v>7</v>
      </c>
      <c r="C113" s="78" t="s">
        <v>7</v>
      </c>
      <c r="D113" s="100"/>
      <c r="E113" s="78" t="s">
        <v>7</v>
      </c>
      <c r="F113" s="78"/>
      <c r="G113" s="78" t="s">
        <v>7</v>
      </c>
      <c r="H113" s="78"/>
      <c r="I113" s="52" t="s">
        <v>7</v>
      </c>
      <c r="J113" s="114"/>
      <c r="K113" s="673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G113" s="199"/>
    </row>
    <row r="114" spans="1:33">
      <c r="A114" s="47"/>
      <c r="B114" s="47"/>
      <c r="C114" s="78"/>
      <c r="D114" s="100"/>
      <c r="E114" s="78"/>
      <c r="F114" s="78"/>
      <c r="G114" s="78"/>
      <c r="H114" s="78"/>
      <c r="I114" s="52"/>
      <c r="J114" s="114"/>
      <c r="K114" s="683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5"/>
      <c r="Z114" s="115"/>
      <c r="AA114" s="115"/>
      <c r="AB114" s="115"/>
      <c r="AC114" s="115"/>
      <c r="AD114" s="115"/>
      <c r="AE114" s="115"/>
      <c r="AG114" s="199"/>
    </row>
    <row r="115" spans="1:33">
      <c r="A115" s="168" t="s">
        <v>71</v>
      </c>
      <c r="B115" s="171"/>
      <c r="C115" s="176"/>
      <c r="D115" s="177"/>
      <c r="E115" s="176"/>
      <c r="F115" s="176"/>
      <c r="G115" s="176"/>
      <c r="H115" s="176"/>
      <c r="I115" s="182"/>
      <c r="J115" s="179"/>
      <c r="K115" s="682"/>
      <c r="L115" s="319"/>
      <c r="M115" s="319"/>
      <c r="N115" s="319"/>
      <c r="O115" s="319"/>
      <c r="P115" s="319"/>
      <c r="Q115" s="319"/>
      <c r="R115" s="319"/>
      <c r="S115" s="319"/>
      <c r="T115" s="319"/>
      <c r="U115" s="319"/>
      <c r="V115" s="319"/>
      <c r="W115" s="319"/>
      <c r="X115" s="319"/>
      <c r="Y115" s="319"/>
      <c r="Z115" s="319"/>
      <c r="AA115" s="319"/>
      <c r="AB115" s="319"/>
      <c r="AC115" s="319"/>
      <c r="AD115" s="319"/>
      <c r="AE115" s="319"/>
      <c r="AG115" s="199"/>
    </row>
    <row r="116" spans="1:33" s="252" customFormat="1">
      <c r="A116" s="183"/>
      <c r="B116" s="184"/>
      <c r="C116" s="185"/>
      <c r="D116" s="186"/>
      <c r="E116" s="185"/>
      <c r="F116" s="185"/>
      <c r="G116" s="185"/>
      <c r="H116" s="185"/>
      <c r="I116" s="187"/>
      <c r="J116" s="188"/>
      <c r="K116" s="683"/>
      <c r="L116" s="320"/>
      <c r="M116" s="320"/>
      <c r="N116" s="320"/>
      <c r="O116" s="320"/>
      <c r="P116" s="320"/>
      <c r="Q116" s="320"/>
      <c r="R116" s="320"/>
      <c r="S116" s="320"/>
      <c r="T116" s="320"/>
      <c r="U116" s="320"/>
      <c r="V116" s="320"/>
      <c r="W116" s="320"/>
      <c r="X116" s="320"/>
      <c r="Y116" s="320"/>
      <c r="Z116" s="320"/>
      <c r="AA116" s="320"/>
      <c r="AB116" s="320"/>
      <c r="AC116" s="320"/>
      <c r="AD116" s="320"/>
      <c r="AE116" s="320"/>
      <c r="AG116" s="363"/>
    </row>
    <row r="117" spans="1:33">
      <c r="A117" s="39" t="s">
        <v>0</v>
      </c>
      <c r="B117" s="39"/>
      <c r="C117" s="102"/>
      <c r="D117" s="103"/>
      <c r="E117" s="104"/>
      <c r="F117" s="104"/>
      <c r="G117" s="104"/>
      <c r="H117" s="104"/>
      <c r="I117" s="39"/>
      <c r="J117" s="104"/>
      <c r="K117" s="688"/>
      <c r="L117" s="335"/>
      <c r="M117" s="335"/>
      <c r="N117" s="335"/>
      <c r="O117" s="335"/>
      <c r="P117" s="335"/>
      <c r="Q117" s="335"/>
      <c r="R117" s="335"/>
      <c r="S117" s="335"/>
      <c r="T117" s="335"/>
      <c r="U117" s="335"/>
      <c r="V117" s="335"/>
      <c r="W117" s="335"/>
      <c r="X117" s="335"/>
      <c r="Y117" s="335"/>
      <c r="Z117" s="335"/>
      <c r="AA117" s="335"/>
      <c r="AB117" s="335"/>
      <c r="AC117" s="335"/>
      <c r="AD117" s="335"/>
      <c r="AE117" s="335"/>
    </row>
    <row r="118" spans="1:33">
      <c r="A118" s="41" t="s">
        <v>13</v>
      </c>
      <c r="B118" s="41"/>
      <c r="C118" s="105"/>
      <c r="D118" s="106"/>
      <c r="E118" s="37"/>
      <c r="F118" s="37"/>
      <c r="G118" s="37"/>
      <c r="H118" s="37"/>
      <c r="I118" s="41"/>
      <c r="J118" s="37"/>
      <c r="K118" s="683"/>
      <c r="L118" s="200"/>
      <c r="M118" s="200"/>
      <c r="N118" s="200"/>
      <c r="O118" s="200"/>
      <c r="P118" s="200"/>
      <c r="Q118" s="200"/>
      <c r="R118" s="200"/>
      <c r="S118" s="200"/>
      <c r="T118" s="200"/>
      <c r="U118" s="201"/>
      <c r="V118" s="323"/>
      <c r="W118" s="200"/>
      <c r="X118" s="200"/>
      <c r="Y118" s="200"/>
      <c r="Z118" s="200"/>
      <c r="AA118" s="200"/>
      <c r="AB118" s="200"/>
      <c r="AC118" s="200"/>
      <c r="AD118" s="200"/>
      <c r="AE118" s="201"/>
    </row>
    <row r="119" spans="1:33">
      <c r="A119" s="96" t="s">
        <v>56</v>
      </c>
      <c r="B119" s="735" t="s">
        <v>12</v>
      </c>
      <c r="C119" s="663">
        <v>55000</v>
      </c>
      <c r="D119" s="736">
        <f>C119/2080</f>
        <v>26.442307692307693</v>
      </c>
      <c r="E119" s="663">
        <v>0</v>
      </c>
      <c r="F119" s="663">
        <f>C119*$F$13</f>
        <v>22000</v>
      </c>
      <c r="G119" s="663">
        <f>SUM(C119,E119:F119)</f>
        <v>77000</v>
      </c>
      <c r="H119" s="736">
        <f>G119/2080*8</f>
        <v>296.15384615384613</v>
      </c>
      <c r="I119" s="736"/>
      <c r="J119" s="663"/>
      <c r="K119" s="683">
        <v>0</v>
      </c>
      <c r="L119" s="665">
        <v>0</v>
      </c>
      <c r="M119" s="665">
        <f>$H$119*M32*0.25</f>
        <v>15844.230769230768</v>
      </c>
      <c r="N119" s="665">
        <f t="shared" ref="N119:AE119" si="27">$M$119*M11</f>
        <v>16484.33769230769</v>
      </c>
      <c r="O119" s="665">
        <f t="shared" si="27"/>
        <v>16814.024446153842</v>
      </c>
      <c r="P119" s="665">
        <f t="shared" si="27"/>
        <v>17150.304935076922</v>
      </c>
      <c r="Q119" s="665">
        <f t="shared" si="27"/>
        <v>17493.31103377846</v>
      </c>
      <c r="R119" s="665">
        <f t="shared" si="27"/>
        <v>17843.177254454029</v>
      </c>
      <c r="S119" s="665">
        <f t="shared" si="27"/>
        <v>18200.040799543109</v>
      </c>
      <c r="T119" s="665">
        <f t="shared" si="27"/>
        <v>18564.041615533974</v>
      </c>
      <c r="U119" s="665">
        <f t="shared" si="27"/>
        <v>18935.322447844654</v>
      </c>
      <c r="V119" s="665">
        <f t="shared" si="27"/>
        <v>19314.028896801548</v>
      </c>
      <c r="W119" s="665">
        <f t="shared" si="27"/>
        <v>19700.30947473758</v>
      </c>
      <c r="X119" s="665">
        <f t="shared" si="27"/>
        <v>20094.31566423233</v>
      </c>
      <c r="Y119" s="665">
        <f t="shared" si="27"/>
        <v>20496.201977516976</v>
      </c>
      <c r="Z119" s="665">
        <f t="shared" si="27"/>
        <v>20906.126017067316</v>
      </c>
      <c r="AA119" s="665">
        <f t="shared" si="27"/>
        <v>21324.248537408665</v>
      </c>
      <c r="AB119" s="665">
        <f t="shared" si="27"/>
        <v>21750.733508156838</v>
      </c>
      <c r="AC119" s="665">
        <f t="shared" si="27"/>
        <v>22185.748178319976</v>
      </c>
      <c r="AD119" s="665">
        <f t="shared" si="27"/>
        <v>22629.463141886376</v>
      </c>
      <c r="AE119" s="665">
        <f t="shared" si="27"/>
        <v>23082.052404724102</v>
      </c>
    </row>
    <row r="120" spans="1:33">
      <c r="A120" s="96" t="s">
        <v>57</v>
      </c>
      <c r="B120" s="735" t="s">
        <v>15</v>
      </c>
      <c r="C120" s="663">
        <v>15000</v>
      </c>
      <c r="D120" s="736">
        <f>C120/2080</f>
        <v>7.2115384615384617</v>
      </c>
      <c r="E120" s="663">
        <f>C120*E12</f>
        <v>3000</v>
      </c>
      <c r="F120" s="663">
        <f t="shared" ref="F120:F121" si="28">C120*$F$13</f>
        <v>6000</v>
      </c>
      <c r="G120" s="663">
        <f t="shared" ref="G120:G121" si="29">SUM(C120,E120:F120)</f>
        <v>24000</v>
      </c>
      <c r="H120" s="736">
        <f>G120/2080*12</f>
        <v>138.46153846153845</v>
      </c>
      <c r="I120" s="736"/>
      <c r="J120" s="663"/>
      <c r="K120" s="683">
        <v>0</v>
      </c>
      <c r="L120" s="665">
        <v>0</v>
      </c>
      <c r="M120" s="665">
        <f>$H$120*M32*0.5</f>
        <v>14815.384615384615</v>
      </c>
      <c r="N120" s="665">
        <f t="shared" ref="N120:AE120" si="30">$M$120*M11</f>
        <v>15413.926153846154</v>
      </c>
      <c r="O120" s="665">
        <f t="shared" si="30"/>
        <v>15722.204676923076</v>
      </c>
      <c r="P120" s="665">
        <f t="shared" si="30"/>
        <v>16036.648770461537</v>
      </c>
      <c r="Q120" s="665">
        <f t="shared" si="30"/>
        <v>16357.381745870769</v>
      </c>
      <c r="R120" s="665">
        <f t="shared" si="30"/>
        <v>16684.529380788186</v>
      </c>
      <c r="S120" s="665">
        <f t="shared" si="30"/>
        <v>17018.219968403948</v>
      </c>
      <c r="T120" s="665">
        <f t="shared" si="30"/>
        <v>17358.58436777203</v>
      </c>
      <c r="U120" s="665">
        <f t="shared" si="30"/>
        <v>17705.756055127469</v>
      </c>
      <c r="V120" s="665">
        <f t="shared" si="30"/>
        <v>18059.871176230019</v>
      </c>
      <c r="W120" s="665">
        <f t="shared" si="30"/>
        <v>18421.068599754621</v>
      </c>
      <c r="X120" s="665">
        <f t="shared" si="30"/>
        <v>18789.489971749714</v>
      </c>
      <c r="Y120" s="665">
        <f t="shared" si="30"/>
        <v>19165.279771184705</v>
      </c>
      <c r="Z120" s="665">
        <f t="shared" si="30"/>
        <v>19548.5853666084</v>
      </c>
      <c r="AA120" s="665">
        <f t="shared" si="30"/>
        <v>19939.55707394057</v>
      </c>
      <c r="AB120" s="665">
        <f t="shared" si="30"/>
        <v>20338.348215419381</v>
      </c>
      <c r="AC120" s="665">
        <f t="shared" si="30"/>
        <v>20745.115179727771</v>
      </c>
      <c r="AD120" s="665">
        <f t="shared" si="30"/>
        <v>21160.017483322328</v>
      </c>
      <c r="AE120" s="665">
        <f t="shared" si="30"/>
        <v>21583.217832988772</v>
      </c>
    </row>
    <row r="121" spans="1:33">
      <c r="A121" s="737" t="s">
        <v>57</v>
      </c>
      <c r="B121" s="738" t="s">
        <v>15</v>
      </c>
      <c r="C121" s="739">
        <v>15000</v>
      </c>
      <c r="D121" s="740">
        <f>C121/2080</f>
        <v>7.2115384615384617</v>
      </c>
      <c r="E121" s="739">
        <f>C121*$E$12</f>
        <v>3000</v>
      </c>
      <c r="F121" s="739">
        <f t="shared" si="28"/>
        <v>6000</v>
      </c>
      <c r="G121" s="739">
        <f t="shared" si="29"/>
        <v>24000</v>
      </c>
      <c r="H121" s="740">
        <f t="shared" ref="H121" si="31">G121/2080*12</f>
        <v>138.46153846153845</v>
      </c>
      <c r="I121" s="740"/>
      <c r="J121" s="739"/>
      <c r="K121" s="741">
        <v>0</v>
      </c>
      <c r="L121" s="742">
        <v>0</v>
      </c>
      <c r="M121" s="742">
        <f>$H$121*M32*0.5</f>
        <v>14815.384615384615</v>
      </c>
      <c r="N121" s="742">
        <f t="shared" ref="N121:AE121" si="32">$M$121*M11</f>
        <v>15413.926153846154</v>
      </c>
      <c r="O121" s="742">
        <f t="shared" si="32"/>
        <v>15722.204676923076</v>
      </c>
      <c r="P121" s="742">
        <f t="shared" si="32"/>
        <v>16036.648770461537</v>
      </c>
      <c r="Q121" s="742">
        <f t="shared" si="32"/>
        <v>16357.381745870769</v>
      </c>
      <c r="R121" s="742">
        <f t="shared" si="32"/>
        <v>16684.529380788186</v>
      </c>
      <c r="S121" s="742">
        <f t="shared" si="32"/>
        <v>17018.219968403948</v>
      </c>
      <c r="T121" s="742">
        <f t="shared" si="32"/>
        <v>17358.58436777203</v>
      </c>
      <c r="U121" s="742">
        <f t="shared" si="32"/>
        <v>17705.756055127469</v>
      </c>
      <c r="V121" s="742">
        <f t="shared" si="32"/>
        <v>18059.871176230019</v>
      </c>
      <c r="W121" s="742">
        <f t="shared" si="32"/>
        <v>18421.068599754621</v>
      </c>
      <c r="X121" s="742">
        <f t="shared" si="32"/>
        <v>18789.489971749714</v>
      </c>
      <c r="Y121" s="742">
        <f t="shared" si="32"/>
        <v>19165.279771184705</v>
      </c>
      <c r="Z121" s="742">
        <f t="shared" si="32"/>
        <v>19548.5853666084</v>
      </c>
      <c r="AA121" s="742">
        <f t="shared" si="32"/>
        <v>19939.55707394057</v>
      </c>
      <c r="AB121" s="742">
        <f t="shared" si="32"/>
        <v>20338.348215419381</v>
      </c>
      <c r="AC121" s="742">
        <f t="shared" si="32"/>
        <v>20745.115179727771</v>
      </c>
      <c r="AD121" s="742">
        <f t="shared" si="32"/>
        <v>21160.017483322328</v>
      </c>
      <c r="AE121" s="742">
        <f t="shared" si="32"/>
        <v>21583.217832988772</v>
      </c>
    </row>
    <row r="122" spans="1:33">
      <c r="A122" s="164" t="s">
        <v>414</v>
      </c>
      <c r="B122" s="164"/>
      <c r="C122" s="667">
        <f>SUM(C119:C121)</f>
        <v>85000</v>
      </c>
      <c r="D122" s="667"/>
      <c r="E122" s="667">
        <f>SUM(E119:E121)</f>
        <v>6000</v>
      </c>
      <c r="F122" s="667">
        <f>SUM(F119:F121)</f>
        <v>34000</v>
      </c>
      <c r="G122" s="667">
        <f>SUM(G119:G121)</f>
        <v>125000</v>
      </c>
      <c r="H122" s="667">
        <f>SUM(H119:H121)</f>
        <v>573.07692307692309</v>
      </c>
      <c r="I122" s="668"/>
      <c r="J122" s="667"/>
      <c r="K122" s="685">
        <f>SUMIF($B119:$B121,"FT",K119:K121)</f>
        <v>0</v>
      </c>
      <c r="L122" s="669">
        <f>SUM(L119:L121)</f>
        <v>0</v>
      </c>
      <c r="M122" s="669">
        <f t="shared" ref="M122:AE122" si="33">SUM(M119:M121)</f>
        <v>45475</v>
      </c>
      <c r="N122" s="669">
        <f t="shared" si="33"/>
        <v>47312.19</v>
      </c>
      <c r="O122" s="669">
        <f t="shared" si="33"/>
        <v>48258.433799999999</v>
      </c>
      <c r="P122" s="669">
        <f t="shared" si="33"/>
        <v>49223.602475999993</v>
      </c>
      <c r="Q122" s="669">
        <f t="shared" si="33"/>
        <v>50208.074525520002</v>
      </c>
      <c r="R122" s="669">
        <f t="shared" si="33"/>
        <v>51212.236016030394</v>
      </c>
      <c r="S122" s="669">
        <f t="shared" si="33"/>
        <v>52236.480736351004</v>
      </c>
      <c r="T122" s="669">
        <f t="shared" si="33"/>
        <v>53281.210351078029</v>
      </c>
      <c r="U122" s="669">
        <f t="shared" si="33"/>
        <v>54346.834558099596</v>
      </c>
      <c r="V122" s="669">
        <f t="shared" si="33"/>
        <v>55433.771249261583</v>
      </c>
      <c r="W122" s="669">
        <f t="shared" si="33"/>
        <v>56542.446674246821</v>
      </c>
      <c r="X122" s="669">
        <f t="shared" si="33"/>
        <v>57673.295607731765</v>
      </c>
      <c r="Y122" s="669">
        <f t="shared" si="33"/>
        <v>58826.761519886393</v>
      </c>
      <c r="Z122" s="669">
        <f t="shared" si="33"/>
        <v>60003.29675028412</v>
      </c>
      <c r="AA122" s="669">
        <f t="shared" si="33"/>
        <v>61203.362685289801</v>
      </c>
      <c r="AB122" s="669">
        <f t="shared" si="33"/>
        <v>62427.4299389956</v>
      </c>
      <c r="AC122" s="669">
        <f t="shared" si="33"/>
        <v>63675.978537775518</v>
      </c>
      <c r="AD122" s="669">
        <f t="shared" si="33"/>
        <v>64949.498108531028</v>
      </c>
      <c r="AE122" s="669">
        <f t="shared" si="33"/>
        <v>66248.488070701642</v>
      </c>
    </row>
    <row r="123" spans="1:33">
      <c r="A123" s="37"/>
      <c r="B123" s="37"/>
      <c r="C123" s="663"/>
      <c r="D123" s="663"/>
      <c r="E123" s="663"/>
      <c r="F123" s="663"/>
      <c r="G123" s="663"/>
      <c r="H123" s="663"/>
      <c r="I123" s="670"/>
      <c r="J123" s="663"/>
      <c r="K123" s="683"/>
      <c r="L123" s="666"/>
      <c r="M123" s="666"/>
      <c r="N123" s="666"/>
      <c r="O123" s="666"/>
      <c r="P123" s="666"/>
      <c r="Q123" s="666"/>
      <c r="R123" s="666"/>
      <c r="S123" s="666"/>
      <c r="T123" s="666"/>
      <c r="U123" s="666"/>
      <c r="V123" s="666"/>
      <c r="W123" s="666"/>
      <c r="X123" s="666"/>
      <c r="Y123" s="666"/>
      <c r="Z123" s="666"/>
      <c r="AA123" s="666"/>
      <c r="AB123" s="666"/>
      <c r="AC123" s="666"/>
      <c r="AD123" s="666"/>
      <c r="AE123" s="666"/>
    </row>
    <row r="124" spans="1:33">
      <c r="A124" s="37" t="s">
        <v>11</v>
      </c>
      <c r="B124" s="37"/>
      <c r="C124" s="663"/>
      <c r="D124" s="663"/>
      <c r="E124" s="663"/>
      <c r="F124" s="663"/>
      <c r="G124" s="663"/>
      <c r="H124" s="663"/>
      <c r="I124" s="670"/>
      <c r="J124" s="663"/>
      <c r="K124" s="743">
        <f>COUNTIF(K119:K121,"&gt;100")</f>
        <v>0</v>
      </c>
      <c r="L124" s="496">
        <f>COUNTIF(L119,"&gt;100")</f>
        <v>0</v>
      </c>
      <c r="M124" s="496">
        <f t="shared" ref="M124:AE124" si="34">COUNTIF(M119,"&gt;100")</f>
        <v>1</v>
      </c>
      <c r="N124" s="496">
        <f t="shared" si="34"/>
        <v>1</v>
      </c>
      <c r="O124" s="496">
        <f t="shared" si="34"/>
        <v>1</v>
      </c>
      <c r="P124" s="496">
        <f t="shared" si="34"/>
        <v>1</v>
      </c>
      <c r="Q124" s="496">
        <f t="shared" si="34"/>
        <v>1</v>
      </c>
      <c r="R124" s="496">
        <f t="shared" si="34"/>
        <v>1</v>
      </c>
      <c r="S124" s="496">
        <f t="shared" si="34"/>
        <v>1</v>
      </c>
      <c r="T124" s="496">
        <f t="shared" si="34"/>
        <v>1</v>
      </c>
      <c r="U124" s="496">
        <f t="shared" si="34"/>
        <v>1</v>
      </c>
      <c r="V124" s="496">
        <f t="shared" si="34"/>
        <v>1</v>
      </c>
      <c r="W124" s="496">
        <f t="shared" si="34"/>
        <v>1</v>
      </c>
      <c r="X124" s="496">
        <f t="shared" si="34"/>
        <v>1</v>
      </c>
      <c r="Y124" s="496">
        <f t="shared" si="34"/>
        <v>1</v>
      </c>
      <c r="Z124" s="496">
        <f t="shared" si="34"/>
        <v>1</v>
      </c>
      <c r="AA124" s="496">
        <f t="shared" si="34"/>
        <v>1</v>
      </c>
      <c r="AB124" s="496">
        <f t="shared" si="34"/>
        <v>1</v>
      </c>
      <c r="AC124" s="496">
        <f t="shared" si="34"/>
        <v>1</v>
      </c>
      <c r="AD124" s="496">
        <f t="shared" si="34"/>
        <v>1</v>
      </c>
      <c r="AE124" s="496">
        <f t="shared" si="34"/>
        <v>1</v>
      </c>
    </row>
    <row r="125" spans="1:33">
      <c r="A125" s="745" t="s">
        <v>10</v>
      </c>
      <c r="B125" s="745"/>
      <c r="C125" s="739"/>
      <c r="D125" s="739"/>
      <c r="E125" s="739"/>
      <c r="F125" s="739"/>
      <c r="G125" s="739"/>
      <c r="H125" s="739"/>
      <c r="I125" s="763"/>
      <c r="J125" s="739"/>
      <c r="K125" s="749">
        <f t="shared" ref="K125" si="35">K126-K124</f>
        <v>0</v>
      </c>
      <c r="L125" s="750">
        <f>COUNTIF(L120:L121,"&gt;100")</f>
        <v>0</v>
      </c>
      <c r="M125" s="750">
        <f t="shared" ref="M125:AE125" si="36">COUNTIF(M120:M121,"&gt;100")</f>
        <v>2</v>
      </c>
      <c r="N125" s="750">
        <f t="shared" si="36"/>
        <v>2</v>
      </c>
      <c r="O125" s="750">
        <f t="shared" si="36"/>
        <v>2</v>
      </c>
      <c r="P125" s="750">
        <f t="shared" si="36"/>
        <v>2</v>
      </c>
      <c r="Q125" s="750">
        <f t="shared" si="36"/>
        <v>2</v>
      </c>
      <c r="R125" s="750">
        <f t="shared" si="36"/>
        <v>2</v>
      </c>
      <c r="S125" s="750">
        <f t="shared" si="36"/>
        <v>2</v>
      </c>
      <c r="T125" s="750">
        <f t="shared" si="36"/>
        <v>2</v>
      </c>
      <c r="U125" s="750">
        <f t="shared" si="36"/>
        <v>2</v>
      </c>
      <c r="V125" s="750">
        <f t="shared" si="36"/>
        <v>2</v>
      </c>
      <c r="W125" s="750">
        <f t="shared" si="36"/>
        <v>2</v>
      </c>
      <c r="X125" s="750">
        <f t="shared" si="36"/>
        <v>2</v>
      </c>
      <c r="Y125" s="750">
        <f t="shared" si="36"/>
        <v>2</v>
      </c>
      <c r="Z125" s="750">
        <f t="shared" si="36"/>
        <v>2</v>
      </c>
      <c r="AA125" s="750">
        <f t="shared" si="36"/>
        <v>2</v>
      </c>
      <c r="AB125" s="750">
        <f t="shared" si="36"/>
        <v>2</v>
      </c>
      <c r="AC125" s="750">
        <f t="shared" si="36"/>
        <v>2</v>
      </c>
      <c r="AD125" s="750">
        <f t="shared" si="36"/>
        <v>2</v>
      </c>
      <c r="AE125" s="750">
        <f t="shared" si="36"/>
        <v>2</v>
      </c>
    </row>
    <row r="126" spans="1:33">
      <c r="A126" s="164" t="s">
        <v>9</v>
      </c>
      <c r="B126" s="164"/>
      <c r="C126" s="667"/>
      <c r="D126" s="667"/>
      <c r="E126" s="667"/>
      <c r="F126" s="667"/>
      <c r="G126" s="667"/>
      <c r="H126" s="667"/>
      <c r="I126" s="668"/>
      <c r="J126" s="667"/>
      <c r="K126" s="751">
        <f t="shared" ref="K126:AE126" si="37">COUNTIF(K119:K121,"&gt;0")</f>
        <v>0</v>
      </c>
      <c r="L126" s="752">
        <f t="shared" si="37"/>
        <v>0</v>
      </c>
      <c r="M126" s="752">
        <f t="shared" si="37"/>
        <v>3</v>
      </c>
      <c r="N126" s="752">
        <f t="shared" si="37"/>
        <v>3</v>
      </c>
      <c r="O126" s="752">
        <f t="shared" si="37"/>
        <v>3</v>
      </c>
      <c r="P126" s="752">
        <f t="shared" si="37"/>
        <v>3</v>
      </c>
      <c r="Q126" s="752">
        <f t="shared" si="37"/>
        <v>3</v>
      </c>
      <c r="R126" s="752">
        <f t="shared" si="37"/>
        <v>3</v>
      </c>
      <c r="S126" s="752">
        <f t="shared" si="37"/>
        <v>3</v>
      </c>
      <c r="T126" s="752">
        <f t="shared" si="37"/>
        <v>3</v>
      </c>
      <c r="U126" s="752">
        <f t="shared" si="37"/>
        <v>3</v>
      </c>
      <c r="V126" s="752">
        <f t="shared" si="37"/>
        <v>3</v>
      </c>
      <c r="W126" s="752">
        <f t="shared" si="37"/>
        <v>3</v>
      </c>
      <c r="X126" s="752">
        <f t="shared" si="37"/>
        <v>3</v>
      </c>
      <c r="Y126" s="752">
        <f t="shared" si="37"/>
        <v>3</v>
      </c>
      <c r="Z126" s="752">
        <f t="shared" si="37"/>
        <v>3</v>
      </c>
      <c r="AA126" s="752">
        <f t="shared" si="37"/>
        <v>3</v>
      </c>
      <c r="AB126" s="752">
        <f t="shared" si="37"/>
        <v>3</v>
      </c>
      <c r="AC126" s="752">
        <f t="shared" si="37"/>
        <v>3</v>
      </c>
      <c r="AD126" s="752">
        <f t="shared" si="37"/>
        <v>3</v>
      </c>
      <c r="AE126" s="752">
        <f t="shared" si="37"/>
        <v>3</v>
      </c>
    </row>
    <row r="127" spans="1:33">
      <c r="A127" s="37"/>
      <c r="B127" s="37"/>
      <c r="C127" s="57"/>
      <c r="E127" s="57"/>
      <c r="F127" s="57"/>
      <c r="G127" s="57"/>
      <c r="H127" s="57"/>
      <c r="I127" s="43"/>
      <c r="J127" s="42"/>
      <c r="K127" s="683"/>
      <c r="L127" s="316"/>
      <c r="M127" s="316"/>
      <c r="N127" s="316"/>
      <c r="O127" s="316"/>
      <c r="P127" s="316"/>
      <c r="Q127" s="316"/>
      <c r="R127" s="316"/>
      <c r="S127" s="316"/>
      <c r="T127" s="316"/>
      <c r="U127" s="316"/>
      <c r="V127" s="316"/>
      <c r="W127" s="316"/>
      <c r="X127" s="316"/>
      <c r="Y127" s="316"/>
      <c r="Z127" s="316"/>
      <c r="AA127" s="316"/>
      <c r="AB127" s="316"/>
      <c r="AC127" s="316"/>
      <c r="AD127" s="316"/>
      <c r="AE127" s="316"/>
    </row>
    <row r="128" spans="1:33" s="55" customFormat="1">
      <c r="A128" s="190" t="s">
        <v>60</v>
      </c>
      <c r="B128" s="191"/>
      <c r="C128" s="192"/>
      <c r="D128" s="193"/>
      <c r="E128" s="194"/>
      <c r="F128" s="194"/>
      <c r="G128" s="192"/>
      <c r="H128" s="192"/>
      <c r="I128" s="195">
        <v>0.2</v>
      </c>
      <c r="J128" s="196"/>
      <c r="K128" s="683">
        <v>0</v>
      </c>
      <c r="L128" s="665">
        <f>$I$128*L122</f>
        <v>0</v>
      </c>
      <c r="M128" s="665">
        <f t="shared" ref="M128:AE128" si="38">$I$128*M122</f>
        <v>9095</v>
      </c>
      <c r="N128" s="665">
        <f t="shared" si="38"/>
        <v>9462.4380000000001</v>
      </c>
      <c r="O128" s="665">
        <f t="shared" si="38"/>
        <v>9651.6867600000005</v>
      </c>
      <c r="P128" s="665">
        <f t="shared" si="38"/>
        <v>9844.7204951999993</v>
      </c>
      <c r="Q128" s="665">
        <f t="shared" si="38"/>
        <v>10041.614905104001</v>
      </c>
      <c r="R128" s="665">
        <f t="shared" si="38"/>
        <v>10242.44720320608</v>
      </c>
      <c r="S128" s="665">
        <f t="shared" si="38"/>
        <v>10447.296147270201</v>
      </c>
      <c r="T128" s="665">
        <f t="shared" si="38"/>
        <v>10656.242070215607</v>
      </c>
      <c r="U128" s="665">
        <f t="shared" si="38"/>
        <v>10869.36691161992</v>
      </c>
      <c r="V128" s="665">
        <f t="shared" si="38"/>
        <v>11086.754249852318</v>
      </c>
      <c r="W128" s="665">
        <f t="shared" si="38"/>
        <v>11308.489334849364</v>
      </c>
      <c r="X128" s="665">
        <f t="shared" si="38"/>
        <v>11534.659121546354</v>
      </c>
      <c r="Y128" s="665">
        <f t="shared" si="38"/>
        <v>11765.352303977279</v>
      </c>
      <c r="Z128" s="665">
        <f t="shared" si="38"/>
        <v>12000.659350056825</v>
      </c>
      <c r="AA128" s="665">
        <f t="shared" si="38"/>
        <v>12240.672537057961</v>
      </c>
      <c r="AB128" s="665">
        <f t="shared" si="38"/>
        <v>12485.48598779912</v>
      </c>
      <c r="AC128" s="665">
        <f t="shared" si="38"/>
        <v>12735.195707555104</v>
      </c>
      <c r="AD128" s="665">
        <f t="shared" si="38"/>
        <v>12989.899621706207</v>
      </c>
      <c r="AE128" s="665">
        <f t="shared" si="38"/>
        <v>13249.697614140328</v>
      </c>
    </row>
    <row r="129" spans="1:33">
      <c r="A129" s="190"/>
      <c r="B129" s="191"/>
      <c r="C129" s="192"/>
      <c r="D129" s="193"/>
      <c r="E129" s="194"/>
      <c r="F129" s="194"/>
      <c r="G129" s="192"/>
      <c r="H129" s="192"/>
      <c r="I129" s="195"/>
      <c r="J129" s="196"/>
      <c r="K129" s="685"/>
      <c r="L129" s="665"/>
      <c r="M129" s="665"/>
      <c r="N129" s="665"/>
      <c r="O129" s="665"/>
      <c r="P129" s="665"/>
      <c r="Q129" s="665"/>
      <c r="R129" s="665"/>
      <c r="S129" s="665"/>
      <c r="T129" s="665"/>
      <c r="U129" s="665"/>
      <c r="V129" s="665"/>
      <c r="W129" s="665"/>
      <c r="X129" s="665"/>
      <c r="Y129" s="665"/>
      <c r="Z129" s="665"/>
      <c r="AA129" s="665"/>
      <c r="AB129" s="665"/>
      <c r="AC129" s="665"/>
      <c r="AD129" s="665"/>
      <c r="AE129" s="665"/>
    </row>
    <row r="130" spans="1:33">
      <c r="A130" s="164" t="s">
        <v>61</v>
      </c>
      <c r="B130" s="164"/>
      <c r="C130" s="75"/>
      <c r="D130" s="173"/>
      <c r="E130" s="75"/>
      <c r="F130" s="75"/>
      <c r="G130" s="75"/>
      <c r="H130" s="75"/>
      <c r="I130" s="174"/>
      <c r="J130" s="175"/>
      <c r="K130" s="685">
        <v>0</v>
      </c>
      <c r="L130" s="669">
        <f>SUM(L122,L128)</f>
        <v>0</v>
      </c>
      <c r="M130" s="669">
        <f t="shared" ref="M130:AE130" si="39">SUM(M122,M128)</f>
        <v>54570</v>
      </c>
      <c r="N130" s="669">
        <f t="shared" si="39"/>
        <v>56774.628000000004</v>
      </c>
      <c r="O130" s="669">
        <f t="shared" si="39"/>
        <v>57910.120559999996</v>
      </c>
      <c r="P130" s="669">
        <f t="shared" si="39"/>
        <v>59068.322971199988</v>
      </c>
      <c r="Q130" s="669">
        <f t="shared" si="39"/>
        <v>60249.689430623999</v>
      </c>
      <c r="R130" s="669">
        <f t="shared" si="39"/>
        <v>61454.683219236475</v>
      </c>
      <c r="S130" s="669">
        <f t="shared" si="39"/>
        <v>62683.776883621205</v>
      </c>
      <c r="T130" s="669">
        <f t="shared" si="39"/>
        <v>63937.452421293638</v>
      </c>
      <c r="U130" s="669">
        <f t="shared" si="39"/>
        <v>65216.201469719512</v>
      </c>
      <c r="V130" s="669">
        <f t="shared" si="39"/>
        <v>66520.525499113894</v>
      </c>
      <c r="W130" s="669">
        <f t="shared" si="39"/>
        <v>67850.936009096185</v>
      </c>
      <c r="X130" s="669">
        <f t="shared" si="39"/>
        <v>69207.954729278121</v>
      </c>
      <c r="Y130" s="669">
        <f t="shared" si="39"/>
        <v>70592.113823863678</v>
      </c>
      <c r="Z130" s="669">
        <f t="shared" si="39"/>
        <v>72003.956100340947</v>
      </c>
      <c r="AA130" s="669">
        <f t="shared" si="39"/>
        <v>73444.035222347768</v>
      </c>
      <c r="AB130" s="669">
        <f t="shared" si="39"/>
        <v>74912.915926794725</v>
      </c>
      <c r="AC130" s="669">
        <f t="shared" si="39"/>
        <v>76411.174245330621</v>
      </c>
      <c r="AD130" s="669">
        <f t="shared" si="39"/>
        <v>77939.397730237237</v>
      </c>
      <c r="AE130" s="669">
        <f t="shared" si="39"/>
        <v>79498.18568484197</v>
      </c>
    </row>
    <row r="131" spans="1:33">
      <c r="A131" s="183"/>
      <c r="B131" s="184"/>
      <c r="C131" s="185"/>
      <c r="D131" s="186"/>
      <c r="E131" s="185"/>
      <c r="F131" s="185"/>
      <c r="G131" s="185"/>
      <c r="H131" s="185"/>
      <c r="I131" s="187"/>
      <c r="J131" s="188"/>
      <c r="K131" s="683"/>
      <c r="L131" s="320"/>
      <c r="M131" s="320"/>
      <c r="N131" s="320"/>
      <c r="O131" s="320"/>
      <c r="P131" s="320"/>
      <c r="Q131" s="320"/>
      <c r="R131" s="320"/>
      <c r="S131" s="320"/>
      <c r="T131" s="320"/>
      <c r="U131" s="320"/>
      <c r="V131" s="320"/>
      <c r="W131" s="320"/>
      <c r="X131" s="320"/>
      <c r="Y131" s="320"/>
      <c r="Z131" s="320"/>
      <c r="AA131" s="320"/>
      <c r="AB131" s="320"/>
      <c r="AC131" s="320"/>
      <c r="AD131" s="320"/>
      <c r="AE131" s="320"/>
    </row>
    <row r="132" spans="1:33">
      <c r="A132" s="39" t="s">
        <v>4</v>
      </c>
      <c r="B132" s="39"/>
      <c r="C132" s="111"/>
      <c r="D132" s="112"/>
      <c r="E132" s="111"/>
      <c r="F132" s="111"/>
      <c r="G132" s="111"/>
      <c r="H132" s="111"/>
      <c r="I132" s="40"/>
      <c r="J132" s="113"/>
      <c r="K132" s="688"/>
      <c r="L132" s="321"/>
      <c r="M132" s="321"/>
      <c r="N132" s="321"/>
      <c r="O132" s="321"/>
      <c r="P132" s="321"/>
      <c r="Q132" s="321"/>
      <c r="R132" s="321"/>
      <c r="S132" s="321"/>
      <c r="T132" s="321"/>
      <c r="U132" s="321"/>
      <c r="V132" s="321"/>
      <c r="W132" s="321"/>
      <c r="X132" s="321"/>
      <c r="Y132" s="321"/>
      <c r="Z132" s="321"/>
      <c r="AA132" s="321"/>
      <c r="AB132" s="321"/>
      <c r="AC132" s="321"/>
      <c r="AD132" s="321"/>
      <c r="AE132" s="321"/>
    </row>
    <row r="133" spans="1:33">
      <c r="A133" s="41" t="s">
        <v>13</v>
      </c>
      <c r="B133" s="41"/>
      <c r="C133" s="105"/>
      <c r="D133" s="106"/>
      <c r="E133" s="37"/>
      <c r="F133" s="37"/>
      <c r="G133" s="37"/>
      <c r="H133" s="37"/>
      <c r="I133" s="41"/>
      <c r="J133" s="37"/>
      <c r="K133" s="683"/>
      <c r="L133" s="200"/>
      <c r="M133" s="200"/>
      <c r="N133" s="200"/>
      <c r="O133" s="200"/>
      <c r="P133" s="200"/>
      <c r="Q133" s="200"/>
      <c r="R133" s="200"/>
      <c r="S133" s="200"/>
      <c r="T133" s="200"/>
      <c r="U133" s="201"/>
      <c r="V133" s="323"/>
      <c r="W133" s="200"/>
      <c r="X133" s="200"/>
      <c r="Y133" s="200"/>
      <c r="Z133" s="200"/>
      <c r="AA133" s="200"/>
      <c r="AB133" s="200"/>
      <c r="AC133" s="200"/>
      <c r="AD133" s="200"/>
      <c r="AE133" s="201"/>
    </row>
    <row r="134" spans="1:33">
      <c r="A134" s="33" t="s">
        <v>65</v>
      </c>
      <c r="B134" s="735" t="s">
        <v>12</v>
      </c>
      <c r="C134" s="663">
        <v>65000</v>
      </c>
      <c r="D134" s="736">
        <f>C134/2080</f>
        <v>31.25</v>
      </c>
      <c r="E134" s="663">
        <v>0</v>
      </c>
      <c r="F134" s="663">
        <f>C134*$F$13</f>
        <v>26000</v>
      </c>
      <c r="G134" s="663">
        <f>SUM(C134,E134:F134)</f>
        <v>91000</v>
      </c>
      <c r="H134" s="736">
        <f>G134/2080*8</f>
        <v>350</v>
      </c>
      <c r="I134" s="764"/>
      <c r="J134" s="765"/>
      <c r="K134" s="683">
        <v>0</v>
      </c>
      <c r="L134" s="665">
        <v>0</v>
      </c>
      <c r="M134" s="665">
        <f>$H$134*M32*0.25</f>
        <v>18725</v>
      </c>
      <c r="N134" s="665">
        <f t="shared" ref="N134:AE134" si="40">$M$134*L11</f>
        <v>19099.5</v>
      </c>
      <c r="O134" s="665">
        <f t="shared" si="40"/>
        <v>19481.490000000002</v>
      </c>
      <c r="P134" s="665">
        <f t="shared" si="40"/>
        <v>19871.1198</v>
      </c>
      <c r="Q134" s="665">
        <f t="shared" si="40"/>
        <v>20268.542195999999</v>
      </c>
      <c r="R134" s="665">
        <f t="shared" si="40"/>
        <v>20673.91303992</v>
      </c>
      <c r="S134" s="665">
        <f t="shared" si="40"/>
        <v>21087.391300718402</v>
      </c>
      <c r="T134" s="665">
        <f t="shared" si="40"/>
        <v>21509.139126732767</v>
      </c>
      <c r="U134" s="665">
        <f t="shared" si="40"/>
        <v>21939.321909267426</v>
      </c>
      <c r="V134" s="665">
        <f t="shared" si="40"/>
        <v>22378.108347452773</v>
      </c>
      <c r="W134" s="665">
        <f t="shared" si="40"/>
        <v>22825.670514401831</v>
      </c>
      <c r="X134" s="665">
        <f t="shared" si="40"/>
        <v>23282.183924689867</v>
      </c>
      <c r="Y134" s="665">
        <f t="shared" si="40"/>
        <v>23747.827603183665</v>
      </c>
      <c r="Z134" s="665">
        <f t="shared" si="40"/>
        <v>24222.784155247336</v>
      </c>
      <c r="AA134" s="665">
        <f t="shared" si="40"/>
        <v>24707.239838352285</v>
      </c>
      <c r="AB134" s="665">
        <f t="shared" si="40"/>
        <v>25201.384635119332</v>
      </c>
      <c r="AC134" s="665">
        <f t="shared" si="40"/>
        <v>25705.412327821719</v>
      </c>
      <c r="AD134" s="665">
        <f t="shared" si="40"/>
        <v>26219.520574378155</v>
      </c>
      <c r="AE134" s="665">
        <f t="shared" si="40"/>
        <v>26743.910985865718</v>
      </c>
    </row>
    <row r="135" spans="1:33">
      <c r="A135" s="37" t="s">
        <v>62</v>
      </c>
      <c r="B135" s="735" t="s">
        <v>12</v>
      </c>
      <c r="C135" s="663">
        <v>85000</v>
      </c>
      <c r="D135" s="736">
        <f>C135/2080</f>
        <v>40.865384615384613</v>
      </c>
      <c r="E135" s="663">
        <f>C135*$L$15</f>
        <v>0</v>
      </c>
      <c r="F135" s="663">
        <f t="shared" ref="F135:F138" si="41">C135*$F$13</f>
        <v>34000</v>
      </c>
      <c r="G135" s="663">
        <f t="shared" ref="G135:G138" si="42">SUM(C135,E135:F135)</f>
        <v>119000</v>
      </c>
      <c r="H135" s="736">
        <f>G135/2080*8</f>
        <v>457.69230769230768</v>
      </c>
      <c r="I135" s="764"/>
      <c r="J135" s="765"/>
      <c r="K135" s="683">
        <v>0</v>
      </c>
      <c r="L135" s="665">
        <v>0</v>
      </c>
      <c r="M135" s="665">
        <f>$H$135*M32*0.1</f>
        <v>9794.6153846153848</v>
      </c>
      <c r="N135" s="665">
        <f t="shared" ref="N135:AE135" si="43">$M$135*L11</f>
        <v>9990.5076923076922</v>
      </c>
      <c r="O135" s="665">
        <f t="shared" si="43"/>
        <v>10190.317846153846</v>
      </c>
      <c r="P135" s="665">
        <f t="shared" si="43"/>
        <v>10394.124203076923</v>
      </c>
      <c r="Q135" s="665">
        <f t="shared" si="43"/>
        <v>10602.006687138461</v>
      </c>
      <c r="R135" s="665">
        <f t="shared" si="43"/>
        <v>10814.046820881231</v>
      </c>
      <c r="S135" s="665">
        <f t="shared" si="43"/>
        <v>11030.327757298855</v>
      </c>
      <c r="T135" s="665">
        <f t="shared" si="43"/>
        <v>11250.934312444833</v>
      </c>
      <c r="U135" s="665">
        <f t="shared" si="43"/>
        <v>11475.95299869373</v>
      </c>
      <c r="V135" s="665">
        <f t="shared" si="43"/>
        <v>11705.472058667605</v>
      </c>
      <c r="W135" s="665">
        <f t="shared" si="43"/>
        <v>11939.581499840959</v>
      </c>
      <c r="X135" s="665">
        <f t="shared" si="43"/>
        <v>12178.373129837777</v>
      </c>
      <c r="Y135" s="665">
        <f t="shared" si="43"/>
        <v>12421.940592434532</v>
      </c>
      <c r="Z135" s="665">
        <f t="shared" si="43"/>
        <v>12670.379404283221</v>
      </c>
      <c r="AA135" s="665">
        <f t="shared" si="43"/>
        <v>12923.786992368889</v>
      </c>
      <c r="AB135" s="665">
        <f t="shared" si="43"/>
        <v>13182.262732216266</v>
      </c>
      <c r="AC135" s="665">
        <f t="shared" si="43"/>
        <v>13445.907986860591</v>
      </c>
      <c r="AD135" s="665">
        <f t="shared" si="43"/>
        <v>13714.826146597805</v>
      </c>
      <c r="AE135" s="665">
        <f t="shared" si="43"/>
        <v>13989.122669529761</v>
      </c>
    </row>
    <row r="136" spans="1:33">
      <c r="A136" s="37" t="s">
        <v>419</v>
      </c>
      <c r="B136" s="735" t="s">
        <v>12</v>
      </c>
      <c r="C136" s="663">
        <v>75000</v>
      </c>
      <c r="D136" s="736">
        <f>C136/2080</f>
        <v>36.057692307692307</v>
      </c>
      <c r="E136" s="663">
        <f>C136*$L$15</f>
        <v>0</v>
      </c>
      <c r="F136" s="663">
        <f t="shared" si="41"/>
        <v>30000</v>
      </c>
      <c r="G136" s="663">
        <f t="shared" si="42"/>
        <v>105000</v>
      </c>
      <c r="H136" s="736">
        <f>G136/2080*8</f>
        <v>403.84615384615387</v>
      </c>
      <c r="I136" s="764"/>
      <c r="J136" s="765"/>
      <c r="K136" s="683">
        <v>0</v>
      </c>
      <c r="L136" s="665">
        <v>0</v>
      </c>
      <c r="M136" s="665">
        <f>$H$136*M32*0.1</f>
        <v>8642.3076923076933</v>
      </c>
      <c r="N136" s="665">
        <f t="shared" ref="N136:AE136" si="44">$M$136*L11</f>
        <v>8815.1538461538476</v>
      </c>
      <c r="O136" s="665">
        <f t="shared" si="44"/>
        <v>8991.4569230769248</v>
      </c>
      <c r="P136" s="665">
        <f t="shared" si="44"/>
        <v>9171.2860615384616</v>
      </c>
      <c r="Q136" s="665">
        <f t="shared" si="44"/>
        <v>9354.7117827692309</v>
      </c>
      <c r="R136" s="665">
        <f t="shared" si="44"/>
        <v>9541.8060184246169</v>
      </c>
      <c r="S136" s="665">
        <f t="shared" si="44"/>
        <v>9732.6421387931096</v>
      </c>
      <c r="T136" s="665">
        <f t="shared" si="44"/>
        <v>9927.2949815689717</v>
      </c>
      <c r="U136" s="665">
        <f t="shared" si="44"/>
        <v>10125.840881200351</v>
      </c>
      <c r="V136" s="665">
        <f t="shared" si="44"/>
        <v>10328.357698824359</v>
      </c>
      <c r="W136" s="665">
        <f t="shared" si="44"/>
        <v>10534.924852800847</v>
      </c>
      <c r="X136" s="665">
        <f t="shared" si="44"/>
        <v>10745.623349856864</v>
      </c>
      <c r="Y136" s="665">
        <f t="shared" si="44"/>
        <v>10960.535816854001</v>
      </c>
      <c r="Z136" s="665">
        <f t="shared" si="44"/>
        <v>11179.746533191079</v>
      </c>
      <c r="AA136" s="665">
        <f t="shared" si="44"/>
        <v>11403.341463854902</v>
      </c>
      <c r="AB136" s="665">
        <f t="shared" si="44"/>
        <v>11631.408293132001</v>
      </c>
      <c r="AC136" s="665">
        <f t="shared" si="44"/>
        <v>11864.03645899464</v>
      </c>
      <c r="AD136" s="665">
        <f t="shared" si="44"/>
        <v>12101.317188174535</v>
      </c>
      <c r="AE136" s="665">
        <f t="shared" si="44"/>
        <v>12343.343531938026</v>
      </c>
    </row>
    <row r="137" spans="1:33">
      <c r="A137" s="37" t="s">
        <v>63</v>
      </c>
      <c r="B137" s="735" t="s">
        <v>15</v>
      </c>
      <c r="C137" s="663">
        <v>15000</v>
      </c>
      <c r="D137" s="736">
        <f t="shared" ref="D137:D138" si="45">C137/2080</f>
        <v>7.2115384615384617</v>
      </c>
      <c r="E137" s="663">
        <f>C137*$L$15</f>
        <v>0</v>
      </c>
      <c r="F137" s="663">
        <f t="shared" si="41"/>
        <v>6000</v>
      </c>
      <c r="G137" s="663">
        <f t="shared" si="42"/>
        <v>21000</v>
      </c>
      <c r="H137" s="736">
        <f t="shared" ref="H137:H138" si="46">G137/2080*8</f>
        <v>80.769230769230774</v>
      </c>
      <c r="I137" s="764"/>
      <c r="J137" s="765"/>
      <c r="K137" s="683">
        <v>0</v>
      </c>
      <c r="L137" s="665">
        <v>0</v>
      </c>
      <c r="M137" s="665">
        <f>($H$137*M32)*0.5</f>
        <v>8642.3076923076933</v>
      </c>
      <c r="N137" s="665">
        <f t="shared" ref="N137:AE137" si="47">$M$137*L11</f>
        <v>8815.1538461538476</v>
      </c>
      <c r="O137" s="665">
        <f t="shared" si="47"/>
        <v>8991.4569230769248</v>
      </c>
      <c r="P137" s="665">
        <f t="shared" si="47"/>
        <v>9171.2860615384616</v>
      </c>
      <c r="Q137" s="665">
        <f t="shared" si="47"/>
        <v>9354.7117827692309</v>
      </c>
      <c r="R137" s="665">
        <f t="shared" si="47"/>
        <v>9541.8060184246169</v>
      </c>
      <c r="S137" s="665">
        <f t="shared" si="47"/>
        <v>9732.6421387931096</v>
      </c>
      <c r="T137" s="665">
        <f t="shared" si="47"/>
        <v>9927.2949815689717</v>
      </c>
      <c r="U137" s="665">
        <f t="shared" si="47"/>
        <v>10125.840881200351</v>
      </c>
      <c r="V137" s="665">
        <f t="shared" si="47"/>
        <v>10328.357698824359</v>
      </c>
      <c r="W137" s="665">
        <f t="shared" si="47"/>
        <v>10534.924852800847</v>
      </c>
      <c r="X137" s="665">
        <f t="shared" si="47"/>
        <v>10745.623349856864</v>
      </c>
      <c r="Y137" s="665">
        <f t="shared" si="47"/>
        <v>10960.535816854001</v>
      </c>
      <c r="Z137" s="665">
        <f t="shared" si="47"/>
        <v>11179.746533191079</v>
      </c>
      <c r="AA137" s="665">
        <f t="shared" si="47"/>
        <v>11403.341463854902</v>
      </c>
      <c r="AB137" s="665">
        <f t="shared" si="47"/>
        <v>11631.408293132001</v>
      </c>
      <c r="AC137" s="665">
        <f t="shared" si="47"/>
        <v>11864.03645899464</v>
      </c>
      <c r="AD137" s="665">
        <f t="shared" si="47"/>
        <v>12101.317188174535</v>
      </c>
      <c r="AE137" s="665">
        <f t="shared" si="47"/>
        <v>12343.343531938026</v>
      </c>
    </row>
    <row r="138" spans="1:33">
      <c r="A138" s="745" t="s">
        <v>63</v>
      </c>
      <c r="B138" s="738" t="s">
        <v>15</v>
      </c>
      <c r="C138" s="739">
        <v>15000</v>
      </c>
      <c r="D138" s="740">
        <f t="shared" si="45"/>
        <v>7.2115384615384617</v>
      </c>
      <c r="E138" s="739">
        <f>C138*$L$15</f>
        <v>0</v>
      </c>
      <c r="F138" s="739">
        <f t="shared" si="41"/>
        <v>6000</v>
      </c>
      <c r="G138" s="739">
        <f t="shared" si="42"/>
        <v>21000</v>
      </c>
      <c r="H138" s="740">
        <f t="shared" si="46"/>
        <v>80.769230769230774</v>
      </c>
      <c r="I138" s="766"/>
      <c r="J138" s="767"/>
      <c r="K138" s="741">
        <v>0</v>
      </c>
      <c r="L138" s="742">
        <v>0</v>
      </c>
      <c r="M138" s="742">
        <f>($H$138*M32)*0.5</f>
        <v>8642.3076923076933</v>
      </c>
      <c r="N138" s="742">
        <f t="shared" ref="N138:AE138" si="48">$M$138*L11</f>
        <v>8815.1538461538476</v>
      </c>
      <c r="O138" s="742">
        <f t="shared" si="48"/>
        <v>8991.4569230769248</v>
      </c>
      <c r="P138" s="742">
        <f t="shared" si="48"/>
        <v>9171.2860615384616</v>
      </c>
      <c r="Q138" s="742">
        <f t="shared" si="48"/>
        <v>9354.7117827692309</v>
      </c>
      <c r="R138" s="742">
        <f t="shared" si="48"/>
        <v>9541.8060184246169</v>
      </c>
      <c r="S138" s="742">
        <f t="shared" si="48"/>
        <v>9732.6421387931096</v>
      </c>
      <c r="T138" s="742">
        <f t="shared" si="48"/>
        <v>9927.2949815689717</v>
      </c>
      <c r="U138" s="742">
        <f t="shared" si="48"/>
        <v>10125.840881200351</v>
      </c>
      <c r="V138" s="742">
        <f t="shared" si="48"/>
        <v>10328.357698824359</v>
      </c>
      <c r="W138" s="742">
        <f t="shared" si="48"/>
        <v>10534.924852800847</v>
      </c>
      <c r="X138" s="742">
        <f t="shared" si="48"/>
        <v>10745.623349856864</v>
      </c>
      <c r="Y138" s="742">
        <f t="shared" si="48"/>
        <v>10960.535816854001</v>
      </c>
      <c r="Z138" s="742">
        <f t="shared" si="48"/>
        <v>11179.746533191079</v>
      </c>
      <c r="AA138" s="742">
        <f t="shared" si="48"/>
        <v>11403.341463854902</v>
      </c>
      <c r="AB138" s="742">
        <f t="shared" si="48"/>
        <v>11631.408293132001</v>
      </c>
      <c r="AC138" s="742">
        <f t="shared" si="48"/>
        <v>11864.03645899464</v>
      </c>
      <c r="AD138" s="742">
        <f t="shared" si="48"/>
        <v>12101.317188174535</v>
      </c>
      <c r="AE138" s="742">
        <f t="shared" si="48"/>
        <v>12343.343531938026</v>
      </c>
    </row>
    <row r="139" spans="1:33" s="56" customFormat="1" ht="14.25">
      <c r="A139" s="164" t="s">
        <v>415</v>
      </c>
      <c r="B139" s="164"/>
      <c r="C139" s="667">
        <f>SUM(C134:C138)</f>
        <v>255000</v>
      </c>
      <c r="D139" s="667"/>
      <c r="E139" s="667">
        <f>SUM(E134:E138)</f>
        <v>0</v>
      </c>
      <c r="F139" s="667">
        <f>SUM(F134:F138)</f>
        <v>102000</v>
      </c>
      <c r="G139" s="667">
        <f>SUM(G134:G138)</f>
        <v>357000</v>
      </c>
      <c r="H139" s="667">
        <f>SUM(H134:H138)</f>
        <v>1373.0769230769229</v>
      </c>
      <c r="I139" s="768"/>
      <c r="J139" s="769"/>
      <c r="K139" s="685">
        <f>SUMIF($B134:$B138,"FT",K134:K138)</f>
        <v>0</v>
      </c>
      <c r="L139" s="669">
        <f>SUMIF($B134:$B138,"FT",L134:L138)</f>
        <v>0</v>
      </c>
      <c r="M139" s="669">
        <f>SUM(M134:M138)</f>
        <v>54446.538461538468</v>
      </c>
      <c r="N139" s="669">
        <f t="shared" ref="N139:AE139" si="49">SUM(N134:N138)</f>
        <v>55535.469230769231</v>
      </c>
      <c r="O139" s="669">
        <f t="shared" si="49"/>
        <v>56646.178615384626</v>
      </c>
      <c r="P139" s="669">
        <f t="shared" si="49"/>
        <v>57779.102187692311</v>
      </c>
      <c r="Q139" s="669">
        <f t="shared" si="49"/>
        <v>58934.684231446139</v>
      </c>
      <c r="R139" s="669">
        <f t="shared" si="49"/>
        <v>60113.377916075071</v>
      </c>
      <c r="S139" s="669">
        <f t="shared" si="49"/>
        <v>61315.645474396588</v>
      </c>
      <c r="T139" s="669">
        <f t="shared" si="49"/>
        <v>62541.958383884514</v>
      </c>
      <c r="U139" s="669">
        <f t="shared" si="49"/>
        <v>63792.797551562195</v>
      </c>
      <c r="V139" s="669">
        <f t="shared" si="49"/>
        <v>65068.653502593457</v>
      </c>
      <c r="W139" s="669">
        <f t="shared" si="49"/>
        <v>66370.026572645322</v>
      </c>
      <c r="X139" s="669">
        <f t="shared" si="49"/>
        <v>67697.427104098228</v>
      </c>
      <c r="Y139" s="669">
        <f t="shared" si="49"/>
        <v>69051.375646180197</v>
      </c>
      <c r="Z139" s="669">
        <f t="shared" si="49"/>
        <v>70432.403159103793</v>
      </c>
      <c r="AA139" s="669">
        <f t="shared" si="49"/>
        <v>71841.051222285882</v>
      </c>
      <c r="AB139" s="669">
        <f t="shared" si="49"/>
        <v>73277.872246731597</v>
      </c>
      <c r="AC139" s="669">
        <f t="shared" si="49"/>
        <v>74743.429691666228</v>
      </c>
      <c r="AD139" s="669">
        <f t="shared" si="49"/>
        <v>76238.298285499564</v>
      </c>
      <c r="AE139" s="669">
        <f t="shared" si="49"/>
        <v>77763.064251209551</v>
      </c>
    </row>
    <row r="140" spans="1:33">
      <c r="A140" s="37"/>
      <c r="B140" s="37"/>
      <c r="C140" s="663"/>
      <c r="D140" s="663"/>
      <c r="E140" s="663"/>
      <c r="F140" s="663"/>
      <c r="G140" s="663"/>
      <c r="H140" s="663"/>
      <c r="I140" s="107"/>
      <c r="J140" s="108"/>
      <c r="K140" s="683"/>
      <c r="L140" s="666"/>
      <c r="M140" s="666"/>
      <c r="N140" s="666"/>
      <c r="O140" s="666"/>
      <c r="P140" s="666"/>
      <c r="Q140" s="666"/>
      <c r="R140" s="666"/>
      <c r="S140" s="666"/>
      <c r="T140" s="666"/>
      <c r="U140" s="666"/>
      <c r="V140" s="666"/>
      <c r="W140" s="666"/>
      <c r="X140" s="666"/>
      <c r="Y140" s="666"/>
      <c r="Z140" s="666"/>
      <c r="AA140" s="666"/>
      <c r="AB140" s="666"/>
      <c r="AC140" s="666"/>
      <c r="AD140" s="666"/>
      <c r="AE140" s="666"/>
    </row>
    <row r="141" spans="1:33">
      <c r="A141" s="37" t="s">
        <v>11</v>
      </c>
      <c r="B141" s="37"/>
      <c r="C141" s="57"/>
      <c r="E141" s="57"/>
      <c r="F141" s="57"/>
      <c r="G141" s="57"/>
      <c r="H141" s="57"/>
      <c r="I141" s="43"/>
      <c r="J141" s="42"/>
      <c r="K141" s="770">
        <f>COUNTIF(K134:K138,"&gt;100")</f>
        <v>0</v>
      </c>
      <c r="L141" s="771">
        <f>COUNTIF(L134:L136,"&gt;100")</f>
        <v>0</v>
      </c>
      <c r="M141" s="771">
        <f t="shared" ref="M141:AE141" si="50">COUNTIF(M134:M136,"&gt;100")</f>
        <v>3</v>
      </c>
      <c r="N141" s="771">
        <f t="shared" si="50"/>
        <v>3</v>
      </c>
      <c r="O141" s="771">
        <f t="shared" si="50"/>
        <v>3</v>
      </c>
      <c r="P141" s="771">
        <f t="shared" si="50"/>
        <v>3</v>
      </c>
      <c r="Q141" s="771">
        <f t="shared" si="50"/>
        <v>3</v>
      </c>
      <c r="R141" s="771">
        <f t="shared" si="50"/>
        <v>3</v>
      </c>
      <c r="S141" s="771">
        <f t="shared" si="50"/>
        <v>3</v>
      </c>
      <c r="T141" s="771">
        <f t="shared" si="50"/>
        <v>3</v>
      </c>
      <c r="U141" s="771">
        <f t="shared" si="50"/>
        <v>3</v>
      </c>
      <c r="V141" s="771">
        <f t="shared" si="50"/>
        <v>3</v>
      </c>
      <c r="W141" s="771">
        <f t="shared" si="50"/>
        <v>3</v>
      </c>
      <c r="X141" s="771">
        <f t="shared" si="50"/>
        <v>3</v>
      </c>
      <c r="Y141" s="771">
        <f t="shared" si="50"/>
        <v>3</v>
      </c>
      <c r="Z141" s="771">
        <f t="shared" si="50"/>
        <v>3</v>
      </c>
      <c r="AA141" s="771">
        <f t="shared" si="50"/>
        <v>3</v>
      </c>
      <c r="AB141" s="771">
        <f t="shared" si="50"/>
        <v>3</v>
      </c>
      <c r="AC141" s="771">
        <f t="shared" si="50"/>
        <v>3</v>
      </c>
      <c r="AD141" s="771">
        <f t="shared" si="50"/>
        <v>3</v>
      </c>
      <c r="AE141" s="771">
        <f t="shared" si="50"/>
        <v>3</v>
      </c>
      <c r="AF141" s="772"/>
      <c r="AG141" s="772"/>
    </row>
    <row r="142" spans="1:33">
      <c r="A142" s="745" t="s">
        <v>10</v>
      </c>
      <c r="B142" s="745"/>
      <c r="C142" s="746"/>
      <c r="D142" s="116"/>
      <c r="E142" s="746"/>
      <c r="F142" s="746"/>
      <c r="G142" s="746"/>
      <c r="H142" s="746"/>
      <c r="I142" s="747"/>
      <c r="J142" s="748"/>
      <c r="K142" s="773">
        <v>0</v>
      </c>
      <c r="L142" s="774">
        <f>COUNTIF(L137:L138,"&gt;100")</f>
        <v>0</v>
      </c>
      <c r="M142" s="774">
        <f t="shared" ref="M142:AE142" si="51">COUNTIF(M137:M138,"&gt;100")</f>
        <v>2</v>
      </c>
      <c r="N142" s="774">
        <f t="shared" si="51"/>
        <v>2</v>
      </c>
      <c r="O142" s="774">
        <f t="shared" si="51"/>
        <v>2</v>
      </c>
      <c r="P142" s="774">
        <f t="shared" si="51"/>
        <v>2</v>
      </c>
      <c r="Q142" s="774">
        <f t="shared" si="51"/>
        <v>2</v>
      </c>
      <c r="R142" s="774">
        <f t="shared" si="51"/>
        <v>2</v>
      </c>
      <c r="S142" s="774">
        <f t="shared" si="51"/>
        <v>2</v>
      </c>
      <c r="T142" s="774">
        <f t="shared" si="51"/>
        <v>2</v>
      </c>
      <c r="U142" s="774">
        <f t="shared" si="51"/>
        <v>2</v>
      </c>
      <c r="V142" s="774">
        <f t="shared" si="51"/>
        <v>2</v>
      </c>
      <c r="W142" s="774">
        <f t="shared" si="51"/>
        <v>2</v>
      </c>
      <c r="X142" s="774">
        <f t="shared" si="51"/>
        <v>2</v>
      </c>
      <c r="Y142" s="774">
        <f t="shared" si="51"/>
        <v>2</v>
      </c>
      <c r="Z142" s="774">
        <f t="shared" si="51"/>
        <v>2</v>
      </c>
      <c r="AA142" s="774">
        <f t="shared" si="51"/>
        <v>2</v>
      </c>
      <c r="AB142" s="774">
        <f t="shared" si="51"/>
        <v>2</v>
      </c>
      <c r="AC142" s="774">
        <f t="shared" si="51"/>
        <v>2</v>
      </c>
      <c r="AD142" s="774">
        <f t="shared" si="51"/>
        <v>2</v>
      </c>
      <c r="AE142" s="774">
        <f t="shared" si="51"/>
        <v>2</v>
      </c>
      <c r="AF142" s="772"/>
      <c r="AG142" s="772"/>
    </row>
    <row r="143" spans="1:33" s="56" customFormat="1" ht="14.25">
      <c r="A143" s="164" t="s">
        <v>9</v>
      </c>
      <c r="B143" s="164"/>
      <c r="C143" s="75"/>
      <c r="D143" s="173"/>
      <c r="E143" s="75"/>
      <c r="F143" s="75"/>
      <c r="G143" s="75"/>
      <c r="H143" s="75"/>
      <c r="I143" s="174"/>
      <c r="J143" s="181"/>
      <c r="K143" s="775">
        <v>0</v>
      </c>
      <c r="L143" s="776">
        <f>SUM(L141:L142)</f>
        <v>0</v>
      </c>
      <c r="M143" s="776">
        <f t="shared" ref="M143:AE143" si="52">COUNTIF(M134:M138,"&gt;0")</f>
        <v>5</v>
      </c>
      <c r="N143" s="776">
        <f t="shared" si="52"/>
        <v>5</v>
      </c>
      <c r="O143" s="776">
        <f t="shared" si="52"/>
        <v>5</v>
      </c>
      <c r="P143" s="776">
        <f t="shared" si="52"/>
        <v>5</v>
      </c>
      <c r="Q143" s="776">
        <f t="shared" si="52"/>
        <v>5</v>
      </c>
      <c r="R143" s="776">
        <f t="shared" si="52"/>
        <v>5</v>
      </c>
      <c r="S143" s="776">
        <f t="shared" si="52"/>
        <v>5</v>
      </c>
      <c r="T143" s="776">
        <f t="shared" si="52"/>
        <v>5</v>
      </c>
      <c r="U143" s="776">
        <f t="shared" si="52"/>
        <v>5</v>
      </c>
      <c r="V143" s="776">
        <f t="shared" si="52"/>
        <v>5</v>
      </c>
      <c r="W143" s="776">
        <f t="shared" si="52"/>
        <v>5</v>
      </c>
      <c r="X143" s="776">
        <f t="shared" si="52"/>
        <v>5</v>
      </c>
      <c r="Y143" s="776">
        <f t="shared" si="52"/>
        <v>5</v>
      </c>
      <c r="Z143" s="776">
        <f t="shared" si="52"/>
        <v>5</v>
      </c>
      <c r="AA143" s="776">
        <f t="shared" si="52"/>
        <v>5</v>
      </c>
      <c r="AB143" s="776">
        <f t="shared" si="52"/>
        <v>5</v>
      </c>
      <c r="AC143" s="776">
        <f t="shared" si="52"/>
        <v>5</v>
      </c>
      <c r="AD143" s="776">
        <f t="shared" si="52"/>
        <v>5</v>
      </c>
      <c r="AE143" s="776">
        <f t="shared" si="52"/>
        <v>5</v>
      </c>
      <c r="AF143" s="723"/>
      <c r="AG143" s="723"/>
    </row>
    <row r="144" spans="1:33">
      <c r="B144" s="37"/>
      <c r="C144" s="57"/>
      <c r="E144" s="57"/>
      <c r="F144" s="57"/>
      <c r="G144" s="57"/>
      <c r="H144" s="57"/>
      <c r="I144" s="43"/>
      <c r="J144" s="42"/>
      <c r="K144" s="683"/>
      <c r="L144" s="316"/>
      <c r="M144" s="316"/>
      <c r="N144" s="316"/>
      <c r="O144" s="316"/>
      <c r="P144" s="316"/>
      <c r="Q144" s="316"/>
      <c r="R144" s="316"/>
      <c r="S144" s="316"/>
      <c r="T144" s="316"/>
      <c r="U144" s="316"/>
      <c r="V144" s="316"/>
      <c r="W144" s="316"/>
      <c r="X144" s="316"/>
      <c r="Y144" s="316"/>
      <c r="Z144" s="316"/>
      <c r="AA144" s="316"/>
      <c r="AB144" s="316"/>
      <c r="AC144" s="316"/>
      <c r="AD144" s="316"/>
      <c r="AE144" s="316"/>
    </row>
    <row r="145" spans="1:33">
      <c r="A145" s="33" t="s">
        <v>60</v>
      </c>
      <c r="B145" s="191"/>
      <c r="C145" s="192"/>
      <c r="D145" s="193"/>
      <c r="E145" s="194"/>
      <c r="F145" s="194"/>
      <c r="G145" s="192"/>
      <c r="H145" s="192"/>
      <c r="I145" s="195">
        <v>0.2</v>
      </c>
      <c r="J145" s="196"/>
      <c r="K145" s="689">
        <v>0</v>
      </c>
      <c r="L145" s="665">
        <f t="shared" ref="L145:AE145" si="53">L139*$I$145</f>
        <v>0</v>
      </c>
      <c r="M145" s="665">
        <f t="shared" si="53"/>
        <v>10889.307692307695</v>
      </c>
      <c r="N145" s="665">
        <f t="shared" si="53"/>
        <v>11107.093846153846</v>
      </c>
      <c r="O145" s="665">
        <f t="shared" si="53"/>
        <v>11329.235723076927</v>
      </c>
      <c r="P145" s="665">
        <f t="shared" si="53"/>
        <v>11555.820437538463</v>
      </c>
      <c r="Q145" s="665">
        <f t="shared" si="53"/>
        <v>11786.936846289229</v>
      </c>
      <c r="R145" s="665">
        <f t="shared" si="53"/>
        <v>12022.675583215016</v>
      </c>
      <c r="S145" s="665">
        <f t="shared" si="53"/>
        <v>12263.129094879318</v>
      </c>
      <c r="T145" s="665">
        <f t="shared" si="53"/>
        <v>12508.391676776904</v>
      </c>
      <c r="U145" s="665">
        <f t="shared" si="53"/>
        <v>12758.55951031244</v>
      </c>
      <c r="V145" s="665">
        <f t="shared" si="53"/>
        <v>13013.730700518692</v>
      </c>
      <c r="W145" s="665">
        <f t="shared" si="53"/>
        <v>13274.005314529066</v>
      </c>
      <c r="X145" s="665">
        <f t="shared" si="53"/>
        <v>13539.485420819647</v>
      </c>
      <c r="Y145" s="665">
        <f t="shared" si="53"/>
        <v>13810.275129236041</v>
      </c>
      <c r="Z145" s="665">
        <f t="shared" si="53"/>
        <v>14086.480631820759</v>
      </c>
      <c r="AA145" s="665">
        <f t="shared" si="53"/>
        <v>14368.210244457177</v>
      </c>
      <c r="AB145" s="665">
        <f t="shared" si="53"/>
        <v>14655.574449346321</v>
      </c>
      <c r="AC145" s="665">
        <f t="shared" si="53"/>
        <v>14948.685938333247</v>
      </c>
      <c r="AD145" s="665">
        <f t="shared" si="53"/>
        <v>15247.659657099914</v>
      </c>
      <c r="AE145" s="665">
        <f t="shared" si="53"/>
        <v>15552.612850241911</v>
      </c>
    </row>
    <row r="146" spans="1:33">
      <c r="B146" s="191"/>
      <c r="C146" s="192"/>
      <c r="D146" s="193"/>
      <c r="E146" s="194"/>
      <c r="F146" s="194"/>
      <c r="G146" s="192"/>
      <c r="H146" s="192"/>
      <c r="I146" s="195"/>
      <c r="J146" s="196"/>
      <c r="K146" s="689"/>
      <c r="L146" s="665"/>
      <c r="M146" s="665"/>
      <c r="N146" s="665"/>
      <c r="O146" s="665"/>
      <c r="P146" s="665"/>
      <c r="Q146" s="665"/>
      <c r="R146" s="665"/>
      <c r="S146" s="665"/>
      <c r="T146" s="665"/>
      <c r="U146" s="665"/>
      <c r="V146" s="665"/>
      <c r="W146" s="665"/>
      <c r="X146" s="665"/>
      <c r="Y146" s="665"/>
      <c r="Z146" s="665"/>
      <c r="AA146" s="665"/>
      <c r="AB146" s="665"/>
      <c r="AC146" s="665"/>
      <c r="AD146" s="665"/>
      <c r="AE146" s="665"/>
    </row>
    <row r="147" spans="1:33" s="197" customFormat="1" ht="14.25">
      <c r="A147" s="197" t="s">
        <v>68</v>
      </c>
      <c r="D147" s="198"/>
      <c r="K147" s="690"/>
      <c r="L147" s="677"/>
      <c r="M147" s="677"/>
      <c r="N147" s="677"/>
      <c r="O147" s="677"/>
      <c r="P147" s="677"/>
      <c r="Q147" s="677"/>
      <c r="R147" s="677"/>
      <c r="S147" s="677"/>
      <c r="T147" s="677"/>
      <c r="U147" s="677"/>
      <c r="V147" s="677"/>
      <c r="W147" s="677"/>
      <c r="X147" s="677"/>
      <c r="Y147" s="677"/>
      <c r="Z147" s="677"/>
      <c r="AA147" s="677"/>
      <c r="AB147" s="677"/>
      <c r="AC147" s="677"/>
      <c r="AD147" s="677"/>
      <c r="AE147" s="677"/>
    </row>
    <row r="148" spans="1:33">
      <c r="A148" s="37" t="s">
        <v>423</v>
      </c>
      <c r="B148" s="37"/>
      <c r="C148" s="110"/>
      <c r="D148" s="106"/>
      <c r="E148" s="57"/>
      <c r="F148" s="57"/>
      <c r="G148" s="57"/>
      <c r="H148" s="57"/>
      <c r="I148" s="49"/>
      <c r="J148" s="44"/>
      <c r="K148" s="683">
        <f>COUNTIF(K$114:K$121,"&gt;0")*$J148*R$9</f>
        <v>0</v>
      </c>
      <c r="L148" s="666">
        <v>0</v>
      </c>
      <c r="M148" s="666">
        <v>10000</v>
      </c>
      <c r="N148" s="666">
        <f t="shared" ref="N148:AE148" si="54">$M$148*L11</f>
        <v>10200</v>
      </c>
      <c r="O148" s="666">
        <f t="shared" si="54"/>
        <v>10404</v>
      </c>
      <c r="P148" s="666">
        <f t="shared" si="54"/>
        <v>10612.08</v>
      </c>
      <c r="Q148" s="666">
        <f t="shared" si="54"/>
        <v>10824.321599999999</v>
      </c>
      <c r="R148" s="666">
        <f t="shared" si="54"/>
        <v>11040.808032000001</v>
      </c>
      <c r="S148" s="666">
        <f t="shared" si="54"/>
        <v>11261.62419264</v>
      </c>
      <c r="T148" s="666">
        <f t="shared" si="54"/>
        <v>11486.8566764928</v>
      </c>
      <c r="U148" s="666">
        <f t="shared" si="54"/>
        <v>11716.593810022658</v>
      </c>
      <c r="V148" s="666">
        <f t="shared" si="54"/>
        <v>11950.92568622311</v>
      </c>
      <c r="W148" s="666">
        <f t="shared" si="54"/>
        <v>12189.944199947573</v>
      </c>
      <c r="X148" s="666">
        <f t="shared" si="54"/>
        <v>12433.743083946525</v>
      </c>
      <c r="Y148" s="666">
        <f t="shared" si="54"/>
        <v>12682.417945625455</v>
      </c>
      <c r="Z148" s="666">
        <f t="shared" si="54"/>
        <v>12936.066304537962</v>
      </c>
      <c r="AA148" s="666">
        <f t="shared" si="54"/>
        <v>13194.787630628723</v>
      </c>
      <c r="AB148" s="666">
        <f t="shared" si="54"/>
        <v>13458.683383241299</v>
      </c>
      <c r="AC148" s="666">
        <f t="shared" si="54"/>
        <v>13727.857050906125</v>
      </c>
      <c r="AD148" s="666">
        <f t="shared" si="54"/>
        <v>14002.414191924248</v>
      </c>
      <c r="AE148" s="666">
        <f t="shared" si="54"/>
        <v>14282.462475762733</v>
      </c>
    </row>
    <row r="149" spans="1:33">
      <c r="A149" s="37" t="s">
        <v>67</v>
      </c>
      <c r="B149" s="37"/>
      <c r="C149" s="110"/>
      <c r="D149" s="106"/>
      <c r="E149" s="57"/>
      <c r="F149" s="57"/>
      <c r="G149" s="57"/>
      <c r="H149" s="57"/>
      <c r="I149" s="51"/>
      <c r="J149" s="44"/>
      <c r="K149" s="683">
        <v>0</v>
      </c>
      <c r="L149" s="666">
        <v>0</v>
      </c>
      <c r="M149" s="666">
        <v>10000</v>
      </c>
      <c r="N149" s="666">
        <f t="shared" ref="N149:AE149" si="55">$M$149*L11</f>
        <v>10200</v>
      </c>
      <c r="O149" s="666">
        <f t="shared" si="55"/>
        <v>10404</v>
      </c>
      <c r="P149" s="666">
        <f t="shared" si="55"/>
        <v>10612.08</v>
      </c>
      <c r="Q149" s="666">
        <f t="shared" si="55"/>
        <v>10824.321599999999</v>
      </c>
      <c r="R149" s="666">
        <f t="shared" si="55"/>
        <v>11040.808032000001</v>
      </c>
      <c r="S149" s="666">
        <f t="shared" si="55"/>
        <v>11261.62419264</v>
      </c>
      <c r="T149" s="666">
        <f t="shared" si="55"/>
        <v>11486.8566764928</v>
      </c>
      <c r="U149" s="666">
        <f t="shared" si="55"/>
        <v>11716.593810022658</v>
      </c>
      <c r="V149" s="666">
        <f t="shared" si="55"/>
        <v>11950.92568622311</v>
      </c>
      <c r="W149" s="666">
        <f t="shared" si="55"/>
        <v>12189.944199947573</v>
      </c>
      <c r="X149" s="666">
        <f t="shared" si="55"/>
        <v>12433.743083946525</v>
      </c>
      <c r="Y149" s="666">
        <f t="shared" si="55"/>
        <v>12682.417945625455</v>
      </c>
      <c r="Z149" s="666">
        <f t="shared" si="55"/>
        <v>12936.066304537962</v>
      </c>
      <c r="AA149" s="666">
        <f t="shared" si="55"/>
        <v>13194.787630628723</v>
      </c>
      <c r="AB149" s="666">
        <f t="shared" si="55"/>
        <v>13458.683383241299</v>
      </c>
      <c r="AC149" s="666">
        <f t="shared" si="55"/>
        <v>13727.857050906125</v>
      </c>
      <c r="AD149" s="666">
        <f t="shared" si="55"/>
        <v>14002.414191924248</v>
      </c>
      <c r="AE149" s="666">
        <f t="shared" si="55"/>
        <v>14282.462475762733</v>
      </c>
    </row>
    <row r="150" spans="1:33">
      <c r="A150" s="180" t="s">
        <v>2</v>
      </c>
      <c r="B150" s="777"/>
      <c r="C150" s="778"/>
      <c r="D150" s="779"/>
      <c r="E150" s="746"/>
      <c r="F150" s="746"/>
      <c r="G150" s="778"/>
      <c r="H150" s="778"/>
      <c r="I150" s="780"/>
      <c r="J150" s="781"/>
      <c r="K150" s="741">
        <v>0</v>
      </c>
      <c r="L150" s="742">
        <v>0</v>
      </c>
      <c r="M150" s="742">
        <v>0</v>
      </c>
      <c r="N150" s="742">
        <v>0</v>
      </c>
      <c r="O150" s="742">
        <v>0</v>
      </c>
      <c r="P150" s="742">
        <v>0</v>
      </c>
      <c r="Q150" s="742">
        <v>0</v>
      </c>
      <c r="R150" s="742">
        <v>0</v>
      </c>
      <c r="S150" s="742">
        <v>0</v>
      </c>
      <c r="T150" s="742">
        <v>0</v>
      </c>
      <c r="U150" s="742">
        <v>0</v>
      </c>
      <c r="V150" s="742">
        <v>0</v>
      </c>
      <c r="W150" s="742">
        <v>0</v>
      </c>
      <c r="X150" s="742">
        <v>0</v>
      </c>
      <c r="Y150" s="742">
        <v>0</v>
      </c>
      <c r="Z150" s="742">
        <v>0</v>
      </c>
      <c r="AA150" s="742">
        <v>0</v>
      </c>
      <c r="AB150" s="742">
        <v>0</v>
      </c>
      <c r="AC150" s="742">
        <v>0</v>
      </c>
      <c r="AD150" s="742">
        <v>0</v>
      </c>
      <c r="AE150" s="742">
        <v>0</v>
      </c>
    </row>
    <row r="151" spans="1:33" s="56" customFormat="1" ht="14.25">
      <c r="A151" s="164" t="s">
        <v>78</v>
      </c>
      <c r="B151" s="164"/>
      <c r="C151" s="75"/>
      <c r="D151" s="173"/>
      <c r="E151" s="75"/>
      <c r="F151" s="75"/>
      <c r="G151" s="75"/>
      <c r="H151" s="75"/>
      <c r="I151" s="174"/>
      <c r="J151" s="175"/>
      <c r="K151" s="685">
        <v>0</v>
      </c>
      <c r="L151" s="669">
        <f t="shared" ref="L151:AE151" si="56">SUM(L148:L150)</f>
        <v>0</v>
      </c>
      <c r="M151" s="669">
        <f t="shared" si="56"/>
        <v>20000</v>
      </c>
      <c r="N151" s="669">
        <f t="shared" si="56"/>
        <v>20400</v>
      </c>
      <c r="O151" s="669">
        <f t="shared" si="56"/>
        <v>20808</v>
      </c>
      <c r="P151" s="669">
        <f t="shared" si="56"/>
        <v>21224.16</v>
      </c>
      <c r="Q151" s="669">
        <f t="shared" si="56"/>
        <v>21648.643199999999</v>
      </c>
      <c r="R151" s="669">
        <f t="shared" si="56"/>
        <v>22081.616064000002</v>
      </c>
      <c r="S151" s="669">
        <f t="shared" si="56"/>
        <v>22523.24838528</v>
      </c>
      <c r="T151" s="669">
        <f t="shared" si="56"/>
        <v>22973.7133529856</v>
      </c>
      <c r="U151" s="669">
        <f t="shared" si="56"/>
        <v>23433.187620045315</v>
      </c>
      <c r="V151" s="669">
        <f t="shared" si="56"/>
        <v>23901.851372446221</v>
      </c>
      <c r="W151" s="669">
        <f t="shared" si="56"/>
        <v>24379.888399895146</v>
      </c>
      <c r="X151" s="669">
        <f t="shared" si="56"/>
        <v>24867.48616789305</v>
      </c>
      <c r="Y151" s="669">
        <f t="shared" si="56"/>
        <v>25364.83589125091</v>
      </c>
      <c r="Z151" s="669">
        <f t="shared" si="56"/>
        <v>25872.132609075925</v>
      </c>
      <c r="AA151" s="669">
        <f t="shared" si="56"/>
        <v>26389.575261257447</v>
      </c>
      <c r="AB151" s="669">
        <f t="shared" si="56"/>
        <v>26917.366766482599</v>
      </c>
      <c r="AC151" s="669">
        <f t="shared" si="56"/>
        <v>27455.714101812249</v>
      </c>
      <c r="AD151" s="669">
        <f t="shared" si="56"/>
        <v>28004.828383848497</v>
      </c>
      <c r="AE151" s="669">
        <f t="shared" si="56"/>
        <v>28564.924951525467</v>
      </c>
    </row>
    <row r="152" spans="1:33" s="56" customFormat="1" ht="14.25">
      <c r="A152" s="164"/>
      <c r="B152" s="164"/>
      <c r="C152" s="75"/>
      <c r="D152" s="173"/>
      <c r="E152" s="75"/>
      <c r="F152" s="75"/>
      <c r="G152" s="75"/>
      <c r="H152" s="75"/>
      <c r="I152" s="174"/>
      <c r="J152" s="175"/>
      <c r="K152" s="685"/>
      <c r="L152" s="669"/>
      <c r="M152" s="669"/>
      <c r="N152" s="669"/>
      <c r="O152" s="669"/>
      <c r="P152" s="669"/>
      <c r="Q152" s="669"/>
      <c r="R152" s="669"/>
      <c r="S152" s="669"/>
      <c r="T152" s="669"/>
      <c r="U152" s="669"/>
      <c r="V152" s="669"/>
      <c r="W152" s="669"/>
      <c r="X152" s="669"/>
      <c r="Y152" s="669"/>
      <c r="Z152" s="669"/>
      <c r="AA152" s="669"/>
      <c r="AB152" s="669"/>
      <c r="AC152" s="669"/>
      <c r="AD152" s="669"/>
      <c r="AE152" s="669"/>
    </row>
    <row r="153" spans="1:33" s="56" customFormat="1" ht="14.25">
      <c r="A153" s="164" t="s">
        <v>66</v>
      </c>
      <c r="B153" s="164"/>
      <c r="C153" s="75"/>
      <c r="D153" s="173"/>
      <c r="E153" s="75"/>
      <c r="F153" s="75"/>
      <c r="G153" s="75"/>
      <c r="H153" s="75"/>
      <c r="I153" s="174"/>
      <c r="J153" s="175"/>
      <c r="K153" s="685">
        <v>0</v>
      </c>
      <c r="L153" s="669">
        <f>SUM(L139,L151)</f>
        <v>0</v>
      </c>
      <c r="M153" s="669">
        <f>SUM(M139,M145,M151)</f>
        <v>85335.846153846156</v>
      </c>
      <c r="N153" s="669">
        <f t="shared" ref="N153:AE153" si="57">SUM(N139,N145,N151)</f>
        <v>87042.563076923077</v>
      </c>
      <c r="O153" s="669">
        <f t="shared" si="57"/>
        <v>88783.41433846156</v>
      </c>
      <c r="P153" s="669">
        <f t="shared" si="57"/>
        <v>90559.082625230774</v>
      </c>
      <c r="Q153" s="669">
        <f t="shared" si="57"/>
        <v>92370.264277735376</v>
      </c>
      <c r="R153" s="669">
        <f t="shared" si="57"/>
        <v>94217.669563290081</v>
      </c>
      <c r="S153" s="669">
        <f t="shared" si="57"/>
        <v>96102.022954555898</v>
      </c>
      <c r="T153" s="669">
        <f t="shared" si="57"/>
        <v>98024.063413647003</v>
      </c>
      <c r="U153" s="669">
        <f t="shared" si="57"/>
        <v>99984.544681919942</v>
      </c>
      <c r="V153" s="669">
        <f t="shared" si="57"/>
        <v>101984.23557555837</v>
      </c>
      <c r="W153" s="669">
        <f t="shared" si="57"/>
        <v>104023.92028706953</v>
      </c>
      <c r="X153" s="669">
        <f t="shared" si="57"/>
        <v>106104.39869281092</v>
      </c>
      <c r="Y153" s="669">
        <f t="shared" si="57"/>
        <v>108226.48666666714</v>
      </c>
      <c r="Z153" s="669">
        <f t="shared" si="57"/>
        <v>110391.01640000047</v>
      </c>
      <c r="AA153" s="669">
        <f t="shared" si="57"/>
        <v>112598.8367280005</v>
      </c>
      <c r="AB153" s="669">
        <f t="shared" si="57"/>
        <v>114850.8134625605</v>
      </c>
      <c r="AC153" s="669">
        <f t="shared" si="57"/>
        <v>117147.82973181173</v>
      </c>
      <c r="AD153" s="669">
        <f t="shared" si="57"/>
        <v>119490.78632644797</v>
      </c>
      <c r="AE153" s="669">
        <f t="shared" si="57"/>
        <v>121880.60205297693</v>
      </c>
    </row>
    <row r="154" spans="1:33" s="56" customFormat="1" ht="14.25">
      <c r="A154" s="164"/>
      <c r="B154" s="164"/>
      <c r="C154" s="75"/>
      <c r="D154" s="173"/>
      <c r="E154" s="75"/>
      <c r="F154" s="75"/>
      <c r="G154" s="75"/>
      <c r="H154" s="75"/>
      <c r="I154" s="174"/>
      <c r="J154" s="175"/>
      <c r="K154" s="685"/>
      <c r="L154" s="669"/>
      <c r="M154" s="669"/>
      <c r="N154" s="669"/>
      <c r="O154" s="669"/>
      <c r="P154" s="669"/>
      <c r="Q154" s="669"/>
      <c r="R154" s="669"/>
      <c r="S154" s="669"/>
      <c r="T154" s="669"/>
      <c r="U154" s="669"/>
      <c r="V154" s="669"/>
      <c r="W154" s="669"/>
      <c r="X154" s="669"/>
      <c r="Y154" s="669"/>
      <c r="Z154" s="669"/>
      <c r="AA154" s="669"/>
      <c r="AB154" s="669"/>
      <c r="AC154" s="669"/>
      <c r="AD154" s="669"/>
      <c r="AE154" s="669"/>
    </row>
    <row r="155" spans="1:33">
      <c r="A155" s="47" t="s">
        <v>7</v>
      </c>
      <c r="B155" s="47" t="s">
        <v>7</v>
      </c>
      <c r="C155" s="78" t="s">
        <v>7</v>
      </c>
      <c r="D155" s="100"/>
      <c r="E155" s="78" t="s">
        <v>7</v>
      </c>
      <c r="F155" s="78"/>
      <c r="G155" s="78" t="s">
        <v>7</v>
      </c>
      <c r="H155" s="78"/>
      <c r="I155" s="52" t="s">
        <v>7</v>
      </c>
      <c r="J155" s="114"/>
      <c r="K155" s="673"/>
      <c r="L155" s="672"/>
      <c r="M155" s="672"/>
      <c r="N155" s="672"/>
      <c r="O155" s="672"/>
      <c r="P155" s="672"/>
      <c r="Q155" s="672"/>
      <c r="R155" s="672"/>
      <c r="S155" s="672"/>
      <c r="T155" s="672"/>
      <c r="U155" s="672"/>
      <c r="V155" s="672"/>
      <c r="W155" s="672"/>
      <c r="X155" s="672"/>
      <c r="Y155" s="672"/>
      <c r="Z155" s="672"/>
      <c r="AA155" s="672"/>
      <c r="AB155" s="672"/>
      <c r="AC155" s="672"/>
      <c r="AD155" s="672"/>
      <c r="AE155" s="672"/>
    </row>
    <row r="156" spans="1:33">
      <c r="A156" s="47"/>
      <c r="B156" s="47"/>
      <c r="C156" s="78"/>
      <c r="D156" s="100"/>
      <c r="E156" s="78"/>
      <c r="F156" s="78"/>
      <c r="G156" s="78"/>
      <c r="H156" s="78"/>
      <c r="I156" s="52"/>
      <c r="J156" s="114"/>
      <c r="K156" s="664"/>
      <c r="L156" s="666"/>
      <c r="M156" s="666"/>
      <c r="N156" s="666"/>
      <c r="O156" s="666"/>
      <c r="P156" s="666"/>
      <c r="Q156" s="666"/>
      <c r="R156" s="666"/>
      <c r="S156" s="666"/>
      <c r="T156" s="666"/>
      <c r="U156" s="666"/>
      <c r="V156" s="666"/>
      <c r="W156" s="666"/>
      <c r="X156" s="666"/>
      <c r="Y156" s="666"/>
      <c r="Z156" s="666"/>
      <c r="AA156" s="666"/>
      <c r="AB156" s="666"/>
      <c r="AC156" s="666"/>
      <c r="AD156" s="666"/>
      <c r="AE156" s="666"/>
    </row>
    <row r="157" spans="1:33" s="56" customFormat="1" ht="14.25">
      <c r="A157" s="203" t="s">
        <v>79</v>
      </c>
      <c r="B157" s="203"/>
      <c r="C157" s="204"/>
      <c r="D157" s="205"/>
      <c r="E157" s="204"/>
      <c r="F157" s="204"/>
      <c r="G157" s="204"/>
      <c r="H157" s="204"/>
      <c r="I157" s="206"/>
      <c r="J157" s="207"/>
      <c r="K157" s="675">
        <v>0</v>
      </c>
      <c r="L157" s="676">
        <f t="shared" ref="L157:AE157" si="58">SUM(L130,L153)</f>
        <v>0</v>
      </c>
      <c r="M157" s="676">
        <f t="shared" si="58"/>
        <v>139905.84615384616</v>
      </c>
      <c r="N157" s="676">
        <f t="shared" si="58"/>
        <v>143817.19107692307</v>
      </c>
      <c r="O157" s="676">
        <f t="shared" si="58"/>
        <v>146693.53489846154</v>
      </c>
      <c r="P157" s="676">
        <f t="shared" si="58"/>
        <v>149627.40559643076</v>
      </c>
      <c r="Q157" s="676">
        <f t="shared" si="58"/>
        <v>152619.95370835939</v>
      </c>
      <c r="R157" s="676">
        <f t="shared" si="58"/>
        <v>155672.35278252655</v>
      </c>
      <c r="S157" s="676">
        <f t="shared" si="58"/>
        <v>158785.7998381771</v>
      </c>
      <c r="T157" s="676">
        <f t="shared" si="58"/>
        <v>161961.51583494066</v>
      </c>
      <c r="U157" s="676">
        <f t="shared" si="58"/>
        <v>165200.74615163944</v>
      </c>
      <c r="V157" s="676">
        <f t="shared" si="58"/>
        <v>168504.76107467228</v>
      </c>
      <c r="W157" s="676">
        <f t="shared" si="58"/>
        <v>171874.85629616573</v>
      </c>
      <c r="X157" s="676">
        <f t="shared" si="58"/>
        <v>175312.35342208904</v>
      </c>
      <c r="Y157" s="676">
        <f t="shared" si="58"/>
        <v>178818.60049053084</v>
      </c>
      <c r="Z157" s="676">
        <f t="shared" si="58"/>
        <v>182394.97250034142</v>
      </c>
      <c r="AA157" s="676">
        <f t="shared" si="58"/>
        <v>186042.87195034826</v>
      </c>
      <c r="AB157" s="676">
        <f t="shared" si="58"/>
        <v>189763.72938935523</v>
      </c>
      <c r="AC157" s="676">
        <f t="shared" si="58"/>
        <v>193559.00397714233</v>
      </c>
      <c r="AD157" s="676">
        <f t="shared" si="58"/>
        <v>197430.18405668519</v>
      </c>
      <c r="AE157" s="676">
        <f t="shared" si="58"/>
        <v>201378.7877378189</v>
      </c>
      <c r="AG157" s="199"/>
    </row>
    <row r="158" spans="1:33">
      <c r="K158" s="664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</row>
    <row r="159" spans="1:33">
      <c r="A159" s="47" t="s">
        <v>7</v>
      </c>
      <c r="B159" s="47" t="s">
        <v>7</v>
      </c>
      <c r="C159" s="78" t="s">
        <v>7</v>
      </c>
      <c r="D159" s="100"/>
      <c r="E159" s="78" t="s">
        <v>7</v>
      </c>
      <c r="F159" s="78"/>
      <c r="G159" s="78" t="s">
        <v>7</v>
      </c>
      <c r="H159" s="78"/>
      <c r="I159" s="52" t="s">
        <v>7</v>
      </c>
      <c r="J159" s="114"/>
      <c r="K159" s="673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</row>
    <row r="160" spans="1:33">
      <c r="K160" s="664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G160" s="199"/>
    </row>
    <row r="161" spans="1:33" s="56" customFormat="1" ht="14.25">
      <c r="A161" s="208" t="s">
        <v>115</v>
      </c>
      <c r="B161" s="208"/>
      <c r="C161" s="208"/>
      <c r="D161" s="202"/>
      <c r="E161" s="208"/>
      <c r="F161" s="208"/>
      <c r="G161" s="208"/>
      <c r="H161" s="208"/>
      <c r="I161" s="208"/>
      <c r="J161" s="208"/>
      <c r="K161" s="678">
        <f>SUM(K151,K111)</f>
        <v>0</v>
      </c>
      <c r="L161" s="678">
        <f t="shared" ref="L161:AE161" si="59">SUM(L111,L157)</f>
        <v>357416.66666666669</v>
      </c>
      <c r="M161" s="678">
        <f t="shared" si="59"/>
        <v>826389.34615384613</v>
      </c>
      <c r="N161" s="678">
        <f t="shared" si="59"/>
        <v>844040.56107692304</v>
      </c>
      <c r="O161" s="678">
        <f t="shared" si="59"/>
        <v>860921.37229846139</v>
      </c>
      <c r="P161" s="678">
        <f t="shared" si="59"/>
        <v>878139.7997444307</v>
      </c>
      <c r="Q161" s="678">
        <f t="shared" si="59"/>
        <v>924046.47453451937</v>
      </c>
      <c r="R161" s="678">
        <f t="shared" si="59"/>
        <v>937990.48523484182</v>
      </c>
      <c r="S161" s="678">
        <f t="shared" si="59"/>
        <v>956750.29493953846</v>
      </c>
      <c r="T161" s="678">
        <f t="shared" si="59"/>
        <v>975885.3008383296</v>
      </c>
      <c r="U161" s="678">
        <f t="shared" si="59"/>
        <v>995403.0068550962</v>
      </c>
      <c r="V161" s="678">
        <f t="shared" si="59"/>
        <v>1043506.4772135783</v>
      </c>
      <c r="W161" s="678">
        <f t="shared" si="59"/>
        <v>1035617.2883320419</v>
      </c>
      <c r="X161" s="678">
        <f t="shared" si="59"/>
        <v>1056329.634098683</v>
      </c>
      <c r="Y161" s="678">
        <f t="shared" si="59"/>
        <v>1077456.2267806565</v>
      </c>
      <c r="Z161" s="678">
        <f t="shared" si="59"/>
        <v>1099005.3513162697</v>
      </c>
      <c r="AA161" s="678">
        <f t="shared" si="59"/>
        <v>1125312.524173433</v>
      </c>
      <c r="AB161" s="678">
        <f t="shared" si="59"/>
        <v>1143405.1675094471</v>
      </c>
      <c r="AC161" s="678">
        <f t="shared" si="59"/>
        <v>1166273.2708596359</v>
      </c>
      <c r="AD161" s="678">
        <f t="shared" si="59"/>
        <v>1189598.7362768289</v>
      </c>
      <c r="AE161" s="678">
        <f t="shared" si="59"/>
        <v>1213390.7110023652</v>
      </c>
      <c r="AG161" s="199"/>
    </row>
    <row r="162" spans="1:33">
      <c r="K162" s="664"/>
      <c r="L162" s="666"/>
      <c r="M162" s="666"/>
      <c r="N162" s="666"/>
      <c r="O162" s="666"/>
      <c r="P162" s="666"/>
      <c r="Q162" s="666"/>
      <c r="R162" s="666"/>
      <c r="S162" s="666"/>
      <c r="T162" s="666"/>
      <c r="U162" s="666"/>
      <c r="V162" s="666"/>
      <c r="W162" s="666"/>
      <c r="X162" s="666"/>
      <c r="Y162" s="666"/>
      <c r="Z162" s="666"/>
      <c r="AA162" s="666"/>
      <c r="AB162" s="666"/>
      <c r="AC162" s="666"/>
      <c r="AD162" s="666"/>
      <c r="AE162" s="666"/>
      <c r="AG162" s="199"/>
    </row>
    <row r="163" spans="1:33">
      <c r="A163" s="251"/>
      <c r="B163" s="251"/>
      <c r="C163" s="251"/>
      <c r="D163" s="259"/>
      <c r="E163" s="251"/>
      <c r="F163" s="251"/>
      <c r="G163" s="251"/>
      <c r="H163" s="251"/>
      <c r="I163" s="251"/>
      <c r="J163" s="251"/>
      <c r="K163" s="679"/>
      <c r="L163" s="680"/>
      <c r="M163" s="680"/>
      <c r="N163" s="680"/>
      <c r="O163" s="680"/>
      <c r="P163" s="680"/>
      <c r="Q163" s="680"/>
      <c r="R163" s="680"/>
      <c r="S163" s="680"/>
      <c r="T163" s="680"/>
      <c r="U163" s="680"/>
      <c r="V163" s="680"/>
      <c r="W163" s="680"/>
      <c r="X163" s="680"/>
      <c r="Y163" s="680"/>
      <c r="Z163" s="680"/>
      <c r="AA163" s="680"/>
      <c r="AB163" s="680"/>
      <c r="AC163" s="680"/>
      <c r="AD163" s="680"/>
      <c r="AE163" s="680"/>
      <c r="AG163" s="199"/>
    </row>
    <row r="164" spans="1:33">
      <c r="K164" s="664"/>
      <c r="L164" s="666"/>
      <c r="M164" s="666"/>
      <c r="N164" s="666"/>
      <c r="O164" s="666"/>
      <c r="P164" s="666"/>
      <c r="Q164" s="666"/>
      <c r="R164" s="666"/>
      <c r="S164" s="666"/>
      <c r="T164" s="666"/>
      <c r="U164" s="666"/>
      <c r="V164" s="666"/>
      <c r="W164" s="666"/>
      <c r="X164" s="666"/>
      <c r="Y164" s="666"/>
      <c r="Z164" s="666"/>
      <c r="AA164" s="666"/>
      <c r="AB164" s="666"/>
      <c r="AC164" s="666"/>
      <c r="AD164" s="666"/>
      <c r="AE164" s="666"/>
      <c r="AG164" s="199"/>
    </row>
    <row r="165" spans="1:33">
      <c r="A165" s="249" t="s">
        <v>84</v>
      </c>
      <c r="B165" s="281"/>
      <c r="C165" s="281"/>
      <c r="D165" s="177"/>
      <c r="E165" s="281"/>
      <c r="F165" s="281"/>
      <c r="G165" s="281"/>
      <c r="H165" s="281"/>
      <c r="I165" s="281"/>
      <c r="J165" s="281"/>
      <c r="K165" s="681"/>
      <c r="L165" s="682"/>
      <c r="M165" s="682"/>
      <c r="N165" s="682"/>
      <c r="O165" s="682"/>
      <c r="P165" s="682"/>
      <c r="Q165" s="682"/>
      <c r="R165" s="682"/>
      <c r="S165" s="682"/>
      <c r="T165" s="682"/>
      <c r="U165" s="682"/>
      <c r="V165" s="682"/>
      <c r="W165" s="682"/>
      <c r="X165" s="682"/>
      <c r="Y165" s="682"/>
      <c r="Z165" s="682"/>
      <c r="AA165" s="682"/>
      <c r="AB165" s="682"/>
      <c r="AC165" s="682"/>
      <c r="AD165" s="682"/>
      <c r="AE165" s="682"/>
      <c r="AG165" s="199"/>
    </row>
    <row r="166" spans="1:33" s="252" customFormat="1">
      <c r="A166" s="257"/>
      <c r="D166" s="186"/>
      <c r="K166" s="664"/>
      <c r="L166" s="671"/>
      <c r="M166" s="671"/>
      <c r="N166" s="671"/>
      <c r="O166" s="671"/>
      <c r="P166" s="671"/>
      <c r="Q166" s="671"/>
      <c r="R166" s="671"/>
      <c r="S166" s="671"/>
      <c r="T166" s="671"/>
      <c r="U166" s="671"/>
      <c r="V166" s="671"/>
      <c r="W166" s="671"/>
      <c r="X166" s="671"/>
      <c r="Y166" s="671"/>
      <c r="Z166" s="671"/>
      <c r="AA166" s="671"/>
      <c r="AB166" s="671"/>
      <c r="AC166" s="671"/>
      <c r="AD166" s="671"/>
      <c r="AE166" s="671"/>
      <c r="AG166" s="363"/>
    </row>
    <row r="167" spans="1:33">
      <c r="A167" s="96" t="str">
        <f>'OPEX - Concept B1 - Carnival'!A167</f>
        <v>Investment (cash)</v>
      </c>
      <c r="B167" s="96"/>
      <c r="C167" s="96"/>
      <c r="D167" s="96"/>
      <c r="E167" s="96"/>
      <c r="F167" s="96"/>
      <c r="G167" s="96"/>
      <c r="H167" s="96"/>
      <c r="I167" s="96"/>
      <c r="J167" s="96"/>
      <c r="K167" s="883"/>
      <c r="L167" s="663"/>
      <c r="M167" s="663"/>
      <c r="N167" s="663"/>
      <c r="O167" s="663"/>
      <c r="P167" s="663"/>
      <c r="Q167" s="663"/>
      <c r="R167" s="663"/>
      <c r="S167" s="663"/>
      <c r="T167" s="663"/>
      <c r="U167" s="663"/>
      <c r="V167" s="663"/>
      <c r="W167" s="663"/>
      <c r="X167" s="663"/>
      <c r="Y167" s="663"/>
      <c r="Z167" s="663"/>
      <c r="AA167" s="663"/>
      <c r="AB167" s="663"/>
      <c r="AC167" s="663"/>
      <c r="AD167" s="663"/>
      <c r="AE167" s="663"/>
      <c r="AG167" s="199"/>
    </row>
    <row r="168" spans="1:33">
      <c r="A168" s="96" t="str">
        <f>'OPEX - Concept B1 - Carnival'!A168</f>
        <v xml:space="preserve">     Site Maintenance</v>
      </c>
      <c r="B168" s="96"/>
      <c r="C168" s="96"/>
      <c r="D168" s="96"/>
      <c r="E168" s="96"/>
      <c r="F168" s="96"/>
      <c r="G168" s="96"/>
      <c r="H168" s="96"/>
      <c r="I168" s="96"/>
      <c r="J168" s="96"/>
      <c r="K168" s="883">
        <f>'OPEX - Concept B1 - Carnival'!K168</f>
        <v>0</v>
      </c>
      <c r="L168" s="663">
        <f>'OPEX - Concept B1 - Carnival'!L168</f>
        <v>0</v>
      </c>
      <c r="M168" s="663">
        <f>'OPEX - Concept B1 - Carnival'!M168</f>
        <v>53485</v>
      </c>
      <c r="N168" s="663">
        <f>'OPEX - Concept B1 - Carnival'!N168</f>
        <v>54554.700000000004</v>
      </c>
      <c r="O168" s="663">
        <f>'OPEX - Concept B1 - Carnival'!O168</f>
        <v>55645.794000000002</v>
      </c>
      <c r="P168" s="663">
        <f>'OPEX - Concept B1 - Carnival'!P168</f>
        <v>56758.709879999995</v>
      </c>
      <c r="Q168" s="663">
        <f>'OPEX - Concept B1 - Carnival'!Q168</f>
        <v>57893.8840776</v>
      </c>
      <c r="R168" s="663">
        <f>'OPEX - Concept B1 - Carnival'!R168</f>
        <v>59051.761759152003</v>
      </c>
      <c r="S168" s="663">
        <f>'OPEX - Concept B1 - Carnival'!S168</f>
        <v>60232.796994335047</v>
      </c>
      <c r="T168" s="663">
        <f>'OPEX - Concept B1 - Carnival'!T168</f>
        <v>61437.452934221743</v>
      </c>
      <c r="U168" s="663">
        <f>'OPEX - Concept B1 - Carnival'!U168</f>
        <v>62666.201992906186</v>
      </c>
      <c r="V168" s="663">
        <f>'OPEX - Concept B1 - Carnival'!V168</f>
        <v>63919.526032764305</v>
      </c>
      <c r="W168" s="663">
        <f>'OPEX - Concept B1 - Carnival'!W168</f>
        <v>65197.916553419593</v>
      </c>
      <c r="X168" s="663">
        <f>'OPEX - Concept B1 - Carnival'!X168</f>
        <v>66501.874884487988</v>
      </c>
      <c r="Y168" s="663">
        <f>'OPEX - Concept B1 - Carnival'!Y168</f>
        <v>67831.912382177747</v>
      </c>
      <c r="Z168" s="663">
        <f>'OPEX - Concept B1 - Carnival'!Z168</f>
        <v>69188.5506298213</v>
      </c>
      <c r="AA168" s="663">
        <f>'OPEX - Concept B1 - Carnival'!AA168</f>
        <v>70572.321642417723</v>
      </c>
      <c r="AB168" s="663">
        <f>'OPEX - Concept B1 - Carnival'!AB168</f>
        <v>71983.768075266082</v>
      </c>
      <c r="AC168" s="663">
        <f>'OPEX - Concept B1 - Carnival'!AC168</f>
        <v>73423.443436771413</v>
      </c>
      <c r="AD168" s="663">
        <f>'OPEX - Concept B1 - Carnival'!AD168</f>
        <v>74891.912305506848</v>
      </c>
      <c r="AE168" s="663">
        <f>'OPEX - Concept B1 - Carnival'!AE168</f>
        <v>76389.750551616977</v>
      </c>
      <c r="AG168" s="199"/>
    </row>
    <row r="169" spans="1:33" s="162" customFormat="1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883"/>
      <c r="L169" s="663"/>
      <c r="M169" s="663"/>
      <c r="N169" s="663"/>
      <c r="O169" s="663"/>
      <c r="P169" s="663"/>
      <c r="Q169" s="663"/>
      <c r="R169" s="663"/>
      <c r="S169" s="663"/>
      <c r="T169" s="663"/>
      <c r="U169" s="663"/>
      <c r="V169" s="663"/>
      <c r="W169" s="663"/>
      <c r="X169" s="663"/>
      <c r="Y169" s="663"/>
      <c r="Z169" s="663"/>
      <c r="AA169" s="663"/>
      <c r="AB169" s="663"/>
      <c r="AC169" s="663"/>
      <c r="AD169" s="663"/>
      <c r="AE169" s="663"/>
      <c r="AG169" s="786"/>
    </row>
    <row r="170" spans="1:33" s="162" customFormat="1">
      <c r="A170" s="96" t="str">
        <f>'OPEX - Concept B1 - Carnival'!A170</f>
        <v>Debt Service (Site Demolition, Design, Development/Preparation &amp; Shuttles)</v>
      </c>
      <c r="B170" s="96"/>
      <c r="C170" s="96"/>
      <c r="D170" s="96"/>
      <c r="E170" s="96"/>
      <c r="F170" s="96"/>
      <c r="G170" s="96"/>
      <c r="H170" s="96"/>
      <c r="I170" s="96"/>
      <c r="J170" s="96"/>
      <c r="K170" s="883">
        <f>'OPEX - Concept B1 - Carnival'!K170</f>
        <v>0</v>
      </c>
      <c r="L170" s="663">
        <f>'OPEX - Concept B1 - Carnival'!L170</f>
        <v>612119.16</v>
      </c>
      <c r="M170" s="663">
        <f>'OPEX - Concept B1 - Carnival'!M170</f>
        <v>612119.16</v>
      </c>
      <c r="N170" s="663">
        <f>'OPEX - Concept B1 - Carnival'!N170</f>
        <v>612119.16</v>
      </c>
      <c r="O170" s="663">
        <f>'OPEX - Concept B1 - Carnival'!O170</f>
        <v>612119.16</v>
      </c>
      <c r="P170" s="663">
        <f>'OPEX - Concept B1 - Carnival'!P170</f>
        <v>612119.16</v>
      </c>
      <c r="Q170" s="663">
        <f>'OPEX - Concept B1 - Carnival'!Q170</f>
        <v>612119.16</v>
      </c>
      <c r="R170" s="663">
        <f>'OPEX - Concept B1 - Carnival'!R170</f>
        <v>612119.16</v>
      </c>
      <c r="S170" s="663">
        <f>'OPEX - Concept B1 - Carnival'!S170</f>
        <v>612119.16</v>
      </c>
      <c r="T170" s="663">
        <f>'OPEX - Concept B1 - Carnival'!T170</f>
        <v>612119.16</v>
      </c>
      <c r="U170" s="663">
        <f>'OPEX - Concept B1 - Carnival'!U170</f>
        <v>612119.16</v>
      </c>
      <c r="V170" s="663">
        <f>'OPEX - Concept B1 - Carnival'!V170</f>
        <v>612119.16</v>
      </c>
      <c r="W170" s="663">
        <f>'OPEX - Concept B1 - Carnival'!W170</f>
        <v>612119.16</v>
      </c>
      <c r="X170" s="663">
        <f>'OPEX - Concept B1 - Carnival'!X170</f>
        <v>612119.16</v>
      </c>
      <c r="Y170" s="663">
        <f>'OPEX - Concept B1 - Carnival'!Y170</f>
        <v>612119.16</v>
      </c>
      <c r="Z170" s="663">
        <f>'OPEX - Concept B1 - Carnival'!Z170</f>
        <v>612119.16</v>
      </c>
      <c r="AA170" s="663">
        <f>'OPEX - Concept B1 - Carnival'!AA170</f>
        <v>612119.16</v>
      </c>
      <c r="AB170" s="663">
        <f>'OPEX - Concept B1 - Carnival'!AB170</f>
        <v>612119.16</v>
      </c>
      <c r="AC170" s="663">
        <f>'OPEX - Concept B1 - Carnival'!AC170</f>
        <v>612119.16</v>
      </c>
      <c r="AD170" s="663">
        <f>'OPEX - Concept B1 - Carnival'!AD170</f>
        <v>612119.16</v>
      </c>
      <c r="AE170" s="663">
        <f>'OPEX - Concept B1 - Carnival'!AE170</f>
        <v>612119.16</v>
      </c>
    </row>
    <row r="171" spans="1:33" s="702" customFormat="1">
      <c r="A171" s="341" t="s">
        <v>315</v>
      </c>
      <c r="B171" s="701"/>
      <c r="C171" s="703"/>
      <c r="D171" s="704"/>
      <c r="E171" s="705"/>
      <c r="F171" s="705"/>
      <c r="G171" s="705"/>
      <c r="H171" s="705"/>
      <c r="I171" s="706"/>
      <c r="J171" s="707"/>
      <c r="K171" s="699">
        <v>0</v>
      </c>
      <c r="L171" s="700">
        <v>0</v>
      </c>
      <c r="M171" s="700">
        <v>0</v>
      </c>
      <c r="N171" s="700">
        <v>0</v>
      </c>
      <c r="O171" s="700">
        <v>0</v>
      </c>
      <c r="P171" s="700">
        <v>0</v>
      </c>
      <c r="Q171" s="700">
        <v>0</v>
      </c>
      <c r="R171" s="700">
        <v>0</v>
      </c>
      <c r="S171" s="700">
        <v>0</v>
      </c>
      <c r="T171" s="700">
        <v>0</v>
      </c>
      <c r="U171" s="700">
        <v>0</v>
      </c>
      <c r="V171" s="700">
        <v>0</v>
      </c>
      <c r="W171" s="700">
        <v>0</v>
      </c>
      <c r="X171" s="700">
        <v>0</v>
      </c>
      <c r="Y171" s="700">
        <v>0</v>
      </c>
      <c r="Z171" s="700">
        <v>0</v>
      </c>
      <c r="AA171" s="700">
        <v>0</v>
      </c>
      <c r="AB171" s="700">
        <v>0</v>
      </c>
      <c r="AC171" s="700">
        <v>0</v>
      </c>
      <c r="AD171" s="700">
        <v>0</v>
      </c>
      <c r="AE171" s="700">
        <v>0</v>
      </c>
      <c r="AG171" s="708"/>
    </row>
    <row r="172" spans="1:33">
      <c r="A172" s="180" t="s">
        <v>316</v>
      </c>
      <c r="B172" s="180"/>
      <c r="C172" s="180"/>
      <c r="D172" s="116"/>
      <c r="E172" s="180"/>
      <c r="F172" s="180"/>
      <c r="G172" s="180"/>
      <c r="H172" s="180"/>
      <c r="I172" s="180"/>
      <c r="J172" s="180"/>
      <c r="K172" s="505">
        <v>0</v>
      </c>
      <c r="L172" s="506">
        <v>246000</v>
      </c>
      <c r="M172" s="506">
        <v>246000</v>
      </c>
      <c r="N172" s="506">
        <v>246000</v>
      </c>
      <c r="O172" s="506">
        <v>246000</v>
      </c>
      <c r="P172" s="506">
        <v>246000</v>
      </c>
      <c r="Q172" s="506">
        <v>246000</v>
      </c>
      <c r="R172" s="506">
        <v>246000</v>
      </c>
      <c r="S172" s="506">
        <v>246000</v>
      </c>
      <c r="T172" s="506">
        <v>246000</v>
      </c>
      <c r="U172" s="506">
        <v>246000</v>
      </c>
      <c r="V172" s="506">
        <v>246000</v>
      </c>
      <c r="W172" s="506">
        <v>246000</v>
      </c>
      <c r="X172" s="506">
        <v>246000</v>
      </c>
      <c r="Y172" s="506">
        <v>246000</v>
      </c>
      <c r="Z172" s="506">
        <v>246000</v>
      </c>
      <c r="AA172" s="506">
        <v>246000</v>
      </c>
      <c r="AB172" s="506">
        <v>246000</v>
      </c>
      <c r="AC172" s="506">
        <v>246000</v>
      </c>
      <c r="AD172" s="506">
        <v>246000</v>
      </c>
      <c r="AE172" s="506">
        <v>246000</v>
      </c>
      <c r="AG172" s="199"/>
    </row>
    <row r="173" spans="1:33" s="56" customFormat="1" ht="14.25">
      <c r="A173" s="56" t="s">
        <v>134</v>
      </c>
      <c r="D173" s="173"/>
      <c r="K173" s="524">
        <f t="shared" ref="K173:AE173" si="60">SUM(K167:K172)</f>
        <v>0</v>
      </c>
      <c r="L173" s="525">
        <f t="shared" si="60"/>
        <v>858119.16</v>
      </c>
      <c r="M173" s="525">
        <f t="shared" si="60"/>
        <v>911604.16</v>
      </c>
      <c r="N173" s="525">
        <f t="shared" si="60"/>
        <v>912673.86</v>
      </c>
      <c r="O173" s="525">
        <f t="shared" si="60"/>
        <v>913764.95400000003</v>
      </c>
      <c r="P173" s="525">
        <f t="shared" si="60"/>
        <v>914877.86988000001</v>
      </c>
      <c r="Q173" s="525">
        <f t="shared" si="60"/>
        <v>916013.0440776</v>
      </c>
      <c r="R173" s="525">
        <f t="shared" si="60"/>
        <v>917170.92175915209</v>
      </c>
      <c r="S173" s="525">
        <f t="shared" si="60"/>
        <v>918351.95699433505</v>
      </c>
      <c r="T173" s="525">
        <f t="shared" si="60"/>
        <v>919556.61293422175</v>
      </c>
      <c r="U173" s="525">
        <f t="shared" si="60"/>
        <v>920785.3619929062</v>
      </c>
      <c r="V173" s="525">
        <f t="shared" si="60"/>
        <v>922038.68603276438</v>
      </c>
      <c r="W173" s="525">
        <f t="shared" si="60"/>
        <v>923317.07655341958</v>
      </c>
      <c r="X173" s="525">
        <f t="shared" si="60"/>
        <v>924621.03488448798</v>
      </c>
      <c r="Y173" s="525">
        <f t="shared" si="60"/>
        <v>925951.07238217781</v>
      </c>
      <c r="Z173" s="525">
        <f t="shared" si="60"/>
        <v>927307.71062982129</v>
      </c>
      <c r="AA173" s="525">
        <f t="shared" si="60"/>
        <v>928691.48164241773</v>
      </c>
      <c r="AB173" s="525">
        <f t="shared" si="60"/>
        <v>930102.92807526607</v>
      </c>
      <c r="AC173" s="525">
        <f t="shared" si="60"/>
        <v>931542.60343677143</v>
      </c>
      <c r="AD173" s="525">
        <f t="shared" si="60"/>
        <v>933011.07230550691</v>
      </c>
      <c r="AE173" s="525">
        <f t="shared" si="60"/>
        <v>934508.91055161704</v>
      </c>
      <c r="AG173" s="199"/>
    </row>
    <row r="174" spans="1:33">
      <c r="K174" s="683"/>
      <c r="L174" s="666"/>
      <c r="M174" s="666"/>
      <c r="N174" s="666"/>
      <c r="O174" s="666"/>
      <c r="P174" s="666"/>
      <c r="Q174" s="666"/>
      <c r="R174" s="666"/>
      <c r="S174" s="666"/>
      <c r="T174" s="666"/>
      <c r="U174" s="666"/>
      <c r="V174" s="666"/>
      <c r="W174" s="666"/>
      <c r="X174" s="666"/>
      <c r="Y174" s="666"/>
      <c r="Z174" s="666"/>
      <c r="AA174" s="666"/>
      <c r="AB174" s="666"/>
      <c r="AC174" s="666"/>
      <c r="AD174" s="666"/>
      <c r="AE174" s="666"/>
      <c r="AG174" s="199"/>
    </row>
    <row r="175" spans="1:33" s="56" customFormat="1" ht="14.25">
      <c r="A175" s="208" t="s">
        <v>86</v>
      </c>
      <c r="B175" s="718">
        <f>SUM(L175:AE175)</f>
        <v>18384010.478132468</v>
      </c>
      <c r="C175" s="208"/>
      <c r="D175" s="202"/>
      <c r="E175" s="208"/>
      <c r="F175" s="208"/>
      <c r="G175" s="208"/>
      <c r="H175" s="208"/>
      <c r="I175" s="208"/>
      <c r="J175" s="208"/>
      <c r="K175" s="678">
        <f>SUM(K168:K170)</f>
        <v>0</v>
      </c>
      <c r="L175" s="678">
        <f>L173</f>
        <v>858119.16</v>
      </c>
      <c r="M175" s="678">
        <f t="shared" ref="M175:AE175" si="61">M173</f>
        <v>911604.16</v>
      </c>
      <c r="N175" s="678">
        <f t="shared" si="61"/>
        <v>912673.86</v>
      </c>
      <c r="O175" s="678">
        <f t="shared" si="61"/>
        <v>913764.95400000003</v>
      </c>
      <c r="P175" s="678">
        <f t="shared" si="61"/>
        <v>914877.86988000001</v>
      </c>
      <c r="Q175" s="678">
        <f t="shared" si="61"/>
        <v>916013.0440776</v>
      </c>
      <c r="R175" s="678">
        <f t="shared" si="61"/>
        <v>917170.92175915209</v>
      </c>
      <c r="S175" s="678">
        <f t="shared" si="61"/>
        <v>918351.95699433505</v>
      </c>
      <c r="T175" s="678">
        <f t="shared" si="61"/>
        <v>919556.61293422175</v>
      </c>
      <c r="U175" s="678">
        <f t="shared" si="61"/>
        <v>920785.3619929062</v>
      </c>
      <c r="V175" s="678">
        <f t="shared" si="61"/>
        <v>922038.68603276438</v>
      </c>
      <c r="W175" s="678">
        <f t="shared" si="61"/>
        <v>923317.07655341958</v>
      </c>
      <c r="X175" s="678">
        <f t="shared" si="61"/>
        <v>924621.03488448798</v>
      </c>
      <c r="Y175" s="678">
        <f t="shared" si="61"/>
        <v>925951.07238217781</v>
      </c>
      <c r="Z175" s="678">
        <f t="shared" si="61"/>
        <v>927307.71062982129</v>
      </c>
      <c r="AA175" s="678">
        <f t="shared" si="61"/>
        <v>928691.48164241773</v>
      </c>
      <c r="AB175" s="678">
        <f t="shared" si="61"/>
        <v>930102.92807526607</v>
      </c>
      <c r="AC175" s="678">
        <f t="shared" si="61"/>
        <v>931542.60343677143</v>
      </c>
      <c r="AD175" s="678">
        <f t="shared" si="61"/>
        <v>933011.07230550691</v>
      </c>
      <c r="AE175" s="678">
        <f t="shared" si="61"/>
        <v>934508.91055161704</v>
      </c>
      <c r="AG175" s="199"/>
    </row>
    <row r="176" spans="1:33">
      <c r="K176" s="662"/>
      <c r="L176" s="201"/>
      <c r="M176" s="201"/>
      <c r="N176" s="201"/>
      <c r="O176" s="201"/>
      <c r="P176" s="201"/>
      <c r="Q176" s="201"/>
      <c r="R176" s="201"/>
      <c r="S176" s="201"/>
      <c r="T176" s="201"/>
      <c r="U176" s="201"/>
      <c r="V176" s="201"/>
      <c r="W176" s="201"/>
      <c r="X176" s="201"/>
      <c r="Y176" s="201"/>
      <c r="Z176" s="201"/>
      <c r="AA176" s="201"/>
      <c r="AB176" s="201"/>
      <c r="AC176" s="201"/>
      <c r="AD176" s="201"/>
      <c r="AE176" s="201"/>
    </row>
    <row r="177" spans="1:31">
      <c r="A177" s="251"/>
      <c r="B177" s="251"/>
      <c r="C177" s="251"/>
      <c r="D177" s="259"/>
      <c r="E177" s="251"/>
      <c r="F177" s="251"/>
      <c r="G177" s="251"/>
      <c r="H177" s="251"/>
      <c r="I177" s="251"/>
      <c r="J177" s="251"/>
      <c r="K177" s="324"/>
      <c r="L177" s="325"/>
      <c r="M177" s="325"/>
      <c r="N177" s="325"/>
      <c r="O177" s="325"/>
      <c r="P177" s="325"/>
      <c r="Q177" s="325"/>
      <c r="R177" s="325"/>
      <c r="S177" s="325"/>
      <c r="T177" s="325"/>
      <c r="U177" s="325"/>
      <c r="V177" s="325"/>
      <c r="W177" s="325"/>
      <c r="X177" s="325"/>
      <c r="Y177" s="325"/>
      <c r="Z177" s="325"/>
      <c r="AA177" s="325"/>
      <c r="AB177" s="325"/>
      <c r="AC177" s="325"/>
      <c r="AD177" s="325"/>
      <c r="AE177" s="325"/>
    </row>
    <row r="178" spans="1:31">
      <c r="K178" s="322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1"/>
      <c r="Y178" s="201"/>
      <c r="Z178" s="201"/>
      <c r="AA178" s="201"/>
      <c r="AB178" s="201"/>
      <c r="AC178" s="201"/>
      <c r="AD178" s="201"/>
      <c r="AE178" s="201"/>
    </row>
    <row r="179" spans="1:31">
      <c r="A179"/>
      <c r="K179" s="322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1"/>
      <c r="Y179" s="201"/>
      <c r="Z179" s="201"/>
      <c r="AA179" s="201"/>
      <c r="AB179" s="201"/>
      <c r="AC179" s="201"/>
      <c r="AD179" s="201"/>
      <c r="AE179" s="201"/>
    </row>
    <row r="180" spans="1:31">
      <c r="A180"/>
      <c r="K180" s="322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</row>
    <row r="181" spans="1:31">
      <c r="K181" s="322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</row>
    <row r="182" spans="1:31">
      <c r="K182" s="322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  <c r="AA182" s="201"/>
      <c r="AB182" s="201"/>
      <c r="AC182" s="201"/>
      <c r="AD182" s="201"/>
      <c r="AE182" s="201"/>
    </row>
    <row r="183" spans="1:31">
      <c r="K183" s="322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</row>
    <row r="184" spans="1:31">
      <c r="K184" s="322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  <c r="AA184" s="201"/>
      <c r="AB184" s="201"/>
      <c r="AC184" s="201"/>
      <c r="AD184" s="201"/>
      <c r="AE184" s="201"/>
    </row>
    <row r="185" spans="1:31">
      <c r="K185" s="322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</row>
    <row r="186" spans="1:31">
      <c r="K186" s="322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</row>
    <row r="187" spans="1:31">
      <c r="K187" s="322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</row>
    <row r="188" spans="1:31">
      <c r="K188" s="322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</row>
    <row r="189" spans="1:31">
      <c r="K189" s="322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</row>
    <row r="190" spans="1:31">
      <c r="K190" s="322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</row>
    <row r="191" spans="1:31">
      <c r="K191" s="322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</row>
    <row r="192" spans="1:31">
      <c r="K192" s="322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FD192"/>
  <sheetViews>
    <sheetView topLeftCell="A133" zoomScale="70" zoomScaleNormal="70" workbookViewId="0">
      <selection activeCell="D178" sqref="D178"/>
    </sheetView>
  </sheetViews>
  <sheetFormatPr defaultColWidth="9" defaultRowHeight="16.5"/>
  <cols>
    <col min="1" max="1" width="45.625" style="33" customWidth="1"/>
    <col min="2" max="2" width="48.5" style="33" bestFit="1" customWidth="1"/>
    <col min="3" max="3" width="18.125" style="33" bestFit="1" customWidth="1"/>
    <col min="4" max="4" width="16.25" style="109" bestFit="1" customWidth="1"/>
    <col min="5" max="5" width="13.125" style="33" bestFit="1" customWidth="1"/>
    <col min="6" max="6" width="20.5" style="33" bestFit="1" customWidth="1"/>
    <col min="7" max="7" width="20.25" style="33" bestFit="1" customWidth="1"/>
    <col min="8" max="8" width="21.75" style="33" bestFit="1" customWidth="1"/>
    <col min="9" max="9" width="12.125" style="33" bestFit="1" customWidth="1"/>
    <col min="10" max="10" width="13.875" style="33" bestFit="1" customWidth="1"/>
    <col min="11" max="11" width="7.75" style="166" bestFit="1" customWidth="1"/>
    <col min="12" max="12" width="15.875" style="33" bestFit="1" customWidth="1"/>
    <col min="13" max="13" width="17.5" style="33" bestFit="1" customWidth="1"/>
    <col min="14" max="14" width="17.125" style="33" bestFit="1" customWidth="1"/>
    <col min="15" max="15" width="16.375" style="33" bestFit="1" customWidth="1"/>
    <col min="16" max="16" width="17.125" style="33" bestFit="1" customWidth="1"/>
    <col min="17" max="17" width="17.5" style="33" bestFit="1" customWidth="1"/>
    <col min="18" max="18" width="16.75" style="33" bestFit="1" customWidth="1"/>
    <col min="19" max="19" width="16.375" style="33" bestFit="1" customWidth="1"/>
    <col min="20" max="20" width="16.75" style="33" bestFit="1" customWidth="1"/>
    <col min="21" max="21" width="17.125" style="33" bestFit="1" customWidth="1"/>
    <col min="22" max="22" width="17.5" style="33" bestFit="1" customWidth="1"/>
    <col min="23" max="23" width="17.125" style="33" bestFit="1" customWidth="1"/>
    <col min="24" max="26" width="17.5" style="33" bestFit="1" customWidth="1"/>
    <col min="27" max="27" width="17.125" style="33" bestFit="1" customWidth="1"/>
    <col min="28" max="31" width="17.5" style="33" bestFit="1" customWidth="1"/>
    <col min="32" max="32" width="22.625" style="33" bestFit="1" customWidth="1"/>
    <col min="33" max="33" width="12.625" style="33" bestFit="1" customWidth="1"/>
    <col min="34" max="16384" width="9" style="33"/>
  </cols>
  <sheetData>
    <row r="1" spans="1:31" ht="18.75" thickBot="1">
      <c r="A1" s="11" t="str">
        <f>Intro!A1</f>
        <v>Town of Bar Harbor</v>
      </c>
      <c r="B1" s="13"/>
      <c r="C1" s="13"/>
      <c r="D1" s="99"/>
      <c r="E1" s="14"/>
      <c r="F1" s="14"/>
      <c r="G1" s="34"/>
      <c r="H1" s="34"/>
      <c r="I1" s="34"/>
      <c r="J1" s="34"/>
      <c r="K1" s="16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</row>
    <row r="2" spans="1:31" ht="17.25" thickBot="1">
      <c r="A2" s="380" t="str">
        <f>Intro!A2</f>
        <v>Ferry Property Business Plan</v>
      </c>
      <c r="B2" s="13"/>
      <c r="C2" s="13"/>
      <c r="D2" s="99"/>
      <c r="E2" s="14"/>
      <c r="F2" s="14"/>
      <c r="G2" s="34"/>
      <c r="H2" s="34"/>
      <c r="I2" s="34"/>
      <c r="J2" s="34"/>
      <c r="K2" s="16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</row>
    <row r="3" spans="1:31" s="392" customFormat="1" ht="14.25" thickBot="1">
      <c r="A3" s="384" t="str">
        <f>Intro!A3</f>
        <v>05.23.2018</v>
      </c>
      <c r="B3" s="2"/>
      <c r="C3" s="382"/>
      <c r="D3" s="393"/>
      <c r="E3" s="385"/>
      <c r="F3" s="385"/>
      <c r="G3" s="389"/>
      <c r="H3" s="389"/>
      <c r="I3" s="389"/>
      <c r="J3" s="389"/>
      <c r="K3" s="390"/>
      <c r="L3" s="391"/>
      <c r="M3" s="391"/>
      <c r="N3" s="391"/>
      <c r="O3" s="391"/>
      <c r="P3" s="391"/>
      <c r="Q3" s="391"/>
      <c r="R3" s="391"/>
      <c r="S3" s="391"/>
      <c r="T3" s="391"/>
      <c r="U3" s="391"/>
      <c r="V3" s="391"/>
      <c r="W3" s="391"/>
      <c r="X3" s="391"/>
      <c r="Y3" s="391"/>
      <c r="Z3" s="391"/>
      <c r="AA3" s="391"/>
      <c r="AB3" s="391"/>
      <c r="AC3" s="391"/>
      <c r="AD3" s="391"/>
      <c r="AE3" s="391"/>
    </row>
    <row r="4" spans="1:31" s="392" customFormat="1" ht="13.5">
      <c r="A4" s="384" t="str">
        <f ca="1">Intro!A4</f>
        <v>Town of Bar Harbor</v>
      </c>
      <c r="B4" s="382"/>
      <c r="C4" s="382"/>
      <c r="D4" s="393"/>
      <c r="E4" s="383">
        <f ca="1">NOW()</f>
        <v>43242.835659143515</v>
      </c>
      <c r="F4" s="383"/>
      <c r="G4" s="389"/>
      <c r="H4" s="389"/>
      <c r="I4" s="389"/>
      <c r="J4" s="389"/>
      <c r="K4" s="390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  <c r="W4" s="391"/>
      <c r="X4" s="391"/>
      <c r="Y4" s="391"/>
      <c r="Z4" s="391"/>
      <c r="AA4" s="391"/>
      <c r="AB4" s="391"/>
      <c r="AC4" s="391"/>
      <c r="AD4" s="391"/>
      <c r="AE4" s="391"/>
    </row>
    <row r="5" spans="1:31">
      <c r="A5" s="231" t="s">
        <v>342</v>
      </c>
      <c r="B5" s="231"/>
      <c r="C5" s="232"/>
      <c r="D5" s="233"/>
      <c r="E5" s="232"/>
      <c r="F5" s="232"/>
      <c r="G5" s="234"/>
      <c r="H5" s="234"/>
      <c r="I5" s="234"/>
      <c r="J5" s="234"/>
      <c r="K5" s="235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1:31">
      <c r="A6" s="237"/>
      <c r="B6" s="237"/>
      <c r="C6" s="237"/>
      <c r="D6" s="238"/>
      <c r="E6" s="237"/>
      <c r="F6" s="237"/>
      <c r="G6" s="237"/>
      <c r="H6" s="237"/>
      <c r="I6" s="237"/>
      <c r="J6" s="237"/>
      <c r="K6" s="659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</row>
    <row r="7" spans="1:31" ht="48.75" customHeight="1">
      <c r="A7" s="239"/>
      <c r="B7" s="240" t="s">
        <v>45</v>
      </c>
      <c r="C7" s="241" t="s">
        <v>46</v>
      </c>
      <c r="D7" s="242" t="s">
        <v>47</v>
      </c>
      <c r="E7" s="240" t="s">
        <v>21</v>
      </c>
      <c r="F7" s="240" t="s">
        <v>48</v>
      </c>
      <c r="G7" s="240" t="s">
        <v>49</v>
      </c>
      <c r="H7" s="240" t="s">
        <v>59</v>
      </c>
      <c r="I7" s="240" t="s">
        <v>22</v>
      </c>
      <c r="J7" s="240" t="s">
        <v>50</v>
      </c>
      <c r="K7" s="243">
        <v>2018</v>
      </c>
      <c r="L7" s="243">
        <v>2019</v>
      </c>
      <c r="M7" s="243">
        <v>2020</v>
      </c>
      <c r="N7" s="243">
        <v>2021</v>
      </c>
      <c r="O7" s="243">
        <v>2022</v>
      </c>
      <c r="P7" s="243">
        <v>2023</v>
      </c>
      <c r="Q7" s="243">
        <v>2024</v>
      </c>
      <c r="R7" s="243">
        <v>2025</v>
      </c>
      <c r="S7" s="243">
        <v>2026</v>
      </c>
      <c r="T7" s="243">
        <v>2027</v>
      </c>
      <c r="U7" s="243">
        <v>2028</v>
      </c>
      <c r="V7" s="243">
        <v>2029</v>
      </c>
      <c r="W7" s="243">
        <v>2030</v>
      </c>
      <c r="X7" s="243">
        <v>2031</v>
      </c>
      <c r="Y7" s="243">
        <v>2032</v>
      </c>
      <c r="Z7" s="243">
        <v>2033</v>
      </c>
      <c r="AA7" s="243">
        <v>2034</v>
      </c>
      <c r="AB7" s="243">
        <v>2035</v>
      </c>
      <c r="AC7" s="243">
        <v>2036</v>
      </c>
      <c r="AD7" s="243">
        <v>2037</v>
      </c>
      <c r="AE7" s="243">
        <v>2038</v>
      </c>
    </row>
    <row r="8" spans="1:31" s="18" customFormat="1" ht="17.25" thickBot="1">
      <c r="K8" s="488"/>
    </row>
    <row r="9" spans="1:31" s="18" customFormat="1" ht="17.25" thickBot="1">
      <c r="A9" s="117" t="s">
        <v>381</v>
      </c>
      <c r="B9" s="484" t="str">
        <f>'P&amp;L - Concept B1 - NCLH'!B9</f>
        <v>Scenario 5 - Percent of 2018 Business - NCLH</v>
      </c>
      <c r="K9" s="489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  <c r="Y9" s="327"/>
      <c r="Z9" s="327"/>
      <c r="AA9" s="327"/>
      <c r="AB9" s="327"/>
      <c r="AC9" s="327"/>
      <c r="AD9" s="327"/>
      <c r="AE9" s="327"/>
    </row>
    <row r="10" spans="1:31" s="18" customFormat="1">
      <c r="A10" s="649"/>
      <c r="B10" s="372"/>
      <c r="K10" s="489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  <c r="Y10" s="327"/>
      <c r="Z10" s="327"/>
      <c r="AA10" s="327"/>
      <c r="AB10" s="327"/>
      <c r="AC10" s="327"/>
      <c r="AD10" s="327"/>
      <c r="AE10" s="327"/>
    </row>
    <row r="11" spans="1:31">
      <c r="A11" s="38" t="s">
        <v>52</v>
      </c>
      <c r="B11" s="38"/>
      <c r="C11" s="38"/>
      <c r="D11" s="101"/>
      <c r="E11" s="38"/>
      <c r="F11" s="38"/>
      <c r="G11" s="37"/>
      <c r="H11" s="37"/>
      <c r="I11" s="38"/>
      <c r="J11" s="37"/>
      <c r="K11" s="784">
        <f>'OPEX - Concept A1'!K11</f>
        <v>0</v>
      </c>
      <c r="L11" s="311">
        <f>'BH Tariffs'!D52</f>
        <v>1.02</v>
      </c>
      <c r="M11" s="311">
        <f>'BH Tariffs'!E52</f>
        <v>1.0404</v>
      </c>
      <c r="N11" s="311">
        <f>'BH Tariffs'!F52</f>
        <v>1.0612079999999999</v>
      </c>
      <c r="O11" s="311">
        <f>'BH Tariffs'!G52</f>
        <v>1.08243216</v>
      </c>
      <c r="P11" s="311">
        <f>'BH Tariffs'!H52</f>
        <v>1.1040808032</v>
      </c>
      <c r="Q11" s="311">
        <f>'BH Tariffs'!I52</f>
        <v>1.1261624192640001</v>
      </c>
      <c r="R11" s="311">
        <f>'BH Tariffs'!J52</f>
        <v>1.14868566764928</v>
      </c>
      <c r="S11" s="311">
        <f>'BH Tariffs'!K52</f>
        <v>1.1716593810022657</v>
      </c>
      <c r="T11" s="311">
        <f>'BH Tariffs'!L52</f>
        <v>1.1950925686223111</v>
      </c>
      <c r="U11" s="311">
        <f>'BH Tariffs'!M52</f>
        <v>1.2189944199947573</v>
      </c>
      <c r="V11" s="311">
        <f>'BH Tariffs'!N52</f>
        <v>1.2433743083946525</v>
      </c>
      <c r="W11" s="311">
        <f>'BH Tariffs'!O52</f>
        <v>1.2682417945625455</v>
      </c>
      <c r="X11" s="311">
        <f>'BH Tariffs'!P52</f>
        <v>1.2936066304537963</v>
      </c>
      <c r="Y11" s="311">
        <f>'BH Tariffs'!Q52</f>
        <v>1.3194787630628724</v>
      </c>
      <c r="Z11" s="311">
        <f>'BH Tariffs'!R52</f>
        <v>1.3458683383241299</v>
      </c>
      <c r="AA11" s="311">
        <f>'BH Tariffs'!S52</f>
        <v>1.3727857050906125</v>
      </c>
      <c r="AB11" s="311">
        <f>'BH Tariffs'!T52</f>
        <v>1.4002414191924248</v>
      </c>
      <c r="AC11" s="311">
        <f>'BH Tariffs'!U52</f>
        <v>1.4282462475762734</v>
      </c>
      <c r="AD11" s="311">
        <f>'BH Tariffs'!V52</f>
        <v>1.4568111725277988</v>
      </c>
      <c r="AE11" s="311">
        <f>'BH Tariffs'!W52</f>
        <v>1.4859473959783549</v>
      </c>
    </row>
    <row r="12" spans="1:31">
      <c r="A12" s="38" t="s">
        <v>58</v>
      </c>
      <c r="B12" s="38"/>
      <c r="C12" s="37"/>
      <c r="D12" s="76"/>
      <c r="E12" s="79">
        <v>0.2</v>
      </c>
      <c r="F12" s="172"/>
      <c r="G12" s="36"/>
      <c r="H12" s="36"/>
      <c r="I12" s="38"/>
      <c r="J12" s="36"/>
      <c r="K12" s="661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200"/>
      <c r="AC12" s="200"/>
      <c r="AD12" s="200"/>
      <c r="AE12" s="200"/>
    </row>
    <row r="13" spans="1:31">
      <c r="A13" s="38" t="s">
        <v>51</v>
      </c>
      <c r="B13" s="38"/>
      <c r="C13" s="37"/>
      <c r="D13" s="76"/>
      <c r="E13" s="79"/>
      <c r="F13" s="79">
        <v>0.4</v>
      </c>
      <c r="G13" s="36"/>
      <c r="H13" s="36"/>
      <c r="I13" s="38"/>
      <c r="J13" s="36"/>
      <c r="K13" s="661"/>
      <c r="L13" s="200"/>
      <c r="M13" s="200"/>
      <c r="N13" s="200"/>
      <c r="O13" s="200"/>
      <c r="P13" s="200"/>
      <c r="Q13" s="200"/>
      <c r="R13" s="200"/>
      <c r="S13" s="200"/>
      <c r="T13" s="200"/>
      <c r="U13" s="200"/>
      <c r="V13" s="200"/>
      <c r="W13" s="200"/>
      <c r="X13" s="200"/>
      <c r="Y13" s="200"/>
      <c r="Z13" s="200"/>
      <c r="AA13" s="200"/>
      <c r="AB13" s="200"/>
      <c r="AC13" s="200"/>
      <c r="AD13" s="200"/>
      <c r="AE13" s="200"/>
    </row>
    <row r="14" spans="1:31" s="18" customFormat="1">
      <c r="A14" s="649"/>
      <c r="B14" s="372"/>
      <c r="K14" s="489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7"/>
      <c r="X14" s="327"/>
      <c r="Y14" s="327"/>
      <c r="Z14" s="327"/>
      <c r="AA14" s="327"/>
      <c r="AB14" s="327"/>
      <c r="AC14" s="327"/>
      <c r="AD14" s="327"/>
      <c r="AE14" s="327"/>
    </row>
    <row r="15" spans="1:31" s="18" customFormat="1">
      <c r="K15" s="489"/>
      <c r="L15" s="327"/>
      <c r="M15" s="327"/>
      <c r="N15" s="327"/>
      <c r="O15" s="327"/>
      <c r="P15" s="327"/>
      <c r="Q15" s="327"/>
      <c r="R15" s="327"/>
      <c r="S15" s="327"/>
      <c r="T15" s="327"/>
      <c r="U15" s="327"/>
      <c r="V15" s="327"/>
      <c r="W15" s="327"/>
      <c r="X15" s="327"/>
      <c r="Y15" s="327"/>
      <c r="Z15" s="327"/>
      <c r="AA15" s="327"/>
      <c r="AB15" s="327"/>
      <c r="AC15" s="327"/>
      <c r="AD15" s="327"/>
      <c r="AE15" s="327"/>
    </row>
    <row r="16" spans="1:31" s="582" customFormat="1" ht="14.25">
      <c r="A16" s="582" t="s">
        <v>83</v>
      </c>
      <c r="K16" s="490"/>
      <c r="L16" s="785"/>
      <c r="M16" s="785"/>
      <c r="N16" s="785"/>
      <c r="O16" s="785"/>
      <c r="P16" s="785"/>
      <c r="Q16" s="785"/>
      <c r="R16" s="785"/>
      <c r="S16" s="785"/>
      <c r="T16" s="785"/>
      <c r="U16" s="785"/>
      <c r="V16" s="785"/>
      <c r="W16" s="785"/>
      <c r="X16" s="785"/>
      <c r="Y16" s="785"/>
      <c r="Z16" s="785"/>
      <c r="AA16" s="785"/>
      <c r="AB16" s="785"/>
      <c r="AC16" s="785"/>
      <c r="AD16" s="785"/>
      <c r="AE16" s="785"/>
    </row>
    <row r="17" spans="1:31" s="96" customFormat="1">
      <c r="A17" s="53" t="str">
        <f>'Cruise Projections'!A67</f>
        <v>Passengers</v>
      </c>
      <c r="B17" s="487"/>
      <c r="C17" s="487"/>
      <c r="K17" s="486">
        <f>'P&amp;L - Concept B1 - NCLH'!D12</f>
        <v>0</v>
      </c>
      <c r="L17" s="313">
        <f>'P&amp;L - Concept B1 - NCLH'!E12</f>
        <v>0</v>
      </c>
      <c r="M17" s="313">
        <f>'P&amp;L - Concept B1 - NCLH'!F12</f>
        <v>51920.067226246269</v>
      </c>
      <c r="N17" s="313">
        <f>'P&amp;L - Concept B1 - NCLH'!G12</f>
        <v>51920.067226246269</v>
      </c>
      <c r="O17" s="313">
        <f>'P&amp;L - Concept B1 - NCLH'!H12</f>
        <v>51920.067226246269</v>
      </c>
      <c r="P17" s="313">
        <f>'P&amp;L - Concept B1 - NCLH'!I12</f>
        <v>51920.067226246269</v>
      </c>
      <c r="Q17" s="313">
        <f>'P&amp;L - Concept B1 - NCLH'!J12</f>
        <v>51920.067226246269</v>
      </c>
      <c r="R17" s="313">
        <f>'P&amp;L - Concept B1 - NCLH'!K12</f>
        <v>51920.067226246269</v>
      </c>
      <c r="S17" s="313">
        <f>'P&amp;L - Concept B1 - NCLH'!L12</f>
        <v>51920.067226246269</v>
      </c>
      <c r="T17" s="313">
        <f>'P&amp;L - Concept B1 - NCLH'!M12</f>
        <v>51920.067226246269</v>
      </c>
      <c r="U17" s="313">
        <f>'P&amp;L - Concept B1 - NCLH'!N12</f>
        <v>51920.067226246269</v>
      </c>
      <c r="V17" s="313">
        <f>'P&amp;L - Concept B1 - NCLH'!O12</f>
        <v>51920.067226246269</v>
      </c>
      <c r="W17" s="313">
        <f>'P&amp;L - Concept B1 - NCLH'!P12</f>
        <v>51920.067226246269</v>
      </c>
      <c r="X17" s="313">
        <f>'P&amp;L - Concept B1 - NCLH'!Q12</f>
        <v>51920.067226246269</v>
      </c>
      <c r="Y17" s="313">
        <f>'P&amp;L - Concept B1 - NCLH'!R12</f>
        <v>51920.067226246269</v>
      </c>
      <c r="Z17" s="313">
        <f>'P&amp;L - Concept B1 - NCLH'!S12</f>
        <v>51920.067226246269</v>
      </c>
      <c r="AA17" s="313">
        <f>'P&amp;L - Concept B1 - NCLH'!T12</f>
        <v>51920.067226246269</v>
      </c>
      <c r="AB17" s="313">
        <f>'P&amp;L - Concept B1 - NCLH'!U12</f>
        <v>51920.067226246269</v>
      </c>
      <c r="AC17" s="313">
        <f>'P&amp;L - Concept B1 - NCLH'!V12</f>
        <v>51920.067226246269</v>
      </c>
      <c r="AD17" s="313">
        <f>'P&amp;L - Concept B1 - NCLH'!W12</f>
        <v>51920.067226246269</v>
      </c>
      <c r="AE17" s="313">
        <f>'P&amp;L - Concept B1 - NCLH'!X12</f>
        <v>51920.067226246269</v>
      </c>
    </row>
    <row r="18" spans="1:31" s="96" customFormat="1">
      <c r="A18" s="53" t="str">
        <f>'Cruise Projections'!A68</f>
        <v>Calls</v>
      </c>
      <c r="B18" s="487"/>
      <c r="C18" s="487"/>
      <c r="K18" s="486">
        <f>'P&amp;L - Concept B1 - NCLH'!D13</f>
        <v>0</v>
      </c>
      <c r="L18" s="313">
        <f>'P&amp;L - Concept B1 - NCLH'!E13</f>
        <v>0</v>
      </c>
      <c r="M18" s="313">
        <f>'P&amp;L - Concept B1 - NCLH'!F13</f>
        <v>27.711111111111112</v>
      </c>
      <c r="N18" s="313">
        <f>'P&amp;L - Concept B1 - NCLH'!G13</f>
        <v>27.711111111111112</v>
      </c>
      <c r="O18" s="313">
        <f>'P&amp;L - Concept B1 - NCLH'!H13</f>
        <v>27.711111111111112</v>
      </c>
      <c r="P18" s="313">
        <f>'P&amp;L - Concept B1 - NCLH'!I13</f>
        <v>27.711111111111112</v>
      </c>
      <c r="Q18" s="313">
        <f>'P&amp;L - Concept B1 - NCLH'!J13</f>
        <v>27.711111111111112</v>
      </c>
      <c r="R18" s="313">
        <f>'P&amp;L - Concept B1 - NCLH'!K13</f>
        <v>27.711111111111112</v>
      </c>
      <c r="S18" s="313">
        <f>'P&amp;L - Concept B1 - NCLH'!L13</f>
        <v>27.711111111111112</v>
      </c>
      <c r="T18" s="313">
        <f>'P&amp;L - Concept B1 - NCLH'!M13</f>
        <v>27.711111111111112</v>
      </c>
      <c r="U18" s="313">
        <f>'P&amp;L - Concept B1 - NCLH'!N13</f>
        <v>27.711111111111112</v>
      </c>
      <c r="V18" s="313">
        <f>'P&amp;L - Concept B1 - NCLH'!O13</f>
        <v>27.711111111111112</v>
      </c>
      <c r="W18" s="313">
        <f>'P&amp;L - Concept B1 - NCLH'!P13</f>
        <v>27.711111111111112</v>
      </c>
      <c r="X18" s="313">
        <f>'P&amp;L - Concept B1 - NCLH'!Q13</f>
        <v>27.711111111111112</v>
      </c>
      <c r="Y18" s="313">
        <f>'P&amp;L - Concept B1 - NCLH'!R13</f>
        <v>27.711111111111112</v>
      </c>
      <c r="Z18" s="313">
        <f>'P&amp;L - Concept B1 - NCLH'!S13</f>
        <v>27.711111111111112</v>
      </c>
      <c r="AA18" s="313">
        <f>'P&amp;L - Concept B1 - NCLH'!T13</f>
        <v>27.711111111111112</v>
      </c>
      <c r="AB18" s="313">
        <f>'P&amp;L - Concept B1 - NCLH'!U13</f>
        <v>27.711111111111112</v>
      </c>
      <c r="AC18" s="313">
        <f>'P&amp;L - Concept B1 - NCLH'!V13</f>
        <v>27.711111111111112</v>
      </c>
      <c r="AD18" s="313">
        <f>'P&amp;L - Concept B1 - NCLH'!W13</f>
        <v>27.711111111111112</v>
      </c>
      <c r="AE18" s="313">
        <f>'P&amp;L - Concept B1 - NCLH'!X13</f>
        <v>27.711111111111112</v>
      </c>
    </row>
    <row r="19" spans="1:31" s="96" customFormat="1">
      <c r="A19" s="53" t="str">
        <f>'Cruise Projections'!A69</f>
        <v>Passengers per Call</v>
      </c>
      <c r="B19" s="487"/>
      <c r="C19" s="487"/>
      <c r="K19" s="486">
        <f>'P&amp;L - Concept B1 - NCLH'!D14</f>
        <v>0</v>
      </c>
      <c r="L19" s="313">
        <f>'P&amp;L - Concept B1 - NCLH'!E14</f>
        <v>0</v>
      </c>
      <c r="M19" s="313">
        <f>'P&amp;L - Concept B1 - NCLH'!F14</f>
        <v>1873.6191059992639</v>
      </c>
      <c r="N19" s="313">
        <f>'P&amp;L - Concept B1 - NCLH'!G14</f>
        <v>1873.6191059992639</v>
      </c>
      <c r="O19" s="313">
        <f>'P&amp;L - Concept B1 - NCLH'!H14</f>
        <v>1873.6191059992639</v>
      </c>
      <c r="P19" s="313">
        <f>'P&amp;L - Concept B1 - NCLH'!I14</f>
        <v>1873.6191059992639</v>
      </c>
      <c r="Q19" s="313">
        <f>'P&amp;L - Concept B1 - NCLH'!J14</f>
        <v>1873.6191059992639</v>
      </c>
      <c r="R19" s="313">
        <f>'P&amp;L - Concept B1 - NCLH'!K14</f>
        <v>1873.6191059992639</v>
      </c>
      <c r="S19" s="313">
        <f>'P&amp;L - Concept B1 - NCLH'!L14</f>
        <v>1873.6191059992639</v>
      </c>
      <c r="T19" s="313">
        <f>'P&amp;L - Concept B1 - NCLH'!M14</f>
        <v>1873.6191059992639</v>
      </c>
      <c r="U19" s="313">
        <f>'P&amp;L - Concept B1 - NCLH'!N14</f>
        <v>1873.6191059992639</v>
      </c>
      <c r="V19" s="313">
        <f>'P&amp;L - Concept B1 - NCLH'!O14</f>
        <v>1873.6191059992639</v>
      </c>
      <c r="W19" s="313">
        <f>'P&amp;L - Concept B1 - NCLH'!P14</f>
        <v>1873.6191059992639</v>
      </c>
      <c r="X19" s="313">
        <f>'P&amp;L - Concept B1 - NCLH'!Q14</f>
        <v>1873.6191059992639</v>
      </c>
      <c r="Y19" s="313">
        <f>'P&amp;L - Concept B1 - NCLH'!R14</f>
        <v>1873.6191059992639</v>
      </c>
      <c r="Z19" s="313">
        <f>'P&amp;L - Concept B1 - NCLH'!S14</f>
        <v>1873.6191059992639</v>
      </c>
      <c r="AA19" s="313">
        <f>'P&amp;L - Concept B1 - NCLH'!T14</f>
        <v>1873.6191059992639</v>
      </c>
      <c r="AB19" s="313">
        <f>'P&amp;L - Concept B1 - NCLH'!U14</f>
        <v>1873.6191059992639</v>
      </c>
      <c r="AC19" s="313">
        <f>'P&amp;L - Concept B1 - NCLH'!V14</f>
        <v>1873.6191059992639</v>
      </c>
      <c r="AD19" s="313">
        <f>'P&amp;L - Concept B1 - NCLH'!W14</f>
        <v>1873.6191059992639</v>
      </c>
      <c r="AE19" s="313">
        <f>'P&amp;L - Concept B1 - NCLH'!X14</f>
        <v>1873.6191059992639</v>
      </c>
    </row>
    <row r="20" spans="1:31" s="96" customFormat="1">
      <c r="A20" s="54" t="s">
        <v>313</v>
      </c>
      <c r="B20" s="487"/>
      <c r="C20" s="487"/>
      <c r="K20" s="486">
        <f>'P&amp;L - Concept B1 - NCLH'!D15</f>
        <v>0</v>
      </c>
      <c r="L20" s="313">
        <f>'P&amp;L - Concept B1 - NCLH'!E15</f>
        <v>0</v>
      </c>
      <c r="M20" s="313">
        <f>'P&amp;L - Concept B1 - NCLH'!F15</f>
        <v>4120</v>
      </c>
      <c r="N20" s="313">
        <f>'P&amp;L - Concept B1 - NCLH'!G15</f>
        <v>4120</v>
      </c>
      <c r="O20" s="313">
        <f>'P&amp;L - Concept B1 - NCLH'!H15</f>
        <v>4120</v>
      </c>
      <c r="P20" s="313">
        <f>'P&amp;L - Concept B1 - NCLH'!I15</f>
        <v>4120</v>
      </c>
      <c r="Q20" s="313">
        <f>'P&amp;L - Concept B1 - NCLH'!J15</f>
        <v>4120</v>
      </c>
      <c r="R20" s="313">
        <f>'P&amp;L - Concept B1 - NCLH'!K15</f>
        <v>4120</v>
      </c>
      <c r="S20" s="313">
        <f>'P&amp;L - Concept B1 - NCLH'!L15</f>
        <v>4120</v>
      </c>
      <c r="T20" s="313">
        <f>'P&amp;L - Concept B1 - NCLH'!M15</f>
        <v>4120</v>
      </c>
      <c r="U20" s="313">
        <f>'P&amp;L - Concept B1 - NCLH'!N15</f>
        <v>4120</v>
      </c>
      <c r="V20" s="313">
        <f>'P&amp;L - Concept B1 - NCLH'!O15</f>
        <v>4120</v>
      </c>
      <c r="W20" s="313">
        <f>'P&amp;L - Concept B1 - NCLH'!P15</f>
        <v>4120</v>
      </c>
      <c r="X20" s="313">
        <f>'P&amp;L - Concept B1 - NCLH'!Q15</f>
        <v>4120</v>
      </c>
      <c r="Y20" s="313">
        <f>'P&amp;L - Concept B1 - NCLH'!R15</f>
        <v>4120</v>
      </c>
      <c r="Z20" s="313">
        <f>'P&amp;L - Concept B1 - NCLH'!S15</f>
        <v>4120</v>
      </c>
      <c r="AA20" s="313">
        <f>'P&amp;L - Concept B1 - NCLH'!T15</f>
        <v>4120</v>
      </c>
      <c r="AB20" s="313">
        <f>'P&amp;L - Concept B1 - NCLH'!U15</f>
        <v>4120</v>
      </c>
      <c r="AC20" s="313">
        <f>'P&amp;L - Concept B1 - NCLH'!V15</f>
        <v>4120</v>
      </c>
      <c r="AD20" s="313">
        <f>'P&amp;L - Concept B1 - NCLH'!W15</f>
        <v>4120</v>
      </c>
      <c r="AE20" s="313">
        <f>'P&amp;L - Concept B1 - NCLH'!X15</f>
        <v>4120</v>
      </c>
    </row>
    <row r="21" spans="1:31" s="18" customFormat="1">
      <c r="A21" s="54"/>
      <c r="B21" s="21"/>
      <c r="C21" s="21"/>
      <c r="K21" s="486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  <c r="Y21" s="313"/>
      <c r="Z21" s="313"/>
      <c r="AA21" s="313"/>
      <c r="AB21" s="313"/>
      <c r="AC21" s="313"/>
      <c r="AD21" s="313"/>
      <c r="AE21" s="313"/>
    </row>
    <row r="22" spans="1:31" s="547" customFormat="1">
      <c r="A22" s="549" t="s">
        <v>163</v>
      </c>
      <c r="B22" s="550"/>
      <c r="C22" s="550"/>
      <c r="K22" s="610"/>
      <c r="L22" s="555"/>
      <c r="M22" s="555"/>
      <c r="N22" s="555"/>
      <c r="O22" s="555"/>
      <c r="P22" s="555"/>
      <c r="Q22" s="555"/>
      <c r="R22" s="555"/>
      <c r="S22" s="555"/>
      <c r="T22" s="555"/>
      <c r="U22" s="555"/>
      <c r="V22" s="555"/>
      <c r="W22" s="555"/>
      <c r="X22" s="555"/>
      <c r="Y22" s="555"/>
      <c r="Z22" s="555"/>
      <c r="AA22" s="555"/>
      <c r="AB22" s="555"/>
      <c r="AC22" s="555"/>
      <c r="AD22" s="555"/>
      <c r="AE22" s="555"/>
    </row>
    <row r="23" spans="1:31" s="341" customFormat="1">
      <c r="A23" s="552" t="str">
        <f>'International Ferry Projections'!A11</f>
        <v>Passengers</v>
      </c>
      <c r="B23" s="553"/>
      <c r="C23" s="553"/>
      <c r="K23" s="554">
        <f>'P&amp;L - Concept B1 - NCLH'!D18</f>
        <v>0</v>
      </c>
      <c r="L23" s="555">
        <f>'P&amp;L - Concept B1 - NCLH'!E18</f>
        <v>60000</v>
      </c>
      <c r="M23" s="555">
        <f>'P&amp;L - Concept B1 - NCLH'!F18</f>
        <v>70000</v>
      </c>
      <c r="N23" s="555">
        <f>'P&amp;L - Concept B1 - NCLH'!G18</f>
        <v>80000</v>
      </c>
      <c r="O23" s="555">
        <f>'P&amp;L - Concept B1 - NCLH'!H18</f>
        <v>80000</v>
      </c>
      <c r="P23" s="555">
        <f>'P&amp;L - Concept B1 - NCLH'!I18</f>
        <v>80000</v>
      </c>
      <c r="Q23" s="555">
        <f>'P&amp;L - Concept B1 - NCLH'!J18</f>
        <v>80000</v>
      </c>
      <c r="R23" s="555">
        <f>'P&amp;L - Concept B1 - NCLH'!K18</f>
        <v>80000</v>
      </c>
      <c r="S23" s="555">
        <f>'P&amp;L - Concept B1 - NCLH'!L18</f>
        <v>80000</v>
      </c>
      <c r="T23" s="555">
        <f>'P&amp;L - Concept B1 - NCLH'!M18</f>
        <v>80000</v>
      </c>
      <c r="U23" s="555">
        <f>'P&amp;L - Concept B1 - NCLH'!N18</f>
        <v>80000</v>
      </c>
      <c r="V23" s="555">
        <f>'P&amp;L - Concept B1 - NCLH'!O18</f>
        <v>80000</v>
      </c>
      <c r="W23" s="555">
        <f>'P&amp;L - Concept B1 - NCLH'!P18</f>
        <v>80000</v>
      </c>
      <c r="X23" s="555">
        <f>'P&amp;L - Concept B1 - NCLH'!Q18</f>
        <v>80000</v>
      </c>
      <c r="Y23" s="555">
        <f>'P&amp;L - Concept B1 - NCLH'!R18</f>
        <v>80000</v>
      </c>
      <c r="Z23" s="555">
        <f>'P&amp;L - Concept B1 - NCLH'!S18</f>
        <v>80000</v>
      </c>
      <c r="AA23" s="555">
        <f>'P&amp;L - Concept B1 - NCLH'!T18</f>
        <v>80000</v>
      </c>
      <c r="AB23" s="555">
        <f>'P&amp;L - Concept B1 - NCLH'!U18</f>
        <v>80000</v>
      </c>
      <c r="AC23" s="555">
        <f>'P&amp;L - Concept B1 - NCLH'!V18</f>
        <v>80000</v>
      </c>
      <c r="AD23" s="555">
        <f>'P&amp;L - Concept B1 - NCLH'!W18</f>
        <v>80000</v>
      </c>
      <c r="AE23" s="555">
        <f>'P&amp;L - Concept B1 - NCLH'!X18</f>
        <v>80000</v>
      </c>
    </row>
    <row r="24" spans="1:31" s="341" customFormat="1">
      <c r="A24" s="552" t="str">
        <f>'International Ferry Projections'!A12</f>
        <v>Cars</v>
      </c>
      <c r="B24" s="553"/>
      <c r="C24" s="553"/>
      <c r="K24" s="554">
        <f>'P&amp;L - Concept B1 - NCLH'!D19</f>
        <v>0</v>
      </c>
      <c r="L24" s="555">
        <f>'P&amp;L - Concept B1 - NCLH'!E19</f>
        <v>24000</v>
      </c>
      <c r="M24" s="555">
        <f>'P&amp;L - Concept B1 - NCLH'!F19</f>
        <v>28000</v>
      </c>
      <c r="N24" s="555">
        <f>'P&amp;L - Concept B1 - NCLH'!G19</f>
        <v>32000</v>
      </c>
      <c r="O24" s="555">
        <f>'P&amp;L - Concept B1 - NCLH'!H19</f>
        <v>32000</v>
      </c>
      <c r="P24" s="555">
        <f>'P&amp;L - Concept B1 - NCLH'!I19</f>
        <v>32000</v>
      </c>
      <c r="Q24" s="555">
        <f>'P&amp;L - Concept B1 - NCLH'!J19</f>
        <v>32000</v>
      </c>
      <c r="R24" s="555">
        <f>'P&amp;L - Concept B1 - NCLH'!K19</f>
        <v>32000</v>
      </c>
      <c r="S24" s="555">
        <f>'P&amp;L - Concept B1 - NCLH'!L19</f>
        <v>32000</v>
      </c>
      <c r="T24" s="555">
        <f>'P&amp;L - Concept B1 - NCLH'!M19</f>
        <v>32000</v>
      </c>
      <c r="U24" s="555">
        <f>'P&amp;L - Concept B1 - NCLH'!N19</f>
        <v>32000</v>
      </c>
      <c r="V24" s="555">
        <f>'P&amp;L - Concept B1 - NCLH'!O19</f>
        <v>32000</v>
      </c>
      <c r="W24" s="555">
        <f>'P&amp;L - Concept B1 - NCLH'!P19</f>
        <v>32000</v>
      </c>
      <c r="X24" s="555">
        <f>'P&amp;L - Concept B1 - NCLH'!Q19</f>
        <v>32000</v>
      </c>
      <c r="Y24" s="555">
        <f>'P&amp;L - Concept B1 - NCLH'!R19</f>
        <v>32000</v>
      </c>
      <c r="Z24" s="555">
        <f>'P&amp;L - Concept B1 - NCLH'!S19</f>
        <v>32000</v>
      </c>
      <c r="AA24" s="555">
        <f>'P&amp;L - Concept B1 - NCLH'!T19</f>
        <v>32000</v>
      </c>
      <c r="AB24" s="555">
        <f>'P&amp;L - Concept B1 - NCLH'!U19</f>
        <v>32000</v>
      </c>
      <c r="AC24" s="555">
        <f>'P&amp;L - Concept B1 - NCLH'!V19</f>
        <v>32000</v>
      </c>
      <c r="AD24" s="555">
        <f>'P&amp;L - Concept B1 - NCLH'!W19</f>
        <v>32000</v>
      </c>
      <c r="AE24" s="555">
        <f>'P&amp;L - Concept B1 - NCLH'!X19</f>
        <v>32000</v>
      </c>
    </row>
    <row r="25" spans="1:31" s="341" customFormat="1">
      <c r="A25" s="552" t="str">
        <f>'International Ferry Projections'!A13</f>
        <v>Buses</v>
      </c>
      <c r="B25" s="553"/>
      <c r="C25" s="553"/>
      <c r="K25" s="554">
        <f>'P&amp;L - Concept B1 - NCLH'!D20</f>
        <v>0</v>
      </c>
      <c r="L25" s="555">
        <f>'P&amp;L - Concept B1 - NCLH'!E20</f>
        <v>40</v>
      </c>
      <c r="M25" s="555">
        <f>'P&amp;L - Concept B1 - NCLH'!F20</f>
        <v>50</v>
      </c>
      <c r="N25" s="555">
        <f>'P&amp;L - Concept B1 - NCLH'!G20</f>
        <v>60</v>
      </c>
      <c r="O25" s="555">
        <f>'P&amp;L - Concept B1 - NCLH'!H20</f>
        <v>60</v>
      </c>
      <c r="P25" s="555">
        <f>'P&amp;L - Concept B1 - NCLH'!I20</f>
        <v>60</v>
      </c>
      <c r="Q25" s="555">
        <f>'P&amp;L - Concept B1 - NCLH'!J20</f>
        <v>60</v>
      </c>
      <c r="R25" s="555">
        <f>'P&amp;L - Concept B1 - NCLH'!K20</f>
        <v>60</v>
      </c>
      <c r="S25" s="555">
        <f>'P&amp;L - Concept B1 - NCLH'!L20</f>
        <v>60</v>
      </c>
      <c r="T25" s="555">
        <f>'P&amp;L - Concept B1 - NCLH'!M20</f>
        <v>60</v>
      </c>
      <c r="U25" s="555">
        <f>'P&amp;L - Concept B1 - NCLH'!N20</f>
        <v>60</v>
      </c>
      <c r="V25" s="555">
        <f>'P&amp;L - Concept B1 - NCLH'!O20</f>
        <v>60</v>
      </c>
      <c r="W25" s="555">
        <f>'P&amp;L - Concept B1 - NCLH'!P20</f>
        <v>60</v>
      </c>
      <c r="X25" s="555">
        <f>'P&amp;L - Concept B1 - NCLH'!Q20</f>
        <v>60</v>
      </c>
      <c r="Y25" s="555">
        <f>'P&amp;L - Concept B1 - NCLH'!R20</f>
        <v>60</v>
      </c>
      <c r="Z25" s="555">
        <f>'P&amp;L - Concept B1 - NCLH'!S20</f>
        <v>60</v>
      </c>
      <c r="AA25" s="555">
        <f>'P&amp;L - Concept B1 - NCLH'!T20</f>
        <v>60</v>
      </c>
      <c r="AB25" s="555">
        <f>'P&amp;L - Concept B1 - NCLH'!U20</f>
        <v>60</v>
      </c>
      <c r="AC25" s="555">
        <f>'P&amp;L - Concept B1 - NCLH'!V20</f>
        <v>60</v>
      </c>
      <c r="AD25" s="555">
        <f>'P&amp;L - Concept B1 - NCLH'!W20</f>
        <v>60</v>
      </c>
      <c r="AE25" s="555">
        <f>'P&amp;L - Concept B1 - NCLH'!X20</f>
        <v>60</v>
      </c>
    </row>
    <row r="26" spans="1:31" s="18" customFormat="1">
      <c r="A26" s="54"/>
      <c r="B26" s="21"/>
      <c r="C26" s="21"/>
      <c r="K26" s="486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</row>
    <row r="27" spans="1:31" s="582" customFormat="1">
      <c r="A27" s="293" t="str">
        <f>'BH Tariffs'!A30</f>
        <v>Local Ferry</v>
      </c>
      <c r="B27" s="581"/>
      <c r="C27" s="581"/>
      <c r="K27" s="486"/>
      <c r="L27" s="313"/>
      <c r="M27" s="313"/>
      <c r="N27" s="313"/>
      <c r="O27" s="313"/>
      <c r="P27" s="313"/>
      <c r="Q27" s="313"/>
      <c r="R27" s="313"/>
      <c r="S27" s="313"/>
      <c r="T27" s="313"/>
      <c r="U27" s="313"/>
      <c r="V27" s="313"/>
      <c r="W27" s="313"/>
      <c r="X27" s="313"/>
      <c r="Y27" s="313"/>
      <c r="Z27" s="313"/>
      <c r="AA27" s="313"/>
      <c r="AB27" s="313"/>
      <c r="AC27" s="313"/>
      <c r="AD27" s="313"/>
      <c r="AE27" s="313"/>
    </row>
    <row r="28" spans="1:31" s="96" customFormat="1">
      <c r="A28" s="54" t="str">
        <f>'BH Tariffs'!A31</f>
        <v>Dock Rent (6 Months Only)</v>
      </c>
      <c r="B28" s="487"/>
      <c r="C28" s="487"/>
      <c r="K28" s="486">
        <f>'P&amp;L - Concept B1 - NCLH'!D23</f>
        <v>0</v>
      </c>
      <c r="L28" s="313" t="str">
        <f>'P&amp;L - Concept B1 - NCLH'!E23</f>
        <v>see Tariff</v>
      </c>
      <c r="M28" s="313" t="str">
        <f>'P&amp;L - Concept B1 - NCLH'!F23</f>
        <v>see Tariff</v>
      </c>
      <c r="N28" s="313" t="str">
        <f>'P&amp;L - Concept B1 - NCLH'!G23</f>
        <v>see Tariff</v>
      </c>
      <c r="O28" s="313" t="str">
        <f>'P&amp;L - Concept B1 - NCLH'!H23</f>
        <v>see Tariff</v>
      </c>
      <c r="P28" s="313" t="str">
        <f>'P&amp;L - Concept B1 - NCLH'!I23</f>
        <v>see Tariff</v>
      </c>
      <c r="Q28" s="313" t="str">
        <f>'P&amp;L - Concept B1 - NCLH'!J23</f>
        <v>see Tariff</v>
      </c>
      <c r="R28" s="313" t="str">
        <f>'P&amp;L - Concept B1 - NCLH'!K23</f>
        <v>see Tariff</v>
      </c>
      <c r="S28" s="313" t="str">
        <f>'P&amp;L - Concept B1 - NCLH'!L23</f>
        <v>see Tariff</v>
      </c>
      <c r="T28" s="313" t="str">
        <f>'P&amp;L - Concept B1 - NCLH'!M23</f>
        <v>see Tariff</v>
      </c>
      <c r="U28" s="313" t="str">
        <f>'P&amp;L - Concept B1 - NCLH'!N23</f>
        <v>see Tariff</v>
      </c>
      <c r="V28" s="313" t="str">
        <f>'P&amp;L - Concept B1 - NCLH'!O23</f>
        <v>see Tariff</v>
      </c>
      <c r="W28" s="313" t="str">
        <f>'P&amp;L - Concept B1 - NCLH'!P23</f>
        <v>see Tariff</v>
      </c>
      <c r="X28" s="313" t="str">
        <f>'P&amp;L - Concept B1 - NCLH'!Q23</f>
        <v>see Tariff</v>
      </c>
      <c r="Y28" s="313" t="str">
        <f>'P&amp;L - Concept B1 - NCLH'!R23</f>
        <v>see Tariff</v>
      </c>
      <c r="Z28" s="313" t="str">
        <f>'P&amp;L - Concept B1 - NCLH'!S23</f>
        <v>see Tariff</v>
      </c>
      <c r="AA28" s="313" t="str">
        <f>'P&amp;L - Concept B1 - NCLH'!T23</f>
        <v>see Tariff</v>
      </c>
      <c r="AB28" s="313" t="str">
        <f>'P&amp;L - Concept B1 - NCLH'!U23</f>
        <v>see Tariff</v>
      </c>
      <c r="AC28" s="313" t="str">
        <f>'P&amp;L - Concept B1 - NCLH'!V23</f>
        <v>see Tariff</v>
      </c>
      <c r="AD28" s="313" t="str">
        <f>'P&amp;L - Concept B1 - NCLH'!W23</f>
        <v>see Tariff</v>
      </c>
      <c r="AE28" s="313" t="str">
        <f>'P&amp;L - Concept B1 - NCLH'!X23</f>
        <v>see Tariff</v>
      </c>
    </row>
    <row r="29" spans="1:31" s="341" customFormat="1">
      <c r="A29" s="552"/>
      <c r="B29" s="553"/>
      <c r="C29" s="553"/>
      <c r="K29" s="554"/>
      <c r="L29" s="313"/>
      <c r="M29" s="313"/>
      <c r="N29" s="313"/>
      <c r="O29" s="313"/>
      <c r="P29" s="313"/>
      <c r="Q29" s="313"/>
      <c r="R29" s="313"/>
      <c r="S29" s="313"/>
      <c r="T29" s="313"/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</row>
    <row r="30" spans="1:31" s="96" customFormat="1">
      <c r="A30" s="559" t="s">
        <v>227</v>
      </c>
      <c r="B30" s="487"/>
      <c r="C30" s="487"/>
      <c r="K30" s="486"/>
      <c r="L30" s="313"/>
      <c r="M30" s="313"/>
      <c r="N30" s="313"/>
      <c r="O30" s="313"/>
      <c r="P30" s="313"/>
      <c r="Q30" s="313"/>
      <c r="R30" s="313"/>
      <c r="S30" s="313"/>
      <c r="T30" s="313"/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</row>
    <row r="31" spans="1:31" s="96" customFormat="1">
      <c r="A31" s="559"/>
      <c r="B31" s="487"/>
      <c r="C31" s="487"/>
      <c r="K31" s="486"/>
      <c r="L31" s="313"/>
      <c r="M31" s="313"/>
      <c r="N31" s="313"/>
      <c r="O31" s="313"/>
      <c r="P31" s="313"/>
      <c r="Q31" s="313"/>
      <c r="R31" s="313"/>
      <c r="S31" s="313"/>
      <c r="T31" s="313"/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</row>
    <row r="32" spans="1:31" s="341" customFormat="1">
      <c r="A32" s="552" t="s">
        <v>420</v>
      </c>
      <c r="B32" s="553"/>
      <c r="C32" s="553"/>
      <c r="K32" s="554">
        <f>'P&amp;L - Concept B1 - NCLH'!D27</f>
        <v>0</v>
      </c>
      <c r="L32" s="555">
        <f>'P&amp;L - Concept B1 - NCLH'!E27</f>
        <v>0</v>
      </c>
      <c r="M32" s="555">
        <f>'P&amp;L - Concept B1 - NCLH'!F27</f>
        <v>214</v>
      </c>
      <c r="N32" s="555">
        <f>'P&amp;L - Concept B1 - NCLH'!G27</f>
        <v>214</v>
      </c>
      <c r="O32" s="555">
        <f>'P&amp;L - Concept B1 - NCLH'!H27</f>
        <v>214</v>
      </c>
      <c r="P32" s="555">
        <f>'P&amp;L - Concept B1 - NCLH'!I27</f>
        <v>214</v>
      </c>
      <c r="Q32" s="555">
        <f>'P&amp;L - Concept B1 - NCLH'!J27</f>
        <v>214</v>
      </c>
      <c r="R32" s="555">
        <f>'P&amp;L - Concept B1 - NCLH'!K27</f>
        <v>214</v>
      </c>
      <c r="S32" s="555">
        <f>'P&amp;L - Concept B1 - NCLH'!L27</f>
        <v>214</v>
      </c>
      <c r="T32" s="555">
        <f>'P&amp;L - Concept B1 - NCLH'!M27</f>
        <v>214</v>
      </c>
      <c r="U32" s="555">
        <f>'P&amp;L - Concept B1 - NCLH'!N27</f>
        <v>214</v>
      </c>
      <c r="V32" s="555">
        <f>'P&amp;L - Concept B1 - NCLH'!O27</f>
        <v>214</v>
      </c>
      <c r="W32" s="555">
        <f>'P&amp;L - Concept B1 - NCLH'!P27</f>
        <v>214</v>
      </c>
      <c r="X32" s="555">
        <f>'P&amp;L - Concept B1 - NCLH'!Q27</f>
        <v>214</v>
      </c>
      <c r="Y32" s="555">
        <f>'P&amp;L - Concept B1 - NCLH'!R27</f>
        <v>214</v>
      </c>
      <c r="Z32" s="555">
        <f>'P&amp;L - Concept B1 - NCLH'!S27</f>
        <v>214</v>
      </c>
      <c r="AA32" s="555">
        <f>'P&amp;L - Concept B1 - NCLH'!T27</f>
        <v>214</v>
      </c>
      <c r="AB32" s="555">
        <f>'P&amp;L - Concept B1 - NCLH'!U27</f>
        <v>214</v>
      </c>
      <c r="AC32" s="555">
        <f>'P&amp;L - Concept B1 - NCLH'!V27</f>
        <v>214</v>
      </c>
      <c r="AD32" s="555">
        <f>'P&amp;L - Concept B1 - NCLH'!W27</f>
        <v>214</v>
      </c>
      <c r="AE32" s="555">
        <f>'P&amp;L - Concept B1 - NCLH'!X27</f>
        <v>214</v>
      </c>
    </row>
    <row r="33" spans="1:31" s="96" customFormat="1">
      <c r="A33" s="54" t="s">
        <v>205</v>
      </c>
      <c r="B33" s="487"/>
      <c r="C33" s="487"/>
      <c r="K33" s="486">
        <f>'P&amp;L - Concept B1 - NCLH'!D28</f>
        <v>0</v>
      </c>
      <c r="L33" s="313">
        <f>'P&amp;L - Concept B1 - NCLH'!E28</f>
        <v>0</v>
      </c>
      <c r="M33" s="313">
        <f>'P&amp;L - Concept B1 - NCLH'!F28</f>
        <v>27.711111111111112</v>
      </c>
      <c r="N33" s="313">
        <f>'P&amp;L - Concept B1 - NCLH'!G28</f>
        <v>27.711111111111112</v>
      </c>
      <c r="O33" s="313">
        <f>'P&amp;L - Concept B1 - NCLH'!H28</f>
        <v>27.711111111111112</v>
      </c>
      <c r="P33" s="313">
        <f>'P&amp;L - Concept B1 - NCLH'!I28</f>
        <v>27.711111111111112</v>
      </c>
      <c r="Q33" s="313">
        <f>'P&amp;L - Concept B1 - NCLH'!J28</f>
        <v>27.711111111111112</v>
      </c>
      <c r="R33" s="313">
        <f>'P&amp;L - Concept B1 - NCLH'!K28</f>
        <v>27.711111111111112</v>
      </c>
      <c r="S33" s="313">
        <f>'P&amp;L - Concept B1 - NCLH'!L28</f>
        <v>27.711111111111112</v>
      </c>
      <c r="T33" s="313">
        <f>'P&amp;L - Concept B1 - NCLH'!M28</f>
        <v>27.711111111111112</v>
      </c>
      <c r="U33" s="313">
        <f>'P&amp;L - Concept B1 - NCLH'!N28</f>
        <v>27.711111111111112</v>
      </c>
      <c r="V33" s="313">
        <f>'P&amp;L - Concept B1 - NCLH'!O28</f>
        <v>27.711111111111112</v>
      </c>
      <c r="W33" s="313">
        <f>'P&amp;L - Concept B1 - NCLH'!P28</f>
        <v>27.711111111111112</v>
      </c>
      <c r="X33" s="313">
        <f>'P&amp;L - Concept B1 - NCLH'!Q28</f>
        <v>27.711111111111112</v>
      </c>
      <c r="Y33" s="313">
        <f>'P&amp;L - Concept B1 - NCLH'!R28</f>
        <v>27.711111111111112</v>
      </c>
      <c r="Z33" s="313">
        <f>'P&amp;L - Concept B1 - NCLH'!S28</f>
        <v>27.711111111111112</v>
      </c>
      <c r="AA33" s="313">
        <f>'P&amp;L - Concept B1 - NCLH'!T28</f>
        <v>27.711111111111112</v>
      </c>
      <c r="AB33" s="313">
        <f>'P&amp;L - Concept B1 - NCLH'!U28</f>
        <v>27.711111111111112</v>
      </c>
      <c r="AC33" s="313">
        <f>'P&amp;L - Concept B1 - NCLH'!V28</f>
        <v>27.711111111111112</v>
      </c>
      <c r="AD33" s="313">
        <f>'P&amp;L - Concept B1 - NCLH'!W28</f>
        <v>27.711111111111112</v>
      </c>
      <c r="AE33" s="313">
        <f>'P&amp;L - Concept B1 - NCLH'!X28</f>
        <v>27.711111111111112</v>
      </c>
    </row>
    <row r="34" spans="1:31" s="341" customFormat="1">
      <c r="A34" s="552" t="s">
        <v>219</v>
      </c>
      <c r="B34" s="553"/>
      <c r="C34" s="553"/>
      <c r="K34" s="554">
        <f>'P&amp;L - Concept B1 - NCLH'!D29</f>
        <v>0</v>
      </c>
      <c r="L34" s="313">
        <f>'P&amp;L - Concept B1 - NCLH'!E29</f>
        <v>150</v>
      </c>
      <c r="M34" s="313">
        <f>'P&amp;L - Concept B1 - NCLH'!F29</f>
        <v>150</v>
      </c>
      <c r="N34" s="313">
        <f>'P&amp;L - Concept B1 - NCLH'!G29</f>
        <v>150</v>
      </c>
      <c r="O34" s="313">
        <f>'P&amp;L - Concept B1 - NCLH'!H29</f>
        <v>150</v>
      </c>
      <c r="P34" s="313">
        <f>'P&amp;L - Concept B1 - NCLH'!I29</f>
        <v>150</v>
      </c>
      <c r="Q34" s="313">
        <f>'P&amp;L - Concept B1 - NCLH'!J29</f>
        <v>150</v>
      </c>
      <c r="R34" s="313">
        <f>'P&amp;L - Concept B1 - NCLH'!K29</f>
        <v>150</v>
      </c>
      <c r="S34" s="313">
        <f>'P&amp;L - Concept B1 - NCLH'!L29</f>
        <v>150</v>
      </c>
      <c r="T34" s="313">
        <f>'P&amp;L - Concept B1 - NCLH'!M29</f>
        <v>150</v>
      </c>
      <c r="U34" s="313">
        <f>'P&amp;L - Concept B1 - NCLH'!N29</f>
        <v>150</v>
      </c>
      <c r="V34" s="313">
        <f>'P&amp;L - Concept B1 - NCLH'!O29</f>
        <v>150</v>
      </c>
      <c r="W34" s="313">
        <f>'P&amp;L - Concept B1 - NCLH'!P29</f>
        <v>150</v>
      </c>
      <c r="X34" s="313">
        <f>'P&amp;L - Concept B1 - NCLH'!Q29</f>
        <v>150</v>
      </c>
      <c r="Y34" s="313">
        <f>'P&amp;L - Concept B1 - NCLH'!R29</f>
        <v>150</v>
      </c>
      <c r="Z34" s="313">
        <f>'P&amp;L - Concept B1 - NCLH'!S29</f>
        <v>150</v>
      </c>
      <c r="AA34" s="313">
        <f>'P&amp;L - Concept B1 - NCLH'!T29</f>
        <v>150</v>
      </c>
      <c r="AB34" s="313">
        <f>'P&amp;L - Concept B1 - NCLH'!U29</f>
        <v>150</v>
      </c>
      <c r="AC34" s="313">
        <f>'P&amp;L - Concept B1 - NCLH'!V29</f>
        <v>150</v>
      </c>
      <c r="AD34" s="313">
        <f>'P&amp;L - Concept B1 - NCLH'!W29</f>
        <v>150</v>
      </c>
      <c r="AE34" s="313">
        <f>'P&amp;L - Concept B1 - NCLH'!X29</f>
        <v>150</v>
      </c>
    </row>
    <row r="35" spans="1:31" s="341" customFormat="1">
      <c r="A35" s="552" t="s">
        <v>220</v>
      </c>
      <c r="B35" s="553"/>
      <c r="C35" s="553"/>
      <c r="K35" s="554">
        <v>0</v>
      </c>
      <c r="L35" s="788">
        <v>0</v>
      </c>
      <c r="M35" s="788">
        <v>0</v>
      </c>
      <c r="N35" s="788">
        <v>0</v>
      </c>
      <c r="O35" s="788">
        <v>0</v>
      </c>
      <c r="P35" s="788">
        <v>0</v>
      </c>
      <c r="Q35" s="788">
        <v>0</v>
      </c>
      <c r="R35" s="788">
        <v>0</v>
      </c>
      <c r="S35" s="788">
        <v>0</v>
      </c>
      <c r="T35" s="788">
        <v>0</v>
      </c>
      <c r="U35" s="788">
        <v>0</v>
      </c>
      <c r="V35" s="788">
        <v>0</v>
      </c>
      <c r="W35" s="788">
        <v>0</v>
      </c>
      <c r="X35" s="788">
        <v>0</v>
      </c>
      <c r="Y35" s="788">
        <v>0</v>
      </c>
      <c r="Z35" s="788">
        <v>0</v>
      </c>
      <c r="AA35" s="788">
        <v>0</v>
      </c>
      <c r="AB35" s="788">
        <v>0</v>
      </c>
      <c r="AC35" s="788">
        <v>0</v>
      </c>
      <c r="AD35" s="788">
        <v>0</v>
      </c>
      <c r="AE35" s="788">
        <v>0</v>
      </c>
    </row>
    <row r="36" spans="1:31" s="96" customFormat="1">
      <c r="A36" s="54" t="s">
        <v>226</v>
      </c>
      <c r="B36" s="487"/>
      <c r="C36" s="487"/>
      <c r="K36" s="486">
        <f>'P&amp;L - Concept B1 - NCLH'!D31</f>
        <v>0</v>
      </c>
      <c r="L36" s="313">
        <f>'P&amp;L - Concept B1 - NCLH'!E31</f>
        <v>0</v>
      </c>
      <c r="M36" s="313">
        <f>'P&amp;L - Concept B1 - NCLH'!F31</f>
        <v>125</v>
      </c>
      <c r="N36" s="313">
        <f>'P&amp;L - Concept B1 - NCLH'!G31</f>
        <v>125</v>
      </c>
      <c r="O36" s="313">
        <f>'P&amp;L - Concept B1 - NCLH'!H31</f>
        <v>125</v>
      </c>
      <c r="P36" s="313">
        <f>'P&amp;L - Concept B1 - NCLH'!I31</f>
        <v>125</v>
      </c>
      <c r="Q36" s="313">
        <f>'P&amp;L - Concept B1 - NCLH'!J31</f>
        <v>125</v>
      </c>
      <c r="R36" s="313">
        <f>'P&amp;L - Concept B1 - NCLH'!K31</f>
        <v>125</v>
      </c>
      <c r="S36" s="313">
        <f>'P&amp;L - Concept B1 - NCLH'!L31</f>
        <v>125</v>
      </c>
      <c r="T36" s="313">
        <f>'P&amp;L - Concept B1 - NCLH'!M31</f>
        <v>125</v>
      </c>
      <c r="U36" s="313">
        <f>'P&amp;L - Concept B1 - NCLH'!N31</f>
        <v>125</v>
      </c>
      <c r="V36" s="313">
        <f>'P&amp;L - Concept B1 - NCLH'!O31</f>
        <v>125</v>
      </c>
      <c r="W36" s="313">
        <f>'P&amp;L - Concept B1 - NCLH'!P31</f>
        <v>125</v>
      </c>
      <c r="X36" s="313">
        <f>'P&amp;L - Concept B1 - NCLH'!Q31</f>
        <v>125</v>
      </c>
      <c r="Y36" s="313">
        <f>'P&amp;L - Concept B1 - NCLH'!R31</f>
        <v>125</v>
      </c>
      <c r="Z36" s="313">
        <f>'P&amp;L - Concept B1 - NCLH'!S31</f>
        <v>125</v>
      </c>
      <c r="AA36" s="313">
        <f>'P&amp;L - Concept B1 - NCLH'!T31</f>
        <v>125</v>
      </c>
      <c r="AB36" s="313">
        <f>'P&amp;L - Concept B1 - NCLH'!U31</f>
        <v>125</v>
      </c>
      <c r="AC36" s="313">
        <f>'P&amp;L - Concept B1 - NCLH'!V31</f>
        <v>125</v>
      </c>
      <c r="AD36" s="313">
        <f>'P&amp;L - Concept B1 - NCLH'!W31</f>
        <v>125</v>
      </c>
      <c r="AE36" s="313">
        <f>'P&amp;L - Concept B1 - NCLH'!X31</f>
        <v>125</v>
      </c>
    </row>
    <row r="37" spans="1:31" s="18" customFormat="1">
      <c r="A37" s="54"/>
      <c r="B37" s="21"/>
      <c r="C37" s="21"/>
      <c r="K37" s="486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</row>
    <row r="38" spans="1:31" s="96" customFormat="1">
      <c r="A38" s="54" t="s">
        <v>206</v>
      </c>
      <c r="B38" s="487"/>
      <c r="C38" s="487"/>
      <c r="K38" s="486">
        <f>'P&amp;L - Concept B1 - NCLH'!D33</f>
        <v>0</v>
      </c>
      <c r="L38" s="313">
        <f>'P&amp;L - Concept B1 - NCLH'!E33</f>
        <v>0</v>
      </c>
      <c r="M38" s="313">
        <f>'P&amp;L - Concept B1 - NCLH'!F33</f>
        <v>1873.6191059992639</v>
      </c>
      <c r="N38" s="313">
        <f>'P&amp;L - Concept B1 - NCLH'!G33</f>
        <v>1873.6191059992639</v>
      </c>
      <c r="O38" s="313">
        <f>'P&amp;L - Concept B1 - NCLH'!H33</f>
        <v>1873.6191059992639</v>
      </c>
      <c r="P38" s="313">
        <f>'P&amp;L - Concept B1 - NCLH'!I33</f>
        <v>1873.6191059992639</v>
      </c>
      <c r="Q38" s="313">
        <f>'P&amp;L - Concept B1 - NCLH'!J33</f>
        <v>1873.6191059992639</v>
      </c>
      <c r="R38" s="313">
        <f>'P&amp;L - Concept B1 - NCLH'!K33</f>
        <v>1873.6191059992639</v>
      </c>
      <c r="S38" s="313">
        <f>'P&amp;L - Concept B1 - NCLH'!L33</f>
        <v>1873.6191059992639</v>
      </c>
      <c r="T38" s="313">
        <f>'P&amp;L - Concept B1 - NCLH'!M33</f>
        <v>1873.6191059992639</v>
      </c>
      <c r="U38" s="313">
        <f>'P&amp;L - Concept B1 - NCLH'!N33</f>
        <v>1873.6191059992639</v>
      </c>
      <c r="V38" s="313">
        <f>'P&amp;L - Concept B1 - NCLH'!O33</f>
        <v>1873.6191059992639</v>
      </c>
      <c r="W38" s="313">
        <f>'P&amp;L - Concept B1 - NCLH'!P33</f>
        <v>1873.6191059992639</v>
      </c>
      <c r="X38" s="313">
        <f>'P&amp;L - Concept B1 - NCLH'!Q33</f>
        <v>1873.6191059992639</v>
      </c>
      <c r="Y38" s="313">
        <f>'P&amp;L - Concept B1 - NCLH'!R33</f>
        <v>1873.6191059992639</v>
      </c>
      <c r="Z38" s="313">
        <f>'P&amp;L - Concept B1 - NCLH'!S33</f>
        <v>1873.6191059992639</v>
      </c>
      <c r="AA38" s="313">
        <f>'P&amp;L - Concept B1 - NCLH'!T33</f>
        <v>1873.6191059992639</v>
      </c>
      <c r="AB38" s="313">
        <f>'P&amp;L - Concept B1 - NCLH'!U33</f>
        <v>1873.6191059992639</v>
      </c>
      <c r="AC38" s="313">
        <f>'P&amp;L - Concept B1 - NCLH'!V33</f>
        <v>1873.6191059992639</v>
      </c>
      <c r="AD38" s="313">
        <f>'P&amp;L - Concept B1 - NCLH'!W33</f>
        <v>1873.6191059992639</v>
      </c>
      <c r="AE38" s="313">
        <f>'P&amp;L - Concept B1 - NCLH'!X33</f>
        <v>1873.6191059992639</v>
      </c>
    </row>
    <row r="39" spans="1:31" s="96" customFormat="1">
      <c r="A39" s="54" t="s">
        <v>207</v>
      </c>
      <c r="B39" s="487"/>
      <c r="C39" s="487"/>
      <c r="K39" s="486">
        <f>'P&amp;L - Concept B1 - NCLH'!D34</f>
        <v>0</v>
      </c>
      <c r="L39" s="313">
        <f>'P&amp;L - Concept B1 - NCLH'!E34</f>
        <v>0</v>
      </c>
      <c r="M39" s="313">
        <f>'P&amp;L - Concept B1 - NCLH'!F34</f>
        <v>5500</v>
      </c>
      <c r="N39" s="313">
        <f>'P&amp;L - Concept B1 - NCLH'!G34</f>
        <v>5500</v>
      </c>
      <c r="O39" s="313">
        <f>'P&amp;L - Concept B1 - NCLH'!H34</f>
        <v>5500</v>
      </c>
      <c r="P39" s="313">
        <f>'P&amp;L - Concept B1 - NCLH'!I34</f>
        <v>5500</v>
      </c>
      <c r="Q39" s="313">
        <f>'P&amp;L - Concept B1 - NCLH'!J34</f>
        <v>5500</v>
      </c>
      <c r="R39" s="313">
        <f>'P&amp;L - Concept B1 - NCLH'!K34</f>
        <v>5500</v>
      </c>
      <c r="S39" s="313">
        <f>'P&amp;L - Concept B1 - NCLH'!L34</f>
        <v>5500</v>
      </c>
      <c r="T39" s="313">
        <f>'P&amp;L - Concept B1 - NCLH'!M34</f>
        <v>5500</v>
      </c>
      <c r="U39" s="313">
        <f>'P&amp;L - Concept B1 - NCLH'!N34</f>
        <v>5500</v>
      </c>
      <c r="V39" s="313">
        <f>'P&amp;L - Concept B1 - NCLH'!O34</f>
        <v>5500</v>
      </c>
      <c r="W39" s="313">
        <f>'P&amp;L - Concept B1 - NCLH'!P34</f>
        <v>5500</v>
      </c>
      <c r="X39" s="313">
        <f>'P&amp;L - Concept B1 - NCLH'!Q34</f>
        <v>5500</v>
      </c>
      <c r="Y39" s="313">
        <f>'P&amp;L - Concept B1 - NCLH'!R34</f>
        <v>5500</v>
      </c>
      <c r="Z39" s="313">
        <f>'P&amp;L - Concept B1 - NCLH'!S34</f>
        <v>5500</v>
      </c>
      <c r="AA39" s="313">
        <f>'P&amp;L - Concept B1 - NCLH'!T34</f>
        <v>5500</v>
      </c>
      <c r="AB39" s="313">
        <f>'P&amp;L - Concept B1 - NCLH'!U34</f>
        <v>5500</v>
      </c>
      <c r="AC39" s="313">
        <f>'P&amp;L - Concept B1 - NCLH'!V34</f>
        <v>5500</v>
      </c>
      <c r="AD39" s="313">
        <f>'P&amp;L - Concept B1 - NCLH'!W34</f>
        <v>5500</v>
      </c>
      <c r="AE39" s="313">
        <f>'P&amp;L - Concept B1 - NCLH'!X34</f>
        <v>5500</v>
      </c>
    </row>
    <row r="40" spans="1:31" s="341" customFormat="1">
      <c r="A40" s="552" t="s">
        <v>221</v>
      </c>
      <c r="B40" s="553"/>
      <c r="C40" s="553"/>
      <c r="K40" s="554">
        <f>'P&amp;L - Concept B1 - NCLH'!D35</f>
        <v>0</v>
      </c>
      <c r="L40" s="555">
        <f>'P&amp;L - Concept B1 - NCLH'!E35</f>
        <v>400</v>
      </c>
      <c r="M40" s="555">
        <f>'P&amp;L - Concept B1 - NCLH'!F35</f>
        <v>466.66666666666669</v>
      </c>
      <c r="N40" s="555">
        <f>'P&amp;L - Concept B1 - NCLH'!G35</f>
        <v>533.33333333333337</v>
      </c>
      <c r="O40" s="555">
        <f>'P&amp;L - Concept B1 - NCLH'!H35</f>
        <v>533.33333333333337</v>
      </c>
      <c r="P40" s="555">
        <f>'P&amp;L - Concept B1 - NCLH'!I35</f>
        <v>533.33333333333337</v>
      </c>
      <c r="Q40" s="555">
        <f>'P&amp;L - Concept B1 - NCLH'!J35</f>
        <v>533.33333333333337</v>
      </c>
      <c r="R40" s="555">
        <f>'P&amp;L - Concept B1 - NCLH'!K35</f>
        <v>533.33333333333337</v>
      </c>
      <c r="S40" s="555">
        <f>'P&amp;L - Concept B1 - NCLH'!L35</f>
        <v>533.33333333333337</v>
      </c>
      <c r="T40" s="555">
        <f>'P&amp;L - Concept B1 - NCLH'!M35</f>
        <v>533.33333333333337</v>
      </c>
      <c r="U40" s="555">
        <f>'P&amp;L - Concept B1 - NCLH'!N35</f>
        <v>533.33333333333337</v>
      </c>
      <c r="V40" s="555">
        <f>'P&amp;L - Concept B1 - NCLH'!O35</f>
        <v>533.33333333333337</v>
      </c>
      <c r="W40" s="555">
        <f>'P&amp;L - Concept B1 - NCLH'!P35</f>
        <v>533.33333333333337</v>
      </c>
      <c r="X40" s="555">
        <f>'P&amp;L - Concept B1 - NCLH'!Q35</f>
        <v>533.33333333333337</v>
      </c>
      <c r="Y40" s="555">
        <f>'P&amp;L - Concept B1 - NCLH'!R35</f>
        <v>533.33333333333337</v>
      </c>
      <c r="Z40" s="555">
        <f>'P&amp;L - Concept B1 - NCLH'!S35</f>
        <v>533.33333333333337</v>
      </c>
      <c r="AA40" s="555">
        <f>'P&amp;L - Concept B1 - NCLH'!T35</f>
        <v>533.33333333333337</v>
      </c>
      <c r="AB40" s="555">
        <f>'P&amp;L - Concept B1 - NCLH'!U35</f>
        <v>533.33333333333337</v>
      </c>
      <c r="AC40" s="555">
        <f>'P&amp;L - Concept B1 - NCLH'!V35</f>
        <v>533.33333333333337</v>
      </c>
      <c r="AD40" s="555">
        <f>'P&amp;L - Concept B1 - NCLH'!W35</f>
        <v>533.33333333333337</v>
      </c>
      <c r="AE40" s="555">
        <f>'P&amp;L - Concept B1 - NCLH'!X35</f>
        <v>533.33333333333337</v>
      </c>
    </row>
    <row r="41" spans="1:31" s="341" customFormat="1">
      <c r="A41" s="552" t="s">
        <v>222</v>
      </c>
      <c r="B41" s="553"/>
      <c r="C41" s="553"/>
      <c r="K41" s="554">
        <f>'P&amp;L - Concept B1 - NCLH'!D36</f>
        <v>0</v>
      </c>
      <c r="L41" s="555">
        <f>'P&amp;L - Concept B1 - NCLH'!E36</f>
        <v>800</v>
      </c>
      <c r="M41" s="555">
        <f>'P&amp;L - Concept B1 - NCLH'!F36</f>
        <v>800</v>
      </c>
      <c r="N41" s="555">
        <f>'P&amp;L - Concept B1 - NCLH'!G36</f>
        <v>800</v>
      </c>
      <c r="O41" s="555">
        <f>'P&amp;L - Concept B1 - NCLH'!H36</f>
        <v>800</v>
      </c>
      <c r="P41" s="555">
        <f>'P&amp;L - Concept B1 - NCLH'!I36</f>
        <v>800</v>
      </c>
      <c r="Q41" s="555">
        <f>'P&amp;L - Concept B1 - NCLH'!J36</f>
        <v>800</v>
      </c>
      <c r="R41" s="555">
        <f>'P&amp;L - Concept B1 - NCLH'!K36</f>
        <v>800</v>
      </c>
      <c r="S41" s="555">
        <f>'P&amp;L - Concept B1 - NCLH'!L36</f>
        <v>800</v>
      </c>
      <c r="T41" s="555">
        <f>'P&amp;L - Concept B1 - NCLH'!M36</f>
        <v>800</v>
      </c>
      <c r="U41" s="555">
        <f>'P&amp;L - Concept B1 - NCLH'!N36</f>
        <v>800</v>
      </c>
      <c r="V41" s="555">
        <f>'P&amp;L - Concept B1 - NCLH'!O36</f>
        <v>800</v>
      </c>
      <c r="W41" s="555">
        <f>'P&amp;L - Concept B1 - NCLH'!P36</f>
        <v>800</v>
      </c>
      <c r="X41" s="555">
        <f>'P&amp;L - Concept B1 - NCLH'!Q36</f>
        <v>800</v>
      </c>
      <c r="Y41" s="555">
        <f>'P&amp;L - Concept B1 - NCLH'!R36</f>
        <v>800</v>
      </c>
      <c r="Z41" s="555">
        <f>'P&amp;L - Concept B1 - NCLH'!S36</f>
        <v>800</v>
      </c>
      <c r="AA41" s="555">
        <f>'P&amp;L - Concept B1 - NCLH'!T36</f>
        <v>800</v>
      </c>
      <c r="AB41" s="555">
        <f>'P&amp;L - Concept B1 - NCLH'!U36</f>
        <v>800</v>
      </c>
      <c r="AC41" s="555">
        <f>'P&amp;L - Concept B1 - NCLH'!V36</f>
        <v>800</v>
      </c>
      <c r="AD41" s="555">
        <f>'P&amp;L - Concept B1 - NCLH'!W36</f>
        <v>800</v>
      </c>
      <c r="AE41" s="555">
        <f>'P&amp;L - Concept B1 - NCLH'!X36</f>
        <v>800</v>
      </c>
    </row>
    <row r="42" spans="1:31" s="341" customFormat="1">
      <c r="A42" s="552" t="s">
        <v>208</v>
      </c>
      <c r="B42" s="553"/>
      <c r="C42" s="553"/>
      <c r="K42" s="554">
        <f>'P&amp;L - Concept B1 - NCLH'!D37</f>
        <v>0</v>
      </c>
      <c r="L42" s="555">
        <f>'P&amp;L - Concept B1 - NCLH'!E37</f>
        <v>800</v>
      </c>
      <c r="M42" s="555">
        <f>'P&amp;L - Concept B1 - NCLH'!F37</f>
        <v>6300</v>
      </c>
      <c r="N42" s="555">
        <f>'P&amp;L - Concept B1 - NCLH'!G37</f>
        <v>6300</v>
      </c>
      <c r="O42" s="555">
        <f>'P&amp;L - Concept B1 - NCLH'!H37</f>
        <v>6300</v>
      </c>
      <c r="P42" s="555">
        <f>'P&amp;L - Concept B1 - NCLH'!I37</f>
        <v>6300</v>
      </c>
      <c r="Q42" s="555">
        <f>'P&amp;L - Concept B1 - NCLH'!J37</f>
        <v>6300</v>
      </c>
      <c r="R42" s="555">
        <f>'P&amp;L - Concept B1 - NCLH'!K37</f>
        <v>6300</v>
      </c>
      <c r="S42" s="555">
        <f>'P&amp;L - Concept B1 - NCLH'!L37</f>
        <v>6300</v>
      </c>
      <c r="T42" s="555">
        <f>'P&amp;L - Concept B1 - NCLH'!M37</f>
        <v>6300</v>
      </c>
      <c r="U42" s="555">
        <f>'P&amp;L - Concept B1 - NCLH'!N37</f>
        <v>6300</v>
      </c>
      <c r="V42" s="555">
        <f>'P&amp;L - Concept B1 - NCLH'!O37</f>
        <v>6300</v>
      </c>
      <c r="W42" s="555">
        <f>'P&amp;L - Concept B1 - NCLH'!P37</f>
        <v>6300</v>
      </c>
      <c r="X42" s="555">
        <f>'P&amp;L - Concept B1 - NCLH'!Q37</f>
        <v>6300</v>
      </c>
      <c r="Y42" s="555">
        <f>'P&amp;L - Concept B1 - NCLH'!R37</f>
        <v>6300</v>
      </c>
      <c r="Z42" s="555">
        <f>'P&amp;L - Concept B1 - NCLH'!S37</f>
        <v>6300</v>
      </c>
      <c r="AA42" s="555">
        <f>'P&amp;L - Concept B1 - NCLH'!T37</f>
        <v>6300</v>
      </c>
      <c r="AB42" s="555">
        <f>'P&amp;L - Concept B1 - NCLH'!U37</f>
        <v>6300</v>
      </c>
      <c r="AC42" s="555">
        <f>'P&amp;L - Concept B1 - NCLH'!V37</f>
        <v>6300</v>
      </c>
      <c r="AD42" s="555">
        <f>'P&amp;L - Concept B1 - NCLH'!W37</f>
        <v>6300</v>
      </c>
      <c r="AE42" s="555">
        <f>'P&amp;L - Concept B1 - NCLH'!X37</f>
        <v>6300</v>
      </c>
    </row>
    <row r="43" spans="1:31" s="18" customFormat="1">
      <c r="A43" s="54"/>
      <c r="B43" s="21"/>
      <c r="C43" s="21"/>
      <c r="K43" s="486"/>
      <c r="L43" s="313"/>
      <c r="M43" s="313"/>
      <c r="N43" s="313"/>
      <c r="O43" s="313"/>
      <c r="P43" s="313"/>
      <c r="Q43" s="313"/>
      <c r="R43" s="313"/>
      <c r="S43" s="313"/>
      <c r="T43" s="313"/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</row>
    <row r="44" spans="1:31" s="341" customFormat="1">
      <c r="A44" s="552" t="s">
        <v>223</v>
      </c>
      <c r="B44" s="557"/>
      <c r="C44" s="557"/>
      <c r="K44" s="554">
        <f>'P&amp;L - Concept B1 - NCLH'!D39</f>
        <v>0</v>
      </c>
      <c r="L44" s="313">
        <f>'P&amp;L - Concept B1 - NCLH'!E39</f>
        <v>160.26666666666668</v>
      </c>
      <c r="M44" s="313">
        <f>'P&amp;L - Concept B1 - NCLH'!F39</f>
        <v>187</v>
      </c>
      <c r="N44" s="313">
        <f>'P&amp;L - Concept B1 - NCLH'!G39</f>
        <v>213.73333333333332</v>
      </c>
      <c r="O44" s="313">
        <f>'P&amp;L - Concept B1 - NCLH'!H39</f>
        <v>213.73333333333332</v>
      </c>
      <c r="P44" s="313">
        <f>'P&amp;L - Concept B1 - NCLH'!I39</f>
        <v>213.73333333333332</v>
      </c>
      <c r="Q44" s="313">
        <f>'P&amp;L - Concept B1 - NCLH'!J39</f>
        <v>213.73333333333332</v>
      </c>
      <c r="R44" s="313">
        <f>'P&amp;L - Concept B1 - NCLH'!K39</f>
        <v>213.73333333333332</v>
      </c>
      <c r="S44" s="313">
        <f>'P&amp;L - Concept B1 - NCLH'!L39</f>
        <v>213.73333333333332</v>
      </c>
      <c r="T44" s="313">
        <f>'P&amp;L - Concept B1 - NCLH'!M39</f>
        <v>213.73333333333332</v>
      </c>
      <c r="U44" s="313">
        <f>'P&amp;L - Concept B1 - NCLH'!N39</f>
        <v>213.73333333333332</v>
      </c>
      <c r="V44" s="313">
        <f>'P&amp;L - Concept B1 - NCLH'!O39</f>
        <v>213.73333333333332</v>
      </c>
      <c r="W44" s="313">
        <f>'P&amp;L - Concept B1 - NCLH'!P39</f>
        <v>213.73333333333332</v>
      </c>
      <c r="X44" s="313">
        <f>'P&amp;L - Concept B1 - NCLH'!Q39</f>
        <v>213.73333333333332</v>
      </c>
      <c r="Y44" s="313">
        <f>'P&amp;L - Concept B1 - NCLH'!R39</f>
        <v>213.73333333333332</v>
      </c>
      <c r="Z44" s="313">
        <f>'P&amp;L - Concept B1 - NCLH'!S39</f>
        <v>213.73333333333332</v>
      </c>
      <c r="AA44" s="313">
        <f>'P&amp;L - Concept B1 - NCLH'!T39</f>
        <v>213.73333333333332</v>
      </c>
      <c r="AB44" s="313">
        <f>'P&amp;L - Concept B1 - NCLH'!U39</f>
        <v>213.73333333333332</v>
      </c>
      <c r="AC44" s="313">
        <f>'P&amp;L - Concept B1 - NCLH'!V39</f>
        <v>213.73333333333332</v>
      </c>
      <c r="AD44" s="313">
        <f>'P&amp;L - Concept B1 - NCLH'!W39</f>
        <v>213.73333333333332</v>
      </c>
      <c r="AE44" s="313">
        <f>'P&amp;L - Concept B1 - NCLH'!X39</f>
        <v>213.73333333333332</v>
      </c>
    </row>
    <row r="45" spans="1:31" s="18" customFormat="1">
      <c r="A45" s="54"/>
      <c r="B45" s="74"/>
      <c r="C45" s="74"/>
      <c r="K45" s="492"/>
      <c r="L45" s="313"/>
      <c r="M45" s="313"/>
      <c r="N45" s="313"/>
      <c r="O45" s="313"/>
      <c r="P45" s="313"/>
      <c r="Q45" s="313"/>
      <c r="R45" s="313"/>
      <c r="S45" s="313"/>
      <c r="T45" s="313"/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</row>
    <row r="46" spans="1:31" s="18" customFormat="1">
      <c r="A46" s="293" t="s">
        <v>26</v>
      </c>
      <c r="B46" s="74"/>
      <c r="C46" s="74"/>
      <c r="K46" s="492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</row>
    <row r="47" spans="1:31" s="18" customFormat="1">
      <c r="A47" s="54" t="s">
        <v>264</v>
      </c>
      <c r="B47" s="277"/>
      <c r="C47" s="74"/>
      <c r="K47" s="486">
        <f>'P&amp;L - Concept B1 - NCLH'!D42</f>
        <v>0</v>
      </c>
      <c r="L47" s="313">
        <f>'P&amp;L - Concept B1 - NCLH'!E42</f>
        <v>1201.4583333333335</v>
      </c>
      <c r="M47" s="313">
        <f>'P&amp;L - Concept B1 - NCLH'!F42</f>
        <v>2402.916666666667</v>
      </c>
      <c r="N47" s="313">
        <f>'P&amp;L - Concept B1 - NCLH'!G42</f>
        <v>2402.916666666667</v>
      </c>
      <c r="O47" s="313">
        <f>'P&amp;L - Concept B1 - NCLH'!H42</f>
        <v>2402.916666666667</v>
      </c>
      <c r="P47" s="313">
        <f>'P&amp;L - Concept B1 - NCLH'!I42</f>
        <v>2402.916666666667</v>
      </c>
      <c r="Q47" s="313">
        <f>'P&amp;L - Concept B1 - NCLH'!J42</f>
        <v>2402.916666666667</v>
      </c>
      <c r="R47" s="313">
        <f>'P&amp;L - Concept B1 - NCLH'!K42</f>
        <v>2402.916666666667</v>
      </c>
      <c r="S47" s="313">
        <f>'P&amp;L - Concept B1 - NCLH'!L42</f>
        <v>2402.916666666667</v>
      </c>
      <c r="T47" s="313">
        <f>'P&amp;L - Concept B1 - NCLH'!M42</f>
        <v>2402.916666666667</v>
      </c>
      <c r="U47" s="313">
        <f>'P&amp;L - Concept B1 - NCLH'!N42</f>
        <v>2402.916666666667</v>
      </c>
      <c r="V47" s="313">
        <f>'P&amp;L - Concept B1 - NCLH'!O42</f>
        <v>2402.916666666667</v>
      </c>
      <c r="W47" s="313">
        <f>'P&amp;L - Concept B1 - NCLH'!P42</f>
        <v>2402.916666666667</v>
      </c>
      <c r="X47" s="313">
        <f>'P&amp;L - Concept B1 - NCLH'!Q42</f>
        <v>2402.916666666667</v>
      </c>
      <c r="Y47" s="313">
        <f>'P&amp;L - Concept B1 - NCLH'!R42</f>
        <v>2402.916666666667</v>
      </c>
      <c r="Z47" s="313">
        <f>'P&amp;L - Concept B1 - NCLH'!S42</f>
        <v>2402.916666666667</v>
      </c>
      <c r="AA47" s="313">
        <f>'P&amp;L - Concept B1 - NCLH'!T42</f>
        <v>2402.916666666667</v>
      </c>
      <c r="AB47" s="313">
        <f>'P&amp;L - Concept B1 - NCLH'!U42</f>
        <v>2402.916666666667</v>
      </c>
      <c r="AC47" s="313">
        <f>'P&amp;L - Concept B1 - NCLH'!V42</f>
        <v>2402.916666666667</v>
      </c>
      <c r="AD47" s="313">
        <f>'P&amp;L - Concept B1 - NCLH'!W42</f>
        <v>2402.916666666667</v>
      </c>
      <c r="AE47" s="313">
        <f>'P&amp;L - Concept B1 - NCLH'!X42</f>
        <v>2402.916666666667</v>
      </c>
    </row>
    <row r="48" spans="1:31" s="18" customFormat="1">
      <c r="A48" s="54" t="s">
        <v>267</v>
      </c>
      <c r="B48" s="277"/>
      <c r="C48" s="74"/>
      <c r="K48" s="486">
        <f>'P&amp;L - Concept B1 - NCLH'!D43</f>
        <v>0</v>
      </c>
      <c r="L48" s="313">
        <f>'P&amp;L - Concept B1 - NCLH'!E43</f>
        <v>14265.416666666664</v>
      </c>
      <c r="M48" s="313">
        <f>'P&amp;L - Concept B1 - NCLH'!F43</f>
        <v>28530.833333333328</v>
      </c>
      <c r="N48" s="313">
        <f>'P&amp;L - Concept B1 - NCLH'!G43</f>
        <v>28530.833333333328</v>
      </c>
      <c r="O48" s="313">
        <f>'P&amp;L - Concept B1 - NCLH'!H43</f>
        <v>28530.833333333328</v>
      </c>
      <c r="P48" s="313">
        <f>'P&amp;L - Concept B1 - NCLH'!I43</f>
        <v>28530.833333333328</v>
      </c>
      <c r="Q48" s="313">
        <f>'P&amp;L - Concept B1 - NCLH'!J43</f>
        <v>28530.833333333328</v>
      </c>
      <c r="R48" s="313">
        <f>'P&amp;L - Concept B1 - NCLH'!K43</f>
        <v>28530.833333333328</v>
      </c>
      <c r="S48" s="313">
        <f>'P&amp;L - Concept B1 - NCLH'!L43</f>
        <v>28530.833333333328</v>
      </c>
      <c r="T48" s="313">
        <f>'P&amp;L - Concept B1 - NCLH'!M43</f>
        <v>28530.833333333328</v>
      </c>
      <c r="U48" s="313">
        <f>'P&amp;L - Concept B1 - NCLH'!N43</f>
        <v>28530.833333333328</v>
      </c>
      <c r="V48" s="313">
        <f>'P&amp;L - Concept B1 - NCLH'!O43</f>
        <v>28530.833333333328</v>
      </c>
      <c r="W48" s="313">
        <f>'P&amp;L - Concept B1 - NCLH'!P43</f>
        <v>28530.833333333328</v>
      </c>
      <c r="X48" s="313">
        <f>'P&amp;L - Concept B1 - NCLH'!Q43</f>
        <v>28530.833333333328</v>
      </c>
      <c r="Y48" s="313">
        <f>'P&amp;L - Concept B1 - NCLH'!R43</f>
        <v>28530.833333333328</v>
      </c>
      <c r="Z48" s="313">
        <f>'P&amp;L - Concept B1 - NCLH'!S43</f>
        <v>28530.833333333328</v>
      </c>
      <c r="AA48" s="313">
        <f>'P&amp;L - Concept B1 - NCLH'!T43</f>
        <v>28530.833333333328</v>
      </c>
      <c r="AB48" s="313">
        <f>'P&amp;L - Concept B1 - NCLH'!U43</f>
        <v>28530.833333333328</v>
      </c>
      <c r="AC48" s="313">
        <f>'P&amp;L - Concept B1 - NCLH'!V43</f>
        <v>28530.833333333328</v>
      </c>
      <c r="AD48" s="313">
        <f>'P&amp;L - Concept B1 - NCLH'!W43</f>
        <v>28530.833333333328</v>
      </c>
      <c r="AE48" s="313">
        <f>'P&amp;L - Concept B1 - NCLH'!X43</f>
        <v>28530.833333333328</v>
      </c>
    </row>
    <row r="49" spans="1:32 16384:16384" s="96" customFormat="1">
      <c r="A49" s="54" t="s">
        <v>274</v>
      </c>
      <c r="B49" s="435"/>
      <c r="C49" s="583"/>
      <c r="K49" s="486">
        <f>'P&amp;L - Concept B1 - NCLH'!D44</f>
        <v>0</v>
      </c>
      <c r="L49" s="313">
        <f>'P&amp;L - Concept B1 - NCLH'!E44</f>
        <v>15466.874999999998</v>
      </c>
      <c r="M49" s="313">
        <f>'P&amp;L - Concept B1 - NCLH'!F44</f>
        <v>30933.749999999996</v>
      </c>
      <c r="N49" s="313">
        <f>'P&amp;L - Concept B1 - NCLH'!G44</f>
        <v>30933.749999999996</v>
      </c>
      <c r="O49" s="313">
        <f>'P&amp;L - Concept B1 - NCLH'!H44</f>
        <v>30933.749999999996</v>
      </c>
      <c r="P49" s="313">
        <f>'P&amp;L - Concept B1 - NCLH'!I44</f>
        <v>30933.749999999996</v>
      </c>
      <c r="Q49" s="313">
        <f>'P&amp;L - Concept B1 - NCLH'!J44</f>
        <v>30933.749999999996</v>
      </c>
      <c r="R49" s="313">
        <f>'P&amp;L - Concept B1 - NCLH'!K44</f>
        <v>30933.749999999996</v>
      </c>
      <c r="S49" s="313">
        <f>'P&amp;L - Concept B1 - NCLH'!L44</f>
        <v>30933.749999999996</v>
      </c>
      <c r="T49" s="313">
        <f>'P&amp;L - Concept B1 - NCLH'!M44</f>
        <v>30933.749999999996</v>
      </c>
      <c r="U49" s="313">
        <f>'P&amp;L - Concept B1 - NCLH'!N44</f>
        <v>30933.749999999996</v>
      </c>
      <c r="V49" s="313">
        <f>'P&amp;L - Concept B1 - NCLH'!O44</f>
        <v>30933.749999999996</v>
      </c>
      <c r="W49" s="313">
        <f>'P&amp;L - Concept B1 - NCLH'!P44</f>
        <v>30933.749999999996</v>
      </c>
      <c r="X49" s="313">
        <f>'P&amp;L - Concept B1 - NCLH'!Q44</f>
        <v>30933.749999999996</v>
      </c>
      <c r="Y49" s="313">
        <f>'P&amp;L - Concept B1 - NCLH'!R44</f>
        <v>30933.749999999996</v>
      </c>
      <c r="Z49" s="313">
        <f>'P&amp;L - Concept B1 - NCLH'!S44</f>
        <v>30933.749999999996</v>
      </c>
      <c r="AA49" s="313">
        <f>'P&amp;L - Concept B1 - NCLH'!T44</f>
        <v>30933.749999999996</v>
      </c>
      <c r="AB49" s="313">
        <f>'P&amp;L - Concept B1 - NCLH'!U44</f>
        <v>30933.749999999996</v>
      </c>
      <c r="AC49" s="313">
        <f>'P&amp;L - Concept B1 - NCLH'!V44</f>
        <v>30933.749999999996</v>
      </c>
      <c r="AD49" s="313">
        <f>'P&amp;L - Concept B1 - NCLH'!W44</f>
        <v>30933.749999999996</v>
      </c>
      <c r="AE49" s="313">
        <f>'P&amp;L - Concept B1 - NCLH'!X44</f>
        <v>30933.749999999996</v>
      </c>
    </row>
    <row r="50" spans="1:32 16384:16384" s="18" customFormat="1">
      <c r="A50" s="54"/>
      <c r="B50" s="277"/>
      <c r="C50" s="74"/>
      <c r="K50" s="499"/>
      <c r="L50" s="313"/>
      <c r="M50" s="313"/>
      <c r="N50" s="313"/>
      <c r="O50" s="313"/>
      <c r="P50" s="313"/>
      <c r="Q50" s="313"/>
      <c r="R50" s="313"/>
      <c r="S50" s="313"/>
      <c r="T50" s="313"/>
      <c r="U50" s="313"/>
      <c r="V50" s="313"/>
      <c r="W50" s="313"/>
      <c r="X50" s="313"/>
      <c r="Y50" s="313"/>
      <c r="Z50" s="313"/>
      <c r="AA50" s="313"/>
      <c r="AB50" s="313"/>
      <c r="AC50" s="313"/>
      <c r="AD50" s="313"/>
      <c r="AE50" s="313"/>
    </row>
    <row r="51" spans="1:32 16384:16384" s="341" customFormat="1">
      <c r="A51" s="552" t="s">
        <v>224</v>
      </c>
      <c r="B51" s="556"/>
      <c r="C51" s="557"/>
      <c r="K51" s="554">
        <f>'P&amp;L - Concept B1 - NCLH'!D46</f>
        <v>0</v>
      </c>
      <c r="L51" s="558">
        <f>'P&amp;L - Concept B1 - NCLH'!E46</f>
        <v>3</v>
      </c>
      <c r="M51" s="558">
        <f>'P&amp;L - Concept B1 - NCLH'!F46</f>
        <v>3</v>
      </c>
      <c r="N51" s="558">
        <f>'P&amp;L - Concept B1 - NCLH'!G46</f>
        <v>3</v>
      </c>
      <c r="O51" s="558">
        <f>'P&amp;L - Concept B1 - NCLH'!H46</f>
        <v>3</v>
      </c>
      <c r="P51" s="558">
        <f>'P&amp;L - Concept B1 - NCLH'!I46</f>
        <v>3</v>
      </c>
      <c r="Q51" s="558">
        <f>'P&amp;L - Concept B1 - NCLH'!J46</f>
        <v>3</v>
      </c>
      <c r="R51" s="558">
        <f>'P&amp;L - Concept B1 - NCLH'!K46</f>
        <v>3</v>
      </c>
      <c r="S51" s="558">
        <f>'P&amp;L - Concept B1 - NCLH'!L46</f>
        <v>3</v>
      </c>
      <c r="T51" s="558">
        <f>'P&amp;L - Concept B1 - NCLH'!M46</f>
        <v>3</v>
      </c>
      <c r="U51" s="558">
        <f>'P&amp;L - Concept B1 - NCLH'!N46</f>
        <v>3</v>
      </c>
      <c r="V51" s="558">
        <f>'P&amp;L - Concept B1 - NCLH'!O46</f>
        <v>3</v>
      </c>
      <c r="W51" s="558">
        <f>'P&amp;L - Concept B1 - NCLH'!P46</f>
        <v>3</v>
      </c>
      <c r="X51" s="558">
        <f>'P&amp;L - Concept B1 - NCLH'!Q46</f>
        <v>3</v>
      </c>
      <c r="Y51" s="558">
        <f>'P&amp;L - Concept B1 - NCLH'!R46</f>
        <v>3</v>
      </c>
      <c r="Z51" s="558">
        <f>'P&amp;L - Concept B1 - NCLH'!S46</f>
        <v>3</v>
      </c>
      <c r="AA51" s="558">
        <f>'P&amp;L - Concept B1 - NCLH'!T46</f>
        <v>3</v>
      </c>
      <c r="AB51" s="558">
        <f>'P&amp;L - Concept B1 - NCLH'!U46</f>
        <v>3</v>
      </c>
      <c r="AC51" s="558">
        <f>'P&amp;L - Concept B1 - NCLH'!V46</f>
        <v>3</v>
      </c>
      <c r="AD51" s="558">
        <f>'P&amp;L - Concept B1 - NCLH'!W46</f>
        <v>3</v>
      </c>
      <c r="AE51" s="558">
        <f>'P&amp;L - Concept B1 - NCLH'!X46</f>
        <v>3</v>
      </c>
    </row>
    <row r="52" spans="1:32 16384:16384" s="96" customFormat="1">
      <c r="A52" s="54" t="s">
        <v>225</v>
      </c>
      <c r="B52" s="435"/>
      <c r="C52" s="583"/>
      <c r="K52" s="486">
        <f>'P&amp;L - Concept B1 - NCLH'!D47</f>
        <v>0</v>
      </c>
      <c r="L52" s="496">
        <f>'P&amp;L - Concept B1 - NCLH'!E47</f>
        <v>1</v>
      </c>
      <c r="M52" s="496">
        <f>'P&amp;L - Concept B1 - NCLH'!F47</f>
        <v>1</v>
      </c>
      <c r="N52" s="496">
        <f>'P&amp;L - Concept B1 - NCLH'!G47</f>
        <v>1</v>
      </c>
      <c r="O52" s="496">
        <f>'P&amp;L - Concept B1 - NCLH'!H47</f>
        <v>1</v>
      </c>
      <c r="P52" s="496">
        <f>'P&amp;L - Concept B1 - NCLH'!I47</f>
        <v>1</v>
      </c>
      <c r="Q52" s="496">
        <f>'P&amp;L - Concept B1 - NCLH'!J47</f>
        <v>1</v>
      </c>
      <c r="R52" s="496">
        <f>'P&amp;L - Concept B1 - NCLH'!K47</f>
        <v>1</v>
      </c>
      <c r="S52" s="496">
        <f>'P&amp;L - Concept B1 - NCLH'!L47</f>
        <v>1</v>
      </c>
      <c r="T52" s="496">
        <f>'P&amp;L - Concept B1 - NCLH'!M47</f>
        <v>1</v>
      </c>
      <c r="U52" s="496">
        <f>'P&amp;L - Concept B1 - NCLH'!N47</f>
        <v>1</v>
      </c>
      <c r="V52" s="496">
        <f>'P&amp;L - Concept B1 - NCLH'!O47</f>
        <v>1</v>
      </c>
      <c r="W52" s="496">
        <f>'P&amp;L - Concept B1 - NCLH'!P47</f>
        <v>1</v>
      </c>
      <c r="X52" s="496">
        <f>'P&amp;L - Concept B1 - NCLH'!Q47</f>
        <v>1</v>
      </c>
      <c r="Y52" s="496">
        <f>'P&amp;L - Concept B1 - NCLH'!R47</f>
        <v>1</v>
      </c>
      <c r="Z52" s="496">
        <f>'P&amp;L - Concept B1 - NCLH'!S47</f>
        <v>1</v>
      </c>
      <c r="AA52" s="496">
        <f>'P&amp;L - Concept B1 - NCLH'!T47</f>
        <v>1</v>
      </c>
      <c r="AB52" s="496">
        <f>'P&amp;L - Concept B1 - NCLH'!U47</f>
        <v>1</v>
      </c>
      <c r="AC52" s="496">
        <f>'P&amp;L - Concept B1 - NCLH'!V47</f>
        <v>1</v>
      </c>
      <c r="AD52" s="496">
        <f>'P&amp;L - Concept B1 - NCLH'!W47</f>
        <v>1</v>
      </c>
      <c r="AE52" s="496">
        <f>'P&amp;L - Concept B1 - NCLH'!X47</f>
        <v>1</v>
      </c>
    </row>
    <row r="53" spans="1:32 16384:16384" s="18" customFormat="1">
      <c r="A53" s="54" t="s">
        <v>209</v>
      </c>
      <c r="B53" s="277"/>
      <c r="C53" s="74"/>
      <c r="K53" s="486">
        <f>'P&amp;L - Concept B1 - NCLH'!D48</f>
        <v>0</v>
      </c>
      <c r="L53" s="496">
        <f>'P&amp;L - Concept B1 - NCLH'!E48</f>
        <v>0.5</v>
      </c>
      <c r="M53" s="496">
        <f>'P&amp;L - Concept B1 - NCLH'!F48</f>
        <v>0.5</v>
      </c>
      <c r="N53" s="496">
        <f>'P&amp;L - Concept B1 - NCLH'!G48</f>
        <v>0.5</v>
      </c>
      <c r="O53" s="496">
        <f>'P&amp;L - Concept B1 - NCLH'!H48</f>
        <v>0.5</v>
      </c>
      <c r="P53" s="496">
        <f>'P&amp;L - Concept B1 - NCLH'!I48</f>
        <v>0.5</v>
      </c>
      <c r="Q53" s="496">
        <f>'P&amp;L - Concept B1 - NCLH'!J48</f>
        <v>0.5</v>
      </c>
      <c r="R53" s="496">
        <f>'P&amp;L - Concept B1 - NCLH'!K48</f>
        <v>0.5</v>
      </c>
      <c r="S53" s="496">
        <f>'P&amp;L - Concept B1 - NCLH'!L48</f>
        <v>0.5</v>
      </c>
      <c r="T53" s="496">
        <f>'P&amp;L - Concept B1 - NCLH'!M48</f>
        <v>0.5</v>
      </c>
      <c r="U53" s="496">
        <f>'P&amp;L - Concept B1 - NCLH'!N48</f>
        <v>0.5</v>
      </c>
      <c r="V53" s="496">
        <f>'P&amp;L - Concept B1 - NCLH'!O48</f>
        <v>0.5</v>
      </c>
      <c r="W53" s="496">
        <f>'P&amp;L - Concept B1 - NCLH'!P48</f>
        <v>0.5</v>
      </c>
      <c r="X53" s="496">
        <f>'P&amp;L - Concept B1 - NCLH'!Q48</f>
        <v>0.5</v>
      </c>
      <c r="Y53" s="496">
        <f>'P&amp;L - Concept B1 - NCLH'!R48</f>
        <v>0.5</v>
      </c>
      <c r="Z53" s="496">
        <f>'P&amp;L - Concept B1 - NCLH'!S48</f>
        <v>0.5</v>
      </c>
      <c r="AA53" s="496">
        <f>'P&amp;L - Concept B1 - NCLH'!T48</f>
        <v>0.5</v>
      </c>
      <c r="AB53" s="496">
        <f>'P&amp;L - Concept B1 - NCLH'!U48</f>
        <v>0.5</v>
      </c>
      <c r="AC53" s="496">
        <f>'P&amp;L - Concept B1 - NCLH'!V48</f>
        <v>0.5</v>
      </c>
      <c r="AD53" s="496">
        <f>'P&amp;L - Concept B1 - NCLH'!W48</f>
        <v>0.5</v>
      </c>
      <c r="AE53" s="496">
        <f>'P&amp;L - Concept B1 - NCLH'!X48</f>
        <v>0.5</v>
      </c>
    </row>
    <row r="54" spans="1:32 16384:16384" s="18" customFormat="1">
      <c r="A54" s="54" t="s">
        <v>289</v>
      </c>
      <c r="B54" s="277"/>
      <c r="C54" s="74"/>
      <c r="K54" s="486">
        <f>'P&amp;L - Concept B1 - NCLH'!D49</f>
        <v>0</v>
      </c>
      <c r="L54" s="496">
        <f>'P&amp;L - Concept B1 - NCLH'!E49</f>
        <v>0.75</v>
      </c>
      <c r="M54" s="496">
        <f>'P&amp;L - Concept B1 - NCLH'!F49</f>
        <v>0.75</v>
      </c>
      <c r="N54" s="496">
        <f>'P&amp;L - Concept B1 - NCLH'!G49</f>
        <v>0.75</v>
      </c>
      <c r="O54" s="496">
        <f>'P&amp;L - Concept B1 - NCLH'!H49</f>
        <v>0.75</v>
      </c>
      <c r="P54" s="496">
        <f>'P&amp;L - Concept B1 - NCLH'!I49</f>
        <v>0.75</v>
      </c>
      <c r="Q54" s="496">
        <f>'P&amp;L - Concept B1 - NCLH'!J49</f>
        <v>0.75</v>
      </c>
      <c r="R54" s="496">
        <f>'P&amp;L - Concept B1 - NCLH'!K49</f>
        <v>0.75</v>
      </c>
      <c r="S54" s="496">
        <f>'P&amp;L - Concept B1 - NCLH'!L49</f>
        <v>0.75</v>
      </c>
      <c r="T54" s="496">
        <f>'P&amp;L - Concept B1 - NCLH'!M49</f>
        <v>0.75</v>
      </c>
      <c r="U54" s="496">
        <f>'P&amp;L - Concept B1 - NCLH'!N49</f>
        <v>0.75</v>
      </c>
      <c r="V54" s="496">
        <f>'P&amp;L - Concept B1 - NCLH'!O49</f>
        <v>0.75</v>
      </c>
      <c r="W54" s="496">
        <f>'P&amp;L - Concept B1 - NCLH'!P49</f>
        <v>0.75</v>
      </c>
      <c r="X54" s="496">
        <f>'P&amp;L - Concept B1 - NCLH'!Q49</f>
        <v>0.75</v>
      </c>
      <c r="Y54" s="496">
        <f>'P&amp;L - Concept B1 - NCLH'!R49</f>
        <v>0.75</v>
      </c>
      <c r="Z54" s="496">
        <f>'P&amp;L - Concept B1 - NCLH'!S49</f>
        <v>0.75</v>
      </c>
      <c r="AA54" s="496">
        <f>'P&amp;L - Concept B1 - NCLH'!T49</f>
        <v>0.75</v>
      </c>
      <c r="AB54" s="496">
        <f>'P&amp;L - Concept B1 - NCLH'!U49</f>
        <v>0.75</v>
      </c>
      <c r="AC54" s="496">
        <f>'P&amp;L - Concept B1 - NCLH'!V49</f>
        <v>0.75</v>
      </c>
      <c r="AD54" s="496">
        <f>'P&amp;L - Concept B1 - NCLH'!W49</f>
        <v>0.75</v>
      </c>
      <c r="AE54" s="496">
        <f>'P&amp;L - Concept B1 - NCLH'!X49</f>
        <v>0.75</v>
      </c>
      <c r="XFD54" s="570">
        <f>SUM(K54:XFC54)</f>
        <v>15</v>
      </c>
    </row>
    <row r="55" spans="1:32 16384:16384" s="18" customFormat="1">
      <c r="A55" s="54"/>
      <c r="B55" s="277"/>
      <c r="C55" s="74"/>
      <c r="K55" s="486"/>
      <c r="L55" s="313"/>
      <c r="M55" s="313"/>
      <c r="N55" s="313"/>
      <c r="O55" s="313"/>
      <c r="P55" s="313"/>
      <c r="Q55" s="313"/>
      <c r="R55" s="313"/>
      <c r="S55" s="313"/>
      <c r="T55" s="313"/>
      <c r="U55" s="313"/>
      <c r="V55" s="313"/>
      <c r="W55" s="313"/>
      <c r="X55" s="313"/>
      <c r="Y55" s="313"/>
      <c r="Z55" s="313"/>
      <c r="AA55" s="313"/>
      <c r="AB55" s="313"/>
      <c r="AC55" s="313"/>
      <c r="AD55" s="313"/>
      <c r="AE55" s="313"/>
      <c r="XFD55" s="570"/>
    </row>
    <row r="56" spans="1:32 16384:16384" s="18" customFormat="1">
      <c r="A56" s="54" t="s">
        <v>312</v>
      </c>
      <c r="B56" s="277"/>
      <c r="C56" s="74"/>
      <c r="K56" s="486">
        <f>'P&amp;L - Concept B1 - NCLH'!D51</f>
        <v>0</v>
      </c>
      <c r="L56" s="313">
        <f>'P&amp;L - Concept B1 - NCLH'!E51</f>
        <v>3595</v>
      </c>
      <c r="M56" s="313">
        <f>'P&amp;L - Concept B1 - NCLH'!F51</f>
        <v>7190</v>
      </c>
      <c r="N56" s="313">
        <f>'P&amp;L - Concept B1 - NCLH'!G51</f>
        <v>7190</v>
      </c>
      <c r="O56" s="313">
        <f>'P&amp;L - Concept B1 - NCLH'!H51</f>
        <v>7190</v>
      </c>
      <c r="P56" s="313">
        <f>'P&amp;L - Concept B1 - NCLH'!I51</f>
        <v>7190</v>
      </c>
      <c r="Q56" s="313">
        <f>'P&amp;L - Concept B1 - NCLH'!J51</f>
        <v>7190</v>
      </c>
      <c r="R56" s="313">
        <f>'P&amp;L - Concept B1 - NCLH'!K51</f>
        <v>7190</v>
      </c>
      <c r="S56" s="313">
        <f>'P&amp;L - Concept B1 - NCLH'!L51</f>
        <v>7190</v>
      </c>
      <c r="T56" s="313">
        <f>'P&amp;L - Concept B1 - NCLH'!M51</f>
        <v>7190</v>
      </c>
      <c r="U56" s="313">
        <f>'P&amp;L - Concept B1 - NCLH'!N51</f>
        <v>7190</v>
      </c>
      <c r="V56" s="313">
        <f>'P&amp;L - Concept B1 - NCLH'!O51</f>
        <v>7190</v>
      </c>
      <c r="W56" s="313">
        <f>'P&amp;L - Concept B1 - NCLH'!P51</f>
        <v>7190</v>
      </c>
      <c r="X56" s="313">
        <f>'P&amp;L - Concept B1 - NCLH'!Q51</f>
        <v>7190</v>
      </c>
      <c r="Y56" s="313">
        <f>'P&amp;L - Concept B1 - NCLH'!R51</f>
        <v>7190</v>
      </c>
      <c r="Z56" s="313">
        <f>'P&amp;L - Concept B1 - NCLH'!S51</f>
        <v>7190</v>
      </c>
      <c r="AA56" s="313">
        <f>'P&amp;L - Concept B1 - NCLH'!T51</f>
        <v>7190</v>
      </c>
      <c r="AB56" s="313">
        <f>'P&amp;L - Concept B1 - NCLH'!U51</f>
        <v>7190</v>
      </c>
      <c r="AC56" s="313">
        <f>'P&amp;L - Concept B1 - NCLH'!V51</f>
        <v>7190</v>
      </c>
      <c r="AD56" s="313">
        <f>'P&amp;L - Concept B1 - NCLH'!W51</f>
        <v>7190</v>
      </c>
      <c r="AE56" s="313">
        <f>'P&amp;L - Concept B1 - NCLH'!X51</f>
        <v>7190</v>
      </c>
      <c r="XFD56" s="570"/>
    </row>
    <row r="57" spans="1:32 16384:16384" s="18" customFormat="1">
      <c r="A57" s="54"/>
      <c r="B57" s="277"/>
      <c r="C57" s="74"/>
      <c r="K57" s="486"/>
      <c r="L57" s="313"/>
      <c r="M57" s="313"/>
      <c r="N57" s="313"/>
      <c r="O57" s="313"/>
      <c r="P57" s="313"/>
      <c r="Q57" s="313"/>
      <c r="R57" s="313"/>
      <c r="S57" s="313"/>
      <c r="T57" s="313"/>
      <c r="U57" s="313"/>
      <c r="V57" s="313"/>
      <c r="W57" s="313"/>
      <c r="X57" s="313"/>
      <c r="Y57" s="313"/>
      <c r="Z57" s="313"/>
      <c r="AA57" s="313"/>
      <c r="AB57" s="313"/>
      <c r="AC57" s="313"/>
      <c r="AD57" s="313"/>
      <c r="AE57" s="313"/>
    </row>
    <row r="58" spans="1:32 16384:16384" s="612" customFormat="1">
      <c r="A58" s="613" t="s">
        <v>292</v>
      </c>
      <c r="B58" s="614"/>
      <c r="C58" s="615"/>
      <c r="D58" s="717"/>
      <c r="E58" s="717"/>
      <c r="F58" s="717"/>
      <c r="G58" s="717"/>
      <c r="H58" s="717"/>
      <c r="I58" s="717"/>
      <c r="J58" s="717"/>
      <c r="K58" s="616">
        <f>'P&amp;L - Concept B1 - NCLH'!D53</f>
        <v>0</v>
      </c>
      <c r="L58" s="616">
        <f>'P&amp;L - Concept B1 - NCLH'!E53</f>
        <v>0</v>
      </c>
      <c r="M58" s="616">
        <f>'P&amp;L - Concept B1 - NCLH'!F53</f>
        <v>0</v>
      </c>
      <c r="N58" s="616">
        <f>'P&amp;L - Concept B1 - NCLH'!G53</f>
        <v>100000</v>
      </c>
      <c r="O58" s="616">
        <f>'P&amp;L - Concept B1 - NCLH'!H53</f>
        <v>100000</v>
      </c>
      <c r="P58" s="616">
        <f>'P&amp;L - Concept B1 - NCLH'!I53</f>
        <v>100000</v>
      </c>
      <c r="Q58" s="616">
        <f>'P&amp;L - Concept B1 - NCLH'!J53</f>
        <v>100000</v>
      </c>
      <c r="R58" s="616">
        <f>'P&amp;L - Concept B1 - NCLH'!K53</f>
        <v>100000</v>
      </c>
      <c r="S58" s="616">
        <f>'P&amp;L - Concept B1 - NCLH'!L53</f>
        <v>100000</v>
      </c>
      <c r="T58" s="616">
        <f>'P&amp;L - Concept B1 - NCLH'!M53</f>
        <v>100000</v>
      </c>
      <c r="U58" s="616">
        <f>'P&amp;L - Concept B1 - NCLH'!N53</f>
        <v>100000</v>
      </c>
      <c r="V58" s="616">
        <f>'P&amp;L - Concept B1 - NCLH'!O53</f>
        <v>100000</v>
      </c>
      <c r="W58" s="616">
        <f>'P&amp;L - Concept B1 - NCLH'!P53</f>
        <v>100000</v>
      </c>
      <c r="X58" s="616">
        <f>'P&amp;L - Concept B1 - NCLH'!Q53</f>
        <v>100000</v>
      </c>
      <c r="Y58" s="616">
        <f>'P&amp;L - Concept B1 - NCLH'!R53</f>
        <v>100000</v>
      </c>
      <c r="Z58" s="616">
        <f>'P&amp;L - Concept B1 - NCLH'!S53</f>
        <v>100000</v>
      </c>
      <c r="AA58" s="616">
        <f>'P&amp;L - Concept B1 - NCLH'!T53</f>
        <v>100000</v>
      </c>
      <c r="AB58" s="616">
        <f>'P&amp;L - Concept B1 - NCLH'!U53</f>
        <v>100000</v>
      </c>
      <c r="AC58" s="616">
        <f>'P&amp;L - Concept B1 - NCLH'!V53</f>
        <v>100000</v>
      </c>
      <c r="AD58" s="616">
        <f>'P&amp;L - Concept B1 - NCLH'!W53</f>
        <v>100000</v>
      </c>
      <c r="AE58" s="787">
        <f>'P&amp;L - Concept B1 - NCLH'!X53</f>
        <v>100000</v>
      </c>
    </row>
    <row r="59" spans="1:32 16384:16384" s="18" customFormat="1">
      <c r="A59" s="54"/>
      <c r="B59" s="277"/>
      <c r="C59" s="74"/>
      <c r="K59" s="486"/>
      <c r="L59" s="313"/>
      <c r="M59" s="313"/>
      <c r="N59" s="313"/>
      <c r="O59" s="313"/>
      <c r="P59" s="313"/>
      <c r="Q59" s="313"/>
      <c r="R59" s="313"/>
      <c r="S59" s="313"/>
      <c r="T59" s="313"/>
      <c r="U59" s="313"/>
      <c r="V59" s="313"/>
      <c r="W59" s="313"/>
      <c r="X59" s="313"/>
      <c r="Y59" s="313"/>
      <c r="Z59" s="313"/>
      <c r="AA59" s="313"/>
      <c r="AB59" s="313"/>
      <c r="AC59" s="313"/>
      <c r="AD59" s="313"/>
      <c r="AE59" s="313"/>
    </row>
    <row r="60" spans="1:32 16384:16384" s="547" customFormat="1">
      <c r="A60" s="549" t="str">
        <f>'BH Tariffs'!A33</f>
        <v>Recreational/Commercial Marina</v>
      </c>
      <c r="B60" s="714"/>
      <c r="C60" s="715"/>
      <c r="K60" s="554"/>
      <c r="L60" s="555"/>
      <c r="M60" s="555"/>
      <c r="N60" s="555"/>
      <c r="O60" s="555"/>
      <c r="P60" s="555"/>
      <c r="Q60" s="555"/>
      <c r="R60" s="555"/>
      <c r="S60" s="555"/>
      <c r="T60" s="555"/>
      <c r="U60" s="555"/>
      <c r="V60" s="555"/>
      <c r="W60" s="555"/>
      <c r="X60" s="555"/>
      <c r="Y60" s="555"/>
      <c r="Z60" s="555"/>
      <c r="AA60" s="555"/>
      <c r="AB60" s="555"/>
      <c r="AC60" s="555"/>
      <c r="AD60" s="555"/>
      <c r="AE60" s="555"/>
    </row>
    <row r="61" spans="1:32 16384:16384" s="341" customFormat="1">
      <c r="A61" s="552" t="s">
        <v>291</v>
      </c>
      <c r="B61" s="556"/>
      <c r="C61" s="557"/>
      <c r="K61" s="554">
        <f>'P&amp;L - Concept B1 - NCLH'!D56</f>
        <v>0</v>
      </c>
      <c r="L61" s="555">
        <f>'P&amp;L - Concept B1 - NCLH'!E56</f>
        <v>0</v>
      </c>
      <c r="M61" s="555">
        <f>'P&amp;L - Concept B1 - NCLH'!F56</f>
        <v>0</v>
      </c>
      <c r="N61" s="555">
        <f>'P&amp;L - Concept B1 - NCLH'!G56</f>
        <v>0</v>
      </c>
      <c r="O61" s="555">
        <f>'P&amp;L - Concept B1 - NCLH'!H56</f>
        <v>0</v>
      </c>
      <c r="P61" s="555">
        <f>'P&amp;L - Concept B1 - NCLH'!I56</f>
        <v>0</v>
      </c>
      <c r="Q61" s="555">
        <f>'P&amp;L - Concept B1 - NCLH'!J56</f>
        <v>0</v>
      </c>
      <c r="R61" s="555">
        <f>'P&amp;L - Concept B1 - NCLH'!K56</f>
        <v>0</v>
      </c>
      <c r="S61" s="555">
        <f>'P&amp;L - Concept B1 - NCLH'!L56</f>
        <v>0</v>
      </c>
      <c r="T61" s="555">
        <f>'P&amp;L - Concept B1 - NCLH'!M56</f>
        <v>0</v>
      </c>
      <c r="U61" s="555">
        <f>'P&amp;L - Concept B1 - NCLH'!N56</f>
        <v>0</v>
      </c>
      <c r="V61" s="555">
        <f>'P&amp;L - Concept B1 - NCLH'!O56</f>
        <v>0</v>
      </c>
      <c r="W61" s="555">
        <f>'P&amp;L - Concept B1 - NCLH'!P56</f>
        <v>0</v>
      </c>
      <c r="X61" s="555">
        <f>'P&amp;L - Concept B1 - NCLH'!Q56</f>
        <v>0</v>
      </c>
      <c r="Y61" s="555">
        <f>'P&amp;L - Concept B1 - NCLH'!R56</f>
        <v>0</v>
      </c>
      <c r="Z61" s="555">
        <f>'P&amp;L - Concept B1 - NCLH'!S56</f>
        <v>0</v>
      </c>
      <c r="AA61" s="555">
        <f>'P&amp;L - Concept B1 - NCLH'!T56</f>
        <v>0</v>
      </c>
      <c r="AB61" s="555">
        <f>'P&amp;L - Concept B1 - NCLH'!U56</f>
        <v>0</v>
      </c>
      <c r="AC61" s="555">
        <f>'P&amp;L - Concept B1 - NCLH'!V56</f>
        <v>0</v>
      </c>
      <c r="AD61" s="555">
        <f>'P&amp;L - Concept B1 - NCLH'!W56</f>
        <v>0</v>
      </c>
      <c r="AE61" s="555">
        <f>'P&amp;L - Concept B1 - NCLH'!X56</f>
        <v>0</v>
      </c>
    </row>
    <row r="62" spans="1:32 16384:16384" s="341" customFormat="1">
      <c r="A62" s="552" t="s">
        <v>293</v>
      </c>
      <c r="B62" s="556"/>
      <c r="C62" s="557"/>
      <c r="K62" s="554">
        <f>'P&amp;L - Concept B1 - NCLH'!D57</f>
        <v>0</v>
      </c>
      <c r="L62" s="555">
        <f>'P&amp;L - Concept B1 - NCLH'!E57</f>
        <v>0</v>
      </c>
      <c r="M62" s="555">
        <f>'P&amp;L - Concept B1 - NCLH'!F57</f>
        <v>0</v>
      </c>
      <c r="N62" s="555">
        <f>'P&amp;L - Concept B1 - NCLH'!G57</f>
        <v>0</v>
      </c>
      <c r="O62" s="555">
        <f>'P&amp;L - Concept B1 - NCLH'!H57</f>
        <v>0</v>
      </c>
      <c r="P62" s="555">
        <f>'P&amp;L - Concept B1 - NCLH'!I57</f>
        <v>0</v>
      </c>
      <c r="Q62" s="555">
        <f>'P&amp;L - Concept B1 - NCLH'!J57</f>
        <v>0</v>
      </c>
      <c r="R62" s="555">
        <f>'P&amp;L - Concept B1 - NCLH'!K57</f>
        <v>0</v>
      </c>
      <c r="S62" s="555">
        <f>'P&amp;L - Concept B1 - NCLH'!L57</f>
        <v>0</v>
      </c>
      <c r="T62" s="555">
        <f>'P&amp;L - Concept B1 - NCLH'!M57</f>
        <v>0</v>
      </c>
      <c r="U62" s="555">
        <f>'P&amp;L - Concept B1 - NCLH'!N57</f>
        <v>0</v>
      </c>
      <c r="V62" s="555">
        <f>'P&amp;L - Concept B1 - NCLH'!O57</f>
        <v>0</v>
      </c>
      <c r="W62" s="555">
        <f>'P&amp;L - Concept B1 - NCLH'!P57</f>
        <v>0</v>
      </c>
      <c r="X62" s="555">
        <f>'P&amp;L - Concept B1 - NCLH'!Q57</f>
        <v>0</v>
      </c>
      <c r="Y62" s="555">
        <f>'P&amp;L - Concept B1 - NCLH'!R57</f>
        <v>0</v>
      </c>
      <c r="Z62" s="555">
        <f>'P&amp;L - Concept B1 - NCLH'!S57</f>
        <v>0</v>
      </c>
      <c r="AA62" s="555">
        <f>'P&amp;L - Concept B1 - NCLH'!T57</f>
        <v>0</v>
      </c>
      <c r="AB62" s="555">
        <f>'P&amp;L - Concept B1 - NCLH'!U57</f>
        <v>0</v>
      </c>
      <c r="AC62" s="555">
        <f>'P&amp;L - Concept B1 - NCLH'!V57</f>
        <v>0</v>
      </c>
      <c r="AD62" s="555">
        <f>'P&amp;L - Concept B1 - NCLH'!W57</f>
        <v>0</v>
      </c>
      <c r="AE62" s="555">
        <f>'P&amp;L - Concept B1 - NCLH'!X57</f>
        <v>0</v>
      </c>
    </row>
    <row r="63" spans="1:32 16384:16384" s="341" customFormat="1">
      <c r="A63" s="552" t="s">
        <v>294</v>
      </c>
      <c r="B63" s="556"/>
      <c r="C63" s="557"/>
      <c r="K63" s="554">
        <f>'P&amp;L - Concept B1 - NCLH'!D58</f>
        <v>0</v>
      </c>
      <c r="L63" s="555">
        <f>'P&amp;L - Concept B1 - NCLH'!E58</f>
        <v>0</v>
      </c>
      <c r="M63" s="555">
        <f>'P&amp;L - Concept B1 - NCLH'!F58</f>
        <v>0</v>
      </c>
      <c r="N63" s="555">
        <f>'P&amp;L - Concept B1 - NCLH'!G58</f>
        <v>0</v>
      </c>
      <c r="O63" s="555">
        <f>'P&amp;L - Concept B1 - NCLH'!H58</f>
        <v>0</v>
      </c>
      <c r="P63" s="555">
        <f>'P&amp;L - Concept B1 - NCLH'!I58</f>
        <v>0</v>
      </c>
      <c r="Q63" s="555">
        <f>'P&amp;L - Concept B1 - NCLH'!J58</f>
        <v>0</v>
      </c>
      <c r="R63" s="555">
        <f>'P&amp;L - Concept B1 - NCLH'!K58</f>
        <v>0</v>
      </c>
      <c r="S63" s="555">
        <f>'P&amp;L - Concept B1 - NCLH'!L58</f>
        <v>0</v>
      </c>
      <c r="T63" s="555">
        <f>'P&amp;L - Concept B1 - NCLH'!M58</f>
        <v>0</v>
      </c>
      <c r="U63" s="555">
        <f>'P&amp;L - Concept B1 - NCLH'!N58</f>
        <v>0</v>
      </c>
      <c r="V63" s="555">
        <f>'P&amp;L - Concept B1 - NCLH'!O58</f>
        <v>0</v>
      </c>
      <c r="W63" s="555">
        <f>'P&amp;L - Concept B1 - NCLH'!P58</f>
        <v>0</v>
      </c>
      <c r="X63" s="555">
        <f>'P&amp;L - Concept B1 - NCLH'!Q58</f>
        <v>0</v>
      </c>
      <c r="Y63" s="555">
        <f>'P&amp;L - Concept B1 - NCLH'!R58</f>
        <v>0</v>
      </c>
      <c r="Z63" s="555">
        <f>'P&amp;L - Concept B1 - NCLH'!S58</f>
        <v>0</v>
      </c>
      <c r="AA63" s="555">
        <f>'P&amp;L - Concept B1 - NCLH'!T58</f>
        <v>0</v>
      </c>
      <c r="AB63" s="555">
        <f>'P&amp;L - Concept B1 - NCLH'!U58</f>
        <v>0</v>
      </c>
      <c r="AC63" s="555">
        <f>'P&amp;L - Concept B1 - NCLH'!V58</f>
        <v>0</v>
      </c>
      <c r="AD63" s="555">
        <f>'P&amp;L - Concept B1 - NCLH'!W58</f>
        <v>0</v>
      </c>
      <c r="AE63" s="555">
        <f>'P&amp;L - Concept B1 - NCLH'!X58</f>
        <v>0</v>
      </c>
    </row>
    <row r="64" spans="1:32 16384:16384" s="167" customFormat="1">
      <c r="A64" s="497" t="s">
        <v>170</v>
      </c>
      <c r="B64" s="450"/>
      <c r="C64" s="498"/>
      <c r="K64" s="499">
        <f>'P&amp;L - Concept B1 - NCLH'!D59</f>
        <v>0</v>
      </c>
      <c r="L64" s="500">
        <f>'P&amp;L - Concept B1 - NCLH'!E59</f>
        <v>0</v>
      </c>
      <c r="M64" s="500">
        <f>'P&amp;L - Concept B1 - NCLH'!F59</f>
        <v>0</v>
      </c>
      <c r="N64" s="500">
        <f>'P&amp;L - Concept B1 - NCLH'!G59</f>
        <v>0</v>
      </c>
      <c r="O64" s="500">
        <f>'P&amp;L - Concept B1 - NCLH'!H59</f>
        <v>0</v>
      </c>
      <c r="P64" s="500">
        <f>'P&amp;L - Concept B1 - NCLH'!I59</f>
        <v>0</v>
      </c>
      <c r="Q64" s="500">
        <f>'P&amp;L - Concept B1 - NCLH'!J59</f>
        <v>0</v>
      </c>
      <c r="R64" s="500">
        <f>'P&amp;L - Concept B1 - NCLH'!K59</f>
        <v>0</v>
      </c>
      <c r="S64" s="500">
        <f>'P&amp;L - Concept B1 - NCLH'!L59</f>
        <v>0</v>
      </c>
      <c r="T64" s="500">
        <f>'P&amp;L - Concept B1 - NCLH'!M59</f>
        <v>0</v>
      </c>
      <c r="U64" s="500">
        <f>'P&amp;L - Concept B1 - NCLH'!N59</f>
        <v>0</v>
      </c>
      <c r="V64" s="500">
        <f>'P&amp;L - Concept B1 - NCLH'!O59</f>
        <v>0</v>
      </c>
      <c r="W64" s="500">
        <f>'P&amp;L - Concept B1 - NCLH'!P59</f>
        <v>0</v>
      </c>
      <c r="X64" s="500">
        <f>'P&amp;L - Concept B1 - NCLH'!Q59</f>
        <v>0</v>
      </c>
      <c r="Y64" s="500">
        <f>'P&amp;L - Concept B1 - NCLH'!R59</f>
        <v>0</v>
      </c>
      <c r="Z64" s="500">
        <f>'P&amp;L - Concept B1 - NCLH'!S59</f>
        <v>0</v>
      </c>
      <c r="AA64" s="500">
        <f>'P&amp;L - Concept B1 - NCLH'!T59</f>
        <v>0</v>
      </c>
      <c r="AB64" s="500">
        <f>'P&amp;L - Concept B1 - NCLH'!U59</f>
        <v>0</v>
      </c>
      <c r="AC64" s="500">
        <f>'P&amp;L - Concept B1 - NCLH'!V59</f>
        <v>0</v>
      </c>
      <c r="AD64" s="500">
        <f>'P&amp;L - Concept B1 - NCLH'!W59</f>
        <v>0</v>
      </c>
      <c r="AE64" s="500">
        <f>'P&amp;L - Concept B1 - NCLH'!X59</f>
        <v>0</v>
      </c>
      <c r="AF64" s="167" t="str">
        <f>'P&amp;L - Concept B1 - NCLH'!Y59</f>
        <v>cost recovery assumed</v>
      </c>
    </row>
    <row r="65" spans="1:32" s="167" customFormat="1">
      <c r="A65" s="497" t="s">
        <v>16</v>
      </c>
      <c r="B65" s="450"/>
      <c r="C65" s="498"/>
      <c r="K65" s="499">
        <f>'P&amp;L - Concept B1 - NCLH'!D60</f>
        <v>0</v>
      </c>
      <c r="L65" s="500">
        <f>'P&amp;L - Concept B1 - NCLH'!E60</f>
        <v>0</v>
      </c>
      <c r="M65" s="500">
        <f>'P&amp;L - Concept B1 - NCLH'!F60</f>
        <v>0</v>
      </c>
      <c r="N65" s="500">
        <f>'P&amp;L - Concept B1 - NCLH'!G60</f>
        <v>0</v>
      </c>
      <c r="O65" s="500">
        <f>'P&amp;L - Concept B1 - NCLH'!H60</f>
        <v>0</v>
      </c>
      <c r="P65" s="500">
        <f>'P&amp;L - Concept B1 - NCLH'!I60</f>
        <v>0</v>
      </c>
      <c r="Q65" s="500">
        <f>'P&amp;L - Concept B1 - NCLH'!J60</f>
        <v>0</v>
      </c>
      <c r="R65" s="500">
        <f>'P&amp;L - Concept B1 - NCLH'!K60</f>
        <v>0</v>
      </c>
      <c r="S65" s="500">
        <f>'P&amp;L - Concept B1 - NCLH'!L60</f>
        <v>0</v>
      </c>
      <c r="T65" s="500">
        <f>'P&amp;L - Concept B1 - NCLH'!M60</f>
        <v>0</v>
      </c>
      <c r="U65" s="500">
        <f>'P&amp;L - Concept B1 - NCLH'!N60</f>
        <v>0</v>
      </c>
      <c r="V65" s="500">
        <f>'P&amp;L - Concept B1 - NCLH'!O60</f>
        <v>0</v>
      </c>
      <c r="W65" s="500">
        <f>'P&amp;L - Concept B1 - NCLH'!P60</f>
        <v>0</v>
      </c>
      <c r="X65" s="500">
        <f>'P&amp;L - Concept B1 - NCLH'!Q60</f>
        <v>0</v>
      </c>
      <c r="Y65" s="500">
        <f>'P&amp;L - Concept B1 - NCLH'!R60</f>
        <v>0</v>
      </c>
      <c r="Z65" s="500">
        <f>'P&amp;L - Concept B1 - NCLH'!S60</f>
        <v>0</v>
      </c>
      <c r="AA65" s="500">
        <f>'P&amp;L - Concept B1 - NCLH'!T60</f>
        <v>0</v>
      </c>
      <c r="AB65" s="500">
        <f>'P&amp;L - Concept B1 - NCLH'!U60</f>
        <v>0</v>
      </c>
      <c r="AC65" s="500">
        <f>'P&amp;L - Concept B1 - NCLH'!V60</f>
        <v>0</v>
      </c>
      <c r="AD65" s="500">
        <f>'P&amp;L - Concept B1 - NCLH'!W60</f>
        <v>0</v>
      </c>
      <c r="AE65" s="500">
        <f>'P&amp;L - Concept B1 - NCLH'!X60</f>
        <v>0</v>
      </c>
      <c r="AF65" s="167" t="str">
        <f>'P&amp;L - Concept B1 - NCLH'!Y60</f>
        <v>cost recovery assumed</v>
      </c>
    </row>
    <row r="66" spans="1:32" s="18" customFormat="1">
      <c r="A66" s="54"/>
      <c r="B66" s="277"/>
      <c r="C66" s="74"/>
      <c r="K66" s="492"/>
      <c r="L66" s="313"/>
      <c r="M66" s="313"/>
      <c r="N66" s="313"/>
      <c r="O66" s="313"/>
      <c r="P66" s="313"/>
      <c r="Q66" s="313"/>
      <c r="R66" s="313"/>
      <c r="S66" s="313"/>
      <c r="T66" s="313"/>
      <c r="U66" s="313"/>
      <c r="V66" s="313"/>
      <c r="W66" s="313"/>
      <c r="X66" s="313"/>
      <c r="Y66" s="313"/>
      <c r="Z66" s="313"/>
      <c r="AA66" s="313"/>
      <c r="AB66" s="313"/>
      <c r="AC66" s="313"/>
      <c r="AD66" s="313"/>
      <c r="AE66" s="313"/>
    </row>
    <row r="67" spans="1:32" s="18" customFormat="1">
      <c r="A67" s="293" t="s">
        <v>2</v>
      </c>
      <c r="B67" s="277"/>
      <c r="C67" s="74"/>
      <c r="K67" s="492"/>
      <c r="L67" s="313"/>
      <c r="M67" s="313"/>
      <c r="N67" s="313"/>
      <c r="O67" s="313"/>
      <c r="P67" s="313"/>
      <c r="Q67" s="313"/>
      <c r="R67" s="313"/>
      <c r="S67" s="313"/>
      <c r="T67" s="313"/>
      <c r="U67" s="313"/>
      <c r="V67" s="313"/>
      <c r="W67" s="313"/>
      <c r="X67" s="313"/>
      <c r="Y67" s="313"/>
      <c r="Z67" s="313"/>
      <c r="AA67" s="313"/>
      <c r="AB67" s="313"/>
      <c r="AC67" s="313"/>
      <c r="AD67" s="313"/>
      <c r="AE67" s="313"/>
    </row>
    <row r="68" spans="1:32" s="96" customFormat="1">
      <c r="A68" s="54" t="s">
        <v>290</v>
      </c>
      <c r="B68" s="435">
        <v>500</v>
      </c>
      <c r="C68" s="487"/>
      <c r="K68" s="486">
        <f>'P&amp;L - Concept B1 - NCLH'!D63</f>
        <v>0</v>
      </c>
      <c r="L68" s="313">
        <f>'P&amp;L - Concept B1 - NCLH'!E63</f>
        <v>0</v>
      </c>
      <c r="M68" s="313">
        <f>'P&amp;L - Concept B1 - NCLH'!F63</f>
        <v>0</v>
      </c>
      <c r="N68" s="313">
        <f>'P&amp;L - Concept B1 - NCLH'!G63</f>
        <v>500</v>
      </c>
      <c r="O68" s="313">
        <f>'P&amp;L - Concept B1 - NCLH'!H63</f>
        <v>500</v>
      </c>
      <c r="P68" s="313">
        <f>'P&amp;L - Concept B1 - NCLH'!I63</f>
        <v>500</v>
      </c>
      <c r="Q68" s="313">
        <f>'P&amp;L - Concept B1 - NCLH'!J63</f>
        <v>500</v>
      </c>
      <c r="R68" s="313">
        <f>'P&amp;L - Concept B1 - NCLH'!K63</f>
        <v>500</v>
      </c>
      <c r="S68" s="313">
        <f>'P&amp;L - Concept B1 - NCLH'!L63</f>
        <v>500</v>
      </c>
      <c r="T68" s="313">
        <f>'P&amp;L - Concept B1 - NCLH'!M63</f>
        <v>500</v>
      </c>
      <c r="U68" s="313">
        <f>'P&amp;L - Concept B1 - NCLH'!N63</f>
        <v>500</v>
      </c>
      <c r="V68" s="313">
        <f>'P&amp;L - Concept B1 - NCLH'!O63</f>
        <v>500</v>
      </c>
      <c r="W68" s="313">
        <f>'P&amp;L - Concept B1 - NCLH'!P63</f>
        <v>500</v>
      </c>
      <c r="X68" s="313">
        <f>'P&amp;L - Concept B1 - NCLH'!Q63</f>
        <v>500</v>
      </c>
      <c r="Y68" s="313">
        <f>'P&amp;L - Concept B1 - NCLH'!R63</f>
        <v>500</v>
      </c>
      <c r="Z68" s="313">
        <f>'P&amp;L - Concept B1 - NCLH'!S63</f>
        <v>500</v>
      </c>
      <c r="AA68" s="313">
        <f>'P&amp;L - Concept B1 - NCLH'!T63</f>
        <v>500</v>
      </c>
      <c r="AB68" s="313">
        <f>'P&amp;L - Concept B1 - NCLH'!U63</f>
        <v>500</v>
      </c>
      <c r="AC68" s="313">
        <f>'P&amp;L - Concept B1 - NCLH'!V63</f>
        <v>500</v>
      </c>
      <c r="AD68" s="313">
        <f>'P&amp;L - Concept B1 - NCLH'!W63</f>
        <v>500</v>
      </c>
      <c r="AE68" s="313">
        <f>'P&amp;L - Concept B1 - NCLH'!X63</f>
        <v>500</v>
      </c>
    </row>
    <row r="69" spans="1:32" s="96" customFormat="1">
      <c r="A69" s="54" t="s">
        <v>210</v>
      </c>
      <c r="B69" s="487"/>
      <c r="C69" s="487"/>
      <c r="K69" s="486">
        <f>'P&amp;L - Concept B1 - NCLH'!D65</f>
        <v>0</v>
      </c>
      <c r="L69" s="313">
        <f>'P&amp;L - Concept B1 - NCLH'!E65</f>
        <v>0</v>
      </c>
      <c r="M69" s="313">
        <f>'P&amp;L - Concept B1 - NCLH'!F65</f>
        <v>1</v>
      </c>
      <c r="N69" s="313">
        <f>'P&amp;L - Concept B1 - NCLH'!G65</f>
        <v>2</v>
      </c>
      <c r="O69" s="313">
        <f>'P&amp;L - Concept B1 - NCLH'!H65</f>
        <v>2</v>
      </c>
      <c r="P69" s="313">
        <f>'P&amp;L - Concept B1 - NCLH'!I65</f>
        <v>2</v>
      </c>
      <c r="Q69" s="313">
        <f>'P&amp;L - Concept B1 - NCLH'!J65</f>
        <v>3</v>
      </c>
      <c r="R69" s="313">
        <f>'P&amp;L - Concept B1 - NCLH'!K65</f>
        <v>3</v>
      </c>
      <c r="S69" s="313">
        <f>'P&amp;L - Concept B1 - NCLH'!L65</f>
        <v>3</v>
      </c>
      <c r="T69" s="313">
        <f>'P&amp;L - Concept B1 - NCLH'!M65</f>
        <v>3</v>
      </c>
      <c r="U69" s="313">
        <f>'P&amp;L - Concept B1 - NCLH'!N65</f>
        <v>3</v>
      </c>
      <c r="V69" s="313">
        <f>'P&amp;L - Concept B1 - NCLH'!O65</f>
        <v>4</v>
      </c>
      <c r="W69" s="313">
        <f>'P&amp;L - Concept B1 - NCLH'!P65</f>
        <v>4</v>
      </c>
      <c r="X69" s="313">
        <f>'P&amp;L - Concept B1 - NCLH'!Q65</f>
        <v>4</v>
      </c>
      <c r="Y69" s="313">
        <f>'P&amp;L - Concept B1 - NCLH'!R65</f>
        <v>4</v>
      </c>
      <c r="Z69" s="313">
        <f>'P&amp;L - Concept B1 - NCLH'!S65</f>
        <v>4</v>
      </c>
      <c r="AA69" s="313">
        <f>'P&amp;L - Concept B1 - NCLH'!T65</f>
        <v>5</v>
      </c>
      <c r="AB69" s="313">
        <f>'P&amp;L - Concept B1 - NCLH'!U65</f>
        <v>5</v>
      </c>
      <c r="AC69" s="313">
        <f>'P&amp;L - Concept B1 - NCLH'!V65</f>
        <v>5</v>
      </c>
      <c r="AD69" s="313">
        <f>'P&amp;L - Concept B1 - NCLH'!W65</f>
        <v>5</v>
      </c>
      <c r="AE69" s="313">
        <f>'P&amp;L - Concept B1 - NCLH'!X65</f>
        <v>5</v>
      </c>
    </row>
    <row r="70" spans="1:32" s="96" customFormat="1">
      <c r="A70" s="96" t="s">
        <v>211</v>
      </c>
      <c r="K70" s="486">
        <f>'P&amp;L - Concept B1 - NCLH'!D66</f>
        <v>0</v>
      </c>
      <c r="L70" s="313">
        <f>'P&amp;L - Concept B1 - NCLH'!E66</f>
        <v>0</v>
      </c>
      <c r="M70" s="313">
        <f>'P&amp;L - Concept B1 - NCLH'!F66</f>
        <v>3</v>
      </c>
      <c r="N70" s="313">
        <f>'P&amp;L - Concept B1 - NCLH'!G66</f>
        <v>3</v>
      </c>
      <c r="O70" s="313">
        <f>'P&amp;L - Concept B1 - NCLH'!H66</f>
        <v>3</v>
      </c>
      <c r="P70" s="313">
        <f>'P&amp;L - Concept B1 - NCLH'!I66</f>
        <v>3</v>
      </c>
      <c r="Q70" s="313">
        <f>'P&amp;L - Concept B1 - NCLH'!J66</f>
        <v>3</v>
      </c>
      <c r="R70" s="313">
        <f>'P&amp;L - Concept B1 - NCLH'!K66</f>
        <v>3</v>
      </c>
      <c r="S70" s="313">
        <f>'P&amp;L - Concept B1 - NCLH'!L66</f>
        <v>3</v>
      </c>
      <c r="T70" s="313">
        <f>'P&amp;L - Concept B1 - NCLH'!M66</f>
        <v>3</v>
      </c>
      <c r="U70" s="313">
        <f>'P&amp;L - Concept B1 - NCLH'!N66</f>
        <v>3</v>
      </c>
      <c r="V70" s="313">
        <f>'P&amp;L - Concept B1 - NCLH'!O66</f>
        <v>3</v>
      </c>
      <c r="W70" s="313">
        <f>'P&amp;L - Concept B1 - NCLH'!P66</f>
        <v>3</v>
      </c>
      <c r="X70" s="313">
        <f>'P&amp;L - Concept B1 - NCLH'!Q66</f>
        <v>3</v>
      </c>
      <c r="Y70" s="313">
        <f>'P&amp;L - Concept B1 - NCLH'!R66</f>
        <v>3</v>
      </c>
      <c r="Z70" s="313">
        <f>'P&amp;L - Concept B1 - NCLH'!S66</f>
        <v>3</v>
      </c>
      <c r="AA70" s="313">
        <f>'P&amp;L - Concept B1 - NCLH'!T66</f>
        <v>3</v>
      </c>
      <c r="AB70" s="313">
        <f>'P&amp;L - Concept B1 - NCLH'!U66</f>
        <v>3</v>
      </c>
      <c r="AC70" s="313">
        <f>'P&amp;L - Concept B1 - NCLH'!V66</f>
        <v>3</v>
      </c>
      <c r="AD70" s="313">
        <f>'P&amp;L - Concept B1 - NCLH'!W66</f>
        <v>3</v>
      </c>
      <c r="AE70" s="313">
        <f>'P&amp;L - Concept B1 - NCLH'!X66</f>
        <v>3</v>
      </c>
    </row>
    <row r="71" spans="1:32" s="96" customFormat="1">
      <c r="K71" s="486"/>
      <c r="L71" s="435"/>
      <c r="M71" s="435"/>
      <c r="N71" s="435"/>
      <c r="O71" s="435"/>
      <c r="P71" s="435"/>
      <c r="Q71" s="435"/>
      <c r="R71" s="435"/>
      <c r="S71" s="435"/>
      <c r="T71" s="435"/>
      <c r="U71" s="435"/>
      <c r="V71" s="435"/>
      <c r="W71" s="435"/>
      <c r="X71" s="435"/>
      <c r="Y71" s="435"/>
      <c r="Z71" s="435"/>
      <c r="AA71" s="435"/>
      <c r="AB71" s="435"/>
      <c r="AC71" s="435"/>
      <c r="AD71" s="435"/>
      <c r="AE71" s="435"/>
    </row>
    <row r="72" spans="1:32" s="18" customFormat="1">
      <c r="A72" s="28"/>
      <c r="K72" s="486"/>
      <c r="L72" s="331"/>
      <c r="M72" s="333"/>
      <c r="N72" s="331"/>
      <c r="O72" s="331"/>
      <c r="P72" s="331"/>
      <c r="Q72" s="331"/>
      <c r="R72" s="331"/>
      <c r="S72" s="331"/>
      <c r="T72" s="331"/>
      <c r="U72" s="331"/>
      <c r="V72" s="331"/>
      <c r="W72" s="331"/>
      <c r="X72" s="331"/>
      <c r="Y72" s="331"/>
      <c r="Z72" s="331"/>
      <c r="AA72" s="331"/>
      <c r="AB72" s="331"/>
      <c r="AC72" s="331"/>
      <c r="AD72" s="331"/>
      <c r="AE72" s="331"/>
    </row>
    <row r="73" spans="1:32">
      <c r="A73" s="168" t="s">
        <v>131</v>
      </c>
      <c r="B73" s="168"/>
      <c r="C73" s="169"/>
      <c r="D73" s="170"/>
      <c r="E73" s="171"/>
      <c r="F73" s="171"/>
      <c r="G73" s="171"/>
      <c r="H73" s="171"/>
      <c r="I73" s="168"/>
      <c r="J73" s="171"/>
      <c r="K73" s="681"/>
      <c r="L73" s="314"/>
      <c r="M73" s="314"/>
      <c r="N73" s="314"/>
      <c r="O73" s="314"/>
      <c r="P73" s="314"/>
      <c r="Q73" s="314"/>
      <c r="R73" s="314"/>
      <c r="S73" s="314"/>
      <c r="T73" s="314"/>
      <c r="U73" s="314"/>
      <c r="V73" s="314"/>
      <c r="W73" s="314"/>
      <c r="X73" s="314"/>
      <c r="Y73" s="314"/>
      <c r="Z73" s="314"/>
      <c r="AA73" s="314"/>
      <c r="AB73" s="314"/>
      <c r="AC73" s="314"/>
      <c r="AD73" s="314"/>
      <c r="AE73" s="314"/>
    </row>
    <row r="74" spans="1:32" s="252" customFormat="1">
      <c r="A74" s="183"/>
      <c r="B74" s="183"/>
      <c r="C74" s="364"/>
      <c r="D74" s="365"/>
      <c r="E74" s="184"/>
      <c r="F74" s="184"/>
      <c r="G74" s="184"/>
      <c r="H74" s="184"/>
      <c r="I74" s="183"/>
      <c r="J74" s="184"/>
      <c r="K74" s="664"/>
      <c r="L74" s="366"/>
      <c r="M74" s="366"/>
      <c r="N74" s="366"/>
      <c r="O74" s="366"/>
      <c r="P74" s="366"/>
      <c r="Q74" s="366"/>
      <c r="R74" s="366"/>
      <c r="S74" s="366"/>
      <c r="T74" s="366"/>
      <c r="U74" s="366"/>
      <c r="V74" s="366"/>
      <c r="W74" s="366"/>
      <c r="X74" s="366"/>
      <c r="Y74" s="366"/>
      <c r="Z74" s="366"/>
      <c r="AA74" s="366"/>
      <c r="AB74" s="366"/>
      <c r="AC74" s="366"/>
      <c r="AD74" s="366"/>
      <c r="AE74" s="366"/>
    </row>
    <row r="75" spans="1:32">
      <c r="A75" s="41" t="s">
        <v>13</v>
      </c>
      <c r="B75" s="41"/>
      <c r="C75" s="105"/>
      <c r="D75" s="106"/>
      <c r="E75" s="37"/>
      <c r="F75" s="37"/>
      <c r="G75" s="37"/>
      <c r="H75" s="37"/>
      <c r="I75" s="41"/>
      <c r="J75" s="37"/>
      <c r="K75" s="683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</row>
    <row r="76" spans="1:32">
      <c r="A76" s="96" t="s">
        <v>418</v>
      </c>
      <c r="B76" s="735" t="s">
        <v>12</v>
      </c>
      <c r="C76" s="663">
        <v>75000</v>
      </c>
      <c r="D76" s="736">
        <f t="shared" ref="D76:D77" si="0">C76/2080</f>
        <v>36.057692307692307</v>
      </c>
      <c r="E76" s="663">
        <v>0</v>
      </c>
      <c r="F76" s="663">
        <f>(C76*$F$13)</f>
        <v>30000</v>
      </c>
      <c r="G76" s="663">
        <f>SUM(C76,E76:F76)</f>
        <v>105000</v>
      </c>
      <c r="H76" s="663"/>
      <c r="I76" s="736"/>
      <c r="J76" s="663"/>
      <c r="K76" s="683">
        <v>0</v>
      </c>
      <c r="L76" s="665">
        <v>0</v>
      </c>
      <c r="M76" s="666">
        <f>G76</f>
        <v>105000</v>
      </c>
      <c r="N76" s="666">
        <f>($G$76*L11)</f>
        <v>107100</v>
      </c>
      <c r="O76" s="666">
        <f t="shared" ref="O76:AE76" si="1">($G$76*M11)</f>
        <v>109242</v>
      </c>
      <c r="P76" s="666">
        <f t="shared" si="1"/>
        <v>111426.84</v>
      </c>
      <c r="Q76" s="666">
        <f t="shared" si="1"/>
        <v>113655.3768</v>
      </c>
      <c r="R76" s="666">
        <f t="shared" si="1"/>
        <v>115928.48433600001</v>
      </c>
      <c r="S76" s="666">
        <f t="shared" si="1"/>
        <v>118247.05402272001</v>
      </c>
      <c r="T76" s="666">
        <f t="shared" si="1"/>
        <v>120611.9951031744</v>
      </c>
      <c r="U76" s="666">
        <f t="shared" si="1"/>
        <v>123024.2350052379</v>
      </c>
      <c r="V76" s="666">
        <f t="shared" si="1"/>
        <v>125484.71970534266</v>
      </c>
      <c r="W76" s="666">
        <f t="shared" si="1"/>
        <v>127994.41409944952</v>
      </c>
      <c r="X76" s="666">
        <f t="shared" si="1"/>
        <v>130554.30238143851</v>
      </c>
      <c r="Y76" s="666">
        <f t="shared" si="1"/>
        <v>133165.38842906727</v>
      </c>
      <c r="Z76" s="666">
        <f t="shared" si="1"/>
        <v>135828.69619764862</v>
      </c>
      <c r="AA76" s="666">
        <f t="shared" si="1"/>
        <v>138545.27012160158</v>
      </c>
      <c r="AB76" s="666">
        <f t="shared" si="1"/>
        <v>141316.17552403364</v>
      </c>
      <c r="AC76" s="666">
        <f t="shared" si="1"/>
        <v>144142.4990345143</v>
      </c>
      <c r="AD76" s="666">
        <f t="shared" si="1"/>
        <v>147025.34901520461</v>
      </c>
      <c r="AE76" s="666">
        <f t="shared" si="1"/>
        <v>149965.8559955087</v>
      </c>
    </row>
    <row r="77" spans="1:32">
      <c r="A77" s="737" t="s">
        <v>417</v>
      </c>
      <c r="B77" s="738" t="s">
        <v>12</v>
      </c>
      <c r="C77" s="739">
        <v>35000</v>
      </c>
      <c r="D77" s="740">
        <f t="shared" si="0"/>
        <v>16.826923076923077</v>
      </c>
      <c r="E77" s="739">
        <v>0</v>
      </c>
      <c r="F77" s="739">
        <f t="shared" ref="F77" si="2">(C77*$F$13)</f>
        <v>14000</v>
      </c>
      <c r="G77" s="739">
        <f t="shared" ref="G77" si="3">SUM(C77,E77:F77)</f>
        <v>49000</v>
      </c>
      <c r="H77" s="739"/>
      <c r="I77" s="740"/>
      <c r="J77" s="739"/>
      <c r="K77" s="741">
        <v>0</v>
      </c>
      <c r="L77" s="742">
        <f>G77*0.25</f>
        <v>12250</v>
      </c>
      <c r="M77" s="742">
        <f>G77*0.5</f>
        <v>24500</v>
      </c>
      <c r="N77" s="742">
        <f>($G$77*0.5*L11)</f>
        <v>24990</v>
      </c>
      <c r="O77" s="742">
        <f t="shared" ref="O77:AE77" si="4">($G$77*0.5*M11)</f>
        <v>25489.8</v>
      </c>
      <c r="P77" s="742">
        <f t="shared" si="4"/>
        <v>25999.595999999998</v>
      </c>
      <c r="Q77" s="742">
        <f t="shared" si="4"/>
        <v>26519.587919999998</v>
      </c>
      <c r="R77" s="742">
        <f t="shared" si="4"/>
        <v>27049.979678399999</v>
      </c>
      <c r="S77" s="742">
        <f t="shared" si="4"/>
        <v>27590.979271968001</v>
      </c>
      <c r="T77" s="742">
        <f t="shared" si="4"/>
        <v>28142.798857407361</v>
      </c>
      <c r="U77" s="742">
        <f t="shared" si="4"/>
        <v>28705.654834555509</v>
      </c>
      <c r="V77" s="742">
        <f t="shared" si="4"/>
        <v>29279.767931246621</v>
      </c>
      <c r="W77" s="742">
        <f t="shared" si="4"/>
        <v>29865.363289871555</v>
      </c>
      <c r="X77" s="742">
        <f t="shared" si="4"/>
        <v>30462.670555668985</v>
      </c>
      <c r="Y77" s="742">
        <f t="shared" si="4"/>
        <v>31071.923966782364</v>
      </c>
      <c r="Z77" s="742">
        <f t="shared" si="4"/>
        <v>31693.362446118008</v>
      </c>
      <c r="AA77" s="742">
        <f t="shared" si="4"/>
        <v>32327.229695040372</v>
      </c>
      <c r="AB77" s="742">
        <f t="shared" si="4"/>
        <v>32973.774288941182</v>
      </c>
      <c r="AC77" s="742">
        <f t="shared" si="4"/>
        <v>33633.249774720003</v>
      </c>
      <c r="AD77" s="742">
        <f t="shared" si="4"/>
        <v>34305.914770214411</v>
      </c>
      <c r="AE77" s="742">
        <f t="shared" si="4"/>
        <v>34992.0330656187</v>
      </c>
    </row>
    <row r="78" spans="1:32" s="56" customFormat="1" ht="14.25">
      <c r="A78" s="164" t="s">
        <v>416</v>
      </c>
      <c r="B78" s="164"/>
      <c r="C78" s="667">
        <f>SUM(C76:C77)</f>
        <v>110000</v>
      </c>
      <c r="D78" s="667"/>
      <c r="E78" s="667">
        <f>SUM(E76:E77)</f>
        <v>0</v>
      </c>
      <c r="F78" s="667">
        <f>SUM(F76:F77)</f>
        <v>44000</v>
      </c>
      <c r="G78" s="667">
        <f>SUM(G76:G77)</f>
        <v>154000</v>
      </c>
      <c r="H78" s="667"/>
      <c r="I78" s="668"/>
      <c r="J78" s="667"/>
      <c r="K78" s="685">
        <f>SUMIF($B76:$B77,"FT",K76:K77)</f>
        <v>0</v>
      </c>
      <c r="L78" s="669">
        <f t="shared" ref="L78:AE78" si="5">SUM(L76:L77)</f>
        <v>12250</v>
      </c>
      <c r="M78" s="669">
        <f t="shared" si="5"/>
        <v>129500</v>
      </c>
      <c r="N78" s="669">
        <f t="shared" si="5"/>
        <v>132090</v>
      </c>
      <c r="O78" s="669">
        <f t="shared" si="5"/>
        <v>134731.79999999999</v>
      </c>
      <c r="P78" s="669">
        <f t="shared" si="5"/>
        <v>137426.43599999999</v>
      </c>
      <c r="Q78" s="669">
        <f t="shared" si="5"/>
        <v>140174.96471999999</v>
      </c>
      <c r="R78" s="669">
        <f t="shared" si="5"/>
        <v>142978.4640144</v>
      </c>
      <c r="S78" s="669">
        <f t="shared" si="5"/>
        <v>145838.03329468801</v>
      </c>
      <c r="T78" s="669">
        <f t="shared" si="5"/>
        <v>148754.79396058177</v>
      </c>
      <c r="U78" s="669">
        <f t="shared" si="5"/>
        <v>151729.88983979341</v>
      </c>
      <c r="V78" s="669">
        <f t="shared" si="5"/>
        <v>154764.48763658927</v>
      </c>
      <c r="W78" s="669">
        <f t="shared" si="5"/>
        <v>157859.77738932107</v>
      </c>
      <c r="X78" s="669">
        <f t="shared" si="5"/>
        <v>161016.97293710749</v>
      </c>
      <c r="Y78" s="669">
        <f t="shared" si="5"/>
        <v>164237.31239584964</v>
      </c>
      <c r="Z78" s="669">
        <f t="shared" si="5"/>
        <v>167522.05864376662</v>
      </c>
      <c r="AA78" s="669">
        <f t="shared" si="5"/>
        <v>170872.49981664197</v>
      </c>
      <c r="AB78" s="669">
        <f t="shared" si="5"/>
        <v>174289.94981297481</v>
      </c>
      <c r="AC78" s="669">
        <f t="shared" si="5"/>
        <v>177775.7488092343</v>
      </c>
      <c r="AD78" s="669">
        <f t="shared" si="5"/>
        <v>181331.26378541903</v>
      </c>
      <c r="AE78" s="669">
        <f t="shared" si="5"/>
        <v>184957.88906112738</v>
      </c>
    </row>
    <row r="79" spans="1:32" s="56" customFormat="1" ht="14.25">
      <c r="A79" s="164"/>
      <c r="B79" s="164"/>
      <c r="C79" s="667"/>
      <c r="D79" s="667"/>
      <c r="E79" s="667"/>
      <c r="F79" s="667"/>
      <c r="G79" s="667"/>
      <c r="H79" s="667"/>
      <c r="I79" s="668"/>
      <c r="J79" s="667"/>
      <c r="K79" s="685"/>
      <c r="L79" s="669"/>
      <c r="M79" s="669"/>
      <c r="N79" s="669"/>
      <c r="O79" s="669"/>
      <c r="P79" s="669"/>
      <c r="Q79" s="669"/>
      <c r="R79" s="669"/>
      <c r="S79" s="669"/>
      <c r="T79" s="669"/>
      <c r="U79" s="669"/>
      <c r="V79" s="669"/>
      <c r="W79" s="669"/>
      <c r="X79" s="669"/>
      <c r="Y79" s="669"/>
      <c r="Z79" s="669"/>
      <c r="AA79" s="669"/>
      <c r="AB79" s="669"/>
      <c r="AC79" s="669"/>
      <c r="AD79" s="669"/>
      <c r="AE79" s="669"/>
    </row>
    <row r="80" spans="1:32">
      <c r="A80" s="37" t="s">
        <v>411</v>
      </c>
      <c r="B80" s="37"/>
      <c r="C80" s="57"/>
      <c r="E80" s="57"/>
      <c r="F80" s="57"/>
      <c r="G80" s="57"/>
      <c r="H80" s="57"/>
      <c r="I80" s="43"/>
      <c r="J80" s="42"/>
      <c r="K80" s="743">
        <f t="shared" ref="K80:AE80" si="6">COUNTIF(K76:K77,"&gt;100")</f>
        <v>0</v>
      </c>
      <c r="L80" s="496">
        <f t="shared" si="6"/>
        <v>1</v>
      </c>
      <c r="M80" s="496">
        <f t="shared" si="6"/>
        <v>2</v>
      </c>
      <c r="N80" s="496">
        <f t="shared" si="6"/>
        <v>2</v>
      </c>
      <c r="O80" s="496">
        <f t="shared" si="6"/>
        <v>2</v>
      </c>
      <c r="P80" s="496">
        <f t="shared" si="6"/>
        <v>2</v>
      </c>
      <c r="Q80" s="496">
        <f t="shared" si="6"/>
        <v>2</v>
      </c>
      <c r="R80" s="496">
        <f t="shared" si="6"/>
        <v>2</v>
      </c>
      <c r="S80" s="496">
        <f t="shared" si="6"/>
        <v>2</v>
      </c>
      <c r="T80" s="496">
        <f t="shared" si="6"/>
        <v>2</v>
      </c>
      <c r="U80" s="496">
        <f t="shared" si="6"/>
        <v>2</v>
      </c>
      <c r="V80" s="496">
        <f t="shared" si="6"/>
        <v>2</v>
      </c>
      <c r="W80" s="496">
        <f t="shared" si="6"/>
        <v>2</v>
      </c>
      <c r="X80" s="496">
        <f t="shared" si="6"/>
        <v>2</v>
      </c>
      <c r="Y80" s="496">
        <f t="shared" si="6"/>
        <v>2</v>
      </c>
      <c r="Z80" s="496">
        <f t="shared" si="6"/>
        <v>2</v>
      </c>
      <c r="AA80" s="496">
        <f t="shared" si="6"/>
        <v>2</v>
      </c>
      <c r="AB80" s="496">
        <f t="shared" si="6"/>
        <v>2</v>
      </c>
      <c r="AC80" s="496">
        <f t="shared" si="6"/>
        <v>2</v>
      </c>
      <c r="AD80" s="496">
        <f t="shared" si="6"/>
        <v>2</v>
      </c>
      <c r="AE80" s="496">
        <f t="shared" si="6"/>
        <v>2</v>
      </c>
      <c r="AF80" s="744"/>
    </row>
    <row r="81" spans="1:35">
      <c r="A81" s="745" t="s">
        <v>412</v>
      </c>
      <c r="B81" s="745"/>
      <c r="C81" s="746"/>
      <c r="D81" s="116"/>
      <c r="E81" s="746"/>
      <c r="F81" s="746"/>
      <c r="G81" s="746"/>
      <c r="H81" s="746"/>
      <c r="I81" s="747"/>
      <c r="J81" s="748"/>
      <c r="K81" s="749">
        <f t="shared" ref="K81" si="7">K82-K80</f>
        <v>0</v>
      </c>
      <c r="L81" s="750">
        <v>0</v>
      </c>
      <c r="M81" s="750">
        <v>0</v>
      </c>
      <c r="N81" s="750">
        <v>0</v>
      </c>
      <c r="O81" s="750">
        <v>0</v>
      </c>
      <c r="P81" s="750">
        <v>0</v>
      </c>
      <c r="Q81" s="750">
        <v>0</v>
      </c>
      <c r="R81" s="750">
        <v>0</v>
      </c>
      <c r="S81" s="750">
        <v>0</v>
      </c>
      <c r="T81" s="750">
        <v>0</v>
      </c>
      <c r="U81" s="750">
        <v>0</v>
      </c>
      <c r="V81" s="750">
        <v>0</v>
      </c>
      <c r="W81" s="750">
        <v>0</v>
      </c>
      <c r="X81" s="750">
        <v>0</v>
      </c>
      <c r="Y81" s="750">
        <v>0</v>
      </c>
      <c r="Z81" s="750">
        <v>0</v>
      </c>
      <c r="AA81" s="750">
        <v>0</v>
      </c>
      <c r="AB81" s="750">
        <v>0</v>
      </c>
      <c r="AC81" s="750">
        <v>0</v>
      </c>
      <c r="AD81" s="750">
        <v>0</v>
      </c>
      <c r="AE81" s="750">
        <v>0</v>
      </c>
    </row>
    <row r="82" spans="1:35" s="56" customFormat="1" ht="14.25">
      <c r="A82" s="164" t="s">
        <v>413</v>
      </c>
      <c r="B82" s="164"/>
      <c r="C82" s="75"/>
      <c r="D82" s="173"/>
      <c r="E82" s="75"/>
      <c r="F82" s="75"/>
      <c r="G82" s="75"/>
      <c r="H82" s="75"/>
      <c r="I82" s="174"/>
      <c r="J82" s="181"/>
      <c r="K82" s="751">
        <f>COUNTIF(K76:K77,"&gt;0")</f>
        <v>0</v>
      </c>
      <c r="L82" s="752">
        <f>SUM(L80:L81)</f>
        <v>1</v>
      </c>
      <c r="M82" s="752">
        <f t="shared" ref="M82:AE82" si="8">SUM(M80:M81)</f>
        <v>2</v>
      </c>
      <c r="N82" s="752">
        <f t="shared" si="8"/>
        <v>2</v>
      </c>
      <c r="O82" s="752">
        <f t="shared" si="8"/>
        <v>2</v>
      </c>
      <c r="P82" s="752">
        <f t="shared" si="8"/>
        <v>2</v>
      </c>
      <c r="Q82" s="752">
        <f t="shared" si="8"/>
        <v>2</v>
      </c>
      <c r="R82" s="752">
        <f t="shared" si="8"/>
        <v>2</v>
      </c>
      <c r="S82" s="752">
        <f t="shared" si="8"/>
        <v>2</v>
      </c>
      <c r="T82" s="752">
        <f t="shared" si="8"/>
        <v>2</v>
      </c>
      <c r="U82" s="752">
        <f t="shared" si="8"/>
        <v>2</v>
      </c>
      <c r="V82" s="752">
        <f t="shared" si="8"/>
        <v>2</v>
      </c>
      <c r="W82" s="752">
        <f t="shared" si="8"/>
        <v>2</v>
      </c>
      <c r="X82" s="752">
        <f t="shared" si="8"/>
        <v>2</v>
      </c>
      <c r="Y82" s="752">
        <f t="shared" si="8"/>
        <v>2</v>
      </c>
      <c r="Z82" s="752">
        <f t="shared" si="8"/>
        <v>2</v>
      </c>
      <c r="AA82" s="752">
        <f t="shared" si="8"/>
        <v>2</v>
      </c>
      <c r="AB82" s="752">
        <f t="shared" si="8"/>
        <v>2</v>
      </c>
      <c r="AC82" s="752">
        <f t="shared" si="8"/>
        <v>2</v>
      </c>
      <c r="AD82" s="752">
        <f t="shared" si="8"/>
        <v>2</v>
      </c>
      <c r="AE82" s="752">
        <f t="shared" si="8"/>
        <v>2</v>
      </c>
    </row>
    <row r="83" spans="1:35" s="56" customFormat="1" ht="14.25">
      <c r="A83" s="164"/>
      <c r="B83" s="164"/>
      <c r="C83" s="75"/>
      <c r="D83" s="173"/>
      <c r="E83" s="75"/>
      <c r="F83" s="75"/>
      <c r="G83" s="75"/>
      <c r="H83" s="75"/>
      <c r="I83" s="174"/>
      <c r="J83" s="181"/>
      <c r="K83" s="685"/>
      <c r="L83" s="315"/>
      <c r="M83" s="315"/>
      <c r="N83" s="315"/>
      <c r="O83" s="315"/>
      <c r="P83" s="315"/>
      <c r="Q83" s="315"/>
      <c r="R83" s="315"/>
      <c r="S83" s="315"/>
      <c r="T83" s="315"/>
      <c r="U83" s="315"/>
      <c r="V83" s="315"/>
      <c r="W83" s="315"/>
      <c r="X83" s="315"/>
      <c r="Y83" s="315"/>
      <c r="Z83" s="315"/>
      <c r="AA83" s="315"/>
      <c r="AB83" s="315"/>
      <c r="AC83" s="315"/>
      <c r="AD83" s="315"/>
      <c r="AE83" s="315"/>
    </row>
    <row r="84" spans="1:35">
      <c r="A84" s="48" t="s">
        <v>68</v>
      </c>
      <c r="B84" s="48"/>
      <c r="C84" s="77"/>
      <c r="D84" s="76"/>
      <c r="E84" s="57"/>
      <c r="F84" s="57"/>
      <c r="G84" s="77"/>
      <c r="H84" s="77"/>
      <c r="I84" s="50"/>
      <c r="J84" s="49"/>
      <c r="K84" s="683"/>
      <c r="L84" s="316"/>
      <c r="M84" s="316"/>
      <c r="N84" s="316"/>
      <c r="O84" s="316"/>
      <c r="P84" s="316"/>
      <c r="Q84" s="316"/>
      <c r="R84" s="316"/>
      <c r="S84" s="316"/>
      <c r="T84" s="316"/>
      <c r="U84" s="316"/>
      <c r="V84" s="316"/>
      <c r="W84" s="316"/>
      <c r="X84" s="316"/>
      <c r="Y84" s="316"/>
      <c r="Z84" s="316"/>
      <c r="AA84" s="316"/>
      <c r="AB84" s="316"/>
      <c r="AC84" s="316"/>
      <c r="AD84" s="316"/>
      <c r="AE84" s="316"/>
    </row>
    <row r="85" spans="1:35" s="68" customFormat="1" ht="14.25">
      <c r="A85" s="214" t="s">
        <v>80</v>
      </c>
      <c r="B85" s="189"/>
      <c r="C85" s="209"/>
      <c r="D85" s="210"/>
      <c r="E85" s="211"/>
      <c r="F85" s="211"/>
      <c r="G85" s="209"/>
      <c r="H85" s="209"/>
      <c r="I85" s="213"/>
      <c r="J85" s="212"/>
      <c r="K85" s="686"/>
      <c r="L85" s="317"/>
      <c r="M85" s="317"/>
      <c r="N85" s="317"/>
      <c r="O85" s="317"/>
      <c r="P85" s="317"/>
      <c r="Q85" s="317"/>
      <c r="R85" s="317"/>
      <c r="S85" s="317"/>
      <c r="T85" s="317"/>
      <c r="U85" s="317"/>
      <c r="V85" s="317"/>
      <c r="W85" s="317"/>
      <c r="X85" s="317"/>
      <c r="Y85" s="317"/>
      <c r="Z85" s="317"/>
      <c r="AA85" s="317"/>
      <c r="AB85" s="317"/>
      <c r="AC85" s="317"/>
      <c r="AD85" s="317"/>
      <c r="AE85" s="317"/>
    </row>
    <row r="86" spans="1:35">
      <c r="A86" s="37" t="s">
        <v>41</v>
      </c>
      <c r="B86" s="37"/>
      <c r="C86" s="110"/>
      <c r="D86" s="106"/>
      <c r="E86" s="57"/>
      <c r="F86" s="57"/>
      <c r="G86" s="57"/>
      <c r="H86" s="57"/>
      <c r="I86" s="51"/>
      <c r="J86" s="663"/>
      <c r="K86" s="683">
        <f>K$82*$J86*R$9</f>
        <v>0</v>
      </c>
      <c r="L86" s="666">
        <v>25000</v>
      </c>
      <c r="M86" s="666">
        <v>1000</v>
      </c>
      <c r="N86" s="666">
        <f>$M$86*L11</f>
        <v>1020</v>
      </c>
      <c r="O86" s="666">
        <f t="shared" ref="O86:AE86" si="9">$M$86*M11</f>
        <v>1040.4000000000001</v>
      </c>
      <c r="P86" s="666">
        <f t="shared" si="9"/>
        <v>1061.2079999999999</v>
      </c>
      <c r="Q86" s="666">
        <f t="shared" si="9"/>
        <v>1082.4321600000001</v>
      </c>
      <c r="R86" s="666">
        <f t="shared" si="9"/>
        <v>1104.0808032</v>
      </c>
      <c r="S86" s="666">
        <f t="shared" si="9"/>
        <v>1126.1624192640002</v>
      </c>
      <c r="T86" s="666">
        <f t="shared" si="9"/>
        <v>1148.68566764928</v>
      </c>
      <c r="U86" s="666">
        <f t="shared" si="9"/>
        <v>1171.6593810022657</v>
      </c>
      <c r="V86" s="666">
        <v>25000</v>
      </c>
      <c r="W86" s="666">
        <f t="shared" si="9"/>
        <v>1218.9944199947574</v>
      </c>
      <c r="X86" s="666">
        <f t="shared" si="9"/>
        <v>1243.3743083946524</v>
      </c>
      <c r="Y86" s="666">
        <f t="shared" si="9"/>
        <v>1268.2417945625455</v>
      </c>
      <c r="Z86" s="666">
        <f t="shared" si="9"/>
        <v>1293.6066304537962</v>
      </c>
      <c r="AA86" s="666">
        <f t="shared" si="9"/>
        <v>1319.4787630628723</v>
      </c>
      <c r="AB86" s="666">
        <f t="shared" si="9"/>
        <v>1345.8683383241298</v>
      </c>
      <c r="AC86" s="666">
        <f t="shared" si="9"/>
        <v>1372.7857050906125</v>
      </c>
      <c r="AD86" s="666">
        <f t="shared" si="9"/>
        <v>1400.2414191924249</v>
      </c>
      <c r="AE86" s="666">
        <f t="shared" si="9"/>
        <v>1428.2462475762734</v>
      </c>
    </row>
    <row r="87" spans="1:35">
      <c r="A87" s="37" t="s">
        <v>424</v>
      </c>
      <c r="B87" s="37"/>
      <c r="C87" s="110"/>
      <c r="D87" s="106"/>
      <c r="E87" s="57"/>
      <c r="F87" s="57"/>
      <c r="G87" s="57"/>
      <c r="H87" s="57"/>
      <c r="I87" s="51"/>
      <c r="J87" s="663"/>
      <c r="K87" s="683">
        <f>K$82*$J87*R$9</f>
        <v>0</v>
      </c>
      <c r="L87" s="666">
        <v>10000</v>
      </c>
      <c r="M87" s="666">
        <v>500</v>
      </c>
      <c r="N87" s="666">
        <f>$M$87*M11</f>
        <v>520.20000000000005</v>
      </c>
      <c r="O87" s="666">
        <f>$M$87*N11</f>
        <v>530.60399999999993</v>
      </c>
      <c r="P87" s="666">
        <f>$M$87*O11</f>
        <v>541.21608000000003</v>
      </c>
      <c r="Q87" s="666">
        <v>5000</v>
      </c>
      <c r="R87" s="666">
        <f>$M$87*Q11</f>
        <v>563.08120963200008</v>
      </c>
      <c r="S87" s="666">
        <f>$M$87*R11</f>
        <v>574.34283382464002</v>
      </c>
      <c r="T87" s="666">
        <f>$M$87*S11</f>
        <v>585.82969050113286</v>
      </c>
      <c r="U87" s="666">
        <f>$M$87*T11</f>
        <v>597.54628431115555</v>
      </c>
      <c r="V87" s="666">
        <v>5000</v>
      </c>
      <c r="W87" s="666">
        <f>$M$87*V11</f>
        <v>621.68715419732621</v>
      </c>
      <c r="X87" s="666">
        <f>$M$87*W11</f>
        <v>634.12089728127273</v>
      </c>
      <c r="Y87" s="666">
        <f>$M$87*X11</f>
        <v>646.80331522689812</v>
      </c>
      <c r="Z87" s="666">
        <f>$M$87*Y11</f>
        <v>659.73938153143615</v>
      </c>
      <c r="AA87" s="666">
        <v>5000</v>
      </c>
      <c r="AB87" s="666">
        <f>$M$87*AA11</f>
        <v>686.39285254530625</v>
      </c>
      <c r="AC87" s="666">
        <f>$M$87*AB11</f>
        <v>700.12070959621246</v>
      </c>
      <c r="AD87" s="666">
        <f>$M$87*AC11</f>
        <v>714.1231237881367</v>
      </c>
      <c r="AE87" s="666">
        <f>$M$87*AD11</f>
        <v>728.40558626389941</v>
      </c>
    </row>
    <row r="88" spans="1:35">
      <c r="A88" s="37" t="s">
        <v>42</v>
      </c>
      <c r="B88" s="37"/>
      <c r="C88" s="110"/>
      <c r="D88" s="106"/>
      <c r="E88" s="57"/>
      <c r="F88" s="57"/>
      <c r="G88" s="57"/>
      <c r="H88" s="57"/>
      <c r="I88" s="51"/>
      <c r="J88" s="663"/>
      <c r="K88" s="683">
        <f>K$82*$J88*R$9</f>
        <v>0</v>
      </c>
      <c r="L88" s="666">
        <v>50000</v>
      </c>
      <c r="M88" s="666">
        <f t="shared" ref="M88:AE88" si="10">($L$88*L11)</f>
        <v>51000</v>
      </c>
      <c r="N88" s="666">
        <f t="shared" si="10"/>
        <v>52020</v>
      </c>
      <c r="O88" s="666">
        <f t="shared" si="10"/>
        <v>53060.399999999994</v>
      </c>
      <c r="P88" s="666">
        <f t="shared" si="10"/>
        <v>54121.608</v>
      </c>
      <c r="Q88" s="666">
        <f t="shared" si="10"/>
        <v>55204.040160000004</v>
      </c>
      <c r="R88" s="666">
        <f t="shared" si="10"/>
        <v>56308.120963200003</v>
      </c>
      <c r="S88" s="666">
        <f t="shared" si="10"/>
        <v>57434.283382464004</v>
      </c>
      <c r="T88" s="666">
        <f t="shared" si="10"/>
        <v>58582.969050113286</v>
      </c>
      <c r="U88" s="666">
        <f t="shared" si="10"/>
        <v>59754.628431115554</v>
      </c>
      <c r="V88" s="666">
        <f t="shared" si="10"/>
        <v>60949.720999737867</v>
      </c>
      <c r="W88" s="666">
        <f t="shared" si="10"/>
        <v>62168.715419732624</v>
      </c>
      <c r="X88" s="666">
        <f t="shared" si="10"/>
        <v>63412.089728127277</v>
      </c>
      <c r="Y88" s="666">
        <f t="shared" si="10"/>
        <v>64680.331522689812</v>
      </c>
      <c r="Z88" s="666">
        <f t="shared" si="10"/>
        <v>65973.938153143623</v>
      </c>
      <c r="AA88" s="666">
        <f t="shared" si="10"/>
        <v>67293.416916206494</v>
      </c>
      <c r="AB88" s="666">
        <f t="shared" si="10"/>
        <v>68639.285254530623</v>
      </c>
      <c r="AC88" s="666">
        <f t="shared" si="10"/>
        <v>70012.07095962124</v>
      </c>
      <c r="AD88" s="666">
        <f t="shared" si="10"/>
        <v>71412.312378813673</v>
      </c>
      <c r="AE88" s="666">
        <f t="shared" si="10"/>
        <v>72840.558626389946</v>
      </c>
    </row>
    <row r="89" spans="1:35">
      <c r="A89" s="37" t="s">
        <v>43</v>
      </c>
      <c r="B89" s="37"/>
      <c r="C89" s="110"/>
      <c r="D89" s="106"/>
      <c r="E89" s="57"/>
      <c r="F89" s="57"/>
      <c r="G89" s="57"/>
      <c r="H89" s="57"/>
      <c r="I89" s="51" t="s">
        <v>8</v>
      </c>
      <c r="J89" s="663">
        <v>500</v>
      </c>
      <c r="K89" s="683">
        <v>0</v>
      </c>
      <c r="L89" s="666">
        <f>J89*L82</f>
        <v>500</v>
      </c>
      <c r="M89" s="666">
        <f t="shared" ref="M89:AE89" si="11">$J$89*M82*L11</f>
        <v>1020</v>
      </c>
      <c r="N89" s="666">
        <f t="shared" si="11"/>
        <v>1040.4000000000001</v>
      </c>
      <c r="O89" s="666">
        <f t="shared" si="11"/>
        <v>1061.2079999999999</v>
      </c>
      <c r="P89" s="666">
        <f t="shared" si="11"/>
        <v>1082.4321600000001</v>
      </c>
      <c r="Q89" s="666">
        <f t="shared" si="11"/>
        <v>1104.0808032</v>
      </c>
      <c r="R89" s="666">
        <f t="shared" si="11"/>
        <v>1126.1624192640002</v>
      </c>
      <c r="S89" s="666">
        <f t="shared" si="11"/>
        <v>1148.68566764928</v>
      </c>
      <c r="T89" s="666">
        <f t="shared" si="11"/>
        <v>1171.6593810022657</v>
      </c>
      <c r="U89" s="666">
        <f t="shared" si="11"/>
        <v>1195.0925686223111</v>
      </c>
      <c r="V89" s="666">
        <f t="shared" si="11"/>
        <v>1218.9944199947574</v>
      </c>
      <c r="W89" s="666">
        <f t="shared" si="11"/>
        <v>1243.3743083946524</v>
      </c>
      <c r="X89" s="666">
        <f t="shared" si="11"/>
        <v>1268.2417945625455</v>
      </c>
      <c r="Y89" s="666">
        <f t="shared" si="11"/>
        <v>1293.6066304537962</v>
      </c>
      <c r="Z89" s="666">
        <f t="shared" si="11"/>
        <v>1319.4787630628723</v>
      </c>
      <c r="AA89" s="666">
        <f t="shared" si="11"/>
        <v>1345.8683383241298</v>
      </c>
      <c r="AB89" s="666">
        <f t="shared" si="11"/>
        <v>1372.7857050906125</v>
      </c>
      <c r="AC89" s="666">
        <f t="shared" si="11"/>
        <v>1400.2414191924249</v>
      </c>
      <c r="AD89" s="666">
        <f t="shared" si="11"/>
        <v>1428.2462475762734</v>
      </c>
      <c r="AE89" s="666">
        <f t="shared" si="11"/>
        <v>1456.8111725277988</v>
      </c>
    </row>
    <row r="90" spans="1:35">
      <c r="A90" s="37" t="s">
        <v>44</v>
      </c>
      <c r="B90" s="37"/>
      <c r="C90" s="110"/>
      <c r="D90" s="106"/>
      <c r="E90" s="57"/>
      <c r="F90" s="57"/>
      <c r="G90" s="57"/>
      <c r="H90" s="57"/>
      <c r="I90" s="51" t="s">
        <v>8</v>
      </c>
      <c r="J90" s="663">
        <v>250</v>
      </c>
      <c r="K90" s="683">
        <v>0</v>
      </c>
      <c r="L90" s="666">
        <f>J90*L82</f>
        <v>250</v>
      </c>
      <c r="M90" s="666">
        <f t="shared" ref="M90:AE90" si="12">$J$90*M82*L11</f>
        <v>510</v>
      </c>
      <c r="N90" s="666">
        <f t="shared" si="12"/>
        <v>520.20000000000005</v>
      </c>
      <c r="O90" s="666">
        <f t="shared" si="12"/>
        <v>530.60399999999993</v>
      </c>
      <c r="P90" s="666">
        <f t="shared" si="12"/>
        <v>541.21608000000003</v>
      </c>
      <c r="Q90" s="666">
        <f t="shared" si="12"/>
        <v>552.0404016</v>
      </c>
      <c r="R90" s="666">
        <f t="shared" si="12"/>
        <v>563.08120963200008</v>
      </c>
      <c r="S90" s="666">
        <f t="shared" si="12"/>
        <v>574.34283382464002</v>
      </c>
      <c r="T90" s="666">
        <f t="shared" si="12"/>
        <v>585.82969050113286</v>
      </c>
      <c r="U90" s="666">
        <f t="shared" si="12"/>
        <v>597.54628431115555</v>
      </c>
      <c r="V90" s="666">
        <f t="shared" si="12"/>
        <v>609.49720999737872</v>
      </c>
      <c r="W90" s="666">
        <f t="shared" si="12"/>
        <v>621.68715419732621</v>
      </c>
      <c r="X90" s="666">
        <f t="shared" si="12"/>
        <v>634.12089728127273</v>
      </c>
      <c r="Y90" s="666">
        <f t="shared" si="12"/>
        <v>646.80331522689812</v>
      </c>
      <c r="Z90" s="666">
        <f t="shared" si="12"/>
        <v>659.73938153143615</v>
      </c>
      <c r="AA90" s="666">
        <f t="shared" si="12"/>
        <v>672.9341691620649</v>
      </c>
      <c r="AB90" s="666">
        <f t="shared" si="12"/>
        <v>686.39285254530625</v>
      </c>
      <c r="AC90" s="666">
        <f t="shared" si="12"/>
        <v>700.12070959621246</v>
      </c>
      <c r="AD90" s="666">
        <f t="shared" si="12"/>
        <v>714.1231237881367</v>
      </c>
      <c r="AE90" s="666">
        <f t="shared" si="12"/>
        <v>728.40558626389941</v>
      </c>
      <c r="AF90" s="44"/>
    </row>
    <row r="91" spans="1:35">
      <c r="A91" s="745" t="s">
        <v>2</v>
      </c>
      <c r="B91" s="745"/>
      <c r="C91" s="753"/>
      <c r="D91" s="754"/>
      <c r="E91" s="746"/>
      <c r="F91" s="746"/>
      <c r="G91" s="746"/>
      <c r="H91" s="746"/>
      <c r="I91" s="755"/>
      <c r="J91" s="739"/>
      <c r="K91" s="741">
        <v>0</v>
      </c>
      <c r="L91" s="742">
        <v>1000</v>
      </c>
      <c r="M91" s="742">
        <f t="shared" ref="M91:AE91" si="13">($L$91*L11)</f>
        <v>1020</v>
      </c>
      <c r="N91" s="742">
        <f t="shared" si="13"/>
        <v>1040.4000000000001</v>
      </c>
      <c r="O91" s="742">
        <f t="shared" si="13"/>
        <v>1061.2079999999999</v>
      </c>
      <c r="P91" s="742">
        <f t="shared" si="13"/>
        <v>1082.4321600000001</v>
      </c>
      <c r="Q91" s="742">
        <f t="shared" si="13"/>
        <v>1104.0808032</v>
      </c>
      <c r="R91" s="742">
        <f t="shared" si="13"/>
        <v>1126.1624192640002</v>
      </c>
      <c r="S91" s="742">
        <f t="shared" si="13"/>
        <v>1148.68566764928</v>
      </c>
      <c r="T91" s="742">
        <f t="shared" si="13"/>
        <v>1171.6593810022657</v>
      </c>
      <c r="U91" s="742">
        <f t="shared" si="13"/>
        <v>1195.0925686223111</v>
      </c>
      <c r="V91" s="742">
        <f t="shared" si="13"/>
        <v>1218.9944199947574</v>
      </c>
      <c r="W91" s="742">
        <f t="shared" si="13"/>
        <v>1243.3743083946524</v>
      </c>
      <c r="X91" s="742">
        <f t="shared" si="13"/>
        <v>1268.2417945625455</v>
      </c>
      <c r="Y91" s="742">
        <f t="shared" si="13"/>
        <v>1293.6066304537962</v>
      </c>
      <c r="Z91" s="742">
        <f t="shared" si="13"/>
        <v>1319.4787630628723</v>
      </c>
      <c r="AA91" s="742">
        <f t="shared" si="13"/>
        <v>1345.8683383241298</v>
      </c>
      <c r="AB91" s="742">
        <f t="shared" si="13"/>
        <v>1372.7857050906125</v>
      </c>
      <c r="AC91" s="742">
        <f t="shared" si="13"/>
        <v>1400.2414191924249</v>
      </c>
      <c r="AD91" s="742">
        <f t="shared" si="13"/>
        <v>1428.2462475762734</v>
      </c>
      <c r="AE91" s="742">
        <f t="shared" si="13"/>
        <v>1456.8111725277988</v>
      </c>
    </row>
    <row r="92" spans="1:35" s="56" customFormat="1" ht="14.25">
      <c r="A92" s="164" t="s">
        <v>409</v>
      </c>
      <c r="B92" s="215"/>
      <c r="C92" s="216"/>
      <c r="D92" s="217"/>
      <c r="E92" s="218"/>
      <c r="F92" s="218"/>
      <c r="G92" s="218"/>
      <c r="H92" s="218"/>
      <c r="I92" s="219"/>
      <c r="J92" s="756"/>
      <c r="K92" s="687">
        <f>SUM(K86:K91)</f>
        <v>0</v>
      </c>
      <c r="L92" s="757">
        <f>SUM(L86:L91)</f>
        <v>86750</v>
      </c>
      <c r="M92" s="757">
        <f t="shared" ref="M92:AE92" si="14">SUM(M86:M91)</f>
        <v>55050</v>
      </c>
      <c r="N92" s="757">
        <f t="shared" si="14"/>
        <v>56161.2</v>
      </c>
      <c r="O92" s="757">
        <f t="shared" si="14"/>
        <v>57284.423999999992</v>
      </c>
      <c r="P92" s="757">
        <f t="shared" si="14"/>
        <v>58430.112479999989</v>
      </c>
      <c r="Q92" s="757">
        <f t="shared" si="14"/>
        <v>64046.674328000001</v>
      </c>
      <c r="R92" s="757">
        <f t="shared" si="14"/>
        <v>60790.689024192005</v>
      </c>
      <c r="S92" s="757">
        <f t="shared" si="14"/>
        <v>62006.502804675845</v>
      </c>
      <c r="T92" s="757">
        <f t="shared" si="14"/>
        <v>63246.632860769365</v>
      </c>
      <c r="U92" s="757">
        <f t="shared" si="14"/>
        <v>64511.565517984753</v>
      </c>
      <c r="V92" s="757">
        <f t="shared" si="14"/>
        <v>93997.207049724777</v>
      </c>
      <c r="W92" s="757">
        <f t="shared" si="14"/>
        <v>67117.832764911334</v>
      </c>
      <c r="X92" s="757">
        <f t="shared" si="14"/>
        <v>68460.189420209572</v>
      </c>
      <c r="Y92" s="757">
        <f t="shared" si="14"/>
        <v>69829.39320861375</v>
      </c>
      <c r="Z92" s="757">
        <f t="shared" si="14"/>
        <v>71225.981072786046</v>
      </c>
      <c r="AA92" s="757">
        <f t="shared" si="14"/>
        <v>76977.566525079688</v>
      </c>
      <c r="AB92" s="757">
        <f t="shared" si="14"/>
        <v>74103.510708126603</v>
      </c>
      <c r="AC92" s="757">
        <f t="shared" si="14"/>
        <v>75585.580922289111</v>
      </c>
      <c r="AD92" s="757">
        <f t="shared" si="14"/>
        <v>77097.292540734925</v>
      </c>
      <c r="AE92" s="757">
        <f t="shared" si="14"/>
        <v>78639.238391549618</v>
      </c>
    </row>
    <row r="93" spans="1:35" s="56" customFormat="1" ht="14.25">
      <c r="A93" s="164"/>
      <c r="B93" s="215"/>
      <c r="C93" s="216"/>
      <c r="D93" s="217"/>
      <c r="E93" s="218"/>
      <c r="F93" s="218"/>
      <c r="G93" s="218"/>
      <c r="H93" s="218"/>
      <c r="I93" s="219"/>
      <c r="J93" s="220"/>
      <c r="K93" s="687"/>
      <c r="L93" s="318"/>
      <c r="M93" s="318"/>
      <c r="N93" s="318"/>
      <c r="O93" s="318"/>
      <c r="P93" s="318"/>
      <c r="Q93" s="318"/>
      <c r="R93" s="318"/>
      <c r="S93" s="318"/>
      <c r="T93" s="318"/>
      <c r="U93" s="318"/>
      <c r="V93" s="318"/>
      <c r="W93" s="318"/>
      <c r="X93" s="318"/>
      <c r="Y93" s="318"/>
      <c r="Z93" s="318"/>
      <c r="AA93" s="318"/>
      <c r="AB93" s="318"/>
      <c r="AC93" s="318"/>
      <c r="AD93" s="318"/>
      <c r="AE93" s="318"/>
    </row>
    <row r="94" spans="1:35" s="56" customFormat="1" ht="14.25">
      <c r="A94" s="720" t="s">
        <v>26</v>
      </c>
      <c r="B94" s="215"/>
      <c r="C94" s="218"/>
      <c r="D94" s="721"/>
      <c r="E94" s="218"/>
      <c r="F94" s="218"/>
      <c r="G94" s="218"/>
      <c r="H94" s="218"/>
      <c r="I94" s="722"/>
      <c r="J94" s="220"/>
      <c r="K94" s="687"/>
      <c r="L94" s="318"/>
      <c r="M94" s="318"/>
      <c r="N94" s="318"/>
      <c r="O94" s="318"/>
      <c r="P94" s="318"/>
      <c r="Q94" s="318"/>
      <c r="R94" s="318"/>
      <c r="S94" s="318"/>
      <c r="T94" s="318"/>
      <c r="U94" s="318"/>
      <c r="V94" s="318"/>
      <c r="W94" s="318"/>
      <c r="X94" s="318"/>
      <c r="Y94" s="318"/>
      <c r="Z94" s="318"/>
      <c r="AA94" s="318"/>
      <c r="AB94" s="318"/>
      <c r="AC94" s="318"/>
      <c r="AD94" s="318"/>
      <c r="AE94" s="318"/>
      <c r="AF94" s="723"/>
      <c r="AG94" s="723"/>
      <c r="AH94" s="723"/>
      <c r="AI94" s="723"/>
    </row>
    <row r="95" spans="1:35">
      <c r="A95" s="190" t="s">
        <v>41</v>
      </c>
      <c r="B95" s="190"/>
      <c r="C95" s="194"/>
      <c r="D95" s="758"/>
      <c r="E95" s="194"/>
      <c r="F95" s="194"/>
      <c r="G95" s="759"/>
      <c r="H95" s="759"/>
      <c r="I95" s="760"/>
      <c r="J95" s="761"/>
      <c r="K95" s="689">
        <v>0</v>
      </c>
      <c r="L95" s="665">
        <v>1000</v>
      </c>
      <c r="M95" s="665">
        <f>$L$95*L11</f>
        <v>1020</v>
      </c>
      <c r="N95" s="665">
        <f t="shared" ref="N95:P95" si="15">$L$95*M11</f>
        <v>1040.4000000000001</v>
      </c>
      <c r="O95" s="665">
        <f t="shared" si="15"/>
        <v>1061.2079999999999</v>
      </c>
      <c r="P95" s="665">
        <f t="shared" si="15"/>
        <v>1082.4321600000001</v>
      </c>
      <c r="Q95" s="665">
        <v>25000</v>
      </c>
      <c r="R95" s="665">
        <f>$Q$95*L11</f>
        <v>25500</v>
      </c>
      <c r="S95" s="665">
        <f t="shared" ref="S95:AE95" si="16">$Q$95*M11</f>
        <v>26010</v>
      </c>
      <c r="T95" s="665">
        <f t="shared" si="16"/>
        <v>26530.199999999997</v>
      </c>
      <c r="U95" s="665">
        <f t="shared" si="16"/>
        <v>27060.804</v>
      </c>
      <c r="V95" s="665">
        <f t="shared" si="16"/>
        <v>27602.020080000002</v>
      </c>
      <c r="W95" s="665">
        <f t="shared" si="16"/>
        <v>28154.060481600001</v>
      </c>
      <c r="X95" s="665">
        <f t="shared" si="16"/>
        <v>28717.141691232002</v>
      </c>
      <c r="Y95" s="665">
        <f t="shared" si="16"/>
        <v>29291.484525056643</v>
      </c>
      <c r="Z95" s="665">
        <f t="shared" si="16"/>
        <v>29877.314215557777</v>
      </c>
      <c r="AA95" s="665">
        <f t="shared" si="16"/>
        <v>30474.860499868933</v>
      </c>
      <c r="AB95" s="665">
        <f t="shared" si="16"/>
        <v>31084.357709866312</v>
      </c>
      <c r="AC95" s="665">
        <f t="shared" si="16"/>
        <v>31706.044864063639</v>
      </c>
      <c r="AD95" s="665">
        <f t="shared" si="16"/>
        <v>32340.165761344906</v>
      </c>
      <c r="AE95" s="665">
        <f t="shared" si="16"/>
        <v>32986.969076571811</v>
      </c>
      <c r="AF95" s="55"/>
      <c r="AG95" s="55"/>
      <c r="AH95" s="55"/>
      <c r="AI95" s="55"/>
    </row>
    <row r="96" spans="1:35">
      <c r="A96" s="745" t="s">
        <v>302</v>
      </c>
      <c r="B96" s="745"/>
      <c r="C96" s="746"/>
      <c r="D96" s="116"/>
      <c r="E96" s="746"/>
      <c r="F96" s="746"/>
      <c r="G96" s="753"/>
      <c r="H96" s="753"/>
      <c r="I96" s="755"/>
      <c r="J96" s="762"/>
      <c r="K96" s="741">
        <v>0</v>
      </c>
      <c r="L96" s="742">
        <f>'Shuttle Projections'!C28/2</f>
        <v>233675</v>
      </c>
      <c r="M96" s="742">
        <f>'Shuttle Projections'!D28</f>
        <v>476697</v>
      </c>
      <c r="N96" s="742">
        <f>'Shuttle Projections'!E28</f>
        <v>486230.94000000006</v>
      </c>
      <c r="O96" s="742">
        <f>'Shuttle Projections'!F28</f>
        <v>495955.55879999994</v>
      </c>
      <c r="P96" s="742">
        <f>'Shuttle Projections'!G28</f>
        <v>505874.66997599998</v>
      </c>
      <c r="Q96" s="742">
        <f>'Shuttle Projections'!H28</f>
        <v>515992.16337552003</v>
      </c>
      <c r="R96" s="742">
        <f>'Shuttle Projections'!I28</f>
        <v>526312.00664303044</v>
      </c>
      <c r="S96" s="742">
        <f>'Shuttle Projections'!J28</f>
        <v>536838.24677589093</v>
      </c>
      <c r="T96" s="742">
        <f>'Shuttle Projections'!K28</f>
        <v>547575.01171140897</v>
      </c>
      <c r="U96" s="742">
        <f>'Shuttle Projections'!L28</f>
        <v>558526.51194563706</v>
      </c>
      <c r="V96" s="742">
        <f>'Shuttle Projections'!M28</f>
        <v>569697.04218454985</v>
      </c>
      <c r="W96" s="742">
        <f>'Shuttle Projections'!N28</f>
        <v>581090.98302824085</v>
      </c>
      <c r="X96" s="742">
        <f>'Shuttle Projections'!O28</f>
        <v>592712.80268880562</v>
      </c>
      <c r="Y96" s="742">
        <f>'Shuttle Projections'!P28</f>
        <v>604567.05874258175</v>
      </c>
      <c r="Z96" s="742">
        <f>'Shuttle Projections'!Q28</f>
        <v>616658.39991743339</v>
      </c>
      <c r="AA96" s="742">
        <f>'Shuttle Projections'!R28</f>
        <v>628991.5679157821</v>
      </c>
      <c r="AB96" s="742">
        <f>'Shuttle Projections'!S28</f>
        <v>641571.39927409776</v>
      </c>
      <c r="AC96" s="742">
        <f>'Shuttle Projections'!T28</f>
        <v>654402.82725957979</v>
      </c>
      <c r="AD96" s="742">
        <f>'Shuttle Projections'!U28</f>
        <v>667490.88380477135</v>
      </c>
      <c r="AE96" s="742">
        <f>'Shuttle Projections'!V28</f>
        <v>680840.70148086676</v>
      </c>
    </row>
    <row r="97" spans="1:33" s="56" customFormat="1" ht="14.25">
      <c r="A97" s="164" t="s">
        <v>410</v>
      </c>
      <c r="B97" s="164"/>
      <c r="C97" s="75"/>
      <c r="D97" s="173"/>
      <c r="E97" s="75"/>
      <c r="F97" s="75"/>
      <c r="G97" s="75"/>
      <c r="H97" s="75"/>
      <c r="I97" s="174"/>
      <c r="J97" s="175"/>
      <c r="K97" s="685">
        <v>0</v>
      </c>
      <c r="L97" s="669">
        <f>SUM(L95:L96)</f>
        <v>234675</v>
      </c>
      <c r="M97" s="669">
        <f t="shared" ref="M97:AE97" si="17">SUM(M95:M96)</f>
        <v>477717</v>
      </c>
      <c r="N97" s="669">
        <f t="shared" si="17"/>
        <v>487271.34000000008</v>
      </c>
      <c r="O97" s="669">
        <f t="shared" si="17"/>
        <v>497016.76679999992</v>
      </c>
      <c r="P97" s="669">
        <f t="shared" si="17"/>
        <v>506957.102136</v>
      </c>
      <c r="Q97" s="669">
        <f t="shared" si="17"/>
        <v>540992.16337552003</v>
      </c>
      <c r="R97" s="669">
        <f t="shared" si="17"/>
        <v>551812.00664303044</v>
      </c>
      <c r="S97" s="669">
        <f t="shared" si="17"/>
        <v>562848.24677589093</v>
      </c>
      <c r="T97" s="669">
        <f t="shared" si="17"/>
        <v>574105.21171140892</v>
      </c>
      <c r="U97" s="669">
        <f t="shared" si="17"/>
        <v>585587.31594563706</v>
      </c>
      <c r="V97" s="669">
        <f t="shared" si="17"/>
        <v>597299.0622645499</v>
      </c>
      <c r="W97" s="669">
        <f t="shared" si="17"/>
        <v>609245.04350984085</v>
      </c>
      <c r="X97" s="669">
        <f t="shared" si="17"/>
        <v>621429.9443800376</v>
      </c>
      <c r="Y97" s="669">
        <f t="shared" si="17"/>
        <v>633858.54326763842</v>
      </c>
      <c r="Z97" s="669">
        <f t="shared" si="17"/>
        <v>646535.71413299115</v>
      </c>
      <c r="AA97" s="669">
        <f t="shared" si="17"/>
        <v>659466.42841565108</v>
      </c>
      <c r="AB97" s="669">
        <f t="shared" si="17"/>
        <v>672655.75698396412</v>
      </c>
      <c r="AC97" s="669">
        <f t="shared" si="17"/>
        <v>686108.87212364341</v>
      </c>
      <c r="AD97" s="669">
        <f t="shared" si="17"/>
        <v>699831.0495661163</v>
      </c>
      <c r="AE97" s="669">
        <f t="shared" si="17"/>
        <v>713827.67055743863</v>
      </c>
    </row>
    <row r="98" spans="1:33" s="56" customFormat="1" ht="14.25">
      <c r="A98" s="164"/>
      <c r="B98" s="164"/>
      <c r="C98" s="75"/>
      <c r="D98" s="173"/>
      <c r="E98" s="75"/>
      <c r="F98" s="75"/>
      <c r="G98" s="75"/>
      <c r="H98" s="75"/>
      <c r="I98" s="174"/>
      <c r="J98" s="175"/>
      <c r="K98" s="685"/>
      <c r="L98" s="669"/>
      <c r="M98" s="669"/>
      <c r="N98" s="669"/>
      <c r="O98" s="669"/>
      <c r="P98" s="669"/>
      <c r="Q98" s="669"/>
      <c r="R98" s="669"/>
      <c r="S98" s="669"/>
      <c r="T98" s="669"/>
      <c r="U98" s="669"/>
      <c r="V98" s="669"/>
      <c r="W98" s="669"/>
      <c r="X98" s="669"/>
      <c r="Y98" s="669"/>
      <c r="Z98" s="669"/>
      <c r="AA98" s="669"/>
      <c r="AB98" s="669"/>
      <c r="AC98" s="669"/>
      <c r="AD98" s="669"/>
      <c r="AE98" s="669"/>
    </row>
    <row r="99" spans="1:33" s="56" customFormat="1" ht="14.25">
      <c r="A99" s="164" t="s">
        <v>78</v>
      </c>
      <c r="B99" s="164"/>
      <c r="C99" s="75"/>
      <c r="D99" s="173"/>
      <c r="E99" s="75"/>
      <c r="F99" s="75"/>
      <c r="G99" s="75"/>
      <c r="H99" s="75"/>
      <c r="I99" s="174"/>
      <c r="J99" s="175"/>
      <c r="K99" s="685">
        <v>0</v>
      </c>
      <c r="L99" s="669">
        <f>SUM(L92,L97)</f>
        <v>321425</v>
      </c>
      <c r="M99" s="669">
        <f t="shared" ref="M99:AE99" si="18">SUM(M92,M97)</f>
        <v>532767</v>
      </c>
      <c r="N99" s="669">
        <f t="shared" si="18"/>
        <v>543432.54</v>
      </c>
      <c r="O99" s="669">
        <f t="shared" si="18"/>
        <v>554301.19079999987</v>
      </c>
      <c r="P99" s="669">
        <f t="shared" si="18"/>
        <v>565387.21461599995</v>
      </c>
      <c r="Q99" s="669">
        <f t="shared" si="18"/>
        <v>605038.83770352008</v>
      </c>
      <c r="R99" s="669">
        <f t="shared" si="18"/>
        <v>612602.69566722249</v>
      </c>
      <c r="S99" s="669">
        <f t="shared" si="18"/>
        <v>624854.74958056677</v>
      </c>
      <c r="T99" s="669">
        <f t="shared" si="18"/>
        <v>637351.84457217832</v>
      </c>
      <c r="U99" s="669">
        <f t="shared" si="18"/>
        <v>650098.88146362186</v>
      </c>
      <c r="V99" s="669">
        <f t="shared" si="18"/>
        <v>691296.26931427466</v>
      </c>
      <c r="W99" s="669">
        <f t="shared" si="18"/>
        <v>676362.8762747522</v>
      </c>
      <c r="X99" s="669">
        <f t="shared" si="18"/>
        <v>689890.13380024722</v>
      </c>
      <c r="Y99" s="669">
        <f t="shared" si="18"/>
        <v>703687.93647625216</v>
      </c>
      <c r="Z99" s="669">
        <f t="shared" si="18"/>
        <v>717761.69520577719</v>
      </c>
      <c r="AA99" s="669">
        <f t="shared" si="18"/>
        <v>736443.99494073074</v>
      </c>
      <c r="AB99" s="669">
        <f t="shared" si="18"/>
        <v>746759.26769209071</v>
      </c>
      <c r="AC99" s="669">
        <f t="shared" si="18"/>
        <v>761694.45304593258</v>
      </c>
      <c r="AD99" s="669">
        <f t="shared" si="18"/>
        <v>776928.34210685128</v>
      </c>
      <c r="AE99" s="669">
        <f t="shared" si="18"/>
        <v>792466.90894898819</v>
      </c>
    </row>
    <row r="100" spans="1:33">
      <c r="A100" s="47"/>
      <c r="B100" s="47"/>
      <c r="C100" s="78"/>
      <c r="D100" s="100"/>
      <c r="E100" s="78"/>
      <c r="F100" s="78"/>
      <c r="G100" s="78"/>
      <c r="H100" s="78"/>
      <c r="I100" s="52"/>
      <c r="J100" s="114"/>
      <c r="K100" s="683"/>
      <c r="L100" s="115"/>
      <c r="M100" s="115"/>
      <c r="N100" s="115"/>
      <c r="O100" s="115"/>
      <c r="P100" s="115"/>
      <c r="Q100" s="115"/>
      <c r="R100" s="115"/>
      <c r="S100" s="115"/>
      <c r="T100" s="115"/>
      <c r="U100" s="115"/>
      <c r="V100" s="115"/>
      <c r="W100" s="115"/>
      <c r="X100" s="115"/>
      <c r="Y100" s="115"/>
      <c r="Z100" s="115"/>
      <c r="AA100" s="115"/>
      <c r="AB100" s="115"/>
      <c r="AC100" s="115"/>
      <c r="AD100" s="115"/>
      <c r="AE100" s="115"/>
    </row>
    <row r="101" spans="1:33">
      <c r="A101" s="168" t="s">
        <v>25</v>
      </c>
      <c r="B101" s="168"/>
      <c r="C101" s="176"/>
      <c r="D101" s="177"/>
      <c r="E101" s="176"/>
      <c r="F101" s="176"/>
      <c r="G101" s="176"/>
      <c r="H101" s="176"/>
      <c r="I101" s="178"/>
      <c r="J101" s="179"/>
      <c r="K101" s="682"/>
      <c r="L101" s="319"/>
      <c r="M101" s="319"/>
      <c r="N101" s="319"/>
      <c r="O101" s="319"/>
      <c r="P101" s="319"/>
      <c r="Q101" s="319"/>
      <c r="R101" s="319"/>
      <c r="S101" s="319"/>
      <c r="T101" s="319"/>
      <c r="U101" s="319"/>
      <c r="V101" s="319"/>
      <c r="W101" s="319"/>
      <c r="X101" s="319"/>
      <c r="Y101" s="319"/>
      <c r="Z101" s="319"/>
      <c r="AA101" s="319"/>
      <c r="AB101" s="319"/>
      <c r="AC101" s="319"/>
      <c r="AD101" s="319"/>
      <c r="AE101" s="319"/>
    </row>
    <row r="102" spans="1:33" s="252" customFormat="1">
      <c r="A102" s="183"/>
      <c r="B102" s="183"/>
      <c r="C102" s="185"/>
      <c r="D102" s="186"/>
      <c r="E102" s="185"/>
      <c r="F102" s="185"/>
      <c r="G102" s="185"/>
      <c r="H102" s="185"/>
      <c r="I102" s="302"/>
      <c r="J102" s="188"/>
      <c r="K102" s="683"/>
      <c r="L102" s="320"/>
      <c r="M102" s="320"/>
      <c r="N102" s="320"/>
      <c r="O102" s="320"/>
      <c r="P102" s="320"/>
      <c r="Q102" s="320"/>
      <c r="R102" s="320"/>
      <c r="S102" s="320"/>
      <c r="T102" s="320"/>
      <c r="U102" s="320"/>
      <c r="V102" s="320"/>
      <c r="W102" s="320"/>
      <c r="X102" s="320"/>
      <c r="Y102" s="320"/>
      <c r="Z102" s="320"/>
      <c r="AA102" s="320"/>
      <c r="AB102" s="320"/>
      <c r="AC102" s="320"/>
      <c r="AD102" s="320"/>
      <c r="AE102" s="320"/>
    </row>
    <row r="103" spans="1:33">
      <c r="A103" s="37" t="s">
        <v>425</v>
      </c>
      <c r="B103" s="37"/>
      <c r="C103" s="57"/>
      <c r="E103" s="57"/>
      <c r="F103" s="57"/>
      <c r="G103" s="57"/>
      <c r="H103" s="998"/>
      <c r="I103" s="51" t="s">
        <v>532</v>
      </c>
      <c r="J103" s="624">
        <f>((6350/6)*7)+((6500/6)*7)</f>
        <v>14991.666666666666</v>
      </c>
      <c r="K103" s="683">
        <v>0</v>
      </c>
      <c r="L103" s="671">
        <f>J103</f>
        <v>14991.666666666666</v>
      </c>
      <c r="M103" s="671">
        <f>$L$103*L11</f>
        <v>15291.5</v>
      </c>
      <c r="N103" s="671">
        <f t="shared" ref="N103:AE103" si="19">$L$103*M11</f>
        <v>15597.33</v>
      </c>
      <c r="O103" s="671">
        <f t="shared" si="19"/>
        <v>15909.276599999997</v>
      </c>
      <c r="P103" s="671">
        <f t="shared" si="19"/>
        <v>16227.462131999999</v>
      </c>
      <c r="Q103" s="671">
        <f t="shared" si="19"/>
        <v>16552.011374639998</v>
      </c>
      <c r="R103" s="671">
        <f t="shared" si="19"/>
        <v>16883.0516021328</v>
      </c>
      <c r="S103" s="671">
        <f t="shared" si="19"/>
        <v>17220.712634175456</v>
      </c>
      <c r="T103" s="671">
        <f t="shared" si="19"/>
        <v>17565.126886858965</v>
      </c>
      <c r="U103" s="671">
        <f t="shared" si="19"/>
        <v>17916.429424596146</v>
      </c>
      <c r="V103" s="671">
        <f t="shared" si="19"/>
        <v>18274.758013088071</v>
      </c>
      <c r="W103" s="671">
        <f t="shared" si="19"/>
        <v>18640.253173349829</v>
      </c>
      <c r="X103" s="671">
        <f t="shared" si="19"/>
        <v>19013.058236816825</v>
      </c>
      <c r="Y103" s="671">
        <f t="shared" si="19"/>
        <v>19393.319401553163</v>
      </c>
      <c r="Z103" s="671">
        <f t="shared" si="19"/>
        <v>19781.185789584226</v>
      </c>
      <c r="AA103" s="671">
        <f t="shared" si="19"/>
        <v>20176.809505375913</v>
      </c>
      <c r="AB103" s="671">
        <f t="shared" si="19"/>
        <v>20580.345695483433</v>
      </c>
      <c r="AC103" s="671">
        <f t="shared" si="19"/>
        <v>20991.952609393102</v>
      </c>
      <c r="AD103" s="671">
        <f t="shared" si="19"/>
        <v>21411.791661580963</v>
      </c>
      <c r="AE103" s="671">
        <f t="shared" si="19"/>
        <v>21840.027494812584</v>
      </c>
    </row>
    <row r="104" spans="1:33">
      <c r="A104" s="37" t="s">
        <v>16</v>
      </c>
      <c r="B104" s="37"/>
      <c r="C104" s="57"/>
      <c r="E104" s="57"/>
      <c r="F104" s="57"/>
      <c r="G104" s="57"/>
      <c r="H104" s="998"/>
      <c r="I104" s="51" t="s">
        <v>17</v>
      </c>
      <c r="J104" s="624">
        <f>1250</f>
        <v>1250</v>
      </c>
      <c r="K104" s="683">
        <v>0</v>
      </c>
      <c r="L104" s="671">
        <f>J104*7</f>
        <v>8750</v>
      </c>
      <c r="M104" s="671">
        <f>$L$104*L11</f>
        <v>8925</v>
      </c>
      <c r="N104" s="671">
        <f t="shared" ref="N104:AE104" si="20">$L$104*M11</f>
        <v>9103.5</v>
      </c>
      <c r="O104" s="671">
        <f t="shared" si="20"/>
        <v>9285.57</v>
      </c>
      <c r="P104" s="671">
        <f t="shared" si="20"/>
        <v>9471.2813999999998</v>
      </c>
      <c r="Q104" s="671">
        <f t="shared" si="20"/>
        <v>9660.7070280000007</v>
      </c>
      <c r="R104" s="671">
        <f t="shared" si="20"/>
        <v>9853.9211685600003</v>
      </c>
      <c r="S104" s="671">
        <f t="shared" si="20"/>
        <v>10050.9995919312</v>
      </c>
      <c r="T104" s="671">
        <f t="shared" si="20"/>
        <v>10252.019583769825</v>
      </c>
      <c r="U104" s="671">
        <f t="shared" si="20"/>
        <v>10457.059975445221</v>
      </c>
      <c r="V104" s="671">
        <f t="shared" si="20"/>
        <v>10666.201174954127</v>
      </c>
      <c r="W104" s="671">
        <f t="shared" si="20"/>
        <v>10879.52519845321</v>
      </c>
      <c r="X104" s="671">
        <f t="shared" si="20"/>
        <v>11097.115702422274</v>
      </c>
      <c r="Y104" s="671">
        <f t="shared" si="20"/>
        <v>11319.058016470717</v>
      </c>
      <c r="Z104" s="671">
        <f t="shared" si="20"/>
        <v>11545.439176800133</v>
      </c>
      <c r="AA104" s="671">
        <f t="shared" si="20"/>
        <v>11776.347960336136</v>
      </c>
      <c r="AB104" s="671">
        <f t="shared" si="20"/>
        <v>12011.874919542859</v>
      </c>
      <c r="AC104" s="671">
        <f t="shared" si="20"/>
        <v>12252.112417933717</v>
      </c>
      <c r="AD104" s="671">
        <f t="shared" si="20"/>
        <v>12497.154666292392</v>
      </c>
      <c r="AE104" s="671">
        <f t="shared" si="20"/>
        <v>12747.09775961824</v>
      </c>
    </row>
    <row r="105" spans="1:33" s="702" customFormat="1">
      <c r="A105" s="701" t="s">
        <v>53</v>
      </c>
      <c r="B105" s="701"/>
      <c r="C105" s="705"/>
      <c r="D105" s="984"/>
      <c r="E105" s="705"/>
      <c r="F105" s="705"/>
      <c r="G105" s="705"/>
      <c r="H105" s="985"/>
      <c r="I105" s="706" t="s">
        <v>17</v>
      </c>
      <c r="J105" s="986">
        <v>0</v>
      </c>
      <c r="K105" s="987">
        <v>0</v>
      </c>
      <c r="L105" s="988">
        <f t="shared" ref="L105:L106" si="21">J105*12</f>
        <v>0</v>
      </c>
      <c r="M105" s="988">
        <f t="shared" ref="M105:AB106" si="22">L105*1.03</f>
        <v>0</v>
      </c>
      <c r="N105" s="988">
        <f t="shared" si="22"/>
        <v>0</v>
      </c>
      <c r="O105" s="988">
        <f t="shared" si="22"/>
        <v>0</v>
      </c>
      <c r="P105" s="988">
        <f t="shared" si="22"/>
        <v>0</v>
      </c>
      <c r="Q105" s="988">
        <f t="shared" si="22"/>
        <v>0</v>
      </c>
      <c r="R105" s="988">
        <f t="shared" si="22"/>
        <v>0</v>
      </c>
      <c r="S105" s="988">
        <f t="shared" si="22"/>
        <v>0</v>
      </c>
      <c r="T105" s="988">
        <f t="shared" si="22"/>
        <v>0</v>
      </c>
      <c r="U105" s="988">
        <f t="shared" si="22"/>
        <v>0</v>
      </c>
      <c r="V105" s="988">
        <f t="shared" si="22"/>
        <v>0</v>
      </c>
      <c r="W105" s="988">
        <f t="shared" si="22"/>
        <v>0</v>
      </c>
      <c r="X105" s="988">
        <f t="shared" si="22"/>
        <v>0</v>
      </c>
      <c r="Y105" s="988">
        <f t="shared" si="22"/>
        <v>0</v>
      </c>
      <c r="Z105" s="988">
        <f t="shared" si="22"/>
        <v>0</v>
      </c>
      <c r="AA105" s="988">
        <f t="shared" si="22"/>
        <v>0</v>
      </c>
      <c r="AB105" s="988">
        <f t="shared" si="22"/>
        <v>0</v>
      </c>
      <c r="AC105" s="988">
        <f t="shared" ref="AC105:AE106" si="23">AB105*1.03</f>
        <v>0</v>
      </c>
      <c r="AD105" s="988">
        <f t="shared" si="23"/>
        <v>0</v>
      </c>
      <c r="AE105" s="988">
        <f t="shared" si="23"/>
        <v>0</v>
      </c>
    </row>
    <row r="106" spans="1:33" s="702" customFormat="1">
      <c r="A106" s="989" t="s">
        <v>54</v>
      </c>
      <c r="B106" s="990"/>
      <c r="C106" s="991"/>
      <c r="D106" s="992"/>
      <c r="E106" s="991"/>
      <c r="F106" s="991"/>
      <c r="G106" s="991"/>
      <c r="H106" s="993"/>
      <c r="I106" s="994" t="s">
        <v>17</v>
      </c>
      <c r="J106" s="995">
        <v>0</v>
      </c>
      <c r="K106" s="996">
        <v>0</v>
      </c>
      <c r="L106" s="997">
        <f t="shared" si="21"/>
        <v>0</v>
      </c>
      <c r="M106" s="997">
        <f t="shared" si="22"/>
        <v>0</v>
      </c>
      <c r="N106" s="997">
        <f t="shared" si="22"/>
        <v>0</v>
      </c>
      <c r="O106" s="997">
        <f t="shared" si="22"/>
        <v>0</v>
      </c>
      <c r="P106" s="997">
        <f t="shared" si="22"/>
        <v>0</v>
      </c>
      <c r="Q106" s="997">
        <f t="shared" si="22"/>
        <v>0</v>
      </c>
      <c r="R106" s="997">
        <f t="shared" si="22"/>
        <v>0</v>
      </c>
      <c r="S106" s="997">
        <f t="shared" si="22"/>
        <v>0</v>
      </c>
      <c r="T106" s="997">
        <f t="shared" si="22"/>
        <v>0</v>
      </c>
      <c r="U106" s="997">
        <f t="shared" si="22"/>
        <v>0</v>
      </c>
      <c r="V106" s="997">
        <f t="shared" si="22"/>
        <v>0</v>
      </c>
      <c r="W106" s="997">
        <f t="shared" si="22"/>
        <v>0</v>
      </c>
      <c r="X106" s="997">
        <f t="shared" si="22"/>
        <v>0</v>
      </c>
      <c r="Y106" s="997">
        <f t="shared" si="22"/>
        <v>0</v>
      </c>
      <c r="Z106" s="997">
        <f t="shared" si="22"/>
        <v>0</v>
      </c>
      <c r="AA106" s="997">
        <f t="shared" si="22"/>
        <v>0</v>
      </c>
      <c r="AB106" s="997">
        <f t="shared" si="22"/>
        <v>0</v>
      </c>
      <c r="AC106" s="997">
        <f t="shared" si="23"/>
        <v>0</v>
      </c>
      <c r="AD106" s="997">
        <f t="shared" si="23"/>
        <v>0</v>
      </c>
      <c r="AE106" s="997">
        <f t="shared" si="23"/>
        <v>0</v>
      </c>
    </row>
    <row r="107" spans="1:33" s="56" customFormat="1" ht="14.25">
      <c r="A107" s="56" t="s">
        <v>55</v>
      </c>
      <c r="B107" s="164"/>
      <c r="C107" s="75"/>
      <c r="D107" s="173"/>
      <c r="E107" s="75"/>
      <c r="F107" s="75"/>
      <c r="G107" s="75"/>
      <c r="H107" s="75"/>
      <c r="I107" s="999"/>
      <c r="J107" s="1000"/>
      <c r="K107" s="685">
        <v>0</v>
      </c>
      <c r="L107" s="1001">
        <f>SUM(L103:L106)</f>
        <v>23741.666666666664</v>
      </c>
      <c r="M107" s="1001">
        <f t="shared" ref="M107:AE107" si="24">SUM(M103:M106)</f>
        <v>24216.5</v>
      </c>
      <c r="N107" s="1001">
        <f t="shared" si="24"/>
        <v>24700.83</v>
      </c>
      <c r="O107" s="1001">
        <f t="shared" si="24"/>
        <v>25194.846599999997</v>
      </c>
      <c r="P107" s="1001">
        <f t="shared" si="24"/>
        <v>25698.743532</v>
      </c>
      <c r="Q107" s="1001">
        <f t="shared" si="24"/>
        <v>26212.718402639999</v>
      </c>
      <c r="R107" s="1001">
        <f t="shared" si="24"/>
        <v>26736.972770692802</v>
      </c>
      <c r="S107" s="1001">
        <f t="shared" si="24"/>
        <v>27271.712226106654</v>
      </c>
      <c r="T107" s="1001">
        <f t="shared" si="24"/>
        <v>27817.146470628788</v>
      </c>
      <c r="U107" s="1001">
        <f t="shared" si="24"/>
        <v>28373.48940004137</v>
      </c>
      <c r="V107" s="1001">
        <f t="shared" si="24"/>
        <v>28940.959188042198</v>
      </c>
      <c r="W107" s="1001">
        <f t="shared" si="24"/>
        <v>29519.77837180304</v>
      </c>
      <c r="X107" s="1001">
        <f t="shared" si="24"/>
        <v>30110.173939239099</v>
      </c>
      <c r="Y107" s="1001">
        <f t="shared" si="24"/>
        <v>30712.37741802388</v>
      </c>
      <c r="Z107" s="1001">
        <f t="shared" si="24"/>
        <v>31326.624966384359</v>
      </c>
      <c r="AA107" s="1001">
        <f t="shared" si="24"/>
        <v>31953.157465712051</v>
      </c>
      <c r="AB107" s="1001">
        <f t="shared" si="24"/>
        <v>32592.220615026294</v>
      </c>
      <c r="AC107" s="1001">
        <f t="shared" si="24"/>
        <v>33244.065027326818</v>
      </c>
      <c r="AD107" s="1001">
        <f t="shared" si="24"/>
        <v>33908.946327873353</v>
      </c>
      <c r="AE107" s="1001">
        <f t="shared" si="24"/>
        <v>34587.125254430823</v>
      </c>
    </row>
    <row r="108" spans="1:33">
      <c r="A108" s="56"/>
      <c r="B108" s="37"/>
      <c r="C108" s="57"/>
      <c r="E108" s="57"/>
      <c r="F108" s="57"/>
      <c r="G108" s="57"/>
      <c r="H108" s="57"/>
      <c r="I108" s="51"/>
      <c r="J108" s="624"/>
      <c r="K108" s="683"/>
      <c r="L108" s="666"/>
      <c r="M108" s="666"/>
      <c r="N108" s="666"/>
      <c r="O108" s="666"/>
      <c r="P108" s="666"/>
      <c r="Q108" s="666"/>
      <c r="R108" s="666"/>
      <c r="S108" s="666"/>
      <c r="T108" s="666"/>
      <c r="U108" s="666"/>
      <c r="V108" s="666"/>
      <c r="W108" s="666"/>
      <c r="X108" s="666"/>
      <c r="Y108" s="666"/>
      <c r="Z108" s="666"/>
      <c r="AA108" s="666"/>
      <c r="AB108" s="666"/>
      <c r="AC108" s="666"/>
      <c r="AD108" s="666"/>
      <c r="AE108" s="666"/>
    </row>
    <row r="109" spans="1:33">
      <c r="A109" s="47" t="s">
        <v>7</v>
      </c>
      <c r="B109" s="47" t="s">
        <v>7</v>
      </c>
      <c r="C109" s="78" t="s">
        <v>7</v>
      </c>
      <c r="D109" s="100"/>
      <c r="E109" s="78" t="s">
        <v>7</v>
      </c>
      <c r="F109" s="78"/>
      <c r="G109" s="78" t="s">
        <v>7</v>
      </c>
      <c r="H109" s="78"/>
      <c r="I109" s="52" t="s">
        <v>7</v>
      </c>
      <c r="J109" s="672"/>
      <c r="K109" s="673"/>
      <c r="L109" s="672"/>
      <c r="M109" s="672"/>
      <c r="N109" s="672"/>
      <c r="O109" s="672"/>
      <c r="P109" s="672"/>
      <c r="Q109" s="672"/>
      <c r="R109" s="672"/>
      <c r="S109" s="672"/>
      <c r="T109" s="672"/>
      <c r="U109" s="672"/>
      <c r="V109" s="672"/>
      <c r="W109" s="672"/>
      <c r="X109" s="672"/>
      <c r="Y109" s="672"/>
      <c r="Z109" s="672"/>
      <c r="AA109" s="672"/>
      <c r="AB109" s="672"/>
      <c r="AC109" s="672"/>
      <c r="AD109" s="672"/>
      <c r="AE109" s="672"/>
    </row>
    <row r="110" spans="1:33">
      <c r="A110" s="47"/>
      <c r="B110" s="47"/>
      <c r="C110" s="78"/>
      <c r="D110" s="100"/>
      <c r="E110" s="78"/>
      <c r="F110" s="78"/>
      <c r="G110" s="78"/>
      <c r="H110" s="78"/>
      <c r="I110" s="52"/>
      <c r="J110" s="672"/>
      <c r="K110" s="683"/>
      <c r="L110" s="666"/>
      <c r="M110" s="666"/>
      <c r="N110" s="666"/>
      <c r="O110" s="666"/>
      <c r="P110" s="666"/>
      <c r="Q110" s="666"/>
      <c r="R110" s="666"/>
      <c r="S110" s="666"/>
      <c r="T110" s="666"/>
      <c r="U110" s="666"/>
      <c r="V110" s="666"/>
      <c r="W110" s="666"/>
      <c r="X110" s="666"/>
      <c r="Y110" s="666"/>
      <c r="Z110" s="666"/>
      <c r="AA110" s="666"/>
      <c r="AB110" s="666"/>
      <c r="AC110" s="666"/>
      <c r="AD110" s="666"/>
      <c r="AE110" s="666"/>
    </row>
    <row r="111" spans="1:33" s="56" customFormat="1" ht="14.25">
      <c r="A111" s="203" t="s">
        <v>303</v>
      </c>
      <c r="B111" s="203"/>
      <c r="C111" s="204"/>
      <c r="D111" s="205"/>
      <c r="E111" s="204"/>
      <c r="F111" s="204"/>
      <c r="G111" s="204"/>
      <c r="H111" s="204"/>
      <c r="I111" s="206"/>
      <c r="J111" s="674"/>
      <c r="K111" s="676">
        <f>SUM(K78,K99,K107)</f>
        <v>0</v>
      </c>
      <c r="L111" s="676">
        <f>SUM(L78,L99,L107)</f>
        <v>357416.66666666669</v>
      </c>
      <c r="M111" s="676">
        <f t="shared" ref="M111:AE111" si="25">SUM(M78,M99,M107)</f>
        <v>686483.5</v>
      </c>
      <c r="N111" s="676">
        <f t="shared" si="25"/>
        <v>700223.37</v>
      </c>
      <c r="O111" s="676">
        <f t="shared" si="25"/>
        <v>714227.83739999984</v>
      </c>
      <c r="P111" s="676">
        <f t="shared" si="25"/>
        <v>728512.39414799993</v>
      </c>
      <c r="Q111" s="676">
        <f t="shared" si="25"/>
        <v>771426.52082615998</v>
      </c>
      <c r="R111" s="676">
        <f t="shared" si="25"/>
        <v>782318.1324523153</v>
      </c>
      <c r="S111" s="676">
        <f t="shared" si="25"/>
        <v>797964.49510136142</v>
      </c>
      <c r="T111" s="676">
        <f t="shared" si="25"/>
        <v>813923.78500338888</v>
      </c>
      <c r="U111" s="676">
        <f t="shared" si="25"/>
        <v>830202.2607034567</v>
      </c>
      <c r="V111" s="676">
        <f t="shared" si="25"/>
        <v>875001.71613890608</v>
      </c>
      <c r="W111" s="676">
        <f t="shared" si="25"/>
        <v>863742.43203587621</v>
      </c>
      <c r="X111" s="676">
        <f t="shared" si="25"/>
        <v>881017.28067659389</v>
      </c>
      <c r="Y111" s="676">
        <f t="shared" si="25"/>
        <v>898637.62629012566</v>
      </c>
      <c r="Z111" s="676">
        <f t="shared" si="25"/>
        <v>916610.37881592824</v>
      </c>
      <c r="AA111" s="676">
        <f t="shared" si="25"/>
        <v>939269.6522230847</v>
      </c>
      <c r="AB111" s="676">
        <f t="shared" si="25"/>
        <v>953641.4381200918</v>
      </c>
      <c r="AC111" s="676">
        <f t="shared" si="25"/>
        <v>972714.26688249363</v>
      </c>
      <c r="AD111" s="676">
        <f t="shared" si="25"/>
        <v>992168.55222014373</v>
      </c>
      <c r="AE111" s="676">
        <f t="shared" si="25"/>
        <v>1012011.9232645463</v>
      </c>
      <c r="AG111" s="199"/>
    </row>
    <row r="112" spans="1:33">
      <c r="A112" s="37"/>
      <c r="B112" s="37"/>
      <c r="C112" s="57"/>
      <c r="E112" s="110"/>
      <c r="F112" s="110"/>
      <c r="G112" s="57"/>
      <c r="H112" s="57"/>
      <c r="I112" s="43"/>
      <c r="J112" s="44"/>
      <c r="K112" s="683"/>
      <c r="L112" s="115"/>
      <c r="M112" s="115"/>
      <c r="N112" s="115"/>
      <c r="O112" s="115"/>
      <c r="P112" s="115"/>
      <c r="Q112" s="115"/>
      <c r="R112" s="115"/>
      <c r="S112" s="115"/>
      <c r="T112" s="115"/>
      <c r="U112" s="115"/>
      <c r="V112" s="115"/>
      <c r="W112" s="115"/>
      <c r="X112" s="115"/>
      <c r="Y112" s="115"/>
      <c r="Z112" s="115"/>
      <c r="AA112" s="115"/>
      <c r="AB112" s="115"/>
      <c r="AC112" s="115"/>
      <c r="AD112" s="115"/>
      <c r="AE112" s="115"/>
      <c r="AG112" s="199"/>
    </row>
    <row r="113" spans="1:33">
      <c r="A113" s="47" t="s">
        <v>7</v>
      </c>
      <c r="B113" s="47" t="s">
        <v>7</v>
      </c>
      <c r="C113" s="78" t="s">
        <v>7</v>
      </c>
      <c r="D113" s="100"/>
      <c r="E113" s="78" t="s">
        <v>7</v>
      </c>
      <c r="F113" s="78"/>
      <c r="G113" s="78" t="s">
        <v>7</v>
      </c>
      <c r="H113" s="78"/>
      <c r="I113" s="52" t="s">
        <v>7</v>
      </c>
      <c r="J113" s="114"/>
      <c r="K113" s="673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G113" s="199"/>
    </row>
    <row r="114" spans="1:33">
      <c r="A114" s="47"/>
      <c r="B114" s="47"/>
      <c r="C114" s="78"/>
      <c r="D114" s="100"/>
      <c r="E114" s="78"/>
      <c r="F114" s="78"/>
      <c r="G114" s="78"/>
      <c r="H114" s="78"/>
      <c r="I114" s="52"/>
      <c r="J114" s="114"/>
      <c r="K114" s="683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5"/>
      <c r="Z114" s="115"/>
      <c r="AA114" s="115"/>
      <c r="AB114" s="115"/>
      <c r="AC114" s="115"/>
      <c r="AD114" s="115"/>
      <c r="AE114" s="115"/>
      <c r="AG114" s="199"/>
    </row>
    <row r="115" spans="1:33">
      <c r="A115" s="168" t="s">
        <v>71</v>
      </c>
      <c r="B115" s="171"/>
      <c r="C115" s="176"/>
      <c r="D115" s="177"/>
      <c r="E115" s="176"/>
      <c r="F115" s="176"/>
      <c r="G115" s="176"/>
      <c r="H115" s="176"/>
      <c r="I115" s="182"/>
      <c r="J115" s="179"/>
      <c r="K115" s="682"/>
      <c r="L115" s="319"/>
      <c r="M115" s="319"/>
      <c r="N115" s="319"/>
      <c r="O115" s="319"/>
      <c r="P115" s="319"/>
      <c r="Q115" s="319"/>
      <c r="R115" s="319"/>
      <c r="S115" s="319"/>
      <c r="T115" s="319"/>
      <c r="U115" s="319"/>
      <c r="V115" s="319"/>
      <c r="W115" s="319"/>
      <c r="X115" s="319"/>
      <c r="Y115" s="319"/>
      <c r="Z115" s="319"/>
      <c r="AA115" s="319"/>
      <c r="AB115" s="319"/>
      <c r="AC115" s="319"/>
      <c r="AD115" s="319"/>
      <c r="AE115" s="319"/>
      <c r="AG115" s="199"/>
    </row>
    <row r="116" spans="1:33" s="252" customFormat="1">
      <c r="A116" s="183"/>
      <c r="B116" s="184"/>
      <c r="C116" s="185"/>
      <c r="D116" s="186"/>
      <c r="E116" s="185"/>
      <c r="F116" s="185"/>
      <c r="G116" s="185"/>
      <c r="H116" s="185"/>
      <c r="I116" s="187"/>
      <c r="J116" s="188"/>
      <c r="K116" s="683"/>
      <c r="L116" s="320"/>
      <c r="M116" s="320"/>
      <c r="N116" s="320"/>
      <c r="O116" s="320"/>
      <c r="P116" s="320"/>
      <c r="Q116" s="320"/>
      <c r="R116" s="320"/>
      <c r="S116" s="320"/>
      <c r="T116" s="320"/>
      <c r="U116" s="320"/>
      <c r="V116" s="320"/>
      <c r="W116" s="320"/>
      <c r="X116" s="320"/>
      <c r="Y116" s="320"/>
      <c r="Z116" s="320"/>
      <c r="AA116" s="320"/>
      <c r="AB116" s="320"/>
      <c r="AC116" s="320"/>
      <c r="AD116" s="320"/>
      <c r="AE116" s="320"/>
      <c r="AG116" s="363"/>
    </row>
    <row r="117" spans="1:33">
      <c r="A117" s="39" t="s">
        <v>0</v>
      </c>
      <c r="B117" s="39"/>
      <c r="C117" s="102"/>
      <c r="D117" s="103"/>
      <c r="E117" s="104"/>
      <c r="F117" s="104"/>
      <c r="G117" s="104"/>
      <c r="H117" s="104"/>
      <c r="I117" s="39"/>
      <c r="J117" s="104"/>
      <c r="K117" s="688"/>
      <c r="L117" s="335"/>
      <c r="M117" s="335"/>
      <c r="N117" s="335"/>
      <c r="O117" s="335"/>
      <c r="P117" s="335"/>
      <c r="Q117" s="335"/>
      <c r="R117" s="335"/>
      <c r="S117" s="335"/>
      <c r="T117" s="335"/>
      <c r="U117" s="335"/>
      <c r="V117" s="335"/>
      <c r="W117" s="335"/>
      <c r="X117" s="335"/>
      <c r="Y117" s="335"/>
      <c r="Z117" s="335"/>
      <c r="AA117" s="335"/>
      <c r="AB117" s="335"/>
      <c r="AC117" s="335"/>
      <c r="AD117" s="335"/>
      <c r="AE117" s="335"/>
    </row>
    <row r="118" spans="1:33">
      <c r="A118" s="41" t="s">
        <v>13</v>
      </c>
      <c r="B118" s="41"/>
      <c r="C118" s="105"/>
      <c r="D118" s="106"/>
      <c r="E118" s="37"/>
      <c r="F118" s="37"/>
      <c r="G118" s="37"/>
      <c r="H118" s="37"/>
      <c r="I118" s="41"/>
      <c r="J118" s="37"/>
      <c r="K118" s="683"/>
      <c r="L118" s="200"/>
      <c r="M118" s="200"/>
      <c r="N118" s="200"/>
      <c r="O118" s="200"/>
      <c r="P118" s="200"/>
      <c r="Q118" s="200"/>
      <c r="R118" s="200"/>
      <c r="S118" s="200"/>
      <c r="T118" s="200"/>
      <c r="U118" s="201"/>
      <c r="V118" s="323"/>
      <c r="W118" s="200"/>
      <c r="X118" s="200"/>
      <c r="Y118" s="200"/>
      <c r="Z118" s="200"/>
      <c r="AA118" s="200"/>
      <c r="AB118" s="200"/>
      <c r="AC118" s="200"/>
      <c r="AD118" s="200"/>
      <c r="AE118" s="201"/>
    </row>
    <row r="119" spans="1:33">
      <c r="A119" s="96" t="s">
        <v>56</v>
      </c>
      <c r="B119" s="735" t="s">
        <v>12</v>
      </c>
      <c r="C119" s="663">
        <v>55000</v>
      </c>
      <c r="D119" s="736">
        <f>C119/2080</f>
        <v>26.442307692307693</v>
      </c>
      <c r="E119" s="663">
        <v>0</v>
      </c>
      <c r="F119" s="663">
        <f>C119*$F$13</f>
        <v>22000</v>
      </c>
      <c r="G119" s="663">
        <f>SUM(C119,E119:F119)</f>
        <v>77000</v>
      </c>
      <c r="H119" s="736">
        <f>G119/2080*8</f>
        <v>296.15384615384613</v>
      </c>
      <c r="I119" s="736"/>
      <c r="J119" s="663"/>
      <c r="K119" s="683">
        <v>0</v>
      </c>
      <c r="L119" s="665">
        <v>0</v>
      </c>
      <c r="M119" s="665">
        <f>$H$119*M32*0.25</f>
        <v>15844.230769230768</v>
      </c>
      <c r="N119" s="665">
        <f t="shared" ref="N119:AE119" si="26">$M$119*M11</f>
        <v>16484.33769230769</v>
      </c>
      <c r="O119" s="665">
        <f t="shared" si="26"/>
        <v>16814.024446153842</v>
      </c>
      <c r="P119" s="665">
        <f t="shared" si="26"/>
        <v>17150.304935076922</v>
      </c>
      <c r="Q119" s="665">
        <f t="shared" si="26"/>
        <v>17493.31103377846</v>
      </c>
      <c r="R119" s="665">
        <f t="shared" si="26"/>
        <v>17843.177254454029</v>
      </c>
      <c r="S119" s="665">
        <f t="shared" si="26"/>
        <v>18200.040799543109</v>
      </c>
      <c r="T119" s="665">
        <f t="shared" si="26"/>
        <v>18564.041615533974</v>
      </c>
      <c r="U119" s="665">
        <f t="shared" si="26"/>
        <v>18935.322447844654</v>
      </c>
      <c r="V119" s="665">
        <f t="shared" si="26"/>
        <v>19314.028896801548</v>
      </c>
      <c r="W119" s="665">
        <f t="shared" si="26"/>
        <v>19700.30947473758</v>
      </c>
      <c r="X119" s="665">
        <f t="shared" si="26"/>
        <v>20094.31566423233</v>
      </c>
      <c r="Y119" s="665">
        <f t="shared" si="26"/>
        <v>20496.201977516976</v>
      </c>
      <c r="Z119" s="665">
        <f t="shared" si="26"/>
        <v>20906.126017067316</v>
      </c>
      <c r="AA119" s="665">
        <f t="shared" si="26"/>
        <v>21324.248537408665</v>
      </c>
      <c r="AB119" s="665">
        <f t="shared" si="26"/>
        <v>21750.733508156838</v>
      </c>
      <c r="AC119" s="665">
        <f t="shared" si="26"/>
        <v>22185.748178319976</v>
      </c>
      <c r="AD119" s="665">
        <f t="shared" si="26"/>
        <v>22629.463141886376</v>
      </c>
      <c r="AE119" s="665">
        <f t="shared" si="26"/>
        <v>23082.052404724102</v>
      </c>
    </row>
    <row r="120" spans="1:33">
      <c r="A120" s="96" t="s">
        <v>57</v>
      </c>
      <c r="B120" s="735" t="s">
        <v>15</v>
      </c>
      <c r="C120" s="663">
        <v>15000</v>
      </c>
      <c r="D120" s="736">
        <f>C120/2080</f>
        <v>7.2115384615384617</v>
      </c>
      <c r="E120" s="663">
        <f>C120*E12</f>
        <v>3000</v>
      </c>
      <c r="F120" s="663">
        <f t="shared" ref="F120:F121" si="27">C120*$F$13</f>
        <v>6000</v>
      </c>
      <c r="G120" s="663">
        <f t="shared" ref="G120:G121" si="28">SUM(C120,E120:F120)</f>
        <v>24000</v>
      </c>
      <c r="H120" s="736">
        <f>G120/2080*12</f>
        <v>138.46153846153845</v>
      </c>
      <c r="I120" s="736"/>
      <c r="J120" s="663"/>
      <c r="K120" s="683">
        <v>0</v>
      </c>
      <c r="L120" s="665">
        <v>0</v>
      </c>
      <c r="M120" s="665">
        <f>$H$120*M32*0.5</f>
        <v>14815.384615384615</v>
      </c>
      <c r="N120" s="665">
        <f t="shared" ref="N120:AE120" si="29">$M$120*M11</f>
        <v>15413.926153846154</v>
      </c>
      <c r="O120" s="665">
        <f t="shared" si="29"/>
        <v>15722.204676923076</v>
      </c>
      <c r="P120" s="665">
        <f t="shared" si="29"/>
        <v>16036.648770461537</v>
      </c>
      <c r="Q120" s="665">
        <f t="shared" si="29"/>
        <v>16357.381745870769</v>
      </c>
      <c r="R120" s="665">
        <f t="shared" si="29"/>
        <v>16684.529380788186</v>
      </c>
      <c r="S120" s="665">
        <f t="shared" si="29"/>
        <v>17018.219968403948</v>
      </c>
      <c r="T120" s="665">
        <f t="shared" si="29"/>
        <v>17358.58436777203</v>
      </c>
      <c r="U120" s="665">
        <f t="shared" si="29"/>
        <v>17705.756055127469</v>
      </c>
      <c r="V120" s="665">
        <f t="shared" si="29"/>
        <v>18059.871176230019</v>
      </c>
      <c r="W120" s="665">
        <f t="shared" si="29"/>
        <v>18421.068599754621</v>
      </c>
      <c r="X120" s="665">
        <f t="shared" si="29"/>
        <v>18789.489971749714</v>
      </c>
      <c r="Y120" s="665">
        <f t="shared" si="29"/>
        <v>19165.279771184705</v>
      </c>
      <c r="Z120" s="665">
        <f t="shared" si="29"/>
        <v>19548.5853666084</v>
      </c>
      <c r="AA120" s="665">
        <f t="shared" si="29"/>
        <v>19939.55707394057</v>
      </c>
      <c r="AB120" s="665">
        <f t="shared" si="29"/>
        <v>20338.348215419381</v>
      </c>
      <c r="AC120" s="665">
        <f t="shared" si="29"/>
        <v>20745.115179727771</v>
      </c>
      <c r="AD120" s="665">
        <f t="shared" si="29"/>
        <v>21160.017483322328</v>
      </c>
      <c r="AE120" s="665">
        <f t="shared" si="29"/>
        <v>21583.217832988772</v>
      </c>
    </row>
    <row r="121" spans="1:33">
      <c r="A121" s="737" t="s">
        <v>57</v>
      </c>
      <c r="B121" s="738" t="s">
        <v>15</v>
      </c>
      <c r="C121" s="739">
        <v>15000</v>
      </c>
      <c r="D121" s="740">
        <f>C121/2080</f>
        <v>7.2115384615384617</v>
      </c>
      <c r="E121" s="739">
        <f>C121*$E$12</f>
        <v>3000</v>
      </c>
      <c r="F121" s="739">
        <f t="shared" si="27"/>
        <v>6000</v>
      </c>
      <c r="G121" s="739">
        <f t="shared" si="28"/>
        <v>24000</v>
      </c>
      <c r="H121" s="740">
        <f t="shared" ref="H121" si="30">G121/2080*12</f>
        <v>138.46153846153845</v>
      </c>
      <c r="I121" s="740"/>
      <c r="J121" s="739"/>
      <c r="K121" s="741">
        <v>0</v>
      </c>
      <c r="L121" s="742">
        <v>0</v>
      </c>
      <c r="M121" s="742">
        <f>$H$121*M32*0.5</f>
        <v>14815.384615384615</v>
      </c>
      <c r="N121" s="742">
        <f t="shared" ref="N121:AE121" si="31">$M$121*M11</f>
        <v>15413.926153846154</v>
      </c>
      <c r="O121" s="742">
        <f t="shared" si="31"/>
        <v>15722.204676923076</v>
      </c>
      <c r="P121" s="742">
        <f t="shared" si="31"/>
        <v>16036.648770461537</v>
      </c>
      <c r="Q121" s="742">
        <f t="shared" si="31"/>
        <v>16357.381745870769</v>
      </c>
      <c r="R121" s="742">
        <f t="shared" si="31"/>
        <v>16684.529380788186</v>
      </c>
      <c r="S121" s="742">
        <f t="shared" si="31"/>
        <v>17018.219968403948</v>
      </c>
      <c r="T121" s="742">
        <f t="shared" si="31"/>
        <v>17358.58436777203</v>
      </c>
      <c r="U121" s="742">
        <f t="shared" si="31"/>
        <v>17705.756055127469</v>
      </c>
      <c r="V121" s="742">
        <f t="shared" si="31"/>
        <v>18059.871176230019</v>
      </c>
      <c r="W121" s="742">
        <f t="shared" si="31"/>
        <v>18421.068599754621</v>
      </c>
      <c r="X121" s="742">
        <f t="shared" si="31"/>
        <v>18789.489971749714</v>
      </c>
      <c r="Y121" s="742">
        <f t="shared" si="31"/>
        <v>19165.279771184705</v>
      </c>
      <c r="Z121" s="742">
        <f t="shared" si="31"/>
        <v>19548.5853666084</v>
      </c>
      <c r="AA121" s="742">
        <f t="shared" si="31"/>
        <v>19939.55707394057</v>
      </c>
      <c r="AB121" s="742">
        <f t="shared" si="31"/>
        <v>20338.348215419381</v>
      </c>
      <c r="AC121" s="742">
        <f t="shared" si="31"/>
        <v>20745.115179727771</v>
      </c>
      <c r="AD121" s="742">
        <f t="shared" si="31"/>
        <v>21160.017483322328</v>
      </c>
      <c r="AE121" s="742">
        <f t="shared" si="31"/>
        <v>21583.217832988772</v>
      </c>
    </row>
    <row r="122" spans="1:33">
      <c r="A122" s="164" t="s">
        <v>414</v>
      </c>
      <c r="B122" s="164"/>
      <c r="C122" s="667">
        <f>SUM(C119:C121)</f>
        <v>85000</v>
      </c>
      <c r="D122" s="667"/>
      <c r="E122" s="667">
        <f>SUM(E119:E121)</f>
        <v>6000</v>
      </c>
      <c r="F122" s="667">
        <f>SUM(F119:F121)</f>
        <v>34000</v>
      </c>
      <c r="G122" s="667">
        <f>SUM(G119:G121)</f>
        <v>125000</v>
      </c>
      <c r="H122" s="667">
        <f>SUM(H119:H121)</f>
        <v>573.07692307692309</v>
      </c>
      <c r="I122" s="668"/>
      <c r="J122" s="667"/>
      <c r="K122" s="685">
        <f>SUMIF($B119:$B121,"FT",K119:K121)</f>
        <v>0</v>
      </c>
      <c r="L122" s="669">
        <f>SUM(L119:L121)</f>
        <v>0</v>
      </c>
      <c r="M122" s="669">
        <f t="shared" ref="M122:AE122" si="32">SUM(M119:M121)</f>
        <v>45475</v>
      </c>
      <c r="N122" s="669">
        <f t="shared" si="32"/>
        <v>47312.19</v>
      </c>
      <c r="O122" s="669">
        <f t="shared" si="32"/>
        <v>48258.433799999999</v>
      </c>
      <c r="P122" s="669">
        <f t="shared" si="32"/>
        <v>49223.602475999993</v>
      </c>
      <c r="Q122" s="669">
        <f t="shared" si="32"/>
        <v>50208.074525520002</v>
      </c>
      <c r="R122" s="669">
        <f t="shared" si="32"/>
        <v>51212.236016030394</v>
      </c>
      <c r="S122" s="669">
        <f t="shared" si="32"/>
        <v>52236.480736351004</v>
      </c>
      <c r="T122" s="669">
        <f t="shared" si="32"/>
        <v>53281.210351078029</v>
      </c>
      <c r="U122" s="669">
        <f t="shared" si="32"/>
        <v>54346.834558099596</v>
      </c>
      <c r="V122" s="669">
        <f t="shared" si="32"/>
        <v>55433.771249261583</v>
      </c>
      <c r="W122" s="669">
        <f t="shared" si="32"/>
        <v>56542.446674246821</v>
      </c>
      <c r="X122" s="669">
        <f t="shared" si="32"/>
        <v>57673.295607731765</v>
      </c>
      <c r="Y122" s="669">
        <f t="shared" si="32"/>
        <v>58826.761519886393</v>
      </c>
      <c r="Z122" s="669">
        <f t="shared" si="32"/>
        <v>60003.29675028412</v>
      </c>
      <c r="AA122" s="669">
        <f t="shared" si="32"/>
        <v>61203.362685289801</v>
      </c>
      <c r="AB122" s="669">
        <f t="shared" si="32"/>
        <v>62427.4299389956</v>
      </c>
      <c r="AC122" s="669">
        <f t="shared" si="32"/>
        <v>63675.978537775518</v>
      </c>
      <c r="AD122" s="669">
        <f t="shared" si="32"/>
        <v>64949.498108531028</v>
      </c>
      <c r="AE122" s="669">
        <f t="shared" si="32"/>
        <v>66248.488070701642</v>
      </c>
    </row>
    <row r="123" spans="1:33">
      <c r="A123" s="37"/>
      <c r="B123" s="37"/>
      <c r="C123" s="663"/>
      <c r="D123" s="663"/>
      <c r="E123" s="663"/>
      <c r="F123" s="663"/>
      <c r="G123" s="663"/>
      <c r="H123" s="663"/>
      <c r="I123" s="670"/>
      <c r="J123" s="663"/>
      <c r="K123" s="683"/>
      <c r="L123" s="666"/>
      <c r="M123" s="666"/>
      <c r="N123" s="666"/>
      <c r="O123" s="666"/>
      <c r="P123" s="666"/>
      <c r="Q123" s="666"/>
      <c r="R123" s="666"/>
      <c r="S123" s="666"/>
      <c r="T123" s="666"/>
      <c r="U123" s="666"/>
      <c r="V123" s="666"/>
      <c r="W123" s="666"/>
      <c r="X123" s="666"/>
      <c r="Y123" s="666"/>
      <c r="Z123" s="666"/>
      <c r="AA123" s="666"/>
      <c r="AB123" s="666"/>
      <c r="AC123" s="666"/>
      <c r="AD123" s="666"/>
      <c r="AE123" s="666"/>
    </row>
    <row r="124" spans="1:33">
      <c r="A124" s="37" t="s">
        <v>11</v>
      </c>
      <c r="B124" s="37"/>
      <c r="C124" s="663"/>
      <c r="D124" s="663"/>
      <c r="E124" s="663"/>
      <c r="F124" s="663"/>
      <c r="G124" s="663"/>
      <c r="H124" s="663"/>
      <c r="I124" s="670"/>
      <c r="J124" s="663"/>
      <c r="K124" s="743">
        <f>COUNTIF(K119:K121,"&gt;100")</f>
        <v>0</v>
      </c>
      <c r="L124" s="496">
        <f>COUNTIF(L119,"&gt;100")</f>
        <v>0</v>
      </c>
      <c r="M124" s="496">
        <f t="shared" ref="M124:AE124" si="33">COUNTIF(M119,"&gt;100")</f>
        <v>1</v>
      </c>
      <c r="N124" s="496">
        <f t="shared" si="33"/>
        <v>1</v>
      </c>
      <c r="O124" s="496">
        <f t="shared" si="33"/>
        <v>1</v>
      </c>
      <c r="P124" s="496">
        <f t="shared" si="33"/>
        <v>1</v>
      </c>
      <c r="Q124" s="496">
        <f t="shared" si="33"/>
        <v>1</v>
      </c>
      <c r="R124" s="496">
        <f t="shared" si="33"/>
        <v>1</v>
      </c>
      <c r="S124" s="496">
        <f t="shared" si="33"/>
        <v>1</v>
      </c>
      <c r="T124" s="496">
        <f t="shared" si="33"/>
        <v>1</v>
      </c>
      <c r="U124" s="496">
        <f t="shared" si="33"/>
        <v>1</v>
      </c>
      <c r="V124" s="496">
        <f t="shared" si="33"/>
        <v>1</v>
      </c>
      <c r="W124" s="496">
        <f t="shared" si="33"/>
        <v>1</v>
      </c>
      <c r="X124" s="496">
        <f t="shared" si="33"/>
        <v>1</v>
      </c>
      <c r="Y124" s="496">
        <f t="shared" si="33"/>
        <v>1</v>
      </c>
      <c r="Z124" s="496">
        <f t="shared" si="33"/>
        <v>1</v>
      </c>
      <c r="AA124" s="496">
        <f t="shared" si="33"/>
        <v>1</v>
      </c>
      <c r="AB124" s="496">
        <f t="shared" si="33"/>
        <v>1</v>
      </c>
      <c r="AC124" s="496">
        <f t="shared" si="33"/>
        <v>1</v>
      </c>
      <c r="AD124" s="496">
        <f t="shared" si="33"/>
        <v>1</v>
      </c>
      <c r="AE124" s="496">
        <f t="shared" si="33"/>
        <v>1</v>
      </c>
    </row>
    <row r="125" spans="1:33">
      <c r="A125" s="745" t="s">
        <v>10</v>
      </c>
      <c r="B125" s="745"/>
      <c r="C125" s="739"/>
      <c r="D125" s="739"/>
      <c r="E125" s="739"/>
      <c r="F125" s="739"/>
      <c r="G125" s="739"/>
      <c r="H125" s="739"/>
      <c r="I125" s="763"/>
      <c r="J125" s="739"/>
      <c r="K125" s="749">
        <f t="shared" ref="K125" si="34">K126-K124</f>
        <v>0</v>
      </c>
      <c r="L125" s="750">
        <f>COUNTIF(L120:L121,"&gt;100")</f>
        <v>0</v>
      </c>
      <c r="M125" s="750">
        <f t="shared" ref="M125:AE125" si="35">COUNTIF(M120:M121,"&gt;100")</f>
        <v>2</v>
      </c>
      <c r="N125" s="750">
        <f t="shared" si="35"/>
        <v>2</v>
      </c>
      <c r="O125" s="750">
        <f t="shared" si="35"/>
        <v>2</v>
      </c>
      <c r="P125" s="750">
        <f t="shared" si="35"/>
        <v>2</v>
      </c>
      <c r="Q125" s="750">
        <f t="shared" si="35"/>
        <v>2</v>
      </c>
      <c r="R125" s="750">
        <f t="shared" si="35"/>
        <v>2</v>
      </c>
      <c r="S125" s="750">
        <f t="shared" si="35"/>
        <v>2</v>
      </c>
      <c r="T125" s="750">
        <f t="shared" si="35"/>
        <v>2</v>
      </c>
      <c r="U125" s="750">
        <f t="shared" si="35"/>
        <v>2</v>
      </c>
      <c r="V125" s="750">
        <f t="shared" si="35"/>
        <v>2</v>
      </c>
      <c r="W125" s="750">
        <f t="shared" si="35"/>
        <v>2</v>
      </c>
      <c r="X125" s="750">
        <f t="shared" si="35"/>
        <v>2</v>
      </c>
      <c r="Y125" s="750">
        <f t="shared" si="35"/>
        <v>2</v>
      </c>
      <c r="Z125" s="750">
        <f t="shared" si="35"/>
        <v>2</v>
      </c>
      <c r="AA125" s="750">
        <f t="shared" si="35"/>
        <v>2</v>
      </c>
      <c r="AB125" s="750">
        <f t="shared" si="35"/>
        <v>2</v>
      </c>
      <c r="AC125" s="750">
        <f t="shared" si="35"/>
        <v>2</v>
      </c>
      <c r="AD125" s="750">
        <f t="shared" si="35"/>
        <v>2</v>
      </c>
      <c r="AE125" s="750">
        <f t="shared" si="35"/>
        <v>2</v>
      </c>
    </row>
    <row r="126" spans="1:33">
      <c r="A126" s="164" t="s">
        <v>9</v>
      </c>
      <c r="B126" s="164"/>
      <c r="C126" s="667"/>
      <c r="D126" s="667"/>
      <c r="E126" s="667"/>
      <c r="F126" s="667"/>
      <c r="G126" s="667"/>
      <c r="H126" s="667"/>
      <c r="I126" s="668"/>
      <c r="J126" s="667"/>
      <c r="K126" s="751">
        <f t="shared" ref="K126:AE126" si="36">COUNTIF(K119:K121,"&gt;0")</f>
        <v>0</v>
      </c>
      <c r="L126" s="752">
        <f t="shared" si="36"/>
        <v>0</v>
      </c>
      <c r="M126" s="752">
        <f t="shared" si="36"/>
        <v>3</v>
      </c>
      <c r="N126" s="752">
        <f t="shared" si="36"/>
        <v>3</v>
      </c>
      <c r="O126" s="752">
        <f t="shared" si="36"/>
        <v>3</v>
      </c>
      <c r="P126" s="752">
        <f t="shared" si="36"/>
        <v>3</v>
      </c>
      <c r="Q126" s="752">
        <f t="shared" si="36"/>
        <v>3</v>
      </c>
      <c r="R126" s="752">
        <f t="shared" si="36"/>
        <v>3</v>
      </c>
      <c r="S126" s="752">
        <f t="shared" si="36"/>
        <v>3</v>
      </c>
      <c r="T126" s="752">
        <f t="shared" si="36"/>
        <v>3</v>
      </c>
      <c r="U126" s="752">
        <f t="shared" si="36"/>
        <v>3</v>
      </c>
      <c r="V126" s="752">
        <f t="shared" si="36"/>
        <v>3</v>
      </c>
      <c r="W126" s="752">
        <f t="shared" si="36"/>
        <v>3</v>
      </c>
      <c r="X126" s="752">
        <f t="shared" si="36"/>
        <v>3</v>
      </c>
      <c r="Y126" s="752">
        <f t="shared" si="36"/>
        <v>3</v>
      </c>
      <c r="Z126" s="752">
        <f t="shared" si="36"/>
        <v>3</v>
      </c>
      <c r="AA126" s="752">
        <f t="shared" si="36"/>
        <v>3</v>
      </c>
      <c r="AB126" s="752">
        <f t="shared" si="36"/>
        <v>3</v>
      </c>
      <c r="AC126" s="752">
        <f t="shared" si="36"/>
        <v>3</v>
      </c>
      <c r="AD126" s="752">
        <f t="shared" si="36"/>
        <v>3</v>
      </c>
      <c r="AE126" s="752">
        <f t="shared" si="36"/>
        <v>3</v>
      </c>
    </row>
    <row r="127" spans="1:33">
      <c r="A127" s="37"/>
      <c r="B127" s="37"/>
      <c r="C127" s="57"/>
      <c r="E127" s="57"/>
      <c r="F127" s="57"/>
      <c r="G127" s="57"/>
      <c r="H127" s="57"/>
      <c r="I127" s="43"/>
      <c r="J127" s="42"/>
      <c r="K127" s="683"/>
      <c r="L127" s="316"/>
      <c r="M127" s="316"/>
      <c r="N127" s="316"/>
      <c r="O127" s="316"/>
      <c r="P127" s="316"/>
      <c r="Q127" s="316"/>
      <c r="R127" s="316"/>
      <c r="S127" s="316"/>
      <c r="T127" s="316"/>
      <c r="U127" s="316"/>
      <c r="V127" s="316"/>
      <c r="W127" s="316"/>
      <c r="X127" s="316"/>
      <c r="Y127" s="316"/>
      <c r="Z127" s="316"/>
      <c r="AA127" s="316"/>
      <c r="AB127" s="316"/>
      <c r="AC127" s="316"/>
      <c r="AD127" s="316"/>
      <c r="AE127" s="316"/>
    </row>
    <row r="128" spans="1:33" s="55" customFormat="1">
      <c r="A128" s="190" t="s">
        <v>60</v>
      </c>
      <c r="B128" s="191"/>
      <c r="C128" s="192"/>
      <c r="D128" s="193"/>
      <c r="E128" s="194"/>
      <c r="F128" s="194"/>
      <c r="G128" s="192"/>
      <c r="H128" s="192"/>
      <c r="I128" s="195">
        <v>0.2</v>
      </c>
      <c r="J128" s="196"/>
      <c r="K128" s="683">
        <v>0</v>
      </c>
      <c r="L128" s="665">
        <f>$I$128*L122</f>
        <v>0</v>
      </c>
      <c r="M128" s="665">
        <f t="shared" ref="M128:AE128" si="37">$I$128*M122</f>
        <v>9095</v>
      </c>
      <c r="N128" s="665">
        <f t="shared" si="37"/>
        <v>9462.4380000000001</v>
      </c>
      <c r="O128" s="665">
        <f t="shared" si="37"/>
        <v>9651.6867600000005</v>
      </c>
      <c r="P128" s="665">
        <f t="shared" si="37"/>
        <v>9844.7204951999993</v>
      </c>
      <c r="Q128" s="665">
        <f t="shared" si="37"/>
        <v>10041.614905104001</v>
      </c>
      <c r="R128" s="665">
        <f t="shared" si="37"/>
        <v>10242.44720320608</v>
      </c>
      <c r="S128" s="665">
        <f t="shared" si="37"/>
        <v>10447.296147270201</v>
      </c>
      <c r="T128" s="665">
        <f t="shared" si="37"/>
        <v>10656.242070215607</v>
      </c>
      <c r="U128" s="665">
        <f t="shared" si="37"/>
        <v>10869.36691161992</v>
      </c>
      <c r="V128" s="665">
        <f t="shared" si="37"/>
        <v>11086.754249852318</v>
      </c>
      <c r="W128" s="665">
        <f t="shared" si="37"/>
        <v>11308.489334849364</v>
      </c>
      <c r="X128" s="665">
        <f t="shared" si="37"/>
        <v>11534.659121546354</v>
      </c>
      <c r="Y128" s="665">
        <f t="shared" si="37"/>
        <v>11765.352303977279</v>
      </c>
      <c r="Z128" s="665">
        <f t="shared" si="37"/>
        <v>12000.659350056825</v>
      </c>
      <c r="AA128" s="665">
        <f t="shared" si="37"/>
        <v>12240.672537057961</v>
      </c>
      <c r="AB128" s="665">
        <f t="shared" si="37"/>
        <v>12485.48598779912</v>
      </c>
      <c r="AC128" s="665">
        <f t="shared" si="37"/>
        <v>12735.195707555104</v>
      </c>
      <c r="AD128" s="665">
        <f t="shared" si="37"/>
        <v>12989.899621706207</v>
      </c>
      <c r="AE128" s="665">
        <f t="shared" si="37"/>
        <v>13249.697614140328</v>
      </c>
    </row>
    <row r="129" spans="1:33">
      <c r="A129" s="190"/>
      <c r="B129" s="191"/>
      <c r="C129" s="192"/>
      <c r="D129" s="193"/>
      <c r="E129" s="194"/>
      <c r="F129" s="194"/>
      <c r="G129" s="192"/>
      <c r="H129" s="192"/>
      <c r="I129" s="195"/>
      <c r="J129" s="196"/>
      <c r="K129" s="685"/>
      <c r="L129" s="665"/>
      <c r="M129" s="665"/>
      <c r="N129" s="665"/>
      <c r="O129" s="665"/>
      <c r="P129" s="665"/>
      <c r="Q129" s="665"/>
      <c r="R129" s="665"/>
      <c r="S129" s="665"/>
      <c r="T129" s="665"/>
      <c r="U129" s="665"/>
      <c r="V129" s="665"/>
      <c r="W129" s="665"/>
      <c r="X129" s="665"/>
      <c r="Y129" s="665"/>
      <c r="Z129" s="665"/>
      <c r="AA129" s="665"/>
      <c r="AB129" s="665"/>
      <c r="AC129" s="665"/>
      <c r="AD129" s="665"/>
      <c r="AE129" s="665"/>
    </row>
    <row r="130" spans="1:33">
      <c r="A130" s="164" t="s">
        <v>61</v>
      </c>
      <c r="B130" s="164"/>
      <c r="C130" s="75"/>
      <c r="D130" s="173"/>
      <c r="E130" s="75"/>
      <c r="F130" s="75"/>
      <c r="G130" s="75"/>
      <c r="H130" s="75"/>
      <c r="I130" s="174"/>
      <c r="J130" s="175"/>
      <c r="K130" s="685">
        <v>0</v>
      </c>
      <c r="L130" s="669">
        <f>SUM(L122,L128)</f>
        <v>0</v>
      </c>
      <c r="M130" s="669">
        <f t="shared" ref="M130:AE130" si="38">SUM(M122,M128)</f>
        <v>54570</v>
      </c>
      <c r="N130" s="669">
        <f t="shared" si="38"/>
        <v>56774.628000000004</v>
      </c>
      <c r="O130" s="669">
        <f t="shared" si="38"/>
        <v>57910.120559999996</v>
      </c>
      <c r="P130" s="669">
        <f t="shared" si="38"/>
        <v>59068.322971199988</v>
      </c>
      <c r="Q130" s="669">
        <f t="shared" si="38"/>
        <v>60249.689430623999</v>
      </c>
      <c r="R130" s="669">
        <f t="shared" si="38"/>
        <v>61454.683219236475</v>
      </c>
      <c r="S130" s="669">
        <f t="shared" si="38"/>
        <v>62683.776883621205</v>
      </c>
      <c r="T130" s="669">
        <f t="shared" si="38"/>
        <v>63937.452421293638</v>
      </c>
      <c r="U130" s="669">
        <f t="shared" si="38"/>
        <v>65216.201469719512</v>
      </c>
      <c r="V130" s="669">
        <f t="shared" si="38"/>
        <v>66520.525499113894</v>
      </c>
      <c r="W130" s="669">
        <f t="shared" si="38"/>
        <v>67850.936009096185</v>
      </c>
      <c r="X130" s="669">
        <f t="shared" si="38"/>
        <v>69207.954729278121</v>
      </c>
      <c r="Y130" s="669">
        <f t="shared" si="38"/>
        <v>70592.113823863678</v>
      </c>
      <c r="Z130" s="669">
        <f t="shared" si="38"/>
        <v>72003.956100340947</v>
      </c>
      <c r="AA130" s="669">
        <f t="shared" si="38"/>
        <v>73444.035222347768</v>
      </c>
      <c r="AB130" s="669">
        <f t="shared" si="38"/>
        <v>74912.915926794725</v>
      </c>
      <c r="AC130" s="669">
        <f t="shared" si="38"/>
        <v>76411.174245330621</v>
      </c>
      <c r="AD130" s="669">
        <f t="shared" si="38"/>
        <v>77939.397730237237</v>
      </c>
      <c r="AE130" s="669">
        <f t="shared" si="38"/>
        <v>79498.18568484197</v>
      </c>
    </row>
    <row r="131" spans="1:33">
      <c r="A131" s="183"/>
      <c r="B131" s="184"/>
      <c r="C131" s="185"/>
      <c r="D131" s="186"/>
      <c r="E131" s="185"/>
      <c r="F131" s="185"/>
      <c r="G131" s="185"/>
      <c r="H131" s="185"/>
      <c r="I131" s="187"/>
      <c r="J131" s="188"/>
      <c r="K131" s="683"/>
      <c r="L131" s="320"/>
      <c r="M131" s="320"/>
      <c r="N131" s="320"/>
      <c r="O131" s="320"/>
      <c r="P131" s="320"/>
      <c r="Q131" s="320"/>
      <c r="R131" s="320"/>
      <c r="S131" s="320"/>
      <c r="T131" s="320"/>
      <c r="U131" s="320"/>
      <c r="V131" s="320"/>
      <c r="W131" s="320"/>
      <c r="X131" s="320"/>
      <c r="Y131" s="320"/>
      <c r="Z131" s="320"/>
      <c r="AA131" s="320"/>
      <c r="AB131" s="320"/>
      <c r="AC131" s="320"/>
      <c r="AD131" s="320"/>
      <c r="AE131" s="320"/>
    </row>
    <row r="132" spans="1:33">
      <c r="A132" s="39" t="s">
        <v>4</v>
      </c>
      <c r="B132" s="39"/>
      <c r="C132" s="111"/>
      <c r="D132" s="112"/>
      <c r="E132" s="111"/>
      <c r="F132" s="111"/>
      <c r="G132" s="111"/>
      <c r="H132" s="111"/>
      <c r="I132" s="40"/>
      <c r="J132" s="113"/>
      <c r="K132" s="688"/>
      <c r="L132" s="321"/>
      <c r="M132" s="321"/>
      <c r="N132" s="321"/>
      <c r="O132" s="321"/>
      <c r="P132" s="321"/>
      <c r="Q132" s="321"/>
      <c r="R132" s="321"/>
      <c r="S132" s="321"/>
      <c r="T132" s="321"/>
      <c r="U132" s="321"/>
      <c r="V132" s="321"/>
      <c r="W132" s="321"/>
      <c r="X132" s="321"/>
      <c r="Y132" s="321"/>
      <c r="Z132" s="321"/>
      <c r="AA132" s="321"/>
      <c r="AB132" s="321"/>
      <c r="AC132" s="321"/>
      <c r="AD132" s="321"/>
      <c r="AE132" s="321"/>
    </row>
    <row r="133" spans="1:33">
      <c r="A133" s="41" t="s">
        <v>13</v>
      </c>
      <c r="B133" s="41"/>
      <c r="C133" s="105"/>
      <c r="D133" s="106"/>
      <c r="E133" s="37"/>
      <c r="F133" s="37"/>
      <c r="G133" s="37"/>
      <c r="H133" s="37"/>
      <c r="I133" s="41"/>
      <c r="J133" s="37"/>
      <c r="K133" s="683"/>
      <c r="L133" s="200"/>
      <c r="M133" s="200"/>
      <c r="N133" s="200"/>
      <c r="O133" s="200"/>
      <c r="P133" s="200"/>
      <c r="Q133" s="200"/>
      <c r="R133" s="200"/>
      <c r="S133" s="200"/>
      <c r="T133" s="200"/>
      <c r="U133" s="201"/>
      <c r="V133" s="323"/>
      <c r="W133" s="200"/>
      <c r="X133" s="200"/>
      <c r="Y133" s="200"/>
      <c r="Z133" s="200"/>
      <c r="AA133" s="200"/>
      <c r="AB133" s="200"/>
      <c r="AC133" s="200"/>
      <c r="AD133" s="200"/>
      <c r="AE133" s="201"/>
    </row>
    <row r="134" spans="1:33">
      <c r="A134" s="33" t="s">
        <v>65</v>
      </c>
      <c r="B134" s="735" t="s">
        <v>12</v>
      </c>
      <c r="C134" s="663">
        <v>65000</v>
      </c>
      <c r="D134" s="736">
        <f>C134/2080</f>
        <v>31.25</v>
      </c>
      <c r="E134" s="663">
        <v>0</v>
      </c>
      <c r="F134" s="663">
        <f>C134*$F$13</f>
        <v>26000</v>
      </c>
      <c r="G134" s="663">
        <f>SUM(C134,E134:F134)</f>
        <v>91000</v>
      </c>
      <c r="H134" s="736">
        <f>G134/2080*8</f>
        <v>350</v>
      </c>
      <c r="I134" s="764"/>
      <c r="J134" s="765"/>
      <c r="K134" s="683">
        <v>0</v>
      </c>
      <c r="L134" s="665">
        <v>0</v>
      </c>
      <c r="M134" s="665">
        <f>$H$134*M32*0.25</f>
        <v>18725</v>
      </c>
      <c r="N134" s="665">
        <f t="shared" ref="N134:AE134" si="39">$M$134*L11</f>
        <v>19099.5</v>
      </c>
      <c r="O134" s="665">
        <f t="shared" si="39"/>
        <v>19481.490000000002</v>
      </c>
      <c r="P134" s="665">
        <f t="shared" si="39"/>
        <v>19871.1198</v>
      </c>
      <c r="Q134" s="665">
        <f t="shared" si="39"/>
        <v>20268.542195999999</v>
      </c>
      <c r="R134" s="665">
        <f t="shared" si="39"/>
        <v>20673.91303992</v>
      </c>
      <c r="S134" s="665">
        <f t="shared" si="39"/>
        <v>21087.391300718402</v>
      </c>
      <c r="T134" s="665">
        <f t="shared" si="39"/>
        <v>21509.139126732767</v>
      </c>
      <c r="U134" s="665">
        <f t="shared" si="39"/>
        <v>21939.321909267426</v>
      </c>
      <c r="V134" s="665">
        <f t="shared" si="39"/>
        <v>22378.108347452773</v>
      </c>
      <c r="W134" s="665">
        <f t="shared" si="39"/>
        <v>22825.670514401831</v>
      </c>
      <c r="X134" s="665">
        <f t="shared" si="39"/>
        <v>23282.183924689867</v>
      </c>
      <c r="Y134" s="665">
        <f t="shared" si="39"/>
        <v>23747.827603183665</v>
      </c>
      <c r="Z134" s="665">
        <f t="shared" si="39"/>
        <v>24222.784155247336</v>
      </c>
      <c r="AA134" s="665">
        <f t="shared" si="39"/>
        <v>24707.239838352285</v>
      </c>
      <c r="AB134" s="665">
        <f t="shared" si="39"/>
        <v>25201.384635119332</v>
      </c>
      <c r="AC134" s="665">
        <f t="shared" si="39"/>
        <v>25705.412327821719</v>
      </c>
      <c r="AD134" s="665">
        <f t="shared" si="39"/>
        <v>26219.520574378155</v>
      </c>
      <c r="AE134" s="665">
        <f t="shared" si="39"/>
        <v>26743.910985865718</v>
      </c>
    </row>
    <row r="135" spans="1:33">
      <c r="A135" s="37" t="s">
        <v>62</v>
      </c>
      <c r="B135" s="735" t="s">
        <v>12</v>
      </c>
      <c r="C135" s="663">
        <v>85000</v>
      </c>
      <c r="D135" s="736">
        <f>C135/2080</f>
        <v>40.865384615384613</v>
      </c>
      <c r="E135" s="663">
        <f>C135*$L$15</f>
        <v>0</v>
      </c>
      <c r="F135" s="663">
        <f t="shared" ref="F135:F138" si="40">C135*$F$13</f>
        <v>34000</v>
      </c>
      <c r="G135" s="663">
        <f t="shared" ref="G135:G138" si="41">SUM(C135,E135:F135)</f>
        <v>119000</v>
      </c>
      <c r="H135" s="736">
        <f>G135/2080*8</f>
        <v>457.69230769230768</v>
      </c>
      <c r="I135" s="764"/>
      <c r="J135" s="765"/>
      <c r="K135" s="683">
        <v>0</v>
      </c>
      <c r="L135" s="665">
        <v>0</v>
      </c>
      <c r="M135" s="665">
        <f>$H$135*M32*0.1</f>
        <v>9794.6153846153848</v>
      </c>
      <c r="N135" s="665">
        <f t="shared" ref="N135:AE135" si="42">$M$135*L11</f>
        <v>9990.5076923076922</v>
      </c>
      <c r="O135" s="665">
        <f t="shared" si="42"/>
        <v>10190.317846153846</v>
      </c>
      <c r="P135" s="665">
        <f t="shared" si="42"/>
        <v>10394.124203076923</v>
      </c>
      <c r="Q135" s="665">
        <f t="shared" si="42"/>
        <v>10602.006687138461</v>
      </c>
      <c r="R135" s="665">
        <f t="shared" si="42"/>
        <v>10814.046820881231</v>
      </c>
      <c r="S135" s="665">
        <f t="shared" si="42"/>
        <v>11030.327757298855</v>
      </c>
      <c r="T135" s="665">
        <f t="shared" si="42"/>
        <v>11250.934312444833</v>
      </c>
      <c r="U135" s="665">
        <f t="shared" si="42"/>
        <v>11475.95299869373</v>
      </c>
      <c r="V135" s="665">
        <f t="shared" si="42"/>
        <v>11705.472058667605</v>
      </c>
      <c r="W135" s="665">
        <f t="shared" si="42"/>
        <v>11939.581499840959</v>
      </c>
      <c r="X135" s="665">
        <f t="shared" si="42"/>
        <v>12178.373129837777</v>
      </c>
      <c r="Y135" s="665">
        <f t="shared" si="42"/>
        <v>12421.940592434532</v>
      </c>
      <c r="Z135" s="665">
        <f t="shared" si="42"/>
        <v>12670.379404283221</v>
      </c>
      <c r="AA135" s="665">
        <f t="shared" si="42"/>
        <v>12923.786992368889</v>
      </c>
      <c r="AB135" s="665">
        <f t="shared" si="42"/>
        <v>13182.262732216266</v>
      </c>
      <c r="AC135" s="665">
        <f t="shared" si="42"/>
        <v>13445.907986860591</v>
      </c>
      <c r="AD135" s="665">
        <f t="shared" si="42"/>
        <v>13714.826146597805</v>
      </c>
      <c r="AE135" s="665">
        <f t="shared" si="42"/>
        <v>13989.122669529761</v>
      </c>
    </row>
    <row r="136" spans="1:33">
      <c r="A136" s="37" t="s">
        <v>419</v>
      </c>
      <c r="B136" s="735" t="s">
        <v>12</v>
      </c>
      <c r="C136" s="663">
        <v>75000</v>
      </c>
      <c r="D136" s="736">
        <f>C136/2080</f>
        <v>36.057692307692307</v>
      </c>
      <c r="E136" s="663">
        <f>C136*$L$15</f>
        <v>0</v>
      </c>
      <c r="F136" s="663">
        <f t="shared" si="40"/>
        <v>30000</v>
      </c>
      <c r="G136" s="663">
        <f t="shared" si="41"/>
        <v>105000</v>
      </c>
      <c r="H136" s="736">
        <f>G136/2080*8</f>
        <v>403.84615384615387</v>
      </c>
      <c r="I136" s="764"/>
      <c r="J136" s="765"/>
      <c r="K136" s="683">
        <v>0</v>
      </c>
      <c r="L136" s="665">
        <v>0</v>
      </c>
      <c r="M136" s="665">
        <f>$H$136*M32*0.1</f>
        <v>8642.3076923076933</v>
      </c>
      <c r="N136" s="665">
        <f t="shared" ref="N136:AE136" si="43">$M$136*L11</f>
        <v>8815.1538461538476</v>
      </c>
      <c r="O136" s="665">
        <f t="shared" si="43"/>
        <v>8991.4569230769248</v>
      </c>
      <c r="P136" s="665">
        <f t="shared" si="43"/>
        <v>9171.2860615384616</v>
      </c>
      <c r="Q136" s="665">
        <f t="shared" si="43"/>
        <v>9354.7117827692309</v>
      </c>
      <c r="R136" s="665">
        <f t="shared" si="43"/>
        <v>9541.8060184246169</v>
      </c>
      <c r="S136" s="665">
        <f t="shared" si="43"/>
        <v>9732.6421387931096</v>
      </c>
      <c r="T136" s="665">
        <f t="shared" si="43"/>
        <v>9927.2949815689717</v>
      </c>
      <c r="U136" s="665">
        <f t="shared" si="43"/>
        <v>10125.840881200351</v>
      </c>
      <c r="V136" s="665">
        <f t="shared" si="43"/>
        <v>10328.357698824359</v>
      </c>
      <c r="W136" s="665">
        <f t="shared" si="43"/>
        <v>10534.924852800847</v>
      </c>
      <c r="X136" s="665">
        <f t="shared" si="43"/>
        <v>10745.623349856864</v>
      </c>
      <c r="Y136" s="665">
        <f t="shared" si="43"/>
        <v>10960.535816854001</v>
      </c>
      <c r="Z136" s="665">
        <f t="shared" si="43"/>
        <v>11179.746533191079</v>
      </c>
      <c r="AA136" s="665">
        <f t="shared" si="43"/>
        <v>11403.341463854902</v>
      </c>
      <c r="AB136" s="665">
        <f t="shared" si="43"/>
        <v>11631.408293132001</v>
      </c>
      <c r="AC136" s="665">
        <f t="shared" si="43"/>
        <v>11864.03645899464</v>
      </c>
      <c r="AD136" s="665">
        <f t="shared" si="43"/>
        <v>12101.317188174535</v>
      </c>
      <c r="AE136" s="665">
        <f t="shared" si="43"/>
        <v>12343.343531938026</v>
      </c>
    </row>
    <row r="137" spans="1:33">
      <c r="A137" s="37" t="s">
        <v>63</v>
      </c>
      <c r="B137" s="735" t="s">
        <v>15</v>
      </c>
      <c r="C137" s="663">
        <v>15000</v>
      </c>
      <c r="D137" s="736">
        <f t="shared" ref="D137:D138" si="44">C137/2080</f>
        <v>7.2115384615384617</v>
      </c>
      <c r="E137" s="663">
        <f>C137*$L$15</f>
        <v>0</v>
      </c>
      <c r="F137" s="663">
        <f t="shared" si="40"/>
        <v>6000</v>
      </c>
      <c r="G137" s="663">
        <f t="shared" si="41"/>
        <v>21000</v>
      </c>
      <c r="H137" s="736">
        <f t="shared" ref="H137:H138" si="45">G137/2080*8</f>
        <v>80.769230769230774</v>
      </c>
      <c r="I137" s="764"/>
      <c r="J137" s="765"/>
      <c r="K137" s="683">
        <v>0</v>
      </c>
      <c r="L137" s="665">
        <v>0</v>
      </c>
      <c r="M137" s="665">
        <f>($H$137*M32)*0.5</f>
        <v>8642.3076923076933</v>
      </c>
      <c r="N137" s="665">
        <f t="shared" ref="N137:AE137" si="46">$M$137*L11</f>
        <v>8815.1538461538476</v>
      </c>
      <c r="O137" s="665">
        <f t="shared" si="46"/>
        <v>8991.4569230769248</v>
      </c>
      <c r="P137" s="665">
        <f t="shared" si="46"/>
        <v>9171.2860615384616</v>
      </c>
      <c r="Q137" s="665">
        <f t="shared" si="46"/>
        <v>9354.7117827692309</v>
      </c>
      <c r="R137" s="665">
        <f t="shared" si="46"/>
        <v>9541.8060184246169</v>
      </c>
      <c r="S137" s="665">
        <f t="shared" si="46"/>
        <v>9732.6421387931096</v>
      </c>
      <c r="T137" s="665">
        <f t="shared" si="46"/>
        <v>9927.2949815689717</v>
      </c>
      <c r="U137" s="665">
        <f t="shared" si="46"/>
        <v>10125.840881200351</v>
      </c>
      <c r="V137" s="665">
        <f t="shared" si="46"/>
        <v>10328.357698824359</v>
      </c>
      <c r="W137" s="665">
        <f t="shared" si="46"/>
        <v>10534.924852800847</v>
      </c>
      <c r="X137" s="665">
        <f t="shared" si="46"/>
        <v>10745.623349856864</v>
      </c>
      <c r="Y137" s="665">
        <f t="shared" si="46"/>
        <v>10960.535816854001</v>
      </c>
      <c r="Z137" s="665">
        <f t="shared" si="46"/>
        <v>11179.746533191079</v>
      </c>
      <c r="AA137" s="665">
        <f t="shared" si="46"/>
        <v>11403.341463854902</v>
      </c>
      <c r="AB137" s="665">
        <f t="shared" si="46"/>
        <v>11631.408293132001</v>
      </c>
      <c r="AC137" s="665">
        <f t="shared" si="46"/>
        <v>11864.03645899464</v>
      </c>
      <c r="AD137" s="665">
        <f t="shared" si="46"/>
        <v>12101.317188174535</v>
      </c>
      <c r="AE137" s="665">
        <f t="shared" si="46"/>
        <v>12343.343531938026</v>
      </c>
    </row>
    <row r="138" spans="1:33">
      <c r="A138" s="745" t="s">
        <v>63</v>
      </c>
      <c r="B138" s="738" t="s">
        <v>15</v>
      </c>
      <c r="C138" s="739">
        <v>15000</v>
      </c>
      <c r="D138" s="740">
        <f t="shared" si="44"/>
        <v>7.2115384615384617</v>
      </c>
      <c r="E138" s="739">
        <f>C138*$L$15</f>
        <v>0</v>
      </c>
      <c r="F138" s="739">
        <f t="shared" si="40"/>
        <v>6000</v>
      </c>
      <c r="G138" s="739">
        <f t="shared" si="41"/>
        <v>21000</v>
      </c>
      <c r="H138" s="740">
        <f t="shared" si="45"/>
        <v>80.769230769230774</v>
      </c>
      <c r="I138" s="766"/>
      <c r="J138" s="767"/>
      <c r="K138" s="741">
        <v>0</v>
      </c>
      <c r="L138" s="742">
        <v>0</v>
      </c>
      <c r="M138" s="742">
        <f>($H$138*M32)*0.5</f>
        <v>8642.3076923076933</v>
      </c>
      <c r="N138" s="742">
        <f t="shared" ref="N138:AE138" si="47">$M$138*L11</f>
        <v>8815.1538461538476</v>
      </c>
      <c r="O138" s="742">
        <f t="shared" si="47"/>
        <v>8991.4569230769248</v>
      </c>
      <c r="P138" s="742">
        <f t="shared" si="47"/>
        <v>9171.2860615384616</v>
      </c>
      <c r="Q138" s="742">
        <f t="shared" si="47"/>
        <v>9354.7117827692309</v>
      </c>
      <c r="R138" s="742">
        <f t="shared" si="47"/>
        <v>9541.8060184246169</v>
      </c>
      <c r="S138" s="742">
        <f t="shared" si="47"/>
        <v>9732.6421387931096</v>
      </c>
      <c r="T138" s="742">
        <f t="shared" si="47"/>
        <v>9927.2949815689717</v>
      </c>
      <c r="U138" s="742">
        <f t="shared" si="47"/>
        <v>10125.840881200351</v>
      </c>
      <c r="V138" s="742">
        <f t="shared" si="47"/>
        <v>10328.357698824359</v>
      </c>
      <c r="W138" s="742">
        <f t="shared" si="47"/>
        <v>10534.924852800847</v>
      </c>
      <c r="X138" s="742">
        <f t="shared" si="47"/>
        <v>10745.623349856864</v>
      </c>
      <c r="Y138" s="742">
        <f t="shared" si="47"/>
        <v>10960.535816854001</v>
      </c>
      <c r="Z138" s="742">
        <f t="shared" si="47"/>
        <v>11179.746533191079</v>
      </c>
      <c r="AA138" s="742">
        <f t="shared" si="47"/>
        <v>11403.341463854902</v>
      </c>
      <c r="AB138" s="742">
        <f t="shared" si="47"/>
        <v>11631.408293132001</v>
      </c>
      <c r="AC138" s="742">
        <f t="shared" si="47"/>
        <v>11864.03645899464</v>
      </c>
      <c r="AD138" s="742">
        <f t="shared" si="47"/>
        <v>12101.317188174535</v>
      </c>
      <c r="AE138" s="742">
        <f t="shared" si="47"/>
        <v>12343.343531938026</v>
      </c>
    </row>
    <row r="139" spans="1:33" s="56" customFormat="1" ht="14.25">
      <c r="A139" s="164" t="s">
        <v>415</v>
      </c>
      <c r="B139" s="164"/>
      <c r="C139" s="667">
        <f>SUM(C134:C138)</f>
        <v>255000</v>
      </c>
      <c r="D139" s="667"/>
      <c r="E139" s="667">
        <f>SUM(E134:E138)</f>
        <v>0</v>
      </c>
      <c r="F139" s="667">
        <f>SUM(F134:F138)</f>
        <v>102000</v>
      </c>
      <c r="G139" s="667">
        <f>SUM(G134:G138)</f>
        <v>357000</v>
      </c>
      <c r="H139" s="667">
        <f>SUM(H134:H138)</f>
        <v>1373.0769230769229</v>
      </c>
      <c r="I139" s="768"/>
      <c r="J139" s="769"/>
      <c r="K139" s="685">
        <f>SUMIF($B134:$B138,"FT",K134:K138)</f>
        <v>0</v>
      </c>
      <c r="L139" s="669">
        <f>SUMIF($B134:$B138,"FT",L134:L138)</f>
        <v>0</v>
      </c>
      <c r="M139" s="669">
        <f>SUM(M134:M138)</f>
        <v>54446.538461538468</v>
      </c>
      <c r="N139" s="669">
        <f t="shared" ref="N139:AE139" si="48">SUM(N134:N138)</f>
        <v>55535.469230769231</v>
      </c>
      <c r="O139" s="669">
        <f t="shared" si="48"/>
        <v>56646.178615384626</v>
      </c>
      <c r="P139" s="669">
        <f t="shared" si="48"/>
        <v>57779.102187692311</v>
      </c>
      <c r="Q139" s="669">
        <f t="shared" si="48"/>
        <v>58934.684231446139</v>
      </c>
      <c r="R139" s="669">
        <f t="shared" si="48"/>
        <v>60113.377916075071</v>
      </c>
      <c r="S139" s="669">
        <f t="shared" si="48"/>
        <v>61315.645474396588</v>
      </c>
      <c r="T139" s="669">
        <f t="shared" si="48"/>
        <v>62541.958383884514</v>
      </c>
      <c r="U139" s="669">
        <f t="shared" si="48"/>
        <v>63792.797551562195</v>
      </c>
      <c r="V139" s="669">
        <f t="shared" si="48"/>
        <v>65068.653502593457</v>
      </c>
      <c r="W139" s="669">
        <f t="shared" si="48"/>
        <v>66370.026572645322</v>
      </c>
      <c r="X139" s="669">
        <f t="shared" si="48"/>
        <v>67697.427104098228</v>
      </c>
      <c r="Y139" s="669">
        <f t="shared" si="48"/>
        <v>69051.375646180197</v>
      </c>
      <c r="Z139" s="669">
        <f t="shared" si="48"/>
        <v>70432.403159103793</v>
      </c>
      <c r="AA139" s="669">
        <f t="shared" si="48"/>
        <v>71841.051222285882</v>
      </c>
      <c r="AB139" s="669">
        <f t="shared" si="48"/>
        <v>73277.872246731597</v>
      </c>
      <c r="AC139" s="669">
        <f t="shared" si="48"/>
        <v>74743.429691666228</v>
      </c>
      <c r="AD139" s="669">
        <f t="shared" si="48"/>
        <v>76238.298285499564</v>
      </c>
      <c r="AE139" s="669">
        <f t="shared" si="48"/>
        <v>77763.064251209551</v>
      </c>
    </row>
    <row r="140" spans="1:33">
      <c r="A140" s="37"/>
      <c r="B140" s="37"/>
      <c r="C140" s="663"/>
      <c r="D140" s="663"/>
      <c r="E140" s="663"/>
      <c r="F140" s="663"/>
      <c r="G140" s="663"/>
      <c r="H140" s="663"/>
      <c r="I140" s="107"/>
      <c r="J140" s="108"/>
      <c r="K140" s="683"/>
      <c r="L140" s="666"/>
      <c r="M140" s="666"/>
      <c r="N140" s="666"/>
      <c r="O140" s="666"/>
      <c r="P140" s="666"/>
      <c r="Q140" s="666"/>
      <c r="R140" s="666"/>
      <c r="S140" s="666"/>
      <c r="T140" s="666"/>
      <c r="U140" s="666"/>
      <c r="V140" s="666"/>
      <c r="W140" s="666"/>
      <c r="X140" s="666"/>
      <c r="Y140" s="666"/>
      <c r="Z140" s="666"/>
      <c r="AA140" s="666"/>
      <c r="AB140" s="666"/>
      <c r="AC140" s="666"/>
      <c r="AD140" s="666"/>
      <c r="AE140" s="666"/>
    </row>
    <row r="141" spans="1:33">
      <c r="A141" s="37" t="s">
        <v>11</v>
      </c>
      <c r="B141" s="37"/>
      <c r="C141" s="57"/>
      <c r="E141" s="57"/>
      <c r="F141" s="57"/>
      <c r="G141" s="57"/>
      <c r="H141" s="57"/>
      <c r="I141" s="43"/>
      <c r="J141" s="42"/>
      <c r="K141" s="770">
        <f>COUNTIF(K134:K138,"&gt;100")</f>
        <v>0</v>
      </c>
      <c r="L141" s="771">
        <f>COUNTIF(L134:L136,"&gt;100")</f>
        <v>0</v>
      </c>
      <c r="M141" s="771">
        <f t="shared" ref="M141:AE141" si="49">COUNTIF(M134:M136,"&gt;100")</f>
        <v>3</v>
      </c>
      <c r="N141" s="771">
        <f t="shared" si="49"/>
        <v>3</v>
      </c>
      <c r="O141" s="771">
        <f t="shared" si="49"/>
        <v>3</v>
      </c>
      <c r="P141" s="771">
        <f t="shared" si="49"/>
        <v>3</v>
      </c>
      <c r="Q141" s="771">
        <f t="shared" si="49"/>
        <v>3</v>
      </c>
      <c r="R141" s="771">
        <f t="shared" si="49"/>
        <v>3</v>
      </c>
      <c r="S141" s="771">
        <f t="shared" si="49"/>
        <v>3</v>
      </c>
      <c r="T141" s="771">
        <f t="shared" si="49"/>
        <v>3</v>
      </c>
      <c r="U141" s="771">
        <f t="shared" si="49"/>
        <v>3</v>
      </c>
      <c r="V141" s="771">
        <f t="shared" si="49"/>
        <v>3</v>
      </c>
      <c r="W141" s="771">
        <f t="shared" si="49"/>
        <v>3</v>
      </c>
      <c r="X141" s="771">
        <f t="shared" si="49"/>
        <v>3</v>
      </c>
      <c r="Y141" s="771">
        <f t="shared" si="49"/>
        <v>3</v>
      </c>
      <c r="Z141" s="771">
        <f t="shared" si="49"/>
        <v>3</v>
      </c>
      <c r="AA141" s="771">
        <f t="shared" si="49"/>
        <v>3</v>
      </c>
      <c r="AB141" s="771">
        <f t="shared" si="49"/>
        <v>3</v>
      </c>
      <c r="AC141" s="771">
        <f t="shared" si="49"/>
        <v>3</v>
      </c>
      <c r="AD141" s="771">
        <f t="shared" si="49"/>
        <v>3</v>
      </c>
      <c r="AE141" s="771">
        <f t="shared" si="49"/>
        <v>3</v>
      </c>
      <c r="AF141" s="772"/>
      <c r="AG141" s="772"/>
    </row>
    <row r="142" spans="1:33">
      <c r="A142" s="745" t="s">
        <v>10</v>
      </c>
      <c r="B142" s="745"/>
      <c r="C142" s="746"/>
      <c r="D142" s="116"/>
      <c r="E142" s="746"/>
      <c r="F142" s="746"/>
      <c r="G142" s="746"/>
      <c r="H142" s="746"/>
      <c r="I142" s="747"/>
      <c r="J142" s="748"/>
      <c r="K142" s="773">
        <v>0</v>
      </c>
      <c r="L142" s="774">
        <f>COUNTIF(L137:L138,"&gt;100")</f>
        <v>0</v>
      </c>
      <c r="M142" s="774">
        <f t="shared" ref="M142:AE142" si="50">COUNTIF(M137:M138,"&gt;100")</f>
        <v>2</v>
      </c>
      <c r="N142" s="774">
        <f t="shared" si="50"/>
        <v>2</v>
      </c>
      <c r="O142" s="774">
        <f t="shared" si="50"/>
        <v>2</v>
      </c>
      <c r="P142" s="774">
        <f t="shared" si="50"/>
        <v>2</v>
      </c>
      <c r="Q142" s="774">
        <f t="shared" si="50"/>
        <v>2</v>
      </c>
      <c r="R142" s="774">
        <f t="shared" si="50"/>
        <v>2</v>
      </c>
      <c r="S142" s="774">
        <f t="shared" si="50"/>
        <v>2</v>
      </c>
      <c r="T142" s="774">
        <f t="shared" si="50"/>
        <v>2</v>
      </c>
      <c r="U142" s="774">
        <f t="shared" si="50"/>
        <v>2</v>
      </c>
      <c r="V142" s="774">
        <f t="shared" si="50"/>
        <v>2</v>
      </c>
      <c r="W142" s="774">
        <f t="shared" si="50"/>
        <v>2</v>
      </c>
      <c r="X142" s="774">
        <f t="shared" si="50"/>
        <v>2</v>
      </c>
      <c r="Y142" s="774">
        <f t="shared" si="50"/>
        <v>2</v>
      </c>
      <c r="Z142" s="774">
        <f t="shared" si="50"/>
        <v>2</v>
      </c>
      <c r="AA142" s="774">
        <f t="shared" si="50"/>
        <v>2</v>
      </c>
      <c r="AB142" s="774">
        <f t="shared" si="50"/>
        <v>2</v>
      </c>
      <c r="AC142" s="774">
        <f t="shared" si="50"/>
        <v>2</v>
      </c>
      <c r="AD142" s="774">
        <f t="shared" si="50"/>
        <v>2</v>
      </c>
      <c r="AE142" s="774">
        <f t="shared" si="50"/>
        <v>2</v>
      </c>
      <c r="AF142" s="772"/>
      <c r="AG142" s="772"/>
    </row>
    <row r="143" spans="1:33" s="56" customFormat="1" ht="14.25">
      <c r="A143" s="164" t="s">
        <v>9</v>
      </c>
      <c r="B143" s="164"/>
      <c r="C143" s="75"/>
      <c r="D143" s="173"/>
      <c r="E143" s="75"/>
      <c r="F143" s="75"/>
      <c r="G143" s="75"/>
      <c r="H143" s="75"/>
      <c r="I143" s="174"/>
      <c r="J143" s="181"/>
      <c r="K143" s="775">
        <v>0</v>
      </c>
      <c r="L143" s="776">
        <f>SUM(L141:L142)</f>
        <v>0</v>
      </c>
      <c r="M143" s="776">
        <f t="shared" ref="M143:AE143" si="51">COUNTIF(M134:M138,"&gt;0")</f>
        <v>5</v>
      </c>
      <c r="N143" s="776">
        <f t="shared" si="51"/>
        <v>5</v>
      </c>
      <c r="O143" s="776">
        <f t="shared" si="51"/>
        <v>5</v>
      </c>
      <c r="P143" s="776">
        <f t="shared" si="51"/>
        <v>5</v>
      </c>
      <c r="Q143" s="776">
        <f t="shared" si="51"/>
        <v>5</v>
      </c>
      <c r="R143" s="776">
        <f t="shared" si="51"/>
        <v>5</v>
      </c>
      <c r="S143" s="776">
        <f t="shared" si="51"/>
        <v>5</v>
      </c>
      <c r="T143" s="776">
        <f t="shared" si="51"/>
        <v>5</v>
      </c>
      <c r="U143" s="776">
        <f t="shared" si="51"/>
        <v>5</v>
      </c>
      <c r="V143" s="776">
        <f t="shared" si="51"/>
        <v>5</v>
      </c>
      <c r="W143" s="776">
        <f t="shared" si="51"/>
        <v>5</v>
      </c>
      <c r="X143" s="776">
        <f t="shared" si="51"/>
        <v>5</v>
      </c>
      <c r="Y143" s="776">
        <f t="shared" si="51"/>
        <v>5</v>
      </c>
      <c r="Z143" s="776">
        <f t="shared" si="51"/>
        <v>5</v>
      </c>
      <c r="AA143" s="776">
        <f t="shared" si="51"/>
        <v>5</v>
      </c>
      <c r="AB143" s="776">
        <f t="shared" si="51"/>
        <v>5</v>
      </c>
      <c r="AC143" s="776">
        <f t="shared" si="51"/>
        <v>5</v>
      </c>
      <c r="AD143" s="776">
        <f t="shared" si="51"/>
        <v>5</v>
      </c>
      <c r="AE143" s="776">
        <f t="shared" si="51"/>
        <v>5</v>
      </c>
      <c r="AF143" s="723"/>
      <c r="AG143" s="723"/>
    </row>
    <row r="144" spans="1:33">
      <c r="B144" s="37"/>
      <c r="C144" s="57"/>
      <c r="E144" s="57"/>
      <c r="F144" s="57"/>
      <c r="G144" s="57"/>
      <c r="H144" s="57"/>
      <c r="I144" s="43"/>
      <c r="J144" s="42"/>
      <c r="K144" s="683"/>
      <c r="L144" s="316"/>
      <c r="M144" s="316"/>
      <c r="N144" s="316"/>
      <c r="O144" s="316"/>
      <c r="P144" s="316"/>
      <c r="Q144" s="316"/>
      <c r="R144" s="316"/>
      <c r="S144" s="316"/>
      <c r="T144" s="316"/>
      <c r="U144" s="316"/>
      <c r="V144" s="316"/>
      <c r="W144" s="316"/>
      <c r="X144" s="316"/>
      <c r="Y144" s="316"/>
      <c r="Z144" s="316"/>
      <c r="AA144" s="316"/>
      <c r="AB144" s="316"/>
      <c r="AC144" s="316"/>
      <c r="AD144" s="316"/>
      <c r="AE144" s="316"/>
    </row>
    <row r="145" spans="1:33">
      <c r="A145" s="33" t="s">
        <v>60</v>
      </c>
      <c r="B145" s="191"/>
      <c r="C145" s="192"/>
      <c r="D145" s="193"/>
      <c r="E145" s="194"/>
      <c r="F145" s="194"/>
      <c r="G145" s="192"/>
      <c r="H145" s="192"/>
      <c r="I145" s="195">
        <v>0.2</v>
      </c>
      <c r="J145" s="196"/>
      <c r="K145" s="689">
        <v>0</v>
      </c>
      <c r="L145" s="665">
        <f t="shared" ref="L145:AE145" si="52">L139*$I$145</f>
        <v>0</v>
      </c>
      <c r="M145" s="665">
        <f t="shared" si="52"/>
        <v>10889.307692307695</v>
      </c>
      <c r="N145" s="665">
        <f t="shared" si="52"/>
        <v>11107.093846153846</v>
      </c>
      <c r="O145" s="665">
        <f t="shared" si="52"/>
        <v>11329.235723076927</v>
      </c>
      <c r="P145" s="665">
        <f t="shared" si="52"/>
        <v>11555.820437538463</v>
      </c>
      <c r="Q145" s="665">
        <f t="shared" si="52"/>
        <v>11786.936846289229</v>
      </c>
      <c r="R145" s="665">
        <f t="shared" si="52"/>
        <v>12022.675583215016</v>
      </c>
      <c r="S145" s="665">
        <f t="shared" si="52"/>
        <v>12263.129094879318</v>
      </c>
      <c r="T145" s="665">
        <f t="shared" si="52"/>
        <v>12508.391676776904</v>
      </c>
      <c r="U145" s="665">
        <f t="shared" si="52"/>
        <v>12758.55951031244</v>
      </c>
      <c r="V145" s="665">
        <f t="shared" si="52"/>
        <v>13013.730700518692</v>
      </c>
      <c r="W145" s="665">
        <f t="shared" si="52"/>
        <v>13274.005314529066</v>
      </c>
      <c r="X145" s="665">
        <f t="shared" si="52"/>
        <v>13539.485420819647</v>
      </c>
      <c r="Y145" s="665">
        <f t="shared" si="52"/>
        <v>13810.275129236041</v>
      </c>
      <c r="Z145" s="665">
        <f t="shared" si="52"/>
        <v>14086.480631820759</v>
      </c>
      <c r="AA145" s="665">
        <f t="shared" si="52"/>
        <v>14368.210244457177</v>
      </c>
      <c r="AB145" s="665">
        <f t="shared" si="52"/>
        <v>14655.574449346321</v>
      </c>
      <c r="AC145" s="665">
        <f t="shared" si="52"/>
        <v>14948.685938333247</v>
      </c>
      <c r="AD145" s="665">
        <f t="shared" si="52"/>
        <v>15247.659657099914</v>
      </c>
      <c r="AE145" s="665">
        <f t="shared" si="52"/>
        <v>15552.612850241911</v>
      </c>
    </row>
    <row r="146" spans="1:33">
      <c r="B146" s="191"/>
      <c r="C146" s="192"/>
      <c r="D146" s="193"/>
      <c r="E146" s="194"/>
      <c r="F146" s="194"/>
      <c r="G146" s="192"/>
      <c r="H146" s="192"/>
      <c r="I146" s="195"/>
      <c r="J146" s="196"/>
      <c r="K146" s="689"/>
      <c r="L146" s="665"/>
      <c r="M146" s="665"/>
      <c r="N146" s="665"/>
      <c r="O146" s="665"/>
      <c r="P146" s="665"/>
      <c r="Q146" s="665"/>
      <c r="R146" s="665"/>
      <c r="S146" s="665"/>
      <c r="T146" s="665"/>
      <c r="U146" s="665"/>
      <c r="V146" s="665"/>
      <c r="W146" s="665"/>
      <c r="X146" s="665"/>
      <c r="Y146" s="665"/>
      <c r="Z146" s="665"/>
      <c r="AA146" s="665"/>
      <c r="AB146" s="665"/>
      <c r="AC146" s="665"/>
      <c r="AD146" s="665"/>
      <c r="AE146" s="665"/>
    </row>
    <row r="147" spans="1:33" s="197" customFormat="1" ht="14.25">
      <c r="A147" s="197" t="s">
        <v>68</v>
      </c>
      <c r="D147" s="198"/>
      <c r="K147" s="690"/>
      <c r="L147" s="677"/>
      <c r="M147" s="677"/>
      <c r="N147" s="677"/>
      <c r="O147" s="677"/>
      <c r="P147" s="677"/>
      <c r="Q147" s="677"/>
      <c r="R147" s="677"/>
      <c r="S147" s="677"/>
      <c r="T147" s="677"/>
      <c r="U147" s="677"/>
      <c r="V147" s="677"/>
      <c r="W147" s="677"/>
      <c r="X147" s="677"/>
      <c r="Y147" s="677"/>
      <c r="Z147" s="677"/>
      <c r="AA147" s="677"/>
      <c r="AB147" s="677"/>
      <c r="AC147" s="677"/>
      <c r="AD147" s="677"/>
      <c r="AE147" s="677"/>
    </row>
    <row r="148" spans="1:33">
      <c r="A148" s="37" t="s">
        <v>423</v>
      </c>
      <c r="B148" s="37"/>
      <c r="C148" s="110"/>
      <c r="D148" s="106"/>
      <c r="E148" s="57"/>
      <c r="F148" s="57"/>
      <c r="G148" s="57"/>
      <c r="H148" s="57"/>
      <c r="I148" s="49"/>
      <c r="J148" s="44"/>
      <c r="K148" s="683">
        <f>COUNTIF(K$114:K$121,"&gt;0")*$J148*R$9</f>
        <v>0</v>
      </c>
      <c r="L148" s="666">
        <v>0</v>
      </c>
      <c r="M148" s="666">
        <v>10000</v>
      </c>
      <c r="N148" s="666">
        <f t="shared" ref="N148:AE148" si="53">$M$148*L11</f>
        <v>10200</v>
      </c>
      <c r="O148" s="666">
        <f t="shared" si="53"/>
        <v>10404</v>
      </c>
      <c r="P148" s="666">
        <f t="shared" si="53"/>
        <v>10612.08</v>
      </c>
      <c r="Q148" s="666">
        <f t="shared" si="53"/>
        <v>10824.321599999999</v>
      </c>
      <c r="R148" s="666">
        <f t="shared" si="53"/>
        <v>11040.808032000001</v>
      </c>
      <c r="S148" s="666">
        <f t="shared" si="53"/>
        <v>11261.62419264</v>
      </c>
      <c r="T148" s="666">
        <f t="shared" si="53"/>
        <v>11486.8566764928</v>
      </c>
      <c r="U148" s="666">
        <f t="shared" si="53"/>
        <v>11716.593810022658</v>
      </c>
      <c r="V148" s="666">
        <f t="shared" si="53"/>
        <v>11950.92568622311</v>
      </c>
      <c r="W148" s="666">
        <f t="shared" si="53"/>
        <v>12189.944199947573</v>
      </c>
      <c r="X148" s="666">
        <f t="shared" si="53"/>
        <v>12433.743083946525</v>
      </c>
      <c r="Y148" s="666">
        <f t="shared" si="53"/>
        <v>12682.417945625455</v>
      </c>
      <c r="Z148" s="666">
        <f t="shared" si="53"/>
        <v>12936.066304537962</v>
      </c>
      <c r="AA148" s="666">
        <f t="shared" si="53"/>
        <v>13194.787630628723</v>
      </c>
      <c r="AB148" s="666">
        <f t="shared" si="53"/>
        <v>13458.683383241299</v>
      </c>
      <c r="AC148" s="666">
        <f t="shared" si="53"/>
        <v>13727.857050906125</v>
      </c>
      <c r="AD148" s="666">
        <f t="shared" si="53"/>
        <v>14002.414191924248</v>
      </c>
      <c r="AE148" s="666">
        <f t="shared" si="53"/>
        <v>14282.462475762733</v>
      </c>
    </row>
    <row r="149" spans="1:33">
      <c r="A149" s="37" t="s">
        <v>67</v>
      </c>
      <c r="B149" s="37"/>
      <c r="C149" s="110"/>
      <c r="D149" s="106"/>
      <c r="E149" s="57"/>
      <c r="F149" s="57"/>
      <c r="G149" s="57"/>
      <c r="H149" s="57"/>
      <c r="I149" s="51"/>
      <c r="J149" s="44"/>
      <c r="K149" s="683">
        <v>0</v>
      </c>
      <c r="L149" s="666">
        <v>0</v>
      </c>
      <c r="M149" s="666">
        <v>10000</v>
      </c>
      <c r="N149" s="666">
        <f t="shared" ref="N149:AE149" si="54">$M$149*L11</f>
        <v>10200</v>
      </c>
      <c r="O149" s="666">
        <f t="shared" si="54"/>
        <v>10404</v>
      </c>
      <c r="P149" s="666">
        <f t="shared" si="54"/>
        <v>10612.08</v>
      </c>
      <c r="Q149" s="666">
        <f t="shared" si="54"/>
        <v>10824.321599999999</v>
      </c>
      <c r="R149" s="666">
        <f t="shared" si="54"/>
        <v>11040.808032000001</v>
      </c>
      <c r="S149" s="666">
        <f t="shared" si="54"/>
        <v>11261.62419264</v>
      </c>
      <c r="T149" s="666">
        <f t="shared" si="54"/>
        <v>11486.8566764928</v>
      </c>
      <c r="U149" s="666">
        <f t="shared" si="54"/>
        <v>11716.593810022658</v>
      </c>
      <c r="V149" s="666">
        <f t="shared" si="54"/>
        <v>11950.92568622311</v>
      </c>
      <c r="W149" s="666">
        <f t="shared" si="54"/>
        <v>12189.944199947573</v>
      </c>
      <c r="X149" s="666">
        <f t="shared" si="54"/>
        <v>12433.743083946525</v>
      </c>
      <c r="Y149" s="666">
        <f t="shared" si="54"/>
        <v>12682.417945625455</v>
      </c>
      <c r="Z149" s="666">
        <f t="shared" si="54"/>
        <v>12936.066304537962</v>
      </c>
      <c r="AA149" s="666">
        <f t="shared" si="54"/>
        <v>13194.787630628723</v>
      </c>
      <c r="AB149" s="666">
        <f t="shared" si="54"/>
        <v>13458.683383241299</v>
      </c>
      <c r="AC149" s="666">
        <f t="shared" si="54"/>
        <v>13727.857050906125</v>
      </c>
      <c r="AD149" s="666">
        <f t="shared" si="54"/>
        <v>14002.414191924248</v>
      </c>
      <c r="AE149" s="666">
        <f t="shared" si="54"/>
        <v>14282.462475762733</v>
      </c>
    </row>
    <row r="150" spans="1:33">
      <c r="A150" s="180" t="s">
        <v>2</v>
      </c>
      <c r="B150" s="777"/>
      <c r="C150" s="778"/>
      <c r="D150" s="779"/>
      <c r="E150" s="746"/>
      <c r="F150" s="746"/>
      <c r="G150" s="778"/>
      <c r="H150" s="778"/>
      <c r="I150" s="780"/>
      <c r="J150" s="781"/>
      <c r="K150" s="741">
        <v>0</v>
      </c>
      <c r="L150" s="742">
        <v>0</v>
      </c>
      <c r="M150" s="742">
        <v>0</v>
      </c>
      <c r="N150" s="742">
        <v>0</v>
      </c>
      <c r="O150" s="742">
        <v>0</v>
      </c>
      <c r="P150" s="742">
        <v>0</v>
      </c>
      <c r="Q150" s="742">
        <v>0</v>
      </c>
      <c r="R150" s="742">
        <v>0</v>
      </c>
      <c r="S150" s="742">
        <v>0</v>
      </c>
      <c r="T150" s="742">
        <v>0</v>
      </c>
      <c r="U150" s="742">
        <v>0</v>
      </c>
      <c r="V150" s="742">
        <v>0</v>
      </c>
      <c r="W150" s="742">
        <v>0</v>
      </c>
      <c r="X150" s="742">
        <v>0</v>
      </c>
      <c r="Y150" s="742">
        <v>0</v>
      </c>
      <c r="Z150" s="742">
        <v>0</v>
      </c>
      <c r="AA150" s="742">
        <v>0</v>
      </c>
      <c r="AB150" s="742">
        <v>0</v>
      </c>
      <c r="AC150" s="742">
        <v>0</v>
      </c>
      <c r="AD150" s="742">
        <v>0</v>
      </c>
      <c r="AE150" s="742">
        <v>0</v>
      </c>
    </row>
    <row r="151" spans="1:33" s="56" customFormat="1" ht="14.25">
      <c r="A151" s="164" t="s">
        <v>78</v>
      </c>
      <c r="B151" s="164"/>
      <c r="C151" s="75"/>
      <c r="D151" s="173"/>
      <c r="E151" s="75"/>
      <c r="F151" s="75"/>
      <c r="G151" s="75"/>
      <c r="H151" s="75"/>
      <c r="I151" s="174"/>
      <c r="J151" s="175"/>
      <c r="K151" s="685">
        <v>0</v>
      </c>
      <c r="L151" s="669">
        <f t="shared" ref="L151:AE151" si="55">SUM(L148:L150)</f>
        <v>0</v>
      </c>
      <c r="M151" s="669">
        <f t="shared" si="55"/>
        <v>20000</v>
      </c>
      <c r="N151" s="669">
        <f t="shared" si="55"/>
        <v>20400</v>
      </c>
      <c r="O151" s="669">
        <f t="shared" si="55"/>
        <v>20808</v>
      </c>
      <c r="P151" s="669">
        <f t="shared" si="55"/>
        <v>21224.16</v>
      </c>
      <c r="Q151" s="669">
        <f t="shared" si="55"/>
        <v>21648.643199999999</v>
      </c>
      <c r="R151" s="669">
        <f t="shared" si="55"/>
        <v>22081.616064000002</v>
      </c>
      <c r="S151" s="669">
        <f t="shared" si="55"/>
        <v>22523.24838528</v>
      </c>
      <c r="T151" s="669">
        <f t="shared" si="55"/>
        <v>22973.7133529856</v>
      </c>
      <c r="U151" s="669">
        <f t="shared" si="55"/>
        <v>23433.187620045315</v>
      </c>
      <c r="V151" s="669">
        <f t="shared" si="55"/>
        <v>23901.851372446221</v>
      </c>
      <c r="W151" s="669">
        <f t="shared" si="55"/>
        <v>24379.888399895146</v>
      </c>
      <c r="X151" s="669">
        <f t="shared" si="55"/>
        <v>24867.48616789305</v>
      </c>
      <c r="Y151" s="669">
        <f t="shared" si="55"/>
        <v>25364.83589125091</v>
      </c>
      <c r="Z151" s="669">
        <f t="shared" si="55"/>
        <v>25872.132609075925</v>
      </c>
      <c r="AA151" s="669">
        <f t="shared" si="55"/>
        <v>26389.575261257447</v>
      </c>
      <c r="AB151" s="669">
        <f t="shared" si="55"/>
        <v>26917.366766482599</v>
      </c>
      <c r="AC151" s="669">
        <f t="shared" si="55"/>
        <v>27455.714101812249</v>
      </c>
      <c r="AD151" s="669">
        <f t="shared" si="55"/>
        <v>28004.828383848497</v>
      </c>
      <c r="AE151" s="669">
        <f t="shared" si="55"/>
        <v>28564.924951525467</v>
      </c>
    </row>
    <row r="152" spans="1:33" s="56" customFormat="1" ht="14.25">
      <c r="A152" s="164"/>
      <c r="B152" s="164"/>
      <c r="C152" s="75"/>
      <c r="D152" s="173"/>
      <c r="E152" s="75"/>
      <c r="F152" s="75"/>
      <c r="G152" s="75"/>
      <c r="H152" s="75"/>
      <c r="I152" s="174"/>
      <c r="J152" s="175"/>
      <c r="K152" s="685"/>
      <c r="L152" s="669"/>
      <c r="M152" s="669"/>
      <c r="N152" s="669"/>
      <c r="O152" s="669"/>
      <c r="P152" s="669"/>
      <c r="Q152" s="669"/>
      <c r="R152" s="669"/>
      <c r="S152" s="669"/>
      <c r="T152" s="669"/>
      <c r="U152" s="669"/>
      <c r="V152" s="669"/>
      <c r="W152" s="669"/>
      <c r="X152" s="669"/>
      <c r="Y152" s="669"/>
      <c r="Z152" s="669"/>
      <c r="AA152" s="669"/>
      <c r="AB152" s="669"/>
      <c r="AC152" s="669"/>
      <c r="AD152" s="669"/>
      <c r="AE152" s="669"/>
    </row>
    <row r="153" spans="1:33" s="56" customFormat="1" ht="14.25">
      <c r="A153" s="164" t="s">
        <v>66</v>
      </c>
      <c r="B153" s="164"/>
      <c r="C153" s="75"/>
      <c r="D153" s="173"/>
      <c r="E153" s="75"/>
      <c r="F153" s="75"/>
      <c r="G153" s="75"/>
      <c r="H153" s="75"/>
      <c r="I153" s="174"/>
      <c r="J153" s="175"/>
      <c r="K153" s="685">
        <v>0</v>
      </c>
      <c r="L153" s="669">
        <f>SUM(L139,L151)</f>
        <v>0</v>
      </c>
      <c r="M153" s="669">
        <f>SUM(M139,M145,M151)</f>
        <v>85335.846153846156</v>
      </c>
      <c r="N153" s="669">
        <f t="shared" ref="N153:AE153" si="56">SUM(N139,N145,N151)</f>
        <v>87042.563076923077</v>
      </c>
      <c r="O153" s="669">
        <f t="shared" si="56"/>
        <v>88783.41433846156</v>
      </c>
      <c r="P153" s="669">
        <f t="shared" si="56"/>
        <v>90559.082625230774</v>
      </c>
      <c r="Q153" s="669">
        <f t="shared" si="56"/>
        <v>92370.264277735376</v>
      </c>
      <c r="R153" s="669">
        <f t="shared" si="56"/>
        <v>94217.669563290081</v>
      </c>
      <c r="S153" s="669">
        <f t="shared" si="56"/>
        <v>96102.022954555898</v>
      </c>
      <c r="T153" s="669">
        <f t="shared" si="56"/>
        <v>98024.063413647003</v>
      </c>
      <c r="U153" s="669">
        <f t="shared" si="56"/>
        <v>99984.544681919942</v>
      </c>
      <c r="V153" s="669">
        <f t="shared" si="56"/>
        <v>101984.23557555837</v>
      </c>
      <c r="W153" s="669">
        <f t="shared" si="56"/>
        <v>104023.92028706953</v>
      </c>
      <c r="X153" s="669">
        <f t="shared" si="56"/>
        <v>106104.39869281092</v>
      </c>
      <c r="Y153" s="669">
        <f t="shared" si="56"/>
        <v>108226.48666666714</v>
      </c>
      <c r="Z153" s="669">
        <f t="shared" si="56"/>
        <v>110391.01640000047</v>
      </c>
      <c r="AA153" s="669">
        <f t="shared" si="56"/>
        <v>112598.8367280005</v>
      </c>
      <c r="AB153" s="669">
        <f t="shared" si="56"/>
        <v>114850.8134625605</v>
      </c>
      <c r="AC153" s="669">
        <f t="shared" si="56"/>
        <v>117147.82973181173</v>
      </c>
      <c r="AD153" s="669">
        <f t="shared" si="56"/>
        <v>119490.78632644797</v>
      </c>
      <c r="AE153" s="669">
        <f t="shared" si="56"/>
        <v>121880.60205297693</v>
      </c>
    </row>
    <row r="154" spans="1:33" s="56" customFormat="1" ht="14.25">
      <c r="A154" s="164"/>
      <c r="B154" s="164"/>
      <c r="C154" s="75"/>
      <c r="D154" s="173"/>
      <c r="E154" s="75"/>
      <c r="F154" s="75"/>
      <c r="G154" s="75"/>
      <c r="H154" s="75"/>
      <c r="I154" s="174"/>
      <c r="J154" s="175"/>
      <c r="K154" s="685"/>
      <c r="L154" s="669"/>
      <c r="M154" s="669"/>
      <c r="N154" s="669"/>
      <c r="O154" s="669"/>
      <c r="P154" s="669"/>
      <c r="Q154" s="669"/>
      <c r="R154" s="669"/>
      <c r="S154" s="669"/>
      <c r="T154" s="669"/>
      <c r="U154" s="669"/>
      <c r="V154" s="669"/>
      <c r="W154" s="669"/>
      <c r="X154" s="669"/>
      <c r="Y154" s="669"/>
      <c r="Z154" s="669"/>
      <c r="AA154" s="669"/>
      <c r="AB154" s="669"/>
      <c r="AC154" s="669"/>
      <c r="AD154" s="669"/>
      <c r="AE154" s="669"/>
    </row>
    <row r="155" spans="1:33">
      <c r="A155" s="47" t="s">
        <v>7</v>
      </c>
      <c r="B155" s="47" t="s">
        <v>7</v>
      </c>
      <c r="C155" s="78" t="s">
        <v>7</v>
      </c>
      <c r="D155" s="100"/>
      <c r="E155" s="78" t="s">
        <v>7</v>
      </c>
      <c r="F155" s="78"/>
      <c r="G155" s="78" t="s">
        <v>7</v>
      </c>
      <c r="H155" s="78"/>
      <c r="I155" s="52" t="s">
        <v>7</v>
      </c>
      <c r="J155" s="114"/>
      <c r="K155" s="673"/>
      <c r="L155" s="672"/>
      <c r="M155" s="672"/>
      <c r="N155" s="672"/>
      <c r="O155" s="672"/>
      <c r="P155" s="672"/>
      <c r="Q155" s="672"/>
      <c r="R155" s="672"/>
      <c r="S155" s="672"/>
      <c r="T155" s="672"/>
      <c r="U155" s="672"/>
      <c r="V155" s="672"/>
      <c r="W155" s="672"/>
      <c r="X155" s="672"/>
      <c r="Y155" s="672"/>
      <c r="Z155" s="672"/>
      <c r="AA155" s="672"/>
      <c r="AB155" s="672"/>
      <c r="AC155" s="672"/>
      <c r="AD155" s="672"/>
      <c r="AE155" s="672"/>
    </row>
    <row r="156" spans="1:33">
      <c r="A156" s="47"/>
      <c r="B156" s="47"/>
      <c r="C156" s="78"/>
      <c r="D156" s="100"/>
      <c r="E156" s="78"/>
      <c r="F156" s="78"/>
      <c r="G156" s="78"/>
      <c r="H156" s="78"/>
      <c r="I156" s="52"/>
      <c r="J156" s="114"/>
      <c r="K156" s="664"/>
      <c r="L156" s="666"/>
      <c r="M156" s="666"/>
      <c r="N156" s="666"/>
      <c r="O156" s="666"/>
      <c r="P156" s="666"/>
      <c r="Q156" s="666"/>
      <c r="R156" s="666"/>
      <c r="S156" s="666"/>
      <c r="T156" s="666"/>
      <c r="U156" s="666"/>
      <c r="V156" s="666"/>
      <c r="W156" s="666"/>
      <c r="X156" s="666"/>
      <c r="Y156" s="666"/>
      <c r="Z156" s="666"/>
      <c r="AA156" s="666"/>
      <c r="AB156" s="666"/>
      <c r="AC156" s="666"/>
      <c r="AD156" s="666"/>
      <c r="AE156" s="666"/>
    </row>
    <row r="157" spans="1:33" s="56" customFormat="1" ht="14.25">
      <c r="A157" s="203" t="s">
        <v>79</v>
      </c>
      <c r="B157" s="203"/>
      <c r="C157" s="204"/>
      <c r="D157" s="205"/>
      <c r="E157" s="204"/>
      <c r="F157" s="204"/>
      <c r="G157" s="204"/>
      <c r="H157" s="204"/>
      <c r="I157" s="206"/>
      <c r="J157" s="207"/>
      <c r="K157" s="675">
        <v>0</v>
      </c>
      <c r="L157" s="676">
        <f t="shared" ref="L157:AE157" si="57">SUM(L130,L153)</f>
        <v>0</v>
      </c>
      <c r="M157" s="676">
        <f t="shared" si="57"/>
        <v>139905.84615384616</v>
      </c>
      <c r="N157" s="676">
        <f t="shared" si="57"/>
        <v>143817.19107692307</v>
      </c>
      <c r="O157" s="676">
        <f t="shared" si="57"/>
        <v>146693.53489846154</v>
      </c>
      <c r="P157" s="676">
        <f t="shared" si="57"/>
        <v>149627.40559643076</v>
      </c>
      <c r="Q157" s="676">
        <f t="shared" si="57"/>
        <v>152619.95370835939</v>
      </c>
      <c r="R157" s="676">
        <f t="shared" si="57"/>
        <v>155672.35278252655</v>
      </c>
      <c r="S157" s="676">
        <f t="shared" si="57"/>
        <v>158785.7998381771</v>
      </c>
      <c r="T157" s="676">
        <f t="shared" si="57"/>
        <v>161961.51583494066</v>
      </c>
      <c r="U157" s="676">
        <f t="shared" si="57"/>
        <v>165200.74615163944</v>
      </c>
      <c r="V157" s="676">
        <f t="shared" si="57"/>
        <v>168504.76107467228</v>
      </c>
      <c r="W157" s="676">
        <f t="shared" si="57"/>
        <v>171874.85629616573</v>
      </c>
      <c r="X157" s="676">
        <f t="shared" si="57"/>
        <v>175312.35342208904</v>
      </c>
      <c r="Y157" s="676">
        <f t="shared" si="57"/>
        <v>178818.60049053084</v>
      </c>
      <c r="Z157" s="676">
        <f t="shared" si="57"/>
        <v>182394.97250034142</v>
      </c>
      <c r="AA157" s="676">
        <f t="shared" si="57"/>
        <v>186042.87195034826</v>
      </c>
      <c r="AB157" s="676">
        <f t="shared" si="57"/>
        <v>189763.72938935523</v>
      </c>
      <c r="AC157" s="676">
        <f t="shared" si="57"/>
        <v>193559.00397714233</v>
      </c>
      <c r="AD157" s="676">
        <f t="shared" si="57"/>
        <v>197430.18405668519</v>
      </c>
      <c r="AE157" s="676">
        <f t="shared" si="57"/>
        <v>201378.7877378189</v>
      </c>
      <c r="AG157" s="199"/>
    </row>
    <row r="158" spans="1:33">
      <c r="K158" s="664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</row>
    <row r="159" spans="1:33">
      <c r="A159" s="47" t="s">
        <v>7</v>
      </c>
      <c r="B159" s="47" t="s">
        <v>7</v>
      </c>
      <c r="C159" s="78" t="s">
        <v>7</v>
      </c>
      <c r="D159" s="100"/>
      <c r="E159" s="78" t="s">
        <v>7</v>
      </c>
      <c r="F159" s="78"/>
      <c r="G159" s="78" t="s">
        <v>7</v>
      </c>
      <c r="H159" s="78"/>
      <c r="I159" s="52" t="s">
        <v>7</v>
      </c>
      <c r="J159" s="114"/>
      <c r="K159" s="673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</row>
    <row r="160" spans="1:33">
      <c r="K160" s="664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G160" s="199"/>
    </row>
    <row r="161" spans="1:33" s="56" customFormat="1" ht="14.25">
      <c r="A161" s="208" t="s">
        <v>115</v>
      </c>
      <c r="B161" s="208"/>
      <c r="C161" s="208"/>
      <c r="D161" s="202"/>
      <c r="E161" s="208"/>
      <c r="F161" s="208"/>
      <c r="G161" s="208"/>
      <c r="H161" s="208"/>
      <c r="I161" s="208"/>
      <c r="J161" s="208"/>
      <c r="K161" s="678">
        <f>SUM(K151,K111)</f>
        <v>0</v>
      </c>
      <c r="L161" s="678">
        <f t="shared" ref="L161:AE161" si="58">SUM(L111,L157)</f>
        <v>357416.66666666669</v>
      </c>
      <c r="M161" s="678">
        <f t="shared" si="58"/>
        <v>826389.34615384613</v>
      </c>
      <c r="N161" s="678">
        <f t="shared" si="58"/>
        <v>844040.56107692304</v>
      </c>
      <c r="O161" s="678">
        <f t="shared" si="58"/>
        <v>860921.37229846139</v>
      </c>
      <c r="P161" s="678">
        <f t="shared" si="58"/>
        <v>878139.7997444307</v>
      </c>
      <c r="Q161" s="678">
        <f t="shared" si="58"/>
        <v>924046.47453451937</v>
      </c>
      <c r="R161" s="678">
        <f t="shared" si="58"/>
        <v>937990.48523484182</v>
      </c>
      <c r="S161" s="678">
        <f t="shared" si="58"/>
        <v>956750.29493953846</v>
      </c>
      <c r="T161" s="678">
        <f t="shared" si="58"/>
        <v>975885.3008383296</v>
      </c>
      <c r="U161" s="678">
        <f t="shared" si="58"/>
        <v>995403.0068550962</v>
      </c>
      <c r="V161" s="678">
        <f t="shared" si="58"/>
        <v>1043506.4772135783</v>
      </c>
      <c r="W161" s="678">
        <f t="shared" si="58"/>
        <v>1035617.2883320419</v>
      </c>
      <c r="X161" s="678">
        <f t="shared" si="58"/>
        <v>1056329.634098683</v>
      </c>
      <c r="Y161" s="678">
        <f t="shared" si="58"/>
        <v>1077456.2267806565</v>
      </c>
      <c r="Z161" s="678">
        <f t="shared" si="58"/>
        <v>1099005.3513162697</v>
      </c>
      <c r="AA161" s="678">
        <f t="shared" si="58"/>
        <v>1125312.524173433</v>
      </c>
      <c r="AB161" s="678">
        <f t="shared" si="58"/>
        <v>1143405.1675094471</v>
      </c>
      <c r="AC161" s="678">
        <f t="shared" si="58"/>
        <v>1166273.2708596359</v>
      </c>
      <c r="AD161" s="678">
        <f t="shared" si="58"/>
        <v>1189598.7362768289</v>
      </c>
      <c r="AE161" s="678">
        <f t="shared" si="58"/>
        <v>1213390.7110023652</v>
      </c>
      <c r="AG161" s="199"/>
    </row>
    <row r="162" spans="1:33">
      <c r="K162" s="664"/>
      <c r="L162" s="666"/>
      <c r="M162" s="666"/>
      <c r="N162" s="666"/>
      <c r="O162" s="666"/>
      <c r="P162" s="666"/>
      <c r="Q162" s="666"/>
      <c r="R162" s="666"/>
      <c r="S162" s="666"/>
      <c r="T162" s="666"/>
      <c r="U162" s="666"/>
      <c r="V162" s="666"/>
      <c r="W162" s="666"/>
      <c r="X162" s="666"/>
      <c r="Y162" s="666"/>
      <c r="Z162" s="666"/>
      <c r="AA162" s="666"/>
      <c r="AB162" s="666"/>
      <c r="AC162" s="666"/>
      <c r="AD162" s="666"/>
      <c r="AE162" s="666"/>
      <c r="AG162" s="199"/>
    </row>
    <row r="163" spans="1:33">
      <c r="A163" s="251"/>
      <c r="B163" s="251"/>
      <c r="C163" s="251"/>
      <c r="D163" s="259"/>
      <c r="E163" s="251"/>
      <c r="F163" s="251"/>
      <c r="G163" s="251"/>
      <c r="H163" s="251"/>
      <c r="I163" s="251"/>
      <c r="J163" s="251"/>
      <c r="K163" s="679"/>
      <c r="L163" s="680"/>
      <c r="M163" s="680"/>
      <c r="N163" s="680"/>
      <c r="O163" s="680"/>
      <c r="P163" s="680"/>
      <c r="Q163" s="680"/>
      <c r="R163" s="680"/>
      <c r="S163" s="680"/>
      <c r="T163" s="680"/>
      <c r="U163" s="680"/>
      <c r="V163" s="680"/>
      <c r="W163" s="680"/>
      <c r="X163" s="680"/>
      <c r="Y163" s="680"/>
      <c r="Z163" s="680"/>
      <c r="AA163" s="680"/>
      <c r="AB163" s="680"/>
      <c r="AC163" s="680"/>
      <c r="AD163" s="680"/>
      <c r="AE163" s="680"/>
      <c r="AG163" s="199"/>
    </row>
    <row r="164" spans="1:33">
      <c r="K164" s="664"/>
      <c r="L164" s="666"/>
      <c r="M164" s="666"/>
      <c r="N164" s="666"/>
      <c r="O164" s="666"/>
      <c r="P164" s="666"/>
      <c r="Q164" s="666"/>
      <c r="R164" s="666"/>
      <c r="S164" s="666"/>
      <c r="T164" s="666"/>
      <c r="U164" s="666"/>
      <c r="V164" s="666"/>
      <c r="W164" s="666"/>
      <c r="X164" s="666"/>
      <c r="Y164" s="666"/>
      <c r="Z164" s="666"/>
      <c r="AA164" s="666"/>
      <c r="AB164" s="666"/>
      <c r="AC164" s="666"/>
      <c r="AD164" s="666"/>
      <c r="AE164" s="666"/>
      <c r="AG164" s="199"/>
    </row>
    <row r="165" spans="1:33">
      <c r="A165" s="249" t="s">
        <v>84</v>
      </c>
      <c r="B165" s="281"/>
      <c r="C165" s="281"/>
      <c r="D165" s="177"/>
      <c r="E165" s="281"/>
      <c r="F165" s="281"/>
      <c r="G165" s="281"/>
      <c r="H165" s="281"/>
      <c r="I165" s="281"/>
      <c r="J165" s="281"/>
      <c r="K165" s="681"/>
      <c r="L165" s="682"/>
      <c r="M165" s="682"/>
      <c r="N165" s="682"/>
      <c r="O165" s="682"/>
      <c r="P165" s="682"/>
      <c r="Q165" s="682"/>
      <c r="R165" s="682"/>
      <c r="S165" s="682"/>
      <c r="T165" s="682"/>
      <c r="U165" s="682"/>
      <c r="V165" s="682"/>
      <c r="W165" s="682"/>
      <c r="X165" s="682"/>
      <c r="Y165" s="682"/>
      <c r="Z165" s="682"/>
      <c r="AA165" s="682"/>
      <c r="AB165" s="682"/>
      <c r="AC165" s="682"/>
      <c r="AD165" s="682"/>
      <c r="AE165" s="682"/>
      <c r="AG165" s="199"/>
    </row>
    <row r="166" spans="1:33" s="252" customFormat="1">
      <c r="A166" s="257"/>
      <c r="D166" s="186"/>
      <c r="K166" s="664"/>
      <c r="L166" s="671"/>
      <c r="M166" s="671"/>
      <c r="N166" s="671"/>
      <c r="O166" s="671"/>
      <c r="P166" s="671"/>
      <c r="Q166" s="671"/>
      <c r="R166" s="671"/>
      <c r="S166" s="671"/>
      <c r="T166" s="671"/>
      <c r="U166" s="671"/>
      <c r="V166" s="671"/>
      <c r="W166" s="671"/>
      <c r="X166" s="671"/>
      <c r="Y166" s="671"/>
      <c r="Z166" s="671"/>
      <c r="AA166" s="671"/>
      <c r="AB166" s="671"/>
      <c r="AC166" s="671"/>
      <c r="AD166" s="671"/>
      <c r="AE166" s="671"/>
      <c r="AG166" s="363"/>
    </row>
    <row r="167" spans="1:33">
      <c r="A167" s="96" t="str">
        <f>'OPEX - Concept B1 - Carnival'!A167</f>
        <v>Investment (cash)</v>
      </c>
      <c r="B167" s="96"/>
      <c r="C167" s="96"/>
      <c r="D167" s="96"/>
      <c r="E167" s="96"/>
      <c r="F167" s="96"/>
      <c r="G167" s="96"/>
      <c r="H167" s="96"/>
      <c r="I167" s="96"/>
      <c r="J167" s="96"/>
      <c r="K167" s="883"/>
      <c r="L167" s="663"/>
      <c r="M167" s="663"/>
      <c r="N167" s="663"/>
      <c r="O167" s="663"/>
      <c r="P167" s="663"/>
      <c r="Q167" s="663"/>
      <c r="R167" s="663"/>
      <c r="S167" s="663"/>
      <c r="T167" s="663"/>
      <c r="U167" s="663"/>
      <c r="V167" s="663"/>
      <c r="W167" s="663"/>
      <c r="X167" s="663"/>
      <c r="Y167" s="663"/>
      <c r="Z167" s="663"/>
      <c r="AA167" s="663"/>
      <c r="AB167" s="663"/>
      <c r="AC167" s="663"/>
      <c r="AD167" s="663"/>
      <c r="AE167" s="663"/>
      <c r="AG167" s="199"/>
    </row>
    <row r="168" spans="1:33">
      <c r="A168" s="96" t="str">
        <f>'OPEX - Concept B1 - Carnival'!A168</f>
        <v xml:space="preserve">     Site Maintenance</v>
      </c>
      <c r="B168" s="96"/>
      <c r="C168" s="96"/>
      <c r="D168" s="96"/>
      <c r="E168" s="96"/>
      <c r="F168" s="96"/>
      <c r="G168" s="96"/>
      <c r="H168" s="96"/>
      <c r="I168" s="96"/>
      <c r="J168" s="96"/>
      <c r="K168" s="883">
        <f>'OPEX - Concept B1 - Carnival'!K168</f>
        <v>0</v>
      </c>
      <c r="L168" s="663">
        <f>'OPEX - Concept B1 - Carnival'!L168</f>
        <v>0</v>
      </c>
      <c r="M168" s="663">
        <f>'OPEX - Concept B1 - Carnival'!M168</f>
        <v>53485</v>
      </c>
      <c r="N168" s="663">
        <f>'OPEX - Concept B1 - Carnival'!N168</f>
        <v>54554.700000000004</v>
      </c>
      <c r="O168" s="663">
        <f>'OPEX - Concept B1 - Carnival'!O168</f>
        <v>55645.794000000002</v>
      </c>
      <c r="P168" s="663">
        <f>'OPEX - Concept B1 - Carnival'!P168</f>
        <v>56758.709879999995</v>
      </c>
      <c r="Q168" s="663">
        <f>'OPEX - Concept B1 - Carnival'!Q168</f>
        <v>57893.8840776</v>
      </c>
      <c r="R168" s="663">
        <f>'OPEX - Concept B1 - Carnival'!R168</f>
        <v>59051.761759152003</v>
      </c>
      <c r="S168" s="663">
        <f>'OPEX - Concept B1 - Carnival'!S168</f>
        <v>60232.796994335047</v>
      </c>
      <c r="T168" s="663">
        <f>'OPEX - Concept B1 - Carnival'!T168</f>
        <v>61437.452934221743</v>
      </c>
      <c r="U168" s="663">
        <f>'OPEX - Concept B1 - Carnival'!U168</f>
        <v>62666.201992906186</v>
      </c>
      <c r="V168" s="663">
        <f>'OPEX - Concept B1 - Carnival'!V168</f>
        <v>63919.526032764305</v>
      </c>
      <c r="W168" s="663">
        <f>'OPEX - Concept B1 - Carnival'!W168</f>
        <v>65197.916553419593</v>
      </c>
      <c r="X168" s="663">
        <f>'OPEX - Concept B1 - Carnival'!X168</f>
        <v>66501.874884487988</v>
      </c>
      <c r="Y168" s="663">
        <f>'OPEX - Concept B1 - Carnival'!Y168</f>
        <v>67831.912382177747</v>
      </c>
      <c r="Z168" s="663">
        <f>'OPEX - Concept B1 - Carnival'!Z168</f>
        <v>69188.5506298213</v>
      </c>
      <c r="AA168" s="663">
        <f>'OPEX - Concept B1 - Carnival'!AA168</f>
        <v>70572.321642417723</v>
      </c>
      <c r="AB168" s="663">
        <f>'OPEX - Concept B1 - Carnival'!AB168</f>
        <v>71983.768075266082</v>
      </c>
      <c r="AC168" s="663">
        <f>'OPEX - Concept B1 - Carnival'!AC168</f>
        <v>73423.443436771413</v>
      </c>
      <c r="AD168" s="663">
        <f>'OPEX - Concept B1 - Carnival'!AD168</f>
        <v>74891.912305506848</v>
      </c>
      <c r="AE168" s="663">
        <f>'OPEX - Concept B1 - Carnival'!AE168</f>
        <v>76389.750551616977</v>
      </c>
      <c r="AG168" s="199"/>
    </row>
    <row r="169" spans="1:33" s="162" customFormat="1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883">
        <f>'OPEX - Concept B1 - Carnival'!K169</f>
        <v>0</v>
      </c>
      <c r="L169" s="663">
        <f>'OPEX - Concept B1 - Carnival'!L169</f>
        <v>0</v>
      </c>
      <c r="M169" s="663">
        <f>'OPEX - Concept B1 - Carnival'!M169</f>
        <v>0</v>
      </c>
      <c r="N169" s="663">
        <f>'OPEX - Concept B1 - Carnival'!N169</f>
        <v>0</v>
      </c>
      <c r="O169" s="663">
        <f>'OPEX - Concept B1 - Carnival'!O169</f>
        <v>0</v>
      </c>
      <c r="P169" s="663">
        <f>'OPEX - Concept B1 - Carnival'!P169</f>
        <v>0</v>
      </c>
      <c r="Q169" s="663">
        <f>'OPEX - Concept B1 - Carnival'!Q169</f>
        <v>0</v>
      </c>
      <c r="R169" s="663">
        <f>'OPEX - Concept B1 - Carnival'!R169</f>
        <v>0</v>
      </c>
      <c r="S169" s="663">
        <f>'OPEX - Concept B1 - Carnival'!S169</f>
        <v>0</v>
      </c>
      <c r="T169" s="663">
        <f>'OPEX - Concept B1 - Carnival'!T169</f>
        <v>0</v>
      </c>
      <c r="U169" s="663">
        <f>'OPEX - Concept B1 - Carnival'!U169</f>
        <v>0</v>
      </c>
      <c r="V169" s="663">
        <f>'OPEX - Concept B1 - Carnival'!V169</f>
        <v>0</v>
      </c>
      <c r="W169" s="663">
        <f>'OPEX - Concept B1 - Carnival'!W169</f>
        <v>0</v>
      </c>
      <c r="X169" s="663">
        <f>'OPEX - Concept B1 - Carnival'!X169</f>
        <v>0</v>
      </c>
      <c r="Y169" s="663">
        <f>'OPEX - Concept B1 - Carnival'!Y169</f>
        <v>0</v>
      </c>
      <c r="Z169" s="663">
        <f>'OPEX - Concept B1 - Carnival'!Z169</f>
        <v>0</v>
      </c>
      <c r="AA169" s="663">
        <f>'OPEX - Concept B1 - Carnival'!AA169</f>
        <v>0</v>
      </c>
      <c r="AB169" s="663">
        <f>'OPEX - Concept B1 - Carnival'!AB169</f>
        <v>0</v>
      </c>
      <c r="AC169" s="663">
        <f>'OPEX - Concept B1 - Carnival'!AC169</f>
        <v>0</v>
      </c>
      <c r="AD169" s="663">
        <f>'OPEX - Concept B1 - Carnival'!AD169</f>
        <v>0</v>
      </c>
      <c r="AE169" s="663">
        <f>'OPEX - Concept B1 - Carnival'!AE169</f>
        <v>0</v>
      </c>
      <c r="AG169" s="786"/>
    </row>
    <row r="170" spans="1:33" s="162" customFormat="1">
      <c r="A170" s="96" t="str">
        <f>'OPEX - Concept B1 - Carnival'!A170</f>
        <v>Debt Service (Site Demolition, Design, Development/Preparation &amp; Shuttles)</v>
      </c>
      <c r="B170" s="96"/>
      <c r="C170" s="96"/>
      <c r="D170" s="96"/>
      <c r="E170" s="96"/>
      <c r="F170" s="96"/>
      <c r="G170" s="96"/>
      <c r="H170" s="96"/>
      <c r="I170" s="96"/>
      <c r="J170" s="96"/>
      <c r="K170" s="883">
        <f>'OPEX - Concept B1 - Carnival'!K170</f>
        <v>0</v>
      </c>
      <c r="L170" s="663">
        <f>'OPEX - Concept B1 - Carnival'!L170</f>
        <v>612119.16</v>
      </c>
      <c r="M170" s="663">
        <f>'OPEX - Concept B1 - Carnival'!M170</f>
        <v>612119.16</v>
      </c>
      <c r="N170" s="663">
        <f>'OPEX - Concept B1 - Carnival'!N170</f>
        <v>612119.16</v>
      </c>
      <c r="O170" s="663">
        <f>'OPEX - Concept B1 - Carnival'!O170</f>
        <v>612119.16</v>
      </c>
      <c r="P170" s="663">
        <f>'OPEX - Concept B1 - Carnival'!P170</f>
        <v>612119.16</v>
      </c>
      <c r="Q170" s="663">
        <f>'OPEX - Concept B1 - Carnival'!Q170</f>
        <v>612119.16</v>
      </c>
      <c r="R170" s="663">
        <f>'OPEX - Concept B1 - Carnival'!R170</f>
        <v>612119.16</v>
      </c>
      <c r="S170" s="663">
        <f>'OPEX - Concept B1 - Carnival'!S170</f>
        <v>612119.16</v>
      </c>
      <c r="T170" s="663">
        <f>'OPEX - Concept B1 - Carnival'!T170</f>
        <v>612119.16</v>
      </c>
      <c r="U170" s="663">
        <f>'OPEX - Concept B1 - Carnival'!U170</f>
        <v>612119.16</v>
      </c>
      <c r="V170" s="663">
        <f>'OPEX - Concept B1 - Carnival'!V170</f>
        <v>612119.16</v>
      </c>
      <c r="W170" s="663">
        <f>'OPEX - Concept B1 - Carnival'!W170</f>
        <v>612119.16</v>
      </c>
      <c r="X170" s="663">
        <f>'OPEX - Concept B1 - Carnival'!X170</f>
        <v>612119.16</v>
      </c>
      <c r="Y170" s="663">
        <f>'OPEX - Concept B1 - Carnival'!Y170</f>
        <v>612119.16</v>
      </c>
      <c r="Z170" s="663">
        <f>'OPEX - Concept B1 - Carnival'!Z170</f>
        <v>612119.16</v>
      </c>
      <c r="AA170" s="663">
        <f>'OPEX - Concept B1 - Carnival'!AA170</f>
        <v>612119.16</v>
      </c>
      <c r="AB170" s="663">
        <f>'OPEX - Concept B1 - Carnival'!AB170</f>
        <v>612119.16</v>
      </c>
      <c r="AC170" s="663">
        <f>'OPEX - Concept B1 - Carnival'!AC170</f>
        <v>612119.16</v>
      </c>
      <c r="AD170" s="663">
        <f>'OPEX - Concept B1 - Carnival'!AD170</f>
        <v>612119.16</v>
      </c>
      <c r="AE170" s="663">
        <f>'OPEX - Concept B1 - Carnival'!AE170</f>
        <v>612119.16</v>
      </c>
    </row>
    <row r="171" spans="1:33" s="702" customFormat="1">
      <c r="A171" s="341" t="s">
        <v>315</v>
      </c>
      <c r="B171" s="701"/>
      <c r="C171" s="703"/>
      <c r="D171" s="704"/>
      <c r="E171" s="705"/>
      <c r="F171" s="705"/>
      <c r="G171" s="705"/>
      <c r="H171" s="705"/>
      <c r="I171" s="706"/>
      <c r="J171" s="707"/>
      <c r="K171" s="699">
        <v>0</v>
      </c>
      <c r="L171" s="700">
        <v>0</v>
      </c>
      <c r="M171" s="700">
        <v>0</v>
      </c>
      <c r="N171" s="700">
        <v>0</v>
      </c>
      <c r="O171" s="700">
        <v>0</v>
      </c>
      <c r="P171" s="700">
        <v>0</v>
      </c>
      <c r="Q171" s="700">
        <v>0</v>
      </c>
      <c r="R171" s="700">
        <v>0</v>
      </c>
      <c r="S171" s="700">
        <v>0</v>
      </c>
      <c r="T171" s="700">
        <v>0</v>
      </c>
      <c r="U171" s="700">
        <v>0</v>
      </c>
      <c r="V171" s="700">
        <v>0</v>
      </c>
      <c r="W171" s="700">
        <v>0</v>
      </c>
      <c r="X171" s="700">
        <v>0</v>
      </c>
      <c r="Y171" s="700">
        <v>0</v>
      </c>
      <c r="Z171" s="700">
        <v>0</v>
      </c>
      <c r="AA171" s="700">
        <v>0</v>
      </c>
      <c r="AB171" s="700">
        <v>0</v>
      </c>
      <c r="AC171" s="700">
        <v>0</v>
      </c>
      <c r="AD171" s="700">
        <v>0</v>
      </c>
      <c r="AE171" s="700">
        <v>0</v>
      </c>
      <c r="AG171" s="708"/>
    </row>
    <row r="172" spans="1:33">
      <c r="A172" s="180" t="s">
        <v>316</v>
      </c>
      <c r="B172" s="180"/>
      <c r="C172" s="180"/>
      <c r="D172" s="116"/>
      <c r="E172" s="180"/>
      <c r="F172" s="180"/>
      <c r="G172" s="180"/>
      <c r="H172" s="180"/>
      <c r="I172" s="180"/>
      <c r="J172" s="180"/>
      <c r="K172" s="505">
        <v>0</v>
      </c>
      <c r="L172" s="506">
        <v>246000</v>
      </c>
      <c r="M172" s="506">
        <v>246000</v>
      </c>
      <c r="N172" s="506">
        <v>246000</v>
      </c>
      <c r="O172" s="506">
        <v>246000</v>
      </c>
      <c r="P172" s="506">
        <v>246000</v>
      </c>
      <c r="Q172" s="506">
        <v>246000</v>
      </c>
      <c r="R172" s="506">
        <v>246000</v>
      </c>
      <c r="S172" s="506">
        <v>246000</v>
      </c>
      <c r="T172" s="506">
        <v>246000</v>
      </c>
      <c r="U172" s="506">
        <v>246000</v>
      </c>
      <c r="V172" s="506">
        <v>246000</v>
      </c>
      <c r="W172" s="506">
        <v>246000</v>
      </c>
      <c r="X172" s="506">
        <v>246000</v>
      </c>
      <c r="Y172" s="506">
        <v>246000</v>
      </c>
      <c r="Z172" s="506">
        <v>246000</v>
      </c>
      <c r="AA172" s="506">
        <v>246000</v>
      </c>
      <c r="AB172" s="506">
        <v>246000</v>
      </c>
      <c r="AC172" s="506">
        <v>246000</v>
      </c>
      <c r="AD172" s="506">
        <v>246000</v>
      </c>
      <c r="AE172" s="506">
        <v>246000</v>
      </c>
      <c r="AG172" s="199"/>
    </row>
    <row r="173" spans="1:33" s="56" customFormat="1" ht="14.25">
      <c r="A173" s="56" t="s">
        <v>134</v>
      </c>
      <c r="D173" s="173"/>
      <c r="K173" s="524">
        <f t="shared" ref="K173:AE173" si="59">SUM(K167:K172)</f>
        <v>0</v>
      </c>
      <c r="L173" s="525">
        <f t="shared" si="59"/>
        <v>858119.16</v>
      </c>
      <c r="M173" s="525">
        <f t="shared" si="59"/>
        <v>911604.16</v>
      </c>
      <c r="N173" s="525">
        <f t="shared" si="59"/>
        <v>912673.86</v>
      </c>
      <c r="O173" s="525">
        <f t="shared" si="59"/>
        <v>913764.95400000003</v>
      </c>
      <c r="P173" s="525">
        <f t="shared" si="59"/>
        <v>914877.86988000001</v>
      </c>
      <c r="Q173" s="525">
        <f t="shared" si="59"/>
        <v>916013.0440776</v>
      </c>
      <c r="R173" s="525">
        <f t="shared" si="59"/>
        <v>917170.92175915209</v>
      </c>
      <c r="S173" s="525">
        <f t="shared" si="59"/>
        <v>918351.95699433505</v>
      </c>
      <c r="T173" s="525">
        <f t="shared" si="59"/>
        <v>919556.61293422175</v>
      </c>
      <c r="U173" s="525">
        <f t="shared" si="59"/>
        <v>920785.3619929062</v>
      </c>
      <c r="V173" s="525">
        <f t="shared" si="59"/>
        <v>922038.68603276438</v>
      </c>
      <c r="W173" s="525">
        <f t="shared" si="59"/>
        <v>923317.07655341958</v>
      </c>
      <c r="X173" s="525">
        <f t="shared" si="59"/>
        <v>924621.03488448798</v>
      </c>
      <c r="Y173" s="525">
        <f t="shared" si="59"/>
        <v>925951.07238217781</v>
      </c>
      <c r="Z173" s="525">
        <f t="shared" si="59"/>
        <v>927307.71062982129</v>
      </c>
      <c r="AA173" s="525">
        <f t="shared" si="59"/>
        <v>928691.48164241773</v>
      </c>
      <c r="AB173" s="525">
        <f t="shared" si="59"/>
        <v>930102.92807526607</v>
      </c>
      <c r="AC173" s="525">
        <f t="shared" si="59"/>
        <v>931542.60343677143</v>
      </c>
      <c r="AD173" s="525">
        <f t="shared" si="59"/>
        <v>933011.07230550691</v>
      </c>
      <c r="AE173" s="525">
        <f t="shared" si="59"/>
        <v>934508.91055161704</v>
      </c>
      <c r="AG173" s="199"/>
    </row>
    <row r="174" spans="1:33">
      <c r="K174" s="683"/>
      <c r="L174" s="666"/>
      <c r="M174" s="666"/>
      <c r="N174" s="666"/>
      <c r="O174" s="666"/>
      <c r="P174" s="666"/>
      <c r="Q174" s="666"/>
      <c r="R174" s="666"/>
      <c r="S174" s="666"/>
      <c r="T174" s="666"/>
      <c r="U174" s="666"/>
      <c r="V174" s="666"/>
      <c r="W174" s="666"/>
      <c r="X174" s="666"/>
      <c r="Y174" s="666"/>
      <c r="Z174" s="666"/>
      <c r="AA174" s="666"/>
      <c r="AB174" s="666"/>
      <c r="AC174" s="666"/>
      <c r="AD174" s="666"/>
      <c r="AE174" s="666"/>
      <c r="AG174" s="199"/>
    </row>
    <row r="175" spans="1:33" s="56" customFormat="1" ht="14.25">
      <c r="A175" s="208" t="s">
        <v>86</v>
      </c>
      <c r="B175" s="718">
        <f>SUM(L175:AE175)</f>
        <v>18384010.478132468</v>
      </c>
      <c r="C175" s="208"/>
      <c r="D175" s="202"/>
      <c r="E175" s="208"/>
      <c r="F175" s="208"/>
      <c r="G175" s="208"/>
      <c r="H175" s="208"/>
      <c r="I175" s="208"/>
      <c r="J175" s="208"/>
      <c r="K175" s="678">
        <f>SUM(K168:K170)</f>
        <v>0</v>
      </c>
      <c r="L175" s="678">
        <f>L173</f>
        <v>858119.16</v>
      </c>
      <c r="M175" s="678">
        <f t="shared" ref="M175:AE175" si="60">M173</f>
        <v>911604.16</v>
      </c>
      <c r="N175" s="678">
        <f t="shared" si="60"/>
        <v>912673.86</v>
      </c>
      <c r="O175" s="678">
        <f t="shared" si="60"/>
        <v>913764.95400000003</v>
      </c>
      <c r="P175" s="678">
        <f t="shared" si="60"/>
        <v>914877.86988000001</v>
      </c>
      <c r="Q175" s="678">
        <f t="shared" si="60"/>
        <v>916013.0440776</v>
      </c>
      <c r="R175" s="678">
        <f t="shared" si="60"/>
        <v>917170.92175915209</v>
      </c>
      <c r="S175" s="678">
        <f t="shared" si="60"/>
        <v>918351.95699433505</v>
      </c>
      <c r="T175" s="678">
        <f t="shared" si="60"/>
        <v>919556.61293422175</v>
      </c>
      <c r="U175" s="678">
        <f t="shared" si="60"/>
        <v>920785.3619929062</v>
      </c>
      <c r="V175" s="678">
        <f t="shared" si="60"/>
        <v>922038.68603276438</v>
      </c>
      <c r="W175" s="678">
        <f t="shared" si="60"/>
        <v>923317.07655341958</v>
      </c>
      <c r="X175" s="678">
        <f t="shared" si="60"/>
        <v>924621.03488448798</v>
      </c>
      <c r="Y175" s="678">
        <f t="shared" si="60"/>
        <v>925951.07238217781</v>
      </c>
      <c r="Z175" s="678">
        <f t="shared" si="60"/>
        <v>927307.71062982129</v>
      </c>
      <c r="AA175" s="678">
        <f t="shared" si="60"/>
        <v>928691.48164241773</v>
      </c>
      <c r="AB175" s="678">
        <f t="shared" si="60"/>
        <v>930102.92807526607</v>
      </c>
      <c r="AC175" s="678">
        <f t="shared" si="60"/>
        <v>931542.60343677143</v>
      </c>
      <c r="AD175" s="678">
        <f t="shared" si="60"/>
        <v>933011.07230550691</v>
      </c>
      <c r="AE175" s="678">
        <f t="shared" si="60"/>
        <v>934508.91055161704</v>
      </c>
      <c r="AG175" s="199"/>
    </row>
    <row r="176" spans="1:33">
      <c r="K176" s="662"/>
      <c r="L176" s="201"/>
      <c r="M176" s="201"/>
      <c r="N176" s="201"/>
      <c r="O176" s="201"/>
      <c r="P176" s="201"/>
      <c r="Q176" s="201"/>
      <c r="R176" s="201"/>
      <c r="S176" s="201"/>
      <c r="T176" s="201"/>
      <c r="U176" s="201"/>
      <c r="V176" s="201"/>
      <c r="W176" s="201"/>
      <c r="X176" s="201"/>
      <c r="Y176" s="201"/>
      <c r="Z176" s="201"/>
      <c r="AA176" s="201"/>
      <c r="AB176" s="201"/>
      <c r="AC176" s="201"/>
      <c r="AD176" s="201"/>
      <c r="AE176" s="201"/>
    </row>
    <row r="177" spans="1:31">
      <c r="A177" s="251"/>
      <c r="B177" s="251"/>
      <c r="C177" s="251"/>
      <c r="D177" s="259"/>
      <c r="E177" s="251"/>
      <c r="F177" s="251"/>
      <c r="G177" s="251"/>
      <c r="H177" s="251"/>
      <c r="I177" s="251"/>
      <c r="J177" s="251"/>
      <c r="K177" s="324"/>
      <c r="L177" s="325"/>
      <c r="M177" s="325"/>
      <c r="N177" s="325"/>
      <c r="O177" s="325"/>
      <c r="P177" s="325"/>
      <c r="Q177" s="325"/>
      <c r="R177" s="325"/>
      <c r="S177" s="325"/>
      <c r="T177" s="325"/>
      <c r="U177" s="325"/>
      <c r="V177" s="325"/>
      <c r="W177" s="325"/>
      <c r="X177" s="325"/>
      <c r="Y177" s="325"/>
      <c r="Z177" s="325"/>
      <c r="AA177" s="325"/>
      <c r="AB177" s="325"/>
      <c r="AC177" s="325"/>
      <c r="AD177" s="325"/>
      <c r="AE177" s="325"/>
    </row>
    <row r="178" spans="1:31">
      <c r="K178" s="322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1"/>
      <c r="Y178" s="201"/>
      <c r="Z178" s="201"/>
      <c r="AA178" s="201"/>
      <c r="AB178" s="201"/>
      <c r="AC178" s="201"/>
      <c r="AD178" s="201"/>
      <c r="AE178" s="201"/>
    </row>
    <row r="179" spans="1:31">
      <c r="A179"/>
      <c r="K179" s="322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1"/>
      <c r="Y179" s="201"/>
      <c r="Z179" s="201"/>
      <c r="AA179" s="201"/>
      <c r="AB179" s="201"/>
      <c r="AC179" s="201"/>
      <c r="AD179" s="201"/>
      <c r="AE179" s="201"/>
    </row>
    <row r="180" spans="1:31">
      <c r="A180"/>
      <c r="K180" s="322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</row>
    <row r="181" spans="1:31">
      <c r="K181" s="322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</row>
    <row r="182" spans="1:31">
      <c r="K182" s="322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  <c r="AA182" s="201"/>
      <c r="AB182" s="201"/>
      <c r="AC182" s="201"/>
      <c r="AD182" s="201"/>
      <c r="AE182" s="201"/>
    </row>
    <row r="183" spans="1:31">
      <c r="K183" s="322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</row>
    <row r="184" spans="1:31">
      <c r="K184" s="322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  <c r="AA184" s="201"/>
      <c r="AB184" s="201"/>
      <c r="AC184" s="201"/>
      <c r="AD184" s="201"/>
      <c r="AE184" s="201"/>
    </row>
    <row r="185" spans="1:31">
      <c r="K185" s="322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</row>
    <row r="186" spans="1:31">
      <c r="K186" s="322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</row>
    <row r="187" spans="1:31">
      <c r="K187" s="322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</row>
    <row r="188" spans="1:31">
      <c r="K188" s="322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</row>
    <row r="189" spans="1:31">
      <c r="K189" s="322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</row>
    <row r="190" spans="1:31">
      <c r="K190" s="322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</row>
    <row r="191" spans="1:31">
      <c r="K191" s="322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</row>
    <row r="192" spans="1:31">
      <c r="K192" s="322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FD192"/>
  <sheetViews>
    <sheetView topLeftCell="A67" zoomScale="70" zoomScaleNormal="70" workbookViewId="0">
      <selection activeCell="G179" sqref="G179"/>
    </sheetView>
  </sheetViews>
  <sheetFormatPr defaultColWidth="9" defaultRowHeight="16.5"/>
  <cols>
    <col min="1" max="1" width="45.625" style="33" customWidth="1"/>
    <col min="2" max="2" width="18.875" style="33" bestFit="1" customWidth="1"/>
    <col min="3" max="3" width="18.125" style="33" bestFit="1" customWidth="1"/>
    <col min="4" max="4" width="16.25" style="109" bestFit="1" customWidth="1"/>
    <col min="5" max="5" width="13.125" style="33" bestFit="1" customWidth="1"/>
    <col min="6" max="6" width="20.5" style="33" bestFit="1" customWidth="1"/>
    <col min="7" max="7" width="20.25" style="33" bestFit="1" customWidth="1"/>
    <col min="8" max="8" width="21.75" style="33" bestFit="1" customWidth="1"/>
    <col min="9" max="9" width="12.125" style="33" bestFit="1" customWidth="1"/>
    <col min="10" max="10" width="13.875" style="33" bestFit="1" customWidth="1"/>
    <col min="11" max="11" width="7.75" style="166" bestFit="1" customWidth="1"/>
    <col min="12" max="12" width="15.875" style="33" bestFit="1" customWidth="1"/>
    <col min="13" max="13" width="17.5" style="33" bestFit="1" customWidth="1"/>
    <col min="14" max="14" width="17.125" style="33" bestFit="1" customWidth="1"/>
    <col min="15" max="15" width="16.375" style="33" bestFit="1" customWidth="1"/>
    <col min="16" max="16" width="17.125" style="33" bestFit="1" customWidth="1"/>
    <col min="17" max="17" width="17.5" style="33" bestFit="1" customWidth="1"/>
    <col min="18" max="18" width="16.75" style="33" bestFit="1" customWidth="1"/>
    <col min="19" max="19" width="16.375" style="33" bestFit="1" customWidth="1"/>
    <col min="20" max="20" width="16.75" style="33" bestFit="1" customWidth="1"/>
    <col min="21" max="21" width="17.125" style="33" bestFit="1" customWidth="1"/>
    <col min="22" max="22" width="17.5" style="33" bestFit="1" customWidth="1"/>
    <col min="23" max="23" width="17.125" style="33" bestFit="1" customWidth="1"/>
    <col min="24" max="26" width="17.5" style="33" bestFit="1" customWidth="1"/>
    <col min="27" max="27" width="17.125" style="33" bestFit="1" customWidth="1"/>
    <col min="28" max="31" width="17.5" style="33" bestFit="1" customWidth="1"/>
    <col min="32" max="32" width="22.625" style="33" bestFit="1" customWidth="1"/>
    <col min="33" max="33" width="12.625" style="33" bestFit="1" customWidth="1"/>
    <col min="34" max="16384" width="9" style="33"/>
  </cols>
  <sheetData>
    <row r="1" spans="1:31" ht="18.75" thickBot="1">
      <c r="A1" s="11" t="str">
        <f>Intro!A1</f>
        <v>Town of Bar Harbor</v>
      </c>
      <c r="B1" s="13"/>
      <c r="C1" s="13"/>
      <c r="D1" s="99"/>
      <c r="E1" s="14"/>
      <c r="F1" s="14"/>
      <c r="G1" s="34"/>
      <c r="H1" s="34"/>
      <c r="I1" s="34"/>
      <c r="J1" s="34"/>
      <c r="K1" s="16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</row>
    <row r="2" spans="1:31" ht="17.25" thickBot="1">
      <c r="A2" s="380" t="str">
        <f>Intro!A2</f>
        <v>Ferry Property Business Plan</v>
      </c>
      <c r="B2" s="13"/>
      <c r="C2" s="13"/>
      <c r="D2" s="99"/>
      <c r="E2" s="14"/>
      <c r="F2" s="14"/>
      <c r="G2" s="34"/>
      <c r="H2" s="34"/>
      <c r="I2" s="34"/>
      <c r="J2" s="34"/>
      <c r="K2" s="16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</row>
    <row r="3" spans="1:31" s="392" customFormat="1" ht="14.25" thickBot="1">
      <c r="A3" s="384" t="str">
        <f>Intro!A3</f>
        <v>05.23.2018</v>
      </c>
      <c r="B3" s="2"/>
      <c r="C3" s="382"/>
      <c r="D3" s="393"/>
      <c r="E3" s="385"/>
      <c r="F3" s="385"/>
      <c r="G3" s="389"/>
      <c r="H3" s="389"/>
      <c r="I3" s="389"/>
      <c r="J3" s="389"/>
      <c r="K3" s="390"/>
      <c r="L3" s="391"/>
      <c r="M3" s="391"/>
      <c r="N3" s="391"/>
      <c r="O3" s="391"/>
      <c r="P3" s="391"/>
      <c r="Q3" s="391"/>
      <c r="R3" s="391"/>
      <c r="S3" s="391"/>
      <c r="T3" s="391"/>
      <c r="U3" s="391"/>
      <c r="V3" s="391"/>
      <c r="W3" s="391"/>
      <c r="X3" s="391"/>
      <c r="Y3" s="391"/>
      <c r="Z3" s="391"/>
      <c r="AA3" s="391"/>
      <c r="AB3" s="391"/>
      <c r="AC3" s="391"/>
      <c r="AD3" s="391"/>
      <c r="AE3" s="391"/>
    </row>
    <row r="4" spans="1:31" s="392" customFormat="1" ht="13.5">
      <c r="A4" s="384" t="str">
        <f ca="1">Intro!A4</f>
        <v>Town of Bar Harbor</v>
      </c>
      <c r="B4" s="382"/>
      <c r="C4" s="382"/>
      <c r="D4" s="393"/>
      <c r="E4" s="383">
        <f ca="1">NOW()</f>
        <v>43242.835659143515</v>
      </c>
      <c r="F4" s="383"/>
      <c r="G4" s="389"/>
      <c r="H4" s="389"/>
      <c r="I4" s="389"/>
      <c r="J4" s="389"/>
      <c r="K4" s="390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  <c r="W4" s="391"/>
      <c r="X4" s="391"/>
      <c r="Y4" s="391"/>
      <c r="Z4" s="391"/>
      <c r="AA4" s="391"/>
      <c r="AB4" s="391"/>
      <c r="AC4" s="391"/>
      <c r="AD4" s="391"/>
      <c r="AE4" s="391"/>
    </row>
    <row r="5" spans="1:31">
      <c r="A5" s="231" t="s">
        <v>342</v>
      </c>
      <c r="B5" s="231"/>
      <c r="C5" s="232"/>
      <c r="D5" s="233"/>
      <c r="E5" s="232"/>
      <c r="F5" s="232"/>
      <c r="G5" s="234"/>
      <c r="H5" s="234"/>
      <c r="I5" s="234"/>
      <c r="J5" s="234"/>
      <c r="K5" s="235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1:31">
      <c r="A6" s="237"/>
      <c r="B6" s="237"/>
      <c r="C6" s="237"/>
      <c r="D6" s="238"/>
      <c r="E6" s="237"/>
      <c r="F6" s="237"/>
      <c r="G6" s="237"/>
      <c r="H6" s="237"/>
      <c r="I6" s="237"/>
      <c r="J6" s="237"/>
      <c r="K6" s="659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</row>
    <row r="7" spans="1:31" ht="48.75" customHeight="1">
      <c r="A7" s="239"/>
      <c r="B7" s="240" t="s">
        <v>45</v>
      </c>
      <c r="C7" s="241" t="s">
        <v>46</v>
      </c>
      <c r="D7" s="242" t="s">
        <v>47</v>
      </c>
      <c r="E7" s="240" t="s">
        <v>21</v>
      </c>
      <c r="F7" s="240" t="s">
        <v>48</v>
      </c>
      <c r="G7" s="240" t="s">
        <v>49</v>
      </c>
      <c r="H7" s="240" t="s">
        <v>59</v>
      </c>
      <c r="I7" s="240" t="s">
        <v>22</v>
      </c>
      <c r="J7" s="240" t="s">
        <v>50</v>
      </c>
      <c r="K7" s="243">
        <v>2018</v>
      </c>
      <c r="L7" s="243">
        <v>2019</v>
      </c>
      <c r="M7" s="243">
        <v>2020</v>
      </c>
      <c r="N7" s="243">
        <v>2021</v>
      </c>
      <c r="O7" s="243">
        <v>2022</v>
      </c>
      <c r="P7" s="243">
        <v>2023</v>
      </c>
      <c r="Q7" s="243">
        <v>2024</v>
      </c>
      <c r="R7" s="243">
        <v>2025</v>
      </c>
      <c r="S7" s="243">
        <v>2026</v>
      </c>
      <c r="T7" s="243">
        <v>2027</v>
      </c>
      <c r="U7" s="243">
        <v>2028</v>
      </c>
      <c r="V7" s="243">
        <v>2029</v>
      </c>
      <c r="W7" s="243">
        <v>2030</v>
      </c>
      <c r="X7" s="243">
        <v>2031</v>
      </c>
      <c r="Y7" s="243">
        <v>2032</v>
      </c>
      <c r="Z7" s="243">
        <v>2033</v>
      </c>
      <c r="AA7" s="243">
        <v>2034</v>
      </c>
      <c r="AB7" s="243">
        <v>2035</v>
      </c>
      <c r="AC7" s="243">
        <v>2036</v>
      </c>
      <c r="AD7" s="243">
        <v>2037</v>
      </c>
      <c r="AE7" s="243">
        <v>2038</v>
      </c>
    </row>
    <row r="8" spans="1:31" s="18" customFormat="1" ht="17.25" thickBot="1">
      <c r="K8" s="488"/>
    </row>
    <row r="9" spans="1:31" s="18" customFormat="1" ht="17.25" thickBot="1">
      <c r="A9" s="117" t="s">
        <v>381</v>
      </c>
      <c r="B9" s="484" t="str">
        <f>'Cruise Projections'!A95</f>
        <v>Scenario 6 - All</v>
      </c>
      <c r="K9" s="489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  <c r="Y9" s="327"/>
      <c r="Z9" s="327"/>
      <c r="AA9" s="327"/>
      <c r="AB9" s="327"/>
      <c r="AC9" s="327"/>
      <c r="AD9" s="327"/>
      <c r="AE9" s="327"/>
    </row>
    <row r="10" spans="1:31" s="18" customFormat="1">
      <c r="A10" s="649"/>
      <c r="B10" s="372"/>
      <c r="K10" s="489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  <c r="Y10" s="327"/>
      <c r="Z10" s="327"/>
      <c r="AA10" s="327"/>
      <c r="AB10" s="327"/>
      <c r="AC10" s="327"/>
      <c r="AD10" s="327"/>
      <c r="AE10" s="327"/>
    </row>
    <row r="11" spans="1:31">
      <c r="A11" s="38" t="s">
        <v>52</v>
      </c>
      <c r="B11" s="38"/>
      <c r="C11" s="38"/>
      <c r="D11" s="101"/>
      <c r="E11" s="38"/>
      <c r="F11" s="38"/>
      <c r="G11" s="37"/>
      <c r="H11" s="37"/>
      <c r="I11" s="38"/>
      <c r="J11" s="37"/>
      <c r="K11" s="784">
        <f>'OPEX - Concept A1'!K11</f>
        <v>0</v>
      </c>
      <c r="L11" s="311">
        <f>'BH Tariffs'!D52</f>
        <v>1.02</v>
      </c>
      <c r="M11" s="311">
        <f>'BH Tariffs'!E52</f>
        <v>1.0404</v>
      </c>
      <c r="N11" s="311">
        <f>'BH Tariffs'!F52</f>
        <v>1.0612079999999999</v>
      </c>
      <c r="O11" s="311">
        <f>'BH Tariffs'!G52</f>
        <v>1.08243216</v>
      </c>
      <c r="P11" s="311">
        <f>'BH Tariffs'!H52</f>
        <v>1.1040808032</v>
      </c>
      <c r="Q11" s="311">
        <f>'BH Tariffs'!I52</f>
        <v>1.1261624192640001</v>
      </c>
      <c r="R11" s="311">
        <f>'BH Tariffs'!J52</f>
        <v>1.14868566764928</v>
      </c>
      <c r="S11" s="311">
        <f>'BH Tariffs'!K52</f>
        <v>1.1716593810022657</v>
      </c>
      <c r="T11" s="311">
        <f>'BH Tariffs'!L52</f>
        <v>1.1950925686223111</v>
      </c>
      <c r="U11" s="311">
        <f>'BH Tariffs'!M52</f>
        <v>1.2189944199947573</v>
      </c>
      <c r="V11" s="311">
        <f>'BH Tariffs'!N52</f>
        <v>1.2433743083946525</v>
      </c>
      <c r="W11" s="311">
        <f>'BH Tariffs'!O52</f>
        <v>1.2682417945625455</v>
      </c>
      <c r="X11" s="311">
        <f>'BH Tariffs'!P52</f>
        <v>1.2936066304537963</v>
      </c>
      <c r="Y11" s="311">
        <f>'BH Tariffs'!Q52</f>
        <v>1.3194787630628724</v>
      </c>
      <c r="Z11" s="311">
        <f>'BH Tariffs'!R52</f>
        <v>1.3458683383241299</v>
      </c>
      <c r="AA11" s="311">
        <f>'BH Tariffs'!S52</f>
        <v>1.3727857050906125</v>
      </c>
      <c r="AB11" s="311">
        <f>'BH Tariffs'!T52</f>
        <v>1.4002414191924248</v>
      </c>
      <c r="AC11" s="311">
        <f>'BH Tariffs'!U52</f>
        <v>1.4282462475762734</v>
      </c>
      <c r="AD11" s="311">
        <f>'BH Tariffs'!V52</f>
        <v>1.4568111725277988</v>
      </c>
      <c r="AE11" s="311">
        <f>'BH Tariffs'!W52</f>
        <v>1.4859473959783549</v>
      </c>
    </row>
    <row r="12" spans="1:31">
      <c r="A12" s="38" t="s">
        <v>58</v>
      </c>
      <c r="B12" s="38"/>
      <c r="C12" s="37"/>
      <c r="D12" s="76"/>
      <c r="E12" s="79">
        <v>0.2</v>
      </c>
      <c r="F12" s="172"/>
      <c r="G12" s="36"/>
      <c r="H12" s="36"/>
      <c r="I12" s="38"/>
      <c r="J12" s="36"/>
      <c r="K12" s="661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200"/>
      <c r="AC12" s="200"/>
      <c r="AD12" s="200"/>
      <c r="AE12" s="200"/>
    </row>
    <row r="13" spans="1:31">
      <c r="A13" s="38" t="s">
        <v>51</v>
      </c>
      <c r="B13" s="38"/>
      <c r="C13" s="37"/>
      <c r="D13" s="76"/>
      <c r="E13" s="79"/>
      <c r="F13" s="79">
        <v>0.4</v>
      </c>
      <c r="G13" s="36"/>
      <c r="H13" s="36"/>
      <c r="I13" s="38"/>
      <c r="J13" s="36"/>
      <c r="K13" s="661"/>
      <c r="L13" s="200"/>
      <c r="M13" s="200"/>
      <c r="N13" s="200"/>
      <c r="O13" s="200"/>
      <c r="P13" s="200"/>
      <c r="Q13" s="200"/>
      <c r="R13" s="200"/>
      <c r="S13" s="200"/>
      <c r="T13" s="200"/>
      <c r="U13" s="200"/>
      <c r="V13" s="200"/>
      <c r="W13" s="200"/>
      <c r="X13" s="200"/>
      <c r="Y13" s="200"/>
      <c r="Z13" s="200"/>
      <c r="AA13" s="200"/>
      <c r="AB13" s="200"/>
      <c r="AC13" s="200"/>
      <c r="AD13" s="200"/>
      <c r="AE13" s="200"/>
    </row>
    <row r="14" spans="1:31" s="18" customFormat="1">
      <c r="A14" s="649"/>
      <c r="B14" s="372"/>
      <c r="K14" s="489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7"/>
      <c r="X14" s="327"/>
      <c r="Y14" s="327"/>
      <c r="Z14" s="327"/>
      <c r="AA14" s="327"/>
      <c r="AB14" s="327"/>
      <c r="AC14" s="327"/>
      <c r="AD14" s="327"/>
      <c r="AE14" s="327"/>
    </row>
    <row r="15" spans="1:31" s="18" customFormat="1">
      <c r="K15" s="489"/>
      <c r="L15" s="327"/>
      <c r="M15" s="327"/>
      <c r="N15" s="327"/>
      <c r="O15" s="327"/>
      <c r="P15" s="327"/>
      <c r="Q15" s="327"/>
      <c r="R15" s="327"/>
      <c r="S15" s="327"/>
      <c r="T15" s="327"/>
      <c r="U15" s="327"/>
      <c r="V15" s="327"/>
      <c r="W15" s="327"/>
      <c r="X15" s="327"/>
      <c r="Y15" s="327"/>
      <c r="Z15" s="327"/>
      <c r="AA15" s="327"/>
      <c r="AB15" s="327"/>
      <c r="AC15" s="327"/>
      <c r="AD15" s="327"/>
      <c r="AE15" s="327"/>
    </row>
    <row r="16" spans="1:31" s="582" customFormat="1" ht="14.25">
      <c r="A16" s="582" t="s">
        <v>83</v>
      </c>
      <c r="K16" s="490"/>
      <c r="L16" s="785"/>
      <c r="M16" s="785"/>
      <c r="N16" s="785"/>
      <c r="O16" s="785"/>
      <c r="P16" s="785"/>
      <c r="Q16" s="785"/>
      <c r="R16" s="785"/>
      <c r="S16" s="785"/>
      <c r="T16" s="785"/>
      <c r="U16" s="785"/>
      <c r="V16" s="785"/>
      <c r="W16" s="785"/>
      <c r="X16" s="785"/>
      <c r="Y16" s="785"/>
      <c r="Z16" s="785"/>
      <c r="AA16" s="785"/>
      <c r="AB16" s="785"/>
      <c r="AC16" s="785"/>
      <c r="AD16" s="785"/>
      <c r="AE16" s="785"/>
    </row>
    <row r="17" spans="1:31" s="96" customFormat="1">
      <c r="A17" s="53" t="str">
        <f>'Cruise Projections'!A67</f>
        <v>Passengers</v>
      </c>
      <c r="B17" s="487"/>
      <c r="C17" s="487"/>
      <c r="K17" s="486">
        <f>'P&amp;L - Concept B1 - ALL'!D12</f>
        <v>0</v>
      </c>
      <c r="L17" s="313">
        <f>'P&amp;L - Concept B1 - ALL'!E12</f>
        <v>0</v>
      </c>
      <c r="M17" s="313">
        <f>'P&amp;L - Concept B1 - ALL'!F12</f>
        <v>261573</v>
      </c>
      <c r="N17" s="313">
        <f>'P&amp;L - Concept B1 - ALL'!G12</f>
        <v>261573</v>
      </c>
      <c r="O17" s="313">
        <f>'P&amp;L - Concept B1 - ALL'!H12</f>
        <v>261573</v>
      </c>
      <c r="P17" s="313">
        <f>'P&amp;L - Concept B1 - ALL'!I12</f>
        <v>261573</v>
      </c>
      <c r="Q17" s="313">
        <f>'P&amp;L - Concept B1 - ALL'!J12</f>
        <v>261573</v>
      </c>
      <c r="R17" s="313">
        <f>'P&amp;L - Concept B1 - ALL'!K12</f>
        <v>261573</v>
      </c>
      <c r="S17" s="313">
        <f>'P&amp;L - Concept B1 - ALL'!L12</f>
        <v>261573</v>
      </c>
      <c r="T17" s="313">
        <f>'P&amp;L - Concept B1 - ALL'!M12</f>
        <v>261573</v>
      </c>
      <c r="U17" s="313">
        <f>'P&amp;L - Concept B1 - ALL'!N12</f>
        <v>261573</v>
      </c>
      <c r="V17" s="313">
        <f>'P&amp;L - Concept B1 - ALL'!O12</f>
        <v>261573</v>
      </c>
      <c r="W17" s="313">
        <f>'P&amp;L - Concept B1 - ALL'!P12</f>
        <v>261573</v>
      </c>
      <c r="X17" s="313">
        <f>'P&amp;L - Concept B1 - ALL'!Q12</f>
        <v>261573</v>
      </c>
      <c r="Y17" s="313">
        <f>'P&amp;L - Concept B1 - ALL'!R12</f>
        <v>261573</v>
      </c>
      <c r="Z17" s="313">
        <f>'P&amp;L - Concept B1 - ALL'!S12</f>
        <v>261573</v>
      </c>
      <c r="AA17" s="313">
        <f>'P&amp;L - Concept B1 - ALL'!T12</f>
        <v>261573</v>
      </c>
      <c r="AB17" s="313">
        <f>'P&amp;L - Concept B1 - ALL'!U12</f>
        <v>261573</v>
      </c>
      <c r="AC17" s="313">
        <f>'P&amp;L - Concept B1 - ALL'!V12</f>
        <v>261573</v>
      </c>
      <c r="AD17" s="313">
        <f>'P&amp;L - Concept B1 - ALL'!W12</f>
        <v>261573</v>
      </c>
      <c r="AE17" s="313">
        <f>'P&amp;L - Concept B1 - ALL'!X12</f>
        <v>261573</v>
      </c>
    </row>
    <row r="18" spans="1:31" s="96" customFormat="1">
      <c r="A18" s="53" t="str">
        <f>'Cruise Projections'!A68</f>
        <v>Calls</v>
      </c>
      <c r="B18" s="487"/>
      <c r="C18" s="487"/>
      <c r="K18" s="486">
        <f>'P&amp;L - Concept B1 - ALL'!D13</f>
        <v>0</v>
      </c>
      <c r="L18" s="313">
        <f>'P&amp;L - Concept B1 - ALL'!E13</f>
        <v>0</v>
      </c>
      <c r="M18" s="313">
        <f>'P&amp;L - Concept B1 - ALL'!F13</f>
        <v>172</v>
      </c>
      <c r="N18" s="313">
        <f>'P&amp;L - Concept B1 - ALL'!G13</f>
        <v>172</v>
      </c>
      <c r="O18" s="313">
        <f>'P&amp;L - Concept B1 - ALL'!H13</f>
        <v>172</v>
      </c>
      <c r="P18" s="313">
        <f>'P&amp;L - Concept B1 - ALL'!I13</f>
        <v>172</v>
      </c>
      <c r="Q18" s="313">
        <f>'P&amp;L - Concept B1 - ALL'!J13</f>
        <v>172</v>
      </c>
      <c r="R18" s="313">
        <f>'P&amp;L - Concept B1 - ALL'!K13</f>
        <v>172</v>
      </c>
      <c r="S18" s="313">
        <f>'P&amp;L - Concept B1 - ALL'!L13</f>
        <v>172</v>
      </c>
      <c r="T18" s="313">
        <f>'P&amp;L - Concept B1 - ALL'!M13</f>
        <v>172</v>
      </c>
      <c r="U18" s="313">
        <f>'P&amp;L - Concept B1 - ALL'!N13</f>
        <v>172</v>
      </c>
      <c r="V18" s="313">
        <f>'P&amp;L - Concept B1 - ALL'!O13</f>
        <v>172</v>
      </c>
      <c r="W18" s="313">
        <f>'P&amp;L - Concept B1 - ALL'!P13</f>
        <v>172</v>
      </c>
      <c r="X18" s="313">
        <f>'P&amp;L - Concept B1 - ALL'!Q13</f>
        <v>172</v>
      </c>
      <c r="Y18" s="313">
        <f>'P&amp;L - Concept B1 - ALL'!R13</f>
        <v>172</v>
      </c>
      <c r="Z18" s="313">
        <f>'P&amp;L - Concept B1 - ALL'!S13</f>
        <v>172</v>
      </c>
      <c r="AA18" s="313">
        <f>'P&amp;L - Concept B1 - ALL'!T13</f>
        <v>172</v>
      </c>
      <c r="AB18" s="313">
        <f>'P&amp;L - Concept B1 - ALL'!U13</f>
        <v>172</v>
      </c>
      <c r="AC18" s="313">
        <f>'P&amp;L - Concept B1 - ALL'!V13</f>
        <v>172</v>
      </c>
      <c r="AD18" s="313">
        <f>'P&amp;L - Concept B1 - ALL'!W13</f>
        <v>172</v>
      </c>
      <c r="AE18" s="313">
        <f>'P&amp;L - Concept B1 - ALL'!X13</f>
        <v>172</v>
      </c>
    </row>
    <row r="19" spans="1:31" s="96" customFormat="1">
      <c r="A19" s="53" t="str">
        <f>'Cruise Projections'!A69</f>
        <v>Passengers per Call</v>
      </c>
      <c r="B19" s="487"/>
      <c r="C19" s="487"/>
      <c r="K19" s="486">
        <f>'P&amp;L - Concept B1 - ALL'!D14</f>
        <v>0</v>
      </c>
      <c r="L19" s="313">
        <f>'P&amp;L - Concept B1 - ALL'!E14</f>
        <v>0</v>
      </c>
      <c r="M19" s="313">
        <f>'P&amp;L - Concept B1 - ALL'!F14</f>
        <v>1520.7732558139535</v>
      </c>
      <c r="N19" s="313">
        <f>'P&amp;L - Concept B1 - ALL'!G14</f>
        <v>1520.7732558139535</v>
      </c>
      <c r="O19" s="313">
        <f>'P&amp;L - Concept B1 - ALL'!H14</f>
        <v>1520.7732558139535</v>
      </c>
      <c r="P19" s="313">
        <f>'P&amp;L - Concept B1 - ALL'!I14</f>
        <v>1520.7732558139535</v>
      </c>
      <c r="Q19" s="313">
        <f>'P&amp;L - Concept B1 - ALL'!J14</f>
        <v>1520.7732558139535</v>
      </c>
      <c r="R19" s="313">
        <f>'P&amp;L - Concept B1 - ALL'!K14</f>
        <v>1520.7732558139535</v>
      </c>
      <c r="S19" s="313">
        <f>'P&amp;L - Concept B1 - ALL'!L14</f>
        <v>1520.7732558139535</v>
      </c>
      <c r="T19" s="313">
        <f>'P&amp;L - Concept B1 - ALL'!M14</f>
        <v>1520.7732558139535</v>
      </c>
      <c r="U19" s="313">
        <f>'P&amp;L - Concept B1 - ALL'!N14</f>
        <v>1520.7732558139535</v>
      </c>
      <c r="V19" s="313">
        <f>'P&amp;L - Concept B1 - ALL'!O14</f>
        <v>1520.7732558139535</v>
      </c>
      <c r="W19" s="313">
        <f>'P&amp;L - Concept B1 - ALL'!P14</f>
        <v>1520.7732558139535</v>
      </c>
      <c r="X19" s="313">
        <f>'P&amp;L - Concept B1 - ALL'!Q14</f>
        <v>1520.7732558139535</v>
      </c>
      <c r="Y19" s="313">
        <f>'P&amp;L - Concept B1 - ALL'!R14</f>
        <v>1520.7732558139535</v>
      </c>
      <c r="Z19" s="313">
        <f>'P&amp;L - Concept B1 - ALL'!S14</f>
        <v>1520.7732558139535</v>
      </c>
      <c r="AA19" s="313">
        <f>'P&amp;L - Concept B1 - ALL'!T14</f>
        <v>1520.7732558139535</v>
      </c>
      <c r="AB19" s="313">
        <f>'P&amp;L - Concept B1 - ALL'!U14</f>
        <v>1520.7732558139535</v>
      </c>
      <c r="AC19" s="313">
        <f>'P&amp;L - Concept B1 - ALL'!V14</f>
        <v>1520.7732558139535</v>
      </c>
      <c r="AD19" s="313">
        <f>'P&amp;L - Concept B1 - ALL'!W14</f>
        <v>1520.7732558139535</v>
      </c>
      <c r="AE19" s="313">
        <f>'P&amp;L - Concept B1 - ALL'!X14</f>
        <v>1520.7732558139535</v>
      </c>
    </row>
    <row r="20" spans="1:31" s="96" customFormat="1">
      <c r="A20" s="54" t="s">
        <v>313</v>
      </c>
      <c r="B20" s="487"/>
      <c r="C20" s="487"/>
      <c r="K20" s="486">
        <f>'P&amp;L - Concept B1 - ALL'!D15</f>
        <v>0</v>
      </c>
      <c r="L20" s="313">
        <f>'P&amp;L - Concept B1 - ALL'!E15</f>
        <v>0</v>
      </c>
      <c r="M20" s="313">
        <f>'P&amp;L - Concept B1 - ALL'!F15</f>
        <v>4120</v>
      </c>
      <c r="N20" s="313">
        <f>'P&amp;L - Concept B1 - ALL'!G15</f>
        <v>4120</v>
      </c>
      <c r="O20" s="313">
        <f>'P&amp;L - Concept B1 - ALL'!H15</f>
        <v>4120</v>
      </c>
      <c r="P20" s="313">
        <f>'P&amp;L - Concept B1 - ALL'!I15</f>
        <v>4120</v>
      </c>
      <c r="Q20" s="313">
        <f>'P&amp;L - Concept B1 - ALL'!J15</f>
        <v>4120</v>
      </c>
      <c r="R20" s="313">
        <f>'P&amp;L - Concept B1 - ALL'!K15</f>
        <v>4120</v>
      </c>
      <c r="S20" s="313">
        <f>'P&amp;L - Concept B1 - ALL'!L15</f>
        <v>4120</v>
      </c>
      <c r="T20" s="313">
        <f>'P&amp;L - Concept B1 - ALL'!M15</f>
        <v>4120</v>
      </c>
      <c r="U20" s="313">
        <f>'P&amp;L - Concept B1 - ALL'!N15</f>
        <v>4120</v>
      </c>
      <c r="V20" s="313">
        <f>'P&amp;L - Concept B1 - ALL'!O15</f>
        <v>4120</v>
      </c>
      <c r="W20" s="313">
        <f>'P&amp;L - Concept B1 - ALL'!P15</f>
        <v>4120</v>
      </c>
      <c r="X20" s="313">
        <f>'P&amp;L - Concept B1 - ALL'!Q15</f>
        <v>4120</v>
      </c>
      <c r="Y20" s="313">
        <f>'P&amp;L - Concept B1 - ALL'!R15</f>
        <v>4120</v>
      </c>
      <c r="Z20" s="313">
        <f>'P&amp;L - Concept B1 - ALL'!S15</f>
        <v>4120</v>
      </c>
      <c r="AA20" s="313">
        <f>'P&amp;L - Concept B1 - ALL'!T15</f>
        <v>4120</v>
      </c>
      <c r="AB20" s="313">
        <f>'P&amp;L - Concept B1 - ALL'!U15</f>
        <v>4120</v>
      </c>
      <c r="AC20" s="313">
        <f>'P&amp;L - Concept B1 - ALL'!V15</f>
        <v>4120</v>
      </c>
      <c r="AD20" s="313">
        <f>'P&amp;L - Concept B1 - ALL'!W15</f>
        <v>4120</v>
      </c>
      <c r="AE20" s="313">
        <f>'P&amp;L - Concept B1 - ALL'!X15</f>
        <v>4120</v>
      </c>
    </row>
    <row r="21" spans="1:31" s="18" customFormat="1">
      <c r="A21" s="54"/>
      <c r="B21" s="21"/>
      <c r="C21" s="21"/>
      <c r="K21" s="486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  <c r="Y21" s="313"/>
      <c r="Z21" s="313"/>
      <c r="AA21" s="313"/>
      <c r="AB21" s="313"/>
      <c r="AC21" s="313"/>
      <c r="AD21" s="313"/>
      <c r="AE21" s="313"/>
    </row>
    <row r="22" spans="1:31" s="547" customFormat="1">
      <c r="A22" s="549" t="s">
        <v>163</v>
      </c>
      <c r="B22" s="550"/>
      <c r="C22" s="550"/>
      <c r="K22" s="610"/>
      <c r="L22" s="555"/>
      <c r="M22" s="555"/>
      <c r="N22" s="555"/>
      <c r="O22" s="555"/>
      <c r="P22" s="555"/>
      <c r="Q22" s="555"/>
      <c r="R22" s="555"/>
      <c r="S22" s="555"/>
      <c r="T22" s="555"/>
      <c r="U22" s="555"/>
      <c r="V22" s="555"/>
      <c r="W22" s="555"/>
      <c r="X22" s="555"/>
      <c r="Y22" s="555"/>
      <c r="Z22" s="555"/>
      <c r="AA22" s="555"/>
      <c r="AB22" s="555"/>
      <c r="AC22" s="555"/>
      <c r="AD22" s="555"/>
      <c r="AE22" s="555"/>
    </row>
    <row r="23" spans="1:31" s="341" customFormat="1">
      <c r="A23" s="552" t="str">
        <f>'International Ferry Projections'!A11</f>
        <v>Passengers</v>
      </c>
      <c r="B23" s="553"/>
      <c r="C23" s="553"/>
      <c r="K23" s="554">
        <f>'P&amp;L - Concept B1 - ALL'!D18</f>
        <v>0</v>
      </c>
      <c r="L23" s="555">
        <f>'P&amp;L - Concept B1 - ALL'!E18</f>
        <v>60000</v>
      </c>
      <c r="M23" s="555">
        <f>'P&amp;L - Concept B1 - ALL'!F18</f>
        <v>70000</v>
      </c>
      <c r="N23" s="555">
        <f>'P&amp;L - Concept B1 - ALL'!G18</f>
        <v>80000</v>
      </c>
      <c r="O23" s="555">
        <f>'P&amp;L - Concept B1 - ALL'!H18</f>
        <v>80000</v>
      </c>
      <c r="P23" s="555">
        <f>'P&amp;L - Concept B1 - ALL'!I18</f>
        <v>80000</v>
      </c>
      <c r="Q23" s="555">
        <f>'P&amp;L - Concept B1 - ALL'!J18</f>
        <v>80000</v>
      </c>
      <c r="R23" s="555">
        <f>'P&amp;L - Concept B1 - ALL'!K18</f>
        <v>80000</v>
      </c>
      <c r="S23" s="555">
        <f>'P&amp;L - Concept B1 - ALL'!L18</f>
        <v>80000</v>
      </c>
      <c r="T23" s="555">
        <f>'P&amp;L - Concept B1 - ALL'!M18</f>
        <v>80000</v>
      </c>
      <c r="U23" s="555">
        <f>'P&amp;L - Concept B1 - ALL'!N18</f>
        <v>80000</v>
      </c>
      <c r="V23" s="555">
        <f>'P&amp;L - Concept B1 - ALL'!O18</f>
        <v>80000</v>
      </c>
      <c r="W23" s="555">
        <f>'P&amp;L - Concept B1 - ALL'!P18</f>
        <v>80000</v>
      </c>
      <c r="X23" s="555">
        <f>'P&amp;L - Concept B1 - ALL'!Q18</f>
        <v>80000</v>
      </c>
      <c r="Y23" s="555">
        <f>'P&amp;L - Concept B1 - ALL'!R18</f>
        <v>80000</v>
      </c>
      <c r="Z23" s="555">
        <f>'P&amp;L - Concept B1 - ALL'!S18</f>
        <v>80000</v>
      </c>
      <c r="AA23" s="555">
        <f>'P&amp;L - Concept B1 - ALL'!T18</f>
        <v>80000</v>
      </c>
      <c r="AB23" s="555">
        <f>'P&amp;L - Concept B1 - ALL'!U18</f>
        <v>80000</v>
      </c>
      <c r="AC23" s="555">
        <f>'P&amp;L - Concept B1 - ALL'!V18</f>
        <v>80000</v>
      </c>
      <c r="AD23" s="555">
        <f>'P&amp;L - Concept B1 - ALL'!W18</f>
        <v>80000</v>
      </c>
      <c r="AE23" s="555">
        <f>'P&amp;L - Concept B1 - ALL'!X18</f>
        <v>80000</v>
      </c>
    </row>
    <row r="24" spans="1:31" s="341" customFormat="1">
      <c r="A24" s="552" t="str">
        <f>'International Ferry Projections'!A12</f>
        <v>Cars</v>
      </c>
      <c r="B24" s="553"/>
      <c r="C24" s="553"/>
      <c r="K24" s="554">
        <f>'P&amp;L - Concept B1 - ALL'!D19</f>
        <v>0</v>
      </c>
      <c r="L24" s="555">
        <f>'P&amp;L - Concept B1 - ALL'!E19</f>
        <v>24000</v>
      </c>
      <c r="M24" s="555">
        <f>'P&amp;L - Concept B1 - ALL'!F19</f>
        <v>28000</v>
      </c>
      <c r="N24" s="555">
        <f>'P&amp;L - Concept B1 - ALL'!G19</f>
        <v>32000</v>
      </c>
      <c r="O24" s="555">
        <f>'P&amp;L - Concept B1 - ALL'!H19</f>
        <v>32000</v>
      </c>
      <c r="P24" s="555">
        <f>'P&amp;L - Concept B1 - ALL'!I19</f>
        <v>32000</v>
      </c>
      <c r="Q24" s="555">
        <f>'P&amp;L - Concept B1 - ALL'!J19</f>
        <v>32000</v>
      </c>
      <c r="R24" s="555">
        <f>'P&amp;L - Concept B1 - ALL'!K19</f>
        <v>32000</v>
      </c>
      <c r="S24" s="555">
        <f>'P&amp;L - Concept B1 - ALL'!L19</f>
        <v>32000</v>
      </c>
      <c r="T24" s="555">
        <f>'P&amp;L - Concept B1 - ALL'!M19</f>
        <v>32000</v>
      </c>
      <c r="U24" s="555">
        <f>'P&amp;L - Concept B1 - ALL'!N19</f>
        <v>32000</v>
      </c>
      <c r="V24" s="555">
        <f>'P&amp;L - Concept B1 - ALL'!O19</f>
        <v>32000</v>
      </c>
      <c r="W24" s="555">
        <f>'P&amp;L - Concept B1 - ALL'!P19</f>
        <v>32000</v>
      </c>
      <c r="X24" s="555">
        <f>'P&amp;L - Concept B1 - ALL'!Q19</f>
        <v>32000</v>
      </c>
      <c r="Y24" s="555">
        <f>'P&amp;L - Concept B1 - ALL'!R19</f>
        <v>32000</v>
      </c>
      <c r="Z24" s="555">
        <f>'P&amp;L - Concept B1 - ALL'!S19</f>
        <v>32000</v>
      </c>
      <c r="AA24" s="555">
        <f>'P&amp;L - Concept B1 - ALL'!T19</f>
        <v>32000</v>
      </c>
      <c r="AB24" s="555">
        <f>'P&amp;L - Concept B1 - ALL'!U19</f>
        <v>32000</v>
      </c>
      <c r="AC24" s="555">
        <f>'P&amp;L - Concept B1 - ALL'!V19</f>
        <v>32000</v>
      </c>
      <c r="AD24" s="555">
        <f>'P&amp;L - Concept B1 - ALL'!W19</f>
        <v>32000</v>
      </c>
      <c r="AE24" s="555">
        <f>'P&amp;L - Concept B1 - ALL'!X19</f>
        <v>32000</v>
      </c>
    </row>
    <row r="25" spans="1:31" s="341" customFormat="1">
      <c r="A25" s="552" t="str">
        <f>'International Ferry Projections'!A13</f>
        <v>Buses</v>
      </c>
      <c r="B25" s="553"/>
      <c r="C25" s="553"/>
      <c r="K25" s="554">
        <f>'P&amp;L - Concept B1 - ALL'!D20</f>
        <v>0</v>
      </c>
      <c r="L25" s="555">
        <f>'P&amp;L - Concept B1 - ALL'!E20</f>
        <v>40</v>
      </c>
      <c r="M25" s="555">
        <f>'P&amp;L - Concept B1 - ALL'!F20</f>
        <v>50</v>
      </c>
      <c r="N25" s="555">
        <f>'P&amp;L - Concept B1 - ALL'!G20</f>
        <v>60</v>
      </c>
      <c r="O25" s="555">
        <f>'P&amp;L - Concept B1 - ALL'!H20</f>
        <v>60</v>
      </c>
      <c r="P25" s="555">
        <f>'P&amp;L - Concept B1 - ALL'!I20</f>
        <v>60</v>
      </c>
      <c r="Q25" s="555">
        <f>'P&amp;L - Concept B1 - ALL'!J20</f>
        <v>60</v>
      </c>
      <c r="R25" s="555">
        <f>'P&amp;L - Concept B1 - ALL'!K20</f>
        <v>60</v>
      </c>
      <c r="S25" s="555">
        <f>'P&amp;L - Concept B1 - ALL'!L20</f>
        <v>60</v>
      </c>
      <c r="T25" s="555">
        <f>'P&amp;L - Concept B1 - ALL'!M20</f>
        <v>60</v>
      </c>
      <c r="U25" s="555">
        <f>'P&amp;L - Concept B1 - ALL'!N20</f>
        <v>60</v>
      </c>
      <c r="V25" s="555">
        <f>'P&amp;L - Concept B1 - ALL'!O20</f>
        <v>60</v>
      </c>
      <c r="W25" s="555">
        <f>'P&amp;L - Concept B1 - ALL'!P20</f>
        <v>60</v>
      </c>
      <c r="X25" s="555">
        <f>'P&amp;L - Concept B1 - ALL'!Q20</f>
        <v>60</v>
      </c>
      <c r="Y25" s="555">
        <f>'P&amp;L - Concept B1 - ALL'!R20</f>
        <v>60</v>
      </c>
      <c r="Z25" s="555">
        <f>'P&amp;L - Concept B1 - ALL'!S20</f>
        <v>60</v>
      </c>
      <c r="AA25" s="555">
        <f>'P&amp;L - Concept B1 - ALL'!T20</f>
        <v>60</v>
      </c>
      <c r="AB25" s="555">
        <f>'P&amp;L - Concept B1 - ALL'!U20</f>
        <v>60</v>
      </c>
      <c r="AC25" s="555">
        <f>'P&amp;L - Concept B1 - ALL'!V20</f>
        <v>60</v>
      </c>
      <c r="AD25" s="555">
        <f>'P&amp;L - Concept B1 - ALL'!W20</f>
        <v>60</v>
      </c>
      <c r="AE25" s="555">
        <f>'P&amp;L - Concept B1 - ALL'!X20</f>
        <v>60</v>
      </c>
    </row>
    <row r="26" spans="1:31" s="18" customFormat="1">
      <c r="A26" s="54"/>
      <c r="B26" s="21"/>
      <c r="C26" s="21"/>
      <c r="K26" s="486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</row>
    <row r="27" spans="1:31" s="582" customFormat="1">
      <c r="A27" s="293" t="str">
        <f>'BH Tariffs'!A30</f>
        <v>Local Ferry</v>
      </c>
      <c r="B27" s="581"/>
      <c r="C27" s="581"/>
      <c r="K27" s="486"/>
      <c r="L27" s="313"/>
      <c r="M27" s="313"/>
      <c r="N27" s="313"/>
      <c r="O27" s="313"/>
      <c r="P27" s="313"/>
      <c r="Q27" s="313"/>
      <c r="R27" s="313"/>
      <c r="S27" s="313"/>
      <c r="T27" s="313"/>
      <c r="U27" s="313"/>
      <c r="V27" s="313"/>
      <c r="W27" s="313"/>
      <c r="X27" s="313"/>
      <c r="Y27" s="313"/>
      <c r="Z27" s="313"/>
      <c r="AA27" s="313"/>
      <c r="AB27" s="313"/>
      <c r="AC27" s="313"/>
      <c r="AD27" s="313"/>
      <c r="AE27" s="313"/>
    </row>
    <row r="28" spans="1:31" s="96" customFormat="1">
      <c r="A28" s="54" t="str">
        <f>'BH Tariffs'!A31</f>
        <v>Dock Rent (6 Months Only)</v>
      </c>
      <c r="B28" s="487"/>
      <c r="C28" s="487"/>
      <c r="K28" s="486">
        <f>'P&amp;L - Concept B1 - ALL'!D23</f>
        <v>0</v>
      </c>
      <c r="L28" s="313" t="str">
        <f>'P&amp;L - Concept B1 - ALL'!E23</f>
        <v>see Tariff</v>
      </c>
      <c r="M28" s="313" t="str">
        <f>'P&amp;L - Concept B1 - ALL'!F23</f>
        <v>see Tariff</v>
      </c>
      <c r="N28" s="313" t="str">
        <f>'P&amp;L - Concept B1 - ALL'!G23</f>
        <v>see Tariff</v>
      </c>
      <c r="O28" s="313" t="str">
        <f>'P&amp;L - Concept B1 - ALL'!H23</f>
        <v>see Tariff</v>
      </c>
      <c r="P28" s="313" t="str">
        <f>'P&amp;L - Concept B1 - ALL'!I23</f>
        <v>see Tariff</v>
      </c>
      <c r="Q28" s="313" t="str">
        <f>'P&amp;L - Concept B1 - ALL'!J23</f>
        <v>see Tariff</v>
      </c>
      <c r="R28" s="313" t="str">
        <f>'P&amp;L - Concept B1 - ALL'!K23</f>
        <v>see Tariff</v>
      </c>
      <c r="S28" s="313" t="str">
        <f>'P&amp;L - Concept B1 - ALL'!L23</f>
        <v>see Tariff</v>
      </c>
      <c r="T28" s="313" t="str">
        <f>'P&amp;L - Concept B1 - ALL'!M23</f>
        <v>see Tariff</v>
      </c>
      <c r="U28" s="313" t="str">
        <f>'P&amp;L - Concept B1 - ALL'!N23</f>
        <v>see Tariff</v>
      </c>
      <c r="V28" s="313" t="str">
        <f>'P&amp;L - Concept B1 - ALL'!O23</f>
        <v>see Tariff</v>
      </c>
      <c r="W28" s="313" t="str">
        <f>'P&amp;L - Concept B1 - ALL'!P23</f>
        <v>see Tariff</v>
      </c>
      <c r="X28" s="313" t="str">
        <f>'P&amp;L - Concept B1 - ALL'!Q23</f>
        <v>see Tariff</v>
      </c>
      <c r="Y28" s="313" t="str">
        <f>'P&amp;L - Concept B1 - ALL'!R23</f>
        <v>see Tariff</v>
      </c>
      <c r="Z28" s="313" t="str">
        <f>'P&amp;L - Concept B1 - ALL'!S23</f>
        <v>see Tariff</v>
      </c>
      <c r="AA28" s="313" t="str">
        <f>'P&amp;L - Concept B1 - ALL'!T23</f>
        <v>see Tariff</v>
      </c>
      <c r="AB28" s="313" t="str">
        <f>'P&amp;L - Concept B1 - ALL'!U23</f>
        <v>see Tariff</v>
      </c>
      <c r="AC28" s="313" t="str">
        <f>'P&amp;L - Concept B1 - ALL'!V23</f>
        <v>see Tariff</v>
      </c>
      <c r="AD28" s="313" t="str">
        <f>'P&amp;L - Concept B1 - ALL'!W23</f>
        <v>see Tariff</v>
      </c>
      <c r="AE28" s="313" t="str">
        <f>'P&amp;L - Concept B1 - ALL'!X23</f>
        <v>see Tariff</v>
      </c>
    </row>
    <row r="29" spans="1:31" s="341" customFormat="1">
      <c r="A29" s="552"/>
      <c r="B29" s="553"/>
      <c r="C29" s="553"/>
      <c r="K29" s="554"/>
      <c r="L29" s="313"/>
      <c r="M29" s="313"/>
      <c r="N29" s="313"/>
      <c r="O29" s="313"/>
      <c r="P29" s="313"/>
      <c r="Q29" s="313"/>
      <c r="R29" s="313"/>
      <c r="S29" s="313"/>
      <c r="T29" s="313"/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</row>
    <row r="30" spans="1:31" s="96" customFormat="1">
      <c r="A30" s="559" t="s">
        <v>227</v>
      </c>
      <c r="B30" s="487"/>
      <c r="C30" s="487"/>
      <c r="K30" s="486"/>
      <c r="L30" s="313"/>
      <c r="M30" s="313"/>
      <c r="N30" s="313"/>
      <c r="O30" s="313"/>
      <c r="P30" s="313"/>
      <c r="Q30" s="313"/>
      <c r="R30" s="313"/>
      <c r="S30" s="313"/>
      <c r="T30" s="313"/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</row>
    <row r="31" spans="1:31" s="96" customFormat="1">
      <c r="A31" s="559"/>
      <c r="B31" s="487"/>
      <c r="C31" s="487"/>
      <c r="K31" s="486"/>
      <c r="L31" s="313"/>
      <c r="M31" s="313"/>
      <c r="N31" s="313"/>
      <c r="O31" s="313"/>
      <c r="P31" s="313"/>
      <c r="Q31" s="313"/>
      <c r="R31" s="313"/>
      <c r="S31" s="313"/>
      <c r="T31" s="313"/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</row>
    <row r="32" spans="1:31" s="341" customFormat="1">
      <c r="A32" s="552" t="s">
        <v>420</v>
      </c>
      <c r="B32" s="553"/>
      <c r="C32" s="553"/>
      <c r="K32" s="554">
        <f>'P&amp;L - Concept B1 - ALL'!D27</f>
        <v>0</v>
      </c>
      <c r="L32" s="555">
        <f>'P&amp;L - Concept B1 - ALL'!E27</f>
        <v>0</v>
      </c>
      <c r="M32" s="555">
        <f>'P&amp;L - Concept B1 - ALL'!F27</f>
        <v>214</v>
      </c>
      <c r="N32" s="555">
        <f>'P&amp;L - Concept B1 - ALL'!G27</f>
        <v>214</v>
      </c>
      <c r="O32" s="555">
        <f>'P&amp;L - Concept B1 - ALL'!H27</f>
        <v>214</v>
      </c>
      <c r="P32" s="555">
        <f>'P&amp;L - Concept B1 - ALL'!I27</f>
        <v>214</v>
      </c>
      <c r="Q32" s="555">
        <f>'P&amp;L - Concept B1 - ALL'!J27</f>
        <v>214</v>
      </c>
      <c r="R32" s="555">
        <f>'P&amp;L - Concept B1 - ALL'!K27</f>
        <v>214</v>
      </c>
      <c r="S32" s="555">
        <f>'P&amp;L - Concept B1 - ALL'!L27</f>
        <v>214</v>
      </c>
      <c r="T32" s="555">
        <f>'P&amp;L - Concept B1 - ALL'!M27</f>
        <v>214</v>
      </c>
      <c r="U32" s="555">
        <f>'P&amp;L - Concept B1 - ALL'!N27</f>
        <v>214</v>
      </c>
      <c r="V32" s="555">
        <f>'P&amp;L - Concept B1 - ALL'!O27</f>
        <v>214</v>
      </c>
      <c r="W32" s="555">
        <f>'P&amp;L - Concept B1 - ALL'!P27</f>
        <v>214</v>
      </c>
      <c r="X32" s="555">
        <f>'P&amp;L - Concept B1 - ALL'!Q27</f>
        <v>214</v>
      </c>
      <c r="Y32" s="555">
        <f>'P&amp;L - Concept B1 - ALL'!R27</f>
        <v>214</v>
      </c>
      <c r="Z32" s="555">
        <f>'P&amp;L - Concept B1 - ALL'!S27</f>
        <v>214</v>
      </c>
      <c r="AA32" s="555">
        <f>'P&amp;L - Concept B1 - ALL'!T27</f>
        <v>214</v>
      </c>
      <c r="AB32" s="555">
        <f>'P&amp;L - Concept B1 - ALL'!U27</f>
        <v>214</v>
      </c>
      <c r="AC32" s="555">
        <f>'P&amp;L - Concept B1 - ALL'!V27</f>
        <v>214</v>
      </c>
      <c r="AD32" s="555">
        <f>'P&amp;L - Concept B1 - ALL'!W27</f>
        <v>214</v>
      </c>
      <c r="AE32" s="555">
        <f>'P&amp;L - Concept B1 - ALL'!X27</f>
        <v>214</v>
      </c>
    </row>
    <row r="33" spans="1:31" s="96" customFormat="1">
      <c r="A33" s="54" t="s">
        <v>205</v>
      </c>
      <c r="B33" s="487"/>
      <c r="C33" s="487"/>
      <c r="K33" s="486">
        <f>'P&amp;L - Concept B1 - ALL'!D28</f>
        <v>0</v>
      </c>
      <c r="L33" s="313">
        <f>'P&amp;L - Concept B1 - ALL'!E28</f>
        <v>0</v>
      </c>
      <c r="M33" s="313">
        <f>'P&amp;L - Concept B1 - ALL'!F28</f>
        <v>106</v>
      </c>
      <c r="N33" s="313">
        <f>'P&amp;L - Concept B1 - ALL'!G28</f>
        <v>106</v>
      </c>
      <c r="O33" s="313">
        <f>'P&amp;L - Concept B1 - ALL'!H28</f>
        <v>106</v>
      </c>
      <c r="P33" s="313">
        <f>'P&amp;L - Concept B1 - ALL'!I28</f>
        <v>106</v>
      </c>
      <c r="Q33" s="313">
        <f>'P&amp;L - Concept B1 - ALL'!J28</f>
        <v>106</v>
      </c>
      <c r="R33" s="313">
        <f>'P&amp;L - Concept B1 - ALL'!K28</f>
        <v>106</v>
      </c>
      <c r="S33" s="313">
        <f>'P&amp;L - Concept B1 - ALL'!L28</f>
        <v>106</v>
      </c>
      <c r="T33" s="313">
        <f>'P&amp;L - Concept B1 - ALL'!M28</f>
        <v>106</v>
      </c>
      <c r="U33" s="313">
        <f>'P&amp;L - Concept B1 - ALL'!N28</f>
        <v>106</v>
      </c>
      <c r="V33" s="313">
        <f>'P&amp;L - Concept B1 - ALL'!O28</f>
        <v>106</v>
      </c>
      <c r="W33" s="313">
        <f>'P&amp;L - Concept B1 - ALL'!P28</f>
        <v>106</v>
      </c>
      <c r="X33" s="313">
        <f>'P&amp;L - Concept B1 - ALL'!Q28</f>
        <v>106</v>
      </c>
      <c r="Y33" s="313">
        <f>'P&amp;L - Concept B1 - ALL'!R28</f>
        <v>106</v>
      </c>
      <c r="Z33" s="313">
        <f>'P&amp;L - Concept B1 - ALL'!S28</f>
        <v>106</v>
      </c>
      <c r="AA33" s="313">
        <f>'P&amp;L - Concept B1 - ALL'!T28</f>
        <v>106</v>
      </c>
      <c r="AB33" s="313">
        <f>'P&amp;L - Concept B1 - ALL'!U28</f>
        <v>106</v>
      </c>
      <c r="AC33" s="313">
        <f>'P&amp;L - Concept B1 - ALL'!V28</f>
        <v>106</v>
      </c>
      <c r="AD33" s="313">
        <f>'P&amp;L - Concept B1 - ALL'!W28</f>
        <v>106</v>
      </c>
      <c r="AE33" s="313">
        <f>'P&amp;L - Concept B1 - ALL'!X28</f>
        <v>106</v>
      </c>
    </row>
    <row r="34" spans="1:31" s="341" customFormat="1">
      <c r="A34" s="552" t="s">
        <v>219</v>
      </c>
      <c r="B34" s="553"/>
      <c r="C34" s="553"/>
      <c r="K34" s="554">
        <f>'P&amp;L - Concept B1 - ALL'!D29</f>
        <v>0</v>
      </c>
      <c r="L34" s="555">
        <f>'P&amp;L - Concept B1 - ALL'!E29</f>
        <v>150</v>
      </c>
      <c r="M34" s="555">
        <f>'P&amp;L - Concept B1 - ALL'!F29</f>
        <v>150</v>
      </c>
      <c r="N34" s="555">
        <f>'P&amp;L - Concept B1 - ALL'!G29</f>
        <v>150</v>
      </c>
      <c r="O34" s="555">
        <f>'P&amp;L - Concept B1 - ALL'!H29</f>
        <v>150</v>
      </c>
      <c r="P34" s="555">
        <f>'P&amp;L - Concept B1 - ALL'!I29</f>
        <v>150</v>
      </c>
      <c r="Q34" s="555">
        <f>'P&amp;L - Concept B1 - ALL'!J29</f>
        <v>150</v>
      </c>
      <c r="R34" s="555">
        <f>'P&amp;L - Concept B1 - ALL'!K29</f>
        <v>150</v>
      </c>
      <c r="S34" s="555">
        <f>'P&amp;L - Concept B1 - ALL'!L29</f>
        <v>150</v>
      </c>
      <c r="T34" s="555">
        <f>'P&amp;L - Concept B1 - ALL'!M29</f>
        <v>150</v>
      </c>
      <c r="U34" s="555">
        <f>'P&amp;L - Concept B1 - ALL'!N29</f>
        <v>150</v>
      </c>
      <c r="V34" s="555">
        <f>'P&amp;L - Concept B1 - ALL'!O29</f>
        <v>150</v>
      </c>
      <c r="W34" s="555">
        <f>'P&amp;L - Concept B1 - ALL'!P29</f>
        <v>150</v>
      </c>
      <c r="X34" s="555">
        <f>'P&amp;L - Concept B1 - ALL'!Q29</f>
        <v>150</v>
      </c>
      <c r="Y34" s="555">
        <f>'P&amp;L - Concept B1 - ALL'!R29</f>
        <v>150</v>
      </c>
      <c r="Z34" s="555">
        <f>'P&amp;L - Concept B1 - ALL'!S29</f>
        <v>150</v>
      </c>
      <c r="AA34" s="555">
        <f>'P&amp;L - Concept B1 - ALL'!T29</f>
        <v>150</v>
      </c>
      <c r="AB34" s="555">
        <f>'P&amp;L - Concept B1 - ALL'!U29</f>
        <v>150</v>
      </c>
      <c r="AC34" s="555">
        <f>'P&amp;L - Concept B1 - ALL'!V29</f>
        <v>150</v>
      </c>
      <c r="AD34" s="555">
        <f>'P&amp;L - Concept B1 - ALL'!W29</f>
        <v>150</v>
      </c>
      <c r="AE34" s="555">
        <f>'P&amp;L - Concept B1 - ALL'!X29</f>
        <v>150</v>
      </c>
    </row>
    <row r="35" spans="1:31" s="341" customFormat="1">
      <c r="A35" s="552" t="s">
        <v>220</v>
      </c>
      <c r="B35" s="553"/>
      <c r="C35" s="553"/>
      <c r="K35" s="554">
        <f>'P&amp;L - Concept B1 - ALL'!D30</f>
        <v>0</v>
      </c>
      <c r="L35" s="788">
        <v>0</v>
      </c>
      <c r="M35" s="788">
        <v>0</v>
      </c>
      <c r="N35" s="788">
        <v>0</v>
      </c>
      <c r="O35" s="788">
        <v>0</v>
      </c>
      <c r="P35" s="788">
        <v>0</v>
      </c>
      <c r="Q35" s="788">
        <v>0</v>
      </c>
      <c r="R35" s="788">
        <v>0</v>
      </c>
      <c r="S35" s="788">
        <v>0</v>
      </c>
      <c r="T35" s="788">
        <v>0</v>
      </c>
      <c r="U35" s="788">
        <v>0</v>
      </c>
      <c r="V35" s="788">
        <v>0</v>
      </c>
      <c r="W35" s="788">
        <v>0</v>
      </c>
      <c r="X35" s="788">
        <v>0</v>
      </c>
      <c r="Y35" s="788">
        <v>0</v>
      </c>
      <c r="Z35" s="788">
        <v>0</v>
      </c>
      <c r="AA35" s="788">
        <v>0</v>
      </c>
      <c r="AB35" s="788">
        <v>0</v>
      </c>
      <c r="AC35" s="788">
        <v>0</v>
      </c>
      <c r="AD35" s="788">
        <v>0</v>
      </c>
      <c r="AE35" s="788">
        <v>0</v>
      </c>
    </row>
    <row r="36" spans="1:31" s="96" customFormat="1">
      <c r="A36" s="54" t="s">
        <v>226</v>
      </c>
      <c r="B36" s="487"/>
      <c r="C36" s="487"/>
      <c r="K36" s="486">
        <f>'P&amp;L - Concept B1 - ALL'!D31</f>
        <v>0</v>
      </c>
      <c r="L36" s="313">
        <f>'P&amp;L - Concept B1 - ALL'!E31</f>
        <v>0</v>
      </c>
      <c r="M36" s="313">
        <f>'P&amp;L - Concept B1 - ALL'!F31</f>
        <v>125</v>
      </c>
      <c r="N36" s="313">
        <f>'P&amp;L - Concept B1 - ALL'!G31</f>
        <v>125</v>
      </c>
      <c r="O36" s="313">
        <f>'P&amp;L - Concept B1 - ALL'!H31</f>
        <v>125</v>
      </c>
      <c r="P36" s="313">
        <f>'P&amp;L - Concept B1 - ALL'!I31</f>
        <v>125</v>
      </c>
      <c r="Q36" s="313">
        <f>'P&amp;L - Concept B1 - ALL'!J31</f>
        <v>125</v>
      </c>
      <c r="R36" s="313">
        <f>'P&amp;L - Concept B1 - ALL'!K31</f>
        <v>125</v>
      </c>
      <c r="S36" s="313">
        <f>'P&amp;L - Concept B1 - ALL'!L31</f>
        <v>125</v>
      </c>
      <c r="T36" s="313">
        <f>'P&amp;L - Concept B1 - ALL'!M31</f>
        <v>125</v>
      </c>
      <c r="U36" s="313">
        <f>'P&amp;L - Concept B1 - ALL'!N31</f>
        <v>125</v>
      </c>
      <c r="V36" s="313">
        <f>'P&amp;L - Concept B1 - ALL'!O31</f>
        <v>125</v>
      </c>
      <c r="W36" s="313">
        <f>'P&amp;L - Concept B1 - ALL'!P31</f>
        <v>125</v>
      </c>
      <c r="X36" s="313">
        <f>'P&amp;L - Concept B1 - ALL'!Q31</f>
        <v>125</v>
      </c>
      <c r="Y36" s="313">
        <f>'P&amp;L - Concept B1 - ALL'!R31</f>
        <v>125</v>
      </c>
      <c r="Z36" s="313">
        <f>'P&amp;L - Concept B1 - ALL'!S31</f>
        <v>125</v>
      </c>
      <c r="AA36" s="313">
        <f>'P&amp;L - Concept B1 - ALL'!T31</f>
        <v>125</v>
      </c>
      <c r="AB36" s="313">
        <f>'P&amp;L - Concept B1 - ALL'!U31</f>
        <v>125</v>
      </c>
      <c r="AC36" s="313">
        <f>'P&amp;L - Concept B1 - ALL'!V31</f>
        <v>125</v>
      </c>
      <c r="AD36" s="313">
        <f>'P&amp;L - Concept B1 - ALL'!W31</f>
        <v>125</v>
      </c>
      <c r="AE36" s="313">
        <f>'P&amp;L - Concept B1 - ALL'!X31</f>
        <v>125</v>
      </c>
    </row>
    <row r="37" spans="1:31" s="18" customFormat="1">
      <c r="A37" s="54"/>
      <c r="B37" s="21"/>
      <c r="C37" s="21"/>
      <c r="K37" s="486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</row>
    <row r="38" spans="1:31" s="96" customFormat="1">
      <c r="A38" s="54" t="s">
        <v>206</v>
      </c>
      <c r="B38" s="487"/>
      <c r="C38" s="487"/>
      <c r="K38" s="486">
        <f>'P&amp;L - Concept B1 - ALL'!D33</f>
        <v>0</v>
      </c>
      <c r="L38" s="313">
        <f>'P&amp;L - Concept B1 - ALL'!E33</f>
        <v>0</v>
      </c>
      <c r="M38" s="313">
        <f>'P&amp;L - Concept B1 - ALL'!F33</f>
        <v>2467.6698113207549</v>
      </c>
      <c r="N38" s="313">
        <f>'P&amp;L - Concept B1 - ALL'!G33</f>
        <v>2467.6698113207549</v>
      </c>
      <c r="O38" s="313">
        <f>'P&amp;L - Concept B1 - ALL'!H33</f>
        <v>2467.6698113207549</v>
      </c>
      <c r="P38" s="313">
        <f>'P&amp;L - Concept B1 - ALL'!I33</f>
        <v>2467.6698113207549</v>
      </c>
      <c r="Q38" s="313">
        <f>'P&amp;L - Concept B1 - ALL'!J33</f>
        <v>2467.6698113207549</v>
      </c>
      <c r="R38" s="313">
        <f>'P&amp;L - Concept B1 - ALL'!K33</f>
        <v>2467.6698113207549</v>
      </c>
      <c r="S38" s="313">
        <f>'P&amp;L - Concept B1 - ALL'!L33</f>
        <v>2467.6698113207549</v>
      </c>
      <c r="T38" s="313">
        <f>'P&amp;L - Concept B1 - ALL'!M33</f>
        <v>2467.6698113207549</v>
      </c>
      <c r="U38" s="313">
        <f>'P&amp;L - Concept B1 - ALL'!N33</f>
        <v>2467.6698113207549</v>
      </c>
      <c r="V38" s="313">
        <f>'P&amp;L - Concept B1 - ALL'!O33</f>
        <v>2467.6698113207549</v>
      </c>
      <c r="W38" s="313">
        <f>'P&amp;L - Concept B1 - ALL'!P33</f>
        <v>2467.6698113207549</v>
      </c>
      <c r="X38" s="313">
        <f>'P&amp;L - Concept B1 - ALL'!Q33</f>
        <v>2467.6698113207549</v>
      </c>
      <c r="Y38" s="313">
        <f>'P&amp;L - Concept B1 - ALL'!R33</f>
        <v>2467.6698113207549</v>
      </c>
      <c r="Z38" s="313">
        <f>'P&amp;L - Concept B1 - ALL'!S33</f>
        <v>2467.6698113207549</v>
      </c>
      <c r="AA38" s="313">
        <f>'P&amp;L - Concept B1 - ALL'!T33</f>
        <v>2467.6698113207549</v>
      </c>
      <c r="AB38" s="313">
        <f>'P&amp;L - Concept B1 - ALL'!U33</f>
        <v>2467.6698113207549</v>
      </c>
      <c r="AC38" s="313">
        <f>'P&amp;L - Concept B1 - ALL'!V33</f>
        <v>2467.6698113207549</v>
      </c>
      <c r="AD38" s="313">
        <f>'P&amp;L - Concept B1 - ALL'!W33</f>
        <v>2467.6698113207549</v>
      </c>
      <c r="AE38" s="313">
        <f>'P&amp;L - Concept B1 - ALL'!X33</f>
        <v>2467.6698113207549</v>
      </c>
    </row>
    <row r="39" spans="1:31" s="96" customFormat="1">
      <c r="A39" s="54" t="s">
        <v>207</v>
      </c>
      <c r="B39" s="487"/>
      <c r="C39" s="487"/>
      <c r="K39" s="486">
        <f>'P&amp;L - Concept B1 - ALL'!D34</f>
        <v>0</v>
      </c>
      <c r="L39" s="313">
        <f>'P&amp;L - Concept B1 - ALL'!E34</f>
        <v>0</v>
      </c>
      <c r="M39" s="313">
        <f>'P&amp;L - Concept B1 - ALL'!F34</f>
        <v>5500</v>
      </c>
      <c r="N39" s="313">
        <f>'P&amp;L - Concept B1 - ALL'!G34</f>
        <v>5500</v>
      </c>
      <c r="O39" s="313">
        <f>'P&amp;L - Concept B1 - ALL'!H34</f>
        <v>5500</v>
      </c>
      <c r="P39" s="313">
        <f>'P&amp;L - Concept B1 - ALL'!I34</f>
        <v>5500</v>
      </c>
      <c r="Q39" s="313">
        <f>'P&amp;L - Concept B1 - ALL'!J34</f>
        <v>5500</v>
      </c>
      <c r="R39" s="313">
        <f>'P&amp;L - Concept B1 - ALL'!K34</f>
        <v>5500</v>
      </c>
      <c r="S39" s="313">
        <f>'P&amp;L - Concept B1 - ALL'!L34</f>
        <v>5500</v>
      </c>
      <c r="T39" s="313">
        <f>'P&amp;L - Concept B1 - ALL'!M34</f>
        <v>5500</v>
      </c>
      <c r="U39" s="313">
        <f>'P&amp;L - Concept B1 - ALL'!N34</f>
        <v>5500</v>
      </c>
      <c r="V39" s="313">
        <f>'P&amp;L - Concept B1 - ALL'!O34</f>
        <v>5500</v>
      </c>
      <c r="W39" s="313">
        <f>'P&amp;L - Concept B1 - ALL'!P34</f>
        <v>5500</v>
      </c>
      <c r="X39" s="313">
        <f>'P&amp;L - Concept B1 - ALL'!Q34</f>
        <v>5500</v>
      </c>
      <c r="Y39" s="313">
        <f>'P&amp;L - Concept B1 - ALL'!R34</f>
        <v>5500</v>
      </c>
      <c r="Z39" s="313">
        <f>'P&amp;L - Concept B1 - ALL'!S34</f>
        <v>5500</v>
      </c>
      <c r="AA39" s="313">
        <f>'P&amp;L - Concept B1 - ALL'!T34</f>
        <v>5500</v>
      </c>
      <c r="AB39" s="313">
        <f>'P&amp;L - Concept B1 - ALL'!U34</f>
        <v>5500</v>
      </c>
      <c r="AC39" s="313">
        <f>'P&amp;L - Concept B1 - ALL'!V34</f>
        <v>5500</v>
      </c>
      <c r="AD39" s="313">
        <f>'P&amp;L - Concept B1 - ALL'!W34</f>
        <v>5500</v>
      </c>
      <c r="AE39" s="313">
        <f>'P&amp;L - Concept B1 - ALL'!X34</f>
        <v>5500</v>
      </c>
    </row>
    <row r="40" spans="1:31" s="341" customFormat="1">
      <c r="A40" s="552" t="s">
        <v>221</v>
      </c>
      <c r="B40" s="553"/>
      <c r="C40" s="553"/>
      <c r="K40" s="554">
        <f>'P&amp;L - Concept B1 - ALL'!D35</f>
        <v>0</v>
      </c>
      <c r="L40" s="555">
        <f>'P&amp;L - Concept B1 - ALL'!E35</f>
        <v>400</v>
      </c>
      <c r="M40" s="555">
        <f>'P&amp;L - Concept B1 - ALL'!F35</f>
        <v>466.66666666666669</v>
      </c>
      <c r="N40" s="555">
        <f>'P&amp;L - Concept B1 - ALL'!G35</f>
        <v>533.33333333333337</v>
      </c>
      <c r="O40" s="555">
        <f>'P&amp;L - Concept B1 - ALL'!H35</f>
        <v>533.33333333333337</v>
      </c>
      <c r="P40" s="555">
        <f>'P&amp;L - Concept B1 - ALL'!I35</f>
        <v>533.33333333333337</v>
      </c>
      <c r="Q40" s="555">
        <f>'P&amp;L - Concept B1 - ALL'!J35</f>
        <v>533.33333333333337</v>
      </c>
      <c r="R40" s="555">
        <f>'P&amp;L - Concept B1 - ALL'!K35</f>
        <v>533.33333333333337</v>
      </c>
      <c r="S40" s="555">
        <f>'P&amp;L - Concept B1 - ALL'!L35</f>
        <v>533.33333333333337</v>
      </c>
      <c r="T40" s="555">
        <f>'P&amp;L - Concept B1 - ALL'!M35</f>
        <v>533.33333333333337</v>
      </c>
      <c r="U40" s="555">
        <f>'P&amp;L - Concept B1 - ALL'!N35</f>
        <v>533.33333333333337</v>
      </c>
      <c r="V40" s="555">
        <f>'P&amp;L - Concept B1 - ALL'!O35</f>
        <v>533.33333333333337</v>
      </c>
      <c r="W40" s="555">
        <f>'P&amp;L - Concept B1 - ALL'!P35</f>
        <v>533.33333333333337</v>
      </c>
      <c r="X40" s="555">
        <f>'P&amp;L - Concept B1 - ALL'!Q35</f>
        <v>533.33333333333337</v>
      </c>
      <c r="Y40" s="555">
        <f>'P&amp;L - Concept B1 - ALL'!R35</f>
        <v>533.33333333333337</v>
      </c>
      <c r="Z40" s="555">
        <f>'P&amp;L - Concept B1 - ALL'!S35</f>
        <v>533.33333333333337</v>
      </c>
      <c r="AA40" s="555">
        <f>'P&amp;L - Concept B1 - ALL'!T35</f>
        <v>533.33333333333337</v>
      </c>
      <c r="AB40" s="555">
        <f>'P&amp;L - Concept B1 - ALL'!U35</f>
        <v>533.33333333333337</v>
      </c>
      <c r="AC40" s="555">
        <f>'P&amp;L - Concept B1 - ALL'!V35</f>
        <v>533.33333333333337</v>
      </c>
      <c r="AD40" s="555">
        <f>'P&amp;L - Concept B1 - ALL'!W35</f>
        <v>533.33333333333337</v>
      </c>
      <c r="AE40" s="555">
        <f>'P&amp;L - Concept B1 - ALL'!X35</f>
        <v>533.33333333333337</v>
      </c>
    </row>
    <row r="41" spans="1:31" s="341" customFormat="1">
      <c r="A41" s="552" t="s">
        <v>222</v>
      </c>
      <c r="B41" s="553"/>
      <c r="C41" s="553"/>
      <c r="K41" s="554">
        <f>'P&amp;L - Concept B1 - ALL'!D36</f>
        <v>0</v>
      </c>
      <c r="L41" s="555">
        <f>'P&amp;L - Concept B1 - ALL'!E36</f>
        <v>800</v>
      </c>
      <c r="M41" s="555">
        <f>'P&amp;L - Concept B1 - ALL'!F36</f>
        <v>800</v>
      </c>
      <c r="N41" s="555">
        <f>'P&amp;L - Concept B1 - ALL'!G36</f>
        <v>800</v>
      </c>
      <c r="O41" s="555">
        <f>'P&amp;L - Concept B1 - ALL'!H36</f>
        <v>800</v>
      </c>
      <c r="P41" s="555">
        <f>'P&amp;L - Concept B1 - ALL'!I36</f>
        <v>800</v>
      </c>
      <c r="Q41" s="555">
        <f>'P&amp;L - Concept B1 - ALL'!J36</f>
        <v>800</v>
      </c>
      <c r="R41" s="555">
        <f>'P&amp;L - Concept B1 - ALL'!K36</f>
        <v>800</v>
      </c>
      <c r="S41" s="555">
        <f>'P&amp;L - Concept B1 - ALL'!L36</f>
        <v>800</v>
      </c>
      <c r="T41" s="555">
        <f>'P&amp;L - Concept B1 - ALL'!M36</f>
        <v>800</v>
      </c>
      <c r="U41" s="555">
        <f>'P&amp;L - Concept B1 - ALL'!N36</f>
        <v>800</v>
      </c>
      <c r="V41" s="555">
        <f>'P&amp;L - Concept B1 - ALL'!O36</f>
        <v>800</v>
      </c>
      <c r="W41" s="555">
        <f>'P&amp;L - Concept B1 - ALL'!P36</f>
        <v>800</v>
      </c>
      <c r="X41" s="555">
        <f>'P&amp;L - Concept B1 - ALL'!Q36</f>
        <v>800</v>
      </c>
      <c r="Y41" s="555">
        <f>'P&amp;L - Concept B1 - ALL'!R36</f>
        <v>800</v>
      </c>
      <c r="Z41" s="555">
        <f>'P&amp;L - Concept B1 - ALL'!S36</f>
        <v>800</v>
      </c>
      <c r="AA41" s="555">
        <f>'P&amp;L - Concept B1 - ALL'!T36</f>
        <v>800</v>
      </c>
      <c r="AB41" s="555">
        <f>'P&amp;L - Concept B1 - ALL'!U36</f>
        <v>800</v>
      </c>
      <c r="AC41" s="555">
        <f>'P&amp;L - Concept B1 - ALL'!V36</f>
        <v>800</v>
      </c>
      <c r="AD41" s="555">
        <f>'P&amp;L - Concept B1 - ALL'!W36</f>
        <v>800</v>
      </c>
      <c r="AE41" s="555">
        <f>'P&amp;L - Concept B1 - ALL'!X36</f>
        <v>800</v>
      </c>
    </row>
    <row r="42" spans="1:31" s="341" customFormat="1">
      <c r="A42" s="552" t="s">
        <v>208</v>
      </c>
      <c r="B42" s="553"/>
      <c r="C42" s="553"/>
      <c r="K42" s="554">
        <f>'P&amp;L - Concept B1 - ALL'!D37</f>
        <v>0</v>
      </c>
      <c r="L42" s="555">
        <f>'P&amp;L - Concept B1 - ALL'!E37</f>
        <v>800</v>
      </c>
      <c r="M42" s="555">
        <f>'P&amp;L - Concept B1 - ALL'!F37</f>
        <v>6300</v>
      </c>
      <c r="N42" s="555">
        <f>'P&amp;L - Concept B1 - ALL'!G37</f>
        <v>6300</v>
      </c>
      <c r="O42" s="555">
        <f>'P&amp;L - Concept B1 - ALL'!H37</f>
        <v>6300</v>
      </c>
      <c r="P42" s="555">
        <f>'P&amp;L - Concept B1 - ALL'!I37</f>
        <v>6300</v>
      </c>
      <c r="Q42" s="555">
        <f>'P&amp;L - Concept B1 - ALL'!J37</f>
        <v>6300</v>
      </c>
      <c r="R42" s="555">
        <f>'P&amp;L - Concept B1 - ALL'!K37</f>
        <v>6300</v>
      </c>
      <c r="S42" s="555">
        <f>'P&amp;L - Concept B1 - ALL'!L37</f>
        <v>6300</v>
      </c>
      <c r="T42" s="555">
        <f>'P&amp;L - Concept B1 - ALL'!M37</f>
        <v>6300</v>
      </c>
      <c r="U42" s="555">
        <f>'P&amp;L - Concept B1 - ALL'!N37</f>
        <v>6300</v>
      </c>
      <c r="V42" s="555">
        <f>'P&amp;L - Concept B1 - ALL'!O37</f>
        <v>6300</v>
      </c>
      <c r="W42" s="555">
        <f>'P&amp;L - Concept B1 - ALL'!P37</f>
        <v>6300</v>
      </c>
      <c r="X42" s="555">
        <f>'P&amp;L - Concept B1 - ALL'!Q37</f>
        <v>6300</v>
      </c>
      <c r="Y42" s="555">
        <f>'P&amp;L - Concept B1 - ALL'!R37</f>
        <v>6300</v>
      </c>
      <c r="Z42" s="555">
        <f>'P&amp;L - Concept B1 - ALL'!S37</f>
        <v>6300</v>
      </c>
      <c r="AA42" s="555">
        <f>'P&amp;L - Concept B1 - ALL'!T37</f>
        <v>6300</v>
      </c>
      <c r="AB42" s="555">
        <f>'P&amp;L - Concept B1 - ALL'!U37</f>
        <v>6300</v>
      </c>
      <c r="AC42" s="555">
        <f>'P&amp;L - Concept B1 - ALL'!V37</f>
        <v>6300</v>
      </c>
      <c r="AD42" s="555">
        <f>'P&amp;L - Concept B1 - ALL'!W37</f>
        <v>6300</v>
      </c>
      <c r="AE42" s="555">
        <f>'P&amp;L - Concept B1 - ALL'!X37</f>
        <v>6300</v>
      </c>
    </row>
    <row r="43" spans="1:31" s="18" customFormat="1">
      <c r="A43" s="54"/>
      <c r="B43" s="21"/>
      <c r="C43" s="21"/>
      <c r="K43" s="486"/>
      <c r="L43" s="313"/>
      <c r="M43" s="313"/>
      <c r="N43" s="313"/>
      <c r="O43" s="313"/>
      <c r="P43" s="313"/>
      <c r="Q43" s="313"/>
      <c r="R43" s="313"/>
      <c r="S43" s="313"/>
      <c r="T43" s="313"/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</row>
    <row r="44" spans="1:31" s="341" customFormat="1">
      <c r="A44" s="552" t="s">
        <v>223</v>
      </c>
      <c r="B44" s="557"/>
      <c r="C44" s="557"/>
      <c r="K44" s="554">
        <f>'P&amp;L - Concept B1 - ALL'!D39</f>
        <v>0</v>
      </c>
      <c r="L44" s="313">
        <f>'P&amp;L - Concept B1 - ALL'!E39</f>
        <v>160.26666666666668</v>
      </c>
      <c r="M44" s="313">
        <f>'P&amp;L - Concept B1 - ALL'!F39</f>
        <v>187</v>
      </c>
      <c r="N44" s="313">
        <f>'P&amp;L - Concept B1 - ALL'!G39</f>
        <v>213.73333333333332</v>
      </c>
      <c r="O44" s="313">
        <f>'P&amp;L - Concept B1 - ALL'!H39</f>
        <v>213.73333333333332</v>
      </c>
      <c r="P44" s="313">
        <f>'P&amp;L - Concept B1 - ALL'!I39</f>
        <v>213.73333333333332</v>
      </c>
      <c r="Q44" s="313">
        <f>'P&amp;L - Concept B1 - ALL'!J39</f>
        <v>213.73333333333332</v>
      </c>
      <c r="R44" s="313">
        <f>'P&amp;L - Concept B1 - ALL'!K39</f>
        <v>213.73333333333332</v>
      </c>
      <c r="S44" s="313">
        <f>'P&amp;L - Concept B1 - ALL'!L39</f>
        <v>213.73333333333332</v>
      </c>
      <c r="T44" s="313">
        <f>'P&amp;L - Concept B1 - ALL'!M39</f>
        <v>213.73333333333332</v>
      </c>
      <c r="U44" s="313">
        <f>'P&amp;L - Concept B1 - ALL'!N39</f>
        <v>213.73333333333332</v>
      </c>
      <c r="V44" s="313">
        <f>'P&amp;L - Concept B1 - ALL'!O39</f>
        <v>213.73333333333332</v>
      </c>
      <c r="W44" s="313">
        <f>'P&amp;L - Concept B1 - ALL'!P39</f>
        <v>213.73333333333332</v>
      </c>
      <c r="X44" s="313">
        <f>'P&amp;L - Concept B1 - ALL'!Q39</f>
        <v>213.73333333333332</v>
      </c>
      <c r="Y44" s="313">
        <f>'P&amp;L - Concept B1 - ALL'!R39</f>
        <v>213.73333333333332</v>
      </c>
      <c r="Z44" s="313">
        <f>'P&amp;L - Concept B1 - ALL'!S39</f>
        <v>213.73333333333332</v>
      </c>
      <c r="AA44" s="313">
        <f>'P&amp;L - Concept B1 - ALL'!T39</f>
        <v>213.73333333333332</v>
      </c>
      <c r="AB44" s="313">
        <f>'P&amp;L - Concept B1 - ALL'!U39</f>
        <v>213.73333333333332</v>
      </c>
      <c r="AC44" s="313">
        <f>'P&amp;L - Concept B1 - ALL'!V39</f>
        <v>213.73333333333332</v>
      </c>
      <c r="AD44" s="313">
        <f>'P&amp;L - Concept B1 - ALL'!W39</f>
        <v>213.73333333333332</v>
      </c>
      <c r="AE44" s="313">
        <f>'P&amp;L - Concept B1 - ALL'!X39</f>
        <v>213.73333333333332</v>
      </c>
    </row>
    <row r="45" spans="1:31" s="18" customFormat="1">
      <c r="A45" s="54"/>
      <c r="B45" s="74"/>
      <c r="C45" s="74"/>
      <c r="K45" s="492"/>
      <c r="L45" s="313"/>
      <c r="M45" s="313"/>
      <c r="N45" s="313"/>
      <c r="O45" s="313"/>
      <c r="P45" s="313"/>
      <c r="Q45" s="313"/>
      <c r="R45" s="313"/>
      <c r="S45" s="313"/>
      <c r="T45" s="313"/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</row>
    <row r="46" spans="1:31" s="18" customFormat="1">
      <c r="A46" s="293" t="s">
        <v>26</v>
      </c>
      <c r="B46" s="74"/>
      <c r="C46" s="74"/>
      <c r="K46" s="492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</row>
    <row r="47" spans="1:31" s="18" customFormat="1">
      <c r="A47" s="54" t="s">
        <v>264</v>
      </c>
      <c r="B47" s="277"/>
      <c r="C47" s="74"/>
      <c r="K47" s="486">
        <f>'P&amp;L - Concept B1 - ALL'!D42</f>
        <v>0</v>
      </c>
      <c r="L47" s="313">
        <f>'P&amp;L - Concept B1 - ALL'!E42</f>
        <v>1201.4583333333335</v>
      </c>
      <c r="M47" s="313">
        <f>'P&amp;L - Concept B1 - ALL'!F42</f>
        <v>2402.916666666667</v>
      </c>
      <c r="N47" s="313">
        <f>'P&amp;L - Concept B1 - ALL'!G42</f>
        <v>2402.916666666667</v>
      </c>
      <c r="O47" s="313">
        <f>'P&amp;L - Concept B1 - ALL'!H42</f>
        <v>2402.916666666667</v>
      </c>
      <c r="P47" s="313">
        <f>'P&amp;L - Concept B1 - ALL'!I42</f>
        <v>2402.916666666667</v>
      </c>
      <c r="Q47" s="313">
        <f>'P&amp;L - Concept B1 - ALL'!J42</f>
        <v>2402.916666666667</v>
      </c>
      <c r="R47" s="313">
        <f>'P&amp;L - Concept B1 - ALL'!K42</f>
        <v>2402.916666666667</v>
      </c>
      <c r="S47" s="313">
        <f>'P&amp;L - Concept B1 - ALL'!L42</f>
        <v>2402.916666666667</v>
      </c>
      <c r="T47" s="313">
        <f>'P&amp;L - Concept B1 - ALL'!M42</f>
        <v>2402.916666666667</v>
      </c>
      <c r="U47" s="313">
        <f>'P&amp;L - Concept B1 - ALL'!N42</f>
        <v>2402.916666666667</v>
      </c>
      <c r="V47" s="313">
        <f>'P&amp;L - Concept B1 - ALL'!O42</f>
        <v>2402.916666666667</v>
      </c>
      <c r="W47" s="313">
        <f>'P&amp;L - Concept B1 - ALL'!P42</f>
        <v>2402.916666666667</v>
      </c>
      <c r="X47" s="313">
        <f>'P&amp;L - Concept B1 - ALL'!Q42</f>
        <v>2402.916666666667</v>
      </c>
      <c r="Y47" s="313">
        <f>'P&amp;L - Concept B1 - ALL'!R42</f>
        <v>2402.916666666667</v>
      </c>
      <c r="Z47" s="313">
        <f>'P&amp;L - Concept B1 - ALL'!S42</f>
        <v>2402.916666666667</v>
      </c>
      <c r="AA47" s="313">
        <f>'P&amp;L - Concept B1 - ALL'!T42</f>
        <v>2402.916666666667</v>
      </c>
      <c r="AB47" s="313">
        <f>'P&amp;L - Concept B1 - ALL'!U42</f>
        <v>2402.916666666667</v>
      </c>
      <c r="AC47" s="313">
        <f>'P&amp;L - Concept B1 - ALL'!V42</f>
        <v>2402.916666666667</v>
      </c>
      <c r="AD47" s="313">
        <f>'P&amp;L - Concept B1 - ALL'!W42</f>
        <v>2402.916666666667</v>
      </c>
      <c r="AE47" s="313">
        <f>'P&amp;L - Concept B1 - ALL'!X42</f>
        <v>2402.916666666667</v>
      </c>
    </row>
    <row r="48" spans="1:31" s="18" customFormat="1">
      <c r="A48" s="54" t="s">
        <v>267</v>
      </c>
      <c r="B48" s="277"/>
      <c r="C48" s="74"/>
      <c r="K48" s="486">
        <f>'P&amp;L - Concept B1 - ALL'!D43</f>
        <v>0</v>
      </c>
      <c r="L48" s="313">
        <f>'P&amp;L - Concept B1 - ALL'!E43</f>
        <v>14265.416666666664</v>
      </c>
      <c r="M48" s="313">
        <f>'P&amp;L - Concept B1 - ALL'!F43</f>
        <v>28530.833333333328</v>
      </c>
      <c r="N48" s="313">
        <f>'P&amp;L - Concept B1 - ALL'!G43</f>
        <v>28530.833333333328</v>
      </c>
      <c r="O48" s="313">
        <f>'P&amp;L - Concept B1 - ALL'!H43</f>
        <v>28530.833333333328</v>
      </c>
      <c r="P48" s="313">
        <f>'P&amp;L - Concept B1 - ALL'!I43</f>
        <v>28530.833333333328</v>
      </c>
      <c r="Q48" s="313">
        <f>'P&amp;L - Concept B1 - ALL'!J43</f>
        <v>28530.833333333328</v>
      </c>
      <c r="R48" s="313">
        <f>'P&amp;L - Concept B1 - ALL'!K43</f>
        <v>28530.833333333328</v>
      </c>
      <c r="S48" s="313">
        <f>'P&amp;L - Concept B1 - ALL'!L43</f>
        <v>28530.833333333328</v>
      </c>
      <c r="T48" s="313">
        <f>'P&amp;L - Concept B1 - ALL'!M43</f>
        <v>28530.833333333328</v>
      </c>
      <c r="U48" s="313">
        <f>'P&amp;L - Concept B1 - ALL'!N43</f>
        <v>28530.833333333328</v>
      </c>
      <c r="V48" s="313">
        <f>'P&amp;L - Concept B1 - ALL'!O43</f>
        <v>28530.833333333328</v>
      </c>
      <c r="W48" s="313">
        <f>'P&amp;L - Concept B1 - ALL'!P43</f>
        <v>28530.833333333328</v>
      </c>
      <c r="X48" s="313">
        <f>'P&amp;L - Concept B1 - ALL'!Q43</f>
        <v>28530.833333333328</v>
      </c>
      <c r="Y48" s="313">
        <f>'P&amp;L - Concept B1 - ALL'!R43</f>
        <v>28530.833333333328</v>
      </c>
      <c r="Z48" s="313">
        <f>'P&amp;L - Concept B1 - ALL'!S43</f>
        <v>28530.833333333328</v>
      </c>
      <c r="AA48" s="313">
        <f>'P&amp;L - Concept B1 - ALL'!T43</f>
        <v>28530.833333333328</v>
      </c>
      <c r="AB48" s="313">
        <f>'P&amp;L - Concept B1 - ALL'!U43</f>
        <v>28530.833333333328</v>
      </c>
      <c r="AC48" s="313">
        <f>'P&amp;L - Concept B1 - ALL'!V43</f>
        <v>28530.833333333328</v>
      </c>
      <c r="AD48" s="313">
        <f>'P&amp;L - Concept B1 - ALL'!W43</f>
        <v>28530.833333333328</v>
      </c>
      <c r="AE48" s="313">
        <f>'P&amp;L - Concept B1 - ALL'!X43</f>
        <v>28530.833333333328</v>
      </c>
    </row>
    <row r="49" spans="1:32 16384:16384" s="96" customFormat="1">
      <c r="A49" s="54" t="s">
        <v>274</v>
      </c>
      <c r="B49" s="435"/>
      <c r="C49" s="583"/>
      <c r="K49" s="486">
        <f>'P&amp;L - Concept B1 - ALL'!D44</f>
        <v>0</v>
      </c>
      <c r="L49" s="313">
        <f>'P&amp;L - Concept B1 - ALL'!E44</f>
        <v>15466.874999999998</v>
      </c>
      <c r="M49" s="313">
        <f>'P&amp;L - Concept B1 - ALL'!F44</f>
        <v>30933.749999999996</v>
      </c>
      <c r="N49" s="313">
        <f>'P&amp;L - Concept B1 - ALL'!G44</f>
        <v>30933.749999999996</v>
      </c>
      <c r="O49" s="313">
        <f>'P&amp;L - Concept B1 - ALL'!H44</f>
        <v>30933.749999999996</v>
      </c>
      <c r="P49" s="313">
        <f>'P&amp;L - Concept B1 - ALL'!I44</f>
        <v>30933.749999999996</v>
      </c>
      <c r="Q49" s="313">
        <f>'P&amp;L - Concept B1 - ALL'!J44</f>
        <v>30933.749999999996</v>
      </c>
      <c r="R49" s="313">
        <f>'P&amp;L - Concept B1 - ALL'!K44</f>
        <v>30933.749999999996</v>
      </c>
      <c r="S49" s="313">
        <f>'P&amp;L - Concept B1 - ALL'!L44</f>
        <v>30933.749999999996</v>
      </c>
      <c r="T49" s="313">
        <f>'P&amp;L - Concept B1 - ALL'!M44</f>
        <v>30933.749999999996</v>
      </c>
      <c r="U49" s="313">
        <f>'P&amp;L - Concept B1 - ALL'!N44</f>
        <v>30933.749999999996</v>
      </c>
      <c r="V49" s="313">
        <f>'P&amp;L - Concept B1 - ALL'!O44</f>
        <v>30933.749999999996</v>
      </c>
      <c r="W49" s="313">
        <f>'P&amp;L - Concept B1 - ALL'!P44</f>
        <v>30933.749999999996</v>
      </c>
      <c r="X49" s="313">
        <f>'P&amp;L - Concept B1 - ALL'!Q44</f>
        <v>30933.749999999996</v>
      </c>
      <c r="Y49" s="313">
        <f>'P&amp;L - Concept B1 - ALL'!R44</f>
        <v>30933.749999999996</v>
      </c>
      <c r="Z49" s="313">
        <f>'P&amp;L - Concept B1 - ALL'!S44</f>
        <v>30933.749999999996</v>
      </c>
      <c r="AA49" s="313">
        <f>'P&amp;L - Concept B1 - ALL'!T44</f>
        <v>30933.749999999996</v>
      </c>
      <c r="AB49" s="313">
        <f>'P&amp;L - Concept B1 - ALL'!U44</f>
        <v>30933.749999999996</v>
      </c>
      <c r="AC49" s="313">
        <f>'P&amp;L - Concept B1 - ALL'!V44</f>
        <v>30933.749999999996</v>
      </c>
      <c r="AD49" s="313">
        <f>'P&amp;L - Concept B1 - ALL'!W44</f>
        <v>30933.749999999996</v>
      </c>
      <c r="AE49" s="313">
        <f>'P&amp;L - Concept B1 - ALL'!X44</f>
        <v>30933.749999999996</v>
      </c>
    </row>
    <row r="50" spans="1:32 16384:16384" s="18" customFormat="1">
      <c r="A50" s="54"/>
      <c r="B50" s="277"/>
      <c r="C50" s="74"/>
      <c r="K50" s="499"/>
      <c r="L50" s="313"/>
      <c r="M50" s="313"/>
      <c r="N50" s="313"/>
      <c r="O50" s="313"/>
      <c r="P50" s="313"/>
      <c r="Q50" s="313"/>
      <c r="R50" s="313"/>
      <c r="S50" s="313"/>
      <c r="T50" s="313"/>
      <c r="U50" s="313"/>
      <c r="V50" s="313"/>
      <c r="W50" s="313"/>
      <c r="X50" s="313"/>
      <c r="Y50" s="313"/>
      <c r="Z50" s="313"/>
      <c r="AA50" s="313"/>
      <c r="AB50" s="313"/>
      <c r="AC50" s="313"/>
      <c r="AD50" s="313"/>
      <c r="AE50" s="313"/>
    </row>
    <row r="51" spans="1:32 16384:16384" s="341" customFormat="1">
      <c r="A51" s="552" t="s">
        <v>224</v>
      </c>
      <c r="B51" s="556"/>
      <c r="C51" s="557"/>
      <c r="K51" s="554">
        <f>'P&amp;L - Concept B1 - ALL'!D46</f>
        <v>0</v>
      </c>
      <c r="L51" s="558">
        <f>'P&amp;L - Concept B1 - ALL'!E46</f>
        <v>3</v>
      </c>
      <c r="M51" s="558">
        <f>'P&amp;L - Concept B1 - ALL'!F46</f>
        <v>3</v>
      </c>
      <c r="N51" s="558">
        <f>'P&amp;L - Concept B1 - ALL'!G46</f>
        <v>3</v>
      </c>
      <c r="O51" s="558">
        <f>'P&amp;L - Concept B1 - ALL'!H46</f>
        <v>3</v>
      </c>
      <c r="P51" s="558">
        <f>'P&amp;L - Concept B1 - ALL'!I46</f>
        <v>3</v>
      </c>
      <c r="Q51" s="558">
        <f>'P&amp;L - Concept B1 - ALL'!J46</f>
        <v>3</v>
      </c>
      <c r="R51" s="558">
        <f>'P&amp;L - Concept B1 - ALL'!K46</f>
        <v>3</v>
      </c>
      <c r="S51" s="558">
        <f>'P&amp;L - Concept B1 - ALL'!L46</f>
        <v>3</v>
      </c>
      <c r="T51" s="558">
        <f>'P&amp;L - Concept B1 - ALL'!M46</f>
        <v>3</v>
      </c>
      <c r="U51" s="558">
        <f>'P&amp;L - Concept B1 - ALL'!N46</f>
        <v>3</v>
      </c>
      <c r="V51" s="558">
        <f>'P&amp;L - Concept B1 - ALL'!O46</f>
        <v>3</v>
      </c>
      <c r="W51" s="558">
        <f>'P&amp;L - Concept B1 - ALL'!P46</f>
        <v>3</v>
      </c>
      <c r="X51" s="558">
        <f>'P&amp;L - Concept B1 - ALL'!Q46</f>
        <v>3</v>
      </c>
      <c r="Y51" s="558">
        <f>'P&amp;L - Concept B1 - ALL'!R46</f>
        <v>3</v>
      </c>
      <c r="Z51" s="558">
        <f>'P&amp;L - Concept B1 - ALL'!S46</f>
        <v>3</v>
      </c>
      <c r="AA51" s="558">
        <f>'P&amp;L - Concept B1 - ALL'!T46</f>
        <v>3</v>
      </c>
      <c r="AB51" s="558">
        <f>'P&amp;L - Concept B1 - ALL'!U46</f>
        <v>3</v>
      </c>
      <c r="AC51" s="558">
        <f>'P&amp;L - Concept B1 - ALL'!V46</f>
        <v>3</v>
      </c>
      <c r="AD51" s="558">
        <f>'P&amp;L - Concept B1 - ALL'!W46</f>
        <v>3</v>
      </c>
      <c r="AE51" s="558">
        <f>'P&amp;L - Concept B1 - ALL'!X46</f>
        <v>3</v>
      </c>
    </row>
    <row r="52" spans="1:32 16384:16384" s="96" customFormat="1">
      <c r="A52" s="54" t="s">
        <v>225</v>
      </c>
      <c r="B52" s="435"/>
      <c r="C52" s="583"/>
      <c r="K52" s="486">
        <f>'P&amp;L - Concept B1 - ALL'!D47</f>
        <v>0</v>
      </c>
      <c r="L52" s="496">
        <f>'P&amp;L - Concept B1 - ALL'!E47</f>
        <v>1</v>
      </c>
      <c r="M52" s="496">
        <f>'P&amp;L - Concept B1 - ALL'!F47</f>
        <v>1</v>
      </c>
      <c r="N52" s="496">
        <f>'P&amp;L - Concept B1 - ALL'!G47</f>
        <v>1</v>
      </c>
      <c r="O52" s="496">
        <f>'P&amp;L - Concept B1 - ALL'!H47</f>
        <v>1</v>
      </c>
      <c r="P52" s="496">
        <f>'P&amp;L - Concept B1 - ALL'!I47</f>
        <v>1</v>
      </c>
      <c r="Q52" s="496">
        <f>'P&amp;L - Concept B1 - ALL'!J47</f>
        <v>1</v>
      </c>
      <c r="R52" s="496">
        <f>'P&amp;L - Concept B1 - ALL'!K47</f>
        <v>1</v>
      </c>
      <c r="S52" s="496">
        <f>'P&amp;L - Concept B1 - ALL'!L47</f>
        <v>1</v>
      </c>
      <c r="T52" s="496">
        <f>'P&amp;L - Concept B1 - ALL'!M47</f>
        <v>1</v>
      </c>
      <c r="U52" s="496">
        <f>'P&amp;L - Concept B1 - ALL'!N47</f>
        <v>1</v>
      </c>
      <c r="V52" s="496">
        <f>'P&amp;L - Concept B1 - ALL'!O47</f>
        <v>1</v>
      </c>
      <c r="W52" s="496">
        <f>'P&amp;L - Concept B1 - ALL'!P47</f>
        <v>1</v>
      </c>
      <c r="X52" s="496">
        <f>'P&amp;L - Concept B1 - ALL'!Q47</f>
        <v>1</v>
      </c>
      <c r="Y52" s="496">
        <f>'P&amp;L - Concept B1 - ALL'!R47</f>
        <v>1</v>
      </c>
      <c r="Z52" s="496">
        <f>'P&amp;L - Concept B1 - ALL'!S47</f>
        <v>1</v>
      </c>
      <c r="AA52" s="496">
        <f>'P&amp;L - Concept B1 - ALL'!T47</f>
        <v>1</v>
      </c>
      <c r="AB52" s="496">
        <f>'P&amp;L - Concept B1 - ALL'!U47</f>
        <v>1</v>
      </c>
      <c r="AC52" s="496">
        <f>'P&amp;L - Concept B1 - ALL'!V47</f>
        <v>1</v>
      </c>
      <c r="AD52" s="496">
        <f>'P&amp;L - Concept B1 - ALL'!W47</f>
        <v>1</v>
      </c>
      <c r="AE52" s="496">
        <f>'P&amp;L - Concept B1 - ALL'!X47</f>
        <v>1</v>
      </c>
    </row>
    <row r="53" spans="1:32 16384:16384" s="18" customFormat="1">
      <c r="A53" s="54" t="s">
        <v>209</v>
      </c>
      <c r="B53" s="277"/>
      <c r="C53" s="74"/>
      <c r="K53" s="486">
        <f>'P&amp;L - Concept B1 - ALL'!D48</f>
        <v>0</v>
      </c>
      <c r="L53" s="496">
        <f>'P&amp;L - Concept B1 - ALL'!E48</f>
        <v>0.5</v>
      </c>
      <c r="M53" s="496">
        <f>'P&amp;L - Concept B1 - ALL'!F48</f>
        <v>0.5</v>
      </c>
      <c r="N53" s="496">
        <f>'P&amp;L - Concept B1 - ALL'!G48</f>
        <v>0.5</v>
      </c>
      <c r="O53" s="496">
        <f>'P&amp;L - Concept B1 - ALL'!H48</f>
        <v>0.5</v>
      </c>
      <c r="P53" s="496">
        <f>'P&amp;L - Concept B1 - ALL'!I48</f>
        <v>0.5</v>
      </c>
      <c r="Q53" s="496">
        <f>'P&amp;L - Concept B1 - ALL'!J48</f>
        <v>0.5</v>
      </c>
      <c r="R53" s="496">
        <f>'P&amp;L - Concept B1 - ALL'!K48</f>
        <v>0.5</v>
      </c>
      <c r="S53" s="496">
        <f>'P&amp;L - Concept B1 - ALL'!L48</f>
        <v>0.5</v>
      </c>
      <c r="T53" s="496">
        <f>'P&amp;L - Concept B1 - ALL'!M48</f>
        <v>0.5</v>
      </c>
      <c r="U53" s="496">
        <f>'P&amp;L - Concept B1 - ALL'!N48</f>
        <v>0.5</v>
      </c>
      <c r="V53" s="496">
        <f>'P&amp;L - Concept B1 - ALL'!O48</f>
        <v>0.5</v>
      </c>
      <c r="W53" s="496">
        <f>'P&amp;L - Concept B1 - ALL'!P48</f>
        <v>0.5</v>
      </c>
      <c r="X53" s="496">
        <f>'P&amp;L - Concept B1 - ALL'!Q48</f>
        <v>0.5</v>
      </c>
      <c r="Y53" s="496">
        <f>'P&amp;L - Concept B1 - ALL'!R48</f>
        <v>0.5</v>
      </c>
      <c r="Z53" s="496">
        <f>'P&amp;L - Concept B1 - ALL'!S48</f>
        <v>0.5</v>
      </c>
      <c r="AA53" s="496">
        <f>'P&amp;L - Concept B1 - ALL'!T48</f>
        <v>0.5</v>
      </c>
      <c r="AB53" s="496">
        <f>'P&amp;L - Concept B1 - ALL'!U48</f>
        <v>0.5</v>
      </c>
      <c r="AC53" s="496">
        <f>'P&amp;L - Concept B1 - ALL'!V48</f>
        <v>0.5</v>
      </c>
      <c r="AD53" s="496">
        <f>'P&amp;L - Concept B1 - ALL'!W48</f>
        <v>0.5</v>
      </c>
      <c r="AE53" s="496">
        <f>'P&amp;L - Concept B1 - ALL'!X48</f>
        <v>0.5</v>
      </c>
    </row>
    <row r="54" spans="1:32 16384:16384" s="18" customFormat="1">
      <c r="A54" s="54" t="s">
        <v>289</v>
      </c>
      <c r="B54" s="277"/>
      <c r="C54" s="74"/>
      <c r="K54" s="486">
        <f>'P&amp;L - Concept B1 - ALL'!D49</f>
        <v>0</v>
      </c>
      <c r="L54" s="496">
        <f>'P&amp;L - Concept B1 - ALL'!E49</f>
        <v>0.75</v>
      </c>
      <c r="M54" s="496">
        <f>'P&amp;L - Concept B1 - ALL'!F49</f>
        <v>0.75</v>
      </c>
      <c r="N54" s="496">
        <f>'P&amp;L - Concept B1 - ALL'!G49</f>
        <v>0.75</v>
      </c>
      <c r="O54" s="496">
        <f>'P&amp;L - Concept B1 - ALL'!H49</f>
        <v>0.75</v>
      </c>
      <c r="P54" s="496">
        <f>'P&amp;L - Concept B1 - ALL'!I49</f>
        <v>0.75</v>
      </c>
      <c r="Q54" s="496">
        <f>'P&amp;L - Concept B1 - ALL'!J49</f>
        <v>0.75</v>
      </c>
      <c r="R54" s="496">
        <f>'P&amp;L - Concept B1 - ALL'!K49</f>
        <v>0.75</v>
      </c>
      <c r="S54" s="496">
        <f>'P&amp;L - Concept B1 - ALL'!L49</f>
        <v>0.75</v>
      </c>
      <c r="T54" s="496">
        <f>'P&amp;L - Concept B1 - ALL'!M49</f>
        <v>0.75</v>
      </c>
      <c r="U54" s="496">
        <f>'P&amp;L - Concept B1 - ALL'!N49</f>
        <v>0.75</v>
      </c>
      <c r="V54" s="496">
        <f>'P&amp;L - Concept B1 - ALL'!O49</f>
        <v>0.75</v>
      </c>
      <c r="W54" s="496">
        <f>'P&amp;L - Concept B1 - ALL'!P49</f>
        <v>0.75</v>
      </c>
      <c r="X54" s="496">
        <f>'P&amp;L - Concept B1 - ALL'!Q49</f>
        <v>0.75</v>
      </c>
      <c r="Y54" s="496">
        <f>'P&amp;L - Concept B1 - ALL'!R49</f>
        <v>0.75</v>
      </c>
      <c r="Z54" s="496">
        <f>'P&amp;L - Concept B1 - ALL'!S49</f>
        <v>0.75</v>
      </c>
      <c r="AA54" s="496">
        <f>'P&amp;L - Concept B1 - ALL'!T49</f>
        <v>0.75</v>
      </c>
      <c r="AB54" s="496">
        <f>'P&amp;L - Concept B1 - ALL'!U49</f>
        <v>0.75</v>
      </c>
      <c r="AC54" s="496">
        <f>'P&amp;L - Concept B1 - ALL'!V49</f>
        <v>0.75</v>
      </c>
      <c r="AD54" s="496">
        <f>'P&amp;L - Concept B1 - ALL'!W49</f>
        <v>0.75</v>
      </c>
      <c r="AE54" s="496">
        <f>'P&amp;L - Concept B1 - ALL'!X49</f>
        <v>0.75</v>
      </c>
      <c r="XFD54" s="570">
        <f>SUM(K54:XFC54)</f>
        <v>15</v>
      </c>
    </row>
    <row r="55" spans="1:32 16384:16384" s="18" customFormat="1">
      <c r="A55" s="54"/>
      <c r="B55" s="277"/>
      <c r="C55" s="74"/>
      <c r="K55" s="486"/>
      <c r="L55" s="313"/>
      <c r="M55" s="313"/>
      <c r="N55" s="313"/>
      <c r="O55" s="313"/>
      <c r="P55" s="313"/>
      <c r="Q55" s="313"/>
      <c r="R55" s="313"/>
      <c r="S55" s="313"/>
      <c r="T55" s="313"/>
      <c r="U55" s="313"/>
      <c r="V55" s="313"/>
      <c r="W55" s="313"/>
      <c r="X55" s="313"/>
      <c r="Y55" s="313"/>
      <c r="Z55" s="313"/>
      <c r="AA55" s="313"/>
      <c r="AB55" s="313"/>
      <c r="AC55" s="313"/>
      <c r="AD55" s="313"/>
      <c r="AE55" s="313"/>
      <c r="XFD55" s="570"/>
    </row>
    <row r="56" spans="1:32 16384:16384" s="18" customFormat="1">
      <c r="A56" s="54" t="s">
        <v>312</v>
      </c>
      <c r="B56" s="277"/>
      <c r="C56" s="74"/>
      <c r="K56" s="486">
        <f>'P&amp;L - Concept B1 - ALL'!D51</f>
        <v>0</v>
      </c>
      <c r="L56" s="313">
        <f>'P&amp;L - Concept B1 - ALL'!E51</f>
        <v>3595</v>
      </c>
      <c r="M56" s="313">
        <f>'P&amp;L - Concept B1 - ALL'!F51</f>
        <v>7190</v>
      </c>
      <c r="N56" s="313">
        <f>'P&amp;L - Concept B1 - ALL'!G51</f>
        <v>7190</v>
      </c>
      <c r="O56" s="313">
        <f>'P&amp;L - Concept B1 - ALL'!H51</f>
        <v>7190</v>
      </c>
      <c r="P56" s="313">
        <f>'P&amp;L - Concept B1 - ALL'!I51</f>
        <v>7190</v>
      </c>
      <c r="Q56" s="313">
        <f>'P&amp;L - Concept B1 - ALL'!J51</f>
        <v>7190</v>
      </c>
      <c r="R56" s="313">
        <f>'P&amp;L - Concept B1 - ALL'!K51</f>
        <v>7190</v>
      </c>
      <c r="S56" s="313">
        <f>'P&amp;L - Concept B1 - ALL'!L51</f>
        <v>7190</v>
      </c>
      <c r="T56" s="313">
        <f>'P&amp;L - Concept B1 - ALL'!M51</f>
        <v>7190</v>
      </c>
      <c r="U56" s="313">
        <f>'P&amp;L - Concept B1 - ALL'!N51</f>
        <v>7190</v>
      </c>
      <c r="V56" s="313">
        <f>'P&amp;L - Concept B1 - ALL'!O51</f>
        <v>7190</v>
      </c>
      <c r="W56" s="313">
        <f>'P&amp;L - Concept B1 - ALL'!P51</f>
        <v>7190</v>
      </c>
      <c r="X56" s="313">
        <f>'P&amp;L - Concept B1 - ALL'!Q51</f>
        <v>7190</v>
      </c>
      <c r="Y56" s="313">
        <f>'P&amp;L - Concept B1 - ALL'!R51</f>
        <v>7190</v>
      </c>
      <c r="Z56" s="313">
        <f>'P&amp;L - Concept B1 - ALL'!S51</f>
        <v>7190</v>
      </c>
      <c r="AA56" s="313">
        <f>'P&amp;L - Concept B1 - ALL'!T51</f>
        <v>7190</v>
      </c>
      <c r="AB56" s="313">
        <f>'P&amp;L - Concept B1 - ALL'!U51</f>
        <v>7190</v>
      </c>
      <c r="AC56" s="313">
        <f>'P&amp;L - Concept B1 - ALL'!V51</f>
        <v>7190</v>
      </c>
      <c r="AD56" s="313">
        <f>'P&amp;L - Concept B1 - ALL'!W51</f>
        <v>7190</v>
      </c>
      <c r="AE56" s="313">
        <f>'P&amp;L - Concept B1 - ALL'!X51</f>
        <v>7190</v>
      </c>
      <c r="XFD56" s="570"/>
    </row>
    <row r="57" spans="1:32 16384:16384" s="18" customFormat="1">
      <c r="A57" s="54"/>
      <c r="B57" s="277"/>
      <c r="C57" s="74"/>
      <c r="K57" s="486"/>
      <c r="L57" s="313"/>
      <c r="M57" s="313"/>
      <c r="N57" s="313"/>
      <c r="O57" s="313"/>
      <c r="P57" s="313"/>
      <c r="Q57" s="313"/>
      <c r="R57" s="313"/>
      <c r="S57" s="313"/>
      <c r="T57" s="313"/>
      <c r="U57" s="313"/>
      <c r="V57" s="313"/>
      <c r="W57" s="313"/>
      <c r="X57" s="313"/>
      <c r="Y57" s="313"/>
      <c r="Z57" s="313"/>
      <c r="AA57" s="313"/>
      <c r="AB57" s="313"/>
      <c r="AC57" s="313"/>
      <c r="AD57" s="313"/>
      <c r="AE57" s="313"/>
    </row>
    <row r="58" spans="1:32 16384:16384" s="612" customFormat="1">
      <c r="A58" s="613" t="s">
        <v>292</v>
      </c>
      <c r="B58" s="614"/>
      <c r="C58" s="615"/>
      <c r="D58" s="717"/>
      <c r="E58" s="717"/>
      <c r="F58" s="717"/>
      <c r="G58" s="717"/>
      <c r="H58" s="717"/>
      <c r="I58" s="717"/>
      <c r="J58" s="717"/>
      <c r="K58" s="616">
        <f>'P&amp;L - Concept B1 - ALL'!D53</f>
        <v>0</v>
      </c>
      <c r="L58" s="616">
        <f>'P&amp;L - Concept B1 - ALL'!E53</f>
        <v>0</v>
      </c>
      <c r="M58" s="616">
        <f>'P&amp;L - Concept B1 - ALL'!F53</f>
        <v>0</v>
      </c>
      <c r="N58" s="616">
        <f>'P&amp;L - Concept B1 - ALL'!G53</f>
        <v>100000</v>
      </c>
      <c r="O58" s="616">
        <f>'P&amp;L - Concept B1 - ALL'!H53</f>
        <v>100000</v>
      </c>
      <c r="P58" s="616">
        <f>'P&amp;L - Concept B1 - ALL'!I53</f>
        <v>100000</v>
      </c>
      <c r="Q58" s="616">
        <f>'P&amp;L - Concept B1 - ALL'!J53</f>
        <v>100000</v>
      </c>
      <c r="R58" s="616">
        <f>'P&amp;L - Concept B1 - ALL'!K53</f>
        <v>100000</v>
      </c>
      <c r="S58" s="616">
        <f>'P&amp;L - Concept B1 - ALL'!L53</f>
        <v>100000</v>
      </c>
      <c r="T58" s="616">
        <f>'P&amp;L - Concept B1 - ALL'!M53</f>
        <v>100000</v>
      </c>
      <c r="U58" s="616">
        <f>'P&amp;L - Concept B1 - ALL'!N53</f>
        <v>100000</v>
      </c>
      <c r="V58" s="616">
        <f>'P&amp;L - Concept B1 - ALL'!O53</f>
        <v>100000</v>
      </c>
      <c r="W58" s="616">
        <f>'P&amp;L - Concept B1 - ALL'!P53</f>
        <v>100000</v>
      </c>
      <c r="X58" s="616">
        <f>'P&amp;L - Concept B1 - ALL'!Q53</f>
        <v>100000</v>
      </c>
      <c r="Y58" s="616">
        <f>'P&amp;L - Concept B1 - ALL'!R53</f>
        <v>100000</v>
      </c>
      <c r="Z58" s="616">
        <f>'P&amp;L - Concept B1 - ALL'!S53</f>
        <v>100000</v>
      </c>
      <c r="AA58" s="616">
        <f>'P&amp;L - Concept B1 - ALL'!T53</f>
        <v>100000</v>
      </c>
      <c r="AB58" s="616">
        <f>'P&amp;L - Concept B1 - ALL'!U53</f>
        <v>100000</v>
      </c>
      <c r="AC58" s="616">
        <f>'P&amp;L - Concept B1 - ALL'!V53</f>
        <v>100000</v>
      </c>
      <c r="AD58" s="616">
        <f>'P&amp;L - Concept B1 - ALL'!W53</f>
        <v>100000</v>
      </c>
      <c r="AE58" s="787">
        <f>'P&amp;L - Concept B1 - ALL'!X53</f>
        <v>100000</v>
      </c>
    </row>
    <row r="59" spans="1:32 16384:16384" s="18" customFormat="1">
      <c r="A59" s="54"/>
      <c r="B59" s="277"/>
      <c r="C59" s="74"/>
      <c r="K59" s="486"/>
      <c r="L59" s="313"/>
      <c r="M59" s="313"/>
      <c r="N59" s="313"/>
      <c r="O59" s="313"/>
      <c r="P59" s="313"/>
      <c r="Q59" s="313"/>
      <c r="R59" s="313"/>
      <c r="S59" s="313"/>
      <c r="T59" s="313"/>
      <c r="U59" s="313"/>
      <c r="V59" s="313"/>
      <c r="W59" s="313"/>
      <c r="X59" s="313"/>
      <c r="Y59" s="313"/>
      <c r="Z59" s="313"/>
      <c r="AA59" s="313"/>
      <c r="AB59" s="313"/>
      <c r="AC59" s="313"/>
      <c r="AD59" s="313"/>
      <c r="AE59" s="313"/>
    </row>
    <row r="60" spans="1:32 16384:16384" s="547" customFormat="1">
      <c r="A60" s="549" t="str">
        <f>'BH Tariffs'!A33</f>
        <v>Recreational/Commercial Marina</v>
      </c>
      <c r="B60" s="714"/>
      <c r="C60" s="715"/>
      <c r="K60" s="554"/>
      <c r="L60" s="555"/>
      <c r="M60" s="555"/>
      <c r="N60" s="555"/>
      <c r="O60" s="555"/>
      <c r="P60" s="555"/>
      <c r="Q60" s="555"/>
      <c r="R60" s="555"/>
      <c r="S60" s="555"/>
      <c r="T60" s="555"/>
      <c r="U60" s="555"/>
      <c r="V60" s="555"/>
      <c r="W60" s="555"/>
      <c r="X60" s="555"/>
      <c r="Y60" s="555"/>
      <c r="Z60" s="555"/>
      <c r="AA60" s="555"/>
      <c r="AB60" s="555"/>
      <c r="AC60" s="555"/>
      <c r="AD60" s="555"/>
      <c r="AE60" s="555"/>
    </row>
    <row r="61" spans="1:32 16384:16384" s="341" customFormat="1">
      <c r="A61" s="552" t="s">
        <v>291</v>
      </c>
      <c r="B61" s="556"/>
      <c r="C61" s="557"/>
      <c r="K61" s="554">
        <f>'P&amp;L - Concept B1 - ALL'!D56</f>
        <v>0</v>
      </c>
      <c r="L61" s="555">
        <f>'P&amp;L - Concept B1 - ALL'!E56</f>
        <v>0</v>
      </c>
      <c r="M61" s="555">
        <f>'P&amp;L - Concept B1 - ALL'!F56</f>
        <v>0</v>
      </c>
      <c r="N61" s="555">
        <f>'P&amp;L - Concept B1 - ALL'!G56</f>
        <v>0</v>
      </c>
      <c r="O61" s="555">
        <f>'P&amp;L - Concept B1 - ALL'!H56</f>
        <v>0</v>
      </c>
      <c r="P61" s="555">
        <f>'P&amp;L - Concept B1 - ALL'!I56</f>
        <v>0</v>
      </c>
      <c r="Q61" s="555">
        <f>'P&amp;L - Concept B1 - ALL'!J56</f>
        <v>0</v>
      </c>
      <c r="R61" s="555">
        <f>'P&amp;L - Concept B1 - ALL'!K56</f>
        <v>0</v>
      </c>
      <c r="S61" s="555">
        <f>'P&amp;L - Concept B1 - ALL'!L56</f>
        <v>0</v>
      </c>
      <c r="T61" s="555">
        <f>'P&amp;L - Concept B1 - ALL'!M56</f>
        <v>0</v>
      </c>
      <c r="U61" s="555">
        <f>'P&amp;L - Concept B1 - ALL'!N56</f>
        <v>0</v>
      </c>
      <c r="V61" s="555">
        <f>'P&amp;L - Concept B1 - ALL'!O56</f>
        <v>0</v>
      </c>
      <c r="W61" s="555">
        <f>'P&amp;L - Concept B1 - ALL'!P56</f>
        <v>0</v>
      </c>
      <c r="X61" s="555">
        <f>'P&amp;L - Concept B1 - ALL'!Q56</f>
        <v>0</v>
      </c>
      <c r="Y61" s="555">
        <f>'P&amp;L - Concept B1 - ALL'!R56</f>
        <v>0</v>
      </c>
      <c r="Z61" s="555">
        <f>'P&amp;L - Concept B1 - ALL'!S56</f>
        <v>0</v>
      </c>
      <c r="AA61" s="555">
        <f>'P&amp;L - Concept B1 - ALL'!T56</f>
        <v>0</v>
      </c>
      <c r="AB61" s="555">
        <f>'P&amp;L - Concept B1 - ALL'!U56</f>
        <v>0</v>
      </c>
      <c r="AC61" s="555">
        <f>'P&amp;L - Concept B1 - ALL'!V56</f>
        <v>0</v>
      </c>
      <c r="AD61" s="555">
        <f>'P&amp;L - Concept B1 - ALL'!W56</f>
        <v>0</v>
      </c>
      <c r="AE61" s="555">
        <f>'P&amp;L - Concept B1 - ALL'!X56</f>
        <v>0</v>
      </c>
    </row>
    <row r="62" spans="1:32 16384:16384" s="341" customFormat="1">
      <c r="A62" s="552" t="s">
        <v>293</v>
      </c>
      <c r="B62" s="556"/>
      <c r="C62" s="557"/>
      <c r="K62" s="554">
        <f>'P&amp;L - Concept B1 - ALL'!D57</f>
        <v>0</v>
      </c>
      <c r="L62" s="555">
        <f>'P&amp;L - Concept B1 - ALL'!E57</f>
        <v>0</v>
      </c>
      <c r="M62" s="555">
        <f>'P&amp;L - Concept B1 - ALL'!F57</f>
        <v>0</v>
      </c>
      <c r="N62" s="555">
        <f>'P&amp;L - Concept B1 - ALL'!G57</f>
        <v>0</v>
      </c>
      <c r="O62" s="555">
        <f>'P&amp;L - Concept B1 - ALL'!H57</f>
        <v>0</v>
      </c>
      <c r="P62" s="555">
        <f>'P&amp;L - Concept B1 - ALL'!I57</f>
        <v>0</v>
      </c>
      <c r="Q62" s="555">
        <f>'P&amp;L - Concept B1 - ALL'!J57</f>
        <v>0</v>
      </c>
      <c r="R62" s="555">
        <f>'P&amp;L - Concept B1 - ALL'!K57</f>
        <v>0</v>
      </c>
      <c r="S62" s="555">
        <f>'P&amp;L - Concept B1 - ALL'!L57</f>
        <v>0</v>
      </c>
      <c r="T62" s="555">
        <f>'P&amp;L - Concept B1 - ALL'!M57</f>
        <v>0</v>
      </c>
      <c r="U62" s="555">
        <f>'P&amp;L - Concept B1 - ALL'!N57</f>
        <v>0</v>
      </c>
      <c r="V62" s="555">
        <f>'P&amp;L - Concept B1 - ALL'!O57</f>
        <v>0</v>
      </c>
      <c r="W62" s="555">
        <f>'P&amp;L - Concept B1 - ALL'!P57</f>
        <v>0</v>
      </c>
      <c r="X62" s="555">
        <f>'P&amp;L - Concept B1 - ALL'!Q57</f>
        <v>0</v>
      </c>
      <c r="Y62" s="555">
        <f>'P&amp;L - Concept B1 - ALL'!R57</f>
        <v>0</v>
      </c>
      <c r="Z62" s="555">
        <f>'P&amp;L - Concept B1 - ALL'!S57</f>
        <v>0</v>
      </c>
      <c r="AA62" s="555">
        <f>'P&amp;L - Concept B1 - ALL'!T57</f>
        <v>0</v>
      </c>
      <c r="AB62" s="555">
        <f>'P&amp;L - Concept B1 - ALL'!U57</f>
        <v>0</v>
      </c>
      <c r="AC62" s="555">
        <f>'P&amp;L - Concept B1 - ALL'!V57</f>
        <v>0</v>
      </c>
      <c r="AD62" s="555">
        <f>'P&amp;L - Concept B1 - ALL'!W57</f>
        <v>0</v>
      </c>
      <c r="AE62" s="555">
        <f>'P&amp;L - Concept B1 - ALL'!X57</f>
        <v>0</v>
      </c>
    </row>
    <row r="63" spans="1:32 16384:16384" s="341" customFormat="1">
      <c r="A63" s="552" t="s">
        <v>294</v>
      </c>
      <c r="B63" s="556"/>
      <c r="C63" s="557"/>
      <c r="K63" s="554">
        <f>'P&amp;L - Concept B1 - ALL'!D58</f>
        <v>0</v>
      </c>
      <c r="L63" s="555">
        <f>'P&amp;L - Concept B1 - ALL'!E58</f>
        <v>0</v>
      </c>
      <c r="M63" s="555">
        <f>'P&amp;L - Concept B1 - ALL'!F58</f>
        <v>0</v>
      </c>
      <c r="N63" s="555">
        <f>'P&amp;L - Concept B1 - ALL'!G58</f>
        <v>0</v>
      </c>
      <c r="O63" s="555">
        <f>'P&amp;L - Concept B1 - ALL'!H58</f>
        <v>0</v>
      </c>
      <c r="P63" s="555">
        <f>'P&amp;L - Concept B1 - ALL'!I58</f>
        <v>0</v>
      </c>
      <c r="Q63" s="555">
        <f>'P&amp;L - Concept B1 - ALL'!J58</f>
        <v>0</v>
      </c>
      <c r="R63" s="555">
        <f>'P&amp;L - Concept B1 - ALL'!K58</f>
        <v>0</v>
      </c>
      <c r="S63" s="555">
        <f>'P&amp;L - Concept B1 - ALL'!L58</f>
        <v>0</v>
      </c>
      <c r="T63" s="555">
        <f>'P&amp;L - Concept B1 - ALL'!M58</f>
        <v>0</v>
      </c>
      <c r="U63" s="555">
        <f>'P&amp;L - Concept B1 - ALL'!N58</f>
        <v>0</v>
      </c>
      <c r="V63" s="555">
        <f>'P&amp;L - Concept B1 - ALL'!O58</f>
        <v>0</v>
      </c>
      <c r="W63" s="555">
        <f>'P&amp;L - Concept B1 - ALL'!P58</f>
        <v>0</v>
      </c>
      <c r="X63" s="555">
        <f>'P&amp;L - Concept B1 - ALL'!Q58</f>
        <v>0</v>
      </c>
      <c r="Y63" s="555">
        <f>'P&amp;L - Concept B1 - ALL'!R58</f>
        <v>0</v>
      </c>
      <c r="Z63" s="555">
        <f>'P&amp;L - Concept B1 - ALL'!S58</f>
        <v>0</v>
      </c>
      <c r="AA63" s="555">
        <f>'P&amp;L - Concept B1 - ALL'!T58</f>
        <v>0</v>
      </c>
      <c r="AB63" s="555">
        <f>'P&amp;L - Concept B1 - ALL'!U58</f>
        <v>0</v>
      </c>
      <c r="AC63" s="555">
        <f>'P&amp;L - Concept B1 - ALL'!V58</f>
        <v>0</v>
      </c>
      <c r="AD63" s="555">
        <f>'P&amp;L - Concept B1 - ALL'!W58</f>
        <v>0</v>
      </c>
      <c r="AE63" s="555">
        <f>'P&amp;L - Concept B1 - ALL'!X58</f>
        <v>0</v>
      </c>
    </row>
    <row r="64" spans="1:32 16384:16384" s="167" customFormat="1">
      <c r="A64" s="497" t="s">
        <v>170</v>
      </c>
      <c r="B64" s="450"/>
      <c r="C64" s="498"/>
      <c r="K64" s="486">
        <f>'P&amp;L - Concept B1 - ALL'!D59</f>
        <v>0</v>
      </c>
      <c r="L64" s="313">
        <f>'P&amp;L - Concept B1 - ALL'!E59</f>
        <v>0</v>
      </c>
      <c r="M64" s="313">
        <f>'P&amp;L - Concept B1 - ALL'!F59</f>
        <v>0</v>
      </c>
      <c r="N64" s="313">
        <f>'P&amp;L - Concept B1 - ALL'!G59</f>
        <v>0</v>
      </c>
      <c r="O64" s="313">
        <f>'P&amp;L - Concept B1 - ALL'!H59</f>
        <v>0</v>
      </c>
      <c r="P64" s="313">
        <f>'P&amp;L - Concept B1 - ALL'!I59</f>
        <v>0</v>
      </c>
      <c r="Q64" s="313">
        <f>'P&amp;L - Concept B1 - ALL'!J59</f>
        <v>0</v>
      </c>
      <c r="R64" s="313">
        <f>'P&amp;L - Concept B1 - ALL'!K59</f>
        <v>0</v>
      </c>
      <c r="S64" s="313">
        <f>'P&amp;L - Concept B1 - ALL'!L59</f>
        <v>0</v>
      </c>
      <c r="T64" s="313">
        <f>'P&amp;L - Concept B1 - ALL'!M59</f>
        <v>0</v>
      </c>
      <c r="U64" s="313">
        <f>'P&amp;L - Concept B1 - ALL'!N59</f>
        <v>0</v>
      </c>
      <c r="V64" s="313">
        <f>'P&amp;L - Concept B1 - ALL'!O59</f>
        <v>0</v>
      </c>
      <c r="W64" s="313">
        <f>'P&amp;L - Concept B1 - ALL'!P59</f>
        <v>0</v>
      </c>
      <c r="X64" s="313">
        <f>'P&amp;L - Concept B1 - ALL'!Q59</f>
        <v>0</v>
      </c>
      <c r="Y64" s="313">
        <f>'P&amp;L - Concept B1 - ALL'!R59</f>
        <v>0</v>
      </c>
      <c r="Z64" s="313">
        <f>'P&amp;L - Concept B1 - ALL'!S59</f>
        <v>0</v>
      </c>
      <c r="AA64" s="313">
        <f>'P&amp;L - Concept B1 - ALL'!T59</f>
        <v>0</v>
      </c>
      <c r="AB64" s="313">
        <f>'P&amp;L - Concept B1 - ALL'!U59</f>
        <v>0</v>
      </c>
      <c r="AC64" s="313">
        <f>'P&amp;L - Concept B1 - ALL'!V59</f>
        <v>0</v>
      </c>
      <c r="AD64" s="313">
        <f>'P&amp;L - Concept B1 - ALL'!W59</f>
        <v>0</v>
      </c>
      <c r="AE64" s="313">
        <f>'P&amp;L - Concept B1 - ALL'!X59</f>
        <v>0</v>
      </c>
      <c r="AF64" s="167" t="str">
        <f>'P&amp;L - Concept B1 - ALL'!Y59</f>
        <v>cost recovery assumed</v>
      </c>
    </row>
    <row r="65" spans="1:32" s="167" customFormat="1">
      <c r="A65" s="497" t="s">
        <v>16</v>
      </c>
      <c r="B65" s="450"/>
      <c r="C65" s="498"/>
      <c r="K65" s="499">
        <f>'P&amp;L - Concept B1 - ALL'!D60</f>
        <v>0</v>
      </c>
      <c r="L65" s="313">
        <f>'P&amp;L - Concept B1 - ALL'!E60</f>
        <v>0</v>
      </c>
      <c r="M65" s="313">
        <f>'P&amp;L - Concept B1 - ALL'!F60</f>
        <v>0</v>
      </c>
      <c r="N65" s="313">
        <f>'P&amp;L - Concept B1 - ALL'!G60</f>
        <v>0</v>
      </c>
      <c r="O65" s="313">
        <f>'P&amp;L - Concept B1 - ALL'!H60</f>
        <v>0</v>
      </c>
      <c r="P65" s="313">
        <f>'P&amp;L - Concept B1 - ALL'!I60</f>
        <v>0</v>
      </c>
      <c r="Q65" s="313">
        <f>'P&amp;L - Concept B1 - ALL'!J60</f>
        <v>0</v>
      </c>
      <c r="R65" s="313">
        <f>'P&amp;L - Concept B1 - ALL'!K60</f>
        <v>0</v>
      </c>
      <c r="S65" s="313">
        <f>'P&amp;L - Concept B1 - ALL'!L60</f>
        <v>0</v>
      </c>
      <c r="T65" s="313">
        <f>'P&amp;L - Concept B1 - ALL'!M60</f>
        <v>0</v>
      </c>
      <c r="U65" s="313">
        <f>'P&amp;L - Concept B1 - ALL'!N60</f>
        <v>0</v>
      </c>
      <c r="V65" s="313">
        <f>'P&amp;L - Concept B1 - ALL'!O60</f>
        <v>0</v>
      </c>
      <c r="W65" s="313">
        <f>'P&amp;L - Concept B1 - ALL'!P60</f>
        <v>0</v>
      </c>
      <c r="X65" s="313">
        <f>'P&amp;L - Concept B1 - ALL'!Q60</f>
        <v>0</v>
      </c>
      <c r="Y65" s="313">
        <f>'P&amp;L - Concept B1 - ALL'!R60</f>
        <v>0</v>
      </c>
      <c r="Z65" s="313">
        <f>'P&amp;L - Concept B1 - ALL'!S60</f>
        <v>0</v>
      </c>
      <c r="AA65" s="313">
        <f>'P&amp;L - Concept B1 - ALL'!T60</f>
        <v>0</v>
      </c>
      <c r="AB65" s="313">
        <f>'P&amp;L - Concept B1 - ALL'!U60</f>
        <v>0</v>
      </c>
      <c r="AC65" s="313">
        <f>'P&amp;L - Concept B1 - ALL'!V60</f>
        <v>0</v>
      </c>
      <c r="AD65" s="313">
        <f>'P&amp;L - Concept B1 - ALL'!W60</f>
        <v>0</v>
      </c>
      <c r="AE65" s="313">
        <f>'P&amp;L - Concept B1 - ALL'!X60</f>
        <v>0</v>
      </c>
      <c r="AF65" s="167" t="str">
        <f>'P&amp;L - Concept B1 - ALL'!Y60</f>
        <v>cost recovery assumed</v>
      </c>
    </row>
    <row r="66" spans="1:32" s="18" customFormat="1">
      <c r="A66" s="54"/>
      <c r="B66" s="277"/>
      <c r="C66" s="74"/>
      <c r="K66" s="492"/>
      <c r="L66" s="313"/>
      <c r="M66" s="313"/>
      <c r="N66" s="313"/>
      <c r="O66" s="313"/>
      <c r="P66" s="313"/>
      <c r="Q66" s="313"/>
      <c r="R66" s="313"/>
      <c r="S66" s="313"/>
      <c r="T66" s="313"/>
      <c r="U66" s="313"/>
      <c r="V66" s="313"/>
      <c r="W66" s="313"/>
      <c r="X66" s="313"/>
      <c r="Y66" s="313"/>
      <c r="Z66" s="313"/>
      <c r="AA66" s="313"/>
      <c r="AB66" s="313"/>
      <c r="AC66" s="313"/>
      <c r="AD66" s="313"/>
      <c r="AE66" s="313"/>
    </row>
    <row r="67" spans="1:32" s="18" customFormat="1">
      <c r="A67" s="293" t="s">
        <v>2</v>
      </c>
      <c r="B67" s="277"/>
      <c r="C67" s="74"/>
      <c r="K67" s="492"/>
      <c r="L67" s="313"/>
      <c r="M67" s="313"/>
      <c r="N67" s="313"/>
      <c r="O67" s="313"/>
      <c r="P67" s="313"/>
      <c r="Q67" s="313"/>
      <c r="R67" s="313"/>
      <c r="S67" s="313"/>
      <c r="T67" s="313"/>
      <c r="U67" s="313"/>
      <c r="V67" s="313"/>
      <c r="W67" s="313"/>
      <c r="X67" s="313"/>
      <c r="Y67" s="313"/>
      <c r="Z67" s="313"/>
      <c r="AA67" s="313"/>
      <c r="AB67" s="313"/>
      <c r="AC67" s="313"/>
      <c r="AD67" s="313"/>
      <c r="AE67" s="313"/>
    </row>
    <row r="68" spans="1:32" s="96" customFormat="1">
      <c r="A68" s="54" t="s">
        <v>290</v>
      </c>
      <c r="B68" s="435">
        <v>500</v>
      </c>
      <c r="C68" s="487"/>
      <c r="K68" s="486">
        <f>'P&amp;L - Concept B1 - ALL'!D63</f>
        <v>0</v>
      </c>
      <c r="L68" s="313">
        <f>'P&amp;L - Concept B1 - ALL'!E63</f>
        <v>0</v>
      </c>
      <c r="M68" s="313">
        <f>'P&amp;L - Concept B1 - ALL'!F63</f>
        <v>0</v>
      </c>
      <c r="N68" s="313">
        <f>'P&amp;L - Concept B1 - ALL'!G63</f>
        <v>500</v>
      </c>
      <c r="O68" s="313">
        <f>'P&amp;L - Concept B1 - ALL'!H63</f>
        <v>500</v>
      </c>
      <c r="P68" s="313">
        <f>'P&amp;L - Concept B1 - ALL'!I63</f>
        <v>500</v>
      </c>
      <c r="Q68" s="313">
        <f>'P&amp;L - Concept B1 - ALL'!J63</f>
        <v>500</v>
      </c>
      <c r="R68" s="313">
        <f>'P&amp;L - Concept B1 - ALL'!K63</f>
        <v>500</v>
      </c>
      <c r="S68" s="313">
        <f>'P&amp;L - Concept B1 - ALL'!L63</f>
        <v>500</v>
      </c>
      <c r="T68" s="313">
        <f>'P&amp;L - Concept B1 - ALL'!M63</f>
        <v>500</v>
      </c>
      <c r="U68" s="313">
        <f>'P&amp;L - Concept B1 - ALL'!N63</f>
        <v>500</v>
      </c>
      <c r="V68" s="313">
        <f>'P&amp;L - Concept B1 - ALL'!O63</f>
        <v>500</v>
      </c>
      <c r="W68" s="313">
        <f>'P&amp;L - Concept B1 - ALL'!P63</f>
        <v>500</v>
      </c>
      <c r="X68" s="313">
        <f>'P&amp;L - Concept B1 - ALL'!Q63</f>
        <v>500</v>
      </c>
      <c r="Y68" s="313">
        <f>'P&amp;L - Concept B1 - ALL'!R63</f>
        <v>500</v>
      </c>
      <c r="Z68" s="313">
        <f>'P&amp;L - Concept B1 - ALL'!S63</f>
        <v>500</v>
      </c>
      <c r="AA68" s="313">
        <f>'P&amp;L - Concept B1 - ALL'!T63</f>
        <v>500</v>
      </c>
      <c r="AB68" s="313">
        <f>'P&amp;L - Concept B1 - ALL'!U63</f>
        <v>500</v>
      </c>
      <c r="AC68" s="313">
        <f>'P&amp;L - Concept B1 - ALL'!V63</f>
        <v>500</v>
      </c>
      <c r="AD68" s="313">
        <f>'P&amp;L - Concept B1 - ALL'!W63</f>
        <v>500</v>
      </c>
      <c r="AE68" s="313">
        <f>'P&amp;L - Concept B1 - ALL'!X63</f>
        <v>500</v>
      </c>
    </row>
    <row r="69" spans="1:32" s="96" customFormat="1">
      <c r="A69" s="54" t="s">
        <v>210</v>
      </c>
      <c r="B69" s="487"/>
      <c r="C69" s="487"/>
      <c r="K69" s="486">
        <f>'P&amp;L - Concept B1 - ALL'!D65</f>
        <v>0</v>
      </c>
      <c r="L69" s="313">
        <f>'P&amp;L - Concept B1 - ALL'!E65</f>
        <v>0</v>
      </c>
      <c r="M69" s="313">
        <f>'P&amp;L - Concept B1 - ALL'!F65</f>
        <v>1</v>
      </c>
      <c r="N69" s="313">
        <f>'P&amp;L - Concept B1 - ALL'!G65</f>
        <v>2</v>
      </c>
      <c r="O69" s="313">
        <f>'P&amp;L - Concept B1 - ALL'!H65</f>
        <v>2</v>
      </c>
      <c r="P69" s="313">
        <f>'P&amp;L - Concept B1 - ALL'!I65</f>
        <v>2</v>
      </c>
      <c r="Q69" s="313">
        <f>'P&amp;L - Concept B1 - ALL'!J65</f>
        <v>3</v>
      </c>
      <c r="R69" s="313">
        <f>'P&amp;L - Concept B1 - ALL'!K65</f>
        <v>3</v>
      </c>
      <c r="S69" s="313">
        <f>'P&amp;L - Concept B1 - ALL'!L65</f>
        <v>3</v>
      </c>
      <c r="T69" s="313">
        <f>'P&amp;L - Concept B1 - ALL'!M65</f>
        <v>3</v>
      </c>
      <c r="U69" s="313">
        <f>'P&amp;L - Concept B1 - ALL'!N65</f>
        <v>3</v>
      </c>
      <c r="V69" s="313">
        <f>'P&amp;L - Concept B1 - ALL'!O65</f>
        <v>4</v>
      </c>
      <c r="W69" s="313">
        <f>'P&amp;L - Concept B1 - ALL'!P65</f>
        <v>4</v>
      </c>
      <c r="X69" s="313">
        <f>'P&amp;L - Concept B1 - ALL'!Q65</f>
        <v>4</v>
      </c>
      <c r="Y69" s="313">
        <f>'P&amp;L - Concept B1 - ALL'!R65</f>
        <v>4</v>
      </c>
      <c r="Z69" s="313">
        <f>'P&amp;L - Concept B1 - ALL'!S65</f>
        <v>4</v>
      </c>
      <c r="AA69" s="313">
        <f>'P&amp;L - Concept B1 - ALL'!T65</f>
        <v>5</v>
      </c>
      <c r="AB69" s="313">
        <f>'P&amp;L - Concept B1 - ALL'!U65</f>
        <v>5</v>
      </c>
      <c r="AC69" s="313">
        <f>'P&amp;L - Concept B1 - ALL'!V65</f>
        <v>5</v>
      </c>
      <c r="AD69" s="313">
        <f>'P&amp;L - Concept B1 - ALL'!W65</f>
        <v>5</v>
      </c>
      <c r="AE69" s="313">
        <f>'P&amp;L - Concept B1 - ALL'!X65</f>
        <v>5</v>
      </c>
    </row>
    <row r="70" spans="1:32" s="96" customFormat="1">
      <c r="A70" s="96" t="s">
        <v>211</v>
      </c>
      <c r="K70" s="486">
        <f>'P&amp;L - Concept B1 - ALL'!D66</f>
        <v>0</v>
      </c>
      <c r="L70" s="313">
        <f>'P&amp;L - Concept B1 - ALL'!E66</f>
        <v>0</v>
      </c>
      <c r="M70" s="313">
        <f>'P&amp;L - Concept B1 - ALL'!F66</f>
        <v>3</v>
      </c>
      <c r="N70" s="313">
        <f>'P&amp;L - Concept B1 - ALL'!G66</f>
        <v>3</v>
      </c>
      <c r="O70" s="313">
        <f>'P&amp;L - Concept B1 - ALL'!H66</f>
        <v>3</v>
      </c>
      <c r="P70" s="313">
        <f>'P&amp;L - Concept B1 - ALL'!I66</f>
        <v>3</v>
      </c>
      <c r="Q70" s="313">
        <f>'P&amp;L - Concept B1 - ALL'!J66</f>
        <v>3</v>
      </c>
      <c r="R70" s="313">
        <f>'P&amp;L - Concept B1 - ALL'!K66</f>
        <v>3</v>
      </c>
      <c r="S70" s="313">
        <f>'P&amp;L - Concept B1 - ALL'!L66</f>
        <v>3</v>
      </c>
      <c r="T70" s="313">
        <f>'P&amp;L - Concept B1 - ALL'!M66</f>
        <v>3</v>
      </c>
      <c r="U70" s="313">
        <f>'P&amp;L - Concept B1 - ALL'!N66</f>
        <v>3</v>
      </c>
      <c r="V70" s="313">
        <f>'P&amp;L - Concept B1 - ALL'!O66</f>
        <v>3</v>
      </c>
      <c r="W70" s="313">
        <f>'P&amp;L - Concept B1 - ALL'!P66</f>
        <v>3</v>
      </c>
      <c r="X70" s="313">
        <f>'P&amp;L - Concept B1 - ALL'!Q66</f>
        <v>3</v>
      </c>
      <c r="Y70" s="313">
        <f>'P&amp;L - Concept B1 - ALL'!R66</f>
        <v>3</v>
      </c>
      <c r="Z70" s="313">
        <f>'P&amp;L - Concept B1 - ALL'!S66</f>
        <v>3</v>
      </c>
      <c r="AA70" s="313">
        <f>'P&amp;L - Concept B1 - ALL'!T66</f>
        <v>3</v>
      </c>
      <c r="AB70" s="313">
        <f>'P&amp;L - Concept B1 - ALL'!U66</f>
        <v>3</v>
      </c>
      <c r="AC70" s="313">
        <f>'P&amp;L - Concept B1 - ALL'!V66</f>
        <v>3</v>
      </c>
      <c r="AD70" s="313">
        <f>'P&amp;L - Concept B1 - ALL'!W66</f>
        <v>3</v>
      </c>
      <c r="AE70" s="313">
        <f>'P&amp;L - Concept B1 - ALL'!X66</f>
        <v>3</v>
      </c>
    </row>
    <row r="71" spans="1:32" s="96" customFormat="1">
      <c r="K71" s="486"/>
      <c r="L71" s="435"/>
      <c r="M71" s="435"/>
      <c r="N71" s="435"/>
      <c r="O71" s="435"/>
      <c r="P71" s="435"/>
      <c r="Q71" s="435"/>
      <c r="R71" s="435"/>
      <c r="S71" s="435"/>
      <c r="T71" s="435"/>
      <c r="U71" s="435"/>
      <c r="V71" s="435"/>
      <c r="W71" s="435"/>
      <c r="X71" s="435"/>
      <c r="Y71" s="435"/>
      <c r="Z71" s="435"/>
      <c r="AA71" s="435"/>
      <c r="AB71" s="435"/>
      <c r="AC71" s="435"/>
      <c r="AD71" s="435"/>
      <c r="AE71" s="435"/>
    </row>
    <row r="72" spans="1:32" s="18" customFormat="1">
      <c r="A72" s="28"/>
      <c r="K72" s="486"/>
      <c r="L72" s="331"/>
      <c r="M72" s="333"/>
      <c r="N72" s="331"/>
      <c r="O72" s="331"/>
      <c r="P72" s="331"/>
      <c r="Q72" s="331"/>
      <c r="R72" s="331"/>
      <c r="S72" s="331"/>
      <c r="T72" s="331"/>
      <c r="U72" s="331"/>
      <c r="V72" s="331"/>
      <c r="W72" s="331"/>
      <c r="X72" s="331"/>
      <c r="Y72" s="331"/>
      <c r="Z72" s="331"/>
      <c r="AA72" s="331"/>
      <c r="AB72" s="331"/>
      <c r="AC72" s="331"/>
      <c r="AD72" s="331"/>
      <c r="AE72" s="331"/>
    </row>
    <row r="73" spans="1:32">
      <c r="A73" s="168" t="s">
        <v>131</v>
      </c>
      <c r="B73" s="168"/>
      <c r="C73" s="169"/>
      <c r="D73" s="170"/>
      <c r="E73" s="171"/>
      <c r="F73" s="171"/>
      <c r="G73" s="171"/>
      <c r="H73" s="171"/>
      <c r="I73" s="168"/>
      <c r="J73" s="171"/>
      <c r="K73" s="681"/>
      <c r="L73" s="314"/>
      <c r="M73" s="314"/>
      <c r="N73" s="314"/>
      <c r="O73" s="314"/>
      <c r="P73" s="314"/>
      <c r="Q73" s="314"/>
      <c r="R73" s="314"/>
      <c r="S73" s="314"/>
      <c r="T73" s="314"/>
      <c r="U73" s="314"/>
      <c r="V73" s="314"/>
      <c r="W73" s="314"/>
      <c r="X73" s="314"/>
      <c r="Y73" s="314"/>
      <c r="Z73" s="314"/>
      <c r="AA73" s="314"/>
      <c r="AB73" s="314"/>
      <c r="AC73" s="314"/>
      <c r="AD73" s="314"/>
      <c r="AE73" s="314"/>
    </row>
    <row r="74" spans="1:32" s="252" customFormat="1">
      <c r="A74" s="183"/>
      <c r="B74" s="183"/>
      <c r="C74" s="364"/>
      <c r="D74" s="365"/>
      <c r="E74" s="184"/>
      <c r="F74" s="184"/>
      <c r="G74" s="184"/>
      <c r="H74" s="184"/>
      <c r="I74" s="183"/>
      <c r="J74" s="184"/>
      <c r="K74" s="664"/>
      <c r="L74" s="366"/>
      <c r="M74" s="366"/>
      <c r="N74" s="366"/>
      <c r="O74" s="366"/>
      <c r="P74" s="366"/>
      <c r="Q74" s="366"/>
      <c r="R74" s="366"/>
      <c r="S74" s="366"/>
      <c r="T74" s="366"/>
      <c r="U74" s="366"/>
      <c r="V74" s="366"/>
      <c r="W74" s="366"/>
      <c r="X74" s="366"/>
      <c r="Y74" s="366"/>
      <c r="Z74" s="366"/>
      <c r="AA74" s="366"/>
      <c r="AB74" s="366"/>
      <c r="AC74" s="366"/>
      <c r="AD74" s="366"/>
      <c r="AE74" s="366"/>
    </row>
    <row r="75" spans="1:32">
      <c r="A75" s="41" t="s">
        <v>13</v>
      </c>
      <c r="B75" s="41"/>
      <c r="C75" s="105"/>
      <c r="D75" s="106"/>
      <c r="E75" s="37"/>
      <c r="F75" s="37"/>
      <c r="G75" s="37"/>
      <c r="H75" s="37"/>
      <c r="I75" s="41"/>
      <c r="J75" s="37"/>
      <c r="K75" s="683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</row>
    <row r="76" spans="1:32">
      <c r="A76" s="96" t="s">
        <v>418</v>
      </c>
      <c r="B76" s="735" t="s">
        <v>12</v>
      </c>
      <c r="C76" s="663">
        <v>75000</v>
      </c>
      <c r="D76" s="736">
        <f t="shared" ref="D76:D77" si="0">C76/2080</f>
        <v>36.057692307692307</v>
      </c>
      <c r="E76" s="663">
        <v>0</v>
      </c>
      <c r="F76" s="663">
        <f>(C76*$F$13)</f>
        <v>30000</v>
      </c>
      <c r="G76" s="663">
        <f>SUM(C76,E76:F76)</f>
        <v>105000</v>
      </c>
      <c r="H76" s="663"/>
      <c r="I76" s="736"/>
      <c r="J76" s="663"/>
      <c r="K76" s="683">
        <v>0</v>
      </c>
      <c r="L76" s="665">
        <v>0</v>
      </c>
      <c r="M76" s="666">
        <f>G76</f>
        <v>105000</v>
      </c>
      <c r="N76" s="666">
        <f>($G$76*L11)</f>
        <v>107100</v>
      </c>
      <c r="O76" s="666">
        <f t="shared" ref="O76:AE76" si="1">($G$76*M11)</f>
        <v>109242</v>
      </c>
      <c r="P76" s="666">
        <f t="shared" si="1"/>
        <v>111426.84</v>
      </c>
      <c r="Q76" s="666">
        <f t="shared" si="1"/>
        <v>113655.3768</v>
      </c>
      <c r="R76" s="666">
        <f t="shared" si="1"/>
        <v>115928.48433600001</v>
      </c>
      <c r="S76" s="666">
        <f t="shared" si="1"/>
        <v>118247.05402272001</v>
      </c>
      <c r="T76" s="666">
        <f t="shared" si="1"/>
        <v>120611.9951031744</v>
      </c>
      <c r="U76" s="666">
        <f t="shared" si="1"/>
        <v>123024.2350052379</v>
      </c>
      <c r="V76" s="666">
        <f t="shared" si="1"/>
        <v>125484.71970534266</v>
      </c>
      <c r="W76" s="666">
        <f t="shared" si="1"/>
        <v>127994.41409944952</v>
      </c>
      <c r="X76" s="666">
        <f t="shared" si="1"/>
        <v>130554.30238143851</v>
      </c>
      <c r="Y76" s="666">
        <f t="shared" si="1"/>
        <v>133165.38842906727</v>
      </c>
      <c r="Z76" s="666">
        <f t="shared" si="1"/>
        <v>135828.69619764862</v>
      </c>
      <c r="AA76" s="666">
        <f t="shared" si="1"/>
        <v>138545.27012160158</v>
      </c>
      <c r="AB76" s="666">
        <f t="shared" si="1"/>
        <v>141316.17552403364</v>
      </c>
      <c r="AC76" s="666">
        <f t="shared" si="1"/>
        <v>144142.4990345143</v>
      </c>
      <c r="AD76" s="666">
        <f t="shared" si="1"/>
        <v>147025.34901520461</v>
      </c>
      <c r="AE76" s="666">
        <f t="shared" si="1"/>
        <v>149965.8559955087</v>
      </c>
    </row>
    <row r="77" spans="1:32">
      <c r="A77" s="737" t="s">
        <v>417</v>
      </c>
      <c r="B77" s="738" t="s">
        <v>12</v>
      </c>
      <c r="C77" s="739">
        <v>35000</v>
      </c>
      <c r="D77" s="740">
        <f t="shared" si="0"/>
        <v>16.826923076923077</v>
      </c>
      <c r="E77" s="739">
        <v>0</v>
      </c>
      <c r="F77" s="739">
        <f t="shared" ref="F77" si="2">(C77*$F$13)</f>
        <v>14000</v>
      </c>
      <c r="G77" s="739">
        <f t="shared" ref="G77" si="3">SUM(C77,E77:F77)</f>
        <v>49000</v>
      </c>
      <c r="H77" s="739"/>
      <c r="I77" s="740"/>
      <c r="J77" s="739"/>
      <c r="K77" s="741">
        <v>0</v>
      </c>
      <c r="L77" s="742">
        <f>G77*0.25</f>
        <v>12250</v>
      </c>
      <c r="M77" s="742">
        <f>G77*0.5</f>
        <v>24500</v>
      </c>
      <c r="N77" s="742">
        <f>($G$77*0.5*L11)</f>
        <v>24990</v>
      </c>
      <c r="O77" s="742">
        <f t="shared" ref="O77:AE77" si="4">($G$77*0.5*M11)</f>
        <v>25489.8</v>
      </c>
      <c r="P77" s="742">
        <f t="shared" si="4"/>
        <v>25999.595999999998</v>
      </c>
      <c r="Q77" s="742">
        <f t="shared" si="4"/>
        <v>26519.587919999998</v>
      </c>
      <c r="R77" s="742">
        <f t="shared" si="4"/>
        <v>27049.979678399999</v>
      </c>
      <c r="S77" s="742">
        <f t="shared" si="4"/>
        <v>27590.979271968001</v>
      </c>
      <c r="T77" s="742">
        <f t="shared" si="4"/>
        <v>28142.798857407361</v>
      </c>
      <c r="U77" s="742">
        <f t="shared" si="4"/>
        <v>28705.654834555509</v>
      </c>
      <c r="V77" s="742">
        <f t="shared" si="4"/>
        <v>29279.767931246621</v>
      </c>
      <c r="W77" s="742">
        <f t="shared" si="4"/>
        <v>29865.363289871555</v>
      </c>
      <c r="X77" s="742">
        <f t="shared" si="4"/>
        <v>30462.670555668985</v>
      </c>
      <c r="Y77" s="742">
        <f t="shared" si="4"/>
        <v>31071.923966782364</v>
      </c>
      <c r="Z77" s="742">
        <f t="shared" si="4"/>
        <v>31693.362446118008</v>
      </c>
      <c r="AA77" s="742">
        <f t="shared" si="4"/>
        <v>32327.229695040372</v>
      </c>
      <c r="AB77" s="742">
        <f t="shared" si="4"/>
        <v>32973.774288941182</v>
      </c>
      <c r="AC77" s="742">
        <f t="shared" si="4"/>
        <v>33633.249774720003</v>
      </c>
      <c r="AD77" s="742">
        <f t="shared" si="4"/>
        <v>34305.914770214411</v>
      </c>
      <c r="AE77" s="742">
        <f t="shared" si="4"/>
        <v>34992.0330656187</v>
      </c>
    </row>
    <row r="78" spans="1:32" s="56" customFormat="1" ht="14.25">
      <c r="A78" s="164" t="s">
        <v>416</v>
      </c>
      <c r="B78" s="164"/>
      <c r="C78" s="667">
        <f>SUM(C76:C77)</f>
        <v>110000</v>
      </c>
      <c r="D78" s="667"/>
      <c r="E78" s="667">
        <f>SUM(E76:E77)</f>
        <v>0</v>
      </c>
      <c r="F78" s="667">
        <f>SUM(F76:F77)</f>
        <v>44000</v>
      </c>
      <c r="G78" s="667">
        <f>SUM(G76:G77)</f>
        <v>154000</v>
      </c>
      <c r="H78" s="667"/>
      <c r="I78" s="668"/>
      <c r="J78" s="667"/>
      <c r="K78" s="685">
        <f>SUMIF($B76:$B77,"FT",K76:K77)</f>
        <v>0</v>
      </c>
      <c r="L78" s="669">
        <f t="shared" ref="L78:AE78" si="5">SUM(L76:L77)</f>
        <v>12250</v>
      </c>
      <c r="M78" s="669">
        <f t="shared" si="5"/>
        <v>129500</v>
      </c>
      <c r="N78" s="669">
        <f t="shared" si="5"/>
        <v>132090</v>
      </c>
      <c r="O78" s="669">
        <f t="shared" si="5"/>
        <v>134731.79999999999</v>
      </c>
      <c r="P78" s="669">
        <f t="shared" si="5"/>
        <v>137426.43599999999</v>
      </c>
      <c r="Q78" s="669">
        <f t="shared" si="5"/>
        <v>140174.96471999999</v>
      </c>
      <c r="R78" s="669">
        <f t="shared" si="5"/>
        <v>142978.4640144</v>
      </c>
      <c r="S78" s="669">
        <f t="shared" si="5"/>
        <v>145838.03329468801</v>
      </c>
      <c r="T78" s="669">
        <f t="shared" si="5"/>
        <v>148754.79396058177</v>
      </c>
      <c r="U78" s="669">
        <f t="shared" si="5"/>
        <v>151729.88983979341</v>
      </c>
      <c r="V78" s="669">
        <f t="shared" si="5"/>
        <v>154764.48763658927</v>
      </c>
      <c r="W78" s="669">
        <f t="shared" si="5"/>
        <v>157859.77738932107</v>
      </c>
      <c r="X78" s="669">
        <f t="shared" si="5"/>
        <v>161016.97293710749</v>
      </c>
      <c r="Y78" s="669">
        <f t="shared" si="5"/>
        <v>164237.31239584964</v>
      </c>
      <c r="Z78" s="669">
        <f t="shared" si="5"/>
        <v>167522.05864376662</v>
      </c>
      <c r="AA78" s="669">
        <f t="shared" si="5"/>
        <v>170872.49981664197</v>
      </c>
      <c r="AB78" s="669">
        <f t="shared" si="5"/>
        <v>174289.94981297481</v>
      </c>
      <c r="AC78" s="669">
        <f t="shared" si="5"/>
        <v>177775.7488092343</v>
      </c>
      <c r="AD78" s="669">
        <f t="shared" si="5"/>
        <v>181331.26378541903</v>
      </c>
      <c r="AE78" s="669">
        <f t="shared" si="5"/>
        <v>184957.88906112738</v>
      </c>
    </row>
    <row r="79" spans="1:32" s="56" customFormat="1" ht="14.25">
      <c r="A79" s="164"/>
      <c r="B79" s="164"/>
      <c r="C79" s="667"/>
      <c r="D79" s="667"/>
      <c r="E79" s="667"/>
      <c r="F79" s="667"/>
      <c r="G79" s="667"/>
      <c r="H79" s="667"/>
      <c r="I79" s="668"/>
      <c r="J79" s="667"/>
      <c r="K79" s="685"/>
      <c r="L79" s="669"/>
      <c r="M79" s="669"/>
      <c r="N79" s="669"/>
      <c r="O79" s="669"/>
      <c r="P79" s="669"/>
      <c r="Q79" s="669"/>
      <c r="R79" s="669"/>
      <c r="S79" s="669"/>
      <c r="T79" s="669"/>
      <c r="U79" s="669"/>
      <c r="V79" s="669"/>
      <c r="W79" s="669"/>
      <c r="X79" s="669"/>
      <c r="Y79" s="669"/>
      <c r="Z79" s="669"/>
      <c r="AA79" s="669"/>
      <c r="AB79" s="669"/>
      <c r="AC79" s="669"/>
      <c r="AD79" s="669"/>
      <c r="AE79" s="669"/>
    </row>
    <row r="80" spans="1:32">
      <c r="A80" s="37" t="s">
        <v>411</v>
      </c>
      <c r="B80" s="37"/>
      <c r="C80" s="57"/>
      <c r="E80" s="57"/>
      <c r="F80" s="57"/>
      <c r="G80" s="57"/>
      <c r="H80" s="57"/>
      <c r="I80" s="43"/>
      <c r="J80" s="42"/>
      <c r="K80" s="743">
        <f t="shared" ref="K80:AE80" si="6">COUNTIF(K76:K77,"&gt;100")</f>
        <v>0</v>
      </c>
      <c r="L80" s="496">
        <f t="shared" si="6"/>
        <v>1</v>
      </c>
      <c r="M80" s="496">
        <f t="shared" si="6"/>
        <v>2</v>
      </c>
      <c r="N80" s="496">
        <f t="shared" si="6"/>
        <v>2</v>
      </c>
      <c r="O80" s="496">
        <f t="shared" si="6"/>
        <v>2</v>
      </c>
      <c r="P80" s="496">
        <f t="shared" si="6"/>
        <v>2</v>
      </c>
      <c r="Q80" s="496">
        <f t="shared" si="6"/>
        <v>2</v>
      </c>
      <c r="R80" s="496">
        <f t="shared" si="6"/>
        <v>2</v>
      </c>
      <c r="S80" s="496">
        <f t="shared" si="6"/>
        <v>2</v>
      </c>
      <c r="T80" s="496">
        <f t="shared" si="6"/>
        <v>2</v>
      </c>
      <c r="U80" s="496">
        <f t="shared" si="6"/>
        <v>2</v>
      </c>
      <c r="V80" s="496">
        <f t="shared" si="6"/>
        <v>2</v>
      </c>
      <c r="W80" s="496">
        <f t="shared" si="6"/>
        <v>2</v>
      </c>
      <c r="X80" s="496">
        <f t="shared" si="6"/>
        <v>2</v>
      </c>
      <c r="Y80" s="496">
        <f t="shared" si="6"/>
        <v>2</v>
      </c>
      <c r="Z80" s="496">
        <f t="shared" si="6"/>
        <v>2</v>
      </c>
      <c r="AA80" s="496">
        <f t="shared" si="6"/>
        <v>2</v>
      </c>
      <c r="AB80" s="496">
        <f t="shared" si="6"/>
        <v>2</v>
      </c>
      <c r="AC80" s="496">
        <f t="shared" si="6"/>
        <v>2</v>
      </c>
      <c r="AD80" s="496">
        <f t="shared" si="6"/>
        <v>2</v>
      </c>
      <c r="AE80" s="496">
        <f t="shared" si="6"/>
        <v>2</v>
      </c>
      <c r="AF80" s="744"/>
    </row>
    <row r="81" spans="1:35">
      <c r="A81" s="745" t="s">
        <v>412</v>
      </c>
      <c r="B81" s="745"/>
      <c r="C81" s="746"/>
      <c r="D81" s="116"/>
      <c r="E81" s="746"/>
      <c r="F81" s="746"/>
      <c r="G81" s="746"/>
      <c r="H81" s="746"/>
      <c r="I81" s="747"/>
      <c r="J81" s="748"/>
      <c r="K81" s="749">
        <f t="shared" ref="K81" si="7">K82-K80</f>
        <v>0</v>
      </c>
      <c r="L81" s="750">
        <v>0</v>
      </c>
      <c r="M81" s="750">
        <v>0</v>
      </c>
      <c r="N81" s="750">
        <v>0</v>
      </c>
      <c r="O81" s="750">
        <v>0</v>
      </c>
      <c r="P81" s="750">
        <v>0</v>
      </c>
      <c r="Q81" s="750">
        <v>0</v>
      </c>
      <c r="R81" s="750">
        <v>0</v>
      </c>
      <c r="S81" s="750">
        <v>0</v>
      </c>
      <c r="T81" s="750">
        <v>0</v>
      </c>
      <c r="U81" s="750">
        <v>0</v>
      </c>
      <c r="V81" s="750">
        <v>0</v>
      </c>
      <c r="W81" s="750">
        <v>0</v>
      </c>
      <c r="X81" s="750">
        <v>0</v>
      </c>
      <c r="Y81" s="750">
        <v>0</v>
      </c>
      <c r="Z81" s="750">
        <v>0</v>
      </c>
      <c r="AA81" s="750">
        <v>0</v>
      </c>
      <c r="AB81" s="750">
        <v>0</v>
      </c>
      <c r="AC81" s="750">
        <v>0</v>
      </c>
      <c r="AD81" s="750">
        <v>0</v>
      </c>
      <c r="AE81" s="750">
        <v>0</v>
      </c>
    </row>
    <row r="82" spans="1:35" s="56" customFormat="1" ht="14.25">
      <c r="A82" s="164" t="s">
        <v>413</v>
      </c>
      <c r="B82" s="164"/>
      <c r="C82" s="75"/>
      <c r="D82" s="173"/>
      <c r="E82" s="75"/>
      <c r="F82" s="75"/>
      <c r="G82" s="75"/>
      <c r="H82" s="75"/>
      <c r="I82" s="174"/>
      <c r="J82" s="181"/>
      <c r="K82" s="751">
        <f>COUNTIF(K76:K77,"&gt;0")</f>
        <v>0</v>
      </c>
      <c r="L82" s="752">
        <f>SUM(L80:L81)</f>
        <v>1</v>
      </c>
      <c r="M82" s="752">
        <f t="shared" ref="M82:AE82" si="8">SUM(M80:M81)</f>
        <v>2</v>
      </c>
      <c r="N82" s="752">
        <f t="shared" si="8"/>
        <v>2</v>
      </c>
      <c r="O82" s="752">
        <f t="shared" si="8"/>
        <v>2</v>
      </c>
      <c r="P82" s="752">
        <f t="shared" si="8"/>
        <v>2</v>
      </c>
      <c r="Q82" s="752">
        <f t="shared" si="8"/>
        <v>2</v>
      </c>
      <c r="R82" s="752">
        <f t="shared" si="8"/>
        <v>2</v>
      </c>
      <c r="S82" s="752">
        <f t="shared" si="8"/>
        <v>2</v>
      </c>
      <c r="T82" s="752">
        <f t="shared" si="8"/>
        <v>2</v>
      </c>
      <c r="U82" s="752">
        <f t="shared" si="8"/>
        <v>2</v>
      </c>
      <c r="V82" s="752">
        <f t="shared" si="8"/>
        <v>2</v>
      </c>
      <c r="W82" s="752">
        <f t="shared" si="8"/>
        <v>2</v>
      </c>
      <c r="X82" s="752">
        <f t="shared" si="8"/>
        <v>2</v>
      </c>
      <c r="Y82" s="752">
        <f t="shared" si="8"/>
        <v>2</v>
      </c>
      <c r="Z82" s="752">
        <f t="shared" si="8"/>
        <v>2</v>
      </c>
      <c r="AA82" s="752">
        <f t="shared" si="8"/>
        <v>2</v>
      </c>
      <c r="AB82" s="752">
        <f t="shared" si="8"/>
        <v>2</v>
      </c>
      <c r="AC82" s="752">
        <f t="shared" si="8"/>
        <v>2</v>
      </c>
      <c r="AD82" s="752">
        <f t="shared" si="8"/>
        <v>2</v>
      </c>
      <c r="AE82" s="752">
        <f t="shared" si="8"/>
        <v>2</v>
      </c>
    </row>
    <row r="83" spans="1:35" s="56" customFormat="1" ht="14.25">
      <c r="A83" s="164"/>
      <c r="B83" s="164"/>
      <c r="C83" s="75"/>
      <c r="D83" s="173"/>
      <c r="E83" s="75"/>
      <c r="F83" s="75"/>
      <c r="G83" s="75"/>
      <c r="H83" s="75"/>
      <c r="I83" s="174"/>
      <c r="J83" s="181"/>
      <c r="K83" s="685"/>
      <c r="L83" s="315"/>
      <c r="M83" s="315"/>
      <c r="N83" s="315"/>
      <c r="O83" s="315"/>
      <c r="P83" s="315"/>
      <c r="Q83" s="315"/>
      <c r="R83" s="315"/>
      <c r="S83" s="315"/>
      <c r="T83" s="315"/>
      <c r="U83" s="315"/>
      <c r="V83" s="315"/>
      <c r="W83" s="315"/>
      <c r="X83" s="315"/>
      <c r="Y83" s="315"/>
      <c r="Z83" s="315"/>
      <c r="AA83" s="315"/>
      <c r="AB83" s="315"/>
      <c r="AC83" s="315"/>
      <c r="AD83" s="315"/>
      <c r="AE83" s="315"/>
    </row>
    <row r="84" spans="1:35">
      <c r="A84" s="48" t="s">
        <v>68</v>
      </c>
      <c r="B84" s="48"/>
      <c r="C84" s="77"/>
      <c r="D84" s="76"/>
      <c r="E84" s="57"/>
      <c r="F84" s="57"/>
      <c r="G84" s="77"/>
      <c r="H84" s="77"/>
      <c r="I84" s="50"/>
      <c r="J84" s="49"/>
      <c r="K84" s="683"/>
      <c r="L84" s="316"/>
      <c r="M84" s="316"/>
      <c r="N84" s="316"/>
      <c r="O84" s="316"/>
      <c r="P84" s="316"/>
      <c r="Q84" s="316"/>
      <c r="R84" s="316"/>
      <c r="S84" s="316"/>
      <c r="T84" s="316"/>
      <c r="U84" s="316"/>
      <c r="V84" s="316"/>
      <c r="W84" s="316"/>
      <c r="X84" s="316"/>
      <c r="Y84" s="316"/>
      <c r="Z84" s="316"/>
      <c r="AA84" s="316"/>
      <c r="AB84" s="316"/>
      <c r="AC84" s="316"/>
      <c r="AD84" s="316"/>
      <c r="AE84" s="316"/>
    </row>
    <row r="85" spans="1:35" s="68" customFormat="1" ht="14.25">
      <c r="A85" s="214" t="s">
        <v>80</v>
      </c>
      <c r="B85" s="189"/>
      <c r="C85" s="209"/>
      <c r="D85" s="210"/>
      <c r="E85" s="211"/>
      <c r="F85" s="211"/>
      <c r="G85" s="209"/>
      <c r="H85" s="209"/>
      <c r="I85" s="213"/>
      <c r="J85" s="212"/>
      <c r="K85" s="686"/>
      <c r="L85" s="317"/>
      <c r="M85" s="317"/>
      <c r="N85" s="317"/>
      <c r="O85" s="317"/>
      <c r="P85" s="317"/>
      <c r="Q85" s="317"/>
      <c r="R85" s="317"/>
      <c r="S85" s="317"/>
      <c r="T85" s="317"/>
      <c r="U85" s="317"/>
      <c r="V85" s="317"/>
      <c r="W85" s="317"/>
      <c r="X85" s="317"/>
      <c r="Y85" s="317"/>
      <c r="Z85" s="317"/>
      <c r="AA85" s="317"/>
      <c r="AB85" s="317"/>
      <c r="AC85" s="317"/>
      <c r="AD85" s="317"/>
      <c r="AE85" s="317"/>
    </row>
    <row r="86" spans="1:35">
      <c r="A86" s="37" t="s">
        <v>41</v>
      </c>
      <c r="B86" s="37"/>
      <c r="C86" s="110"/>
      <c r="D86" s="106"/>
      <c r="E86" s="57"/>
      <c r="F86" s="57"/>
      <c r="G86" s="57"/>
      <c r="H86" s="57"/>
      <c r="I86" s="51"/>
      <c r="J86" s="663"/>
      <c r="K86" s="683">
        <f>K$82*$J86*R$9</f>
        <v>0</v>
      </c>
      <c r="L86" s="666">
        <v>25000</v>
      </c>
      <c r="M86" s="666">
        <v>1000</v>
      </c>
      <c r="N86" s="666">
        <f>$M$86*L11</f>
        <v>1020</v>
      </c>
      <c r="O86" s="666">
        <f t="shared" ref="O86:AE86" si="9">$M$86*M11</f>
        <v>1040.4000000000001</v>
      </c>
      <c r="P86" s="666">
        <f t="shared" si="9"/>
        <v>1061.2079999999999</v>
      </c>
      <c r="Q86" s="666">
        <f t="shared" si="9"/>
        <v>1082.4321600000001</v>
      </c>
      <c r="R86" s="666">
        <f t="shared" si="9"/>
        <v>1104.0808032</v>
      </c>
      <c r="S86" s="666">
        <f t="shared" si="9"/>
        <v>1126.1624192640002</v>
      </c>
      <c r="T86" s="666">
        <f t="shared" si="9"/>
        <v>1148.68566764928</v>
      </c>
      <c r="U86" s="666">
        <f t="shared" si="9"/>
        <v>1171.6593810022657</v>
      </c>
      <c r="V86" s="666">
        <v>25000</v>
      </c>
      <c r="W86" s="666">
        <f t="shared" si="9"/>
        <v>1218.9944199947574</v>
      </c>
      <c r="X86" s="666">
        <f t="shared" si="9"/>
        <v>1243.3743083946524</v>
      </c>
      <c r="Y86" s="666">
        <f t="shared" si="9"/>
        <v>1268.2417945625455</v>
      </c>
      <c r="Z86" s="666">
        <f t="shared" si="9"/>
        <v>1293.6066304537962</v>
      </c>
      <c r="AA86" s="666">
        <f t="shared" si="9"/>
        <v>1319.4787630628723</v>
      </c>
      <c r="AB86" s="666">
        <f t="shared" si="9"/>
        <v>1345.8683383241298</v>
      </c>
      <c r="AC86" s="666">
        <f t="shared" si="9"/>
        <v>1372.7857050906125</v>
      </c>
      <c r="AD86" s="666">
        <f t="shared" si="9"/>
        <v>1400.2414191924249</v>
      </c>
      <c r="AE86" s="666">
        <f t="shared" si="9"/>
        <v>1428.2462475762734</v>
      </c>
    </row>
    <row r="87" spans="1:35">
      <c r="A87" s="37" t="s">
        <v>424</v>
      </c>
      <c r="B87" s="37"/>
      <c r="C87" s="110"/>
      <c r="D87" s="106"/>
      <c r="E87" s="57"/>
      <c r="F87" s="57"/>
      <c r="G87" s="57"/>
      <c r="H87" s="57"/>
      <c r="I87" s="51"/>
      <c r="J87" s="663"/>
      <c r="K87" s="683">
        <f>K$82*$J87*R$9</f>
        <v>0</v>
      </c>
      <c r="L87" s="666">
        <v>10000</v>
      </c>
      <c r="M87" s="666">
        <v>500</v>
      </c>
      <c r="N87" s="666">
        <f>$M$87*M11</f>
        <v>520.20000000000005</v>
      </c>
      <c r="O87" s="666">
        <f>$M$87*N11</f>
        <v>530.60399999999993</v>
      </c>
      <c r="P87" s="666">
        <f>$M$87*O11</f>
        <v>541.21608000000003</v>
      </c>
      <c r="Q87" s="666">
        <v>5000</v>
      </c>
      <c r="R87" s="666">
        <f>$M$87*Q11</f>
        <v>563.08120963200008</v>
      </c>
      <c r="S87" s="666">
        <f>$M$87*R11</f>
        <v>574.34283382464002</v>
      </c>
      <c r="T87" s="666">
        <f>$M$87*S11</f>
        <v>585.82969050113286</v>
      </c>
      <c r="U87" s="666">
        <f>$M$87*T11</f>
        <v>597.54628431115555</v>
      </c>
      <c r="V87" s="666">
        <v>5000</v>
      </c>
      <c r="W87" s="666">
        <f>$M$87*V11</f>
        <v>621.68715419732621</v>
      </c>
      <c r="X87" s="666">
        <f>$M$87*W11</f>
        <v>634.12089728127273</v>
      </c>
      <c r="Y87" s="666">
        <f>$M$87*X11</f>
        <v>646.80331522689812</v>
      </c>
      <c r="Z87" s="666">
        <f>$M$87*Y11</f>
        <v>659.73938153143615</v>
      </c>
      <c r="AA87" s="666">
        <v>5000</v>
      </c>
      <c r="AB87" s="666">
        <f>$M$87*AA11</f>
        <v>686.39285254530625</v>
      </c>
      <c r="AC87" s="666">
        <f>$M$87*AB11</f>
        <v>700.12070959621246</v>
      </c>
      <c r="AD87" s="666">
        <f>$M$87*AC11</f>
        <v>714.1231237881367</v>
      </c>
      <c r="AE87" s="666">
        <f>$M$87*AD11</f>
        <v>728.40558626389941</v>
      </c>
    </row>
    <row r="88" spans="1:35">
      <c r="A88" s="37" t="s">
        <v>42</v>
      </c>
      <c r="B88" s="37"/>
      <c r="C88" s="110"/>
      <c r="D88" s="106"/>
      <c r="E88" s="57"/>
      <c r="F88" s="57"/>
      <c r="G88" s="57"/>
      <c r="H88" s="57"/>
      <c r="I88" s="51"/>
      <c r="J88" s="663"/>
      <c r="K88" s="683">
        <f>K$82*$J88*R$9</f>
        <v>0</v>
      </c>
      <c r="L88" s="666">
        <v>50000</v>
      </c>
      <c r="M88" s="666">
        <f t="shared" ref="M88:AE88" si="10">($L$88*L11)</f>
        <v>51000</v>
      </c>
      <c r="N88" s="666">
        <f t="shared" si="10"/>
        <v>52020</v>
      </c>
      <c r="O88" s="666">
        <f t="shared" si="10"/>
        <v>53060.399999999994</v>
      </c>
      <c r="P88" s="666">
        <f t="shared" si="10"/>
        <v>54121.608</v>
      </c>
      <c r="Q88" s="666">
        <f t="shared" si="10"/>
        <v>55204.040160000004</v>
      </c>
      <c r="R88" s="666">
        <f t="shared" si="10"/>
        <v>56308.120963200003</v>
      </c>
      <c r="S88" s="666">
        <f t="shared" si="10"/>
        <v>57434.283382464004</v>
      </c>
      <c r="T88" s="666">
        <f t="shared" si="10"/>
        <v>58582.969050113286</v>
      </c>
      <c r="U88" s="666">
        <f t="shared" si="10"/>
        <v>59754.628431115554</v>
      </c>
      <c r="V88" s="666">
        <f t="shared" si="10"/>
        <v>60949.720999737867</v>
      </c>
      <c r="W88" s="666">
        <f t="shared" si="10"/>
        <v>62168.715419732624</v>
      </c>
      <c r="X88" s="666">
        <f t="shared" si="10"/>
        <v>63412.089728127277</v>
      </c>
      <c r="Y88" s="666">
        <f t="shared" si="10"/>
        <v>64680.331522689812</v>
      </c>
      <c r="Z88" s="666">
        <f t="shared" si="10"/>
        <v>65973.938153143623</v>
      </c>
      <c r="AA88" s="666">
        <f t="shared" si="10"/>
        <v>67293.416916206494</v>
      </c>
      <c r="AB88" s="666">
        <f t="shared" si="10"/>
        <v>68639.285254530623</v>
      </c>
      <c r="AC88" s="666">
        <f t="shared" si="10"/>
        <v>70012.07095962124</v>
      </c>
      <c r="AD88" s="666">
        <f t="shared" si="10"/>
        <v>71412.312378813673</v>
      </c>
      <c r="AE88" s="666">
        <f t="shared" si="10"/>
        <v>72840.558626389946</v>
      </c>
    </row>
    <row r="89" spans="1:35">
      <c r="A89" s="37" t="s">
        <v>43</v>
      </c>
      <c r="B89" s="37"/>
      <c r="C89" s="110"/>
      <c r="D89" s="106"/>
      <c r="E89" s="57"/>
      <c r="F89" s="57"/>
      <c r="G89" s="57"/>
      <c r="H89" s="57"/>
      <c r="I89" s="51" t="s">
        <v>8</v>
      </c>
      <c r="J89" s="663">
        <v>500</v>
      </c>
      <c r="K89" s="683">
        <v>0</v>
      </c>
      <c r="L89" s="666">
        <f>J89*L82</f>
        <v>500</v>
      </c>
      <c r="M89" s="666">
        <f t="shared" ref="M89:AE89" si="11">$J$89*M82*L11</f>
        <v>1020</v>
      </c>
      <c r="N89" s="666">
        <f t="shared" si="11"/>
        <v>1040.4000000000001</v>
      </c>
      <c r="O89" s="666">
        <f t="shared" si="11"/>
        <v>1061.2079999999999</v>
      </c>
      <c r="P89" s="666">
        <f t="shared" si="11"/>
        <v>1082.4321600000001</v>
      </c>
      <c r="Q89" s="666">
        <f t="shared" si="11"/>
        <v>1104.0808032</v>
      </c>
      <c r="R89" s="666">
        <f t="shared" si="11"/>
        <v>1126.1624192640002</v>
      </c>
      <c r="S89" s="666">
        <f t="shared" si="11"/>
        <v>1148.68566764928</v>
      </c>
      <c r="T89" s="666">
        <f t="shared" si="11"/>
        <v>1171.6593810022657</v>
      </c>
      <c r="U89" s="666">
        <f t="shared" si="11"/>
        <v>1195.0925686223111</v>
      </c>
      <c r="V89" s="666">
        <f t="shared" si="11"/>
        <v>1218.9944199947574</v>
      </c>
      <c r="W89" s="666">
        <f t="shared" si="11"/>
        <v>1243.3743083946524</v>
      </c>
      <c r="X89" s="666">
        <f t="shared" si="11"/>
        <v>1268.2417945625455</v>
      </c>
      <c r="Y89" s="666">
        <f t="shared" si="11"/>
        <v>1293.6066304537962</v>
      </c>
      <c r="Z89" s="666">
        <f t="shared" si="11"/>
        <v>1319.4787630628723</v>
      </c>
      <c r="AA89" s="666">
        <f t="shared" si="11"/>
        <v>1345.8683383241298</v>
      </c>
      <c r="AB89" s="666">
        <f t="shared" si="11"/>
        <v>1372.7857050906125</v>
      </c>
      <c r="AC89" s="666">
        <f t="shared" si="11"/>
        <v>1400.2414191924249</v>
      </c>
      <c r="AD89" s="666">
        <f t="shared" si="11"/>
        <v>1428.2462475762734</v>
      </c>
      <c r="AE89" s="666">
        <f t="shared" si="11"/>
        <v>1456.8111725277988</v>
      </c>
    </row>
    <row r="90" spans="1:35">
      <c r="A90" s="37" t="s">
        <v>44</v>
      </c>
      <c r="B90" s="37"/>
      <c r="C90" s="110"/>
      <c r="D90" s="106"/>
      <c r="E90" s="57"/>
      <c r="F90" s="57"/>
      <c r="G90" s="57"/>
      <c r="H90" s="57"/>
      <c r="I90" s="51" t="s">
        <v>8</v>
      </c>
      <c r="J90" s="663">
        <v>250</v>
      </c>
      <c r="K90" s="683">
        <v>0</v>
      </c>
      <c r="L90" s="666">
        <f>J90*L82</f>
        <v>250</v>
      </c>
      <c r="M90" s="666">
        <f t="shared" ref="M90:AE90" si="12">$J$90*M82*L11</f>
        <v>510</v>
      </c>
      <c r="N90" s="666">
        <f t="shared" si="12"/>
        <v>520.20000000000005</v>
      </c>
      <c r="O90" s="666">
        <f t="shared" si="12"/>
        <v>530.60399999999993</v>
      </c>
      <c r="P90" s="666">
        <f t="shared" si="12"/>
        <v>541.21608000000003</v>
      </c>
      <c r="Q90" s="666">
        <f t="shared" si="12"/>
        <v>552.0404016</v>
      </c>
      <c r="R90" s="666">
        <f t="shared" si="12"/>
        <v>563.08120963200008</v>
      </c>
      <c r="S90" s="666">
        <f t="shared" si="12"/>
        <v>574.34283382464002</v>
      </c>
      <c r="T90" s="666">
        <f t="shared" si="12"/>
        <v>585.82969050113286</v>
      </c>
      <c r="U90" s="666">
        <f t="shared" si="12"/>
        <v>597.54628431115555</v>
      </c>
      <c r="V90" s="666">
        <f t="shared" si="12"/>
        <v>609.49720999737872</v>
      </c>
      <c r="W90" s="666">
        <f t="shared" si="12"/>
        <v>621.68715419732621</v>
      </c>
      <c r="X90" s="666">
        <f t="shared" si="12"/>
        <v>634.12089728127273</v>
      </c>
      <c r="Y90" s="666">
        <f t="shared" si="12"/>
        <v>646.80331522689812</v>
      </c>
      <c r="Z90" s="666">
        <f t="shared" si="12"/>
        <v>659.73938153143615</v>
      </c>
      <c r="AA90" s="666">
        <f t="shared" si="12"/>
        <v>672.9341691620649</v>
      </c>
      <c r="AB90" s="666">
        <f t="shared" si="12"/>
        <v>686.39285254530625</v>
      </c>
      <c r="AC90" s="666">
        <f t="shared" si="12"/>
        <v>700.12070959621246</v>
      </c>
      <c r="AD90" s="666">
        <f t="shared" si="12"/>
        <v>714.1231237881367</v>
      </c>
      <c r="AE90" s="666">
        <f t="shared" si="12"/>
        <v>728.40558626389941</v>
      </c>
      <c r="AF90" s="44"/>
    </row>
    <row r="91" spans="1:35">
      <c r="A91" s="745" t="s">
        <v>2</v>
      </c>
      <c r="B91" s="745"/>
      <c r="C91" s="753"/>
      <c r="D91" s="754"/>
      <c r="E91" s="746"/>
      <c r="F91" s="746"/>
      <c r="G91" s="746"/>
      <c r="H91" s="746"/>
      <c r="I91" s="755"/>
      <c r="J91" s="739"/>
      <c r="K91" s="741">
        <v>0</v>
      </c>
      <c r="L91" s="742">
        <v>1000</v>
      </c>
      <c r="M91" s="742">
        <f t="shared" ref="M91:AE91" si="13">($L$91*L11)</f>
        <v>1020</v>
      </c>
      <c r="N91" s="742">
        <f t="shared" si="13"/>
        <v>1040.4000000000001</v>
      </c>
      <c r="O91" s="742">
        <f t="shared" si="13"/>
        <v>1061.2079999999999</v>
      </c>
      <c r="P91" s="742">
        <f t="shared" si="13"/>
        <v>1082.4321600000001</v>
      </c>
      <c r="Q91" s="742">
        <f t="shared" si="13"/>
        <v>1104.0808032</v>
      </c>
      <c r="R91" s="742">
        <f t="shared" si="13"/>
        <v>1126.1624192640002</v>
      </c>
      <c r="S91" s="742">
        <f t="shared" si="13"/>
        <v>1148.68566764928</v>
      </c>
      <c r="T91" s="742">
        <f t="shared" si="13"/>
        <v>1171.6593810022657</v>
      </c>
      <c r="U91" s="742">
        <f t="shared" si="13"/>
        <v>1195.0925686223111</v>
      </c>
      <c r="V91" s="742">
        <f t="shared" si="13"/>
        <v>1218.9944199947574</v>
      </c>
      <c r="W91" s="742">
        <f t="shared" si="13"/>
        <v>1243.3743083946524</v>
      </c>
      <c r="X91" s="742">
        <f t="shared" si="13"/>
        <v>1268.2417945625455</v>
      </c>
      <c r="Y91" s="742">
        <f t="shared" si="13"/>
        <v>1293.6066304537962</v>
      </c>
      <c r="Z91" s="742">
        <f t="shared" si="13"/>
        <v>1319.4787630628723</v>
      </c>
      <c r="AA91" s="742">
        <f t="shared" si="13"/>
        <v>1345.8683383241298</v>
      </c>
      <c r="AB91" s="742">
        <f t="shared" si="13"/>
        <v>1372.7857050906125</v>
      </c>
      <c r="AC91" s="742">
        <f t="shared" si="13"/>
        <v>1400.2414191924249</v>
      </c>
      <c r="AD91" s="742">
        <f t="shared" si="13"/>
        <v>1428.2462475762734</v>
      </c>
      <c r="AE91" s="742">
        <f t="shared" si="13"/>
        <v>1456.8111725277988</v>
      </c>
    </row>
    <row r="92" spans="1:35" s="56" customFormat="1" ht="14.25">
      <c r="A92" s="164" t="s">
        <v>409</v>
      </c>
      <c r="B92" s="215"/>
      <c r="C92" s="216"/>
      <c r="D92" s="217"/>
      <c r="E92" s="218"/>
      <c r="F92" s="218"/>
      <c r="G92" s="218"/>
      <c r="H92" s="218"/>
      <c r="I92" s="219"/>
      <c r="J92" s="756"/>
      <c r="K92" s="687">
        <f>SUM(K86:K91)</f>
        <v>0</v>
      </c>
      <c r="L92" s="757">
        <f>SUM(L86:L91)</f>
        <v>86750</v>
      </c>
      <c r="M92" s="757">
        <f t="shared" ref="M92:AE92" si="14">SUM(M86:M91)</f>
        <v>55050</v>
      </c>
      <c r="N92" s="757">
        <f t="shared" si="14"/>
        <v>56161.2</v>
      </c>
      <c r="O92" s="757">
        <f t="shared" si="14"/>
        <v>57284.423999999992</v>
      </c>
      <c r="P92" s="757">
        <f t="shared" si="14"/>
        <v>58430.112479999989</v>
      </c>
      <c r="Q92" s="757">
        <f t="shared" si="14"/>
        <v>64046.674328000001</v>
      </c>
      <c r="R92" s="757">
        <f t="shared" si="14"/>
        <v>60790.689024192005</v>
      </c>
      <c r="S92" s="757">
        <f t="shared" si="14"/>
        <v>62006.502804675845</v>
      </c>
      <c r="T92" s="757">
        <f t="shared" si="14"/>
        <v>63246.632860769365</v>
      </c>
      <c r="U92" s="757">
        <f t="shared" si="14"/>
        <v>64511.565517984753</v>
      </c>
      <c r="V92" s="757">
        <f t="shared" si="14"/>
        <v>93997.207049724777</v>
      </c>
      <c r="W92" s="757">
        <f t="shared" si="14"/>
        <v>67117.832764911334</v>
      </c>
      <c r="X92" s="757">
        <f t="shared" si="14"/>
        <v>68460.189420209572</v>
      </c>
      <c r="Y92" s="757">
        <f t="shared" si="14"/>
        <v>69829.39320861375</v>
      </c>
      <c r="Z92" s="757">
        <f t="shared" si="14"/>
        <v>71225.981072786046</v>
      </c>
      <c r="AA92" s="757">
        <f t="shared" si="14"/>
        <v>76977.566525079688</v>
      </c>
      <c r="AB92" s="757">
        <f t="shared" si="14"/>
        <v>74103.510708126603</v>
      </c>
      <c r="AC92" s="757">
        <f t="shared" si="14"/>
        <v>75585.580922289111</v>
      </c>
      <c r="AD92" s="757">
        <f t="shared" si="14"/>
        <v>77097.292540734925</v>
      </c>
      <c r="AE92" s="757">
        <f t="shared" si="14"/>
        <v>78639.238391549618</v>
      </c>
    </row>
    <row r="93" spans="1:35" s="56" customFormat="1" ht="14.25">
      <c r="A93" s="164"/>
      <c r="B93" s="215"/>
      <c r="C93" s="216"/>
      <c r="D93" s="217"/>
      <c r="E93" s="218"/>
      <c r="F93" s="218"/>
      <c r="G93" s="218"/>
      <c r="H93" s="218"/>
      <c r="I93" s="219"/>
      <c r="J93" s="220"/>
      <c r="K93" s="687"/>
      <c r="L93" s="318"/>
      <c r="M93" s="318"/>
      <c r="N93" s="318"/>
      <c r="O93" s="318"/>
      <c r="P93" s="318"/>
      <c r="Q93" s="318"/>
      <c r="R93" s="318"/>
      <c r="S93" s="318"/>
      <c r="T93" s="318"/>
      <c r="U93" s="318"/>
      <c r="V93" s="318"/>
      <c r="W93" s="318"/>
      <c r="X93" s="318"/>
      <c r="Y93" s="318"/>
      <c r="Z93" s="318"/>
      <c r="AA93" s="318"/>
      <c r="AB93" s="318"/>
      <c r="AC93" s="318"/>
      <c r="AD93" s="318"/>
      <c r="AE93" s="318"/>
    </row>
    <row r="94" spans="1:35" s="56" customFormat="1" ht="14.25">
      <c r="A94" s="720" t="s">
        <v>26</v>
      </c>
      <c r="B94" s="215"/>
      <c r="C94" s="218"/>
      <c r="D94" s="721"/>
      <c r="E94" s="218"/>
      <c r="F94" s="218"/>
      <c r="G94" s="218"/>
      <c r="H94" s="218"/>
      <c r="I94" s="722"/>
      <c r="J94" s="220"/>
      <c r="K94" s="687"/>
      <c r="L94" s="318"/>
      <c r="M94" s="318"/>
      <c r="N94" s="318"/>
      <c r="O94" s="318"/>
      <c r="P94" s="318"/>
      <c r="Q94" s="318"/>
      <c r="R94" s="318"/>
      <c r="S94" s="318"/>
      <c r="T94" s="318"/>
      <c r="U94" s="318"/>
      <c r="V94" s="318"/>
      <c r="W94" s="318"/>
      <c r="X94" s="318"/>
      <c r="Y94" s="318"/>
      <c r="Z94" s="318"/>
      <c r="AA94" s="318"/>
      <c r="AB94" s="318"/>
      <c r="AC94" s="318"/>
      <c r="AD94" s="318"/>
      <c r="AE94" s="318"/>
      <c r="AF94" s="723"/>
      <c r="AG94" s="723"/>
      <c r="AH94" s="723"/>
      <c r="AI94" s="723"/>
    </row>
    <row r="95" spans="1:35">
      <c r="A95" s="190" t="s">
        <v>41</v>
      </c>
      <c r="B95" s="190"/>
      <c r="C95" s="194"/>
      <c r="D95" s="758"/>
      <c r="E95" s="194"/>
      <c r="F95" s="194"/>
      <c r="G95" s="759"/>
      <c r="H95" s="759"/>
      <c r="I95" s="760"/>
      <c r="J95" s="761"/>
      <c r="K95" s="689">
        <v>0</v>
      </c>
      <c r="L95" s="665">
        <v>1000</v>
      </c>
      <c r="M95" s="665">
        <f>$L$95*L11</f>
        <v>1020</v>
      </c>
      <c r="N95" s="665">
        <f t="shared" ref="N95:P95" si="15">$L$95*M11</f>
        <v>1040.4000000000001</v>
      </c>
      <c r="O95" s="665">
        <f t="shared" si="15"/>
        <v>1061.2079999999999</v>
      </c>
      <c r="P95" s="665">
        <f t="shared" si="15"/>
        <v>1082.4321600000001</v>
      </c>
      <c r="Q95" s="665">
        <v>25000</v>
      </c>
      <c r="R95" s="665">
        <f>$Q$95*L11</f>
        <v>25500</v>
      </c>
      <c r="S95" s="665">
        <f t="shared" ref="S95:AE95" si="16">$Q$95*M11</f>
        <v>26010</v>
      </c>
      <c r="T95" s="665">
        <f t="shared" si="16"/>
        <v>26530.199999999997</v>
      </c>
      <c r="U95" s="665">
        <f t="shared" si="16"/>
        <v>27060.804</v>
      </c>
      <c r="V95" s="665">
        <f t="shared" si="16"/>
        <v>27602.020080000002</v>
      </c>
      <c r="W95" s="665">
        <f t="shared" si="16"/>
        <v>28154.060481600001</v>
      </c>
      <c r="X95" s="665">
        <f t="shared" si="16"/>
        <v>28717.141691232002</v>
      </c>
      <c r="Y95" s="665">
        <f t="shared" si="16"/>
        <v>29291.484525056643</v>
      </c>
      <c r="Z95" s="665">
        <f t="shared" si="16"/>
        <v>29877.314215557777</v>
      </c>
      <c r="AA95" s="665">
        <f t="shared" si="16"/>
        <v>30474.860499868933</v>
      </c>
      <c r="AB95" s="665">
        <f t="shared" si="16"/>
        <v>31084.357709866312</v>
      </c>
      <c r="AC95" s="665">
        <f t="shared" si="16"/>
        <v>31706.044864063639</v>
      </c>
      <c r="AD95" s="665">
        <f t="shared" si="16"/>
        <v>32340.165761344906</v>
      </c>
      <c r="AE95" s="665">
        <f t="shared" si="16"/>
        <v>32986.969076571811</v>
      </c>
      <c r="AF95" s="55"/>
      <c r="AG95" s="55"/>
      <c r="AH95" s="55"/>
      <c r="AI95" s="55"/>
    </row>
    <row r="96" spans="1:35">
      <c r="A96" s="745" t="s">
        <v>302</v>
      </c>
      <c r="B96" s="745"/>
      <c r="C96" s="746"/>
      <c r="D96" s="116"/>
      <c r="E96" s="746"/>
      <c r="F96" s="746"/>
      <c r="G96" s="753"/>
      <c r="H96" s="753"/>
      <c r="I96" s="755"/>
      <c r="J96" s="762"/>
      <c r="K96" s="741">
        <v>0</v>
      </c>
      <c r="L96" s="742">
        <f>'Shuttle Projections'!C28/2</f>
        <v>233675</v>
      </c>
      <c r="M96" s="742">
        <f>'Shuttle Projections'!D28</f>
        <v>476697</v>
      </c>
      <c r="N96" s="742">
        <f>'Shuttle Projections'!E28</f>
        <v>486230.94000000006</v>
      </c>
      <c r="O96" s="742">
        <f>'Shuttle Projections'!F28</f>
        <v>495955.55879999994</v>
      </c>
      <c r="P96" s="742">
        <f>'Shuttle Projections'!G28</f>
        <v>505874.66997599998</v>
      </c>
      <c r="Q96" s="742">
        <f>'Shuttle Projections'!H28</f>
        <v>515992.16337552003</v>
      </c>
      <c r="R96" s="742">
        <f>'Shuttle Projections'!I28</f>
        <v>526312.00664303044</v>
      </c>
      <c r="S96" s="742">
        <f>'Shuttle Projections'!J28</f>
        <v>536838.24677589093</v>
      </c>
      <c r="T96" s="742">
        <f>'Shuttle Projections'!K28</f>
        <v>547575.01171140897</v>
      </c>
      <c r="U96" s="742">
        <f>'Shuttle Projections'!L28</f>
        <v>558526.51194563706</v>
      </c>
      <c r="V96" s="742">
        <f>'Shuttle Projections'!M28</f>
        <v>569697.04218454985</v>
      </c>
      <c r="W96" s="742">
        <f>'Shuttle Projections'!N28</f>
        <v>581090.98302824085</v>
      </c>
      <c r="X96" s="742">
        <f>'Shuttle Projections'!O28</f>
        <v>592712.80268880562</v>
      </c>
      <c r="Y96" s="742">
        <f>'Shuttle Projections'!P28</f>
        <v>604567.05874258175</v>
      </c>
      <c r="Z96" s="742">
        <f>'Shuttle Projections'!Q28</f>
        <v>616658.39991743339</v>
      </c>
      <c r="AA96" s="742">
        <f>'Shuttle Projections'!R28</f>
        <v>628991.5679157821</v>
      </c>
      <c r="AB96" s="742">
        <f>'Shuttle Projections'!S28</f>
        <v>641571.39927409776</v>
      </c>
      <c r="AC96" s="742">
        <f>'Shuttle Projections'!T28</f>
        <v>654402.82725957979</v>
      </c>
      <c r="AD96" s="742">
        <f>'Shuttle Projections'!U28</f>
        <v>667490.88380477135</v>
      </c>
      <c r="AE96" s="742">
        <f>'Shuttle Projections'!V28</f>
        <v>680840.70148086676</v>
      </c>
    </row>
    <row r="97" spans="1:33" s="56" customFormat="1" ht="14.25">
      <c r="A97" s="164" t="s">
        <v>410</v>
      </c>
      <c r="B97" s="164"/>
      <c r="C97" s="75"/>
      <c r="D97" s="173"/>
      <c r="E97" s="75"/>
      <c r="F97" s="75"/>
      <c r="G97" s="75"/>
      <c r="H97" s="75"/>
      <c r="I97" s="174"/>
      <c r="J97" s="175"/>
      <c r="K97" s="685">
        <v>0</v>
      </c>
      <c r="L97" s="669">
        <f>SUM(L95:L96)</f>
        <v>234675</v>
      </c>
      <c r="M97" s="669">
        <f t="shared" ref="M97:AE97" si="17">SUM(M95:M96)</f>
        <v>477717</v>
      </c>
      <c r="N97" s="669">
        <f t="shared" si="17"/>
        <v>487271.34000000008</v>
      </c>
      <c r="O97" s="669">
        <f t="shared" si="17"/>
        <v>497016.76679999992</v>
      </c>
      <c r="P97" s="669">
        <f t="shared" si="17"/>
        <v>506957.102136</v>
      </c>
      <c r="Q97" s="669">
        <f t="shared" si="17"/>
        <v>540992.16337552003</v>
      </c>
      <c r="R97" s="669">
        <f t="shared" si="17"/>
        <v>551812.00664303044</v>
      </c>
      <c r="S97" s="669">
        <f t="shared" si="17"/>
        <v>562848.24677589093</v>
      </c>
      <c r="T97" s="669">
        <f t="shared" si="17"/>
        <v>574105.21171140892</v>
      </c>
      <c r="U97" s="669">
        <f t="shared" si="17"/>
        <v>585587.31594563706</v>
      </c>
      <c r="V97" s="669">
        <f t="shared" si="17"/>
        <v>597299.0622645499</v>
      </c>
      <c r="W97" s="669">
        <f t="shared" si="17"/>
        <v>609245.04350984085</v>
      </c>
      <c r="X97" s="669">
        <f t="shared" si="17"/>
        <v>621429.9443800376</v>
      </c>
      <c r="Y97" s="669">
        <f t="shared" si="17"/>
        <v>633858.54326763842</v>
      </c>
      <c r="Z97" s="669">
        <f t="shared" si="17"/>
        <v>646535.71413299115</v>
      </c>
      <c r="AA97" s="669">
        <f t="shared" si="17"/>
        <v>659466.42841565108</v>
      </c>
      <c r="AB97" s="669">
        <f t="shared" si="17"/>
        <v>672655.75698396412</v>
      </c>
      <c r="AC97" s="669">
        <f t="shared" si="17"/>
        <v>686108.87212364341</v>
      </c>
      <c r="AD97" s="669">
        <f t="shared" si="17"/>
        <v>699831.0495661163</v>
      </c>
      <c r="AE97" s="669">
        <f t="shared" si="17"/>
        <v>713827.67055743863</v>
      </c>
    </row>
    <row r="98" spans="1:33" s="56" customFormat="1" ht="14.25">
      <c r="A98" s="164"/>
      <c r="B98" s="164"/>
      <c r="C98" s="75"/>
      <c r="D98" s="173"/>
      <c r="E98" s="75"/>
      <c r="F98" s="75"/>
      <c r="G98" s="75"/>
      <c r="H98" s="75"/>
      <c r="I98" s="174"/>
      <c r="J98" s="175"/>
      <c r="K98" s="685"/>
      <c r="L98" s="669"/>
      <c r="M98" s="669"/>
      <c r="N98" s="669"/>
      <c r="O98" s="669"/>
      <c r="P98" s="669"/>
      <c r="Q98" s="669"/>
      <c r="R98" s="669"/>
      <c r="S98" s="669"/>
      <c r="T98" s="669"/>
      <c r="U98" s="669"/>
      <c r="V98" s="669"/>
      <c r="W98" s="669"/>
      <c r="X98" s="669"/>
      <c r="Y98" s="669"/>
      <c r="Z98" s="669"/>
      <c r="AA98" s="669"/>
      <c r="AB98" s="669"/>
      <c r="AC98" s="669"/>
      <c r="AD98" s="669"/>
      <c r="AE98" s="669"/>
    </row>
    <row r="99" spans="1:33" s="56" customFormat="1" ht="14.25">
      <c r="A99" s="164" t="s">
        <v>78</v>
      </c>
      <c r="B99" s="164"/>
      <c r="C99" s="75"/>
      <c r="D99" s="173"/>
      <c r="E99" s="75"/>
      <c r="F99" s="75"/>
      <c r="G99" s="75"/>
      <c r="H99" s="75"/>
      <c r="I99" s="174"/>
      <c r="J99" s="175"/>
      <c r="K99" s="685">
        <v>0</v>
      </c>
      <c r="L99" s="669">
        <f>SUM(L92,L97)</f>
        <v>321425</v>
      </c>
      <c r="M99" s="669">
        <f t="shared" ref="M99:AE99" si="18">SUM(M92,M97)</f>
        <v>532767</v>
      </c>
      <c r="N99" s="669">
        <f t="shared" si="18"/>
        <v>543432.54</v>
      </c>
      <c r="O99" s="669">
        <f t="shared" si="18"/>
        <v>554301.19079999987</v>
      </c>
      <c r="P99" s="669">
        <f t="shared" si="18"/>
        <v>565387.21461599995</v>
      </c>
      <c r="Q99" s="669">
        <f t="shared" si="18"/>
        <v>605038.83770352008</v>
      </c>
      <c r="R99" s="669">
        <f t="shared" si="18"/>
        <v>612602.69566722249</v>
      </c>
      <c r="S99" s="669">
        <f t="shared" si="18"/>
        <v>624854.74958056677</v>
      </c>
      <c r="T99" s="669">
        <f t="shared" si="18"/>
        <v>637351.84457217832</v>
      </c>
      <c r="U99" s="669">
        <f t="shared" si="18"/>
        <v>650098.88146362186</v>
      </c>
      <c r="V99" s="669">
        <f t="shared" si="18"/>
        <v>691296.26931427466</v>
      </c>
      <c r="W99" s="669">
        <f t="shared" si="18"/>
        <v>676362.8762747522</v>
      </c>
      <c r="X99" s="669">
        <f t="shared" si="18"/>
        <v>689890.13380024722</v>
      </c>
      <c r="Y99" s="669">
        <f t="shared" si="18"/>
        <v>703687.93647625216</v>
      </c>
      <c r="Z99" s="669">
        <f t="shared" si="18"/>
        <v>717761.69520577719</v>
      </c>
      <c r="AA99" s="669">
        <f t="shared" si="18"/>
        <v>736443.99494073074</v>
      </c>
      <c r="AB99" s="669">
        <f t="shared" si="18"/>
        <v>746759.26769209071</v>
      </c>
      <c r="AC99" s="669">
        <f t="shared" si="18"/>
        <v>761694.45304593258</v>
      </c>
      <c r="AD99" s="669">
        <f t="shared" si="18"/>
        <v>776928.34210685128</v>
      </c>
      <c r="AE99" s="669">
        <f t="shared" si="18"/>
        <v>792466.90894898819</v>
      </c>
    </row>
    <row r="100" spans="1:33">
      <c r="A100" s="47"/>
      <c r="B100" s="47"/>
      <c r="C100" s="78"/>
      <c r="D100" s="100"/>
      <c r="E100" s="78"/>
      <c r="F100" s="78"/>
      <c r="G100" s="78"/>
      <c r="H100" s="78"/>
      <c r="I100" s="52"/>
      <c r="J100" s="114"/>
      <c r="K100" s="683"/>
      <c r="L100" s="115"/>
      <c r="M100" s="115"/>
      <c r="N100" s="115"/>
      <c r="O100" s="115"/>
      <c r="P100" s="115"/>
      <c r="Q100" s="115"/>
      <c r="R100" s="115"/>
      <c r="S100" s="115"/>
      <c r="T100" s="115"/>
      <c r="U100" s="115"/>
      <c r="V100" s="115"/>
      <c r="W100" s="115"/>
      <c r="X100" s="115"/>
      <c r="Y100" s="115"/>
      <c r="Z100" s="115"/>
      <c r="AA100" s="115"/>
      <c r="AB100" s="115"/>
      <c r="AC100" s="115"/>
      <c r="AD100" s="115"/>
      <c r="AE100" s="115"/>
    </row>
    <row r="101" spans="1:33">
      <c r="A101" s="168" t="s">
        <v>25</v>
      </c>
      <c r="B101" s="168"/>
      <c r="C101" s="176"/>
      <c r="D101" s="177"/>
      <c r="E101" s="176"/>
      <c r="F101" s="176"/>
      <c r="G101" s="176"/>
      <c r="H101" s="176"/>
      <c r="I101" s="178"/>
      <c r="J101" s="179"/>
      <c r="K101" s="682"/>
      <c r="L101" s="319"/>
      <c r="M101" s="319"/>
      <c r="N101" s="319"/>
      <c r="O101" s="319"/>
      <c r="P101" s="319"/>
      <c r="Q101" s="319"/>
      <c r="R101" s="319"/>
      <c r="S101" s="319"/>
      <c r="T101" s="319"/>
      <c r="U101" s="319"/>
      <c r="V101" s="319"/>
      <c r="W101" s="319"/>
      <c r="X101" s="319"/>
      <c r="Y101" s="319"/>
      <c r="Z101" s="319"/>
      <c r="AA101" s="319"/>
      <c r="AB101" s="319"/>
      <c r="AC101" s="319"/>
      <c r="AD101" s="319"/>
      <c r="AE101" s="319"/>
    </row>
    <row r="102" spans="1:33" s="252" customFormat="1">
      <c r="A102" s="183"/>
      <c r="B102" s="183"/>
      <c r="C102" s="185"/>
      <c r="D102" s="186"/>
      <c r="E102" s="185"/>
      <c r="F102" s="185"/>
      <c r="G102" s="185"/>
      <c r="H102" s="185"/>
      <c r="I102" s="302"/>
      <c r="J102" s="188"/>
      <c r="K102" s="683"/>
      <c r="L102" s="320"/>
      <c r="M102" s="320"/>
      <c r="N102" s="320"/>
      <c r="O102" s="320"/>
      <c r="P102" s="320"/>
      <c r="Q102" s="320"/>
      <c r="R102" s="320"/>
      <c r="S102" s="320"/>
      <c r="T102" s="320"/>
      <c r="U102" s="320"/>
      <c r="V102" s="320"/>
      <c r="W102" s="320"/>
      <c r="X102" s="320"/>
      <c r="Y102" s="320"/>
      <c r="Z102" s="320"/>
      <c r="AA102" s="320"/>
      <c r="AB102" s="320"/>
      <c r="AC102" s="320"/>
      <c r="AD102" s="320"/>
      <c r="AE102" s="320"/>
    </row>
    <row r="103" spans="1:33">
      <c r="A103" s="37" t="s">
        <v>425</v>
      </c>
      <c r="B103" s="37"/>
      <c r="C103" s="57"/>
      <c r="E103" s="57"/>
      <c r="F103" s="57"/>
      <c r="G103" s="57"/>
      <c r="H103" s="998"/>
      <c r="I103" s="51" t="s">
        <v>532</v>
      </c>
      <c r="J103" s="624">
        <f>((6350/6)*7)+((6500/6)*7)</f>
        <v>14991.666666666666</v>
      </c>
      <c r="K103" s="683">
        <v>0</v>
      </c>
      <c r="L103" s="671">
        <f>J103</f>
        <v>14991.666666666666</v>
      </c>
      <c r="M103" s="671">
        <f>$L$103*L11</f>
        <v>15291.5</v>
      </c>
      <c r="N103" s="671">
        <f t="shared" ref="N103:AE103" si="19">$L$103*M11</f>
        <v>15597.33</v>
      </c>
      <c r="O103" s="671">
        <f t="shared" si="19"/>
        <v>15909.276599999997</v>
      </c>
      <c r="P103" s="671">
        <f t="shared" si="19"/>
        <v>16227.462131999999</v>
      </c>
      <c r="Q103" s="671">
        <f t="shared" si="19"/>
        <v>16552.011374639998</v>
      </c>
      <c r="R103" s="671">
        <f t="shared" si="19"/>
        <v>16883.0516021328</v>
      </c>
      <c r="S103" s="671">
        <f t="shared" si="19"/>
        <v>17220.712634175456</v>
      </c>
      <c r="T103" s="671">
        <f t="shared" si="19"/>
        <v>17565.126886858965</v>
      </c>
      <c r="U103" s="671">
        <f t="shared" si="19"/>
        <v>17916.429424596146</v>
      </c>
      <c r="V103" s="671">
        <f t="shared" si="19"/>
        <v>18274.758013088071</v>
      </c>
      <c r="W103" s="671">
        <f t="shared" si="19"/>
        <v>18640.253173349829</v>
      </c>
      <c r="X103" s="671">
        <f t="shared" si="19"/>
        <v>19013.058236816825</v>
      </c>
      <c r="Y103" s="671">
        <f t="shared" si="19"/>
        <v>19393.319401553163</v>
      </c>
      <c r="Z103" s="671">
        <f t="shared" si="19"/>
        <v>19781.185789584226</v>
      </c>
      <c r="AA103" s="671">
        <f t="shared" si="19"/>
        <v>20176.809505375913</v>
      </c>
      <c r="AB103" s="671">
        <f t="shared" si="19"/>
        <v>20580.345695483433</v>
      </c>
      <c r="AC103" s="671">
        <f t="shared" si="19"/>
        <v>20991.952609393102</v>
      </c>
      <c r="AD103" s="671">
        <f t="shared" si="19"/>
        <v>21411.791661580963</v>
      </c>
      <c r="AE103" s="671">
        <f t="shared" si="19"/>
        <v>21840.027494812584</v>
      </c>
    </row>
    <row r="104" spans="1:33">
      <c r="A104" s="37" t="s">
        <v>16</v>
      </c>
      <c r="B104" s="37"/>
      <c r="C104" s="57"/>
      <c r="E104" s="57"/>
      <c r="F104" s="57"/>
      <c r="G104" s="57"/>
      <c r="H104" s="998"/>
      <c r="I104" s="51" t="s">
        <v>17</v>
      </c>
      <c r="J104" s="624">
        <f>1250</f>
        <v>1250</v>
      </c>
      <c r="K104" s="683">
        <v>0</v>
      </c>
      <c r="L104" s="671">
        <f>J104*7</f>
        <v>8750</v>
      </c>
      <c r="M104" s="671">
        <f>$L$104*L11</f>
        <v>8925</v>
      </c>
      <c r="N104" s="671">
        <f t="shared" ref="N104:AE104" si="20">$L$104*M11</f>
        <v>9103.5</v>
      </c>
      <c r="O104" s="671">
        <f t="shared" si="20"/>
        <v>9285.57</v>
      </c>
      <c r="P104" s="671">
        <f t="shared" si="20"/>
        <v>9471.2813999999998</v>
      </c>
      <c r="Q104" s="671">
        <f t="shared" si="20"/>
        <v>9660.7070280000007</v>
      </c>
      <c r="R104" s="671">
        <f t="shared" si="20"/>
        <v>9853.9211685600003</v>
      </c>
      <c r="S104" s="671">
        <f t="shared" si="20"/>
        <v>10050.9995919312</v>
      </c>
      <c r="T104" s="671">
        <f t="shared" si="20"/>
        <v>10252.019583769825</v>
      </c>
      <c r="U104" s="671">
        <f t="shared" si="20"/>
        <v>10457.059975445221</v>
      </c>
      <c r="V104" s="671">
        <f t="shared" si="20"/>
        <v>10666.201174954127</v>
      </c>
      <c r="W104" s="671">
        <f t="shared" si="20"/>
        <v>10879.52519845321</v>
      </c>
      <c r="X104" s="671">
        <f t="shared" si="20"/>
        <v>11097.115702422274</v>
      </c>
      <c r="Y104" s="671">
        <f t="shared" si="20"/>
        <v>11319.058016470717</v>
      </c>
      <c r="Z104" s="671">
        <f t="shared" si="20"/>
        <v>11545.439176800133</v>
      </c>
      <c r="AA104" s="671">
        <f t="shared" si="20"/>
        <v>11776.347960336136</v>
      </c>
      <c r="AB104" s="671">
        <f t="shared" si="20"/>
        <v>12011.874919542859</v>
      </c>
      <c r="AC104" s="671">
        <f t="shared" si="20"/>
        <v>12252.112417933717</v>
      </c>
      <c r="AD104" s="671">
        <f t="shared" si="20"/>
        <v>12497.154666292392</v>
      </c>
      <c r="AE104" s="671">
        <f t="shared" si="20"/>
        <v>12747.09775961824</v>
      </c>
    </row>
    <row r="105" spans="1:33" s="702" customFormat="1">
      <c r="A105" s="701" t="s">
        <v>53</v>
      </c>
      <c r="B105" s="701"/>
      <c r="C105" s="705"/>
      <c r="D105" s="984"/>
      <c r="E105" s="705"/>
      <c r="F105" s="705"/>
      <c r="G105" s="705"/>
      <c r="H105" s="985"/>
      <c r="I105" s="706" t="s">
        <v>17</v>
      </c>
      <c r="J105" s="986">
        <v>0</v>
      </c>
      <c r="K105" s="987">
        <v>0</v>
      </c>
      <c r="L105" s="988">
        <f t="shared" ref="L105:L106" si="21">J105*12</f>
        <v>0</v>
      </c>
      <c r="M105" s="988">
        <f t="shared" ref="M105:AB106" si="22">L105*1.03</f>
        <v>0</v>
      </c>
      <c r="N105" s="988">
        <f t="shared" si="22"/>
        <v>0</v>
      </c>
      <c r="O105" s="988">
        <f t="shared" si="22"/>
        <v>0</v>
      </c>
      <c r="P105" s="988">
        <f t="shared" si="22"/>
        <v>0</v>
      </c>
      <c r="Q105" s="988">
        <f t="shared" si="22"/>
        <v>0</v>
      </c>
      <c r="R105" s="988">
        <f t="shared" si="22"/>
        <v>0</v>
      </c>
      <c r="S105" s="988">
        <f t="shared" si="22"/>
        <v>0</v>
      </c>
      <c r="T105" s="988">
        <f t="shared" si="22"/>
        <v>0</v>
      </c>
      <c r="U105" s="988">
        <f t="shared" si="22"/>
        <v>0</v>
      </c>
      <c r="V105" s="988">
        <f t="shared" si="22"/>
        <v>0</v>
      </c>
      <c r="W105" s="988">
        <f t="shared" si="22"/>
        <v>0</v>
      </c>
      <c r="X105" s="988">
        <f t="shared" si="22"/>
        <v>0</v>
      </c>
      <c r="Y105" s="988">
        <f t="shared" si="22"/>
        <v>0</v>
      </c>
      <c r="Z105" s="988">
        <f t="shared" si="22"/>
        <v>0</v>
      </c>
      <c r="AA105" s="988">
        <f t="shared" si="22"/>
        <v>0</v>
      </c>
      <c r="AB105" s="988">
        <f t="shared" si="22"/>
        <v>0</v>
      </c>
      <c r="AC105" s="988">
        <f t="shared" ref="AC105:AE106" si="23">AB105*1.03</f>
        <v>0</v>
      </c>
      <c r="AD105" s="988">
        <f t="shared" si="23"/>
        <v>0</v>
      </c>
      <c r="AE105" s="988">
        <f t="shared" si="23"/>
        <v>0</v>
      </c>
    </row>
    <row r="106" spans="1:33" s="702" customFormat="1">
      <c r="A106" s="989" t="s">
        <v>54</v>
      </c>
      <c r="B106" s="990"/>
      <c r="C106" s="991"/>
      <c r="D106" s="992"/>
      <c r="E106" s="991"/>
      <c r="F106" s="991"/>
      <c r="G106" s="991"/>
      <c r="H106" s="993"/>
      <c r="I106" s="994" t="s">
        <v>17</v>
      </c>
      <c r="J106" s="995">
        <v>0</v>
      </c>
      <c r="K106" s="996">
        <v>0</v>
      </c>
      <c r="L106" s="997">
        <f t="shared" si="21"/>
        <v>0</v>
      </c>
      <c r="M106" s="997">
        <f t="shared" si="22"/>
        <v>0</v>
      </c>
      <c r="N106" s="997">
        <f t="shared" si="22"/>
        <v>0</v>
      </c>
      <c r="O106" s="997">
        <f t="shared" si="22"/>
        <v>0</v>
      </c>
      <c r="P106" s="997">
        <f t="shared" si="22"/>
        <v>0</v>
      </c>
      <c r="Q106" s="997">
        <f t="shared" si="22"/>
        <v>0</v>
      </c>
      <c r="R106" s="997">
        <f t="shared" si="22"/>
        <v>0</v>
      </c>
      <c r="S106" s="997">
        <f t="shared" si="22"/>
        <v>0</v>
      </c>
      <c r="T106" s="997">
        <f t="shared" si="22"/>
        <v>0</v>
      </c>
      <c r="U106" s="997">
        <f t="shared" si="22"/>
        <v>0</v>
      </c>
      <c r="V106" s="997">
        <f t="shared" si="22"/>
        <v>0</v>
      </c>
      <c r="W106" s="997">
        <f t="shared" si="22"/>
        <v>0</v>
      </c>
      <c r="X106" s="997">
        <f t="shared" si="22"/>
        <v>0</v>
      </c>
      <c r="Y106" s="997">
        <f t="shared" si="22"/>
        <v>0</v>
      </c>
      <c r="Z106" s="997">
        <f t="shared" si="22"/>
        <v>0</v>
      </c>
      <c r="AA106" s="997">
        <f t="shared" si="22"/>
        <v>0</v>
      </c>
      <c r="AB106" s="997">
        <f t="shared" si="22"/>
        <v>0</v>
      </c>
      <c r="AC106" s="997">
        <f t="shared" si="23"/>
        <v>0</v>
      </c>
      <c r="AD106" s="997">
        <f t="shared" si="23"/>
        <v>0</v>
      </c>
      <c r="AE106" s="997">
        <f t="shared" si="23"/>
        <v>0</v>
      </c>
    </row>
    <row r="107" spans="1:33" s="56" customFormat="1" ht="14.25">
      <c r="A107" s="56" t="s">
        <v>55</v>
      </c>
      <c r="B107" s="164"/>
      <c r="C107" s="75"/>
      <c r="D107" s="173"/>
      <c r="E107" s="75"/>
      <c r="F107" s="75"/>
      <c r="G107" s="75"/>
      <c r="H107" s="75"/>
      <c r="I107" s="999"/>
      <c r="J107" s="1000"/>
      <c r="K107" s="685">
        <v>0</v>
      </c>
      <c r="L107" s="1001">
        <f>SUM(L103:L106)</f>
        <v>23741.666666666664</v>
      </c>
      <c r="M107" s="1001">
        <f t="shared" ref="M107:AE107" si="24">SUM(M103:M106)</f>
        <v>24216.5</v>
      </c>
      <c r="N107" s="1001">
        <f t="shared" si="24"/>
        <v>24700.83</v>
      </c>
      <c r="O107" s="1001">
        <f t="shared" si="24"/>
        <v>25194.846599999997</v>
      </c>
      <c r="P107" s="1001">
        <f t="shared" si="24"/>
        <v>25698.743532</v>
      </c>
      <c r="Q107" s="1001">
        <f t="shared" si="24"/>
        <v>26212.718402639999</v>
      </c>
      <c r="R107" s="1001">
        <f t="shared" si="24"/>
        <v>26736.972770692802</v>
      </c>
      <c r="S107" s="1001">
        <f t="shared" si="24"/>
        <v>27271.712226106654</v>
      </c>
      <c r="T107" s="1001">
        <f t="shared" si="24"/>
        <v>27817.146470628788</v>
      </c>
      <c r="U107" s="1001">
        <f t="shared" si="24"/>
        <v>28373.48940004137</v>
      </c>
      <c r="V107" s="1001">
        <f t="shared" si="24"/>
        <v>28940.959188042198</v>
      </c>
      <c r="W107" s="1001">
        <f t="shared" si="24"/>
        <v>29519.77837180304</v>
      </c>
      <c r="X107" s="1001">
        <f t="shared" si="24"/>
        <v>30110.173939239099</v>
      </c>
      <c r="Y107" s="1001">
        <f t="shared" si="24"/>
        <v>30712.37741802388</v>
      </c>
      <c r="Z107" s="1001">
        <f t="shared" si="24"/>
        <v>31326.624966384359</v>
      </c>
      <c r="AA107" s="1001">
        <f t="shared" si="24"/>
        <v>31953.157465712051</v>
      </c>
      <c r="AB107" s="1001">
        <f t="shared" si="24"/>
        <v>32592.220615026294</v>
      </c>
      <c r="AC107" s="1001">
        <f t="shared" si="24"/>
        <v>33244.065027326818</v>
      </c>
      <c r="AD107" s="1001">
        <f t="shared" si="24"/>
        <v>33908.946327873353</v>
      </c>
      <c r="AE107" s="1001">
        <f t="shared" si="24"/>
        <v>34587.125254430823</v>
      </c>
    </row>
    <row r="108" spans="1:33">
      <c r="A108" s="56"/>
      <c r="B108" s="37"/>
      <c r="C108" s="57"/>
      <c r="E108" s="57"/>
      <c r="F108" s="57"/>
      <c r="G108" s="57"/>
      <c r="H108" s="57"/>
      <c r="I108" s="51"/>
      <c r="J108" s="624"/>
      <c r="K108" s="683"/>
      <c r="L108" s="666"/>
      <c r="M108" s="666"/>
      <c r="N108" s="666"/>
      <c r="O108" s="666"/>
      <c r="P108" s="666"/>
      <c r="Q108" s="666"/>
      <c r="R108" s="666"/>
      <c r="S108" s="666"/>
      <c r="T108" s="666"/>
      <c r="U108" s="666"/>
      <c r="V108" s="666"/>
      <c r="W108" s="666"/>
      <c r="X108" s="666"/>
      <c r="Y108" s="666"/>
      <c r="Z108" s="666"/>
      <c r="AA108" s="666"/>
      <c r="AB108" s="666"/>
      <c r="AC108" s="666"/>
      <c r="AD108" s="666"/>
      <c r="AE108" s="666"/>
    </row>
    <row r="109" spans="1:33">
      <c r="A109" s="47" t="s">
        <v>7</v>
      </c>
      <c r="B109" s="47" t="s">
        <v>7</v>
      </c>
      <c r="C109" s="78" t="s">
        <v>7</v>
      </c>
      <c r="D109" s="100"/>
      <c r="E109" s="78" t="s">
        <v>7</v>
      </c>
      <c r="F109" s="78"/>
      <c r="G109" s="78" t="s">
        <v>7</v>
      </c>
      <c r="H109" s="78"/>
      <c r="I109" s="52" t="s">
        <v>7</v>
      </c>
      <c r="J109" s="672"/>
      <c r="K109" s="673"/>
      <c r="L109" s="672"/>
      <c r="M109" s="672"/>
      <c r="N109" s="672"/>
      <c r="O109" s="672"/>
      <c r="P109" s="672"/>
      <c r="Q109" s="672"/>
      <c r="R109" s="672"/>
      <c r="S109" s="672"/>
      <c r="T109" s="672"/>
      <c r="U109" s="672"/>
      <c r="V109" s="672"/>
      <c r="W109" s="672"/>
      <c r="X109" s="672"/>
      <c r="Y109" s="672"/>
      <c r="Z109" s="672"/>
      <c r="AA109" s="672"/>
      <c r="AB109" s="672"/>
      <c r="AC109" s="672"/>
      <c r="AD109" s="672"/>
      <c r="AE109" s="672"/>
    </row>
    <row r="110" spans="1:33">
      <c r="A110" s="47"/>
      <c r="B110" s="47"/>
      <c r="C110" s="78"/>
      <c r="D110" s="100"/>
      <c r="E110" s="78"/>
      <c r="F110" s="78"/>
      <c r="G110" s="78"/>
      <c r="H110" s="78"/>
      <c r="I110" s="52"/>
      <c r="J110" s="672"/>
      <c r="K110" s="683"/>
      <c r="L110" s="666"/>
      <c r="M110" s="666"/>
      <c r="N110" s="666"/>
      <c r="O110" s="666"/>
      <c r="P110" s="666"/>
      <c r="Q110" s="666"/>
      <c r="R110" s="666"/>
      <c r="S110" s="666"/>
      <c r="T110" s="666"/>
      <c r="U110" s="666"/>
      <c r="V110" s="666"/>
      <c r="W110" s="666"/>
      <c r="X110" s="666"/>
      <c r="Y110" s="666"/>
      <c r="Z110" s="666"/>
      <c r="AA110" s="666"/>
      <c r="AB110" s="666"/>
      <c r="AC110" s="666"/>
      <c r="AD110" s="666"/>
      <c r="AE110" s="666"/>
    </row>
    <row r="111" spans="1:33" s="56" customFormat="1" ht="14.25">
      <c r="A111" s="203" t="s">
        <v>303</v>
      </c>
      <c r="B111" s="203"/>
      <c r="C111" s="204"/>
      <c r="D111" s="205"/>
      <c r="E111" s="204"/>
      <c r="F111" s="204"/>
      <c r="G111" s="204"/>
      <c r="H111" s="204"/>
      <c r="I111" s="206"/>
      <c r="J111" s="674"/>
      <c r="K111" s="676">
        <f>SUM(K78,K99,K107)</f>
        <v>0</v>
      </c>
      <c r="L111" s="676">
        <f>SUM(L78,L99,L107)</f>
        <v>357416.66666666669</v>
      </c>
      <c r="M111" s="676">
        <f t="shared" ref="M111:AE111" si="25">SUM(M78,M99,M107)</f>
        <v>686483.5</v>
      </c>
      <c r="N111" s="676">
        <f t="shared" si="25"/>
        <v>700223.37</v>
      </c>
      <c r="O111" s="676">
        <f t="shared" si="25"/>
        <v>714227.83739999984</v>
      </c>
      <c r="P111" s="676">
        <f t="shared" si="25"/>
        <v>728512.39414799993</v>
      </c>
      <c r="Q111" s="676">
        <f t="shared" si="25"/>
        <v>771426.52082615998</v>
      </c>
      <c r="R111" s="676">
        <f t="shared" si="25"/>
        <v>782318.1324523153</v>
      </c>
      <c r="S111" s="676">
        <f t="shared" si="25"/>
        <v>797964.49510136142</v>
      </c>
      <c r="T111" s="676">
        <f t="shared" si="25"/>
        <v>813923.78500338888</v>
      </c>
      <c r="U111" s="676">
        <f t="shared" si="25"/>
        <v>830202.2607034567</v>
      </c>
      <c r="V111" s="676">
        <f t="shared" si="25"/>
        <v>875001.71613890608</v>
      </c>
      <c r="W111" s="676">
        <f t="shared" si="25"/>
        <v>863742.43203587621</v>
      </c>
      <c r="X111" s="676">
        <f t="shared" si="25"/>
        <v>881017.28067659389</v>
      </c>
      <c r="Y111" s="676">
        <f t="shared" si="25"/>
        <v>898637.62629012566</v>
      </c>
      <c r="Z111" s="676">
        <f t="shared" si="25"/>
        <v>916610.37881592824</v>
      </c>
      <c r="AA111" s="676">
        <f t="shared" si="25"/>
        <v>939269.6522230847</v>
      </c>
      <c r="AB111" s="676">
        <f t="shared" si="25"/>
        <v>953641.4381200918</v>
      </c>
      <c r="AC111" s="676">
        <f t="shared" si="25"/>
        <v>972714.26688249363</v>
      </c>
      <c r="AD111" s="676">
        <f t="shared" si="25"/>
        <v>992168.55222014373</v>
      </c>
      <c r="AE111" s="676">
        <f t="shared" si="25"/>
        <v>1012011.9232645463</v>
      </c>
      <c r="AG111" s="199"/>
    </row>
    <row r="112" spans="1:33">
      <c r="A112" s="37"/>
      <c r="B112" s="37"/>
      <c r="C112" s="57"/>
      <c r="E112" s="110"/>
      <c r="F112" s="110"/>
      <c r="G112" s="57"/>
      <c r="H112" s="57"/>
      <c r="I112" s="43"/>
      <c r="J112" s="44"/>
      <c r="K112" s="683"/>
      <c r="L112" s="115"/>
      <c r="M112" s="115"/>
      <c r="N112" s="115"/>
      <c r="O112" s="115"/>
      <c r="P112" s="115"/>
      <c r="Q112" s="115"/>
      <c r="R112" s="115"/>
      <c r="S112" s="115"/>
      <c r="T112" s="115"/>
      <c r="U112" s="115"/>
      <c r="V112" s="115"/>
      <c r="W112" s="115"/>
      <c r="X112" s="115"/>
      <c r="Y112" s="115"/>
      <c r="Z112" s="115"/>
      <c r="AA112" s="115"/>
      <c r="AB112" s="115"/>
      <c r="AC112" s="115"/>
      <c r="AD112" s="115"/>
      <c r="AE112" s="115"/>
      <c r="AG112" s="199"/>
    </row>
    <row r="113" spans="1:33">
      <c r="A113" s="47" t="s">
        <v>7</v>
      </c>
      <c r="B113" s="47" t="s">
        <v>7</v>
      </c>
      <c r="C113" s="78" t="s">
        <v>7</v>
      </c>
      <c r="D113" s="100"/>
      <c r="E113" s="78" t="s">
        <v>7</v>
      </c>
      <c r="F113" s="78"/>
      <c r="G113" s="78" t="s">
        <v>7</v>
      </c>
      <c r="H113" s="78"/>
      <c r="I113" s="52" t="s">
        <v>7</v>
      </c>
      <c r="J113" s="114"/>
      <c r="K113" s="673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G113" s="199"/>
    </row>
    <row r="114" spans="1:33">
      <c r="A114" s="47"/>
      <c r="B114" s="47"/>
      <c r="C114" s="78"/>
      <c r="D114" s="100"/>
      <c r="E114" s="78"/>
      <c r="F114" s="78"/>
      <c r="G114" s="78"/>
      <c r="H114" s="78"/>
      <c r="I114" s="52"/>
      <c r="J114" s="114"/>
      <c r="K114" s="683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5"/>
      <c r="Z114" s="115"/>
      <c r="AA114" s="115"/>
      <c r="AB114" s="115"/>
      <c r="AC114" s="115"/>
      <c r="AD114" s="115"/>
      <c r="AE114" s="115"/>
      <c r="AG114" s="199"/>
    </row>
    <row r="115" spans="1:33">
      <c r="A115" s="168" t="s">
        <v>71</v>
      </c>
      <c r="B115" s="171"/>
      <c r="C115" s="176"/>
      <c r="D115" s="177"/>
      <c r="E115" s="176"/>
      <c r="F115" s="176"/>
      <c r="G115" s="176"/>
      <c r="H115" s="176"/>
      <c r="I115" s="182"/>
      <c r="J115" s="179"/>
      <c r="K115" s="682"/>
      <c r="L115" s="319"/>
      <c r="M115" s="319"/>
      <c r="N115" s="319"/>
      <c r="O115" s="319"/>
      <c r="P115" s="319"/>
      <c r="Q115" s="319"/>
      <c r="R115" s="319"/>
      <c r="S115" s="319"/>
      <c r="T115" s="319"/>
      <c r="U115" s="319"/>
      <c r="V115" s="319"/>
      <c r="W115" s="319"/>
      <c r="X115" s="319"/>
      <c r="Y115" s="319"/>
      <c r="Z115" s="319"/>
      <c r="AA115" s="319"/>
      <c r="AB115" s="319"/>
      <c r="AC115" s="319"/>
      <c r="AD115" s="319"/>
      <c r="AE115" s="319"/>
      <c r="AG115" s="199"/>
    </row>
    <row r="116" spans="1:33" s="252" customFormat="1">
      <c r="A116" s="183"/>
      <c r="B116" s="184"/>
      <c r="C116" s="185"/>
      <c r="D116" s="186"/>
      <c r="E116" s="185"/>
      <c r="F116" s="185"/>
      <c r="G116" s="185"/>
      <c r="H116" s="185"/>
      <c r="I116" s="187"/>
      <c r="J116" s="188"/>
      <c r="K116" s="683"/>
      <c r="L116" s="320"/>
      <c r="M116" s="320"/>
      <c r="N116" s="320"/>
      <c r="O116" s="320"/>
      <c r="P116" s="320"/>
      <c r="Q116" s="320"/>
      <c r="R116" s="320"/>
      <c r="S116" s="320"/>
      <c r="T116" s="320"/>
      <c r="U116" s="320"/>
      <c r="V116" s="320"/>
      <c r="W116" s="320"/>
      <c r="X116" s="320"/>
      <c r="Y116" s="320"/>
      <c r="Z116" s="320"/>
      <c r="AA116" s="320"/>
      <c r="AB116" s="320"/>
      <c r="AC116" s="320"/>
      <c r="AD116" s="320"/>
      <c r="AE116" s="320"/>
      <c r="AG116" s="363"/>
    </row>
    <row r="117" spans="1:33">
      <c r="A117" s="39" t="s">
        <v>0</v>
      </c>
      <c r="B117" s="39"/>
      <c r="C117" s="102"/>
      <c r="D117" s="103"/>
      <c r="E117" s="104"/>
      <c r="F117" s="104"/>
      <c r="G117" s="104"/>
      <c r="H117" s="104"/>
      <c r="I117" s="39"/>
      <c r="J117" s="104"/>
      <c r="K117" s="688"/>
      <c r="L117" s="335"/>
      <c r="M117" s="335"/>
      <c r="N117" s="335"/>
      <c r="O117" s="335"/>
      <c r="P117" s="335"/>
      <c r="Q117" s="335"/>
      <c r="R117" s="335"/>
      <c r="S117" s="335"/>
      <c r="T117" s="335"/>
      <c r="U117" s="335"/>
      <c r="V117" s="335"/>
      <c r="W117" s="335"/>
      <c r="X117" s="335"/>
      <c r="Y117" s="335"/>
      <c r="Z117" s="335"/>
      <c r="AA117" s="335"/>
      <c r="AB117" s="335"/>
      <c r="AC117" s="335"/>
      <c r="AD117" s="335"/>
      <c r="AE117" s="335"/>
    </row>
    <row r="118" spans="1:33">
      <c r="A118" s="41" t="s">
        <v>13</v>
      </c>
      <c r="B118" s="41"/>
      <c r="C118" s="105"/>
      <c r="D118" s="106"/>
      <c r="E118" s="37"/>
      <c r="F118" s="37"/>
      <c r="G118" s="37"/>
      <c r="H118" s="37"/>
      <c r="I118" s="41"/>
      <c r="J118" s="37"/>
      <c r="K118" s="683"/>
      <c r="L118" s="200"/>
      <c r="M118" s="200"/>
      <c r="N118" s="200"/>
      <c r="O118" s="200"/>
      <c r="P118" s="200"/>
      <c r="Q118" s="200"/>
      <c r="R118" s="200"/>
      <c r="S118" s="200"/>
      <c r="T118" s="200"/>
      <c r="U118" s="201"/>
      <c r="V118" s="323"/>
      <c r="W118" s="200"/>
      <c r="X118" s="200"/>
      <c r="Y118" s="200"/>
      <c r="Z118" s="200"/>
      <c r="AA118" s="200"/>
      <c r="AB118" s="200"/>
      <c r="AC118" s="200"/>
      <c r="AD118" s="200"/>
      <c r="AE118" s="201"/>
    </row>
    <row r="119" spans="1:33">
      <c r="A119" s="96" t="s">
        <v>56</v>
      </c>
      <c r="B119" s="735" t="s">
        <v>12</v>
      </c>
      <c r="C119" s="663">
        <v>55000</v>
      </c>
      <c r="D119" s="736">
        <f>C119/2080</f>
        <v>26.442307692307693</v>
      </c>
      <c r="E119" s="663">
        <v>0</v>
      </c>
      <c r="F119" s="663">
        <f>C119*$F$13</f>
        <v>22000</v>
      </c>
      <c r="G119" s="663">
        <f>SUM(C119,E119:F119)</f>
        <v>77000</v>
      </c>
      <c r="H119" s="736">
        <f>G119/2080*8</f>
        <v>296.15384615384613</v>
      </c>
      <c r="I119" s="736"/>
      <c r="J119" s="663"/>
      <c r="K119" s="683">
        <v>0</v>
      </c>
      <c r="L119" s="665">
        <v>0</v>
      </c>
      <c r="M119" s="665">
        <f>$H$119*M32*0.25</f>
        <v>15844.230769230768</v>
      </c>
      <c r="N119" s="665">
        <f t="shared" ref="N119:AE119" si="26">$M$119*M11</f>
        <v>16484.33769230769</v>
      </c>
      <c r="O119" s="665">
        <f t="shared" si="26"/>
        <v>16814.024446153842</v>
      </c>
      <c r="P119" s="665">
        <f t="shared" si="26"/>
        <v>17150.304935076922</v>
      </c>
      <c r="Q119" s="665">
        <f t="shared" si="26"/>
        <v>17493.31103377846</v>
      </c>
      <c r="R119" s="665">
        <f t="shared" si="26"/>
        <v>17843.177254454029</v>
      </c>
      <c r="S119" s="665">
        <f t="shared" si="26"/>
        <v>18200.040799543109</v>
      </c>
      <c r="T119" s="665">
        <f t="shared" si="26"/>
        <v>18564.041615533974</v>
      </c>
      <c r="U119" s="665">
        <f t="shared" si="26"/>
        <v>18935.322447844654</v>
      </c>
      <c r="V119" s="665">
        <f t="shared" si="26"/>
        <v>19314.028896801548</v>
      </c>
      <c r="W119" s="665">
        <f t="shared" si="26"/>
        <v>19700.30947473758</v>
      </c>
      <c r="X119" s="665">
        <f t="shared" si="26"/>
        <v>20094.31566423233</v>
      </c>
      <c r="Y119" s="665">
        <f t="shared" si="26"/>
        <v>20496.201977516976</v>
      </c>
      <c r="Z119" s="665">
        <f t="shared" si="26"/>
        <v>20906.126017067316</v>
      </c>
      <c r="AA119" s="665">
        <f t="shared" si="26"/>
        <v>21324.248537408665</v>
      </c>
      <c r="AB119" s="665">
        <f t="shared" si="26"/>
        <v>21750.733508156838</v>
      </c>
      <c r="AC119" s="665">
        <f t="shared" si="26"/>
        <v>22185.748178319976</v>
      </c>
      <c r="AD119" s="665">
        <f t="shared" si="26"/>
        <v>22629.463141886376</v>
      </c>
      <c r="AE119" s="665">
        <f t="shared" si="26"/>
        <v>23082.052404724102</v>
      </c>
    </row>
    <row r="120" spans="1:33">
      <c r="A120" s="96" t="s">
        <v>57</v>
      </c>
      <c r="B120" s="735" t="s">
        <v>15</v>
      </c>
      <c r="C120" s="663">
        <v>15000</v>
      </c>
      <c r="D120" s="736">
        <f>C120/2080</f>
        <v>7.2115384615384617</v>
      </c>
      <c r="E120" s="663">
        <f>C120*E12</f>
        <v>3000</v>
      </c>
      <c r="F120" s="663">
        <f t="shared" ref="F120:F121" si="27">C120*$F$13</f>
        <v>6000</v>
      </c>
      <c r="G120" s="663">
        <f t="shared" ref="G120:G121" si="28">SUM(C120,E120:F120)</f>
        <v>24000</v>
      </c>
      <c r="H120" s="736">
        <f>G120/2080*12</f>
        <v>138.46153846153845</v>
      </c>
      <c r="I120" s="736"/>
      <c r="J120" s="663"/>
      <c r="K120" s="683">
        <v>0</v>
      </c>
      <c r="L120" s="665">
        <v>0</v>
      </c>
      <c r="M120" s="665">
        <f>$H$120*M32*0.5</f>
        <v>14815.384615384615</v>
      </c>
      <c r="N120" s="665">
        <f t="shared" ref="N120:AE120" si="29">$M$120*M11</f>
        <v>15413.926153846154</v>
      </c>
      <c r="O120" s="665">
        <f t="shared" si="29"/>
        <v>15722.204676923076</v>
      </c>
      <c r="P120" s="665">
        <f t="shared" si="29"/>
        <v>16036.648770461537</v>
      </c>
      <c r="Q120" s="665">
        <f t="shared" si="29"/>
        <v>16357.381745870769</v>
      </c>
      <c r="R120" s="665">
        <f t="shared" si="29"/>
        <v>16684.529380788186</v>
      </c>
      <c r="S120" s="665">
        <f t="shared" si="29"/>
        <v>17018.219968403948</v>
      </c>
      <c r="T120" s="665">
        <f t="shared" si="29"/>
        <v>17358.58436777203</v>
      </c>
      <c r="U120" s="665">
        <f t="shared" si="29"/>
        <v>17705.756055127469</v>
      </c>
      <c r="V120" s="665">
        <f t="shared" si="29"/>
        <v>18059.871176230019</v>
      </c>
      <c r="W120" s="665">
        <f t="shared" si="29"/>
        <v>18421.068599754621</v>
      </c>
      <c r="X120" s="665">
        <f t="shared" si="29"/>
        <v>18789.489971749714</v>
      </c>
      <c r="Y120" s="665">
        <f t="shared" si="29"/>
        <v>19165.279771184705</v>
      </c>
      <c r="Z120" s="665">
        <f t="shared" si="29"/>
        <v>19548.5853666084</v>
      </c>
      <c r="AA120" s="665">
        <f t="shared" si="29"/>
        <v>19939.55707394057</v>
      </c>
      <c r="AB120" s="665">
        <f t="shared" si="29"/>
        <v>20338.348215419381</v>
      </c>
      <c r="AC120" s="665">
        <f t="shared" si="29"/>
        <v>20745.115179727771</v>
      </c>
      <c r="AD120" s="665">
        <f t="shared" si="29"/>
        <v>21160.017483322328</v>
      </c>
      <c r="AE120" s="665">
        <f t="shared" si="29"/>
        <v>21583.217832988772</v>
      </c>
    </row>
    <row r="121" spans="1:33">
      <c r="A121" s="737" t="s">
        <v>57</v>
      </c>
      <c r="B121" s="738" t="s">
        <v>15</v>
      </c>
      <c r="C121" s="739">
        <v>15000</v>
      </c>
      <c r="D121" s="740">
        <f>C121/2080</f>
        <v>7.2115384615384617</v>
      </c>
      <c r="E121" s="739">
        <f>C121*$E$12</f>
        <v>3000</v>
      </c>
      <c r="F121" s="739">
        <f t="shared" si="27"/>
        <v>6000</v>
      </c>
      <c r="G121" s="739">
        <f t="shared" si="28"/>
        <v>24000</v>
      </c>
      <c r="H121" s="740">
        <f t="shared" ref="H121" si="30">G121/2080*12</f>
        <v>138.46153846153845</v>
      </c>
      <c r="I121" s="740"/>
      <c r="J121" s="739"/>
      <c r="K121" s="741">
        <v>0</v>
      </c>
      <c r="L121" s="742">
        <v>0</v>
      </c>
      <c r="M121" s="742">
        <f>$H$121*M32*0.5</f>
        <v>14815.384615384615</v>
      </c>
      <c r="N121" s="742">
        <f t="shared" ref="N121:AE121" si="31">$M$121*M11</f>
        <v>15413.926153846154</v>
      </c>
      <c r="O121" s="742">
        <f t="shared" si="31"/>
        <v>15722.204676923076</v>
      </c>
      <c r="P121" s="742">
        <f t="shared" si="31"/>
        <v>16036.648770461537</v>
      </c>
      <c r="Q121" s="742">
        <f t="shared" si="31"/>
        <v>16357.381745870769</v>
      </c>
      <c r="R121" s="742">
        <f t="shared" si="31"/>
        <v>16684.529380788186</v>
      </c>
      <c r="S121" s="742">
        <f t="shared" si="31"/>
        <v>17018.219968403948</v>
      </c>
      <c r="T121" s="742">
        <f t="shared" si="31"/>
        <v>17358.58436777203</v>
      </c>
      <c r="U121" s="742">
        <f t="shared" si="31"/>
        <v>17705.756055127469</v>
      </c>
      <c r="V121" s="742">
        <f t="shared" si="31"/>
        <v>18059.871176230019</v>
      </c>
      <c r="W121" s="742">
        <f t="shared" si="31"/>
        <v>18421.068599754621</v>
      </c>
      <c r="X121" s="742">
        <f t="shared" si="31"/>
        <v>18789.489971749714</v>
      </c>
      <c r="Y121" s="742">
        <f t="shared" si="31"/>
        <v>19165.279771184705</v>
      </c>
      <c r="Z121" s="742">
        <f t="shared" si="31"/>
        <v>19548.5853666084</v>
      </c>
      <c r="AA121" s="742">
        <f t="shared" si="31"/>
        <v>19939.55707394057</v>
      </c>
      <c r="AB121" s="742">
        <f t="shared" si="31"/>
        <v>20338.348215419381</v>
      </c>
      <c r="AC121" s="742">
        <f t="shared" si="31"/>
        <v>20745.115179727771</v>
      </c>
      <c r="AD121" s="742">
        <f t="shared" si="31"/>
        <v>21160.017483322328</v>
      </c>
      <c r="AE121" s="742">
        <f t="shared" si="31"/>
        <v>21583.217832988772</v>
      </c>
    </row>
    <row r="122" spans="1:33">
      <c r="A122" s="164" t="s">
        <v>414</v>
      </c>
      <c r="B122" s="164"/>
      <c r="C122" s="667">
        <f>SUM(C119:C121)</f>
        <v>85000</v>
      </c>
      <c r="D122" s="667"/>
      <c r="E122" s="667">
        <f>SUM(E119:E121)</f>
        <v>6000</v>
      </c>
      <c r="F122" s="667">
        <f>SUM(F119:F121)</f>
        <v>34000</v>
      </c>
      <c r="G122" s="667">
        <f>SUM(G119:G121)</f>
        <v>125000</v>
      </c>
      <c r="H122" s="667">
        <f>SUM(H119:H121)</f>
        <v>573.07692307692309</v>
      </c>
      <c r="I122" s="668"/>
      <c r="J122" s="667"/>
      <c r="K122" s="685">
        <f>SUMIF($B119:$B121,"FT",K119:K121)</f>
        <v>0</v>
      </c>
      <c r="L122" s="669">
        <f>SUM(L119:L121)</f>
        <v>0</v>
      </c>
      <c r="M122" s="669">
        <f t="shared" ref="M122:AE122" si="32">SUM(M119:M121)</f>
        <v>45475</v>
      </c>
      <c r="N122" s="669">
        <f t="shared" si="32"/>
        <v>47312.19</v>
      </c>
      <c r="O122" s="669">
        <f t="shared" si="32"/>
        <v>48258.433799999999</v>
      </c>
      <c r="P122" s="669">
        <f t="shared" si="32"/>
        <v>49223.602475999993</v>
      </c>
      <c r="Q122" s="669">
        <f t="shared" si="32"/>
        <v>50208.074525520002</v>
      </c>
      <c r="R122" s="669">
        <f t="shared" si="32"/>
        <v>51212.236016030394</v>
      </c>
      <c r="S122" s="669">
        <f t="shared" si="32"/>
        <v>52236.480736351004</v>
      </c>
      <c r="T122" s="669">
        <f t="shared" si="32"/>
        <v>53281.210351078029</v>
      </c>
      <c r="U122" s="669">
        <f t="shared" si="32"/>
        <v>54346.834558099596</v>
      </c>
      <c r="V122" s="669">
        <f t="shared" si="32"/>
        <v>55433.771249261583</v>
      </c>
      <c r="W122" s="669">
        <f t="shared" si="32"/>
        <v>56542.446674246821</v>
      </c>
      <c r="X122" s="669">
        <f t="shared" si="32"/>
        <v>57673.295607731765</v>
      </c>
      <c r="Y122" s="669">
        <f t="shared" si="32"/>
        <v>58826.761519886393</v>
      </c>
      <c r="Z122" s="669">
        <f t="shared" si="32"/>
        <v>60003.29675028412</v>
      </c>
      <c r="AA122" s="669">
        <f t="shared" si="32"/>
        <v>61203.362685289801</v>
      </c>
      <c r="AB122" s="669">
        <f t="shared" si="32"/>
        <v>62427.4299389956</v>
      </c>
      <c r="AC122" s="669">
        <f t="shared" si="32"/>
        <v>63675.978537775518</v>
      </c>
      <c r="AD122" s="669">
        <f t="shared" si="32"/>
        <v>64949.498108531028</v>
      </c>
      <c r="AE122" s="669">
        <f t="shared" si="32"/>
        <v>66248.488070701642</v>
      </c>
    </row>
    <row r="123" spans="1:33">
      <c r="A123" s="37"/>
      <c r="B123" s="37"/>
      <c r="C123" s="663"/>
      <c r="D123" s="663"/>
      <c r="E123" s="663"/>
      <c r="F123" s="663"/>
      <c r="G123" s="663"/>
      <c r="H123" s="663"/>
      <c r="I123" s="670"/>
      <c r="J123" s="663"/>
      <c r="K123" s="683"/>
      <c r="L123" s="666"/>
      <c r="M123" s="666"/>
      <c r="N123" s="666"/>
      <c r="O123" s="666"/>
      <c r="P123" s="666"/>
      <c r="Q123" s="666"/>
      <c r="R123" s="666"/>
      <c r="S123" s="666"/>
      <c r="T123" s="666"/>
      <c r="U123" s="666"/>
      <c r="V123" s="666"/>
      <c r="W123" s="666"/>
      <c r="X123" s="666"/>
      <c r="Y123" s="666"/>
      <c r="Z123" s="666"/>
      <c r="AA123" s="666"/>
      <c r="AB123" s="666"/>
      <c r="AC123" s="666"/>
      <c r="AD123" s="666"/>
      <c r="AE123" s="666"/>
    </row>
    <row r="124" spans="1:33">
      <c r="A124" s="37" t="s">
        <v>11</v>
      </c>
      <c r="B124" s="37"/>
      <c r="C124" s="663"/>
      <c r="D124" s="663"/>
      <c r="E124" s="663"/>
      <c r="F124" s="663"/>
      <c r="G124" s="663"/>
      <c r="H124" s="663"/>
      <c r="I124" s="670"/>
      <c r="J124" s="663"/>
      <c r="K124" s="743">
        <f>COUNTIF(K119:K121,"&gt;100")</f>
        <v>0</v>
      </c>
      <c r="L124" s="496">
        <f>COUNTIF(L119,"&gt;100")</f>
        <v>0</v>
      </c>
      <c r="M124" s="496">
        <f t="shared" ref="M124:AE124" si="33">COUNTIF(M119,"&gt;100")</f>
        <v>1</v>
      </c>
      <c r="N124" s="496">
        <f t="shared" si="33"/>
        <v>1</v>
      </c>
      <c r="O124" s="496">
        <f t="shared" si="33"/>
        <v>1</v>
      </c>
      <c r="P124" s="496">
        <f t="shared" si="33"/>
        <v>1</v>
      </c>
      <c r="Q124" s="496">
        <f t="shared" si="33"/>
        <v>1</v>
      </c>
      <c r="R124" s="496">
        <f t="shared" si="33"/>
        <v>1</v>
      </c>
      <c r="S124" s="496">
        <f t="shared" si="33"/>
        <v>1</v>
      </c>
      <c r="T124" s="496">
        <f t="shared" si="33"/>
        <v>1</v>
      </c>
      <c r="U124" s="496">
        <f t="shared" si="33"/>
        <v>1</v>
      </c>
      <c r="V124" s="496">
        <f t="shared" si="33"/>
        <v>1</v>
      </c>
      <c r="W124" s="496">
        <f t="shared" si="33"/>
        <v>1</v>
      </c>
      <c r="X124" s="496">
        <f t="shared" si="33"/>
        <v>1</v>
      </c>
      <c r="Y124" s="496">
        <f t="shared" si="33"/>
        <v>1</v>
      </c>
      <c r="Z124" s="496">
        <f t="shared" si="33"/>
        <v>1</v>
      </c>
      <c r="AA124" s="496">
        <f t="shared" si="33"/>
        <v>1</v>
      </c>
      <c r="AB124" s="496">
        <f t="shared" si="33"/>
        <v>1</v>
      </c>
      <c r="AC124" s="496">
        <f t="shared" si="33"/>
        <v>1</v>
      </c>
      <c r="AD124" s="496">
        <f t="shared" si="33"/>
        <v>1</v>
      </c>
      <c r="AE124" s="496">
        <f t="shared" si="33"/>
        <v>1</v>
      </c>
    </row>
    <row r="125" spans="1:33">
      <c r="A125" s="745" t="s">
        <v>10</v>
      </c>
      <c r="B125" s="745"/>
      <c r="C125" s="739"/>
      <c r="D125" s="739"/>
      <c r="E125" s="739"/>
      <c r="F125" s="739"/>
      <c r="G125" s="739"/>
      <c r="H125" s="739"/>
      <c r="I125" s="763"/>
      <c r="J125" s="739"/>
      <c r="K125" s="749">
        <f t="shared" ref="K125" si="34">K126-K124</f>
        <v>0</v>
      </c>
      <c r="L125" s="750">
        <f>COUNTIF(L120:L121,"&gt;100")</f>
        <v>0</v>
      </c>
      <c r="M125" s="750">
        <f t="shared" ref="M125:AE125" si="35">COUNTIF(M120:M121,"&gt;100")</f>
        <v>2</v>
      </c>
      <c r="N125" s="750">
        <f t="shared" si="35"/>
        <v>2</v>
      </c>
      <c r="O125" s="750">
        <f t="shared" si="35"/>
        <v>2</v>
      </c>
      <c r="P125" s="750">
        <f t="shared" si="35"/>
        <v>2</v>
      </c>
      <c r="Q125" s="750">
        <f t="shared" si="35"/>
        <v>2</v>
      </c>
      <c r="R125" s="750">
        <f t="shared" si="35"/>
        <v>2</v>
      </c>
      <c r="S125" s="750">
        <f t="shared" si="35"/>
        <v>2</v>
      </c>
      <c r="T125" s="750">
        <f t="shared" si="35"/>
        <v>2</v>
      </c>
      <c r="U125" s="750">
        <f t="shared" si="35"/>
        <v>2</v>
      </c>
      <c r="V125" s="750">
        <f t="shared" si="35"/>
        <v>2</v>
      </c>
      <c r="W125" s="750">
        <f t="shared" si="35"/>
        <v>2</v>
      </c>
      <c r="X125" s="750">
        <f t="shared" si="35"/>
        <v>2</v>
      </c>
      <c r="Y125" s="750">
        <f t="shared" si="35"/>
        <v>2</v>
      </c>
      <c r="Z125" s="750">
        <f t="shared" si="35"/>
        <v>2</v>
      </c>
      <c r="AA125" s="750">
        <f t="shared" si="35"/>
        <v>2</v>
      </c>
      <c r="AB125" s="750">
        <f t="shared" si="35"/>
        <v>2</v>
      </c>
      <c r="AC125" s="750">
        <f t="shared" si="35"/>
        <v>2</v>
      </c>
      <c r="AD125" s="750">
        <f t="shared" si="35"/>
        <v>2</v>
      </c>
      <c r="AE125" s="750">
        <f t="shared" si="35"/>
        <v>2</v>
      </c>
    </row>
    <row r="126" spans="1:33">
      <c r="A126" s="164" t="s">
        <v>9</v>
      </c>
      <c r="B126" s="164"/>
      <c r="C126" s="667"/>
      <c r="D126" s="667"/>
      <c r="E126" s="667"/>
      <c r="F126" s="667"/>
      <c r="G126" s="667"/>
      <c r="H126" s="667"/>
      <c r="I126" s="668"/>
      <c r="J126" s="667"/>
      <c r="K126" s="751">
        <f t="shared" ref="K126:AE126" si="36">COUNTIF(K119:K121,"&gt;0")</f>
        <v>0</v>
      </c>
      <c r="L126" s="752">
        <f t="shared" si="36"/>
        <v>0</v>
      </c>
      <c r="M126" s="752">
        <f t="shared" si="36"/>
        <v>3</v>
      </c>
      <c r="N126" s="752">
        <f t="shared" si="36"/>
        <v>3</v>
      </c>
      <c r="O126" s="752">
        <f t="shared" si="36"/>
        <v>3</v>
      </c>
      <c r="P126" s="752">
        <f t="shared" si="36"/>
        <v>3</v>
      </c>
      <c r="Q126" s="752">
        <f t="shared" si="36"/>
        <v>3</v>
      </c>
      <c r="R126" s="752">
        <f t="shared" si="36"/>
        <v>3</v>
      </c>
      <c r="S126" s="752">
        <f t="shared" si="36"/>
        <v>3</v>
      </c>
      <c r="T126" s="752">
        <f t="shared" si="36"/>
        <v>3</v>
      </c>
      <c r="U126" s="752">
        <f t="shared" si="36"/>
        <v>3</v>
      </c>
      <c r="V126" s="752">
        <f t="shared" si="36"/>
        <v>3</v>
      </c>
      <c r="W126" s="752">
        <f t="shared" si="36"/>
        <v>3</v>
      </c>
      <c r="X126" s="752">
        <f t="shared" si="36"/>
        <v>3</v>
      </c>
      <c r="Y126" s="752">
        <f t="shared" si="36"/>
        <v>3</v>
      </c>
      <c r="Z126" s="752">
        <f t="shared" si="36"/>
        <v>3</v>
      </c>
      <c r="AA126" s="752">
        <f t="shared" si="36"/>
        <v>3</v>
      </c>
      <c r="AB126" s="752">
        <f t="shared" si="36"/>
        <v>3</v>
      </c>
      <c r="AC126" s="752">
        <f t="shared" si="36"/>
        <v>3</v>
      </c>
      <c r="AD126" s="752">
        <f t="shared" si="36"/>
        <v>3</v>
      </c>
      <c r="AE126" s="752">
        <f t="shared" si="36"/>
        <v>3</v>
      </c>
    </row>
    <row r="127" spans="1:33">
      <c r="A127" s="37"/>
      <c r="B127" s="37"/>
      <c r="C127" s="57"/>
      <c r="E127" s="57"/>
      <c r="F127" s="57"/>
      <c r="G127" s="57"/>
      <c r="H127" s="57"/>
      <c r="I127" s="43"/>
      <c r="J127" s="42"/>
      <c r="K127" s="683"/>
      <c r="L127" s="316"/>
      <c r="M127" s="316"/>
      <c r="N127" s="316"/>
      <c r="O127" s="316"/>
      <c r="P127" s="316"/>
      <c r="Q127" s="316"/>
      <c r="R127" s="316"/>
      <c r="S127" s="316"/>
      <c r="T127" s="316"/>
      <c r="U127" s="316"/>
      <c r="V127" s="316"/>
      <c r="W127" s="316"/>
      <c r="X127" s="316"/>
      <c r="Y127" s="316"/>
      <c r="Z127" s="316"/>
      <c r="AA127" s="316"/>
      <c r="AB127" s="316"/>
      <c r="AC127" s="316"/>
      <c r="AD127" s="316"/>
      <c r="AE127" s="316"/>
    </row>
    <row r="128" spans="1:33" s="55" customFormat="1">
      <c r="A128" s="190" t="s">
        <v>60</v>
      </c>
      <c r="B128" s="191"/>
      <c r="C128" s="192"/>
      <c r="D128" s="193"/>
      <c r="E128" s="194"/>
      <c r="F128" s="194"/>
      <c r="G128" s="192"/>
      <c r="H128" s="192"/>
      <c r="I128" s="195">
        <v>0.2</v>
      </c>
      <c r="J128" s="196"/>
      <c r="K128" s="683">
        <v>0</v>
      </c>
      <c r="L128" s="665">
        <f>$I$128*L122</f>
        <v>0</v>
      </c>
      <c r="M128" s="665">
        <f t="shared" ref="M128:AE128" si="37">$I$128*M122</f>
        <v>9095</v>
      </c>
      <c r="N128" s="665">
        <f t="shared" si="37"/>
        <v>9462.4380000000001</v>
      </c>
      <c r="O128" s="665">
        <f t="shared" si="37"/>
        <v>9651.6867600000005</v>
      </c>
      <c r="P128" s="665">
        <f t="shared" si="37"/>
        <v>9844.7204951999993</v>
      </c>
      <c r="Q128" s="665">
        <f t="shared" si="37"/>
        <v>10041.614905104001</v>
      </c>
      <c r="R128" s="665">
        <f t="shared" si="37"/>
        <v>10242.44720320608</v>
      </c>
      <c r="S128" s="665">
        <f t="shared" si="37"/>
        <v>10447.296147270201</v>
      </c>
      <c r="T128" s="665">
        <f t="shared" si="37"/>
        <v>10656.242070215607</v>
      </c>
      <c r="U128" s="665">
        <f t="shared" si="37"/>
        <v>10869.36691161992</v>
      </c>
      <c r="V128" s="665">
        <f t="shared" si="37"/>
        <v>11086.754249852318</v>
      </c>
      <c r="W128" s="665">
        <f t="shared" si="37"/>
        <v>11308.489334849364</v>
      </c>
      <c r="X128" s="665">
        <f t="shared" si="37"/>
        <v>11534.659121546354</v>
      </c>
      <c r="Y128" s="665">
        <f t="shared" si="37"/>
        <v>11765.352303977279</v>
      </c>
      <c r="Z128" s="665">
        <f t="shared" si="37"/>
        <v>12000.659350056825</v>
      </c>
      <c r="AA128" s="665">
        <f t="shared" si="37"/>
        <v>12240.672537057961</v>
      </c>
      <c r="AB128" s="665">
        <f t="shared" si="37"/>
        <v>12485.48598779912</v>
      </c>
      <c r="AC128" s="665">
        <f t="shared" si="37"/>
        <v>12735.195707555104</v>
      </c>
      <c r="AD128" s="665">
        <f t="shared" si="37"/>
        <v>12989.899621706207</v>
      </c>
      <c r="AE128" s="665">
        <f t="shared" si="37"/>
        <v>13249.697614140328</v>
      </c>
    </row>
    <row r="129" spans="1:33">
      <c r="A129" s="190"/>
      <c r="B129" s="191"/>
      <c r="C129" s="192"/>
      <c r="D129" s="193"/>
      <c r="E129" s="194"/>
      <c r="F129" s="194"/>
      <c r="G129" s="192"/>
      <c r="H129" s="192"/>
      <c r="I129" s="195"/>
      <c r="J129" s="196"/>
      <c r="K129" s="685"/>
      <c r="L129" s="665"/>
      <c r="M129" s="665"/>
      <c r="N129" s="665"/>
      <c r="O129" s="665"/>
      <c r="P129" s="665"/>
      <c r="Q129" s="665"/>
      <c r="R129" s="665"/>
      <c r="S129" s="665"/>
      <c r="T129" s="665"/>
      <c r="U129" s="665"/>
      <c r="V129" s="665"/>
      <c r="W129" s="665"/>
      <c r="X129" s="665"/>
      <c r="Y129" s="665"/>
      <c r="Z129" s="665"/>
      <c r="AA129" s="665"/>
      <c r="AB129" s="665"/>
      <c r="AC129" s="665"/>
      <c r="AD129" s="665"/>
      <c r="AE129" s="665"/>
    </row>
    <row r="130" spans="1:33">
      <c r="A130" s="164" t="s">
        <v>61</v>
      </c>
      <c r="B130" s="164"/>
      <c r="C130" s="75"/>
      <c r="D130" s="173"/>
      <c r="E130" s="75"/>
      <c r="F130" s="75"/>
      <c r="G130" s="75"/>
      <c r="H130" s="75"/>
      <c r="I130" s="174"/>
      <c r="J130" s="175"/>
      <c r="K130" s="685">
        <v>0</v>
      </c>
      <c r="L130" s="669">
        <f>SUM(L122,L128)</f>
        <v>0</v>
      </c>
      <c r="M130" s="669">
        <f t="shared" ref="M130:AE130" si="38">SUM(M122,M128)</f>
        <v>54570</v>
      </c>
      <c r="N130" s="669">
        <f t="shared" si="38"/>
        <v>56774.628000000004</v>
      </c>
      <c r="O130" s="669">
        <f t="shared" si="38"/>
        <v>57910.120559999996</v>
      </c>
      <c r="P130" s="669">
        <f t="shared" si="38"/>
        <v>59068.322971199988</v>
      </c>
      <c r="Q130" s="669">
        <f t="shared" si="38"/>
        <v>60249.689430623999</v>
      </c>
      <c r="R130" s="669">
        <f t="shared" si="38"/>
        <v>61454.683219236475</v>
      </c>
      <c r="S130" s="669">
        <f t="shared" si="38"/>
        <v>62683.776883621205</v>
      </c>
      <c r="T130" s="669">
        <f t="shared" si="38"/>
        <v>63937.452421293638</v>
      </c>
      <c r="U130" s="669">
        <f t="shared" si="38"/>
        <v>65216.201469719512</v>
      </c>
      <c r="V130" s="669">
        <f t="shared" si="38"/>
        <v>66520.525499113894</v>
      </c>
      <c r="W130" s="669">
        <f t="shared" si="38"/>
        <v>67850.936009096185</v>
      </c>
      <c r="X130" s="669">
        <f t="shared" si="38"/>
        <v>69207.954729278121</v>
      </c>
      <c r="Y130" s="669">
        <f t="shared" si="38"/>
        <v>70592.113823863678</v>
      </c>
      <c r="Z130" s="669">
        <f t="shared" si="38"/>
        <v>72003.956100340947</v>
      </c>
      <c r="AA130" s="669">
        <f t="shared" si="38"/>
        <v>73444.035222347768</v>
      </c>
      <c r="AB130" s="669">
        <f t="shared" si="38"/>
        <v>74912.915926794725</v>
      </c>
      <c r="AC130" s="669">
        <f t="shared" si="38"/>
        <v>76411.174245330621</v>
      </c>
      <c r="AD130" s="669">
        <f t="shared" si="38"/>
        <v>77939.397730237237</v>
      </c>
      <c r="AE130" s="669">
        <f t="shared" si="38"/>
        <v>79498.18568484197</v>
      </c>
    </row>
    <row r="131" spans="1:33">
      <c r="A131" s="183"/>
      <c r="B131" s="184"/>
      <c r="C131" s="185"/>
      <c r="D131" s="186"/>
      <c r="E131" s="185"/>
      <c r="F131" s="185"/>
      <c r="G131" s="185"/>
      <c r="H131" s="185"/>
      <c r="I131" s="187"/>
      <c r="J131" s="188"/>
      <c r="K131" s="683"/>
      <c r="L131" s="320"/>
      <c r="M131" s="320"/>
      <c r="N131" s="320"/>
      <c r="O131" s="320"/>
      <c r="P131" s="320"/>
      <c r="Q131" s="320"/>
      <c r="R131" s="320"/>
      <c r="S131" s="320"/>
      <c r="T131" s="320"/>
      <c r="U131" s="320"/>
      <c r="V131" s="320"/>
      <c r="W131" s="320"/>
      <c r="X131" s="320"/>
      <c r="Y131" s="320"/>
      <c r="Z131" s="320"/>
      <c r="AA131" s="320"/>
      <c r="AB131" s="320"/>
      <c r="AC131" s="320"/>
      <c r="AD131" s="320"/>
      <c r="AE131" s="320"/>
    </row>
    <row r="132" spans="1:33">
      <c r="A132" s="39" t="s">
        <v>4</v>
      </c>
      <c r="B132" s="39"/>
      <c r="C132" s="111"/>
      <c r="D132" s="112"/>
      <c r="E132" s="111"/>
      <c r="F132" s="111"/>
      <c r="G132" s="111"/>
      <c r="H132" s="111"/>
      <c r="I132" s="40"/>
      <c r="J132" s="113"/>
      <c r="K132" s="688"/>
      <c r="L132" s="321"/>
      <c r="M132" s="321"/>
      <c r="N132" s="321"/>
      <c r="O132" s="321"/>
      <c r="P132" s="321"/>
      <c r="Q132" s="321"/>
      <c r="R132" s="321"/>
      <c r="S132" s="321"/>
      <c r="T132" s="321"/>
      <c r="U132" s="321"/>
      <c r="V132" s="321"/>
      <c r="W132" s="321"/>
      <c r="X132" s="321"/>
      <c r="Y132" s="321"/>
      <c r="Z132" s="321"/>
      <c r="AA132" s="321"/>
      <c r="AB132" s="321"/>
      <c r="AC132" s="321"/>
      <c r="AD132" s="321"/>
      <c r="AE132" s="321"/>
    </row>
    <row r="133" spans="1:33">
      <c r="A133" s="41" t="s">
        <v>13</v>
      </c>
      <c r="B133" s="41"/>
      <c r="C133" s="105"/>
      <c r="D133" s="106"/>
      <c r="E133" s="37"/>
      <c r="F133" s="37"/>
      <c r="G133" s="37"/>
      <c r="H133" s="37"/>
      <c r="I133" s="41"/>
      <c r="J133" s="37"/>
      <c r="K133" s="683"/>
      <c r="L133" s="200"/>
      <c r="M133" s="200"/>
      <c r="N133" s="200"/>
      <c r="O133" s="200"/>
      <c r="P133" s="200"/>
      <c r="Q133" s="200"/>
      <c r="R133" s="200"/>
      <c r="S133" s="200"/>
      <c r="T133" s="200"/>
      <c r="U133" s="201"/>
      <c r="V133" s="323"/>
      <c r="W133" s="200"/>
      <c r="X133" s="200"/>
      <c r="Y133" s="200"/>
      <c r="Z133" s="200"/>
      <c r="AA133" s="200"/>
      <c r="AB133" s="200"/>
      <c r="AC133" s="200"/>
      <c r="AD133" s="200"/>
      <c r="AE133" s="201"/>
    </row>
    <row r="134" spans="1:33">
      <c r="A134" s="33" t="s">
        <v>65</v>
      </c>
      <c r="B134" s="735" t="s">
        <v>12</v>
      </c>
      <c r="C134" s="663">
        <v>65000</v>
      </c>
      <c r="D134" s="736">
        <f>C134/2080</f>
        <v>31.25</v>
      </c>
      <c r="E134" s="663">
        <v>0</v>
      </c>
      <c r="F134" s="663">
        <f>C134*$F$13</f>
        <v>26000</v>
      </c>
      <c r="G134" s="663">
        <f>SUM(C134,E134:F134)</f>
        <v>91000</v>
      </c>
      <c r="H134" s="736">
        <f>G134/2080*8</f>
        <v>350</v>
      </c>
      <c r="I134" s="764"/>
      <c r="J134" s="765"/>
      <c r="K134" s="683">
        <v>0</v>
      </c>
      <c r="L134" s="665">
        <v>0</v>
      </c>
      <c r="M134" s="665">
        <f>$H$134*M32*0.25</f>
        <v>18725</v>
      </c>
      <c r="N134" s="665">
        <f t="shared" ref="N134:AE134" si="39">$M$134*L11</f>
        <v>19099.5</v>
      </c>
      <c r="O134" s="665">
        <f t="shared" si="39"/>
        <v>19481.490000000002</v>
      </c>
      <c r="P134" s="665">
        <f t="shared" si="39"/>
        <v>19871.1198</v>
      </c>
      <c r="Q134" s="665">
        <f t="shared" si="39"/>
        <v>20268.542195999999</v>
      </c>
      <c r="R134" s="665">
        <f t="shared" si="39"/>
        <v>20673.91303992</v>
      </c>
      <c r="S134" s="665">
        <f t="shared" si="39"/>
        <v>21087.391300718402</v>
      </c>
      <c r="T134" s="665">
        <f t="shared" si="39"/>
        <v>21509.139126732767</v>
      </c>
      <c r="U134" s="665">
        <f t="shared" si="39"/>
        <v>21939.321909267426</v>
      </c>
      <c r="V134" s="665">
        <f t="shared" si="39"/>
        <v>22378.108347452773</v>
      </c>
      <c r="W134" s="665">
        <f t="shared" si="39"/>
        <v>22825.670514401831</v>
      </c>
      <c r="X134" s="665">
        <f t="shared" si="39"/>
        <v>23282.183924689867</v>
      </c>
      <c r="Y134" s="665">
        <f t="shared" si="39"/>
        <v>23747.827603183665</v>
      </c>
      <c r="Z134" s="665">
        <f t="shared" si="39"/>
        <v>24222.784155247336</v>
      </c>
      <c r="AA134" s="665">
        <f t="shared" si="39"/>
        <v>24707.239838352285</v>
      </c>
      <c r="AB134" s="665">
        <f t="shared" si="39"/>
        <v>25201.384635119332</v>
      </c>
      <c r="AC134" s="665">
        <f t="shared" si="39"/>
        <v>25705.412327821719</v>
      </c>
      <c r="AD134" s="665">
        <f t="shared" si="39"/>
        <v>26219.520574378155</v>
      </c>
      <c r="AE134" s="665">
        <f t="shared" si="39"/>
        <v>26743.910985865718</v>
      </c>
    </row>
    <row r="135" spans="1:33">
      <c r="A135" s="37" t="s">
        <v>62</v>
      </c>
      <c r="B135" s="735" t="s">
        <v>12</v>
      </c>
      <c r="C135" s="663">
        <v>85000</v>
      </c>
      <c r="D135" s="736">
        <f>C135/2080</f>
        <v>40.865384615384613</v>
      </c>
      <c r="E135" s="663">
        <f>C135*$L$15</f>
        <v>0</v>
      </c>
      <c r="F135" s="663">
        <f t="shared" ref="F135:F138" si="40">C135*$F$13</f>
        <v>34000</v>
      </c>
      <c r="G135" s="663">
        <f t="shared" ref="G135:G138" si="41">SUM(C135,E135:F135)</f>
        <v>119000</v>
      </c>
      <c r="H135" s="736">
        <f>G135/2080*8</f>
        <v>457.69230769230768</v>
      </c>
      <c r="I135" s="764"/>
      <c r="J135" s="765"/>
      <c r="K135" s="683">
        <v>0</v>
      </c>
      <c r="L135" s="665">
        <v>0</v>
      </c>
      <c r="M135" s="665">
        <f>$H$135*M32*0.1</f>
        <v>9794.6153846153848</v>
      </c>
      <c r="N135" s="665">
        <f t="shared" ref="N135:AE135" si="42">$M$135*L11</f>
        <v>9990.5076923076922</v>
      </c>
      <c r="O135" s="665">
        <f t="shared" si="42"/>
        <v>10190.317846153846</v>
      </c>
      <c r="P135" s="665">
        <f t="shared" si="42"/>
        <v>10394.124203076923</v>
      </c>
      <c r="Q135" s="665">
        <f t="shared" si="42"/>
        <v>10602.006687138461</v>
      </c>
      <c r="R135" s="665">
        <f t="shared" si="42"/>
        <v>10814.046820881231</v>
      </c>
      <c r="S135" s="665">
        <f t="shared" si="42"/>
        <v>11030.327757298855</v>
      </c>
      <c r="T135" s="665">
        <f t="shared" si="42"/>
        <v>11250.934312444833</v>
      </c>
      <c r="U135" s="665">
        <f t="shared" si="42"/>
        <v>11475.95299869373</v>
      </c>
      <c r="V135" s="665">
        <f t="shared" si="42"/>
        <v>11705.472058667605</v>
      </c>
      <c r="W135" s="665">
        <f t="shared" si="42"/>
        <v>11939.581499840959</v>
      </c>
      <c r="X135" s="665">
        <f t="shared" si="42"/>
        <v>12178.373129837777</v>
      </c>
      <c r="Y135" s="665">
        <f t="shared" si="42"/>
        <v>12421.940592434532</v>
      </c>
      <c r="Z135" s="665">
        <f t="shared" si="42"/>
        <v>12670.379404283221</v>
      </c>
      <c r="AA135" s="665">
        <f t="shared" si="42"/>
        <v>12923.786992368889</v>
      </c>
      <c r="AB135" s="665">
        <f t="shared" si="42"/>
        <v>13182.262732216266</v>
      </c>
      <c r="AC135" s="665">
        <f t="shared" si="42"/>
        <v>13445.907986860591</v>
      </c>
      <c r="AD135" s="665">
        <f t="shared" si="42"/>
        <v>13714.826146597805</v>
      </c>
      <c r="AE135" s="665">
        <f t="shared" si="42"/>
        <v>13989.122669529761</v>
      </c>
    </row>
    <row r="136" spans="1:33">
      <c r="A136" s="37" t="s">
        <v>419</v>
      </c>
      <c r="B136" s="735" t="s">
        <v>12</v>
      </c>
      <c r="C136" s="663">
        <v>75000</v>
      </c>
      <c r="D136" s="736">
        <f>C136/2080</f>
        <v>36.057692307692307</v>
      </c>
      <c r="E136" s="663">
        <f>C136*$L$15</f>
        <v>0</v>
      </c>
      <c r="F136" s="663">
        <f t="shared" si="40"/>
        <v>30000</v>
      </c>
      <c r="G136" s="663">
        <f t="shared" si="41"/>
        <v>105000</v>
      </c>
      <c r="H136" s="736">
        <f>G136/2080*8</f>
        <v>403.84615384615387</v>
      </c>
      <c r="I136" s="764"/>
      <c r="J136" s="765"/>
      <c r="K136" s="683">
        <v>0</v>
      </c>
      <c r="L136" s="665">
        <v>0</v>
      </c>
      <c r="M136" s="665">
        <f>$H$136*M32*0.1</f>
        <v>8642.3076923076933</v>
      </c>
      <c r="N136" s="665">
        <f t="shared" ref="N136:AE136" si="43">$M$136*L11</f>
        <v>8815.1538461538476</v>
      </c>
      <c r="O136" s="665">
        <f t="shared" si="43"/>
        <v>8991.4569230769248</v>
      </c>
      <c r="P136" s="665">
        <f t="shared" si="43"/>
        <v>9171.2860615384616</v>
      </c>
      <c r="Q136" s="665">
        <f t="shared" si="43"/>
        <v>9354.7117827692309</v>
      </c>
      <c r="R136" s="665">
        <f t="shared" si="43"/>
        <v>9541.8060184246169</v>
      </c>
      <c r="S136" s="665">
        <f t="shared" si="43"/>
        <v>9732.6421387931096</v>
      </c>
      <c r="T136" s="665">
        <f t="shared" si="43"/>
        <v>9927.2949815689717</v>
      </c>
      <c r="U136" s="665">
        <f t="shared" si="43"/>
        <v>10125.840881200351</v>
      </c>
      <c r="V136" s="665">
        <f t="shared" si="43"/>
        <v>10328.357698824359</v>
      </c>
      <c r="W136" s="665">
        <f t="shared" si="43"/>
        <v>10534.924852800847</v>
      </c>
      <c r="X136" s="665">
        <f t="shared" si="43"/>
        <v>10745.623349856864</v>
      </c>
      <c r="Y136" s="665">
        <f t="shared" si="43"/>
        <v>10960.535816854001</v>
      </c>
      <c r="Z136" s="665">
        <f t="shared" si="43"/>
        <v>11179.746533191079</v>
      </c>
      <c r="AA136" s="665">
        <f t="shared" si="43"/>
        <v>11403.341463854902</v>
      </c>
      <c r="AB136" s="665">
        <f t="shared" si="43"/>
        <v>11631.408293132001</v>
      </c>
      <c r="AC136" s="665">
        <f t="shared" si="43"/>
        <v>11864.03645899464</v>
      </c>
      <c r="AD136" s="665">
        <f t="shared" si="43"/>
        <v>12101.317188174535</v>
      </c>
      <c r="AE136" s="665">
        <f t="shared" si="43"/>
        <v>12343.343531938026</v>
      </c>
    </row>
    <row r="137" spans="1:33">
      <c r="A137" s="37" t="s">
        <v>63</v>
      </c>
      <c r="B137" s="735" t="s">
        <v>15</v>
      </c>
      <c r="C137" s="663">
        <v>15000</v>
      </c>
      <c r="D137" s="736">
        <f t="shared" ref="D137:D138" si="44">C137/2080</f>
        <v>7.2115384615384617</v>
      </c>
      <c r="E137" s="663">
        <f>C137*$L$15</f>
        <v>0</v>
      </c>
      <c r="F137" s="663">
        <f t="shared" si="40"/>
        <v>6000</v>
      </c>
      <c r="G137" s="663">
        <f t="shared" si="41"/>
        <v>21000</v>
      </c>
      <c r="H137" s="736">
        <f t="shared" ref="H137:H138" si="45">G137/2080*8</f>
        <v>80.769230769230774</v>
      </c>
      <c r="I137" s="764"/>
      <c r="J137" s="765"/>
      <c r="K137" s="683">
        <v>0</v>
      </c>
      <c r="L137" s="665">
        <v>0</v>
      </c>
      <c r="M137" s="665">
        <f>($H$137*M32)*0.5</f>
        <v>8642.3076923076933</v>
      </c>
      <c r="N137" s="665">
        <f t="shared" ref="N137:AE137" si="46">$M$137*L11</f>
        <v>8815.1538461538476</v>
      </c>
      <c r="O137" s="665">
        <f t="shared" si="46"/>
        <v>8991.4569230769248</v>
      </c>
      <c r="P137" s="665">
        <f t="shared" si="46"/>
        <v>9171.2860615384616</v>
      </c>
      <c r="Q137" s="665">
        <f t="shared" si="46"/>
        <v>9354.7117827692309</v>
      </c>
      <c r="R137" s="665">
        <f t="shared" si="46"/>
        <v>9541.8060184246169</v>
      </c>
      <c r="S137" s="665">
        <f t="shared" si="46"/>
        <v>9732.6421387931096</v>
      </c>
      <c r="T137" s="665">
        <f t="shared" si="46"/>
        <v>9927.2949815689717</v>
      </c>
      <c r="U137" s="665">
        <f t="shared" si="46"/>
        <v>10125.840881200351</v>
      </c>
      <c r="V137" s="665">
        <f t="shared" si="46"/>
        <v>10328.357698824359</v>
      </c>
      <c r="W137" s="665">
        <f t="shared" si="46"/>
        <v>10534.924852800847</v>
      </c>
      <c r="X137" s="665">
        <f t="shared" si="46"/>
        <v>10745.623349856864</v>
      </c>
      <c r="Y137" s="665">
        <f t="shared" si="46"/>
        <v>10960.535816854001</v>
      </c>
      <c r="Z137" s="665">
        <f t="shared" si="46"/>
        <v>11179.746533191079</v>
      </c>
      <c r="AA137" s="665">
        <f t="shared" si="46"/>
        <v>11403.341463854902</v>
      </c>
      <c r="AB137" s="665">
        <f t="shared" si="46"/>
        <v>11631.408293132001</v>
      </c>
      <c r="AC137" s="665">
        <f t="shared" si="46"/>
        <v>11864.03645899464</v>
      </c>
      <c r="AD137" s="665">
        <f t="shared" si="46"/>
        <v>12101.317188174535</v>
      </c>
      <c r="AE137" s="665">
        <f t="shared" si="46"/>
        <v>12343.343531938026</v>
      </c>
    </row>
    <row r="138" spans="1:33">
      <c r="A138" s="745" t="s">
        <v>63</v>
      </c>
      <c r="B138" s="738" t="s">
        <v>15</v>
      </c>
      <c r="C138" s="739">
        <v>15000</v>
      </c>
      <c r="D138" s="740">
        <f t="shared" si="44"/>
        <v>7.2115384615384617</v>
      </c>
      <c r="E138" s="739">
        <f>C138*$L$15</f>
        <v>0</v>
      </c>
      <c r="F138" s="739">
        <f t="shared" si="40"/>
        <v>6000</v>
      </c>
      <c r="G138" s="739">
        <f t="shared" si="41"/>
        <v>21000</v>
      </c>
      <c r="H138" s="740">
        <f t="shared" si="45"/>
        <v>80.769230769230774</v>
      </c>
      <c r="I138" s="766"/>
      <c r="J138" s="767"/>
      <c r="K138" s="741">
        <v>0</v>
      </c>
      <c r="L138" s="742">
        <v>0</v>
      </c>
      <c r="M138" s="742">
        <f>($H$138*M32)*0.5</f>
        <v>8642.3076923076933</v>
      </c>
      <c r="N138" s="742">
        <f t="shared" ref="N138:AE138" si="47">$M$138*L11</f>
        <v>8815.1538461538476</v>
      </c>
      <c r="O138" s="742">
        <f t="shared" si="47"/>
        <v>8991.4569230769248</v>
      </c>
      <c r="P138" s="742">
        <f t="shared" si="47"/>
        <v>9171.2860615384616</v>
      </c>
      <c r="Q138" s="742">
        <f t="shared" si="47"/>
        <v>9354.7117827692309</v>
      </c>
      <c r="R138" s="742">
        <f t="shared" si="47"/>
        <v>9541.8060184246169</v>
      </c>
      <c r="S138" s="742">
        <f t="shared" si="47"/>
        <v>9732.6421387931096</v>
      </c>
      <c r="T138" s="742">
        <f t="shared" si="47"/>
        <v>9927.2949815689717</v>
      </c>
      <c r="U138" s="742">
        <f t="shared" si="47"/>
        <v>10125.840881200351</v>
      </c>
      <c r="V138" s="742">
        <f t="shared" si="47"/>
        <v>10328.357698824359</v>
      </c>
      <c r="W138" s="742">
        <f t="shared" si="47"/>
        <v>10534.924852800847</v>
      </c>
      <c r="X138" s="742">
        <f t="shared" si="47"/>
        <v>10745.623349856864</v>
      </c>
      <c r="Y138" s="742">
        <f t="shared" si="47"/>
        <v>10960.535816854001</v>
      </c>
      <c r="Z138" s="742">
        <f t="shared" si="47"/>
        <v>11179.746533191079</v>
      </c>
      <c r="AA138" s="742">
        <f t="shared" si="47"/>
        <v>11403.341463854902</v>
      </c>
      <c r="AB138" s="742">
        <f t="shared" si="47"/>
        <v>11631.408293132001</v>
      </c>
      <c r="AC138" s="742">
        <f t="shared" si="47"/>
        <v>11864.03645899464</v>
      </c>
      <c r="AD138" s="742">
        <f t="shared" si="47"/>
        <v>12101.317188174535</v>
      </c>
      <c r="AE138" s="742">
        <f t="shared" si="47"/>
        <v>12343.343531938026</v>
      </c>
    </row>
    <row r="139" spans="1:33" s="56" customFormat="1" ht="14.25">
      <c r="A139" s="164" t="s">
        <v>415</v>
      </c>
      <c r="B139" s="164"/>
      <c r="C139" s="667">
        <f>SUM(C134:C138)</f>
        <v>255000</v>
      </c>
      <c r="D139" s="667"/>
      <c r="E139" s="667">
        <f>SUM(E134:E138)</f>
        <v>0</v>
      </c>
      <c r="F139" s="667">
        <f>SUM(F134:F138)</f>
        <v>102000</v>
      </c>
      <c r="G139" s="667">
        <f>SUM(G134:G138)</f>
        <v>357000</v>
      </c>
      <c r="H139" s="667">
        <f>SUM(H134:H138)</f>
        <v>1373.0769230769229</v>
      </c>
      <c r="I139" s="768"/>
      <c r="J139" s="769"/>
      <c r="K139" s="685">
        <f>SUMIF($B134:$B138,"FT",K134:K138)</f>
        <v>0</v>
      </c>
      <c r="L139" s="669">
        <f>SUMIF($B134:$B138,"FT",L134:L138)</f>
        <v>0</v>
      </c>
      <c r="M139" s="669">
        <f>SUM(M134:M138)</f>
        <v>54446.538461538468</v>
      </c>
      <c r="N139" s="669">
        <f t="shared" ref="N139:AE139" si="48">SUM(N134:N138)</f>
        <v>55535.469230769231</v>
      </c>
      <c r="O139" s="669">
        <f t="shared" si="48"/>
        <v>56646.178615384626</v>
      </c>
      <c r="P139" s="669">
        <f t="shared" si="48"/>
        <v>57779.102187692311</v>
      </c>
      <c r="Q139" s="669">
        <f t="shared" si="48"/>
        <v>58934.684231446139</v>
      </c>
      <c r="R139" s="669">
        <f t="shared" si="48"/>
        <v>60113.377916075071</v>
      </c>
      <c r="S139" s="669">
        <f t="shared" si="48"/>
        <v>61315.645474396588</v>
      </c>
      <c r="T139" s="669">
        <f t="shared" si="48"/>
        <v>62541.958383884514</v>
      </c>
      <c r="U139" s="669">
        <f t="shared" si="48"/>
        <v>63792.797551562195</v>
      </c>
      <c r="V139" s="669">
        <f t="shared" si="48"/>
        <v>65068.653502593457</v>
      </c>
      <c r="W139" s="669">
        <f t="shared" si="48"/>
        <v>66370.026572645322</v>
      </c>
      <c r="X139" s="669">
        <f t="shared" si="48"/>
        <v>67697.427104098228</v>
      </c>
      <c r="Y139" s="669">
        <f t="shared" si="48"/>
        <v>69051.375646180197</v>
      </c>
      <c r="Z139" s="669">
        <f t="shared" si="48"/>
        <v>70432.403159103793</v>
      </c>
      <c r="AA139" s="669">
        <f t="shared" si="48"/>
        <v>71841.051222285882</v>
      </c>
      <c r="AB139" s="669">
        <f t="shared" si="48"/>
        <v>73277.872246731597</v>
      </c>
      <c r="AC139" s="669">
        <f t="shared" si="48"/>
        <v>74743.429691666228</v>
      </c>
      <c r="AD139" s="669">
        <f t="shared" si="48"/>
        <v>76238.298285499564</v>
      </c>
      <c r="AE139" s="669">
        <f t="shared" si="48"/>
        <v>77763.064251209551</v>
      </c>
    </row>
    <row r="140" spans="1:33">
      <c r="A140" s="37"/>
      <c r="B140" s="37"/>
      <c r="C140" s="663"/>
      <c r="D140" s="663"/>
      <c r="E140" s="663"/>
      <c r="F140" s="663"/>
      <c r="G140" s="663"/>
      <c r="H140" s="663"/>
      <c r="I140" s="107"/>
      <c r="J140" s="108"/>
      <c r="K140" s="683"/>
      <c r="L140" s="666"/>
      <c r="M140" s="666"/>
      <c r="N140" s="666"/>
      <c r="O140" s="666"/>
      <c r="P140" s="666"/>
      <c r="Q140" s="666"/>
      <c r="R140" s="666"/>
      <c r="S140" s="666"/>
      <c r="T140" s="666"/>
      <c r="U140" s="666"/>
      <c r="V140" s="666"/>
      <c r="W140" s="666"/>
      <c r="X140" s="666"/>
      <c r="Y140" s="666"/>
      <c r="Z140" s="666"/>
      <c r="AA140" s="666"/>
      <c r="AB140" s="666"/>
      <c r="AC140" s="666"/>
      <c r="AD140" s="666"/>
      <c r="AE140" s="666"/>
    </row>
    <row r="141" spans="1:33">
      <c r="A141" s="37" t="s">
        <v>11</v>
      </c>
      <c r="B141" s="37"/>
      <c r="C141" s="57"/>
      <c r="E141" s="57"/>
      <c r="F141" s="57"/>
      <c r="G141" s="57"/>
      <c r="H141" s="57"/>
      <c r="I141" s="43"/>
      <c r="J141" s="42"/>
      <c r="K141" s="770">
        <f>COUNTIF(K134:K138,"&gt;100")</f>
        <v>0</v>
      </c>
      <c r="L141" s="771">
        <f>COUNTIF(L134:L136,"&gt;100")</f>
        <v>0</v>
      </c>
      <c r="M141" s="771">
        <f t="shared" ref="M141:AE141" si="49">COUNTIF(M134:M136,"&gt;100")</f>
        <v>3</v>
      </c>
      <c r="N141" s="771">
        <f t="shared" si="49"/>
        <v>3</v>
      </c>
      <c r="O141" s="771">
        <f t="shared" si="49"/>
        <v>3</v>
      </c>
      <c r="P141" s="771">
        <f t="shared" si="49"/>
        <v>3</v>
      </c>
      <c r="Q141" s="771">
        <f t="shared" si="49"/>
        <v>3</v>
      </c>
      <c r="R141" s="771">
        <f t="shared" si="49"/>
        <v>3</v>
      </c>
      <c r="S141" s="771">
        <f t="shared" si="49"/>
        <v>3</v>
      </c>
      <c r="T141" s="771">
        <f t="shared" si="49"/>
        <v>3</v>
      </c>
      <c r="U141" s="771">
        <f t="shared" si="49"/>
        <v>3</v>
      </c>
      <c r="V141" s="771">
        <f t="shared" si="49"/>
        <v>3</v>
      </c>
      <c r="W141" s="771">
        <f t="shared" si="49"/>
        <v>3</v>
      </c>
      <c r="X141" s="771">
        <f t="shared" si="49"/>
        <v>3</v>
      </c>
      <c r="Y141" s="771">
        <f t="shared" si="49"/>
        <v>3</v>
      </c>
      <c r="Z141" s="771">
        <f t="shared" si="49"/>
        <v>3</v>
      </c>
      <c r="AA141" s="771">
        <f t="shared" si="49"/>
        <v>3</v>
      </c>
      <c r="AB141" s="771">
        <f t="shared" si="49"/>
        <v>3</v>
      </c>
      <c r="AC141" s="771">
        <f t="shared" si="49"/>
        <v>3</v>
      </c>
      <c r="AD141" s="771">
        <f t="shared" si="49"/>
        <v>3</v>
      </c>
      <c r="AE141" s="771">
        <f t="shared" si="49"/>
        <v>3</v>
      </c>
      <c r="AF141" s="772"/>
      <c r="AG141" s="772"/>
    </row>
    <row r="142" spans="1:33">
      <c r="A142" s="745" t="s">
        <v>10</v>
      </c>
      <c r="B142" s="745"/>
      <c r="C142" s="746"/>
      <c r="D142" s="116"/>
      <c r="E142" s="746"/>
      <c r="F142" s="746"/>
      <c r="G142" s="746"/>
      <c r="H142" s="746"/>
      <c r="I142" s="747"/>
      <c r="J142" s="748"/>
      <c r="K142" s="773">
        <v>0</v>
      </c>
      <c r="L142" s="774">
        <f>COUNTIF(L137:L138,"&gt;100")</f>
        <v>0</v>
      </c>
      <c r="M142" s="774">
        <f t="shared" ref="M142:AE142" si="50">COUNTIF(M137:M138,"&gt;100")</f>
        <v>2</v>
      </c>
      <c r="N142" s="774">
        <f t="shared" si="50"/>
        <v>2</v>
      </c>
      <c r="O142" s="774">
        <f t="shared" si="50"/>
        <v>2</v>
      </c>
      <c r="P142" s="774">
        <f t="shared" si="50"/>
        <v>2</v>
      </c>
      <c r="Q142" s="774">
        <f t="shared" si="50"/>
        <v>2</v>
      </c>
      <c r="R142" s="774">
        <f t="shared" si="50"/>
        <v>2</v>
      </c>
      <c r="S142" s="774">
        <f t="shared" si="50"/>
        <v>2</v>
      </c>
      <c r="T142" s="774">
        <f t="shared" si="50"/>
        <v>2</v>
      </c>
      <c r="U142" s="774">
        <f t="shared" si="50"/>
        <v>2</v>
      </c>
      <c r="V142" s="774">
        <f t="shared" si="50"/>
        <v>2</v>
      </c>
      <c r="W142" s="774">
        <f t="shared" si="50"/>
        <v>2</v>
      </c>
      <c r="X142" s="774">
        <f t="shared" si="50"/>
        <v>2</v>
      </c>
      <c r="Y142" s="774">
        <f t="shared" si="50"/>
        <v>2</v>
      </c>
      <c r="Z142" s="774">
        <f t="shared" si="50"/>
        <v>2</v>
      </c>
      <c r="AA142" s="774">
        <f t="shared" si="50"/>
        <v>2</v>
      </c>
      <c r="AB142" s="774">
        <f t="shared" si="50"/>
        <v>2</v>
      </c>
      <c r="AC142" s="774">
        <f t="shared" si="50"/>
        <v>2</v>
      </c>
      <c r="AD142" s="774">
        <f t="shared" si="50"/>
        <v>2</v>
      </c>
      <c r="AE142" s="774">
        <f t="shared" si="50"/>
        <v>2</v>
      </c>
      <c r="AF142" s="772"/>
      <c r="AG142" s="772"/>
    </row>
    <row r="143" spans="1:33" s="56" customFormat="1" ht="14.25">
      <c r="A143" s="164" t="s">
        <v>9</v>
      </c>
      <c r="B143" s="164"/>
      <c r="C143" s="75"/>
      <c r="D143" s="173"/>
      <c r="E143" s="75"/>
      <c r="F143" s="75"/>
      <c r="G143" s="75"/>
      <c r="H143" s="75"/>
      <c r="I143" s="174"/>
      <c r="J143" s="181"/>
      <c r="K143" s="775">
        <v>0</v>
      </c>
      <c r="L143" s="776">
        <f>SUM(L141:L142)</f>
        <v>0</v>
      </c>
      <c r="M143" s="776">
        <f t="shared" ref="M143:AE143" si="51">COUNTIF(M134:M138,"&gt;0")</f>
        <v>5</v>
      </c>
      <c r="N143" s="776">
        <f t="shared" si="51"/>
        <v>5</v>
      </c>
      <c r="O143" s="776">
        <f t="shared" si="51"/>
        <v>5</v>
      </c>
      <c r="P143" s="776">
        <f t="shared" si="51"/>
        <v>5</v>
      </c>
      <c r="Q143" s="776">
        <f t="shared" si="51"/>
        <v>5</v>
      </c>
      <c r="R143" s="776">
        <f t="shared" si="51"/>
        <v>5</v>
      </c>
      <c r="S143" s="776">
        <f t="shared" si="51"/>
        <v>5</v>
      </c>
      <c r="T143" s="776">
        <f t="shared" si="51"/>
        <v>5</v>
      </c>
      <c r="U143" s="776">
        <f t="shared" si="51"/>
        <v>5</v>
      </c>
      <c r="V143" s="776">
        <f t="shared" si="51"/>
        <v>5</v>
      </c>
      <c r="W143" s="776">
        <f t="shared" si="51"/>
        <v>5</v>
      </c>
      <c r="X143" s="776">
        <f t="shared" si="51"/>
        <v>5</v>
      </c>
      <c r="Y143" s="776">
        <f t="shared" si="51"/>
        <v>5</v>
      </c>
      <c r="Z143" s="776">
        <f t="shared" si="51"/>
        <v>5</v>
      </c>
      <c r="AA143" s="776">
        <f t="shared" si="51"/>
        <v>5</v>
      </c>
      <c r="AB143" s="776">
        <f t="shared" si="51"/>
        <v>5</v>
      </c>
      <c r="AC143" s="776">
        <f t="shared" si="51"/>
        <v>5</v>
      </c>
      <c r="AD143" s="776">
        <f t="shared" si="51"/>
        <v>5</v>
      </c>
      <c r="AE143" s="776">
        <f t="shared" si="51"/>
        <v>5</v>
      </c>
      <c r="AF143" s="723"/>
      <c r="AG143" s="723"/>
    </row>
    <row r="144" spans="1:33">
      <c r="B144" s="37"/>
      <c r="C144" s="57"/>
      <c r="E144" s="57"/>
      <c r="F144" s="57"/>
      <c r="G144" s="57"/>
      <c r="H144" s="57"/>
      <c r="I144" s="43"/>
      <c r="J144" s="42"/>
      <c r="K144" s="683"/>
      <c r="L144" s="316"/>
      <c r="M144" s="316"/>
      <c r="N144" s="316"/>
      <c r="O144" s="316"/>
      <c r="P144" s="316"/>
      <c r="Q144" s="316"/>
      <c r="R144" s="316"/>
      <c r="S144" s="316"/>
      <c r="T144" s="316"/>
      <c r="U144" s="316"/>
      <c r="V144" s="316"/>
      <c r="W144" s="316"/>
      <c r="X144" s="316"/>
      <c r="Y144" s="316"/>
      <c r="Z144" s="316"/>
      <c r="AA144" s="316"/>
      <c r="AB144" s="316"/>
      <c r="AC144" s="316"/>
      <c r="AD144" s="316"/>
      <c r="AE144" s="316"/>
    </row>
    <row r="145" spans="1:33">
      <c r="A145" s="33" t="s">
        <v>60</v>
      </c>
      <c r="B145" s="191"/>
      <c r="C145" s="192"/>
      <c r="D145" s="193"/>
      <c r="E145" s="194"/>
      <c r="F145" s="194"/>
      <c r="G145" s="192"/>
      <c r="H145" s="192"/>
      <c r="I145" s="195">
        <v>0.2</v>
      </c>
      <c r="J145" s="196"/>
      <c r="K145" s="689">
        <v>0</v>
      </c>
      <c r="L145" s="665">
        <f t="shared" ref="L145:AE145" si="52">L139*$I$145</f>
        <v>0</v>
      </c>
      <c r="M145" s="665">
        <f t="shared" si="52"/>
        <v>10889.307692307695</v>
      </c>
      <c r="N145" s="665">
        <f t="shared" si="52"/>
        <v>11107.093846153846</v>
      </c>
      <c r="O145" s="665">
        <f t="shared" si="52"/>
        <v>11329.235723076927</v>
      </c>
      <c r="P145" s="665">
        <f t="shared" si="52"/>
        <v>11555.820437538463</v>
      </c>
      <c r="Q145" s="665">
        <f t="shared" si="52"/>
        <v>11786.936846289229</v>
      </c>
      <c r="R145" s="665">
        <f t="shared" si="52"/>
        <v>12022.675583215016</v>
      </c>
      <c r="S145" s="665">
        <f t="shared" si="52"/>
        <v>12263.129094879318</v>
      </c>
      <c r="T145" s="665">
        <f t="shared" si="52"/>
        <v>12508.391676776904</v>
      </c>
      <c r="U145" s="665">
        <f t="shared" si="52"/>
        <v>12758.55951031244</v>
      </c>
      <c r="V145" s="665">
        <f t="shared" si="52"/>
        <v>13013.730700518692</v>
      </c>
      <c r="W145" s="665">
        <f t="shared" si="52"/>
        <v>13274.005314529066</v>
      </c>
      <c r="X145" s="665">
        <f t="shared" si="52"/>
        <v>13539.485420819647</v>
      </c>
      <c r="Y145" s="665">
        <f t="shared" si="52"/>
        <v>13810.275129236041</v>
      </c>
      <c r="Z145" s="665">
        <f t="shared" si="52"/>
        <v>14086.480631820759</v>
      </c>
      <c r="AA145" s="665">
        <f t="shared" si="52"/>
        <v>14368.210244457177</v>
      </c>
      <c r="AB145" s="665">
        <f t="shared" si="52"/>
        <v>14655.574449346321</v>
      </c>
      <c r="AC145" s="665">
        <f t="shared" si="52"/>
        <v>14948.685938333247</v>
      </c>
      <c r="AD145" s="665">
        <f t="shared" si="52"/>
        <v>15247.659657099914</v>
      </c>
      <c r="AE145" s="665">
        <f t="shared" si="52"/>
        <v>15552.612850241911</v>
      </c>
    </row>
    <row r="146" spans="1:33">
      <c r="B146" s="191"/>
      <c r="C146" s="192"/>
      <c r="D146" s="193"/>
      <c r="E146" s="194"/>
      <c r="F146" s="194"/>
      <c r="G146" s="192"/>
      <c r="H146" s="192"/>
      <c r="I146" s="195"/>
      <c r="J146" s="196"/>
      <c r="K146" s="689"/>
      <c r="L146" s="665"/>
      <c r="M146" s="665"/>
      <c r="N146" s="665"/>
      <c r="O146" s="665"/>
      <c r="P146" s="665"/>
      <c r="Q146" s="665"/>
      <c r="R146" s="665"/>
      <c r="S146" s="665"/>
      <c r="T146" s="665"/>
      <c r="U146" s="665"/>
      <c r="V146" s="665"/>
      <c r="W146" s="665"/>
      <c r="X146" s="665"/>
      <c r="Y146" s="665"/>
      <c r="Z146" s="665"/>
      <c r="AA146" s="665"/>
      <c r="AB146" s="665"/>
      <c r="AC146" s="665"/>
      <c r="AD146" s="665"/>
      <c r="AE146" s="665"/>
    </row>
    <row r="147" spans="1:33" s="197" customFormat="1" ht="14.25">
      <c r="A147" s="197" t="s">
        <v>68</v>
      </c>
      <c r="D147" s="198"/>
      <c r="K147" s="690"/>
      <c r="L147" s="677"/>
      <c r="M147" s="677"/>
      <c r="N147" s="677"/>
      <c r="O147" s="677"/>
      <c r="P147" s="677"/>
      <c r="Q147" s="677"/>
      <c r="R147" s="677"/>
      <c r="S147" s="677"/>
      <c r="T147" s="677"/>
      <c r="U147" s="677"/>
      <c r="V147" s="677"/>
      <c r="W147" s="677"/>
      <c r="X147" s="677"/>
      <c r="Y147" s="677"/>
      <c r="Z147" s="677"/>
      <c r="AA147" s="677"/>
      <c r="AB147" s="677"/>
      <c r="AC147" s="677"/>
      <c r="AD147" s="677"/>
      <c r="AE147" s="677"/>
    </row>
    <row r="148" spans="1:33">
      <c r="A148" s="37" t="s">
        <v>423</v>
      </c>
      <c r="B148" s="37"/>
      <c r="C148" s="110"/>
      <c r="D148" s="106"/>
      <c r="E148" s="57"/>
      <c r="F148" s="57"/>
      <c r="G148" s="57"/>
      <c r="H148" s="57"/>
      <c r="I148" s="49"/>
      <c r="J148" s="44"/>
      <c r="K148" s="683">
        <f>COUNTIF(K$114:K$121,"&gt;0")*$J148*R$9</f>
        <v>0</v>
      </c>
      <c r="L148" s="666">
        <v>0</v>
      </c>
      <c r="M148" s="666">
        <v>10000</v>
      </c>
      <c r="N148" s="666">
        <f t="shared" ref="N148:AE148" si="53">$M$148*L11</f>
        <v>10200</v>
      </c>
      <c r="O148" s="666">
        <f t="shared" si="53"/>
        <v>10404</v>
      </c>
      <c r="P148" s="666">
        <f t="shared" si="53"/>
        <v>10612.08</v>
      </c>
      <c r="Q148" s="666">
        <f t="shared" si="53"/>
        <v>10824.321599999999</v>
      </c>
      <c r="R148" s="666">
        <f t="shared" si="53"/>
        <v>11040.808032000001</v>
      </c>
      <c r="S148" s="666">
        <f t="shared" si="53"/>
        <v>11261.62419264</v>
      </c>
      <c r="T148" s="666">
        <f t="shared" si="53"/>
        <v>11486.8566764928</v>
      </c>
      <c r="U148" s="666">
        <f t="shared" si="53"/>
        <v>11716.593810022658</v>
      </c>
      <c r="V148" s="666">
        <f t="shared" si="53"/>
        <v>11950.92568622311</v>
      </c>
      <c r="W148" s="666">
        <f t="shared" si="53"/>
        <v>12189.944199947573</v>
      </c>
      <c r="X148" s="666">
        <f t="shared" si="53"/>
        <v>12433.743083946525</v>
      </c>
      <c r="Y148" s="666">
        <f t="shared" si="53"/>
        <v>12682.417945625455</v>
      </c>
      <c r="Z148" s="666">
        <f t="shared" si="53"/>
        <v>12936.066304537962</v>
      </c>
      <c r="AA148" s="666">
        <f t="shared" si="53"/>
        <v>13194.787630628723</v>
      </c>
      <c r="AB148" s="666">
        <f t="shared" si="53"/>
        <v>13458.683383241299</v>
      </c>
      <c r="AC148" s="666">
        <f t="shared" si="53"/>
        <v>13727.857050906125</v>
      </c>
      <c r="AD148" s="666">
        <f t="shared" si="53"/>
        <v>14002.414191924248</v>
      </c>
      <c r="AE148" s="666">
        <f t="shared" si="53"/>
        <v>14282.462475762733</v>
      </c>
    </row>
    <row r="149" spans="1:33">
      <c r="A149" s="37" t="s">
        <v>67</v>
      </c>
      <c r="B149" s="37"/>
      <c r="C149" s="110"/>
      <c r="D149" s="106"/>
      <c r="E149" s="57"/>
      <c r="F149" s="57"/>
      <c r="G149" s="57"/>
      <c r="H149" s="57"/>
      <c r="I149" s="51"/>
      <c r="J149" s="44"/>
      <c r="K149" s="683">
        <v>0</v>
      </c>
      <c r="L149" s="666">
        <v>0</v>
      </c>
      <c r="M149" s="666">
        <v>10000</v>
      </c>
      <c r="N149" s="666">
        <f t="shared" ref="N149:AE149" si="54">$M$149*L11</f>
        <v>10200</v>
      </c>
      <c r="O149" s="666">
        <f t="shared" si="54"/>
        <v>10404</v>
      </c>
      <c r="P149" s="666">
        <f t="shared" si="54"/>
        <v>10612.08</v>
      </c>
      <c r="Q149" s="666">
        <f t="shared" si="54"/>
        <v>10824.321599999999</v>
      </c>
      <c r="R149" s="666">
        <f t="shared" si="54"/>
        <v>11040.808032000001</v>
      </c>
      <c r="S149" s="666">
        <f t="shared" si="54"/>
        <v>11261.62419264</v>
      </c>
      <c r="T149" s="666">
        <f t="shared" si="54"/>
        <v>11486.8566764928</v>
      </c>
      <c r="U149" s="666">
        <f t="shared" si="54"/>
        <v>11716.593810022658</v>
      </c>
      <c r="V149" s="666">
        <f t="shared" si="54"/>
        <v>11950.92568622311</v>
      </c>
      <c r="W149" s="666">
        <f t="shared" si="54"/>
        <v>12189.944199947573</v>
      </c>
      <c r="X149" s="666">
        <f t="shared" si="54"/>
        <v>12433.743083946525</v>
      </c>
      <c r="Y149" s="666">
        <f t="shared" si="54"/>
        <v>12682.417945625455</v>
      </c>
      <c r="Z149" s="666">
        <f t="shared" si="54"/>
        <v>12936.066304537962</v>
      </c>
      <c r="AA149" s="666">
        <f t="shared" si="54"/>
        <v>13194.787630628723</v>
      </c>
      <c r="AB149" s="666">
        <f t="shared" si="54"/>
        <v>13458.683383241299</v>
      </c>
      <c r="AC149" s="666">
        <f t="shared" si="54"/>
        <v>13727.857050906125</v>
      </c>
      <c r="AD149" s="666">
        <f t="shared" si="54"/>
        <v>14002.414191924248</v>
      </c>
      <c r="AE149" s="666">
        <f t="shared" si="54"/>
        <v>14282.462475762733</v>
      </c>
    </row>
    <row r="150" spans="1:33">
      <c r="A150" s="180" t="s">
        <v>2</v>
      </c>
      <c r="B150" s="777"/>
      <c r="C150" s="778"/>
      <c r="D150" s="779"/>
      <c r="E150" s="746"/>
      <c r="F150" s="746"/>
      <c r="G150" s="778"/>
      <c r="H150" s="778"/>
      <c r="I150" s="780"/>
      <c r="J150" s="781"/>
      <c r="K150" s="741">
        <v>0</v>
      </c>
      <c r="L150" s="742">
        <v>0</v>
      </c>
      <c r="M150" s="742">
        <v>0</v>
      </c>
      <c r="N150" s="742">
        <v>0</v>
      </c>
      <c r="O150" s="742">
        <v>0</v>
      </c>
      <c r="P150" s="742">
        <v>0</v>
      </c>
      <c r="Q150" s="742">
        <v>0</v>
      </c>
      <c r="R150" s="742">
        <v>0</v>
      </c>
      <c r="S150" s="742">
        <v>0</v>
      </c>
      <c r="T150" s="742">
        <v>0</v>
      </c>
      <c r="U150" s="742">
        <v>0</v>
      </c>
      <c r="V150" s="742">
        <v>0</v>
      </c>
      <c r="W150" s="742">
        <v>0</v>
      </c>
      <c r="X150" s="742">
        <v>0</v>
      </c>
      <c r="Y150" s="742">
        <v>0</v>
      </c>
      <c r="Z150" s="742">
        <v>0</v>
      </c>
      <c r="AA150" s="742">
        <v>0</v>
      </c>
      <c r="AB150" s="742">
        <v>0</v>
      </c>
      <c r="AC150" s="742">
        <v>0</v>
      </c>
      <c r="AD150" s="742">
        <v>0</v>
      </c>
      <c r="AE150" s="742">
        <v>0</v>
      </c>
    </row>
    <row r="151" spans="1:33" s="56" customFormat="1" ht="14.25">
      <c r="A151" s="164" t="s">
        <v>78</v>
      </c>
      <c r="B151" s="164"/>
      <c r="C151" s="75"/>
      <c r="D151" s="173"/>
      <c r="E151" s="75"/>
      <c r="F151" s="75"/>
      <c r="G151" s="75"/>
      <c r="H151" s="75"/>
      <c r="I151" s="174"/>
      <c r="J151" s="175"/>
      <c r="K151" s="685">
        <v>0</v>
      </c>
      <c r="L151" s="669">
        <f t="shared" ref="L151:AE151" si="55">SUM(L148:L150)</f>
        <v>0</v>
      </c>
      <c r="M151" s="669">
        <f t="shared" si="55"/>
        <v>20000</v>
      </c>
      <c r="N151" s="669">
        <f t="shared" si="55"/>
        <v>20400</v>
      </c>
      <c r="O151" s="669">
        <f t="shared" si="55"/>
        <v>20808</v>
      </c>
      <c r="P151" s="669">
        <f t="shared" si="55"/>
        <v>21224.16</v>
      </c>
      <c r="Q151" s="669">
        <f t="shared" si="55"/>
        <v>21648.643199999999</v>
      </c>
      <c r="R151" s="669">
        <f t="shared" si="55"/>
        <v>22081.616064000002</v>
      </c>
      <c r="S151" s="669">
        <f t="shared" si="55"/>
        <v>22523.24838528</v>
      </c>
      <c r="T151" s="669">
        <f t="shared" si="55"/>
        <v>22973.7133529856</v>
      </c>
      <c r="U151" s="669">
        <f t="shared" si="55"/>
        <v>23433.187620045315</v>
      </c>
      <c r="V151" s="669">
        <f t="shared" si="55"/>
        <v>23901.851372446221</v>
      </c>
      <c r="W151" s="669">
        <f t="shared" si="55"/>
        <v>24379.888399895146</v>
      </c>
      <c r="X151" s="669">
        <f t="shared" si="55"/>
        <v>24867.48616789305</v>
      </c>
      <c r="Y151" s="669">
        <f t="shared" si="55"/>
        <v>25364.83589125091</v>
      </c>
      <c r="Z151" s="669">
        <f t="shared" si="55"/>
        <v>25872.132609075925</v>
      </c>
      <c r="AA151" s="669">
        <f t="shared" si="55"/>
        <v>26389.575261257447</v>
      </c>
      <c r="AB151" s="669">
        <f t="shared" si="55"/>
        <v>26917.366766482599</v>
      </c>
      <c r="AC151" s="669">
        <f t="shared" si="55"/>
        <v>27455.714101812249</v>
      </c>
      <c r="AD151" s="669">
        <f t="shared" si="55"/>
        <v>28004.828383848497</v>
      </c>
      <c r="AE151" s="669">
        <f t="shared" si="55"/>
        <v>28564.924951525467</v>
      </c>
    </row>
    <row r="152" spans="1:33" s="56" customFormat="1" ht="14.25">
      <c r="A152" s="164"/>
      <c r="B152" s="164"/>
      <c r="C152" s="75"/>
      <c r="D152" s="173"/>
      <c r="E152" s="75"/>
      <c r="F152" s="75"/>
      <c r="G152" s="75"/>
      <c r="H152" s="75"/>
      <c r="I152" s="174"/>
      <c r="J152" s="175"/>
      <c r="K152" s="685"/>
      <c r="L152" s="669"/>
      <c r="M152" s="669"/>
      <c r="N152" s="669"/>
      <c r="O152" s="669"/>
      <c r="P152" s="669"/>
      <c r="Q152" s="669"/>
      <c r="R152" s="669"/>
      <c r="S152" s="669"/>
      <c r="T152" s="669"/>
      <c r="U152" s="669"/>
      <c r="V152" s="669"/>
      <c r="W152" s="669"/>
      <c r="X152" s="669"/>
      <c r="Y152" s="669"/>
      <c r="Z152" s="669"/>
      <c r="AA152" s="669"/>
      <c r="AB152" s="669"/>
      <c r="AC152" s="669"/>
      <c r="AD152" s="669"/>
      <c r="AE152" s="669"/>
    </row>
    <row r="153" spans="1:33" s="56" customFormat="1" ht="14.25">
      <c r="A153" s="164" t="s">
        <v>66</v>
      </c>
      <c r="B153" s="164"/>
      <c r="C153" s="75"/>
      <c r="D153" s="173"/>
      <c r="E153" s="75"/>
      <c r="F153" s="75"/>
      <c r="G153" s="75"/>
      <c r="H153" s="75"/>
      <c r="I153" s="174"/>
      <c r="J153" s="175"/>
      <c r="K153" s="685">
        <v>0</v>
      </c>
      <c r="L153" s="669">
        <f>SUM(L139,L151)</f>
        <v>0</v>
      </c>
      <c r="M153" s="669">
        <f>SUM(M139,M145,M151)</f>
        <v>85335.846153846156</v>
      </c>
      <c r="N153" s="669">
        <f t="shared" ref="N153:AE153" si="56">SUM(N139,N145,N151)</f>
        <v>87042.563076923077</v>
      </c>
      <c r="O153" s="669">
        <f t="shared" si="56"/>
        <v>88783.41433846156</v>
      </c>
      <c r="P153" s="669">
        <f t="shared" si="56"/>
        <v>90559.082625230774</v>
      </c>
      <c r="Q153" s="669">
        <f t="shared" si="56"/>
        <v>92370.264277735376</v>
      </c>
      <c r="R153" s="669">
        <f t="shared" si="56"/>
        <v>94217.669563290081</v>
      </c>
      <c r="S153" s="669">
        <f t="shared" si="56"/>
        <v>96102.022954555898</v>
      </c>
      <c r="T153" s="669">
        <f t="shared" si="56"/>
        <v>98024.063413647003</v>
      </c>
      <c r="U153" s="669">
        <f t="shared" si="56"/>
        <v>99984.544681919942</v>
      </c>
      <c r="V153" s="669">
        <f t="shared" si="56"/>
        <v>101984.23557555837</v>
      </c>
      <c r="W153" s="669">
        <f t="shared" si="56"/>
        <v>104023.92028706953</v>
      </c>
      <c r="X153" s="669">
        <f t="shared" si="56"/>
        <v>106104.39869281092</v>
      </c>
      <c r="Y153" s="669">
        <f t="shared" si="56"/>
        <v>108226.48666666714</v>
      </c>
      <c r="Z153" s="669">
        <f t="shared" si="56"/>
        <v>110391.01640000047</v>
      </c>
      <c r="AA153" s="669">
        <f t="shared" si="56"/>
        <v>112598.8367280005</v>
      </c>
      <c r="AB153" s="669">
        <f t="shared" si="56"/>
        <v>114850.8134625605</v>
      </c>
      <c r="AC153" s="669">
        <f t="shared" si="56"/>
        <v>117147.82973181173</v>
      </c>
      <c r="AD153" s="669">
        <f t="shared" si="56"/>
        <v>119490.78632644797</v>
      </c>
      <c r="AE153" s="669">
        <f t="shared" si="56"/>
        <v>121880.60205297693</v>
      </c>
    </row>
    <row r="154" spans="1:33" s="56" customFormat="1" ht="14.25">
      <c r="A154" s="164"/>
      <c r="B154" s="164"/>
      <c r="C154" s="75"/>
      <c r="D154" s="173"/>
      <c r="E154" s="75"/>
      <c r="F154" s="75"/>
      <c r="G154" s="75"/>
      <c r="H154" s="75"/>
      <c r="I154" s="174"/>
      <c r="J154" s="175"/>
      <c r="K154" s="685"/>
      <c r="L154" s="669"/>
      <c r="M154" s="669"/>
      <c r="N154" s="669"/>
      <c r="O154" s="669"/>
      <c r="P154" s="669"/>
      <c r="Q154" s="669"/>
      <c r="R154" s="669"/>
      <c r="S154" s="669"/>
      <c r="T154" s="669"/>
      <c r="U154" s="669"/>
      <c r="V154" s="669"/>
      <c r="W154" s="669"/>
      <c r="X154" s="669"/>
      <c r="Y154" s="669"/>
      <c r="Z154" s="669"/>
      <c r="AA154" s="669"/>
      <c r="AB154" s="669"/>
      <c r="AC154" s="669"/>
      <c r="AD154" s="669"/>
      <c r="AE154" s="669"/>
    </row>
    <row r="155" spans="1:33">
      <c r="A155" s="47" t="s">
        <v>7</v>
      </c>
      <c r="B155" s="47" t="s">
        <v>7</v>
      </c>
      <c r="C155" s="78" t="s">
        <v>7</v>
      </c>
      <c r="D155" s="100"/>
      <c r="E155" s="78" t="s">
        <v>7</v>
      </c>
      <c r="F155" s="78"/>
      <c r="G155" s="78" t="s">
        <v>7</v>
      </c>
      <c r="H155" s="78"/>
      <c r="I155" s="52" t="s">
        <v>7</v>
      </c>
      <c r="J155" s="114"/>
      <c r="K155" s="673"/>
      <c r="L155" s="672"/>
      <c r="M155" s="672"/>
      <c r="N155" s="672"/>
      <c r="O155" s="672"/>
      <c r="P155" s="672"/>
      <c r="Q155" s="672"/>
      <c r="R155" s="672"/>
      <c r="S155" s="672"/>
      <c r="T155" s="672"/>
      <c r="U155" s="672"/>
      <c r="V155" s="672"/>
      <c r="W155" s="672"/>
      <c r="X155" s="672"/>
      <c r="Y155" s="672"/>
      <c r="Z155" s="672"/>
      <c r="AA155" s="672"/>
      <c r="AB155" s="672"/>
      <c r="AC155" s="672"/>
      <c r="AD155" s="672"/>
      <c r="AE155" s="672"/>
    </row>
    <row r="156" spans="1:33">
      <c r="A156" s="47"/>
      <c r="B156" s="47"/>
      <c r="C156" s="78"/>
      <c r="D156" s="100"/>
      <c r="E156" s="78"/>
      <c r="F156" s="78"/>
      <c r="G156" s="78"/>
      <c r="H156" s="78"/>
      <c r="I156" s="52"/>
      <c r="J156" s="114"/>
      <c r="K156" s="664"/>
      <c r="L156" s="666"/>
      <c r="M156" s="666"/>
      <c r="N156" s="666"/>
      <c r="O156" s="666"/>
      <c r="P156" s="666"/>
      <c r="Q156" s="666"/>
      <c r="R156" s="666"/>
      <c r="S156" s="666"/>
      <c r="T156" s="666"/>
      <c r="U156" s="666"/>
      <c r="V156" s="666"/>
      <c r="W156" s="666"/>
      <c r="X156" s="666"/>
      <c r="Y156" s="666"/>
      <c r="Z156" s="666"/>
      <c r="AA156" s="666"/>
      <c r="AB156" s="666"/>
      <c r="AC156" s="666"/>
      <c r="AD156" s="666"/>
      <c r="AE156" s="666"/>
    </row>
    <row r="157" spans="1:33" s="56" customFormat="1" ht="14.25">
      <c r="A157" s="203" t="s">
        <v>79</v>
      </c>
      <c r="B157" s="203"/>
      <c r="C157" s="204"/>
      <c r="D157" s="205"/>
      <c r="E157" s="204"/>
      <c r="F157" s="204"/>
      <c r="G157" s="204"/>
      <c r="H157" s="204"/>
      <c r="I157" s="206"/>
      <c r="J157" s="207"/>
      <c r="K157" s="675">
        <v>0</v>
      </c>
      <c r="L157" s="676">
        <f t="shared" ref="L157:AE157" si="57">SUM(L130,L153)</f>
        <v>0</v>
      </c>
      <c r="M157" s="676">
        <f t="shared" si="57"/>
        <v>139905.84615384616</v>
      </c>
      <c r="N157" s="676">
        <f t="shared" si="57"/>
        <v>143817.19107692307</v>
      </c>
      <c r="O157" s="676">
        <f t="shared" si="57"/>
        <v>146693.53489846154</v>
      </c>
      <c r="P157" s="676">
        <f t="shared" si="57"/>
        <v>149627.40559643076</v>
      </c>
      <c r="Q157" s="676">
        <f t="shared" si="57"/>
        <v>152619.95370835939</v>
      </c>
      <c r="R157" s="676">
        <f t="shared" si="57"/>
        <v>155672.35278252655</v>
      </c>
      <c r="S157" s="676">
        <f t="shared" si="57"/>
        <v>158785.7998381771</v>
      </c>
      <c r="T157" s="676">
        <f t="shared" si="57"/>
        <v>161961.51583494066</v>
      </c>
      <c r="U157" s="676">
        <f t="shared" si="57"/>
        <v>165200.74615163944</v>
      </c>
      <c r="V157" s="676">
        <f t="shared" si="57"/>
        <v>168504.76107467228</v>
      </c>
      <c r="W157" s="676">
        <f t="shared" si="57"/>
        <v>171874.85629616573</v>
      </c>
      <c r="X157" s="676">
        <f t="shared" si="57"/>
        <v>175312.35342208904</v>
      </c>
      <c r="Y157" s="676">
        <f t="shared" si="57"/>
        <v>178818.60049053084</v>
      </c>
      <c r="Z157" s="676">
        <f t="shared" si="57"/>
        <v>182394.97250034142</v>
      </c>
      <c r="AA157" s="676">
        <f t="shared" si="57"/>
        <v>186042.87195034826</v>
      </c>
      <c r="AB157" s="676">
        <f t="shared" si="57"/>
        <v>189763.72938935523</v>
      </c>
      <c r="AC157" s="676">
        <f t="shared" si="57"/>
        <v>193559.00397714233</v>
      </c>
      <c r="AD157" s="676">
        <f t="shared" si="57"/>
        <v>197430.18405668519</v>
      </c>
      <c r="AE157" s="676">
        <f t="shared" si="57"/>
        <v>201378.7877378189</v>
      </c>
      <c r="AG157" s="199"/>
    </row>
    <row r="158" spans="1:33">
      <c r="K158" s="664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</row>
    <row r="159" spans="1:33">
      <c r="A159" s="47" t="s">
        <v>7</v>
      </c>
      <c r="B159" s="47" t="s">
        <v>7</v>
      </c>
      <c r="C159" s="78" t="s">
        <v>7</v>
      </c>
      <c r="D159" s="100"/>
      <c r="E159" s="78" t="s">
        <v>7</v>
      </c>
      <c r="F159" s="78"/>
      <c r="G159" s="78" t="s">
        <v>7</v>
      </c>
      <c r="H159" s="78"/>
      <c r="I159" s="52" t="s">
        <v>7</v>
      </c>
      <c r="J159" s="114"/>
      <c r="K159" s="673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</row>
    <row r="160" spans="1:33">
      <c r="K160" s="664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G160" s="199"/>
    </row>
    <row r="161" spans="1:33" s="56" customFormat="1" ht="14.25">
      <c r="A161" s="208" t="s">
        <v>115</v>
      </c>
      <c r="B161" s="208"/>
      <c r="C161" s="208"/>
      <c r="D161" s="202"/>
      <c r="E161" s="208"/>
      <c r="F161" s="208"/>
      <c r="G161" s="208"/>
      <c r="H161" s="208"/>
      <c r="I161" s="208"/>
      <c r="J161" s="208"/>
      <c r="K161" s="678">
        <f>SUM(K151,K111)</f>
        <v>0</v>
      </c>
      <c r="L161" s="678">
        <f t="shared" ref="L161:AE161" si="58">SUM(L111,L157)</f>
        <v>357416.66666666669</v>
      </c>
      <c r="M161" s="678">
        <f t="shared" si="58"/>
        <v>826389.34615384613</v>
      </c>
      <c r="N161" s="678">
        <f t="shared" si="58"/>
        <v>844040.56107692304</v>
      </c>
      <c r="O161" s="678">
        <f t="shared" si="58"/>
        <v>860921.37229846139</v>
      </c>
      <c r="P161" s="678">
        <f t="shared" si="58"/>
        <v>878139.7997444307</v>
      </c>
      <c r="Q161" s="678">
        <f t="shared" si="58"/>
        <v>924046.47453451937</v>
      </c>
      <c r="R161" s="678">
        <f t="shared" si="58"/>
        <v>937990.48523484182</v>
      </c>
      <c r="S161" s="678">
        <f t="shared" si="58"/>
        <v>956750.29493953846</v>
      </c>
      <c r="T161" s="678">
        <f t="shared" si="58"/>
        <v>975885.3008383296</v>
      </c>
      <c r="U161" s="678">
        <f t="shared" si="58"/>
        <v>995403.0068550962</v>
      </c>
      <c r="V161" s="678">
        <f t="shared" si="58"/>
        <v>1043506.4772135783</v>
      </c>
      <c r="W161" s="678">
        <f t="shared" si="58"/>
        <v>1035617.2883320419</v>
      </c>
      <c r="X161" s="678">
        <f t="shared" si="58"/>
        <v>1056329.634098683</v>
      </c>
      <c r="Y161" s="678">
        <f t="shared" si="58"/>
        <v>1077456.2267806565</v>
      </c>
      <c r="Z161" s="678">
        <f t="shared" si="58"/>
        <v>1099005.3513162697</v>
      </c>
      <c r="AA161" s="678">
        <f t="shared" si="58"/>
        <v>1125312.524173433</v>
      </c>
      <c r="AB161" s="678">
        <f t="shared" si="58"/>
        <v>1143405.1675094471</v>
      </c>
      <c r="AC161" s="678">
        <f t="shared" si="58"/>
        <v>1166273.2708596359</v>
      </c>
      <c r="AD161" s="678">
        <f t="shared" si="58"/>
        <v>1189598.7362768289</v>
      </c>
      <c r="AE161" s="678">
        <f t="shared" si="58"/>
        <v>1213390.7110023652</v>
      </c>
      <c r="AG161" s="199"/>
    </row>
    <row r="162" spans="1:33">
      <c r="K162" s="664"/>
      <c r="L162" s="666"/>
      <c r="M162" s="666"/>
      <c r="N162" s="666"/>
      <c r="O162" s="666"/>
      <c r="P162" s="666"/>
      <c r="Q162" s="666"/>
      <c r="R162" s="666"/>
      <c r="S162" s="666"/>
      <c r="T162" s="666"/>
      <c r="U162" s="666"/>
      <c r="V162" s="666"/>
      <c r="W162" s="666"/>
      <c r="X162" s="666"/>
      <c r="Y162" s="666"/>
      <c r="Z162" s="666"/>
      <c r="AA162" s="666"/>
      <c r="AB162" s="666"/>
      <c r="AC162" s="666"/>
      <c r="AD162" s="666"/>
      <c r="AE162" s="666"/>
      <c r="AG162" s="199"/>
    </row>
    <row r="163" spans="1:33">
      <c r="A163" s="251"/>
      <c r="B163" s="251"/>
      <c r="C163" s="251"/>
      <c r="D163" s="259"/>
      <c r="E163" s="251"/>
      <c r="F163" s="251"/>
      <c r="G163" s="251"/>
      <c r="H163" s="251"/>
      <c r="I163" s="251"/>
      <c r="J163" s="251"/>
      <c r="K163" s="679"/>
      <c r="L163" s="680"/>
      <c r="M163" s="680"/>
      <c r="N163" s="680"/>
      <c r="O163" s="680"/>
      <c r="P163" s="680"/>
      <c r="Q163" s="680"/>
      <c r="R163" s="680"/>
      <c r="S163" s="680"/>
      <c r="T163" s="680"/>
      <c r="U163" s="680"/>
      <c r="V163" s="680"/>
      <c r="W163" s="680"/>
      <c r="X163" s="680"/>
      <c r="Y163" s="680"/>
      <c r="Z163" s="680"/>
      <c r="AA163" s="680"/>
      <c r="AB163" s="680"/>
      <c r="AC163" s="680"/>
      <c r="AD163" s="680"/>
      <c r="AE163" s="680"/>
      <c r="AG163" s="199"/>
    </row>
    <row r="164" spans="1:33">
      <c r="K164" s="664"/>
      <c r="L164" s="666"/>
      <c r="M164" s="666"/>
      <c r="N164" s="666"/>
      <c r="O164" s="666"/>
      <c r="P164" s="666"/>
      <c r="Q164" s="666"/>
      <c r="R164" s="666"/>
      <c r="S164" s="666"/>
      <c r="T164" s="666"/>
      <c r="U164" s="666"/>
      <c r="V164" s="666"/>
      <c r="W164" s="666"/>
      <c r="X164" s="666"/>
      <c r="Y164" s="666"/>
      <c r="Z164" s="666"/>
      <c r="AA164" s="666"/>
      <c r="AB164" s="666"/>
      <c r="AC164" s="666"/>
      <c r="AD164" s="666"/>
      <c r="AE164" s="666"/>
      <c r="AG164" s="199"/>
    </row>
    <row r="165" spans="1:33">
      <c r="A165" s="249" t="s">
        <v>84</v>
      </c>
      <c r="B165" s="281"/>
      <c r="C165" s="281"/>
      <c r="D165" s="177"/>
      <c r="E165" s="281"/>
      <c r="F165" s="281"/>
      <c r="G165" s="281"/>
      <c r="H165" s="281"/>
      <c r="I165" s="281"/>
      <c r="J165" s="281"/>
      <c r="K165" s="681"/>
      <c r="L165" s="682"/>
      <c r="M165" s="682"/>
      <c r="N165" s="682"/>
      <c r="O165" s="682"/>
      <c r="P165" s="682"/>
      <c r="Q165" s="682"/>
      <c r="R165" s="682"/>
      <c r="S165" s="682"/>
      <c r="T165" s="682"/>
      <c r="U165" s="682"/>
      <c r="V165" s="682"/>
      <c r="W165" s="682"/>
      <c r="X165" s="682"/>
      <c r="Y165" s="682"/>
      <c r="Z165" s="682"/>
      <c r="AA165" s="682"/>
      <c r="AB165" s="682"/>
      <c r="AC165" s="682"/>
      <c r="AD165" s="682"/>
      <c r="AE165" s="682"/>
      <c r="AG165" s="199"/>
    </row>
    <row r="166" spans="1:33" s="252" customFormat="1">
      <c r="A166" s="257"/>
      <c r="D166" s="186"/>
      <c r="K166" s="664"/>
      <c r="L166" s="671"/>
      <c r="M166" s="671"/>
      <c r="N166" s="671"/>
      <c r="O166" s="671"/>
      <c r="P166" s="671"/>
      <c r="Q166" s="671"/>
      <c r="R166" s="671"/>
      <c r="S166" s="671"/>
      <c r="T166" s="671"/>
      <c r="U166" s="671"/>
      <c r="V166" s="671"/>
      <c r="W166" s="671"/>
      <c r="X166" s="671"/>
      <c r="Y166" s="671"/>
      <c r="Z166" s="671"/>
      <c r="AA166" s="671"/>
      <c r="AB166" s="671"/>
      <c r="AC166" s="671"/>
      <c r="AD166" s="671"/>
      <c r="AE166" s="671"/>
      <c r="AG166" s="363"/>
    </row>
    <row r="167" spans="1:33">
      <c r="A167" s="96" t="str">
        <f>'OPEX - Concept B1 - Carnival'!A167</f>
        <v>Investment (cash)</v>
      </c>
      <c r="B167" s="96"/>
      <c r="C167" s="96"/>
      <c r="D167" s="96"/>
      <c r="E167" s="96"/>
      <c r="F167" s="96"/>
      <c r="G167" s="96"/>
      <c r="H167" s="96"/>
      <c r="I167" s="96"/>
      <c r="J167" s="96"/>
      <c r="K167" s="883"/>
      <c r="L167" s="663"/>
      <c r="M167" s="663"/>
      <c r="N167" s="663"/>
      <c r="O167" s="663"/>
      <c r="P167" s="663"/>
      <c r="Q167" s="663"/>
      <c r="R167" s="663"/>
      <c r="S167" s="663"/>
      <c r="T167" s="663"/>
      <c r="U167" s="663"/>
      <c r="V167" s="663"/>
      <c r="W167" s="663"/>
      <c r="X167" s="663"/>
      <c r="Y167" s="663"/>
      <c r="Z167" s="663"/>
      <c r="AA167" s="663"/>
      <c r="AB167" s="663"/>
      <c r="AC167" s="663"/>
      <c r="AD167" s="663"/>
      <c r="AE167" s="663"/>
      <c r="AG167" s="199"/>
    </row>
    <row r="168" spans="1:33">
      <c r="A168" s="96" t="str">
        <f>'OPEX - Concept B1 - Carnival'!A168</f>
        <v xml:space="preserve">     Site Maintenance</v>
      </c>
      <c r="B168" s="96"/>
      <c r="C168" s="96"/>
      <c r="D168" s="96"/>
      <c r="E168" s="96"/>
      <c r="F168" s="96"/>
      <c r="G168" s="96"/>
      <c r="H168" s="96"/>
      <c r="I168" s="96"/>
      <c r="J168" s="96"/>
      <c r="K168" s="883">
        <f>'OPEX - Concept B1 - Carnival'!K168</f>
        <v>0</v>
      </c>
      <c r="L168" s="663">
        <f>'OPEX - Concept B1 - Carnival'!L168</f>
        <v>0</v>
      </c>
      <c r="M168" s="663">
        <f>'OPEX - Concept B1 - Carnival'!M168</f>
        <v>53485</v>
      </c>
      <c r="N168" s="663">
        <f>'OPEX - Concept B1 - Carnival'!N168</f>
        <v>54554.700000000004</v>
      </c>
      <c r="O168" s="663">
        <f>'OPEX - Concept B1 - Carnival'!O168</f>
        <v>55645.794000000002</v>
      </c>
      <c r="P168" s="663">
        <f>'OPEX - Concept B1 - Carnival'!P168</f>
        <v>56758.709879999995</v>
      </c>
      <c r="Q168" s="663">
        <f>'OPEX - Concept B1 - Carnival'!Q168</f>
        <v>57893.8840776</v>
      </c>
      <c r="R168" s="663">
        <f>'OPEX - Concept B1 - Carnival'!R168</f>
        <v>59051.761759152003</v>
      </c>
      <c r="S168" s="663">
        <f>'OPEX - Concept B1 - Carnival'!S168</f>
        <v>60232.796994335047</v>
      </c>
      <c r="T168" s="663">
        <f>'OPEX - Concept B1 - Carnival'!T168</f>
        <v>61437.452934221743</v>
      </c>
      <c r="U168" s="663">
        <f>'OPEX - Concept B1 - Carnival'!U168</f>
        <v>62666.201992906186</v>
      </c>
      <c r="V168" s="663">
        <f>'OPEX - Concept B1 - Carnival'!V168</f>
        <v>63919.526032764305</v>
      </c>
      <c r="W168" s="663">
        <f>'OPEX - Concept B1 - Carnival'!W168</f>
        <v>65197.916553419593</v>
      </c>
      <c r="X168" s="663">
        <f>'OPEX - Concept B1 - Carnival'!X168</f>
        <v>66501.874884487988</v>
      </c>
      <c r="Y168" s="663">
        <f>'OPEX - Concept B1 - Carnival'!Y168</f>
        <v>67831.912382177747</v>
      </c>
      <c r="Z168" s="663">
        <f>'OPEX - Concept B1 - Carnival'!Z168</f>
        <v>69188.5506298213</v>
      </c>
      <c r="AA168" s="663">
        <f>'OPEX - Concept B1 - Carnival'!AA168</f>
        <v>70572.321642417723</v>
      </c>
      <c r="AB168" s="663">
        <f>'OPEX - Concept B1 - Carnival'!AB168</f>
        <v>71983.768075266082</v>
      </c>
      <c r="AC168" s="663">
        <f>'OPEX - Concept B1 - Carnival'!AC168</f>
        <v>73423.443436771413</v>
      </c>
      <c r="AD168" s="663">
        <f>'OPEX - Concept B1 - Carnival'!AD168</f>
        <v>74891.912305506848</v>
      </c>
      <c r="AE168" s="663">
        <f>'OPEX - Concept B1 - Carnival'!AE168</f>
        <v>76389.750551616977</v>
      </c>
      <c r="AG168" s="199"/>
    </row>
    <row r="169" spans="1:33" s="162" customFormat="1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883"/>
      <c r="L169" s="663"/>
      <c r="M169" s="663"/>
      <c r="N169" s="663"/>
      <c r="O169" s="663"/>
      <c r="P169" s="663"/>
      <c r="Q169" s="663"/>
      <c r="R169" s="663"/>
      <c r="S169" s="663"/>
      <c r="T169" s="663"/>
      <c r="U169" s="663"/>
      <c r="V169" s="663"/>
      <c r="W169" s="663"/>
      <c r="X169" s="663"/>
      <c r="Y169" s="663"/>
      <c r="Z169" s="663"/>
      <c r="AA169" s="663"/>
      <c r="AB169" s="663"/>
      <c r="AC169" s="663"/>
      <c r="AD169" s="663"/>
      <c r="AE169" s="663"/>
      <c r="AG169" s="786"/>
    </row>
    <row r="170" spans="1:33" s="162" customFormat="1">
      <c r="A170" s="96" t="str">
        <f>'OPEX - Concept B1 - Carnival'!A170</f>
        <v>Debt Service (Site Demolition, Design, Development/Preparation &amp; Shuttles)</v>
      </c>
      <c r="B170" s="96"/>
      <c r="C170" s="96"/>
      <c r="D170" s="96"/>
      <c r="E170" s="96"/>
      <c r="F170" s="96"/>
      <c r="G170" s="96"/>
      <c r="H170" s="96"/>
      <c r="I170" s="96"/>
      <c r="J170" s="96"/>
      <c r="K170" s="883">
        <f>'OPEX - Concept B1 - Carnival'!K170</f>
        <v>0</v>
      </c>
      <c r="L170" s="663">
        <f>'OPEX - Concept B1 - Carnival'!L170</f>
        <v>612119.16</v>
      </c>
      <c r="M170" s="663">
        <f>'OPEX - Concept B1 - Carnival'!M170</f>
        <v>612119.16</v>
      </c>
      <c r="N170" s="663">
        <f>'OPEX - Concept B1 - Carnival'!N170</f>
        <v>612119.16</v>
      </c>
      <c r="O170" s="663">
        <f>'OPEX - Concept B1 - Carnival'!O170</f>
        <v>612119.16</v>
      </c>
      <c r="P170" s="663">
        <f>'OPEX - Concept B1 - Carnival'!P170</f>
        <v>612119.16</v>
      </c>
      <c r="Q170" s="663">
        <f>'OPEX - Concept B1 - Carnival'!Q170</f>
        <v>612119.16</v>
      </c>
      <c r="R170" s="663">
        <f>'OPEX - Concept B1 - Carnival'!R170</f>
        <v>612119.16</v>
      </c>
      <c r="S170" s="663">
        <f>'OPEX - Concept B1 - Carnival'!S170</f>
        <v>612119.16</v>
      </c>
      <c r="T170" s="663">
        <f>'OPEX - Concept B1 - Carnival'!T170</f>
        <v>612119.16</v>
      </c>
      <c r="U170" s="663">
        <f>'OPEX - Concept B1 - Carnival'!U170</f>
        <v>612119.16</v>
      </c>
      <c r="V170" s="663">
        <f>'OPEX - Concept B1 - Carnival'!V170</f>
        <v>612119.16</v>
      </c>
      <c r="W170" s="663">
        <f>'OPEX - Concept B1 - Carnival'!W170</f>
        <v>612119.16</v>
      </c>
      <c r="X170" s="663">
        <f>'OPEX - Concept B1 - Carnival'!X170</f>
        <v>612119.16</v>
      </c>
      <c r="Y170" s="663">
        <f>'OPEX - Concept B1 - Carnival'!Y170</f>
        <v>612119.16</v>
      </c>
      <c r="Z170" s="663">
        <f>'OPEX - Concept B1 - Carnival'!Z170</f>
        <v>612119.16</v>
      </c>
      <c r="AA170" s="663">
        <f>'OPEX - Concept B1 - Carnival'!AA170</f>
        <v>612119.16</v>
      </c>
      <c r="AB170" s="663">
        <f>'OPEX - Concept B1 - Carnival'!AB170</f>
        <v>612119.16</v>
      </c>
      <c r="AC170" s="663">
        <f>'OPEX - Concept B1 - Carnival'!AC170</f>
        <v>612119.16</v>
      </c>
      <c r="AD170" s="663">
        <f>'OPEX - Concept B1 - Carnival'!AD170</f>
        <v>612119.16</v>
      </c>
      <c r="AE170" s="663">
        <f>'OPEX - Concept B1 - Carnival'!AE170</f>
        <v>612119.16</v>
      </c>
    </row>
    <row r="171" spans="1:33" s="702" customFormat="1">
      <c r="A171" s="341" t="s">
        <v>315</v>
      </c>
      <c r="B171" s="701"/>
      <c r="C171" s="703"/>
      <c r="D171" s="704"/>
      <c r="E171" s="705"/>
      <c r="F171" s="705"/>
      <c r="G171" s="705"/>
      <c r="H171" s="705"/>
      <c r="I171" s="706"/>
      <c r="J171" s="707"/>
      <c r="K171" s="699">
        <v>0</v>
      </c>
      <c r="L171" s="700">
        <v>0</v>
      </c>
      <c r="M171" s="700">
        <v>0</v>
      </c>
      <c r="N171" s="700">
        <v>0</v>
      </c>
      <c r="O171" s="700">
        <v>0</v>
      </c>
      <c r="P171" s="700">
        <v>0</v>
      </c>
      <c r="Q171" s="700">
        <v>0</v>
      </c>
      <c r="R171" s="700">
        <v>0</v>
      </c>
      <c r="S171" s="700">
        <v>0</v>
      </c>
      <c r="T171" s="700">
        <v>0</v>
      </c>
      <c r="U171" s="700">
        <v>0</v>
      </c>
      <c r="V171" s="700">
        <v>0</v>
      </c>
      <c r="W171" s="700">
        <v>0</v>
      </c>
      <c r="X171" s="700">
        <v>0</v>
      </c>
      <c r="Y171" s="700">
        <v>0</v>
      </c>
      <c r="Z171" s="700">
        <v>0</v>
      </c>
      <c r="AA171" s="700">
        <v>0</v>
      </c>
      <c r="AB171" s="700">
        <v>0</v>
      </c>
      <c r="AC171" s="700">
        <v>0</v>
      </c>
      <c r="AD171" s="700">
        <v>0</v>
      </c>
      <c r="AE171" s="700">
        <v>0</v>
      </c>
      <c r="AG171" s="708"/>
    </row>
    <row r="172" spans="1:33">
      <c r="A172" s="180" t="s">
        <v>316</v>
      </c>
      <c r="B172" s="180"/>
      <c r="C172" s="180"/>
      <c r="D172" s="116"/>
      <c r="E172" s="180"/>
      <c r="F172" s="180"/>
      <c r="G172" s="180"/>
      <c r="H172" s="180"/>
      <c r="I172" s="180"/>
      <c r="J172" s="180"/>
      <c r="K172" s="505">
        <v>0</v>
      </c>
      <c r="L172" s="506">
        <v>246000</v>
      </c>
      <c r="M172" s="506">
        <v>246000</v>
      </c>
      <c r="N172" s="506">
        <v>246000</v>
      </c>
      <c r="O172" s="506">
        <v>246000</v>
      </c>
      <c r="P172" s="506">
        <v>246000</v>
      </c>
      <c r="Q172" s="506">
        <v>246000</v>
      </c>
      <c r="R172" s="506">
        <v>246000</v>
      </c>
      <c r="S172" s="506">
        <v>246000</v>
      </c>
      <c r="T172" s="506">
        <v>246000</v>
      </c>
      <c r="U172" s="506">
        <v>246000</v>
      </c>
      <c r="V172" s="506">
        <v>246000</v>
      </c>
      <c r="W172" s="506">
        <v>246000</v>
      </c>
      <c r="X172" s="506">
        <v>246000</v>
      </c>
      <c r="Y172" s="506">
        <v>246000</v>
      </c>
      <c r="Z172" s="506">
        <v>246000</v>
      </c>
      <c r="AA172" s="506">
        <v>246000</v>
      </c>
      <c r="AB172" s="506">
        <v>246000</v>
      </c>
      <c r="AC172" s="506">
        <v>246000</v>
      </c>
      <c r="AD172" s="506">
        <v>246000</v>
      </c>
      <c r="AE172" s="506">
        <v>246000</v>
      </c>
      <c r="AG172" s="199"/>
    </row>
    <row r="173" spans="1:33" s="56" customFormat="1" ht="14.25">
      <c r="A173" s="56" t="s">
        <v>134</v>
      </c>
      <c r="D173" s="173"/>
      <c r="K173" s="524">
        <f t="shared" ref="K173:AE173" si="59">SUM(K167:K172)</f>
        <v>0</v>
      </c>
      <c r="L173" s="525">
        <f t="shared" si="59"/>
        <v>858119.16</v>
      </c>
      <c r="M173" s="525">
        <f t="shared" si="59"/>
        <v>911604.16</v>
      </c>
      <c r="N173" s="525">
        <f t="shared" si="59"/>
        <v>912673.86</v>
      </c>
      <c r="O173" s="525">
        <f t="shared" si="59"/>
        <v>913764.95400000003</v>
      </c>
      <c r="P173" s="525">
        <f t="shared" si="59"/>
        <v>914877.86988000001</v>
      </c>
      <c r="Q173" s="525">
        <f t="shared" si="59"/>
        <v>916013.0440776</v>
      </c>
      <c r="R173" s="525">
        <f t="shared" si="59"/>
        <v>917170.92175915209</v>
      </c>
      <c r="S173" s="525">
        <f t="shared" si="59"/>
        <v>918351.95699433505</v>
      </c>
      <c r="T173" s="525">
        <f t="shared" si="59"/>
        <v>919556.61293422175</v>
      </c>
      <c r="U173" s="525">
        <f t="shared" si="59"/>
        <v>920785.3619929062</v>
      </c>
      <c r="V173" s="525">
        <f t="shared" si="59"/>
        <v>922038.68603276438</v>
      </c>
      <c r="W173" s="525">
        <f t="shared" si="59"/>
        <v>923317.07655341958</v>
      </c>
      <c r="X173" s="525">
        <f t="shared" si="59"/>
        <v>924621.03488448798</v>
      </c>
      <c r="Y173" s="525">
        <f t="shared" si="59"/>
        <v>925951.07238217781</v>
      </c>
      <c r="Z173" s="525">
        <f t="shared" si="59"/>
        <v>927307.71062982129</v>
      </c>
      <c r="AA173" s="525">
        <f t="shared" si="59"/>
        <v>928691.48164241773</v>
      </c>
      <c r="AB173" s="525">
        <f t="shared" si="59"/>
        <v>930102.92807526607</v>
      </c>
      <c r="AC173" s="525">
        <f t="shared" si="59"/>
        <v>931542.60343677143</v>
      </c>
      <c r="AD173" s="525">
        <f t="shared" si="59"/>
        <v>933011.07230550691</v>
      </c>
      <c r="AE173" s="525">
        <f t="shared" si="59"/>
        <v>934508.91055161704</v>
      </c>
      <c r="AG173" s="199"/>
    </row>
    <row r="174" spans="1:33">
      <c r="K174" s="683"/>
      <c r="L174" s="666"/>
      <c r="M174" s="666"/>
      <c r="N174" s="666"/>
      <c r="O174" s="666"/>
      <c r="P174" s="666"/>
      <c r="Q174" s="666"/>
      <c r="R174" s="666"/>
      <c r="S174" s="666"/>
      <c r="T174" s="666"/>
      <c r="U174" s="666"/>
      <c r="V174" s="666"/>
      <c r="W174" s="666"/>
      <c r="X174" s="666"/>
      <c r="Y174" s="666"/>
      <c r="Z174" s="666"/>
      <c r="AA174" s="666"/>
      <c r="AB174" s="666"/>
      <c r="AC174" s="666"/>
      <c r="AD174" s="666"/>
      <c r="AE174" s="666"/>
      <c r="AG174" s="199"/>
    </row>
    <row r="175" spans="1:33" s="56" customFormat="1" ht="14.25">
      <c r="A175" s="208" t="s">
        <v>86</v>
      </c>
      <c r="B175" s="718">
        <f>SUM(L175:AE175)</f>
        <v>18384010.478132468</v>
      </c>
      <c r="C175" s="208"/>
      <c r="D175" s="202"/>
      <c r="E175" s="208"/>
      <c r="F175" s="208"/>
      <c r="G175" s="208"/>
      <c r="H175" s="208"/>
      <c r="I175" s="208"/>
      <c r="J175" s="208"/>
      <c r="K175" s="678">
        <f>SUM(K168:K170)</f>
        <v>0</v>
      </c>
      <c r="L175" s="678">
        <f>L173</f>
        <v>858119.16</v>
      </c>
      <c r="M175" s="678">
        <f t="shared" ref="M175:AE175" si="60">M173</f>
        <v>911604.16</v>
      </c>
      <c r="N175" s="678">
        <f t="shared" si="60"/>
        <v>912673.86</v>
      </c>
      <c r="O175" s="678">
        <f t="shared" si="60"/>
        <v>913764.95400000003</v>
      </c>
      <c r="P175" s="678">
        <f t="shared" si="60"/>
        <v>914877.86988000001</v>
      </c>
      <c r="Q175" s="678">
        <f t="shared" si="60"/>
        <v>916013.0440776</v>
      </c>
      <c r="R175" s="678">
        <f t="shared" si="60"/>
        <v>917170.92175915209</v>
      </c>
      <c r="S175" s="678">
        <f t="shared" si="60"/>
        <v>918351.95699433505</v>
      </c>
      <c r="T175" s="678">
        <f t="shared" si="60"/>
        <v>919556.61293422175</v>
      </c>
      <c r="U175" s="678">
        <f t="shared" si="60"/>
        <v>920785.3619929062</v>
      </c>
      <c r="V175" s="678">
        <f t="shared" si="60"/>
        <v>922038.68603276438</v>
      </c>
      <c r="W175" s="678">
        <f t="shared" si="60"/>
        <v>923317.07655341958</v>
      </c>
      <c r="X175" s="678">
        <f t="shared" si="60"/>
        <v>924621.03488448798</v>
      </c>
      <c r="Y175" s="678">
        <f t="shared" si="60"/>
        <v>925951.07238217781</v>
      </c>
      <c r="Z175" s="678">
        <f t="shared" si="60"/>
        <v>927307.71062982129</v>
      </c>
      <c r="AA175" s="678">
        <f t="shared" si="60"/>
        <v>928691.48164241773</v>
      </c>
      <c r="AB175" s="678">
        <f t="shared" si="60"/>
        <v>930102.92807526607</v>
      </c>
      <c r="AC175" s="678">
        <f t="shared" si="60"/>
        <v>931542.60343677143</v>
      </c>
      <c r="AD175" s="678">
        <f t="shared" si="60"/>
        <v>933011.07230550691</v>
      </c>
      <c r="AE175" s="678">
        <f t="shared" si="60"/>
        <v>934508.91055161704</v>
      </c>
      <c r="AG175" s="199"/>
    </row>
    <row r="176" spans="1:33">
      <c r="K176" s="662"/>
      <c r="L176" s="201"/>
      <c r="M176" s="201"/>
      <c r="N176" s="201"/>
      <c r="O176" s="201"/>
      <c r="P176" s="201"/>
      <c r="Q176" s="201"/>
      <c r="R176" s="201"/>
      <c r="S176" s="201"/>
      <c r="T176" s="201"/>
      <c r="U176" s="201"/>
      <c r="V176" s="201"/>
      <c r="W176" s="201"/>
      <c r="X176" s="201"/>
      <c r="Y176" s="201"/>
      <c r="Z176" s="201"/>
      <c r="AA176" s="201"/>
      <c r="AB176" s="201"/>
      <c r="AC176" s="201"/>
      <c r="AD176" s="201"/>
      <c r="AE176" s="201"/>
    </row>
    <row r="177" spans="1:31">
      <c r="A177" s="251"/>
      <c r="B177" s="251"/>
      <c r="C177" s="251"/>
      <c r="D177" s="259"/>
      <c r="E177" s="251"/>
      <c r="F177" s="251"/>
      <c r="G177" s="251"/>
      <c r="H177" s="251"/>
      <c r="I177" s="251"/>
      <c r="J177" s="251"/>
      <c r="K177" s="324"/>
      <c r="L177" s="325"/>
      <c r="M177" s="325"/>
      <c r="N177" s="325"/>
      <c r="O177" s="325"/>
      <c r="P177" s="325"/>
      <c r="Q177" s="325"/>
      <c r="R177" s="325"/>
      <c r="S177" s="325"/>
      <c r="T177" s="325"/>
      <c r="U177" s="325"/>
      <c r="V177" s="325"/>
      <c r="W177" s="325"/>
      <c r="X177" s="325"/>
      <c r="Y177" s="325"/>
      <c r="Z177" s="325"/>
      <c r="AA177" s="325"/>
      <c r="AB177" s="325"/>
      <c r="AC177" s="325"/>
      <c r="AD177" s="325"/>
      <c r="AE177" s="325"/>
    </row>
    <row r="178" spans="1:31">
      <c r="K178" s="322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1"/>
      <c r="Y178" s="201"/>
      <c r="Z178" s="201"/>
      <c r="AA178" s="201"/>
      <c r="AB178" s="201"/>
      <c r="AC178" s="201"/>
      <c r="AD178" s="201"/>
      <c r="AE178" s="201"/>
    </row>
    <row r="179" spans="1:31">
      <c r="A179"/>
      <c r="K179" s="322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1"/>
      <c r="Y179" s="201"/>
      <c r="Z179" s="201"/>
      <c r="AA179" s="201"/>
      <c r="AB179" s="201"/>
      <c r="AC179" s="201"/>
      <c r="AD179" s="201"/>
      <c r="AE179" s="201"/>
    </row>
    <row r="180" spans="1:31">
      <c r="A180"/>
      <c r="K180" s="322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</row>
    <row r="181" spans="1:31">
      <c r="K181" s="322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</row>
    <row r="182" spans="1:31">
      <c r="K182" s="322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  <c r="AA182" s="201"/>
      <c r="AB182" s="201"/>
      <c r="AC182" s="201"/>
      <c r="AD182" s="201"/>
      <c r="AE182" s="201"/>
    </row>
    <row r="183" spans="1:31">
      <c r="K183" s="322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</row>
    <row r="184" spans="1:31">
      <c r="K184" s="322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  <c r="AA184" s="201"/>
      <c r="AB184" s="201"/>
      <c r="AC184" s="201"/>
      <c r="AD184" s="201"/>
      <c r="AE184" s="201"/>
    </row>
    <row r="185" spans="1:31">
      <c r="K185" s="322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</row>
    <row r="186" spans="1:31">
      <c r="K186" s="322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</row>
    <row r="187" spans="1:31">
      <c r="K187" s="322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</row>
    <row r="188" spans="1:31">
      <c r="K188" s="322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</row>
    <row r="189" spans="1:31">
      <c r="K189" s="322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</row>
    <row r="190" spans="1:31">
      <c r="K190" s="322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</row>
    <row r="191" spans="1:31">
      <c r="K191" s="322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</row>
    <row r="192" spans="1:31">
      <c r="K192" s="322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</row>
  </sheetData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FD193"/>
  <sheetViews>
    <sheetView topLeftCell="A67" zoomScale="70" zoomScaleNormal="70" workbookViewId="0">
      <selection activeCell="Q169" sqref="Q169"/>
    </sheetView>
  </sheetViews>
  <sheetFormatPr defaultColWidth="9" defaultRowHeight="16.5"/>
  <cols>
    <col min="1" max="1" width="45.625" style="33" customWidth="1"/>
    <col min="2" max="2" width="51.25" style="33" bestFit="1" customWidth="1"/>
    <col min="3" max="3" width="18.125" style="33" bestFit="1" customWidth="1"/>
    <col min="4" max="4" width="16.25" style="109" bestFit="1" customWidth="1"/>
    <col min="5" max="5" width="13.125" style="33" bestFit="1" customWidth="1"/>
    <col min="6" max="6" width="20.5" style="33" bestFit="1" customWidth="1"/>
    <col min="7" max="7" width="20.25" style="33" bestFit="1" customWidth="1"/>
    <col min="8" max="8" width="21.75" style="33" bestFit="1" customWidth="1"/>
    <col min="9" max="9" width="12.125" style="33" bestFit="1" customWidth="1"/>
    <col min="10" max="10" width="13.875" style="33" bestFit="1" customWidth="1"/>
    <col min="11" max="11" width="7.75" style="166" bestFit="1" customWidth="1"/>
    <col min="12" max="18" width="15.875" style="33" bestFit="1" customWidth="1"/>
    <col min="19" max="22" width="17.5" style="33" bestFit="1" customWidth="1"/>
    <col min="23" max="23" width="17.125" style="33" bestFit="1" customWidth="1"/>
    <col min="24" max="24" width="16.75" style="33" bestFit="1" customWidth="1"/>
    <col min="25" max="25" width="16.375" style="33" bestFit="1" customWidth="1"/>
    <col min="26" max="28" width="17.125" style="33" bestFit="1" customWidth="1"/>
    <col min="29" max="31" width="17.5" style="33" bestFit="1" customWidth="1"/>
    <col min="32" max="32" width="22.625" style="33" bestFit="1" customWidth="1"/>
    <col min="33" max="33" width="12.625" style="33" bestFit="1" customWidth="1"/>
    <col min="34" max="16384" width="9" style="33"/>
  </cols>
  <sheetData>
    <row r="1" spans="1:31" ht="18.75" thickBot="1">
      <c r="A1" s="11" t="str">
        <f>Intro!A1</f>
        <v>Town of Bar Harbor</v>
      </c>
      <c r="B1" s="13"/>
      <c r="C1" s="13"/>
      <c r="D1" s="99"/>
      <c r="E1" s="14"/>
      <c r="F1" s="14"/>
      <c r="G1" s="34"/>
      <c r="H1" s="34"/>
      <c r="I1" s="34"/>
      <c r="J1" s="34"/>
      <c r="K1" s="16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</row>
    <row r="2" spans="1:31" ht="17.25" thickBot="1">
      <c r="A2" s="380" t="str">
        <f>Intro!A2</f>
        <v>Ferry Property Business Plan</v>
      </c>
      <c r="B2" s="13"/>
      <c r="C2" s="13"/>
      <c r="D2" s="99"/>
      <c r="E2" s="14"/>
      <c r="F2" s="14"/>
      <c r="G2" s="34"/>
      <c r="H2" s="34"/>
      <c r="I2" s="34"/>
      <c r="J2" s="34"/>
      <c r="K2" s="16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</row>
    <row r="3" spans="1:31" s="392" customFormat="1" ht="14.25" thickBot="1">
      <c r="A3" s="384" t="str">
        <f>Intro!A3</f>
        <v>05.23.2018</v>
      </c>
      <c r="B3" s="2"/>
      <c r="C3" s="382"/>
      <c r="D3" s="393"/>
      <c r="E3" s="385"/>
      <c r="F3" s="385"/>
      <c r="G3" s="389"/>
      <c r="H3" s="389"/>
      <c r="I3" s="389"/>
      <c r="J3" s="389"/>
      <c r="K3" s="390"/>
      <c r="L3" s="391"/>
      <c r="M3" s="391"/>
      <c r="N3" s="391"/>
      <c r="O3" s="391"/>
      <c r="P3" s="391"/>
      <c r="Q3" s="391"/>
      <c r="R3" s="391"/>
      <c r="S3" s="391"/>
      <c r="T3" s="391"/>
      <c r="U3" s="391"/>
      <c r="V3" s="391"/>
      <c r="W3" s="391"/>
      <c r="X3" s="391"/>
      <c r="Y3" s="391"/>
      <c r="Z3" s="391"/>
      <c r="AA3" s="391"/>
      <c r="AB3" s="391"/>
      <c r="AC3" s="391"/>
      <c r="AD3" s="391"/>
      <c r="AE3" s="391"/>
    </row>
    <row r="4" spans="1:31" s="392" customFormat="1" ht="13.5">
      <c r="A4" s="384" t="str">
        <f ca="1">Intro!A4</f>
        <v>Town of Bar Harbor</v>
      </c>
      <c r="B4" s="382"/>
      <c r="C4" s="382"/>
      <c r="D4" s="393"/>
      <c r="E4" s="383">
        <f ca="1">NOW()</f>
        <v>43242.835659143515</v>
      </c>
      <c r="F4" s="383"/>
      <c r="G4" s="389"/>
      <c r="H4" s="389"/>
      <c r="I4" s="389"/>
      <c r="J4" s="389"/>
      <c r="K4" s="390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  <c r="W4" s="391"/>
      <c r="X4" s="391"/>
      <c r="Y4" s="391"/>
      <c r="Z4" s="391"/>
      <c r="AA4" s="391"/>
      <c r="AB4" s="391"/>
      <c r="AC4" s="391"/>
      <c r="AD4" s="391"/>
      <c r="AE4" s="391"/>
    </row>
    <row r="5" spans="1:31">
      <c r="A5" s="231" t="s">
        <v>342</v>
      </c>
      <c r="B5" s="231"/>
      <c r="C5" s="232"/>
      <c r="D5" s="233"/>
      <c r="E5" s="232"/>
      <c r="F5" s="232"/>
      <c r="G5" s="234"/>
      <c r="H5" s="234"/>
      <c r="I5" s="234"/>
      <c r="J5" s="234"/>
      <c r="K5" s="235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1:31">
      <c r="A6" s="237"/>
      <c r="B6" s="237"/>
      <c r="C6" s="237"/>
      <c r="D6" s="238"/>
      <c r="E6" s="237"/>
      <c r="F6" s="237"/>
      <c r="G6" s="237"/>
      <c r="H6" s="237"/>
      <c r="I6" s="237"/>
      <c r="J6" s="237"/>
      <c r="K6" s="659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</row>
    <row r="7" spans="1:31" ht="48.75" customHeight="1">
      <c r="A7" s="239"/>
      <c r="B7" s="240" t="s">
        <v>45</v>
      </c>
      <c r="C7" s="241" t="s">
        <v>46</v>
      </c>
      <c r="D7" s="242" t="s">
        <v>47</v>
      </c>
      <c r="E7" s="240" t="s">
        <v>21</v>
      </c>
      <c r="F7" s="240" t="s">
        <v>48</v>
      </c>
      <c r="G7" s="240" t="s">
        <v>49</v>
      </c>
      <c r="H7" s="240" t="s">
        <v>59</v>
      </c>
      <c r="I7" s="240" t="s">
        <v>22</v>
      </c>
      <c r="J7" s="240" t="s">
        <v>50</v>
      </c>
      <c r="K7" s="243">
        <v>2018</v>
      </c>
      <c r="L7" s="243">
        <v>2019</v>
      </c>
      <c r="M7" s="243">
        <v>2020</v>
      </c>
      <c r="N7" s="243">
        <v>2021</v>
      </c>
      <c r="O7" s="243">
        <v>2022</v>
      </c>
      <c r="P7" s="243">
        <v>2023</v>
      </c>
      <c r="Q7" s="243">
        <v>2024</v>
      </c>
      <c r="R7" s="243">
        <v>2025</v>
      </c>
      <c r="S7" s="243">
        <v>2026</v>
      </c>
      <c r="T7" s="243">
        <v>2027</v>
      </c>
      <c r="U7" s="243">
        <v>2028</v>
      </c>
      <c r="V7" s="243">
        <v>2029</v>
      </c>
      <c r="W7" s="243">
        <v>2030</v>
      </c>
      <c r="X7" s="243">
        <v>2031</v>
      </c>
      <c r="Y7" s="243">
        <v>2032</v>
      </c>
      <c r="Z7" s="243">
        <v>2033</v>
      </c>
      <c r="AA7" s="243">
        <v>2034</v>
      </c>
      <c r="AB7" s="243">
        <v>2035</v>
      </c>
      <c r="AC7" s="243">
        <v>2036</v>
      </c>
      <c r="AD7" s="243">
        <v>2037</v>
      </c>
      <c r="AE7" s="243">
        <v>2038</v>
      </c>
    </row>
    <row r="8" spans="1:31" s="18" customFormat="1" ht="17.25" thickBot="1">
      <c r="K8" s="488"/>
    </row>
    <row r="9" spans="1:31" s="18" customFormat="1" ht="17.25" thickBot="1">
      <c r="A9" s="117" t="s">
        <v>381</v>
      </c>
      <c r="B9" s="484" t="str">
        <f>'P&amp;L - Concept B2 - Carnival'!B9</f>
        <v>Scenario 3 - Percent of 2018 Business - Carnival</v>
      </c>
      <c r="K9" s="489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  <c r="Y9" s="327"/>
      <c r="Z9" s="327"/>
      <c r="AA9" s="327"/>
      <c r="AB9" s="327"/>
      <c r="AC9" s="327"/>
      <c r="AD9" s="327"/>
      <c r="AE9" s="327"/>
    </row>
    <row r="10" spans="1:31" s="18" customFormat="1">
      <c r="A10" s="649"/>
      <c r="B10" s="372"/>
      <c r="K10" s="489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  <c r="Y10" s="327"/>
      <c r="Z10" s="327"/>
      <c r="AA10" s="327"/>
      <c r="AB10" s="327"/>
      <c r="AC10" s="327"/>
      <c r="AD10" s="327"/>
      <c r="AE10" s="327"/>
    </row>
    <row r="11" spans="1:31">
      <c r="A11" s="38" t="s">
        <v>52</v>
      </c>
      <c r="B11" s="38"/>
      <c r="C11" s="38"/>
      <c r="D11" s="101"/>
      <c r="E11" s="38"/>
      <c r="F11" s="38"/>
      <c r="G11" s="37"/>
      <c r="H11" s="37"/>
      <c r="I11" s="38"/>
      <c r="J11" s="37"/>
      <c r="K11" s="784">
        <f>'OPEX - Concept A1'!K11</f>
        <v>0</v>
      </c>
      <c r="L11" s="311">
        <f>'BH Tariffs'!D52</f>
        <v>1.02</v>
      </c>
      <c r="M11" s="311">
        <f>'BH Tariffs'!E52</f>
        <v>1.0404</v>
      </c>
      <c r="N11" s="311">
        <f>'BH Tariffs'!F52</f>
        <v>1.0612079999999999</v>
      </c>
      <c r="O11" s="311">
        <f>'BH Tariffs'!G52</f>
        <v>1.08243216</v>
      </c>
      <c r="P11" s="311">
        <f>'BH Tariffs'!H52</f>
        <v>1.1040808032</v>
      </c>
      <c r="Q11" s="311">
        <f>'BH Tariffs'!I52</f>
        <v>1.1261624192640001</v>
      </c>
      <c r="R11" s="311">
        <f>'BH Tariffs'!J52</f>
        <v>1.14868566764928</v>
      </c>
      <c r="S11" s="311">
        <f>'BH Tariffs'!K52</f>
        <v>1.1716593810022657</v>
      </c>
      <c r="T11" s="311">
        <f>'BH Tariffs'!L52</f>
        <v>1.1950925686223111</v>
      </c>
      <c r="U11" s="311">
        <f>'BH Tariffs'!M52</f>
        <v>1.2189944199947573</v>
      </c>
      <c r="V11" s="311">
        <f>'BH Tariffs'!N52</f>
        <v>1.2433743083946525</v>
      </c>
      <c r="W11" s="311">
        <f>'BH Tariffs'!O52</f>
        <v>1.2682417945625455</v>
      </c>
      <c r="X11" s="311">
        <f>'BH Tariffs'!P52</f>
        <v>1.2936066304537963</v>
      </c>
      <c r="Y11" s="311">
        <f>'BH Tariffs'!Q52</f>
        <v>1.3194787630628724</v>
      </c>
      <c r="Z11" s="311">
        <f>'BH Tariffs'!R52</f>
        <v>1.3458683383241299</v>
      </c>
      <c r="AA11" s="311">
        <f>'BH Tariffs'!S52</f>
        <v>1.3727857050906125</v>
      </c>
      <c r="AB11" s="311">
        <f>'BH Tariffs'!T52</f>
        <v>1.4002414191924248</v>
      </c>
      <c r="AC11" s="311">
        <f>'BH Tariffs'!U52</f>
        <v>1.4282462475762734</v>
      </c>
      <c r="AD11" s="311">
        <f>'BH Tariffs'!V52</f>
        <v>1.4568111725277988</v>
      </c>
      <c r="AE11" s="311">
        <f>'BH Tariffs'!W52</f>
        <v>1.4859473959783549</v>
      </c>
    </row>
    <row r="12" spans="1:31">
      <c r="A12" s="38" t="s">
        <v>58</v>
      </c>
      <c r="B12" s="38"/>
      <c r="C12" s="37"/>
      <c r="D12" s="76"/>
      <c r="E12" s="79">
        <v>0.2</v>
      </c>
      <c r="F12" s="172"/>
      <c r="G12" s="36"/>
      <c r="H12" s="36"/>
      <c r="I12" s="38"/>
      <c r="J12" s="36"/>
      <c r="K12" s="661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200"/>
      <c r="AC12" s="200"/>
      <c r="AD12" s="200"/>
      <c r="AE12" s="200"/>
    </row>
    <row r="13" spans="1:31">
      <c r="A13" s="38" t="s">
        <v>51</v>
      </c>
      <c r="B13" s="38"/>
      <c r="C13" s="37"/>
      <c r="D13" s="76"/>
      <c r="E13" s="79"/>
      <c r="F13" s="79">
        <v>0.4</v>
      </c>
      <c r="G13" s="36"/>
      <c r="H13" s="36"/>
      <c r="I13" s="38"/>
      <c r="J13" s="36"/>
      <c r="K13" s="661"/>
      <c r="L13" s="200"/>
      <c r="M13" s="200"/>
      <c r="N13" s="200"/>
      <c r="O13" s="200"/>
      <c r="P13" s="200"/>
      <c r="Q13" s="200"/>
      <c r="R13" s="200"/>
      <c r="S13" s="200"/>
      <c r="T13" s="200"/>
      <c r="U13" s="200"/>
      <c r="V13" s="200"/>
      <c r="W13" s="200"/>
      <c r="X13" s="200"/>
      <c r="Y13" s="200"/>
      <c r="Z13" s="200"/>
      <c r="AA13" s="200"/>
      <c r="AB13" s="200"/>
      <c r="AC13" s="200"/>
      <c r="AD13" s="200"/>
      <c r="AE13" s="200"/>
    </row>
    <row r="14" spans="1:31" s="18" customFormat="1">
      <c r="A14" s="649"/>
      <c r="B14" s="372"/>
      <c r="K14" s="489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7"/>
      <c r="X14" s="327"/>
      <c r="Y14" s="327"/>
      <c r="Z14" s="327"/>
      <c r="AA14" s="327"/>
      <c r="AB14" s="327"/>
      <c r="AC14" s="327"/>
      <c r="AD14" s="327"/>
      <c r="AE14" s="327"/>
    </row>
    <row r="15" spans="1:31" s="18" customFormat="1">
      <c r="K15" s="489"/>
      <c r="L15" s="327"/>
      <c r="M15" s="327"/>
      <c r="N15" s="327"/>
      <c r="O15" s="327"/>
      <c r="P15" s="327"/>
      <c r="Q15" s="327"/>
      <c r="R15" s="327"/>
      <c r="S15" s="327"/>
      <c r="T15" s="327"/>
      <c r="U15" s="327"/>
      <c r="V15" s="327"/>
      <c r="W15" s="327"/>
      <c r="X15" s="327"/>
      <c r="Y15" s="327"/>
      <c r="Z15" s="327"/>
      <c r="AA15" s="327"/>
      <c r="AB15" s="327"/>
      <c r="AC15" s="327"/>
      <c r="AD15" s="327"/>
      <c r="AE15" s="327"/>
    </row>
    <row r="16" spans="1:31" s="582" customFormat="1" ht="14.25">
      <c r="A16" s="582" t="s">
        <v>83</v>
      </c>
      <c r="K16" s="490"/>
      <c r="L16" s="785"/>
      <c r="M16" s="785"/>
      <c r="N16" s="785"/>
      <c r="O16" s="785"/>
      <c r="P16" s="785"/>
      <c r="Q16" s="785"/>
      <c r="R16" s="785"/>
      <c r="S16" s="785"/>
      <c r="T16" s="785"/>
      <c r="U16" s="785"/>
      <c r="V16" s="785"/>
      <c r="W16" s="785"/>
      <c r="X16" s="785"/>
      <c r="Y16" s="785"/>
      <c r="Z16" s="785"/>
      <c r="AA16" s="785"/>
      <c r="AB16" s="785"/>
      <c r="AC16" s="785"/>
      <c r="AD16" s="785"/>
      <c r="AE16" s="785"/>
    </row>
    <row r="17" spans="1:31" s="96" customFormat="1">
      <c r="A17" s="53" t="str">
        <f>'Cruise Projections'!A67</f>
        <v>Passengers</v>
      </c>
      <c r="B17" s="487"/>
      <c r="C17" s="487"/>
      <c r="K17" s="486">
        <f>'P&amp;L - Concept B2 - Carnival'!D12</f>
        <v>0</v>
      </c>
      <c r="L17" s="313">
        <f>'P&amp;L - Concept B2 - Carnival'!E12</f>
        <v>0</v>
      </c>
      <c r="M17" s="313">
        <f>'P&amp;L - Concept B2 - Carnival'!F12</f>
        <v>105331.33459735833</v>
      </c>
      <c r="N17" s="313">
        <f>'P&amp;L - Concept B2 - Carnival'!G12</f>
        <v>105331.33459735833</v>
      </c>
      <c r="O17" s="313">
        <f>'P&amp;L - Concept B2 - Carnival'!H12</f>
        <v>105331.33459735833</v>
      </c>
      <c r="P17" s="313">
        <f>'P&amp;L - Concept B2 - Carnival'!I12</f>
        <v>105331.33459735833</v>
      </c>
      <c r="Q17" s="313">
        <f>'P&amp;L - Concept B2 - Carnival'!J12</f>
        <v>105331.33459735833</v>
      </c>
      <c r="R17" s="313">
        <f>'P&amp;L - Concept B2 - Carnival'!K12</f>
        <v>105331.33459735833</v>
      </c>
      <c r="S17" s="313">
        <f>'P&amp;L - Concept B2 - Carnival'!L12</f>
        <v>105331.33459735833</v>
      </c>
      <c r="T17" s="313">
        <f>'P&amp;L - Concept B2 - Carnival'!M12</f>
        <v>105331.33459735833</v>
      </c>
      <c r="U17" s="313">
        <f>'P&amp;L - Concept B2 - Carnival'!N12</f>
        <v>105331.33459735833</v>
      </c>
      <c r="V17" s="313">
        <f>'P&amp;L - Concept B2 - Carnival'!O12</f>
        <v>105331.33459735833</v>
      </c>
      <c r="W17" s="313">
        <f>'P&amp;L - Concept B2 - Carnival'!P12</f>
        <v>105331.33459735833</v>
      </c>
      <c r="X17" s="313">
        <f>'P&amp;L - Concept B2 - Carnival'!Q12</f>
        <v>105331.33459735833</v>
      </c>
      <c r="Y17" s="313">
        <f>'P&amp;L - Concept B2 - Carnival'!R12</f>
        <v>105331.33459735833</v>
      </c>
      <c r="Z17" s="313">
        <f>'P&amp;L - Concept B2 - Carnival'!S12</f>
        <v>105331.33459735833</v>
      </c>
      <c r="AA17" s="313">
        <f>'P&amp;L - Concept B2 - Carnival'!T12</f>
        <v>105331.33459735833</v>
      </c>
      <c r="AB17" s="313">
        <f>'P&amp;L - Concept B2 - Carnival'!U12</f>
        <v>105331.33459735833</v>
      </c>
      <c r="AC17" s="313">
        <f>'P&amp;L - Concept B2 - Carnival'!V12</f>
        <v>105331.33459735833</v>
      </c>
      <c r="AD17" s="313">
        <f>'P&amp;L - Concept B2 - Carnival'!W12</f>
        <v>105331.33459735833</v>
      </c>
      <c r="AE17" s="313">
        <f>'P&amp;L - Concept B2 - Carnival'!X12</f>
        <v>105331.33459735833</v>
      </c>
    </row>
    <row r="18" spans="1:31" s="96" customFormat="1">
      <c r="A18" s="53" t="str">
        <f>'Cruise Projections'!A68</f>
        <v>Calls</v>
      </c>
      <c r="B18" s="487"/>
      <c r="C18" s="487"/>
      <c r="K18" s="486">
        <f>'P&amp;L - Concept B2 - Carnival'!D13</f>
        <v>0</v>
      </c>
      <c r="L18" s="313">
        <f>'P&amp;L - Concept B2 - Carnival'!E13</f>
        <v>0</v>
      </c>
      <c r="M18" s="313">
        <f>'P&amp;L - Concept B2 - Carnival'!F13</f>
        <v>60.199999999999996</v>
      </c>
      <c r="N18" s="313">
        <f>'P&amp;L - Concept B2 - Carnival'!G13</f>
        <v>60.199999999999996</v>
      </c>
      <c r="O18" s="313">
        <f>'P&amp;L - Concept B2 - Carnival'!H13</f>
        <v>60.199999999999996</v>
      </c>
      <c r="P18" s="313">
        <f>'P&amp;L - Concept B2 - Carnival'!I13</f>
        <v>60.199999999999996</v>
      </c>
      <c r="Q18" s="313">
        <f>'P&amp;L - Concept B2 - Carnival'!J13</f>
        <v>60.199999999999996</v>
      </c>
      <c r="R18" s="313">
        <f>'P&amp;L - Concept B2 - Carnival'!K13</f>
        <v>60.199999999999996</v>
      </c>
      <c r="S18" s="313">
        <f>'P&amp;L - Concept B2 - Carnival'!L13</f>
        <v>60.199999999999996</v>
      </c>
      <c r="T18" s="313">
        <f>'P&amp;L - Concept B2 - Carnival'!M13</f>
        <v>60.199999999999996</v>
      </c>
      <c r="U18" s="313">
        <f>'P&amp;L - Concept B2 - Carnival'!N13</f>
        <v>60.199999999999996</v>
      </c>
      <c r="V18" s="313">
        <f>'P&amp;L - Concept B2 - Carnival'!O13</f>
        <v>60.199999999999996</v>
      </c>
      <c r="W18" s="313">
        <f>'P&amp;L - Concept B2 - Carnival'!P13</f>
        <v>60.199999999999996</v>
      </c>
      <c r="X18" s="313">
        <f>'P&amp;L - Concept B2 - Carnival'!Q13</f>
        <v>60.199999999999996</v>
      </c>
      <c r="Y18" s="313">
        <f>'P&amp;L - Concept B2 - Carnival'!R13</f>
        <v>60.199999999999996</v>
      </c>
      <c r="Z18" s="313">
        <f>'P&amp;L - Concept B2 - Carnival'!S13</f>
        <v>60.199999999999996</v>
      </c>
      <c r="AA18" s="313">
        <f>'P&amp;L - Concept B2 - Carnival'!T13</f>
        <v>60.199999999999996</v>
      </c>
      <c r="AB18" s="313">
        <f>'P&amp;L - Concept B2 - Carnival'!U13</f>
        <v>60.199999999999996</v>
      </c>
      <c r="AC18" s="313">
        <f>'P&amp;L - Concept B2 - Carnival'!V13</f>
        <v>60.199999999999996</v>
      </c>
      <c r="AD18" s="313">
        <f>'P&amp;L - Concept B2 - Carnival'!W13</f>
        <v>60.199999999999996</v>
      </c>
      <c r="AE18" s="313">
        <f>'P&amp;L - Concept B2 - Carnival'!X13</f>
        <v>60.199999999999996</v>
      </c>
    </row>
    <row r="19" spans="1:31" s="96" customFormat="1">
      <c r="A19" s="53" t="str">
        <f>'Cruise Projections'!A69</f>
        <v>Passengers per Call</v>
      </c>
      <c r="B19" s="487"/>
      <c r="C19" s="487"/>
      <c r="K19" s="486">
        <f>'P&amp;L - Concept B2 - Carnival'!D14</f>
        <v>0</v>
      </c>
      <c r="L19" s="313">
        <f>'P&amp;L - Concept B2 - Carnival'!E14</f>
        <v>0</v>
      </c>
      <c r="M19" s="313">
        <f>'P&amp;L - Concept B2 - Carnival'!F14</f>
        <v>1749.6899434777133</v>
      </c>
      <c r="N19" s="313">
        <f>'P&amp;L - Concept B2 - Carnival'!G14</f>
        <v>1749.6899434777133</v>
      </c>
      <c r="O19" s="313">
        <f>'P&amp;L - Concept B2 - Carnival'!H14</f>
        <v>1749.6899434777133</v>
      </c>
      <c r="P19" s="313">
        <f>'P&amp;L - Concept B2 - Carnival'!I14</f>
        <v>1749.6899434777133</v>
      </c>
      <c r="Q19" s="313">
        <f>'P&amp;L - Concept B2 - Carnival'!J14</f>
        <v>1749.6899434777133</v>
      </c>
      <c r="R19" s="313">
        <f>'P&amp;L - Concept B2 - Carnival'!K14</f>
        <v>1749.6899434777133</v>
      </c>
      <c r="S19" s="313">
        <f>'P&amp;L - Concept B2 - Carnival'!L14</f>
        <v>1749.6899434777133</v>
      </c>
      <c r="T19" s="313">
        <f>'P&amp;L - Concept B2 - Carnival'!M14</f>
        <v>1749.6899434777133</v>
      </c>
      <c r="U19" s="313">
        <f>'P&amp;L - Concept B2 - Carnival'!N14</f>
        <v>1749.6899434777133</v>
      </c>
      <c r="V19" s="313">
        <f>'P&amp;L - Concept B2 - Carnival'!O14</f>
        <v>1749.6899434777133</v>
      </c>
      <c r="W19" s="313">
        <f>'P&amp;L - Concept B2 - Carnival'!P14</f>
        <v>1749.6899434777133</v>
      </c>
      <c r="X19" s="313">
        <f>'P&amp;L - Concept B2 - Carnival'!Q14</f>
        <v>1749.6899434777133</v>
      </c>
      <c r="Y19" s="313">
        <f>'P&amp;L - Concept B2 - Carnival'!R14</f>
        <v>1749.6899434777133</v>
      </c>
      <c r="Z19" s="313">
        <f>'P&amp;L - Concept B2 - Carnival'!S14</f>
        <v>1749.6899434777133</v>
      </c>
      <c r="AA19" s="313">
        <f>'P&amp;L - Concept B2 - Carnival'!T14</f>
        <v>1749.6899434777133</v>
      </c>
      <c r="AB19" s="313">
        <f>'P&amp;L - Concept B2 - Carnival'!U14</f>
        <v>1749.6899434777133</v>
      </c>
      <c r="AC19" s="313">
        <f>'P&amp;L - Concept B2 - Carnival'!V14</f>
        <v>1749.6899434777133</v>
      </c>
      <c r="AD19" s="313">
        <f>'P&amp;L - Concept B2 - Carnival'!W14</f>
        <v>1749.6899434777133</v>
      </c>
      <c r="AE19" s="313">
        <f>'P&amp;L - Concept B2 - Carnival'!X14</f>
        <v>1749.6899434777133</v>
      </c>
    </row>
    <row r="20" spans="1:31" s="96" customFormat="1">
      <c r="A20" s="54" t="s">
        <v>313</v>
      </c>
      <c r="B20" s="487"/>
      <c r="C20" s="487"/>
      <c r="K20" s="486">
        <f>'P&amp;L - Concept B2 - Carnival'!D15</f>
        <v>0</v>
      </c>
      <c r="L20" s="313">
        <f>'P&amp;L - Concept B2 - Carnival'!E15</f>
        <v>0</v>
      </c>
      <c r="M20" s="313">
        <f>'P&amp;L - Concept B2 - Carnival'!F15</f>
        <v>4120</v>
      </c>
      <c r="N20" s="313">
        <f>'P&amp;L - Concept B2 - Carnival'!G15</f>
        <v>4120</v>
      </c>
      <c r="O20" s="313">
        <f>'P&amp;L - Concept B2 - Carnival'!H15</f>
        <v>4120</v>
      </c>
      <c r="P20" s="313">
        <f>'P&amp;L - Concept B2 - Carnival'!I15</f>
        <v>4120</v>
      </c>
      <c r="Q20" s="313">
        <f>'P&amp;L - Concept B2 - Carnival'!J15</f>
        <v>4120</v>
      </c>
      <c r="R20" s="313">
        <f>'P&amp;L - Concept B2 - Carnival'!K15</f>
        <v>4120</v>
      </c>
      <c r="S20" s="313">
        <f>'P&amp;L - Concept B2 - Carnival'!L15</f>
        <v>4120</v>
      </c>
      <c r="T20" s="313">
        <f>'P&amp;L - Concept B2 - Carnival'!M15</f>
        <v>4120</v>
      </c>
      <c r="U20" s="313">
        <f>'P&amp;L - Concept B2 - Carnival'!N15</f>
        <v>4120</v>
      </c>
      <c r="V20" s="313">
        <f>'P&amp;L - Concept B2 - Carnival'!O15</f>
        <v>4120</v>
      </c>
      <c r="W20" s="313">
        <f>'P&amp;L - Concept B2 - Carnival'!P15</f>
        <v>4120</v>
      </c>
      <c r="X20" s="313">
        <f>'P&amp;L - Concept B2 - Carnival'!Q15</f>
        <v>4120</v>
      </c>
      <c r="Y20" s="313">
        <f>'P&amp;L - Concept B2 - Carnival'!R15</f>
        <v>4120</v>
      </c>
      <c r="Z20" s="313">
        <f>'P&amp;L - Concept B2 - Carnival'!S15</f>
        <v>4120</v>
      </c>
      <c r="AA20" s="313">
        <f>'P&amp;L - Concept B2 - Carnival'!T15</f>
        <v>4120</v>
      </c>
      <c r="AB20" s="313">
        <f>'P&amp;L - Concept B2 - Carnival'!U15</f>
        <v>4120</v>
      </c>
      <c r="AC20" s="313">
        <f>'P&amp;L - Concept B2 - Carnival'!V15</f>
        <v>4120</v>
      </c>
      <c r="AD20" s="313">
        <f>'P&amp;L - Concept B2 - Carnival'!W15</f>
        <v>4120</v>
      </c>
      <c r="AE20" s="313">
        <f>'P&amp;L - Concept B2 - Carnival'!X15</f>
        <v>4120</v>
      </c>
    </row>
    <row r="21" spans="1:31" s="18" customFormat="1">
      <c r="A21" s="54"/>
      <c r="B21" s="21"/>
      <c r="C21" s="21"/>
      <c r="K21" s="486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  <c r="Y21" s="313"/>
      <c r="Z21" s="313"/>
      <c r="AA21" s="313"/>
      <c r="AB21" s="313"/>
      <c r="AC21" s="313"/>
      <c r="AD21" s="313"/>
      <c r="AE21" s="313"/>
    </row>
    <row r="22" spans="1:31" s="547" customFormat="1">
      <c r="A22" s="549" t="s">
        <v>163</v>
      </c>
      <c r="B22" s="550"/>
      <c r="C22" s="550"/>
      <c r="K22" s="610"/>
      <c r="L22" s="555"/>
      <c r="M22" s="555"/>
      <c r="N22" s="555"/>
      <c r="O22" s="555"/>
      <c r="P22" s="555"/>
      <c r="Q22" s="555"/>
      <c r="R22" s="555"/>
      <c r="S22" s="555"/>
      <c r="T22" s="555"/>
      <c r="U22" s="555"/>
      <c r="V22" s="555"/>
      <c r="W22" s="555"/>
      <c r="X22" s="555"/>
      <c r="Y22" s="555"/>
      <c r="Z22" s="555"/>
      <c r="AA22" s="555"/>
      <c r="AB22" s="555"/>
      <c r="AC22" s="555"/>
      <c r="AD22" s="555"/>
      <c r="AE22" s="555"/>
    </row>
    <row r="23" spans="1:31" s="341" customFormat="1">
      <c r="A23" s="552" t="str">
        <f>'International Ferry Projections'!A11</f>
        <v>Passengers</v>
      </c>
      <c r="B23" s="553"/>
      <c r="C23" s="553"/>
      <c r="K23" s="554">
        <f>'P&amp;L - Concept B2 - Carnival'!D18</f>
        <v>0</v>
      </c>
      <c r="L23" s="555">
        <f>'P&amp;L - Concept B2 - Carnival'!E18</f>
        <v>60000</v>
      </c>
      <c r="M23" s="555">
        <f>'P&amp;L - Concept B2 - Carnival'!F18</f>
        <v>70000</v>
      </c>
      <c r="N23" s="555">
        <f>'P&amp;L - Concept B2 - Carnival'!G18</f>
        <v>80000</v>
      </c>
      <c r="O23" s="555">
        <f>'P&amp;L - Concept B2 - Carnival'!H18</f>
        <v>80000</v>
      </c>
      <c r="P23" s="555">
        <f>'P&amp;L - Concept B2 - Carnival'!I18</f>
        <v>80000</v>
      </c>
      <c r="Q23" s="555">
        <f>'P&amp;L - Concept B2 - Carnival'!J18</f>
        <v>80000</v>
      </c>
      <c r="R23" s="555">
        <f>'P&amp;L - Concept B2 - Carnival'!K18</f>
        <v>80000</v>
      </c>
      <c r="S23" s="555">
        <f>'P&amp;L - Concept B2 - Carnival'!L18</f>
        <v>80000</v>
      </c>
      <c r="T23" s="555">
        <f>'P&amp;L - Concept B2 - Carnival'!M18</f>
        <v>80000</v>
      </c>
      <c r="U23" s="555">
        <f>'P&amp;L - Concept B2 - Carnival'!N18</f>
        <v>80000</v>
      </c>
      <c r="V23" s="555">
        <f>'P&amp;L - Concept B2 - Carnival'!O18</f>
        <v>80000</v>
      </c>
      <c r="W23" s="555">
        <f>'P&amp;L - Concept B2 - Carnival'!P18</f>
        <v>80000</v>
      </c>
      <c r="X23" s="555">
        <f>'P&amp;L - Concept B2 - Carnival'!Q18</f>
        <v>80000</v>
      </c>
      <c r="Y23" s="555">
        <f>'P&amp;L - Concept B2 - Carnival'!R18</f>
        <v>80000</v>
      </c>
      <c r="Z23" s="555">
        <f>'P&amp;L - Concept B2 - Carnival'!S18</f>
        <v>80000</v>
      </c>
      <c r="AA23" s="555">
        <f>'P&amp;L - Concept B2 - Carnival'!T18</f>
        <v>80000</v>
      </c>
      <c r="AB23" s="555">
        <f>'P&amp;L - Concept B2 - Carnival'!U18</f>
        <v>80000</v>
      </c>
      <c r="AC23" s="555">
        <f>'P&amp;L - Concept B2 - Carnival'!V18</f>
        <v>80000</v>
      </c>
      <c r="AD23" s="555">
        <f>'P&amp;L - Concept B2 - Carnival'!W18</f>
        <v>80000</v>
      </c>
      <c r="AE23" s="555">
        <f>'P&amp;L - Concept B2 - Carnival'!X18</f>
        <v>80000</v>
      </c>
    </row>
    <row r="24" spans="1:31" s="341" customFormat="1">
      <c r="A24" s="552" t="str">
        <f>'International Ferry Projections'!A12</f>
        <v>Cars</v>
      </c>
      <c r="B24" s="553"/>
      <c r="C24" s="553"/>
      <c r="K24" s="554">
        <f>'P&amp;L - Concept B2 - Carnival'!D19</f>
        <v>0</v>
      </c>
      <c r="L24" s="555">
        <f>'P&amp;L - Concept B2 - Carnival'!E19</f>
        <v>24000</v>
      </c>
      <c r="M24" s="555">
        <f>'P&amp;L - Concept B2 - Carnival'!F19</f>
        <v>28000</v>
      </c>
      <c r="N24" s="555">
        <f>'P&amp;L - Concept B2 - Carnival'!G19</f>
        <v>32000</v>
      </c>
      <c r="O24" s="555">
        <f>'P&amp;L - Concept B2 - Carnival'!H19</f>
        <v>32000</v>
      </c>
      <c r="P24" s="555">
        <f>'P&amp;L - Concept B2 - Carnival'!I19</f>
        <v>32000</v>
      </c>
      <c r="Q24" s="555">
        <f>'P&amp;L - Concept B2 - Carnival'!J19</f>
        <v>32000</v>
      </c>
      <c r="R24" s="555">
        <f>'P&amp;L - Concept B2 - Carnival'!K19</f>
        <v>32000</v>
      </c>
      <c r="S24" s="555">
        <f>'P&amp;L - Concept B2 - Carnival'!L19</f>
        <v>32000</v>
      </c>
      <c r="T24" s="555">
        <f>'P&amp;L - Concept B2 - Carnival'!M19</f>
        <v>32000</v>
      </c>
      <c r="U24" s="555">
        <f>'P&amp;L - Concept B2 - Carnival'!N19</f>
        <v>32000</v>
      </c>
      <c r="V24" s="555">
        <f>'P&amp;L - Concept B2 - Carnival'!O19</f>
        <v>32000</v>
      </c>
      <c r="W24" s="555">
        <f>'P&amp;L - Concept B2 - Carnival'!P19</f>
        <v>32000</v>
      </c>
      <c r="X24" s="555">
        <f>'P&amp;L - Concept B2 - Carnival'!Q19</f>
        <v>32000</v>
      </c>
      <c r="Y24" s="555">
        <f>'P&amp;L - Concept B2 - Carnival'!R19</f>
        <v>32000</v>
      </c>
      <c r="Z24" s="555">
        <f>'P&amp;L - Concept B2 - Carnival'!S19</f>
        <v>32000</v>
      </c>
      <c r="AA24" s="555">
        <f>'P&amp;L - Concept B2 - Carnival'!T19</f>
        <v>32000</v>
      </c>
      <c r="AB24" s="555">
        <f>'P&amp;L - Concept B2 - Carnival'!U19</f>
        <v>32000</v>
      </c>
      <c r="AC24" s="555">
        <f>'P&amp;L - Concept B2 - Carnival'!V19</f>
        <v>32000</v>
      </c>
      <c r="AD24" s="555">
        <f>'P&amp;L - Concept B2 - Carnival'!W19</f>
        <v>32000</v>
      </c>
      <c r="AE24" s="555">
        <f>'P&amp;L - Concept B2 - Carnival'!X19</f>
        <v>32000</v>
      </c>
    </row>
    <row r="25" spans="1:31" s="341" customFormat="1">
      <c r="A25" s="552" t="str">
        <f>'International Ferry Projections'!A13</f>
        <v>Buses</v>
      </c>
      <c r="B25" s="553"/>
      <c r="C25" s="553"/>
      <c r="K25" s="554">
        <f>'P&amp;L - Concept B2 - Carnival'!D20</f>
        <v>0</v>
      </c>
      <c r="L25" s="555">
        <f>'P&amp;L - Concept B2 - Carnival'!E20</f>
        <v>40</v>
      </c>
      <c r="M25" s="555">
        <f>'P&amp;L - Concept B2 - Carnival'!F20</f>
        <v>50</v>
      </c>
      <c r="N25" s="555">
        <f>'P&amp;L - Concept B2 - Carnival'!G20</f>
        <v>60</v>
      </c>
      <c r="O25" s="555">
        <f>'P&amp;L - Concept B2 - Carnival'!H20</f>
        <v>60</v>
      </c>
      <c r="P25" s="555">
        <f>'P&amp;L - Concept B2 - Carnival'!I20</f>
        <v>60</v>
      </c>
      <c r="Q25" s="555">
        <f>'P&amp;L - Concept B2 - Carnival'!J20</f>
        <v>60</v>
      </c>
      <c r="R25" s="555">
        <f>'P&amp;L - Concept B2 - Carnival'!K20</f>
        <v>60</v>
      </c>
      <c r="S25" s="555">
        <f>'P&amp;L - Concept B2 - Carnival'!L20</f>
        <v>60</v>
      </c>
      <c r="T25" s="555">
        <f>'P&amp;L - Concept B2 - Carnival'!M20</f>
        <v>60</v>
      </c>
      <c r="U25" s="555">
        <f>'P&amp;L - Concept B2 - Carnival'!N20</f>
        <v>60</v>
      </c>
      <c r="V25" s="555">
        <f>'P&amp;L - Concept B2 - Carnival'!O20</f>
        <v>60</v>
      </c>
      <c r="W25" s="555">
        <f>'P&amp;L - Concept B2 - Carnival'!P20</f>
        <v>60</v>
      </c>
      <c r="X25" s="555">
        <f>'P&amp;L - Concept B2 - Carnival'!Q20</f>
        <v>60</v>
      </c>
      <c r="Y25" s="555">
        <f>'P&amp;L - Concept B2 - Carnival'!R20</f>
        <v>60</v>
      </c>
      <c r="Z25" s="555">
        <f>'P&amp;L - Concept B2 - Carnival'!S20</f>
        <v>60</v>
      </c>
      <c r="AA25" s="555">
        <f>'P&amp;L - Concept B2 - Carnival'!T20</f>
        <v>60</v>
      </c>
      <c r="AB25" s="555">
        <f>'P&amp;L - Concept B2 - Carnival'!U20</f>
        <v>60</v>
      </c>
      <c r="AC25" s="555">
        <f>'P&amp;L - Concept B2 - Carnival'!V20</f>
        <v>60</v>
      </c>
      <c r="AD25" s="555">
        <f>'P&amp;L - Concept B2 - Carnival'!W20</f>
        <v>60</v>
      </c>
      <c r="AE25" s="555">
        <f>'P&amp;L - Concept B2 - Carnival'!X20</f>
        <v>60</v>
      </c>
    </row>
    <row r="26" spans="1:31" s="18" customFormat="1">
      <c r="A26" s="54"/>
      <c r="B26" s="21"/>
      <c r="C26" s="21"/>
      <c r="K26" s="486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</row>
    <row r="27" spans="1:31" s="582" customFormat="1">
      <c r="A27" s="293" t="str">
        <f>'BH Tariffs'!A30</f>
        <v>Local Ferry</v>
      </c>
      <c r="B27" s="581"/>
      <c r="C27" s="581"/>
      <c r="K27" s="486"/>
      <c r="L27" s="313"/>
      <c r="M27" s="313"/>
      <c r="N27" s="313"/>
      <c r="O27" s="313"/>
      <c r="P27" s="313"/>
      <c r="Q27" s="313"/>
      <c r="R27" s="313"/>
      <c r="S27" s="313"/>
      <c r="T27" s="313"/>
      <c r="U27" s="313"/>
      <c r="V27" s="313"/>
      <c r="W27" s="313"/>
      <c r="X27" s="313"/>
      <c r="Y27" s="313"/>
      <c r="Z27" s="313"/>
      <c r="AA27" s="313"/>
      <c r="AB27" s="313"/>
      <c r="AC27" s="313"/>
      <c r="AD27" s="313"/>
      <c r="AE27" s="313"/>
    </row>
    <row r="28" spans="1:31" s="96" customFormat="1">
      <c r="A28" s="54" t="str">
        <f>'BH Tariffs'!A31</f>
        <v>Dock Rent (6 Months Only)</v>
      </c>
      <c r="B28" s="487"/>
      <c r="C28" s="487"/>
      <c r="K28" s="486">
        <f>'P&amp;L - Concept B2 - Carnival'!D23</f>
        <v>0</v>
      </c>
      <c r="L28" s="313" t="str">
        <f>'P&amp;L - Concept B2 - Carnival'!E23</f>
        <v>see Tariff</v>
      </c>
      <c r="M28" s="313" t="str">
        <f>'P&amp;L - Concept B2 - Carnival'!F23</f>
        <v>see Tariff</v>
      </c>
      <c r="N28" s="313" t="str">
        <f>'P&amp;L - Concept B2 - Carnival'!G23</f>
        <v>see Tariff</v>
      </c>
      <c r="O28" s="313" t="str">
        <f>'P&amp;L - Concept B2 - Carnival'!H23</f>
        <v>see Tariff</v>
      </c>
      <c r="P28" s="313" t="str">
        <f>'P&amp;L - Concept B2 - Carnival'!I23</f>
        <v>see Tariff</v>
      </c>
      <c r="Q28" s="313" t="str">
        <f>'P&amp;L - Concept B2 - Carnival'!J23</f>
        <v>see Tariff</v>
      </c>
      <c r="R28" s="313" t="str">
        <f>'P&amp;L - Concept B2 - Carnival'!K23</f>
        <v>see Tariff</v>
      </c>
      <c r="S28" s="313" t="str">
        <f>'P&amp;L - Concept B2 - Carnival'!L23</f>
        <v>see Tariff</v>
      </c>
      <c r="T28" s="313" t="str">
        <f>'P&amp;L - Concept B2 - Carnival'!M23</f>
        <v>see Tariff</v>
      </c>
      <c r="U28" s="313" t="str">
        <f>'P&amp;L - Concept B2 - Carnival'!N23</f>
        <v>see Tariff</v>
      </c>
      <c r="V28" s="313" t="str">
        <f>'P&amp;L - Concept B2 - Carnival'!O23</f>
        <v>see Tariff</v>
      </c>
      <c r="W28" s="313" t="str">
        <f>'P&amp;L - Concept B2 - Carnival'!P23</f>
        <v>see Tariff</v>
      </c>
      <c r="X28" s="313" t="str">
        <f>'P&amp;L - Concept B2 - Carnival'!Q23</f>
        <v>see Tariff</v>
      </c>
      <c r="Y28" s="313" t="str">
        <f>'P&amp;L - Concept B2 - Carnival'!R23</f>
        <v>see Tariff</v>
      </c>
      <c r="Z28" s="313" t="str">
        <f>'P&amp;L - Concept B2 - Carnival'!S23</f>
        <v>see Tariff</v>
      </c>
      <c r="AA28" s="313" t="str">
        <f>'P&amp;L - Concept B2 - Carnival'!T23</f>
        <v>see Tariff</v>
      </c>
      <c r="AB28" s="313" t="str">
        <f>'P&amp;L - Concept B2 - Carnival'!U23</f>
        <v>see Tariff</v>
      </c>
      <c r="AC28" s="313" t="str">
        <f>'P&amp;L - Concept B2 - Carnival'!V23</f>
        <v>see Tariff</v>
      </c>
      <c r="AD28" s="313" t="str">
        <f>'P&amp;L - Concept B2 - Carnival'!W23</f>
        <v>see Tariff</v>
      </c>
      <c r="AE28" s="313" t="str">
        <f>'P&amp;L - Concept B2 - Carnival'!X23</f>
        <v>see Tariff</v>
      </c>
    </row>
    <row r="29" spans="1:31" s="341" customFormat="1">
      <c r="A29" s="552"/>
      <c r="B29" s="553"/>
      <c r="C29" s="553"/>
      <c r="K29" s="554"/>
      <c r="L29" s="313"/>
      <c r="M29" s="313"/>
      <c r="N29" s="313"/>
      <c r="O29" s="313"/>
      <c r="P29" s="313"/>
      <c r="Q29" s="313"/>
      <c r="R29" s="313"/>
      <c r="S29" s="313"/>
      <c r="T29" s="313"/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</row>
    <row r="30" spans="1:31" s="96" customFormat="1">
      <c r="A30" s="559" t="s">
        <v>227</v>
      </c>
      <c r="B30" s="487"/>
      <c r="C30" s="487"/>
      <c r="K30" s="486"/>
      <c r="L30" s="313"/>
      <c r="M30" s="313"/>
      <c r="N30" s="313"/>
      <c r="O30" s="313"/>
      <c r="P30" s="313"/>
      <c r="Q30" s="313"/>
      <c r="R30" s="313"/>
      <c r="S30" s="313"/>
      <c r="T30" s="313"/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</row>
    <row r="31" spans="1:31" s="96" customFormat="1">
      <c r="A31" s="559"/>
      <c r="B31" s="487"/>
      <c r="C31" s="487"/>
      <c r="K31" s="486"/>
      <c r="L31" s="313"/>
      <c r="M31" s="313"/>
      <c r="N31" s="313"/>
      <c r="O31" s="313"/>
      <c r="P31" s="313"/>
      <c r="Q31" s="313"/>
      <c r="R31" s="313"/>
      <c r="S31" s="313"/>
      <c r="T31" s="313"/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</row>
    <row r="32" spans="1:31" s="96" customFormat="1">
      <c r="A32" s="54" t="s">
        <v>420</v>
      </c>
      <c r="B32" s="487"/>
      <c r="C32" s="487"/>
      <c r="K32" s="486">
        <f>'P&amp;L - Concept B2 - Carnival'!D27</f>
        <v>0</v>
      </c>
      <c r="L32" s="313">
        <f>'P&amp;L - Concept B2 - Carnival'!E27</f>
        <v>0</v>
      </c>
      <c r="M32" s="313">
        <f>'P&amp;L - Concept B2 - Carnival'!F27</f>
        <v>214</v>
      </c>
      <c r="N32" s="313">
        <f>'P&amp;L - Concept B2 - Carnival'!G27</f>
        <v>214</v>
      </c>
      <c r="O32" s="313">
        <f>'P&amp;L - Concept B2 - Carnival'!H27</f>
        <v>214</v>
      </c>
      <c r="P32" s="313">
        <f>'P&amp;L - Concept B2 - Carnival'!I27</f>
        <v>214</v>
      </c>
      <c r="Q32" s="313">
        <f>'P&amp;L - Concept B2 - Carnival'!J27</f>
        <v>214</v>
      </c>
      <c r="R32" s="313">
        <f>'P&amp;L - Concept B2 - Carnival'!K27</f>
        <v>214</v>
      </c>
      <c r="S32" s="313">
        <f>'P&amp;L - Concept B2 - Carnival'!L27</f>
        <v>214</v>
      </c>
      <c r="T32" s="313">
        <f>'P&amp;L - Concept B2 - Carnival'!M27</f>
        <v>214</v>
      </c>
      <c r="U32" s="313">
        <f>'P&amp;L - Concept B2 - Carnival'!N27</f>
        <v>214</v>
      </c>
      <c r="V32" s="313">
        <f>'P&amp;L - Concept B2 - Carnival'!O27</f>
        <v>214</v>
      </c>
      <c r="W32" s="313">
        <f>'P&amp;L - Concept B2 - Carnival'!P27</f>
        <v>214</v>
      </c>
      <c r="X32" s="313">
        <f>'P&amp;L - Concept B2 - Carnival'!Q27</f>
        <v>214</v>
      </c>
      <c r="Y32" s="313">
        <f>'P&amp;L - Concept B2 - Carnival'!R27</f>
        <v>214</v>
      </c>
      <c r="Z32" s="313">
        <f>'P&amp;L - Concept B2 - Carnival'!S27</f>
        <v>214</v>
      </c>
      <c r="AA32" s="313">
        <f>'P&amp;L - Concept B2 - Carnival'!T27</f>
        <v>214</v>
      </c>
      <c r="AB32" s="313">
        <f>'P&amp;L - Concept B2 - Carnival'!U27</f>
        <v>214</v>
      </c>
      <c r="AC32" s="313">
        <f>'P&amp;L - Concept B2 - Carnival'!V27</f>
        <v>214</v>
      </c>
      <c r="AD32" s="313">
        <f>'P&amp;L - Concept B2 - Carnival'!W27</f>
        <v>214</v>
      </c>
      <c r="AE32" s="313">
        <f>'P&amp;L - Concept B2 - Carnival'!X27</f>
        <v>214</v>
      </c>
    </row>
    <row r="33" spans="1:31" s="96" customFormat="1">
      <c r="A33" s="54" t="s">
        <v>205</v>
      </c>
      <c r="B33" s="487"/>
      <c r="C33" s="487"/>
      <c r="K33" s="486">
        <f>'P&amp;L - Concept B2 - Carnival'!D28</f>
        <v>0</v>
      </c>
      <c r="L33" s="313">
        <f>'P&amp;L - Concept B2 - Carnival'!E28</f>
        <v>0</v>
      </c>
      <c r="M33" s="313">
        <f>'P&amp;L - Concept B2 - Carnival'!F28</f>
        <v>60.199999999999996</v>
      </c>
      <c r="N33" s="313">
        <f>'P&amp;L - Concept B2 - Carnival'!G28</f>
        <v>60.199999999999996</v>
      </c>
      <c r="O33" s="313">
        <f>'P&amp;L - Concept B2 - Carnival'!H28</f>
        <v>60.199999999999996</v>
      </c>
      <c r="P33" s="313">
        <f>'P&amp;L - Concept B2 - Carnival'!I28</f>
        <v>60.199999999999996</v>
      </c>
      <c r="Q33" s="313">
        <f>'P&amp;L - Concept B2 - Carnival'!J28</f>
        <v>60.199999999999996</v>
      </c>
      <c r="R33" s="313">
        <f>'P&amp;L - Concept B2 - Carnival'!K28</f>
        <v>60.199999999999996</v>
      </c>
      <c r="S33" s="313">
        <f>'P&amp;L - Concept B2 - Carnival'!L28</f>
        <v>60.199999999999996</v>
      </c>
      <c r="T33" s="313">
        <f>'P&amp;L - Concept B2 - Carnival'!M28</f>
        <v>60.199999999999996</v>
      </c>
      <c r="U33" s="313">
        <f>'P&amp;L - Concept B2 - Carnival'!N28</f>
        <v>60.199999999999996</v>
      </c>
      <c r="V33" s="313">
        <f>'P&amp;L - Concept B2 - Carnival'!O28</f>
        <v>60.199999999999996</v>
      </c>
      <c r="W33" s="313">
        <f>'P&amp;L - Concept B2 - Carnival'!P28</f>
        <v>60.199999999999996</v>
      </c>
      <c r="X33" s="313">
        <f>'P&amp;L - Concept B2 - Carnival'!Q28</f>
        <v>60.199999999999996</v>
      </c>
      <c r="Y33" s="313">
        <f>'P&amp;L - Concept B2 - Carnival'!R28</f>
        <v>60.199999999999996</v>
      </c>
      <c r="Z33" s="313">
        <f>'P&amp;L - Concept B2 - Carnival'!S28</f>
        <v>60.199999999999996</v>
      </c>
      <c r="AA33" s="313">
        <f>'P&amp;L - Concept B2 - Carnival'!T28</f>
        <v>60.199999999999996</v>
      </c>
      <c r="AB33" s="313">
        <f>'P&amp;L - Concept B2 - Carnival'!U28</f>
        <v>60.199999999999996</v>
      </c>
      <c r="AC33" s="313">
        <f>'P&amp;L - Concept B2 - Carnival'!V28</f>
        <v>60.199999999999996</v>
      </c>
      <c r="AD33" s="313">
        <f>'P&amp;L - Concept B2 - Carnival'!W28</f>
        <v>60.199999999999996</v>
      </c>
      <c r="AE33" s="313">
        <f>'P&amp;L - Concept B2 - Carnival'!X28</f>
        <v>60.199999999999996</v>
      </c>
    </row>
    <row r="34" spans="1:31" s="341" customFormat="1">
      <c r="A34" s="552" t="s">
        <v>219</v>
      </c>
      <c r="B34" s="553"/>
      <c r="C34" s="553"/>
      <c r="K34" s="554">
        <f>'P&amp;L - Concept B2 - Carnival'!D29</f>
        <v>0</v>
      </c>
      <c r="L34" s="313">
        <f>'P&amp;L - Concept B2 - Carnival'!E29</f>
        <v>150</v>
      </c>
      <c r="M34" s="313">
        <f>'P&amp;L - Concept B2 - Carnival'!F29</f>
        <v>150</v>
      </c>
      <c r="N34" s="313">
        <f>'P&amp;L - Concept B2 - Carnival'!G29</f>
        <v>150</v>
      </c>
      <c r="O34" s="313">
        <f>'P&amp;L - Concept B2 - Carnival'!H29</f>
        <v>150</v>
      </c>
      <c r="P34" s="313">
        <f>'P&amp;L - Concept B2 - Carnival'!I29</f>
        <v>150</v>
      </c>
      <c r="Q34" s="313">
        <f>'P&amp;L - Concept B2 - Carnival'!J29</f>
        <v>150</v>
      </c>
      <c r="R34" s="313">
        <f>'P&amp;L - Concept B2 - Carnival'!K29</f>
        <v>150</v>
      </c>
      <c r="S34" s="313">
        <f>'P&amp;L - Concept B2 - Carnival'!L29</f>
        <v>150</v>
      </c>
      <c r="T34" s="313">
        <f>'P&amp;L - Concept B2 - Carnival'!M29</f>
        <v>150</v>
      </c>
      <c r="U34" s="313">
        <f>'P&amp;L - Concept B2 - Carnival'!N29</f>
        <v>150</v>
      </c>
      <c r="V34" s="313">
        <f>'P&amp;L - Concept B2 - Carnival'!O29</f>
        <v>150</v>
      </c>
      <c r="W34" s="313">
        <f>'P&amp;L - Concept B2 - Carnival'!P29</f>
        <v>150</v>
      </c>
      <c r="X34" s="313">
        <f>'P&amp;L - Concept B2 - Carnival'!Q29</f>
        <v>150</v>
      </c>
      <c r="Y34" s="313">
        <f>'P&amp;L - Concept B2 - Carnival'!R29</f>
        <v>150</v>
      </c>
      <c r="Z34" s="313">
        <f>'P&amp;L - Concept B2 - Carnival'!S29</f>
        <v>150</v>
      </c>
      <c r="AA34" s="313">
        <f>'P&amp;L - Concept B2 - Carnival'!T29</f>
        <v>150</v>
      </c>
      <c r="AB34" s="313">
        <f>'P&amp;L - Concept B2 - Carnival'!U29</f>
        <v>150</v>
      </c>
      <c r="AC34" s="313">
        <f>'P&amp;L - Concept B2 - Carnival'!V29</f>
        <v>150</v>
      </c>
      <c r="AD34" s="313">
        <f>'P&amp;L - Concept B2 - Carnival'!W29</f>
        <v>150</v>
      </c>
      <c r="AE34" s="313">
        <f>'P&amp;L - Concept B2 - Carnival'!X29</f>
        <v>150</v>
      </c>
    </row>
    <row r="35" spans="1:31" s="341" customFormat="1">
      <c r="A35" s="552" t="s">
        <v>220</v>
      </c>
      <c r="B35" s="553"/>
      <c r="C35" s="553"/>
      <c r="K35" s="554">
        <f>'P&amp;L - Concept B2 - Carnival'!D30</f>
        <v>0</v>
      </c>
      <c r="L35" s="313">
        <f>'P&amp;L - Concept B2 - Carnival'!E30</f>
        <v>0</v>
      </c>
      <c r="M35" s="313">
        <f>'P&amp;L - Concept B2 - Carnival'!F30</f>
        <v>0.40133333333333332</v>
      </c>
      <c r="N35" s="313">
        <f>'P&amp;L - Concept B2 - Carnival'!G30</f>
        <v>0.40133333333333332</v>
      </c>
      <c r="O35" s="313">
        <f>'P&amp;L - Concept B2 - Carnival'!H30</f>
        <v>0.40133333333333332</v>
      </c>
      <c r="P35" s="313">
        <f>'P&amp;L - Concept B2 - Carnival'!I30</f>
        <v>0.40133333333333332</v>
      </c>
      <c r="Q35" s="313">
        <f>'P&amp;L - Concept B2 - Carnival'!J30</f>
        <v>0.40133333333333332</v>
      </c>
      <c r="R35" s="313">
        <f>'P&amp;L - Concept B2 - Carnival'!K30</f>
        <v>0.40133333333333332</v>
      </c>
      <c r="S35" s="313">
        <f>'P&amp;L - Concept B2 - Carnival'!L30</f>
        <v>0.40133333333333332</v>
      </c>
      <c r="T35" s="313">
        <f>'P&amp;L - Concept B2 - Carnival'!M30</f>
        <v>0.40133333333333332</v>
      </c>
      <c r="U35" s="313">
        <f>'P&amp;L - Concept B2 - Carnival'!N30</f>
        <v>0.40133333333333332</v>
      </c>
      <c r="V35" s="313">
        <f>'P&amp;L - Concept B2 - Carnival'!O30</f>
        <v>0.40133333333333332</v>
      </c>
      <c r="W35" s="313">
        <f>'P&amp;L - Concept B2 - Carnival'!P30</f>
        <v>0.40133333333333332</v>
      </c>
      <c r="X35" s="313">
        <f>'P&amp;L - Concept B2 - Carnival'!Q30</f>
        <v>0.40133333333333332</v>
      </c>
      <c r="Y35" s="313">
        <f>'P&amp;L - Concept B2 - Carnival'!R30</f>
        <v>0.40133333333333332</v>
      </c>
      <c r="Z35" s="313">
        <f>'P&amp;L - Concept B2 - Carnival'!S30</f>
        <v>0.40133333333333332</v>
      </c>
      <c r="AA35" s="313">
        <f>'P&amp;L - Concept B2 - Carnival'!T30</f>
        <v>0.40133333333333332</v>
      </c>
      <c r="AB35" s="313">
        <f>'P&amp;L - Concept B2 - Carnival'!U30</f>
        <v>0.40133333333333332</v>
      </c>
      <c r="AC35" s="313">
        <f>'P&amp;L - Concept B2 - Carnival'!V30</f>
        <v>0.40133333333333332</v>
      </c>
      <c r="AD35" s="313">
        <f>'P&amp;L - Concept B2 - Carnival'!W30</f>
        <v>0.40133333333333332</v>
      </c>
      <c r="AE35" s="313">
        <f>'P&amp;L - Concept B2 - Carnival'!X30</f>
        <v>0.40133333333333332</v>
      </c>
    </row>
    <row r="36" spans="1:31" s="96" customFormat="1">
      <c r="A36" s="54" t="s">
        <v>226</v>
      </c>
      <c r="B36" s="487"/>
      <c r="C36" s="487"/>
      <c r="K36" s="486">
        <f>'P&amp;L - Concept B2 - Carnival'!D31</f>
        <v>0</v>
      </c>
      <c r="L36" s="313">
        <f>'P&amp;L - Concept B2 - Carnival'!E31</f>
        <v>0</v>
      </c>
      <c r="M36" s="313">
        <f>'P&amp;L - Concept B2 - Carnival'!F31</f>
        <v>125</v>
      </c>
      <c r="N36" s="313">
        <f>'P&amp;L - Concept B2 - Carnival'!G31</f>
        <v>125</v>
      </c>
      <c r="O36" s="313">
        <f>'P&amp;L - Concept B2 - Carnival'!H31</f>
        <v>125</v>
      </c>
      <c r="P36" s="313">
        <f>'P&amp;L - Concept B2 - Carnival'!I31</f>
        <v>125</v>
      </c>
      <c r="Q36" s="313">
        <f>'P&amp;L - Concept B2 - Carnival'!J31</f>
        <v>125</v>
      </c>
      <c r="R36" s="313">
        <f>'P&amp;L - Concept B2 - Carnival'!K31</f>
        <v>125</v>
      </c>
      <c r="S36" s="313">
        <f>'P&amp;L - Concept B2 - Carnival'!L31</f>
        <v>125</v>
      </c>
      <c r="T36" s="313">
        <f>'P&amp;L - Concept B2 - Carnival'!M31</f>
        <v>125</v>
      </c>
      <c r="U36" s="313">
        <f>'P&amp;L - Concept B2 - Carnival'!N31</f>
        <v>125</v>
      </c>
      <c r="V36" s="313">
        <f>'P&amp;L - Concept B2 - Carnival'!O31</f>
        <v>125</v>
      </c>
      <c r="W36" s="313">
        <f>'P&amp;L - Concept B2 - Carnival'!P31</f>
        <v>125</v>
      </c>
      <c r="X36" s="313">
        <f>'P&amp;L - Concept B2 - Carnival'!Q31</f>
        <v>125</v>
      </c>
      <c r="Y36" s="313">
        <f>'P&amp;L - Concept B2 - Carnival'!R31</f>
        <v>125</v>
      </c>
      <c r="Z36" s="313">
        <f>'P&amp;L - Concept B2 - Carnival'!S31</f>
        <v>125</v>
      </c>
      <c r="AA36" s="313">
        <f>'P&amp;L - Concept B2 - Carnival'!T31</f>
        <v>125</v>
      </c>
      <c r="AB36" s="313">
        <f>'P&amp;L - Concept B2 - Carnival'!U31</f>
        <v>125</v>
      </c>
      <c r="AC36" s="313">
        <f>'P&amp;L - Concept B2 - Carnival'!V31</f>
        <v>125</v>
      </c>
      <c r="AD36" s="313">
        <f>'P&amp;L - Concept B2 - Carnival'!W31</f>
        <v>125</v>
      </c>
      <c r="AE36" s="313">
        <f>'P&amp;L - Concept B2 - Carnival'!X31</f>
        <v>125</v>
      </c>
    </row>
    <row r="37" spans="1:31" s="18" customFormat="1">
      <c r="A37" s="54"/>
      <c r="B37" s="21"/>
      <c r="C37" s="21"/>
      <c r="K37" s="486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</row>
    <row r="38" spans="1:31" s="96" customFormat="1">
      <c r="A38" s="54" t="s">
        <v>206</v>
      </c>
      <c r="B38" s="487"/>
      <c r="C38" s="487"/>
      <c r="K38" s="486">
        <f>'P&amp;L - Concept B2 - Carnival'!D33</f>
        <v>0</v>
      </c>
      <c r="L38" s="313">
        <f>'P&amp;L - Concept B2 - Carnival'!E33</f>
        <v>0</v>
      </c>
      <c r="M38" s="313">
        <f>'P&amp;L - Concept B2 - Carnival'!F33</f>
        <v>1749.6899434777133</v>
      </c>
      <c r="N38" s="313">
        <f>'P&amp;L - Concept B2 - Carnival'!G33</f>
        <v>1749.6899434777133</v>
      </c>
      <c r="O38" s="313">
        <f>'P&amp;L - Concept B2 - Carnival'!H33</f>
        <v>1749.6899434777133</v>
      </c>
      <c r="P38" s="313">
        <f>'P&amp;L - Concept B2 - Carnival'!I33</f>
        <v>1749.6899434777133</v>
      </c>
      <c r="Q38" s="313">
        <f>'P&amp;L - Concept B2 - Carnival'!J33</f>
        <v>1749.6899434777133</v>
      </c>
      <c r="R38" s="313">
        <f>'P&amp;L - Concept B2 - Carnival'!K33</f>
        <v>1749.6899434777133</v>
      </c>
      <c r="S38" s="313">
        <f>'P&amp;L - Concept B2 - Carnival'!L33</f>
        <v>1749.6899434777133</v>
      </c>
      <c r="T38" s="313">
        <f>'P&amp;L - Concept B2 - Carnival'!M33</f>
        <v>1749.6899434777133</v>
      </c>
      <c r="U38" s="313">
        <f>'P&amp;L - Concept B2 - Carnival'!N33</f>
        <v>1749.6899434777133</v>
      </c>
      <c r="V38" s="313">
        <f>'P&amp;L - Concept B2 - Carnival'!O33</f>
        <v>1749.6899434777133</v>
      </c>
      <c r="W38" s="313">
        <f>'P&amp;L - Concept B2 - Carnival'!P33</f>
        <v>1749.6899434777133</v>
      </c>
      <c r="X38" s="313">
        <f>'P&amp;L - Concept B2 - Carnival'!Q33</f>
        <v>1749.6899434777133</v>
      </c>
      <c r="Y38" s="313">
        <f>'P&amp;L - Concept B2 - Carnival'!R33</f>
        <v>1749.6899434777133</v>
      </c>
      <c r="Z38" s="313">
        <f>'P&amp;L - Concept B2 - Carnival'!S33</f>
        <v>1749.6899434777133</v>
      </c>
      <c r="AA38" s="313">
        <f>'P&amp;L - Concept B2 - Carnival'!T33</f>
        <v>1749.6899434777133</v>
      </c>
      <c r="AB38" s="313">
        <f>'P&amp;L - Concept B2 - Carnival'!U33</f>
        <v>1749.6899434777133</v>
      </c>
      <c r="AC38" s="313">
        <f>'P&amp;L - Concept B2 - Carnival'!V33</f>
        <v>1749.6899434777133</v>
      </c>
      <c r="AD38" s="313">
        <f>'P&amp;L - Concept B2 - Carnival'!W33</f>
        <v>1749.6899434777133</v>
      </c>
      <c r="AE38" s="313">
        <f>'P&amp;L - Concept B2 - Carnival'!X33</f>
        <v>1749.6899434777133</v>
      </c>
    </row>
    <row r="39" spans="1:31" s="96" customFormat="1">
      <c r="A39" s="54" t="s">
        <v>207</v>
      </c>
      <c r="B39" s="487"/>
      <c r="C39" s="487"/>
      <c r="K39" s="486">
        <f>'P&amp;L - Concept B2 - Carnival'!D34</f>
        <v>0</v>
      </c>
      <c r="L39" s="313">
        <f>'P&amp;L - Concept B2 - Carnival'!E34</f>
        <v>0</v>
      </c>
      <c r="M39" s="313">
        <f>'P&amp;L - Concept B2 - Carnival'!F34</f>
        <v>5500</v>
      </c>
      <c r="N39" s="313">
        <f>'P&amp;L - Concept B2 - Carnival'!G34</f>
        <v>5500</v>
      </c>
      <c r="O39" s="313">
        <f>'P&amp;L - Concept B2 - Carnival'!H34</f>
        <v>5500</v>
      </c>
      <c r="P39" s="313">
        <f>'P&amp;L - Concept B2 - Carnival'!I34</f>
        <v>5500</v>
      </c>
      <c r="Q39" s="313">
        <f>'P&amp;L - Concept B2 - Carnival'!J34</f>
        <v>5500</v>
      </c>
      <c r="R39" s="313">
        <f>'P&amp;L - Concept B2 - Carnival'!K34</f>
        <v>5500</v>
      </c>
      <c r="S39" s="313">
        <f>'P&amp;L - Concept B2 - Carnival'!L34</f>
        <v>5500</v>
      </c>
      <c r="T39" s="313">
        <f>'P&amp;L - Concept B2 - Carnival'!M34</f>
        <v>5500</v>
      </c>
      <c r="U39" s="313">
        <f>'P&amp;L - Concept B2 - Carnival'!N34</f>
        <v>5500</v>
      </c>
      <c r="V39" s="313">
        <f>'P&amp;L - Concept B2 - Carnival'!O34</f>
        <v>5500</v>
      </c>
      <c r="W39" s="313">
        <f>'P&amp;L - Concept B2 - Carnival'!P34</f>
        <v>5500</v>
      </c>
      <c r="X39" s="313">
        <f>'P&amp;L - Concept B2 - Carnival'!Q34</f>
        <v>5500</v>
      </c>
      <c r="Y39" s="313">
        <f>'P&amp;L - Concept B2 - Carnival'!R34</f>
        <v>5500</v>
      </c>
      <c r="Z39" s="313">
        <f>'P&amp;L - Concept B2 - Carnival'!S34</f>
        <v>5500</v>
      </c>
      <c r="AA39" s="313">
        <f>'P&amp;L - Concept B2 - Carnival'!T34</f>
        <v>5500</v>
      </c>
      <c r="AB39" s="313">
        <f>'P&amp;L - Concept B2 - Carnival'!U34</f>
        <v>5500</v>
      </c>
      <c r="AC39" s="313">
        <f>'P&amp;L - Concept B2 - Carnival'!V34</f>
        <v>5500</v>
      </c>
      <c r="AD39" s="313">
        <f>'P&amp;L - Concept B2 - Carnival'!W34</f>
        <v>5500</v>
      </c>
      <c r="AE39" s="313">
        <f>'P&amp;L - Concept B2 - Carnival'!X34</f>
        <v>5500</v>
      </c>
    </row>
    <row r="40" spans="1:31" s="341" customFormat="1">
      <c r="A40" s="552" t="s">
        <v>221</v>
      </c>
      <c r="B40" s="553"/>
      <c r="C40" s="553"/>
      <c r="K40" s="554">
        <f>'P&amp;L - Concept B2 - Carnival'!D35</f>
        <v>0</v>
      </c>
      <c r="L40" s="555">
        <f>'P&amp;L - Concept B2 - Carnival'!E35</f>
        <v>400</v>
      </c>
      <c r="M40" s="555">
        <f>'P&amp;L - Concept B2 - Carnival'!F35</f>
        <v>466.66666666666669</v>
      </c>
      <c r="N40" s="555">
        <f>'P&amp;L - Concept B2 - Carnival'!G35</f>
        <v>533.33333333333337</v>
      </c>
      <c r="O40" s="555">
        <f>'P&amp;L - Concept B2 - Carnival'!H35</f>
        <v>533.33333333333337</v>
      </c>
      <c r="P40" s="555">
        <f>'P&amp;L - Concept B2 - Carnival'!I35</f>
        <v>533.33333333333337</v>
      </c>
      <c r="Q40" s="555">
        <f>'P&amp;L - Concept B2 - Carnival'!J35</f>
        <v>533.33333333333337</v>
      </c>
      <c r="R40" s="555">
        <f>'P&amp;L - Concept B2 - Carnival'!K35</f>
        <v>533.33333333333337</v>
      </c>
      <c r="S40" s="555">
        <f>'P&amp;L - Concept B2 - Carnival'!L35</f>
        <v>533.33333333333337</v>
      </c>
      <c r="T40" s="555">
        <f>'P&amp;L - Concept B2 - Carnival'!M35</f>
        <v>533.33333333333337</v>
      </c>
      <c r="U40" s="555">
        <f>'P&amp;L - Concept B2 - Carnival'!N35</f>
        <v>533.33333333333337</v>
      </c>
      <c r="V40" s="555">
        <f>'P&amp;L - Concept B2 - Carnival'!O35</f>
        <v>533.33333333333337</v>
      </c>
      <c r="W40" s="555">
        <f>'P&amp;L - Concept B2 - Carnival'!P35</f>
        <v>533.33333333333337</v>
      </c>
      <c r="X40" s="555">
        <f>'P&amp;L - Concept B2 - Carnival'!Q35</f>
        <v>533.33333333333337</v>
      </c>
      <c r="Y40" s="555">
        <f>'P&amp;L - Concept B2 - Carnival'!R35</f>
        <v>533.33333333333337</v>
      </c>
      <c r="Z40" s="555">
        <f>'P&amp;L - Concept B2 - Carnival'!S35</f>
        <v>533.33333333333337</v>
      </c>
      <c r="AA40" s="555">
        <f>'P&amp;L - Concept B2 - Carnival'!T35</f>
        <v>533.33333333333337</v>
      </c>
      <c r="AB40" s="555">
        <f>'P&amp;L - Concept B2 - Carnival'!U35</f>
        <v>533.33333333333337</v>
      </c>
      <c r="AC40" s="555">
        <f>'P&amp;L - Concept B2 - Carnival'!V35</f>
        <v>533.33333333333337</v>
      </c>
      <c r="AD40" s="555">
        <f>'P&amp;L - Concept B2 - Carnival'!W35</f>
        <v>533.33333333333337</v>
      </c>
      <c r="AE40" s="555">
        <f>'P&amp;L - Concept B2 - Carnival'!X35</f>
        <v>533.33333333333337</v>
      </c>
    </row>
    <row r="41" spans="1:31" s="341" customFormat="1">
      <c r="A41" s="552" t="s">
        <v>222</v>
      </c>
      <c r="B41" s="553"/>
      <c r="C41" s="553"/>
      <c r="K41" s="554">
        <f>'P&amp;L - Concept B2 - Carnival'!D36</f>
        <v>0</v>
      </c>
      <c r="L41" s="555">
        <f>'P&amp;L - Concept B2 - Carnival'!E36</f>
        <v>800</v>
      </c>
      <c r="M41" s="555">
        <f>'P&amp;L - Concept B2 - Carnival'!F36</f>
        <v>800</v>
      </c>
      <c r="N41" s="555">
        <f>'P&amp;L - Concept B2 - Carnival'!G36</f>
        <v>800</v>
      </c>
      <c r="O41" s="555">
        <f>'P&amp;L - Concept B2 - Carnival'!H36</f>
        <v>800</v>
      </c>
      <c r="P41" s="555">
        <f>'P&amp;L - Concept B2 - Carnival'!I36</f>
        <v>800</v>
      </c>
      <c r="Q41" s="555">
        <f>'P&amp;L - Concept B2 - Carnival'!J36</f>
        <v>800</v>
      </c>
      <c r="R41" s="555">
        <f>'P&amp;L - Concept B2 - Carnival'!K36</f>
        <v>800</v>
      </c>
      <c r="S41" s="555">
        <f>'P&amp;L - Concept B2 - Carnival'!L36</f>
        <v>800</v>
      </c>
      <c r="T41" s="555">
        <f>'P&amp;L - Concept B2 - Carnival'!M36</f>
        <v>800</v>
      </c>
      <c r="U41" s="555">
        <f>'P&amp;L - Concept B2 - Carnival'!N36</f>
        <v>800</v>
      </c>
      <c r="V41" s="555">
        <f>'P&amp;L - Concept B2 - Carnival'!O36</f>
        <v>800</v>
      </c>
      <c r="W41" s="555">
        <f>'P&amp;L - Concept B2 - Carnival'!P36</f>
        <v>800</v>
      </c>
      <c r="X41" s="555">
        <f>'P&amp;L - Concept B2 - Carnival'!Q36</f>
        <v>800</v>
      </c>
      <c r="Y41" s="555">
        <f>'P&amp;L - Concept B2 - Carnival'!R36</f>
        <v>800</v>
      </c>
      <c r="Z41" s="555">
        <f>'P&amp;L - Concept B2 - Carnival'!S36</f>
        <v>800</v>
      </c>
      <c r="AA41" s="555">
        <f>'P&amp;L - Concept B2 - Carnival'!T36</f>
        <v>800</v>
      </c>
      <c r="AB41" s="555">
        <f>'P&amp;L - Concept B2 - Carnival'!U36</f>
        <v>800</v>
      </c>
      <c r="AC41" s="555">
        <f>'P&amp;L - Concept B2 - Carnival'!V36</f>
        <v>800</v>
      </c>
      <c r="AD41" s="555">
        <f>'P&amp;L - Concept B2 - Carnival'!W36</f>
        <v>800</v>
      </c>
      <c r="AE41" s="555">
        <f>'P&amp;L - Concept B2 - Carnival'!X36</f>
        <v>800</v>
      </c>
    </row>
    <row r="42" spans="1:31" s="341" customFormat="1">
      <c r="A42" s="552" t="s">
        <v>208</v>
      </c>
      <c r="B42" s="553"/>
      <c r="C42" s="553"/>
      <c r="K42" s="554">
        <f>'P&amp;L - Concept B2 - Carnival'!D37</f>
        <v>0</v>
      </c>
      <c r="L42" s="555">
        <f>'P&amp;L - Concept B2 - Carnival'!E37</f>
        <v>800</v>
      </c>
      <c r="M42" s="555">
        <f>'P&amp;L - Concept B2 - Carnival'!F37</f>
        <v>6300</v>
      </c>
      <c r="N42" s="555">
        <f>'P&amp;L - Concept B2 - Carnival'!G37</f>
        <v>6300</v>
      </c>
      <c r="O42" s="555">
        <f>'P&amp;L - Concept B2 - Carnival'!H37</f>
        <v>6300</v>
      </c>
      <c r="P42" s="555">
        <f>'P&amp;L - Concept B2 - Carnival'!I37</f>
        <v>6300</v>
      </c>
      <c r="Q42" s="555">
        <f>'P&amp;L - Concept B2 - Carnival'!J37</f>
        <v>6300</v>
      </c>
      <c r="R42" s="555">
        <f>'P&amp;L - Concept B2 - Carnival'!K37</f>
        <v>6300</v>
      </c>
      <c r="S42" s="555">
        <f>'P&amp;L - Concept B2 - Carnival'!L37</f>
        <v>6300</v>
      </c>
      <c r="T42" s="555">
        <f>'P&amp;L - Concept B2 - Carnival'!M37</f>
        <v>6300</v>
      </c>
      <c r="U42" s="555">
        <f>'P&amp;L - Concept B2 - Carnival'!N37</f>
        <v>6300</v>
      </c>
      <c r="V42" s="555">
        <f>'P&amp;L - Concept B2 - Carnival'!O37</f>
        <v>6300</v>
      </c>
      <c r="W42" s="555">
        <f>'P&amp;L - Concept B2 - Carnival'!P37</f>
        <v>6300</v>
      </c>
      <c r="X42" s="555">
        <f>'P&amp;L - Concept B2 - Carnival'!Q37</f>
        <v>6300</v>
      </c>
      <c r="Y42" s="555">
        <f>'P&amp;L - Concept B2 - Carnival'!R37</f>
        <v>6300</v>
      </c>
      <c r="Z42" s="555">
        <f>'P&amp;L - Concept B2 - Carnival'!S37</f>
        <v>6300</v>
      </c>
      <c r="AA42" s="555">
        <f>'P&amp;L - Concept B2 - Carnival'!T37</f>
        <v>6300</v>
      </c>
      <c r="AB42" s="555">
        <f>'P&amp;L - Concept B2 - Carnival'!U37</f>
        <v>6300</v>
      </c>
      <c r="AC42" s="555">
        <f>'P&amp;L - Concept B2 - Carnival'!V37</f>
        <v>6300</v>
      </c>
      <c r="AD42" s="555">
        <f>'P&amp;L - Concept B2 - Carnival'!W37</f>
        <v>6300</v>
      </c>
      <c r="AE42" s="555">
        <f>'P&amp;L - Concept B2 - Carnival'!X37</f>
        <v>6300</v>
      </c>
    </row>
    <row r="43" spans="1:31" s="18" customFormat="1">
      <c r="A43" s="54"/>
      <c r="B43" s="21"/>
      <c r="C43" s="21"/>
      <c r="K43" s="486"/>
      <c r="L43" s="313"/>
      <c r="M43" s="313"/>
      <c r="N43" s="313"/>
      <c r="O43" s="313"/>
      <c r="P43" s="313"/>
      <c r="Q43" s="313"/>
      <c r="R43" s="313"/>
      <c r="S43" s="313"/>
      <c r="T43" s="313"/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</row>
    <row r="44" spans="1:31" s="341" customFormat="1">
      <c r="A44" s="552" t="s">
        <v>223</v>
      </c>
      <c r="B44" s="557"/>
      <c r="C44" s="557"/>
      <c r="K44" s="554">
        <f>'P&amp;L - Concept B2 - Carnival'!D39</f>
        <v>0</v>
      </c>
      <c r="L44" s="313">
        <f>'P&amp;L - Concept B2 - Carnival'!E39</f>
        <v>160.26666666666668</v>
      </c>
      <c r="M44" s="313">
        <f>'P&amp;L - Concept B2 - Carnival'!F39</f>
        <v>187</v>
      </c>
      <c r="N44" s="313">
        <f>'P&amp;L - Concept B2 - Carnival'!G39</f>
        <v>213.73333333333332</v>
      </c>
      <c r="O44" s="313">
        <f>'P&amp;L - Concept B2 - Carnival'!H39</f>
        <v>213.73333333333332</v>
      </c>
      <c r="P44" s="313">
        <f>'P&amp;L - Concept B2 - Carnival'!I39</f>
        <v>213.73333333333332</v>
      </c>
      <c r="Q44" s="313">
        <f>'P&amp;L - Concept B2 - Carnival'!J39</f>
        <v>213.73333333333332</v>
      </c>
      <c r="R44" s="313">
        <f>'P&amp;L - Concept B2 - Carnival'!K39</f>
        <v>213.73333333333332</v>
      </c>
      <c r="S44" s="313">
        <f>'P&amp;L - Concept B2 - Carnival'!L39</f>
        <v>213.73333333333332</v>
      </c>
      <c r="T44" s="313">
        <f>'P&amp;L - Concept B2 - Carnival'!M39</f>
        <v>213.73333333333332</v>
      </c>
      <c r="U44" s="313">
        <f>'P&amp;L - Concept B2 - Carnival'!N39</f>
        <v>213.73333333333332</v>
      </c>
      <c r="V44" s="313">
        <f>'P&amp;L - Concept B2 - Carnival'!O39</f>
        <v>213.73333333333332</v>
      </c>
      <c r="W44" s="313">
        <f>'P&amp;L - Concept B2 - Carnival'!P39</f>
        <v>213.73333333333332</v>
      </c>
      <c r="X44" s="313">
        <f>'P&amp;L - Concept B2 - Carnival'!Q39</f>
        <v>213.73333333333332</v>
      </c>
      <c r="Y44" s="313">
        <f>'P&amp;L - Concept B2 - Carnival'!R39</f>
        <v>213.73333333333332</v>
      </c>
      <c r="Z44" s="313">
        <f>'P&amp;L - Concept B2 - Carnival'!S39</f>
        <v>213.73333333333332</v>
      </c>
      <c r="AA44" s="313">
        <f>'P&amp;L - Concept B2 - Carnival'!T39</f>
        <v>213.73333333333332</v>
      </c>
      <c r="AB44" s="313">
        <f>'P&amp;L - Concept B2 - Carnival'!U39</f>
        <v>213.73333333333332</v>
      </c>
      <c r="AC44" s="313">
        <f>'P&amp;L - Concept B2 - Carnival'!V39</f>
        <v>213.73333333333332</v>
      </c>
      <c r="AD44" s="313">
        <f>'P&amp;L - Concept B2 - Carnival'!W39</f>
        <v>213.73333333333332</v>
      </c>
      <c r="AE44" s="313">
        <f>'P&amp;L - Concept B2 - Carnival'!X39</f>
        <v>213.73333333333332</v>
      </c>
    </row>
    <row r="45" spans="1:31" s="18" customFormat="1">
      <c r="A45" s="54"/>
      <c r="B45" s="74"/>
      <c r="C45" s="74"/>
      <c r="K45" s="492"/>
      <c r="L45" s="313"/>
      <c r="M45" s="313"/>
      <c r="N45" s="313"/>
      <c r="O45" s="313"/>
      <c r="P45" s="313"/>
      <c r="Q45" s="313"/>
      <c r="R45" s="313"/>
      <c r="S45" s="313"/>
      <c r="T45" s="313"/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</row>
    <row r="46" spans="1:31" s="18" customFormat="1">
      <c r="A46" s="293" t="s">
        <v>26</v>
      </c>
      <c r="B46" s="74"/>
      <c r="C46" s="74"/>
      <c r="K46" s="492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</row>
    <row r="47" spans="1:31" s="18" customFormat="1">
      <c r="A47" s="54" t="s">
        <v>264</v>
      </c>
      <c r="B47" s="277"/>
      <c r="C47" s="74"/>
      <c r="K47" s="486">
        <f>'P&amp;L - Concept B2 - Carnival'!D42</f>
        <v>0</v>
      </c>
      <c r="L47" s="313">
        <f>'P&amp;L - Concept B2 - Carnival'!E42</f>
        <v>1381.6770833333335</v>
      </c>
      <c r="M47" s="313">
        <f>'P&amp;L - Concept B2 - Carnival'!F42</f>
        <v>2763.354166666667</v>
      </c>
      <c r="N47" s="313">
        <f>'P&amp;L - Concept B2 - Carnival'!G42</f>
        <v>2763.354166666667</v>
      </c>
      <c r="O47" s="313">
        <f>'P&amp;L - Concept B2 - Carnival'!H42</f>
        <v>2763.354166666667</v>
      </c>
      <c r="P47" s="313">
        <f>'P&amp;L - Concept B2 - Carnival'!I42</f>
        <v>2763.354166666667</v>
      </c>
      <c r="Q47" s="313">
        <f>'P&amp;L - Concept B2 - Carnival'!J42</f>
        <v>2763.354166666667</v>
      </c>
      <c r="R47" s="313">
        <f>'P&amp;L - Concept B2 - Carnival'!K42</f>
        <v>2763.354166666667</v>
      </c>
      <c r="S47" s="313">
        <f>'P&amp;L - Concept B2 - Carnival'!L42</f>
        <v>2763.354166666667</v>
      </c>
      <c r="T47" s="313">
        <f>'P&amp;L - Concept B2 - Carnival'!M42</f>
        <v>2763.354166666667</v>
      </c>
      <c r="U47" s="313">
        <f>'P&amp;L - Concept B2 - Carnival'!N42</f>
        <v>2763.354166666667</v>
      </c>
      <c r="V47" s="313">
        <f>'P&amp;L - Concept B2 - Carnival'!O42</f>
        <v>2763.354166666667</v>
      </c>
      <c r="W47" s="313">
        <f>'P&amp;L - Concept B2 - Carnival'!P42</f>
        <v>2763.354166666667</v>
      </c>
      <c r="X47" s="313">
        <f>'P&amp;L - Concept B2 - Carnival'!Q42</f>
        <v>2763.354166666667</v>
      </c>
      <c r="Y47" s="313">
        <f>'P&amp;L - Concept B2 - Carnival'!R42</f>
        <v>2763.354166666667</v>
      </c>
      <c r="Z47" s="313">
        <f>'P&amp;L - Concept B2 - Carnival'!S42</f>
        <v>2763.354166666667</v>
      </c>
      <c r="AA47" s="313">
        <f>'P&amp;L - Concept B2 - Carnival'!T42</f>
        <v>2763.354166666667</v>
      </c>
      <c r="AB47" s="313">
        <f>'P&amp;L - Concept B2 - Carnival'!U42</f>
        <v>2763.354166666667</v>
      </c>
      <c r="AC47" s="313">
        <f>'P&amp;L - Concept B2 - Carnival'!V42</f>
        <v>2763.354166666667</v>
      </c>
      <c r="AD47" s="313">
        <f>'P&amp;L - Concept B2 - Carnival'!W42</f>
        <v>2763.354166666667</v>
      </c>
      <c r="AE47" s="313">
        <f>'P&amp;L - Concept B2 - Carnival'!X42</f>
        <v>2763.354166666667</v>
      </c>
    </row>
    <row r="48" spans="1:31" s="18" customFormat="1">
      <c r="A48" s="54" t="s">
        <v>267</v>
      </c>
      <c r="B48" s="277"/>
      <c r="C48" s="74"/>
      <c r="K48" s="486">
        <f>'P&amp;L - Concept B2 - Carnival'!D43</f>
        <v>0</v>
      </c>
      <c r="L48" s="313">
        <f>'P&amp;L - Concept B2 - Carnival'!E43</f>
        <v>14009.916666666664</v>
      </c>
      <c r="M48" s="313">
        <f>'P&amp;L - Concept B2 - Carnival'!F43</f>
        <v>28019.833333333328</v>
      </c>
      <c r="N48" s="313">
        <f>'P&amp;L - Concept B2 - Carnival'!G43</f>
        <v>28019.833333333328</v>
      </c>
      <c r="O48" s="313">
        <f>'P&amp;L - Concept B2 - Carnival'!H43</f>
        <v>28019.833333333328</v>
      </c>
      <c r="P48" s="313">
        <f>'P&amp;L - Concept B2 - Carnival'!I43</f>
        <v>28019.833333333328</v>
      </c>
      <c r="Q48" s="313">
        <f>'P&amp;L - Concept B2 - Carnival'!J43</f>
        <v>28019.833333333328</v>
      </c>
      <c r="R48" s="313">
        <f>'P&amp;L - Concept B2 - Carnival'!K43</f>
        <v>28019.833333333328</v>
      </c>
      <c r="S48" s="313">
        <f>'P&amp;L - Concept B2 - Carnival'!L43</f>
        <v>28019.833333333328</v>
      </c>
      <c r="T48" s="313">
        <f>'P&amp;L - Concept B2 - Carnival'!M43</f>
        <v>28019.833333333328</v>
      </c>
      <c r="U48" s="313">
        <f>'P&amp;L - Concept B2 - Carnival'!N43</f>
        <v>28019.833333333328</v>
      </c>
      <c r="V48" s="313">
        <f>'P&amp;L - Concept B2 - Carnival'!O43</f>
        <v>28019.833333333328</v>
      </c>
      <c r="W48" s="313">
        <f>'P&amp;L - Concept B2 - Carnival'!P43</f>
        <v>28019.833333333328</v>
      </c>
      <c r="X48" s="313">
        <f>'P&amp;L - Concept B2 - Carnival'!Q43</f>
        <v>28019.833333333328</v>
      </c>
      <c r="Y48" s="313">
        <f>'P&amp;L - Concept B2 - Carnival'!R43</f>
        <v>28019.833333333328</v>
      </c>
      <c r="Z48" s="313">
        <f>'P&amp;L - Concept B2 - Carnival'!S43</f>
        <v>28019.833333333328</v>
      </c>
      <c r="AA48" s="313">
        <f>'P&amp;L - Concept B2 - Carnival'!T43</f>
        <v>28019.833333333328</v>
      </c>
      <c r="AB48" s="313">
        <f>'P&amp;L - Concept B2 - Carnival'!U43</f>
        <v>28019.833333333328</v>
      </c>
      <c r="AC48" s="313">
        <f>'P&amp;L - Concept B2 - Carnival'!V43</f>
        <v>28019.833333333328</v>
      </c>
      <c r="AD48" s="313">
        <f>'P&amp;L - Concept B2 - Carnival'!W43</f>
        <v>28019.833333333328</v>
      </c>
      <c r="AE48" s="313">
        <f>'P&amp;L - Concept B2 - Carnival'!X43</f>
        <v>28019.833333333328</v>
      </c>
    </row>
    <row r="49" spans="1:32 16384:16384" s="96" customFormat="1">
      <c r="A49" s="54" t="s">
        <v>274</v>
      </c>
      <c r="B49" s="435"/>
      <c r="C49" s="583"/>
      <c r="K49" s="486">
        <f>'P&amp;L - Concept B2 - Carnival'!D44</f>
        <v>0</v>
      </c>
      <c r="L49" s="313">
        <f>'P&amp;L - Concept B2 - Carnival'!E44</f>
        <v>15391.593749999998</v>
      </c>
      <c r="M49" s="313">
        <f>'P&amp;L - Concept B2 - Carnival'!F44</f>
        <v>30783.187499999996</v>
      </c>
      <c r="N49" s="313">
        <f>'P&amp;L - Concept B2 - Carnival'!G44</f>
        <v>30783.187499999996</v>
      </c>
      <c r="O49" s="313">
        <f>'P&amp;L - Concept B2 - Carnival'!H44</f>
        <v>30783.187499999996</v>
      </c>
      <c r="P49" s="313">
        <f>'P&amp;L - Concept B2 - Carnival'!I44</f>
        <v>30783.187499999996</v>
      </c>
      <c r="Q49" s="313">
        <f>'P&amp;L - Concept B2 - Carnival'!J44</f>
        <v>30783.187499999996</v>
      </c>
      <c r="R49" s="313">
        <f>'P&amp;L - Concept B2 - Carnival'!K44</f>
        <v>30783.187499999996</v>
      </c>
      <c r="S49" s="313">
        <f>'P&amp;L - Concept B2 - Carnival'!L44</f>
        <v>30783.187499999996</v>
      </c>
      <c r="T49" s="313">
        <f>'P&amp;L - Concept B2 - Carnival'!M44</f>
        <v>30783.187499999996</v>
      </c>
      <c r="U49" s="313">
        <f>'P&amp;L - Concept B2 - Carnival'!N44</f>
        <v>30783.187499999996</v>
      </c>
      <c r="V49" s="313">
        <f>'P&amp;L - Concept B2 - Carnival'!O44</f>
        <v>30783.187499999996</v>
      </c>
      <c r="W49" s="313">
        <f>'P&amp;L - Concept B2 - Carnival'!P44</f>
        <v>30783.187499999996</v>
      </c>
      <c r="X49" s="313">
        <f>'P&amp;L - Concept B2 - Carnival'!Q44</f>
        <v>30783.187499999996</v>
      </c>
      <c r="Y49" s="313">
        <f>'P&amp;L - Concept B2 - Carnival'!R44</f>
        <v>30783.187499999996</v>
      </c>
      <c r="Z49" s="313">
        <f>'P&amp;L - Concept B2 - Carnival'!S44</f>
        <v>30783.187499999996</v>
      </c>
      <c r="AA49" s="313">
        <f>'P&amp;L - Concept B2 - Carnival'!T44</f>
        <v>30783.187499999996</v>
      </c>
      <c r="AB49" s="313">
        <f>'P&amp;L - Concept B2 - Carnival'!U44</f>
        <v>30783.187499999996</v>
      </c>
      <c r="AC49" s="313">
        <f>'P&amp;L - Concept B2 - Carnival'!V44</f>
        <v>30783.187499999996</v>
      </c>
      <c r="AD49" s="313">
        <f>'P&amp;L - Concept B2 - Carnival'!W44</f>
        <v>30783.187499999996</v>
      </c>
      <c r="AE49" s="313">
        <f>'P&amp;L - Concept B2 - Carnival'!X44</f>
        <v>30783.187499999996</v>
      </c>
    </row>
    <row r="50" spans="1:32 16384:16384" s="18" customFormat="1">
      <c r="A50" s="54"/>
      <c r="B50" s="277"/>
      <c r="C50" s="74"/>
      <c r="K50" s="499"/>
      <c r="L50" s="313"/>
      <c r="M50" s="313"/>
      <c r="N50" s="313"/>
      <c r="O50" s="313"/>
      <c r="P50" s="313"/>
      <c r="Q50" s="313"/>
      <c r="R50" s="313"/>
      <c r="S50" s="313"/>
      <c r="T50" s="313"/>
      <c r="U50" s="313"/>
      <c r="V50" s="313"/>
      <c r="W50" s="313"/>
      <c r="X50" s="313"/>
      <c r="Y50" s="313"/>
      <c r="Z50" s="313"/>
      <c r="AA50" s="313"/>
      <c r="AB50" s="313"/>
      <c r="AC50" s="313"/>
      <c r="AD50" s="313"/>
      <c r="AE50" s="313"/>
    </row>
    <row r="51" spans="1:32 16384:16384" s="341" customFormat="1">
      <c r="A51" s="552" t="s">
        <v>224</v>
      </c>
      <c r="B51" s="556"/>
      <c r="C51" s="557"/>
      <c r="K51" s="554">
        <f>'P&amp;L - Concept B2 - Carnival'!D46</f>
        <v>0</v>
      </c>
      <c r="L51" s="558">
        <f>'P&amp;L - Concept B2 - Carnival'!E46</f>
        <v>3</v>
      </c>
      <c r="M51" s="558">
        <f>'P&amp;L - Concept B2 - Carnival'!F46</f>
        <v>3</v>
      </c>
      <c r="N51" s="558">
        <f>'P&amp;L - Concept B2 - Carnival'!G46</f>
        <v>3</v>
      </c>
      <c r="O51" s="558">
        <f>'P&amp;L - Concept B2 - Carnival'!H46</f>
        <v>3</v>
      </c>
      <c r="P51" s="558">
        <f>'P&amp;L - Concept B2 - Carnival'!I46</f>
        <v>3</v>
      </c>
      <c r="Q51" s="558">
        <f>'P&amp;L - Concept B2 - Carnival'!J46</f>
        <v>3</v>
      </c>
      <c r="R51" s="558">
        <f>'P&amp;L - Concept B2 - Carnival'!K46</f>
        <v>3</v>
      </c>
      <c r="S51" s="558">
        <f>'P&amp;L - Concept B2 - Carnival'!L46</f>
        <v>3</v>
      </c>
      <c r="T51" s="558">
        <f>'P&amp;L - Concept B2 - Carnival'!M46</f>
        <v>3</v>
      </c>
      <c r="U51" s="558">
        <f>'P&amp;L - Concept B2 - Carnival'!N46</f>
        <v>3</v>
      </c>
      <c r="V51" s="558">
        <f>'P&amp;L - Concept B2 - Carnival'!O46</f>
        <v>3</v>
      </c>
      <c r="W51" s="558">
        <f>'P&amp;L - Concept B2 - Carnival'!P46</f>
        <v>3</v>
      </c>
      <c r="X51" s="558">
        <f>'P&amp;L - Concept B2 - Carnival'!Q46</f>
        <v>3</v>
      </c>
      <c r="Y51" s="558">
        <f>'P&amp;L - Concept B2 - Carnival'!R46</f>
        <v>3</v>
      </c>
      <c r="Z51" s="558">
        <f>'P&amp;L - Concept B2 - Carnival'!S46</f>
        <v>3</v>
      </c>
      <c r="AA51" s="558">
        <f>'P&amp;L - Concept B2 - Carnival'!T46</f>
        <v>3</v>
      </c>
      <c r="AB51" s="558">
        <f>'P&amp;L - Concept B2 - Carnival'!U46</f>
        <v>3</v>
      </c>
      <c r="AC51" s="558">
        <f>'P&amp;L - Concept B2 - Carnival'!V46</f>
        <v>3</v>
      </c>
      <c r="AD51" s="558">
        <f>'P&amp;L - Concept B2 - Carnival'!W46</f>
        <v>3</v>
      </c>
      <c r="AE51" s="558">
        <f>'P&amp;L - Concept B2 - Carnival'!X46</f>
        <v>3</v>
      </c>
    </row>
    <row r="52" spans="1:32 16384:16384" s="96" customFormat="1">
      <c r="A52" s="54" t="s">
        <v>225</v>
      </c>
      <c r="B52" s="435"/>
      <c r="C52" s="583"/>
      <c r="K52" s="486">
        <f>'P&amp;L - Concept B2 - Carnival'!D47</f>
        <v>0</v>
      </c>
      <c r="L52" s="496">
        <f>'P&amp;L - Concept B2 - Carnival'!E47</f>
        <v>1</v>
      </c>
      <c r="M52" s="496">
        <f>'P&amp;L - Concept B2 - Carnival'!F47</f>
        <v>1</v>
      </c>
      <c r="N52" s="496">
        <f>'P&amp;L - Concept B2 - Carnival'!G47</f>
        <v>1</v>
      </c>
      <c r="O52" s="496">
        <f>'P&amp;L - Concept B2 - Carnival'!H47</f>
        <v>1</v>
      </c>
      <c r="P52" s="496">
        <f>'P&amp;L - Concept B2 - Carnival'!I47</f>
        <v>1</v>
      </c>
      <c r="Q52" s="496">
        <f>'P&amp;L - Concept B2 - Carnival'!J47</f>
        <v>1</v>
      </c>
      <c r="R52" s="496">
        <f>'P&amp;L - Concept B2 - Carnival'!K47</f>
        <v>1</v>
      </c>
      <c r="S52" s="496">
        <f>'P&amp;L - Concept B2 - Carnival'!L47</f>
        <v>1</v>
      </c>
      <c r="T52" s="496">
        <f>'P&amp;L - Concept B2 - Carnival'!M47</f>
        <v>1</v>
      </c>
      <c r="U52" s="496">
        <f>'P&amp;L - Concept B2 - Carnival'!N47</f>
        <v>1</v>
      </c>
      <c r="V52" s="496">
        <f>'P&amp;L - Concept B2 - Carnival'!O47</f>
        <v>1</v>
      </c>
      <c r="W52" s="496">
        <f>'P&amp;L - Concept B2 - Carnival'!P47</f>
        <v>1</v>
      </c>
      <c r="X52" s="496">
        <f>'P&amp;L - Concept B2 - Carnival'!Q47</f>
        <v>1</v>
      </c>
      <c r="Y52" s="496">
        <f>'P&amp;L - Concept B2 - Carnival'!R47</f>
        <v>1</v>
      </c>
      <c r="Z52" s="496">
        <f>'P&amp;L - Concept B2 - Carnival'!S47</f>
        <v>1</v>
      </c>
      <c r="AA52" s="496">
        <f>'P&amp;L - Concept B2 - Carnival'!T47</f>
        <v>1</v>
      </c>
      <c r="AB52" s="496">
        <f>'P&amp;L - Concept B2 - Carnival'!U47</f>
        <v>1</v>
      </c>
      <c r="AC52" s="496">
        <f>'P&amp;L - Concept B2 - Carnival'!V47</f>
        <v>1</v>
      </c>
      <c r="AD52" s="496">
        <f>'P&amp;L - Concept B2 - Carnival'!W47</f>
        <v>1</v>
      </c>
      <c r="AE52" s="496">
        <f>'P&amp;L - Concept B2 - Carnival'!X47</f>
        <v>1</v>
      </c>
    </row>
    <row r="53" spans="1:32 16384:16384" s="18" customFormat="1">
      <c r="A53" s="54" t="s">
        <v>209</v>
      </c>
      <c r="B53" s="277"/>
      <c r="C53" s="74"/>
      <c r="K53" s="486">
        <f>'P&amp;L - Concept B2 - Carnival'!D48</f>
        <v>0</v>
      </c>
      <c r="L53" s="496">
        <f>'P&amp;L - Concept B2 - Carnival'!E48</f>
        <v>0.5</v>
      </c>
      <c r="M53" s="496">
        <f>'P&amp;L - Concept B2 - Carnival'!F48</f>
        <v>0.5</v>
      </c>
      <c r="N53" s="496">
        <f>'P&amp;L - Concept B2 - Carnival'!G48</f>
        <v>0.5</v>
      </c>
      <c r="O53" s="496">
        <f>'P&amp;L - Concept B2 - Carnival'!H48</f>
        <v>0.5</v>
      </c>
      <c r="P53" s="496">
        <f>'P&amp;L - Concept B2 - Carnival'!I48</f>
        <v>0.5</v>
      </c>
      <c r="Q53" s="496">
        <f>'P&amp;L - Concept B2 - Carnival'!J48</f>
        <v>0.5</v>
      </c>
      <c r="R53" s="496">
        <f>'P&amp;L - Concept B2 - Carnival'!K48</f>
        <v>0.5</v>
      </c>
      <c r="S53" s="496">
        <f>'P&amp;L - Concept B2 - Carnival'!L48</f>
        <v>0.5</v>
      </c>
      <c r="T53" s="496">
        <f>'P&amp;L - Concept B2 - Carnival'!M48</f>
        <v>0.5</v>
      </c>
      <c r="U53" s="496">
        <f>'P&amp;L - Concept B2 - Carnival'!N48</f>
        <v>0.5</v>
      </c>
      <c r="V53" s="496">
        <f>'P&amp;L - Concept B2 - Carnival'!O48</f>
        <v>0.5</v>
      </c>
      <c r="W53" s="496">
        <f>'P&amp;L - Concept B2 - Carnival'!P48</f>
        <v>0.5</v>
      </c>
      <c r="X53" s="496">
        <f>'P&amp;L - Concept B2 - Carnival'!Q48</f>
        <v>0.5</v>
      </c>
      <c r="Y53" s="496">
        <f>'P&amp;L - Concept B2 - Carnival'!R48</f>
        <v>0.5</v>
      </c>
      <c r="Z53" s="496">
        <f>'P&amp;L - Concept B2 - Carnival'!S48</f>
        <v>0.5</v>
      </c>
      <c r="AA53" s="496">
        <f>'P&amp;L - Concept B2 - Carnival'!T48</f>
        <v>0.5</v>
      </c>
      <c r="AB53" s="496">
        <f>'P&amp;L - Concept B2 - Carnival'!U48</f>
        <v>0.5</v>
      </c>
      <c r="AC53" s="496">
        <f>'P&amp;L - Concept B2 - Carnival'!V48</f>
        <v>0.5</v>
      </c>
      <c r="AD53" s="496">
        <f>'P&amp;L - Concept B2 - Carnival'!W48</f>
        <v>0.5</v>
      </c>
      <c r="AE53" s="496">
        <f>'P&amp;L - Concept B2 - Carnival'!X48</f>
        <v>0.5</v>
      </c>
    </row>
    <row r="54" spans="1:32 16384:16384" s="18" customFormat="1">
      <c r="A54" s="54" t="s">
        <v>289</v>
      </c>
      <c r="B54" s="277"/>
      <c r="C54" s="74"/>
      <c r="K54" s="486">
        <f>'P&amp;L - Concept B2 - Carnival'!D49</f>
        <v>0</v>
      </c>
      <c r="L54" s="496">
        <f>'P&amp;L - Concept B2 - Carnival'!E49</f>
        <v>0.75</v>
      </c>
      <c r="M54" s="496">
        <f>'P&amp;L - Concept B2 - Carnival'!F49</f>
        <v>0.75</v>
      </c>
      <c r="N54" s="496">
        <f>'P&amp;L - Concept B2 - Carnival'!G49</f>
        <v>0.75</v>
      </c>
      <c r="O54" s="496">
        <f>'P&amp;L - Concept B2 - Carnival'!H49</f>
        <v>0.75</v>
      </c>
      <c r="P54" s="496">
        <f>'P&amp;L - Concept B2 - Carnival'!I49</f>
        <v>0.75</v>
      </c>
      <c r="Q54" s="496">
        <f>'P&amp;L - Concept B2 - Carnival'!J49</f>
        <v>0.75</v>
      </c>
      <c r="R54" s="496">
        <f>'P&amp;L - Concept B2 - Carnival'!K49</f>
        <v>0.75</v>
      </c>
      <c r="S54" s="496">
        <f>'P&amp;L - Concept B2 - Carnival'!L49</f>
        <v>0.75</v>
      </c>
      <c r="T54" s="496">
        <f>'P&amp;L - Concept B2 - Carnival'!M49</f>
        <v>0.75</v>
      </c>
      <c r="U54" s="496">
        <f>'P&amp;L - Concept B2 - Carnival'!N49</f>
        <v>0.75</v>
      </c>
      <c r="V54" s="496">
        <f>'P&amp;L - Concept B2 - Carnival'!O49</f>
        <v>0.75</v>
      </c>
      <c r="W54" s="496">
        <f>'P&amp;L - Concept B2 - Carnival'!P49</f>
        <v>0.75</v>
      </c>
      <c r="X54" s="496">
        <f>'P&amp;L - Concept B2 - Carnival'!Q49</f>
        <v>0.75</v>
      </c>
      <c r="Y54" s="496">
        <f>'P&amp;L - Concept B2 - Carnival'!R49</f>
        <v>0.75</v>
      </c>
      <c r="Z54" s="496">
        <f>'P&amp;L - Concept B2 - Carnival'!S49</f>
        <v>0.75</v>
      </c>
      <c r="AA54" s="496">
        <f>'P&amp;L - Concept B2 - Carnival'!T49</f>
        <v>0.75</v>
      </c>
      <c r="AB54" s="496">
        <f>'P&amp;L - Concept B2 - Carnival'!U49</f>
        <v>0.75</v>
      </c>
      <c r="AC54" s="496">
        <f>'P&amp;L - Concept B2 - Carnival'!V49</f>
        <v>0.75</v>
      </c>
      <c r="AD54" s="496">
        <f>'P&amp;L - Concept B2 - Carnival'!W49</f>
        <v>0.75</v>
      </c>
      <c r="AE54" s="496">
        <f>'P&amp;L - Concept B2 - Carnival'!X49</f>
        <v>0.75</v>
      </c>
      <c r="XFD54" s="570">
        <f>SUM(K54:XFC54)</f>
        <v>15</v>
      </c>
    </row>
    <row r="55" spans="1:32 16384:16384" s="18" customFormat="1">
      <c r="A55" s="54"/>
      <c r="B55" s="277"/>
      <c r="C55" s="74"/>
      <c r="K55" s="486"/>
      <c r="L55" s="313"/>
      <c r="M55" s="313"/>
      <c r="N55" s="313"/>
      <c r="O55" s="313"/>
      <c r="P55" s="313"/>
      <c r="Q55" s="313"/>
      <c r="R55" s="313"/>
      <c r="S55" s="313"/>
      <c r="T55" s="313"/>
      <c r="U55" s="313"/>
      <c r="V55" s="313"/>
      <c r="W55" s="313"/>
      <c r="X55" s="313"/>
      <c r="Y55" s="313"/>
      <c r="Z55" s="313"/>
      <c r="AA55" s="313"/>
      <c r="AB55" s="313"/>
      <c r="AC55" s="313"/>
      <c r="AD55" s="313"/>
      <c r="AE55" s="313"/>
      <c r="XFD55" s="570"/>
    </row>
    <row r="56" spans="1:32 16384:16384" s="18" customFormat="1">
      <c r="A56" s="54" t="s">
        <v>312</v>
      </c>
      <c r="B56" s="277"/>
      <c r="C56" s="74"/>
      <c r="K56" s="486">
        <f>'P&amp;L - Concept B2 - Carnival'!D51</f>
        <v>0</v>
      </c>
      <c r="L56" s="313">
        <f>'P&amp;L - Concept B2 - Carnival'!E51</f>
        <v>3595</v>
      </c>
      <c r="M56" s="313">
        <f>'P&amp;L - Concept B2 - Carnival'!F51</f>
        <v>7190</v>
      </c>
      <c r="N56" s="313">
        <f>'P&amp;L - Concept B2 - Carnival'!G51</f>
        <v>7190</v>
      </c>
      <c r="O56" s="313">
        <f>'P&amp;L - Concept B2 - Carnival'!H51</f>
        <v>7190</v>
      </c>
      <c r="P56" s="313">
        <f>'P&amp;L - Concept B2 - Carnival'!I51</f>
        <v>7190</v>
      </c>
      <c r="Q56" s="313">
        <f>'P&amp;L - Concept B2 - Carnival'!J51</f>
        <v>7190</v>
      </c>
      <c r="R56" s="313">
        <f>'P&amp;L - Concept B2 - Carnival'!K51</f>
        <v>7190</v>
      </c>
      <c r="S56" s="313">
        <f>'P&amp;L - Concept B2 - Carnival'!L51</f>
        <v>7190</v>
      </c>
      <c r="T56" s="313">
        <f>'P&amp;L - Concept B2 - Carnival'!M51</f>
        <v>7190</v>
      </c>
      <c r="U56" s="313">
        <f>'P&amp;L - Concept B2 - Carnival'!N51</f>
        <v>7190</v>
      </c>
      <c r="V56" s="313">
        <f>'P&amp;L - Concept B2 - Carnival'!O51</f>
        <v>7190</v>
      </c>
      <c r="W56" s="313">
        <f>'P&amp;L - Concept B2 - Carnival'!P51</f>
        <v>7190</v>
      </c>
      <c r="X56" s="313">
        <f>'P&amp;L - Concept B2 - Carnival'!Q51</f>
        <v>7190</v>
      </c>
      <c r="Y56" s="313">
        <f>'P&amp;L - Concept B2 - Carnival'!R51</f>
        <v>7190</v>
      </c>
      <c r="Z56" s="313">
        <f>'P&amp;L - Concept B2 - Carnival'!S51</f>
        <v>7190</v>
      </c>
      <c r="AA56" s="313">
        <f>'P&amp;L - Concept B2 - Carnival'!T51</f>
        <v>7190</v>
      </c>
      <c r="AB56" s="313">
        <f>'P&amp;L - Concept B2 - Carnival'!U51</f>
        <v>7190</v>
      </c>
      <c r="AC56" s="313">
        <f>'P&amp;L - Concept B2 - Carnival'!V51</f>
        <v>7190</v>
      </c>
      <c r="AD56" s="313">
        <f>'P&amp;L - Concept B2 - Carnival'!W51</f>
        <v>7190</v>
      </c>
      <c r="AE56" s="313">
        <f>'P&amp;L - Concept B2 - Carnival'!X51</f>
        <v>7190</v>
      </c>
      <c r="XFD56" s="570"/>
    </row>
    <row r="57" spans="1:32 16384:16384" s="18" customFormat="1">
      <c r="A57" s="54"/>
      <c r="B57" s="277"/>
      <c r="C57" s="74"/>
      <c r="K57" s="486"/>
      <c r="L57" s="313"/>
      <c r="M57" s="313"/>
      <c r="N57" s="313"/>
      <c r="O57" s="313"/>
      <c r="P57" s="313"/>
      <c r="Q57" s="313"/>
      <c r="R57" s="313"/>
      <c r="S57" s="313"/>
      <c r="T57" s="313"/>
      <c r="U57" s="313"/>
      <c r="V57" s="313"/>
      <c r="W57" s="313"/>
      <c r="X57" s="313"/>
      <c r="Y57" s="313"/>
      <c r="Z57" s="313"/>
      <c r="AA57" s="313"/>
      <c r="AB57" s="313"/>
      <c r="AC57" s="313"/>
      <c r="AD57" s="313"/>
      <c r="AE57" s="313"/>
    </row>
    <row r="58" spans="1:32 16384:16384" s="612" customFormat="1">
      <c r="A58" s="613" t="s">
        <v>292</v>
      </c>
      <c r="B58" s="614"/>
      <c r="C58" s="615"/>
      <c r="D58" s="717"/>
      <c r="E58" s="717"/>
      <c r="F58" s="717"/>
      <c r="G58" s="717"/>
      <c r="H58" s="717"/>
      <c r="I58" s="717"/>
      <c r="J58" s="717"/>
      <c r="K58" s="616">
        <f>'P&amp;L - Concept B2 - Carnival'!D53</f>
        <v>0</v>
      </c>
      <c r="L58" s="616">
        <f>'P&amp;L - Concept B2 - Carnival'!E53</f>
        <v>0</v>
      </c>
      <c r="M58" s="616">
        <f>'P&amp;L - Concept B2 - Carnival'!F53</f>
        <v>0</v>
      </c>
      <c r="N58" s="616">
        <f>'P&amp;L - Concept B2 - Carnival'!G53</f>
        <v>100000</v>
      </c>
      <c r="O58" s="616">
        <f>'P&amp;L - Concept B2 - Carnival'!H53</f>
        <v>100000</v>
      </c>
      <c r="P58" s="616">
        <f>'P&amp;L - Concept B2 - Carnival'!I53</f>
        <v>100000</v>
      </c>
      <c r="Q58" s="616">
        <f>'P&amp;L - Concept B2 - Carnival'!J53</f>
        <v>100000</v>
      </c>
      <c r="R58" s="616">
        <f>'P&amp;L - Concept B2 - Carnival'!K53</f>
        <v>100000</v>
      </c>
      <c r="S58" s="616">
        <f>'P&amp;L - Concept B2 - Carnival'!L53</f>
        <v>100000</v>
      </c>
      <c r="T58" s="616">
        <f>'P&amp;L - Concept B2 - Carnival'!M53</f>
        <v>100000</v>
      </c>
      <c r="U58" s="616">
        <f>'P&amp;L - Concept B2 - Carnival'!N53</f>
        <v>100000</v>
      </c>
      <c r="V58" s="616">
        <f>'P&amp;L - Concept B2 - Carnival'!O53</f>
        <v>100000</v>
      </c>
      <c r="W58" s="616">
        <f>'P&amp;L - Concept B2 - Carnival'!P53</f>
        <v>100000</v>
      </c>
      <c r="X58" s="616">
        <f>'P&amp;L - Concept B2 - Carnival'!Q53</f>
        <v>100000</v>
      </c>
      <c r="Y58" s="616">
        <f>'P&amp;L - Concept B2 - Carnival'!R53</f>
        <v>100000</v>
      </c>
      <c r="Z58" s="616">
        <f>'P&amp;L - Concept B2 - Carnival'!S53</f>
        <v>100000</v>
      </c>
      <c r="AA58" s="616">
        <f>'P&amp;L - Concept B2 - Carnival'!T53</f>
        <v>100000</v>
      </c>
      <c r="AB58" s="616">
        <f>'P&amp;L - Concept B2 - Carnival'!U53</f>
        <v>100000</v>
      </c>
      <c r="AC58" s="616">
        <f>'P&amp;L - Concept B2 - Carnival'!V53</f>
        <v>100000</v>
      </c>
      <c r="AD58" s="616">
        <f>'P&amp;L - Concept B2 - Carnival'!W53</f>
        <v>100000</v>
      </c>
      <c r="AE58" s="787">
        <f>'P&amp;L - Concept B2 - Carnival'!X53</f>
        <v>100000</v>
      </c>
    </row>
    <row r="59" spans="1:32 16384:16384" s="18" customFormat="1">
      <c r="A59" s="54"/>
      <c r="B59" s="277"/>
      <c r="C59" s="74"/>
      <c r="K59" s="486"/>
      <c r="L59" s="313"/>
      <c r="M59" s="313"/>
      <c r="N59" s="313"/>
      <c r="O59" s="313"/>
      <c r="P59" s="313"/>
      <c r="Q59" s="313"/>
      <c r="R59" s="313"/>
      <c r="S59" s="313"/>
      <c r="T59" s="313"/>
      <c r="U59" s="313"/>
      <c r="V59" s="313"/>
      <c r="W59" s="313"/>
      <c r="X59" s="313"/>
      <c r="Y59" s="313"/>
      <c r="Z59" s="313"/>
      <c r="AA59" s="313"/>
      <c r="AB59" s="313"/>
      <c r="AC59" s="313"/>
      <c r="AD59" s="313"/>
      <c r="AE59" s="313"/>
    </row>
    <row r="60" spans="1:32 16384:16384" s="582" customFormat="1">
      <c r="A60" s="293" t="str">
        <f>'BH Tariffs'!A33</f>
        <v>Recreational/Commercial Marina</v>
      </c>
      <c r="B60" s="584"/>
      <c r="C60" s="585"/>
      <c r="K60" s="486"/>
      <c r="L60" s="313"/>
      <c r="M60" s="313"/>
      <c r="N60" s="313"/>
      <c r="O60" s="313"/>
      <c r="P60" s="313"/>
      <c r="Q60" s="313"/>
      <c r="R60" s="313"/>
      <c r="S60" s="313"/>
      <c r="T60" s="313"/>
      <c r="U60" s="313"/>
      <c r="V60" s="313"/>
      <c r="W60" s="313"/>
      <c r="X60" s="313"/>
      <c r="Y60" s="313"/>
      <c r="Z60" s="313"/>
      <c r="AA60" s="313"/>
      <c r="AB60" s="313"/>
      <c r="AC60" s="313"/>
      <c r="AD60" s="313"/>
      <c r="AE60" s="313"/>
    </row>
    <row r="61" spans="1:32 16384:16384" s="96" customFormat="1">
      <c r="A61" s="54" t="s">
        <v>291</v>
      </c>
      <c r="B61" s="435"/>
      <c r="C61" s="583"/>
      <c r="K61" s="486">
        <f>'P&amp;L - Concept B2 - Carnival'!D56</f>
        <v>0</v>
      </c>
      <c r="L61" s="313">
        <f>'P&amp;L - Concept B2 - Carnival'!E56</f>
        <v>0</v>
      </c>
      <c r="M61" s="313">
        <f>'P&amp;L - Concept B2 - Carnival'!F56</f>
        <v>12</v>
      </c>
      <c r="N61" s="313">
        <f>'P&amp;L - Concept B2 - Carnival'!G56</f>
        <v>12</v>
      </c>
      <c r="O61" s="313">
        <f>'P&amp;L - Concept B2 - Carnival'!H56</f>
        <v>12</v>
      </c>
      <c r="P61" s="313">
        <f>'P&amp;L - Concept B2 - Carnival'!I56</f>
        <v>12</v>
      </c>
      <c r="Q61" s="313">
        <f>'P&amp;L - Concept B2 - Carnival'!J56</f>
        <v>12</v>
      </c>
      <c r="R61" s="313">
        <f>'P&amp;L - Concept B2 - Carnival'!K56</f>
        <v>12</v>
      </c>
      <c r="S61" s="313">
        <f>'P&amp;L - Concept B2 - Carnival'!L56</f>
        <v>12</v>
      </c>
      <c r="T61" s="313">
        <f>'P&amp;L - Concept B2 - Carnival'!M56</f>
        <v>12</v>
      </c>
      <c r="U61" s="313">
        <f>'P&amp;L - Concept B2 - Carnival'!N56</f>
        <v>12</v>
      </c>
      <c r="V61" s="313">
        <f>'P&amp;L - Concept B2 - Carnival'!O56</f>
        <v>12</v>
      </c>
      <c r="W61" s="313">
        <f>'P&amp;L - Concept B2 - Carnival'!P56</f>
        <v>12</v>
      </c>
      <c r="X61" s="313">
        <f>'P&amp;L - Concept B2 - Carnival'!Q56</f>
        <v>12</v>
      </c>
      <c r="Y61" s="313">
        <f>'P&amp;L - Concept B2 - Carnival'!R56</f>
        <v>12</v>
      </c>
      <c r="Z61" s="313">
        <f>'P&amp;L - Concept B2 - Carnival'!S56</f>
        <v>12</v>
      </c>
      <c r="AA61" s="313">
        <f>'P&amp;L - Concept B2 - Carnival'!T56</f>
        <v>12</v>
      </c>
      <c r="AB61" s="313">
        <f>'P&amp;L - Concept B2 - Carnival'!U56</f>
        <v>12</v>
      </c>
      <c r="AC61" s="313">
        <f>'P&amp;L - Concept B2 - Carnival'!V56</f>
        <v>12</v>
      </c>
      <c r="AD61" s="313">
        <f>'P&amp;L - Concept B2 - Carnival'!W56</f>
        <v>12</v>
      </c>
      <c r="AE61" s="313">
        <f>'P&amp;L - Concept B2 - Carnival'!X56</f>
        <v>12</v>
      </c>
    </row>
    <row r="62" spans="1:32 16384:16384" s="96" customFormat="1">
      <c r="A62" s="54" t="s">
        <v>293</v>
      </c>
      <c r="B62" s="435"/>
      <c r="C62" s="583"/>
      <c r="K62" s="486">
        <f>'P&amp;L - Concept B2 - Carnival'!D57</f>
        <v>0</v>
      </c>
      <c r="L62" s="313">
        <f>'P&amp;L - Concept B2 - Carnival'!E57</f>
        <v>0</v>
      </c>
      <c r="M62" s="313">
        <f>'P&amp;L - Concept B2 - Carnival'!F57</f>
        <v>9557.1731249999993</v>
      </c>
      <c r="N62" s="313">
        <f>'P&amp;L - Concept B2 - Carnival'!G57</f>
        <v>9557.1731249999993</v>
      </c>
      <c r="O62" s="313">
        <f>'P&amp;L - Concept B2 - Carnival'!H57</f>
        <v>9557.1731249999993</v>
      </c>
      <c r="P62" s="313">
        <f>'P&amp;L - Concept B2 - Carnival'!I57</f>
        <v>9557.1731249999993</v>
      </c>
      <c r="Q62" s="313">
        <f>'P&amp;L - Concept B2 - Carnival'!J57</f>
        <v>9557.1731249999993</v>
      </c>
      <c r="R62" s="313">
        <f>'P&amp;L - Concept B2 - Carnival'!K57</f>
        <v>9557.1731249999993</v>
      </c>
      <c r="S62" s="313">
        <f>'P&amp;L - Concept B2 - Carnival'!L57</f>
        <v>9557.1731249999993</v>
      </c>
      <c r="T62" s="313">
        <f>'P&amp;L - Concept B2 - Carnival'!M57</f>
        <v>9557.1731249999993</v>
      </c>
      <c r="U62" s="313">
        <f>'P&amp;L - Concept B2 - Carnival'!N57</f>
        <v>9557.1731249999993</v>
      </c>
      <c r="V62" s="313">
        <f>'P&amp;L - Concept B2 - Carnival'!O57</f>
        <v>9557.1731249999993</v>
      </c>
      <c r="W62" s="313">
        <f>'P&amp;L - Concept B2 - Carnival'!P57</f>
        <v>9557.1731249999993</v>
      </c>
      <c r="X62" s="313">
        <f>'P&amp;L - Concept B2 - Carnival'!Q57</f>
        <v>9557.1731249999993</v>
      </c>
      <c r="Y62" s="313">
        <f>'P&amp;L - Concept B2 - Carnival'!R57</f>
        <v>9557.1731249999993</v>
      </c>
      <c r="Z62" s="313">
        <f>'P&amp;L - Concept B2 - Carnival'!S57</f>
        <v>9557.1731249999993</v>
      </c>
      <c r="AA62" s="313">
        <f>'P&amp;L - Concept B2 - Carnival'!T57</f>
        <v>9557.1731249999993</v>
      </c>
      <c r="AB62" s="313">
        <f>'P&amp;L - Concept B2 - Carnival'!U57</f>
        <v>9557.1731249999993</v>
      </c>
      <c r="AC62" s="313">
        <f>'P&amp;L - Concept B2 - Carnival'!V57</f>
        <v>9557.1731249999993</v>
      </c>
      <c r="AD62" s="313">
        <f>'P&amp;L - Concept B2 - Carnival'!W57</f>
        <v>9557.1731249999993</v>
      </c>
      <c r="AE62" s="313">
        <f>'P&amp;L - Concept B2 - Carnival'!X57</f>
        <v>9557.1731249999993</v>
      </c>
    </row>
    <row r="63" spans="1:32 16384:16384" s="96" customFormat="1">
      <c r="A63" s="54" t="s">
        <v>294</v>
      </c>
      <c r="B63" s="435"/>
      <c r="C63" s="583"/>
      <c r="K63" s="486">
        <f>'P&amp;L - Concept B2 - Carnival'!D58</f>
        <v>0</v>
      </c>
      <c r="L63" s="313">
        <f>'P&amp;L - Concept B2 - Carnival'!E58</f>
        <v>0</v>
      </c>
      <c r="M63" s="313">
        <f>'P&amp;L - Concept B2 - Carnival'!F58</f>
        <v>359.1</v>
      </c>
      <c r="N63" s="313">
        <f>'P&amp;L - Concept B2 - Carnival'!G58</f>
        <v>359.1</v>
      </c>
      <c r="O63" s="313">
        <f>'P&amp;L - Concept B2 - Carnival'!H58</f>
        <v>359.1</v>
      </c>
      <c r="P63" s="313">
        <f>'P&amp;L - Concept B2 - Carnival'!I58</f>
        <v>359.1</v>
      </c>
      <c r="Q63" s="313">
        <f>'P&amp;L - Concept B2 - Carnival'!J58</f>
        <v>359.1</v>
      </c>
      <c r="R63" s="313">
        <f>'P&amp;L - Concept B2 - Carnival'!K58</f>
        <v>359.1</v>
      </c>
      <c r="S63" s="313">
        <f>'P&amp;L - Concept B2 - Carnival'!L58</f>
        <v>359.1</v>
      </c>
      <c r="T63" s="313">
        <f>'P&amp;L - Concept B2 - Carnival'!M58</f>
        <v>359.1</v>
      </c>
      <c r="U63" s="313">
        <f>'P&amp;L - Concept B2 - Carnival'!N58</f>
        <v>359.1</v>
      </c>
      <c r="V63" s="313">
        <f>'P&amp;L - Concept B2 - Carnival'!O58</f>
        <v>359.1</v>
      </c>
      <c r="W63" s="313">
        <f>'P&amp;L - Concept B2 - Carnival'!P58</f>
        <v>359.1</v>
      </c>
      <c r="X63" s="313">
        <f>'P&amp;L - Concept B2 - Carnival'!Q58</f>
        <v>359.1</v>
      </c>
      <c r="Y63" s="313">
        <f>'P&amp;L - Concept B2 - Carnival'!R58</f>
        <v>359.1</v>
      </c>
      <c r="Z63" s="313">
        <f>'P&amp;L - Concept B2 - Carnival'!S58</f>
        <v>359.1</v>
      </c>
      <c r="AA63" s="313">
        <f>'P&amp;L - Concept B2 - Carnival'!T58</f>
        <v>359.1</v>
      </c>
      <c r="AB63" s="313">
        <f>'P&amp;L - Concept B2 - Carnival'!U58</f>
        <v>359.1</v>
      </c>
      <c r="AC63" s="313">
        <f>'P&amp;L - Concept B2 - Carnival'!V58</f>
        <v>359.1</v>
      </c>
      <c r="AD63" s="313">
        <f>'P&amp;L - Concept B2 - Carnival'!W58</f>
        <v>359.1</v>
      </c>
      <c r="AE63" s="313">
        <f>'P&amp;L - Concept B2 - Carnival'!X58</f>
        <v>359.1</v>
      </c>
    </row>
    <row r="64" spans="1:32 16384:16384" s="167" customFormat="1">
      <c r="A64" s="497" t="s">
        <v>170</v>
      </c>
      <c r="B64" s="450"/>
      <c r="C64" s="498"/>
      <c r="K64" s="499">
        <f>'P&amp;L - Concept B2 - Carnival'!D59</f>
        <v>0</v>
      </c>
      <c r="L64" s="500">
        <f>'P&amp;L - Concept B2 - Carnival'!E59</f>
        <v>0</v>
      </c>
      <c r="M64" s="500">
        <f>'P&amp;L - Concept B2 - Carnival'!F59</f>
        <v>0</v>
      </c>
      <c r="N64" s="500">
        <f>'P&amp;L - Concept B2 - Carnival'!G59</f>
        <v>0</v>
      </c>
      <c r="O64" s="500">
        <f>'P&amp;L - Concept B2 - Carnival'!H59</f>
        <v>0</v>
      </c>
      <c r="P64" s="500">
        <f>'P&amp;L - Concept B2 - Carnival'!I59</f>
        <v>0</v>
      </c>
      <c r="Q64" s="500">
        <f>'P&amp;L - Concept B2 - Carnival'!J59</f>
        <v>0</v>
      </c>
      <c r="R64" s="500">
        <f>'P&amp;L - Concept B2 - Carnival'!K59</f>
        <v>0</v>
      </c>
      <c r="S64" s="500">
        <f>'P&amp;L - Concept B2 - Carnival'!L59</f>
        <v>0</v>
      </c>
      <c r="T64" s="500">
        <f>'P&amp;L - Concept B2 - Carnival'!M59</f>
        <v>0</v>
      </c>
      <c r="U64" s="500">
        <f>'P&amp;L - Concept B2 - Carnival'!N59</f>
        <v>0</v>
      </c>
      <c r="V64" s="500">
        <f>'P&amp;L - Concept B2 - Carnival'!O59</f>
        <v>0</v>
      </c>
      <c r="W64" s="500">
        <f>'P&amp;L - Concept B2 - Carnival'!P59</f>
        <v>0</v>
      </c>
      <c r="X64" s="500">
        <f>'P&amp;L - Concept B2 - Carnival'!Q59</f>
        <v>0</v>
      </c>
      <c r="Y64" s="500">
        <f>'P&amp;L - Concept B2 - Carnival'!R59</f>
        <v>0</v>
      </c>
      <c r="Z64" s="500">
        <f>'P&amp;L - Concept B2 - Carnival'!S59</f>
        <v>0</v>
      </c>
      <c r="AA64" s="500">
        <f>'P&amp;L - Concept B2 - Carnival'!T59</f>
        <v>0</v>
      </c>
      <c r="AB64" s="500">
        <f>'P&amp;L - Concept B2 - Carnival'!U59</f>
        <v>0</v>
      </c>
      <c r="AC64" s="500">
        <f>'P&amp;L - Concept B2 - Carnival'!V59</f>
        <v>0</v>
      </c>
      <c r="AD64" s="500">
        <f>'P&amp;L - Concept B2 - Carnival'!W59</f>
        <v>0</v>
      </c>
      <c r="AE64" s="500">
        <f>'P&amp;L - Concept B2 - Carnival'!X59</f>
        <v>0</v>
      </c>
      <c r="AF64" s="167" t="str">
        <f>'P&amp;L - Concept B2 - Carnival'!Y59</f>
        <v>cost recovery assumed</v>
      </c>
    </row>
    <row r="65" spans="1:32" s="167" customFormat="1">
      <c r="A65" s="497" t="s">
        <v>16</v>
      </c>
      <c r="B65" s="450"/>
      <c r="C65" s="498"/>
      <c r="K65" s="499">
        <f>'P&amp;L - Concept B2 - Carnival'!D60</f>
        <v>0</v>
      </c>
      <c r="L65" s="500">
        <f>'P&amp;L - Concept B2 - Carnival'!E60</f>
        <v>0</v>
      </c>
      <c r="M65" s="500">
        <f>'P&amp;L - Concept B2 - Carnival'!F60</f>
        <v>0</v>
      </c>
      <c r="N65" s="500">
        <f>'P&amp;L - Concept B2 - Carnival'!G60</f>
        <v>0</v>
      </c>
      <c r="O65" s="500">
        <f>'P&amp;L - Concept B2 - Carnival'!H60</f>
        <v>0</v>
      </c>
      <c r="P65" s="500">
        <f>'P&amp;L - Concept B2 - Carnival'!I60</f>
        <v>0</v>
      </c>
      <c r="Q65" s="500">
        <f>'P&amp;L - Concept B2 - Carnival'!J60</f>
        <v>0</v>
      </c>
      <c r="R65" s="500">
        <f>'P&amp;L - Concept B2 - Carnival'!K60</f>
        <v>0</v>
      </c>
      <c r="S65" s="500">
        <f>'P&amp;L - Concept B2 - Carnival'!L60</f>
        <v>0</v>
      </c>
      <c r="T65" s="500">
        <f>'P&amp;L - Concept B2 - Carnival'!M60</f>
        <v>0</v>
      </c>
      <c r="U65" s="500">
        <f>'P&amp;L - Concept B2 - Carnival'!N60</f>
        <v>0</v>
      </c>
      <c r="V65" s="500">
        <f>'P&amp;L - Concept B2 - Carnival'!O60</f>
        <v>0</v>
      </c>
      <c r="W65" s="500">
        <f>'P&amp;L - Concept B2 - Carnival'!P60</f>
        <v>0</v>
      </c>
      <c r="X65" s="500">
        <f>'P&amp;L - Concept B2 - Carnival'!Q60</f>
        <v>0</v>
      </c>
      <c r="Y65" s="500">
        <f>'P&amp;L - Concept B2 - Carnival'!R60</f>
        <v>0</v>
      </c>
      <c r="Z65" s="500">
        <f>'P&amp;L - Concept B2 - Carnival'!S60</f>
        <v>0</v>
      </c>
      <c r="AA65" s="500">
        <f>'P&amp;L - Concept B2 - Carnival'!T60</f>
        <v>0</v>
      </c>
      <c r="AB65" s="500">
        <f>'P&amp;L - Concept B2 - Carnival'!U60</f>
        <v>0</v>
      </c>
      <c r="AC65" s="500">
        <f>'P&amp;L - Concept B2 - Carnival'!V60</f>
        <v>0</v>
      </c>
      <c r="AD65" s="500">
        <f>'P&amp;L - Concept B2 - Carnival'!W60</f>
        <v>0</v>
      </c>
      <c r="AE65" s="500">
        <f>'P&amp;L - Concept B2 - Carnival'!X60</f>
        <v>0</v>
      </c>
      <c r="AF65" s="167" t="str">
        <f>'P&amp;L - Concept B2 - Carnival'!Y60</f>
        <v>cost recovery assumed</v>
      </c>
    </row>
    <row r="66" spans="1:32" s="18" customFormat="1">
      <c r="A66" s="54"/>
      <c r="B66" s="277"/>
      <c r="C66" s="74"/>
      <c r="K66" s="492"/>
      <c r="L66" s="313"/>
      <c r="M66" s="313"/>
      <c r="N66" s="313"/>
      <c r="O66" s="313"/>
      <c r="P66" s="313"/>
      <c r="Q66" s="313"/>
      <c r="R66" s="313"/>
      <c r="S66" s="313"/>
      <c r="T66" s="313"/>
      <c r="U66" s="313"/>
      <c r="V66" s="313"/>
      <c r="W66" s="313"/>
      <c r="X66" s="313"/>
      <c r="Y66" s="313"/>
      <c r="Z66" s="313"/>
      <c r="AA66" s="313"/>
      <c r="AB66" s="313"/>
      <c r="AC66" s="313"/>
      <c r="AD66" s="313"/>
      <c r="AE66" s="313"/>
    </row>
    <row r="67" spans="1:32" s="18" customFormat="1">
      <c r="A67" s="293" t="s">
        <v>2</v>
      </c>
      <c r="B67" s="277"/>
      <c r="C67" s="74"/>
      <c r="K67" s="492"/>
      <c r="L67" s="313"/>
      <c r="M67" s="313"/>
      <c r="N67" s="313"/>
      <c r="O67" s="313"/>
      <c r="P67" s="313"/>
      <c r="Q67" s="313"/>
      <c r="R67" s="313"/>
      <c r="S67" s="313"/>
      <c r="T67" s="313"/>
      <c r="U67" s="313"/>
      <c r="V67" s="313"/>
      <c r="W67" s="313"/>
      <c r="X67" s="313"/>
      <c r="Y67" s="313"/>
      <c r="Z67" s="313"/>
      <c r="AA67" s="313"/>
      <c r="AB67" s="313"/>
      <c r="AC67" s="313"/>
      <c r="AD67" s="313"/>
      <c r="AE67" s="313"/>
    </row>
    <row r="68" spans="1:32" s="96" customFormat="1">
      <c r="A68" s="54" t="s">
        <v>290</v>
      </c>
      <c r="B68" s="435">
        <v>500</v>
      </c>
      <c r="C68" s="487"/>
      <c r="K68" s="486">
        <f>'P&amp;L - Concept B2 - Carnival'!D63</f>
        <v>0</v>
      </c>
      <c r="L68" s="313">
        <f>'P&amp;L - Concept B2 - Carnival'!E63</f>
        <v>0</v>
      </c>
      <c r="M68" s="313">
        <f>'P&amp;L - Concept B2 - Carnival'!F63</f>
        <v>0</v>
      </c>
      <c r="N68" s="313">
        <f>'P&amp;L - Concept B2 - Carnival'!G63</f>
        <v>500</v>
      </c>
      <c r="O68" s="313">
        <f>'P&amp;L - Concept B2 - Carnival'!H63</f>
        <v>500</v>
      </c>
      <c r="P68" s="313">
        <f>'P&amp;L - Concept B2 - Carnival'!I63</f>
        <v>500</v>
      </c>
      <c r="Q68" s="313">
        <f>'P&amp;L - Concept B2 - Carnival'!J63</f>
        <v>500</v>
      </c>
      <c r="R68" s="313">
        <f>'P&amp;L - Concept B2 - Carnival'!K63</f>
        <v>500</v>
      </c>
      <c r="S68" s="313">
        <f>'P&amp;L - Concept B2 - Carnival'!L63</f>
        <v>500</v>
      </c>
      <c r="T68" s="313">
        <f>'P&amp;L - Concept B2 - Carnival'!M63</f>
        <v>500</v>
      </c>
      <c r="U68" s="313">
        <f>'P&amp;L - Concept B2 - Carnival'!N63</f>
        <v>500</v>
      </c>
      <c r="V68" s="313">
        <f>'P&amp;L - Concept B2 - Carnival'!O63</f>
        <v>500</v>
      </c>
      <c r="W68" s="313">
        <f>'P&amp;L - Concept B2 - Carnival'!P63</f>
        <v>500</v>
      </c>
      <c r="X68" s="313">
        <f>'P&amp;L - Concept B2 - Carnival'!Q63</f>
        <v>500</v>
      </c>
      <c r="Y68" s="313">
        <f>'P&amp;L - Concept B2 - Carnival'!R63</f>
        <v>500</v>
      </c>
      <c r="Z68" s="313">
        <f>'P&amp;L - Concept B2 - Carnival'!S63</f>
        <v>500</v>
      </c>
      <c r="AA68" s="313">
        <f>'P&amp;L - Concept B2 - Carnival'!T63</f>
        <v>500</v>
      </c>
      <c r="AB68" s="313">
        <f>'P&amp;L - Concept B2 - Carnival'!U63</f>
        <v>500</v>
      </c>
      <c r="AC68" s="313">
        <f>'P&amp;L - Concept B2 - Carnival'!V63</f>
        <v>500</v>
      </c>
      <c r="AD68" s="313">
        <f>'P&amp;L - Concept B2 - Carnival'!W63</f>
        <v>500</v>
      </c>
      <c r="AE68" s="313">
        <f>'P&amp;L - Concept B2 - Carnival'!X63</f>
        <v>500</v>
      </c>
    </row>
    <row r="69" spans="1:32" s="96" customFormat="1">
      <c r="A69" s="54" t="s">
        <v>210</v>
      </c>
      <c r="B69" s="487"/>
      <c r="C69" s="487"/>
      <c r="K69" s="486">
        <f>'P&amp;L - Concept B2 - Carnival'!D65</f>
        <v>0</v>
      </c>
      <c r="L69" s="313">
        <f>'P&amp;L - Concept B2 - Carnival'!E65</f>
        <v>0</v>
      </c>
      <c r="M69" s="313">
        <f>'P&amp;L - Concept B2 - Carnival'!F65</f>
        <v>1</v>
      </c>
      <c r="N69" s="313">
        <f>'P&amp;L - Concept B2 - Carnival'!G65</f>
        <v>2</v>
      </c>
      <c r="O69" s="313">
        <f>'P&amp;L - Concept B2 - Carnival'!H65</f>
        <v>2</v>
      </c>
      <c r="P69" s="313">
        <f>'P&amp;L - Concept B2 - Carnival'!I65</f>
        <v>2</v>
      </c>
      <c r="Q69" s="313">
        <f>'P&amp;L - Concept B2 - Carnival'!J65</f>
        <v>3</v>
      </c>
      <c r="R69" s="313">
        <f>'P&amp;L - Concept B2 - Carnival'!K65</f>
        <v>3</v>
      </c>
      <c r="S69" s="313">
        <f>'P&amp;L - Concept B2 - Carnival'!L65</f>
        <v>3</v>
      </c>
      <c r="T69" s="313">
        <f>'P&amp;L - Concept B2 - Carnival'!M65</f>
        <v>3</v>
      </c>
      <c r="U69" s="313">
        <f>'P&amp;L - Concept B2 - Carnival'!N65</f>
        <v>3</v>
      </c>
      <c r="V69" s="313">
        <f>'P&amp;L - Concept B2 - Carnival'!O65</f>
        <v>4</v>
      </c>
      <c r="W69" s="313">
        <f>'P&amp;L - Concept B2 - Carnival'!P65</f>
        <v>4</v>
      </c>
      <c r="X69" s="313">
        <f>'P&amp;L - Concept B2 - Carnival'!Q65</f>
        <v>4</v>
      </c>
      <c r="Y69" s="313">
        <f>'P&amp;L - Concept B2 - Carnival'!R65</f>
        <v>4</v>
      </c>
      <c r="Z69" s="313">
        <f>'P&amp;L - Concept B2 - Carnival'!S65</f>
        <v>4</v>
      </c>
      <c r="AA69" s="313">
        <f>'P&amp;L - Concept B2 - Carnival'!T65</f>
        <v>5</v>
      </c>
      <c r="AB69" s="313">
        <f>'P&amp;L - Concept B2 - Carnival'!U65</f>
        <v>5</v>
      </c>
      <c r="AC69" s="313">
        <f>'P&amp;L - Concept B2 - Carnival'!V65</f>
        <v>5</v>
      </c>
      <c r="AD69" s="313">
        <f>'P&amp;L - Concept B2 - Carnival'!W65</f>
        <v>5</v>
      </c>
      <c r="AE69" s="313">
        <f>'P&amp;L - Concept B2 - Carnival'!X65</f>
        <v>5</v>
      </c>
    </row>
    <row r="70" spans="1:32" s="96" customFormat="1">
      <c r="A70" s="96" t="s">
        <v>211</v>
      </c>
      <c r="K70" s="486">
        <f>'P&amp;L - Concept B2 - Carnival'!D66</f>
        <v>0</v>
      </c>
      <c r="L70" s="313">
        <f>'P&amp;L - Concept B2 - Carnival'!E66</f>
        <v>0</v>
      </c>
      <c r="M70" s="313">
        <f>'P&amp;L - Concept B2 - Carnival'!F66</f>
        <v>3</v>
      </c>
      <c r="N70" s="313">
        <f>'P&amp;L - Concept B2 - Carnival'!G66</f>
        <v>3</v>
      </c>
      <c r="O70" s="313">
        <f>'P&amp;L - Concept B2 - Carnival'!H66</f>
        <v>3</v>
      </c>
      <c r="P70" s="313">
        <f>'P&amp;L - Concept B2 - Carnival'!I66</f>
        <v>3</v>
      </c>
      <c r="Q70" s="313">
        <f>'P&amp;L - Concept B2 - Carnival'!J66</f>
        <v>3</v>
      </c>
      <c r="R70" s="313">
        <f>'P&amp;L - Concept B2 - Carnival'!K66</f>
        <v>3</v>
      </c>
      <c r="S70" s="313">
        <f>'P&amp;L - Concept B2 - Carnival'!L66</f>
        <v>3</v>
      </c>
      <c r="T70" s="313">
        <f>'P&amp;L - Concept B2 - Carnival'!M66</f>
        <v>3</v>
      </c>
      <c r="U70" s="313">
        <f>'P&amp;L - Concept B2 - Carnival'!N66</f>
        <v>3</v>
      </c>
      <c r="V70" s="313">
        <f>'P&amp;L - Concept B2 - Carnival'!O66</f>
        <v>3</v>
      </c>
      <c r="W70" s="313">
        <f>'P&amp;L - Concept B2 - Carnival'!P66</f>
        <v>3</v>
      </c>
      <c r="X70" s="313">
        <f>'P&amp;L - Concept B2 - Carnival'!Q66</f>
        <v>3</v>
      </c>
      <c r="Y70" s="313">
        <f>'P&amp;L - Concept B2 - Carnival'!R66</f>
        <v>3</v>
      </c>
      <c r="Z70" s="313">
        <f>'P&amp;L - Concept B2 - Carnival'!S66</f>
        <v>3</v>
      </c>
      <c r="AA70" s="313">
        <f>'P&amp;L - Concept B2 - Carnival'!T66</f>
        <v>3</v>
      </c>
      <c r="AB70" s="313">
        <f>'P&amp;L - Concept B2 - Carnival'!U66</f>
        <v>3</v>
      </c>
      <c r="AC70" s="313">
        <f>'P&amp;L - Concept B2 - Carnival'!V66</f>
        <v>3</v>
      </c>
      <c r="AD70" s="313">
        <f>'P&amp;L - Concept B2 - Carnival'!W66</f>
        <v>3</v>
      </c>
      <c r="AE70" s="313">
        <f>'P&amp;L - Concept B2 - Carnival'!X66</f>
        <v>3</v>
      </c>
    </row>
    <row r="71" spans="1:32" s="96" customFormat="1">
      <c r="K71" s="486"/>
      <c r="L71" s="435"/>
      <c r="M71" s="435"/>
      <c r="N71" s="435"/>
      <c r="O71" s="435"/>
      <c r="P71" s="435"/>
      <c r="Q71" s="435"/>
      <c r="R71" s="435"/>
      <c r="S71" s="435"/>
      <c r="T71" s="435"/>
      <c r="U71" s="435"/>
      <c r="V71" s="435"/>
      <c r="W71" s="435"/>
      <c r="X71" s="435"/>
      <c r="Y71" s="435"/>
      <c r="Z71" s="435"/>
      <c r="AA71" s="435"/>
      <c r="AB71" s="435"/>
      <c r="AC71" s="435"/>
      <c r="AD71" s="435"/>
      <c r="AE71" s="435"/>
    </row>
    <row r="72" spans="1:32" s="18" customFormat="1">
      <c r="A72" s="28"/>
      <c r="K72" s="486"/>
      <c r="L72" s="331"/>
      <c r="M72" s="333"/>
      <c r="N72" s="331"/>
      <c r="O72" s="331"/>
      <c r="P72" s="331"/>
      <c r="Q72" s="331"/>
      <c r="R72" s="331"/>
      <c r="S72" s="331"/>
      <c r="T72" s="331"/>
      <c r="U72" s="331"/>
      <c r="V72" s="331"/>
      <c r="W72" s="331"/>
      <c r="X72" s="331"/>
      <c r="Y72" s="331"/>
      <c r="Z72" s="331"/>
      <c r="AA72" s="331"/>
      <c r="AB72" s="331"/>
      <c r="AC72" s="331"/>
      <c r="AD72" s="331"/>
      <c r="AE72" s="331"/>
    </row>
    <row r="73" spans="1:32">
      <c r="A73" s="168" t="s">
        <v>131</v>
      </c>
      <c r="B73" s="168"/>
      <c r="C73" s="169"/>
      <c r="D73" s="170"/>
      <c r="E73" s="171"/>
      <c r="F73" s="171"/>
      <c r="G73" s="171"/>
      <c r="H73" s="171"/>
      <c r="I73" s="168"/>
      <c r="J73" s="171"/>
      <c r="K73" s="681"/>
      <c r="L73" s="314"/>
      <c r="M73" s="314"/>
      <c r="N73" s="314"/>
      <c r="O73" s="314"/>
      <c r="P73" s="314"/>
      <c r="Q73" s="314"/>
      <c r="R73" s="314"/>
      <c r="S73" s="314"/>
      <c r="T73" s="314"/>
      <c r="U73" s="314"/>
      <c r="V73" s="314"/>
      <c r="W73" s="314"/>
      <c r="X73" s="314"/>
      <c r="Y73" s="314"/>
      <c r="Z73" s="314"/>
      <c r="AA73" s="314"/>
      <c r="AB73" s="314"/>
      <c r="AC73" s="314"/>
      <c r="AD73" s="314"/>
      <c r="AE73" s="314"/>
    </row>
    <row r="74" spans="1:32" s="252" customFormat="1">
      <c r="A74" s="183"/>
      <c r="B74" s="183"/>
      <c r="C74" s="364"/>
      <c r="D74" s="365"/>
      <c r="E74" s="184"/>
      <c r="F74" s="184"/>
      <c r="G74" s="184"/>
      <c r="H74" s="184"/>
      <c r="I74" s="183"/>
      <c r="J74" s="184"/>
      <c r="K74" s="664"/>
      <c r="L74" s="366"/>
      <c r="M74" s="366"/>
      <c r="N74" s="366"/>
      <c r="O74" s="366"/>
      <c r="P74" s="366"/>
      <c r="Q74" s="366"/>
      <c r="R74" s="366"/>
      <c r="S74" s="366"/>
      <c r="T74" s="366"/>
      <c r="U74" s="366"/>
      <c r="V74" s="366"/>
      <c r="W74" s="366"/>
      <c r="X74" s="366"/>
      <c r="Y74" s="366"/>
      <c r="Z74" s="366"/>
      <c r="AA74" s="366"/>
      <c r="AB74" s="366"/>
      <c r="AC74" s="366"/>
      <c r="AD74" s="366"/>
      <c r="AE74" s="366"/>
    </row>
    <row r="75" spans="1:32">
      <c r="A75" s="41" t="s">
        <v>13</v>
      </c>
      <c r="B75" s="41"/>
      <c r="C75" s="105"/>
      <c r="D75" s="106"/>
      <c r="E75" s="37"/>
      <c r="F75" s="37"/>
      <c r="G75" s="37"/>
      <c r="H75" s="37"/>
      <c r="I75" s="41"/>
      <c r="J75" s="37"/>
      <c r="K75" s="683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</row>
    <row r="76" spans="1:32">
      <c r="A76" s="96" t="s">
        <v>418</v>
      </c>
      <c r="B76" s="735" t="s">
        <v>12</v>
      </c>
      <c r="C76" s="663">
        <v>75000</v>
      </c>
      <c r="D76" s="736">
        <f t="shared" ref="D76:D78" si="0">C76/2080</f>
        <v>36.057692307692307</v>
      </c>
      <c r="E76" s="663">
        <v>0</v>
      </c>
      <c r="F76" s="663">
        <f>(C76*$F$13)</f>
        <v>30000</v>
      </c>
      <c r="G76" s="663">
        <f>SUM(C76,E76:F76)</f>
        <v>105000</v>
      </c>
      <c r="H76" s="663"/>
      <c r="I76" s="736"/>
      <c r="J76" s="663"/>
      <c r="K76" s="683">
        <v>0</v>
      </c>
      <c r="L76" s="665">
        <v>0</v>
      </c>
      <c r="M76" s="666">
        <f>G76</f>
        <v>105000</v>
      </c>
      <c r="N76" s="666">
        <f>($G$76*L11)</f>
        <v>107100</v>
      </c>
      <c r="O76" s="666">
        <f t="shared" ref="O76:AE76" si="1">($G$76*M11)</f>
        <v>109242</v>
      </c>
      <c r="P76" s="666">
        <f t="shared" si="1"/>
        <v>111426.84</v>
      </c>
      <c r="Q76" s="666">
        <f t="shared" si="1"/>
        <v>113655.3768</v>
      </c>
      <c r="R76" s="666">
        <f t="shared" si="1"/>
        <v>115928.48433600001</v>
      </c>
      <c r="S76" s="666">
        <f t="shared" si="1"/>
        <v>118247.05402272001</v>
      </c>
      <c r="T76" s="666">
        <f t="shared" si="1"/>
        <v>120611.9951031744</v>
      </c>
      <c r="U76" s="666">
        <f t="shared" si="1"/>
        <v>123024.2350052379</v>
      </c>
      <c r="V76" s="666">
        <f t="shared" si="1"/>
        <v>125484.71970534266</v>
      </c>
      <c r="W76" s="666">
        <f t="shared" si="1"/>
        <v>127994.41409944952</v>
      </c>
      <c r="X76" s="666">
        <f t="shared" si="1"/>
        <v>130554.30238143851</v>
      </c>
      <c r="Y76" s="666">
        <f t="shared" si="1"/>
        <v>133165.38842906727</v>
      </c>
      <c r="Z76" s="666">
        <f t="shared" si="1"/>
        <v>135828.69619764862</v>
      </c>
      <c r="AA76" s="666">
        <f t="shared" si="1"/>
        <v>138545.27012160158</v>
      </c>
      <c r="AB76" s="666">
        <f t="shared" si="1"/>
        <v>141316.17552403364</v>
      </c>
      <c r="AC76" s="666">
        <f t="shared" si="1"/>
        <v>144142.4990345143</v>
      </c>
      <c r="AD76" s="666">
        <f t="shared" si="1"/>
        <v>147025.34901520461</v>
      </c>
      <c r="AE76" s="666">
        <f t="shared" si="1"/>
        <v>149965.8559955087</v>
      </c>
    </row>
    <row r="77" spans="1:32">
      <c r="A77" s="96" t="s">
        <v>417</v>
      </c>
      <c r="B77" s="735" t="s">
        <v>12</v>
      </c>
      <c r="C77" s="663">
        <v>35000</v>
      </c>
      <c r="D77" s="736">
        <f t="shared" si="0"/>
        <v>16.826923076923077</v>
      </c>
      <c r="E77" s="663">
        <v>0</v>
      </c>
      <c r="F77" s="663">
        <f t="shared" ref="F77:F78" si="2">(C77*$F$13)</f>
        <v>14000</v>
      </c>
      <c r="G77" s="663">
        <f t="shared" ref="G77:G78" si="3">SUM(C77,E77:F77)</f>
        <v>49000</v>
      </c>
      <c r="H77" s="663"/>
      <c r="I77" s="736"/>
      <c r="J77" s="663"/>
      <c r="K77" s="683">
        <v>0</v>
      </c>
      <c r="L77" s="665">
        <f>G77*0.25</f>
        <v>12250</v>
      </c>
      <c r="M77" s="666">
        <f>G77*0.5</f>
        <v>24500</v>
      </c>
      <c r="N77" s="666">
        <f>($G$77*0.5*L11)</f>
        <v>24990</v>
      </c>
      <c r="O77" s="666">
        <f t="shared" ref="O77:AE77" si="4">($G$77*0.5*M11)</f>
        <v>25489.8</v>
      </c>
      <c r="P77" s="666">
        <f t="shared" si="4"/>
        <v>25999.595999999998</v>
      </c>
      <c r="Q77" s="666">
        <f t="shared" si="4"/>
        <v>26519.587919999998</v>
      </c>
      <c r="R77" s="666">
        <f t="shared" si="4"/>
        <v>27049.979678399999</v>
      </c>
      <c r="S77" s="666">
        <f t="shared" si="4"/>
        <v>27590.979271968001</v>
      </c>
      <c r="T77" s="666">
        <f t="shared" si="4"/>
        <v>28142.798857407361</v>
      </c>
      <c r="U77" s="666">
        <f t="shared" si="4"/>
        <v>28705.654834555509</v>
      </c>
      <c r="V77" s="666">
        <f t="shared" si="4"/>
        <v>29279.767931246621</v>
      </c>
      <c r="W77" s="666">
        <f t="shared" si="4"/>
        <v>29865.363289871555</v>
      </c>
      <c r="X77" s="666">
        <f t="shared" si="4"/>
        <v>30462.670555668985</v>
      </c>
      <c r="Y77" s="666">
        <f t="shared" si="4"/>
        <v>31071.923966782364</v>
      </c>
      <c r="Z77" s="666">
        <f t="shared" si="4"/>
        <v>31693.362446118008</v>
      </c>
      <c r="AA77" s="666">
        <f t="shared" si="4"/>
        <v>32327.229695040372</v>
      </c>
      <c r="AB77" s="666">
        <f t="shared" si="4"/>
        <v>32973.774288941182</v>
      </c>
      <c r="AC77" s="666">
        <f t="shared" si="4"/>
        <v>33633.249774720003</v>
      </c>
      <c r="AD77" s="666">
        <f t="shared" si="4"/>
        <v>34305.914770214411</v>
      </c>
      <c r="AE77" s="666">
        <f t="shared" si="4"/>
        <v>34992.0330656187</v>
      </c>
    </row>
    <row r="78" spans="1:32">
      <c r="A78" s="737" t="s">
        <v>422</v>
      </c>
      <c r="B78" s="738" t="s">
        <v>15</v>
      </c>
      <c r="C78" s="739">
        <v>15000</v>
      </c>
      <c r="D78" s="740">
        <f t="shared" si="0"/>
        <v>7.2115384615384617</v>
      </c>
      <c r="E78" s="739">
        <f>C78*$L$15</f>
        <v>0</v>
      </c>
      <c r="F78" s="739">
        <f t="shared" si="2"/>
        <v>6000</v>
      </c>
      <c r="G78" s="739">
        <f t="shared" si="3"/>
        <v>21000</v>
      </c>
      <c r="H78" s="739"/>
      <c r="I78" s="740"/>
      <c r="J78" s="739"/>
      <c r="K78" s="741">
        <v>0</v>
      </c>
      <c r="L78" s="742">
        <v>0</v>
      </c>
      <c r="M78" s="742">
        <f t="shared" ref="M78" si="5">G78</f>
        <v>21000</v>
      </c>
      <c r="N78" s="742">
        <f>($G$78*L11)</f>
        <v>21420</v>
      </c>
      <c r="O78" s="742">
        <f t="shared" ref="O78:AE78" si="6">($G$78*M11)</f>
        <v>21848.400000000001</v>
      </c>
      <c r="P78" s="742">
        <f t="shared" si="6"/>
        <v>22285.367999999999</v>
      </c>
      <c r="Q78" s="742">
        <f t="shared" si="6"/>
        <v>22731.075359999999</v>
      </c>
      <c r="R78" s="742">
        <f t="shared" si="6"/>
        <v>23185.6968672</v>
      </c>
      <c r="S78" s="742">
        <f t="shared" si="6"/>
        <v>23649.410804544001</v>
      </c>
      <c r="T78" s="742">
        <f t="shared" si="6"/>
        <v>24122.399020634883</v>
      </c>
      <c r="U78" s="742">
        <f t="shared" si="6"/>
        <v>24604.847001047579</v>
      </c>
      <c r="V78" s="742">
        <f t="shared" si="6"/>
        <v>25096.943941068534</v>
      </c>
      <c r="W78" s="742">
        <f t="shared" si="6"/>
        <v>25598.882819889903</v>
      </c>
      <c r="X78" s="742">
        <f t="shared" si="6"/>
        <v>26110.8604762877</v>
      </c>
      <c r="Y78" s="742">
        <f t="shared" si="6"/>
        <v>26633.077685813456</v>
      </c>
      <c r="Z78" s="742">
        <f t="shared" si="6"/>
        <v>27165.739239529721</v>
      </c>
      <c r="AA78" s="742">
        <f t="shared" si="6"/>
        <v>27709.054024320321</v>
      </c>
      <c r="AB78" s="742">
        <f t="shared" si="6"/>
        <v>28263.235104806728</v>
      </c>
      <c r="AC78" s="742">
        <f t="shared" si="6"/>
        <v>28828.499806902862</v>
      </c>
      <c r="AD78" s="742">
        <f t="shared" si="6"/>
        <v>29405.069803040922</v>
      </c>
      <c r="AE78" s="742">
        <f t="shared" si="6"/>
        <v>29993.17119910174</v>
      </c>
    </row>
    <row r="79" spans="1:32" s="56" customFormat="1" ht="14.25">
      <c r="A79" s="164" t="s">
        <v>416</v>
      </c>
      <c r="B79" s="164"/>
      <c r="C79" s="667">
        <f>SUM(C76:C78)</f>
        <v>125000</v>
      </c>
      <c r="D79" s="667"/>
      <c r="E79" s="667">
        <f>SUM(E76:E78)</f>
        <v>0</v>
      </c>
      <c r="F79" s="667">
        <f>SUM(F76:F78)</f>
        <v>50000</v>
      </c>
      <c r="G79" s="667">
        <f>SUM(G76:G78)</f>
        <v>175000</v>
      </c>
      <c r="H79" s="667"/>
      <c r="I79" s="668"/>
      <c r="J79" s="667"/>
      <c r="K79" s="685">
        <f>SUMIF($B76:$B78,"FT",K76:K78)</f>
        <v>0</v>
      </c>
      <c r="L79" s="669">
        <f t="shared" ref="L79:AE79" si="7">SUM(L76:L78)</f>
        <v>12250</v>
      </c>
      <c r="M79" s="669">
        <f t="shared" si="7"/>
        <v>150500</v>
      </c>
      <c r="N79" s="669">
        <f t="shared" si="7"/>
        <v>153510</v>
      </c>
      <c r="O79" s="669">
        <f t="shared" si="7"/>
        <v>156580.19999999998</v>
      </c>
      <c r="P79" s="669">
        <f t="shared" si="7"/>
        <v>159711.80399999997</v>
      </c>
      <c r="Q79" s="669">
        <f t="shared" si="7"/>
        <v>162906.04007999998</v>
      </c>
      <c r="R79" s="669">
        <f t="shared" si="7"/>
        <v>166164.16088159999</v>
      </c>
      <c r="S79" s="669">
        <f t="shared" si="7"/>
        <v>169487.444099232</v>
      </c>
      <c r="T79" s="669">
        <f t="shared" si="7"/>
        <v>172877.19298121665</v>
      </c>
      <c r="U79" s="669">
        <f t="shared" si="7"/>
        <v>176334.73684084098</v>
      </c>
      <c r="V79" s="669">
        <f t="shared" si="7"/>
        <v>179861.43157765782</v>
      </c>
      <c r="W79" s="669">
        <f t="shared" si="7"/>
        <v>183458.66020921097</v>
      </c>
      <c r="X79" s="669">
        <f t="shared" si="7"/>
        <v>187127.83341339519</v>
      </c>
      <c r="Y79" s="669">
        <f t="shared" si="7"/>
        <v>190870.39008166309</v>
      </c>
      <c r="Z79" s="669">
        <f t="shared" si="7"/>
        <v>194687.79788329633</v>
      </c>
      <c r="AA79" s="669">
        <f t="shared" si="7"/>
        <v>198581.5538409623</v>
      </c>
      <c r="AB79" s="669">
        <f t="shared" si="7"/>
        <v>202553.18491778153</v>
      </c>
      <c r="AC79" s="669">
        <f t="shared" si="7"/>
        <v>206604.24861613716</v>
      </c>
      <c r="AD79" s="669">
        <f t="shared" si="7"/>
        <v>210736.33358845994</v>
      </c>
      <c r="AE79" s="669">
        <f t="shared" si="7"/>
        <v>214951.06026022913</v>
      </c>
    </row>
    <row r="80" spans="1:32" s="56" customFormat="1" ht="14.25">
      <c r="A80" s="164"/>
      <c r="B80" s="164"/>
      <c r="C80" s="667"/>
      <c r="D80" s="667"/>
      <c r="E80" s="667"/>
      <c r="F80" s="667"/>
      <c r="G80" s="667"/>
      <c r="H80" s="667"/>
      <c r="I80" s="668"/>
      <c r="J80" s="667"/>
      <c r="K80" s="685"/>
      <c r="L80" s="669"/>
      <c r="M80" s="669"/>
      <c r="N80" s="669"/>
      <c r="O80" s="669"/>
      <c r="P80" s="669"/>
      <c r="Q80" s="669"/>
      <c r="R80" s="669"/>
      <c r="S80" s="669"/>
      <c r="T80" s="669"/>
      <c r="U80" s="669"/>
      <c r="V80" s="669"/>
      <c r="W80" s="669"/>
      <c r="X80" s="669"/>
      <c r="Y80" s="669"/>
      <c r="Z80" s="669"/>
      <c r="AA80" s="669"/>
      <c r="AB80" s="669"/>
      <c r="AC80" s="669"/>
      <c r="AD80" s="669"/>
      <c r="AE80" s="669"/>
    </row>
    <row r="81" spans="1:35">
      <c r="A81" s="37" t="s">
        <v>411</v>
      </c>
      <c r="B81" s="37"/>
      <c r="C81" s="57"/>
      <c r="E81" s="57"/>
      <c r="F81" s="57"/>
      <c r="G81" s="57"/>
      <c r="H81" s="57"/>
      <c r="I81" s="43"/>
      <c r="J81" s="42"/>
      <c r="K81" s="743">
        <f>COUNTIF(K76:K78,"&gt;100")</f>
        <v>0</v>
      </c>
      <c r="L81" s="496">
        <f t="shared" ref="L81:AE81" si="8">COUNTIF(L76:L77,"&gt;100")</f>
        <v>1</v>
      </c>
      <c r="M81" s="496">
        <f t="shared" si="8"/>
        <v>2</v>
      </c>
      <c r="N81" s="496">
        <f t="shared" si="8"/>
        <v>2</v>
      </c>
      <c r="O81" s="496">
        <f t="shared" si="8"/>
        <v>2</v>
      </c>
      <c r="P81" s="496">
        <f t="shared" si="8"/>
        <v>2</v>
      </c>
      <c r="Q81" s="496">
        <f t="shared" si="8"/>
        <v>2</v>
      </c>
      <c r="R81" s="496">
        <f t="shared" si="8"/>
        <v>2</v>
      </c>
      <c r="S81" s="496">
        <f t="shared" si="8"/>
        <v>2</v>
      </c>
      <c r="T81" s="496">
        <f t="shared" si="8"/>
        <v>2</v>
      </c>
      <c r="U81" s="496">
        <f t="shared" si="8"/>
        <v>2</v>
      </c>
      <c r="V81" s="496">
        <f t="shared" si="8"/>
        <v>2</v>
      </c>
      <c r="W81" s="496">
        <f t="shared" si="8"/>
        <v>2</v>
      </c>
      <c r="X81" s="496">
        <f t="shared" si="8"/>
        <v>2</v>
      </c>
      <c r="Y81" s="496">
        <f t="shared" si="8"/>
        <v>2</v>
      </c>
      <c r="Z81" s="496">
        <f t="shared" si="8"/>
        <v>2</v>
      </c>
      <c r="AA81" s="496">
        <f t="shared" si="8"/>
        <v>2</v>
      </c>
      <c r="AB81" s="496">
        <f t="shared" si="8"/>
        <v>2</v>
      </c>
      <c r="AC81" s="496">
        <f t="shared" si="8"/>
        <v>2</v>
      </c>
      <c r="AD81" s="496">
        <f t="shared" si="8"/>
        <v>2</v>
      </c>
      <c r="AE81" s="496">
        <f t="shared" si="8"/>
        <v>2</v>
      </c>
      <c r="AF81" s="744"/>
    </row>
    <row r="82" spans="1:35">
      <c r="A82" s="745" t="s">
        <v>412</v>
      </c>
      <c r="B82" s="745"/>
      <c r="C82" s="746"/>
      <c r="D82" s="116"/>
      <c r="E82" s="746"/>
      <c r="F82" s="746"/>
      <c r="G82" s="746"/>
      <c r="H82" s="746"/>
      <c r="I82" s="747"/>
      <c r="J82" s="748"/>
      <c r="K82" s="749">
        <f t="shared" ref="K82" si="9">K83-K81</f>
        <v>0</v>
      </c>
      <c r="L82" s="750">
        <f t="shared" ref="L82:AE82" si="10">COUNTIF(L78:L78,"&gt;100")</f>
        <v>0</v>
      </c>
      <c r="M82" s="750">
        <f t="shared" si="10"/>
        <v>1</v>
      </c>
      <c r="N82" s="750">
        <f t="shared" si="10"/>
        <v>1</v>
      </c>
      <c r="O82" s="750">
        <f t="shared" si="10"/>
        <v>1</v>
      </c>
      <c r="P82" s="750">
        <f t="shared" si="10"/>
        <v>1</v>
      </c>
      <c r="Q82" s="750">
        <f t="shared" si="10"/>
        <v>1</v>
      </c>
      <c r="R82" s="750">
        <f t="shared" si="10"/>
        <v>1</v>
      </c>
      <c r="S82" s="750">
        <f t="shared" si="10"/>
        <v>1</v>
      </c>
      <c r="T82" s="750">
        <f t="shared" si="10"/>
        <v>1</v>
      </c>
      <c r="U82" s="750">
        <f t="shared" si="10"/>
        <v>1</v>
      </c>
      <c r="V82" s="750">
        <f t="shared" si="10"/>
        <v>1</v>
      </c>
      <c r="W82" s="750">
        <f t="shared" si="10"/>
        <v>1</v>
      </c>
      <c r="X82" s="750">
        <f t="shared" si="10"/>
        <v>1</v>
      </c>
      <c r="Y82" s="750">
        <f t="shared" si="10"/>
        <v>1</v>
      </c>
      <c r="Z82" s="750">
        <f t="shared" si="10"/>
        <v>1</v>
      </c>
      <c r="AA82" s="750">
        <f t="shared" si="10"/>
        <v>1</v>
      </c>
      <c r="AB82" s="750">
        <f t="shared" si="10"/>
        <v>1</v>
      </c>
      <c r="AC82" s="750">
        <f t="shared" si="10"/>
        <v>1</v>
      </c>
      <c r="AD82" s="750">
        <f t="shared" si="10"/>
        <v>1</v>
      </c>
      <c r="AE82" s="750">
        <f t="shared" si="10"/>
        <v>1</v>
      </c>
    </row>
    <row r="83" spans="1:35" s="56" customFormat="1" ht="14.25">
      <c r="A83" s="164" t="s">
        <v>413</v>
      </c>
      <c r="B83" s="164"/>
      <c r="C83" s="75"/>
      <c r="D83" s="173"/>
      <c r="E83" s="75"/>
      <c r="F83" s="75"/>
      <c r="G83" s="75"/>
      <c r="H83" s="75"/>
      <c r="I83" s="174"/>
      <c r="J83" s="181"/>
      <c r="K83" s="751">
        <f>COUNTIF(K76:K78,"&gt;0")</f>
        <v>0</v>
      </c>
      <c r="L83" s="752">
        <f>SUM(L81:L82)</f>
        <v>1</v>
      </c>
      <c r="M83" s="752">
        <f t="shared" ref="M83:AE83" si="11">SUM(M81:M82)</f>
        <v>3</v>
      </c>
      <c r="N83" s="752">
        <f t="shared" si="11"/>
        <v>3</v>
      </c>
      <c r="O83" s="752">
        <f t="shared" si="11"/>
        <v>3</v>
      </c>
      <c r="P83" s="752">
        <f t="shared" si="11"/>
        <v>3</v>
      </c>
      <c r="Q83" s="752">
        <f t="shared" si="11"/>
        <v>3</v>
      </c>
      <c r="R83" s="752">
        <f t="shared" si="11"/>
        <v>3</v>
      </c>
      <c r="S83" s="752">
        <f t="shared" si="11"/>
        <v>3</v>
      </c>
      <c r="T83" s="752">
        <f t="shared" si="11"/>
        <v>3</v>
      </c>
      <c r="U83" s="752">
        <f t="shared" si="11"/>
        <v>3</v>
      </c>
      <c r="V83" s="752">
        <f t="shared" si="11"/>
        <v>3</v>
      </c>
      <c r="W83" s="752">
        <f t="shared" si="11"/>
        <v>3</v>
      </c>
      <c r="X83" s="752">
        <f t="shared" si="11"/>
        <v>3</v>
      </c>
      <c r="Y83" s="752">
        <f t="shared" si="11"/>
        <v>3</v>
      </c>
      <c r="Z83" s="752">
        <f t="shared" si="11"/>
        <v>3</v>
      </c>
      <c r="AA83" s="752">
        <f t="shared" si="11"/>
        <v>3</v>
      </c>
      <c r="AB83" s="752">
        <f t="shared" si="11"/>
        <v>3</v>
      </c>
      <c r="AC83" s="752">
        <f t="shared" si="11"/>
        <v>3</v>
      </c>
      <c r="AD83" s="752">
        <f t="shared" si="11"/>
        <v>3</v>
      </c>
      <c r="AE83" s="752">
        <f t="shared" si="11"/>
        <v>3</v>
      </c>
    </row>
    <row r="84" spans="1:35" s="56" customFormat="1" ht="14.25">
      <c r="A84" s="164"/>
      <c r="B84" s="164"/>
      <c r="C84" s="75"/>
      <c r="D84" s="173"/>
      <c r="E84" s="75"/>
      <c r="F84" s="75"/>
      <c r="G84" s="75"/>
      <c r="H84" s="75"/>
      <c r="I84" s="174"/>
      <c r="J84" s="181"/>
      <c r="K84" s="685"/>
      <c r="L84" s="315"/>
      <c r="M84" s="315"/>
      <c r="N84" s="315"/>
      <c r="O84" s="315"/>
      <c r="P84" s="315"/>
      <c r="Q84" s="315"/>
      <c r="R84" s="315"/>
      <c r="S84" s="315"/>
      <c r="T84" s="315"/>
      <c r="U84" s="315"/>
      <c r="V84" s="315"/>
      <c r="W84" s="315"/>
      <c r="X84" s="315"/>
      <c r="Y84" s="315"/>
      <c r="Z84" s="315"/>
      <c r="AA84" s="315"/>
      <c r="AB84" s="315"/>
      <c r="AC84" s="315"/>
      <c r="AD84" s="315"/>
      <c r="AE84" s="315"/>
    </row>
    <row r="85" spans="1:35">
      <c r="A85" s="48" t="s">
        <v>68</v>
      </c>
      <c r="B85" s="48"/>
      <c r="C85" s="77"/>
      <c r="D85" s="76"/>
      <c r="E85" s="57"/>
      <c r="F85" s="57"/>
      <c r="G85" s="77"/>
      <c r="H85" s="77"/>
      <c r="I85" s="50"/>
      <c r="J85" s="49"/>
      <c r="K85" s="683"/>
      <c r="L85" s="316"/>
      <c r="M85" s="316"/>
      <c r="N85" s="316"/>
      <c r="O85" s="316"/>
      <c r="P85" s="316"/>
      <c r="Q85" s="316"/>
      <c r="R85" s="316"/>
      <c r="S85" s="316"/>
      <c r="T85" s="316"/>
      <c r="U85" s="316"/>
      <c r="V85" s="316"/>
      <c r="W85" s="316"/>
      <c r="X85" s="316"/>
      <c r="Y85" s="316"/>
      <c r="Z85" s="316"/>
      <c r="AA85" s="316"/>
      <c r="AB85" s="316"/>
      <c r="AC85" s="316"/>
      <c r="AD85" s="316"/>
      <c r="AE85" s="316"/>
    </row>
    <row r="86" spans="1:35" s="68" customFormat="1" ht="14.25">
      <c r="A86" s="214" t="s">
        <v>80</v>
      </c>
      <c r="B86" s="189"/>
      <c r="C86" s="209"/>
      <c r="D86" s="210"/>
      <c r="E86" s="211"/>
      <c r="F86" s="211"/>
      <c r="G86" s="209"/>
      <c r="H86" s="209"/>
      <c r="I86" s="213"/>
      <c r="J86" s="212"/>
      <c r="K86" s="686"/>
      <c r="L86" s="317"/>
      <c r="M86" s="317"/>
      <c r="N86" s="317"/>
      <c r="O86" s="317"/>
      <c r="P86" s="317"/>
      <c r="Q86" s="317"/>
      <c r="R86" s="317"/>
      <c r="S86" s="317"/>
      <c r="T86" s="317"/>
      <c r="U86" s="317"/>
      <c r="V86" s="317"/>
      <c r="W86" s="317"/>
      <c r="X86" s="317"/>
      <c r="Y86" s="317"/>
      <c r="Z86" s="317"/>
      <c r="AA86" s="317"/>
      <c r="AB86" s="317"/>
      <c r="AC86" s="317"/>
      <c r="AD86" s="317"/>
      <c r="AE86" s="317"/>
    </row>
    <row r="87" spans="1:35">
      <c r="A87" s="37" t="s">
        <v>41</v>
      </c>
      <c r="B87" s="37"/>
      <c r="C87" s="110"/>
      <c r="D87" s="106"/>
      <c r="E87" s="57"/>
      <c r="F87" s="57"/>
      <c r="G87" s="57"/>
      <c r="H87" s="57"/>
      <c r="I87" s="51"/>
      <c r="J87" s="663"/>
      <c r="K87" s="683">
        <f>K$83*$J87*R$9</f>
        <v>0</v>
      </c>
      <c r="L87" s="666">
        <v>25000</v>
      </c>
      <c r="M87" s="666">
        <f>$L$87*L11</f>
        <v>25500</v>
      </c>
      <c r="N87" s="666">
        <f t="shared" ref="N87:AE87" si="12">$L$87*M11</f>
        <v>26010</v>
      </c>
      <c r="O87" s="666">
        <f t="shared" si="12"/>
        <v>26530.199999999997</v>
      </c>
      <c r="P87" s="666">
        <f t="shared" si="12"/>
        <v>27060.804</v>
      </c>
      <c r="Q87" s="666">
        <f t="shared" si="12"/>
        <v>27602.020080000002</v>
      </c>
      <c r="R87" s="666">
        <f t="shared" si="12"/>
        <v>28154.060481600001</v>
      </c>
      <c r="S87" s="666">
        <f t="shared" si="12"/>
        <v>28717.141691232002</v>
      </c>
      <c r="T87" s="666">
        <f t="shared" si="12"/>
        <v>29291.484525056643</v>
      </c>
      <c r="U87" s="666">
        <f t="shared" si="12"/>
        <v>29877.314215557777</v>
      </c>
      <c r="V87" s="666">
        <f t="shared" si="12"/>
        <v>30474.860499868933</v>
      </c>
      <c r="W87" s="666">
        <f t="shared" si="12"/>
        <v>31084.357709866312</v>
      </c>
      <c r="X87" s="666">
        <f t="shared" si="12"/>
        <v>31706.044864063639</v>
      </c>
      <c r="Y87" s="666">
        <f t="shared" si="12"/>
        <v>32340.165761344906</v>
      </c>
      <c r="Z87" s="666">
        <f t="shared" si="12"/>
        <v>32986.969076571811</v>
      </c>
      <c r="AA87" s="666">
        <f t="shared" si="12"/>
        <v>33646.708458103247</v>
      </c>
      <c r="AB87" s="666">
        <f t="shared" si="12"/>
        <v>34319.642627265312</v>
      </c>
      <c r="AC87" s="666">
        <f t="shared" si="12"/>
        <v>35006.03547981062</v>
      </c>
      <c r="AD87" s="666">
        <f t="shared" si="12"/>
        <v>35706.156189406836</v>
      </c>
      <c r="AE87" s="666">
        <f t="shared" si="12"/>
        <v>36420.279313194973</v>
      </c>
    </row>
    <row r="88" spans="1:35">
      <c r="A88" s="37" t="s">
        <v>424</v>
      </c>
      <c r="B88" s="37"/>
      <c r="C88" s="110"/>
      <c r="D88" s="106"/>
      <c r="E88" s="57"/>
      <c r="F88" s="57"/>
      <c r="G88" s="57"/>
      <c r="H88" s="57"/>
      <c r="I88" s="51"/>
      <c r="J88" s="663"/>
      <c r="K88" s="683">
        <f>K$83*$J88*R$9</f>
        <v>0</v>
      </c>
      <c r="L88" s="666">
        <v>10000</v>
      </c>
      <c r="M88" s="666">
        <v>500</v>
      </c>
      <c r="N88" s="666">
        <f>$M$88*M11</f>
        <v>520.20000000000005</v>
      </c>
      <c r="O88" s="666">
        <f>$M$88*N11</f>
        <v>530.60399999999993</v>
      </c>
      <c r="P88" s="666">
        <f>$M$88*O11</f>
        <v>541.21608000000003</v>
      </c>
      <c r="Q88" s="666">
        <v>5000</v>
      </c>
      <c r="R88" s="666">
        <f>$M$88*Q11</f>
        <v>563.08120963200008</v>
      </c>
      <c r="S88" s="666">
        <f>$M$88*R11</f>
        <v>574.34283382464002</v>
      </c>
      <c r="T88" s="666">
        <f>$M$88*S11</f>
        <v>585.82969050113286</v>
      </c>
      <c r="U88" s="666">
        <f>$M$88*T11</f>
        <v>597.54628431115555</v>
      </c>
      <c r="V88" s="666">
        <v>5000</v>
      </c>
      <c r="W88" s="666">
        <f>$M$88*V11</f>
        <v>621.68715419732621</v>
      </c>
      <c r="X88" s="666">
        <f>$M$88*W11</f>
        <v>634.12089728127273</v>
      </c>
      <c r="Y88" s="666">
        <f>$M$88*X11</f>
        <v>646.80331522689812</v>
      </c>
      <c r="Z88" s="666">
        <f>$M$88*Y11</f>
        <v>659.73938153143615</v>
      </c>
      <c r="AA88" s="666">
        <v>5000</v>
      </c>
      <c r="AB88" s="666">
        <f>$M$88*AA11</f>
        <v>686.39285254530625</v>
      </c>
      <c r="AC88" s="666">
        <f>$M$88*AB11</f>
        <v>700.12070959621246</v>
      </c>
      <c r="AD88" s="666">
        <f>$M$88*AC11</f>
        <v>714.1231237881367</v>
      </c>
      <c r="AE88" s="666">
        <f>$M$88*AD11</f>
        <v>728.40558626389941</v>
      </c>
    </row>
    <row r="89" spans="1:35">
      <c r="A89" s="37" t="s">
        <v>42</v>
      </c>
      <c r="B89" s="37"/>
      <c r="C89" s="110"/>
      <c r="D89" s="106"/>
      <c r="E89" s="57"/>
      <c r="F89" s="57"/>
      <c r="G89" s="57"/>
      <c r="H89" s="57"/>
      <c r="I89" s="51"/>
      <c r="J89" s="663"/>
      <c r="K89" s="683">
        <f>K$83*$J89*R$9</f>
        <v>0</v>
      </c>
      <c r="L89" s="666">
        <v>50000</v>
      </c>
      <c r="M89" s="666">
        <f t="shared" ref="M89:AE89" si="13">($L$89*L11)</f>
        <v>51000</v>
      </c>
      <c r="N89" s="666">
        <f t="shared" si="13"/>
        <v>52020</v>
      </c>
      <c r="O89" s="666">
        <f t="shared" si="13"/>
        <v>53060.399999999994</v>
      </c>
      <c r="P89" s="666">
        <f t="shared" si="13"/>
        <v>54121.608</v>
      </c>
      <c r="Q89" s="666">
        <f t="shared" si="13"/>
        <v>55204.040160000004</v>
      </c>
      <c r="R89" s="666">
        <f t="shared" si="13"/>
        <v>56308.120963200003</v>
      </c>
      <c r="S89" s="666">
        <f t="shared" si="13"/>
        <v>57434.283382464004</v>
      </c>
      <c r="T89" s="666">
        <f t="shared" si="13"/>
        <v>58582.969050113286</v>
      </c>
      <c r="U89" s="666">
        <f t="shared" si="13"/>
        <v>59754.628431115554</v>
      </c>
      <c r="V89" s="666">
        <f t="shared" si="13"/>
        <v>60949.720999737867</v>
      </c>
      <c r="W89" s="666">
        <f t="shared" si="13"/>
        <v>62168.715419732624</v>
      </c>
      <c r="X89" s="666">
        <f t="shared" si="13"/>
        <v>63412.089728127277</v>
      </c>
      <c r="Y89" s="666">
        <f t="shared" si="13"/>
        <v>64680.331522689812</v>
      </c>
      <c r="Z89" s="666">
        <f t="shared" si="13"/>
        <v>65973.938153143623</v>
      </c>
      <c r="AA89" s="666">
        <f t="shared" si="13"/>
        <v>67293.416916206494</v>
      </c>
      <c r="AB89" s="666">
        <f t="shared" si="13"/>
        <v>68639.285254530623</v>
      </c>
      <c r="AC89" s="666">
        <f t="shared" si="13"/>
        <v>70012.07095962124</v>
      </c>
      <c r="AD89" s="666">
        <f t="shared" si="13"/>
        <v>71412.312378813673</v>
      </c>
      <c r="AE89" s="666">
        <f t="shared" si="13"/>
        <v>72840.558626389946</v>
      </c>
    </row>
    <row r="90" spans="1:35">
      <c r="A90" s="37" t="s">
        <v>43</v>
      </c>
      <c r="B90" s="37"/>
      <c r="C90" s="110"/>
      <c r="D90" s="106"/>
      <c r="E90" s="57"/>
      <c r="F90" s="57"/>
      <c r="G90" s="57"/>
      <c r="H90" s="57"/>
      <c r="I90" s="51" t="s">
        <v>8</v>
      </c>
      <c r="J90" s="663">
        <v>500</v>
      </c>
      <c r="K90" s="683">
        <v>0</v>
      </c>
      <c r="L90" s="666">
        <f>J90*L83</f>
        <v>500</v>
      </c>
      <c r="M90" s="666">
        <f t="shared" ref="M90:AE90" si="14">$J$90*M83*L11</f>
        <v>1530</v>
      </c>
      <c r="N90" s="666">
        <f t="shared" si="14"/>
        <v>1560.6</v>
      </c>
      <c r="O90" s="666">
        <f t="shared" si="14"/>
        <v>1591.8119999999999</v>
      </c>
      <c r="P90" s="666">
        <f t="shared" si="14"/>
        <v>1623.64824</v>
      </c>
      <c r="Q90" s="666">
        <f t="shared" si="14"/>
        <v>1656.1212048</v>
      </c>
      <c r="R90" s="666">
        <f t="shared" si="14"/>
        <v>1689.243628896</v>
      </c>
      <c r="S90" s="666">
        <f t="shared" si="14"/>
        <v>1723.02850147392</v>
      </c>
      <c r="T90" s="666">
        <f t="shared" si="14"/>
        <v>1757.4890715033987</v>
      </c>
      <c r="U90" s="666">
        <f t="shared" si="14"/>
        <v>1792.6388529334665</v>
      </c>
      <c r="V90" s="666">
        <f t="shared" si="14"/>
        <v>1828.491629992136</v>
      </c>
      <c r="W90" s="666">
        <f t="shared" si="14"/>
        <v>1865.0614625919786</v>
      </c>
      <c r="X90" s="666">
        <f t="shared" si="14"/>
        <v>1902.3626918438183</v>
      </c>
      <c r="Y90" s="666">
        <f t="shared" si="14"/>
        <v>1940.4099456806944</v>
      </c>
      <c r="Z90" s="666">
        <f t="shared" si="14"/>
        <v>1979.2181445943086</v>
      </c>
      <c r="AA90" s="666">
        <f t="shared" si="14"/>
        <v>2018.8025074861948</v>
      </c>
      <c r="AB90" s="666">
        <f t="shared" si="14"/>
        <v>2059.1785576359189</v>
      </c>
      <c r="AC90" s="666">
        <f t="shared" si="14"/>
        <v>2100.3621287886372</v>
      </c>
      <c r="AD90" s="666">
        <f t="shared" si="14"/>
        <v>2142.3693713644102</v>
      </c>
      <c r="AE90" s="666">
        <f t="shared" si="14"/>
        <v>2185.2167587916983</v>
      </c>
    </row>
    <row r="91" spans="1:35">
      <c r="A91" s="37" t="s">
        <v>44</v>
      </c>
      <c r="B91" s="37"/>
      <c r="C91" s="110"/>
      <c r="D91" s="106"/>
      <c r="E91" s="57"/>
      <c r="F91" s="57"/>
      <c r="G91" s="57"/>
      <c r="H91" s="57"/>
      <c r="I91" s="51" t="s">
        <v>8</v>
      </c>
      <c r="J91" s="663">
        <v>250</v>
      </c>
      <c r="K91" s="683">
        <v>0</v>
      </c>
      <c r="L91" s="666">
        <f>J91*L83</f>
        <v>250</v>
      </c>
      <c r="M91" s="666">
        <f t="shared" ref="M91:AE91" si="15">$J$91*M83*L11</f>
        <v>765</v>
      </c>
      <c r="N91" s="666">
        <f t="shared" si="15"/>
        <v>780.3</v>
      </c>
      <c r="O91" s="666">
        <f t="shared" si="15"/>
        <v>795.90599999999995</v>
      </c>
      <c r="P91" s="666">
        <f t="shared" si="15"/>
        <v>811.82411999999999</v>
      </c>
      <c r="Q91" s="666">
        <f t="shared" si="15"/>
        <v>828.06060239999999</v>
      </c>
      <c r="R91" s="666">
        <f t="shared" si="15"/>
        <v>844.62181444800001</v>
      </c>
      <c r="S91" s="666">
        <f t="shared" si="15"/>
        <v>861.51425073695998</v>
      </c>
      <c r="T91" s="666">
        <f t="shared" si="15"/>
        <v>878.74453575169935</v>
      </c>
      <c r="U91" s="666">
        <f t="shared" si="15"/>
        <v>896.31942646673326</v>
      </c>
      <c r="V91" s="666">
        <f t="shared" si="15"/>
        <v>914.24581499606802</v>
      </c>
      <c r="W91" s="666">
        <f t="shared" si="15"/>
        <v>932.53073129598931</v>
      </c>
      <c r="X91" s="666">
        <f t="shared" si="15"/>
        <v>951.18134592190916</v>
      </c>
      <c r="Y91" s="666">
        <f t="shared" si="15"/>
        <v>970.20497284034718</v>
      </c>
      <c r="Z91" s="666">
        <f t="shared" si="15"/>
        <v>989.60907229715428</v>
      </c>
      <c r="AA91" s="666">
        <f t="shared" si="15"/>
        <v>1009.4012537430974</v>
      </c>
      <c r="AB91" s="666">
        <f t="shared" si="15"/>
        <v>1029.5892788179594</v>
      </c>
      <c r="AC91" s="666">
        <f t="shared" si="15"/>
        <v>1050.1810643943186</v>
      </c>
      <c r="AD91" s="666">
        <f t="shared" si="15"/>
        <v>1071.1846856822051</v>
      </c>
      <c r="AE91" s="666">
        <f t="shared" si="15"/>
        <v>1092.6083793958492</v>
      </c>
      <c r="AF91" s="44"/>
    </row>
    <row r="92" spans="1:35">
      <c r="A92" s="745" t="s">
        <v>2</v>
      </c>
      <c r="B92" s="745"/>
      <c r="C92" s="753"/>
      <c r="D92" s="754"/>
      <c r="E92" s="746"/>
      <c r="F92" s="746"/>
      <c r="G92" s="746"/>
      <c r="H92" s="746"/>
      <c r="I92" s="755"/>
      <c r="J92" s="739"/>
      <c r="K92" s="741">
        <v>0</v>
      </c>
      <c r="L92" s="742">
        <v>1000</v>
      </c>
      <c r="M92" s="742">
        <f t="shared" ref="M92:AE92" si="16">($L$92*L11)</f>
        <v>1020</v>
      </c>
      <c r="N92" s="742">
        <f t="shared" si="16"/>
        <v>1040.4000000000001</v>
      </c>
      <c r="O92" s="742">
        <f t="shared" si="16"/>
        <v>1061.2079999999999</v>
      </c>
      <c r="P92" s="742">
        <f t="shared" si="16"/>
        <v>1082.4321600000001</v>
      </c>
      <c r="Q92" s="742">
        <f t="shared" si="16"/>
        <v>1104.0808032</v>
      </c>
      <c r="R92" s="742">
        <f t="shared" si="16"/>
        <v>1126.1624192640002</v>
      </c>
      <c r="S92" s="742">
        <f t="shared" si="16"/>
        <v>1148.68566764928</v>
      </c>
      <c r="T92" s="742">
        <f t="shared" si="16"/>
        <v>1171.6593810022657</v>
      </c>
      <c r="U92" s="742">
        <f t="shared" si="16"/>
        <v>1195.0925686223111</v>
      </c>
      <c r="V92" s="742">
        <f t="shared" si="16"/>
        <v>1218.9944199947574</v>
      </c>
      <c r="W92" s="742">
        <f t="shared" si="16"/>
        <v>1243.3743083946524</v>
      </c>
      <c r="X92" s="742">
        <f t="shared" si="16"/>
        <v>1268.2417945625455</v>
      </c>
      <c r="Y92" s="742">
        <f t="shared" si="16"/>
        <v>1293.6066304537962</v>
      </c>
      <c r="Z92" s="742">
        <f t="shared" si="16"/>
        <v>1319.4787630628723</v>
      </c>
      <c r="AA92" s="742">
        <f t="shared" si="16"/>
        <v>1345.8683383241298</v>
      </c>
      <c r="AB92" s="742">
        <f t="shared" si="16"/>
        <v>1372.7857050906125</v>
      </c>
      <c r="AC92" s="742">
        <f t="shared" si="16"/>
        <v>1400.2414191924249</v>
      </c>
      <c r="AD92" s="742">
        <f t="shared" si="16"/>
        <v>1428.2462475762734</v>
      </c>
      <c r="AE92" s="742">
        <f t="shared" si="16"/>
        <v>1456.8111725277988</v>
      </c>
    </row>
    <row r="93" spans="1:35" s="56" customFormat="1" ht="14.25">
      <c r="A93" s="164" t="s">
        <v>409</v>
      </c>
      <c r="B93" s="215"/>
      <c r="C93" s="216"/>
      <c r="D93" s="217"/>
      <c r="E93" s="218"/>
      <c r="F93" s="218"/>
      <c r="G93" s="218"/>
      <c r="H93" s="218"/>
      <c r="I93" s="219"/>
      <c r="J93" s="756"/>
      <c r="K93" s="687">
        <f>SUM(K87:K92)</f>
        <v>0</v>
      </c>
      <c r="L93" s="757">
        <f>SUM(L87:L92)</f>
        <v>86750</v>
      </c>
      <c r="M93" s="757">
        <f t="shared" ref="M93:AE93" si="17">SUM(M87:M92)</f>
        <v>80315</v>
      </c>
      <c r="N93" s="757">
        <f t="shared" si="17"/>
        <v>81931.5</v>
      </c>
      <c r="O93" s="757">
        <f t="shared" si="17"/>
        <v>83570.13</v>
      </c>
      <c r="P93" s="757">
        <f t="shared" si="17"/>
        <v>85241.532599999991</v>
      </c>
      <c r="Q93" s="757">
        <f t="shared" si="17"/>
        <v>91394.322850400014</v>
      </c>
      <c r="R93" s="757">
        <f t="shared" si="17"/>
        <v>88685.290517040004</v>
      </c>
      <c r="S93" s="757">
        <f t="shared" si="17"/>
        <v>90458.996327380795</v>
      </c>
      <c r="T93" s="757">
        <f t="shared" si="17"/>
        <v>92268.176253928425</v>
      </c>
      <c r="U93" s="757">
        <f t="shared" si="17"/>
        <v>94113.539779006998</v>
      </c>
      <c r="V93" s="757">
        <f t="shared" si="17"/>
        <v>100386.31336458978</v>
      </c>
      <c r="W93" s="757">
        <f t="shared" si="17"/>
        <v>97915.726786078885</v>
      </c>
      <c r="X93" s="757">
        <f t="shared" si="17"/>
        <v>99874.041321800469</v>
      </c>
      <c r="Y93" s="757">
        <f t="shared" si="17"/>
        <v>101871.52214823647</v>
      </c>
      <c r="Z93" s="757">
        <f t="shared" si="17"/>
        <v>103908.9525912012</v>
      </c>
      <c r="AA93" s="757">
        <f t="shared" si="17"/>
        <v>110314.19747386317</v>
      </c>
      <c r="AB93" s="757">
        <f t="shared" si="17"/>
        <v>108106.87427588576</v>
      </c>
      <c r="AC93" s="757">
        <f t="shared" si="17"/>
        <v>110269.01176140344</v>
      </c>
      <c r="AD93" s="757">
        <f t="shared" si="17"/>
        <v>112474.39199663154</v>
      </c>
      <c r="AE93" s="757">
        <f t="shared" si="17"/>
        <v>114723.87983656416</v>
      </c>
    </row>
    <row r="94" spans="1:35" s="56" customFormat="1" ht="14.25">
      <c r="A94" s="164"/>
      <c r="B94" s="215"/>
      <c r="C94" s="216"/>
      <c r="D94" s="217"/>
      <c r="E94" s="218"/>
      <c r="F94" s="218"/>
      <c r="G94" s="218"/>
      <c r="H94" s="218"/>
      <c r="I94" s="219"/>
      <c r="J94" s="220"/>
      <c r="K94" s="687"/>
      <c r="L94" s="318"/>
      <c r="M94" s="318"/>
      <c r="N94" s="318"/>
      <c r="O94" s="318"/>
      <c r="P94" s="318"/>
      <c r="Q94" s="318"/>
      <c r="R94" s="318"/>
      <c r="S94" s="318"/>
      <c r="T94" s="318"/>
      <c r="U94" s="318"/>
      <c r="V94" s="318"/>
      <c r="W94" s="318"/>
      <c r="X94" s="318"/>
      <c r="Y94" s="318"/>
      <c r="Z94" s="318"/>
      <c r="AA94" s="318"/>
      <c r="AB94" s="318"/>
      <c r="AC94" s="318"/>
      <c r="AD94" s="318"/>
      <c r="AE94" s="318"/>
    </row>
    <row r="95" spans="1:35" s="56" customFormat="1" ht="14.25">
      <c r="A95" s="720" t="s">
        <v>26</v>
      </c>
      <c r="B95" s="215"/>
      <c r="C95" s="218"/>
      <c r="D95" s="721"/>
      <c r="E95" s="218"/>
      <c r="F95" s="218"/>
      <c r="G95" s="218"/>
      <c r="H95" s="218"/>
      <c r="I95" s="722"/>
      <c r="J95" s="220"/>
      <c r="K95" s="687"/>
      <c r="L95" s="318"/>
      <c r="M95" s="318"/>
      <c r="N95" s="318"/>
      <c r="O95" s="318"/>
      <c r="P95" s="318"/>
      <c r="Q95" s="318"/>
      <c r="R95" s="318"/>
      <c r="S95" s="318"/>
      <c r="T95" s="318"/>
      <c r="U95" s="318"/>
      <c r="V95" s="318"/>
      <c r="W95" s="318"/>
      <c r="X95" s="318"/>
      <c r="Y95" s="318"/>
      <c r="Z95" s="318"/>
      <c r="AA95" s="318"/>
      <c r="AB95" s="318"/>
      <c r="AC95" s="318"/>
      <c r="AD95" s="318"/>
      <c r="AE95" s="318"/>
      <c r="AF95" s="723"/>
      <c r="AG95" s="723"/>
      <c r="AH95" s="723"/>
      <c r="AI95" s="723"/>
    </row>
    <row r="96" spans="1:35">
      <c r="A96" s="190" t="s">
        <v>41</v>
      </c>
      <c r="B96" s="190"/>
      <c r="C96" s="194"/>
      <c r="D96" s="758"/>
      <c r="E96" s="194"/>
      <c r="F96" s="194"/>
      <c r="G96" s="759"/>
      <c r="H96" s="759"/>
      <c r="I96" s="760"/>
      <c r="J96" s="761"/>
      <c r="K96" s="689">
        <v>0</v>
      </c>
      <c r="L96" s="665">
        <v>1000</v>
      </c>
      <c r="M96" s="665">
        <f>$L$96*L11</f>
        <v>1020</v>
      </c>
      <c r="N96" s="665">
        <f t="shared" ref="N96:P96" si="18">$L$96*M11</f>
        <v>1040.4000000000001</v>
      </c>
      <c r="O96" s="665">
        <f t="shared" si="18"/>
        <v>1061.2079999999999</v>
      </c>
      <c r="P96" s="665">
        <f t="shared" si="18"/>
        <v>1082.4321600000001</v>
      </c>
      <c r="Q96" s="665">
        <v>25000</v>
      </c>
      <c r="R96" s="665">
        <f>$Q$96*L11</f>
        <v>25500</v>
      </c>
      <c r="S96" s="665">
        <f t="shared" ref="S96:AE96" si="19">$Q$96*M11</f>
        <v>26010</v>
      </c>
      <c r="T96" s="665">
        <f t="shared" si="19"/>
        <v>26530.199999999997</v>
      </c>
      <c r="U96" s="665">
        <f t="shared" si="19"/>
        <v>27060.804</v>
      </c>
      <c r="V96" s="665">
        <f t="shared" si="19"/>
        <v>27602.020080000002</v>
      </c>
      <c r="W96" s="665">
        <f t="shared" si="19"/>
        <v>28154.060481600001</v>
      </c>
      <c r="X96" s="665">
        <f t="shared" si="19"/>
        <v>28717.141691232002</v>
      </c>
      <c r="Y96" s="665">
        <f t="shared" si="19"/>
        <v>29291.484525056643</v>
      </c>
      <c r="Z96" s="665">
        <f t="shared" si="19"/>
        <v>29877.314215557777</v>
      </c>
      <c r="AA96" s="665">
        <f t="shared" si="19"/>
        <v>30474.860499868933</v>
      </c>
      <c r="AB96" s="665">
        <f t="shared" si="19"/>
        <v>31084.357709866312</v>
      </c>
      <c r="AC96" s="665">
        <f t="shared" si="19"/>
        <v>31706.044864063639</v>
      </c>
      <c r="AD96" s="665">
        <f t="shared" si="19"/>
        <v>32340.165761344906</v>
      </c>
      <c r="AE96" s="665">
        <f t="shared" si="19"/>
        <v>32986.969076571811</v>
      </c>
      <c r="AF96" s="55"/>
      <c r="AG96" s="55"/>
      <c r="AH96" s="55"/>
      <c r="AI96" s="55"/>
    </row>
    <row r="97" spans="1:33">
      <c r="A97" s="745" t="s">
        <v>302</v>
      </c>
      <c r="B97" s="745"/>
      <c r="C97" s="746"/>
      <c r="D97" s="116"/>
      <c r="E97" s="746"/>
      <c r="F97" s="746"/>
      <c r="G97" s="753"/>
      <c r="H97" s="753"/>
      <c r="I97" s="755"/>
      <c r="J97" s="762"/>
      <c r="K97" s="741">
        <v>0</v>
      </c>
      <c r="L97" s="742">
        <f>'Shuttle Projections'!C28/2</f>
        <v>233675</v>
      </c>
      <c r="M97" s="742">
        <f>'Shuttle Projections'!D28</f>
        <v>476697</v>
      </c>
      <c r="N97" s="742">
        <f>'Shuttle Projections'!E28</f>
        <v>486230.94000000006</v>
      </c>
      <c r="O97" s="742">
        <f>'Shuttle Projections'!F28</f>
        <v>495955.55879999994</v>
      </c>
      <c r="P97" s="742">
        <f>'Shuttle Projections'!G28</f>
        <v>505874.66997599998</v>
      </c>
      <c r="Q97" s="742">
        <f>'Shuttle Projections'!H28</f>
        <v>515992.16337552003</v>
      </c>
      <c r="R97" s="742">
        <f>'Shuttle Projections'!I28</f>
        <v>526312.00664303044</v>
      </c>
      <c r="S97" s="742">
        <f>'Shuttle Projections'!J28</f>
        <v>536838.24677589093</v>
      </c>
      <c r="T97" s="742">
        <f>'Shuttle Projections'!K28</f>
        <v>547575.01171140897</v>
      </c>
      <c r="U97" s="742">
        <f>'Shuttle Projections'!L28</f>
        <v>558526.51194563706</v>
      </c>
      <c r="V97" s="742">
        <f>'Shuttle Projections'!M28</f>
        <v>569697.04218454985</v>
      </c>
      <c r="W97" s="742">
        <f>'Shuttle Projections'!N28</f>
        <v>581090.98302824085</v>
      </c>
      <c r="X97" s="742">
        <f>'Shuttle Projections'!O28</f>
        <v>592712.80268880562</v>
      </c>
      <c r="Y97" s="742">
        <f>'Shuttle Projections'!P28</f>
        <v>604567.05874258175</v>
      </c>
      <c r="Z97" s="742">
        <f>'Shuttle Projections'!Q28</f>
        <v>616658.39991743339</v>
      </c>
      <c r="AA97" s="742">
        <f>'Shuttle Projections'!R28</f>
        <v>628991.5679157821</v>
      </c>
      <c r="AB97" s="742">
        <f>'Shuttle Projections'!S28</f>
        <v>641571.39927409776</v>
      </c>
      <c r="AC97" s="742">
        <f>'Shuttle Projections'!T28</f>
        <v>654402.82725957979</v>
      </c>
      <c r="AD97" s="742">
        <f>'Shuttle Projections'!U28</f>
        <v>667490.88380477135</v>
      </c>
      <c r="AE97" s="742">
        <f>'Shuttle Projections'!V28</f>
        <v>680840.70148086676</v>
      </c>
    </row>
    <row r="98" spans="1:33" s="56" customFormat="1" ht="14.25">
      <c r="A98" s="164" t="s">
        <v>410</v>
      </c>
      <c r="B98" s="164"/>
      <c r="C98" s="75"/>
      <c r="D98" s="173"/>
      <c r="E98" s="75"/>
      <c r="F98" s="75"/>
      <c r="G98" s="75"/>
      <c r="H98" s="75"/>
      <c r="I98" s="174"/>
      <c r="J98" s="175"/>
      <c r="K98" s="685">
        <v>0</v>
      </c>
      <c r="L98" s="669">
        <f>SUM(L96:L97)</f>
        <v>234675</v>
      </c>
      <c r="M98" s="669">
        <f t="shared" ref="M98:AE98" si="20">SUM(M96:M97)</f>
        <v>477717</v>
      </c>
      <c r="N98" s="669">
        <f t="shared" si="20"/>
        <v>487271.34000000008</v>
      </c>
      <c r="O98" s="669">
        <f t="shared" si="20"/>
        <v>497016.76679999992</v>
      </c>
      <c r="P98" s="669">
        <f t="shared" si="20"/>
        <v>506957.102136</v>
      </c>
      <c r="Q98" s="669">
        <f t="shared" si="20"/>
        <v>540992.16337552003</v>
      </c>
      <c r="R98" s="669">
        <f t="shared" si="20"/>
        <v>551812.00664303044</v>
      </c>
      <c r="S98" s="669">
        <f t="shared" si="20"/>
        <v>562848.24677589093</v>
      </c>
      <c r="T98" s="669">
        <f t="shared" si="20"/>
        <v>574105.21171140892</v>
      </c>
      <c r="U98" s="669">
        <f t="shared" si="20"/>
        <v>585587.31594563706</v>
      </c>
      <c r="V98" s="669">
        <f t="shared" si="20"/>
        <v>597299.0622645499</v>
      </c>
      <c r="W98" s="669">
        <f t="shared" si="20"/>
        <v>609245.04350984085</v>
      </c>
      <c r="X98" s="669">
        <f t="shared" si="20"/>
        <v>621429.9443800376</v>
      </c>
      <c r="Y98" s="669">
        <f t="shared" si="20"/>
        <v>633858.54326763842</v>
      </c>
      <c r="Z98" s="669">
        <f t="shared" si="20"/>
        <v>646535.71413299115</v>
      </c>
      <c r="AA98" s="669">
        <f t="shared" si="20"/>
        <v>659466.42841565108</v>
      </c>
      <c r="AB98" s="669">
        <f t="shared" si="20"/>
        <v>672655.75698396412</v>
      </c>
      <c r="AC98" s="669">
        <f t="shared" si="20"/>
        <v>686108.87212364341</v>
      </c>
      <c r="AD98" s="669">
        <f t="shared" si="20"/>
        <v>699831.0495661163</v>
      </c>
      <c r="AE98" s="669">
        <f t="shared" si="20"/>
        <v>713827.67055743863</v>
      </c>
    </row>
    <row r="99" spans="1:33" s="56" customFormat="1" ht="14.25">
      <c r="A99" s="164"/>
      <c r="B99" s="164"/>
      <c r="C99" s="75"/>
      <c r="D99" s="173"/>
      <c r="E99" s="75"/>
      <c r="F99" s="75"/>
      <c r="G99" s="75"/>
      <c r="H99" s="75"/>
      <c r="I99" s="174"/>
      <c r="J99" s="175"/>
      <c r="K99" s="685"/>
      <c r="L99" s="669"/>
      <c r="M99" s="669"/>
      <c r="N99" s="669"/>
      <c r="O99" s="669"/>
      <c r="P99" s="669"/>
      <c r="Q99" s="669"/>
      <c r="R99" s="669"/>
      <c r="S99" s="669"/>
      <c r="T99" s="669"/>
      <c r="U99" s="669"/>
      <c r="V99" s="669"/>
      <c r="W99" s="669"/>
      <c r="X99" s="669"/>
      <c r="Y99" s="669"/>
      <c r="Z99" s="669"/>
      <c r="AA99" s="669"/>
      <c r="AB99" s="669"/>
      <c r="AC99" s="669"/>
      <c r="AD99" s="669"/>
      <c r="AE99" s="669"/>
    </row>
    <row r="100" spans="1:33" s="56" customFormat="1" ht="14.25">
      <c r="A100" s="164" t="s">
        <v>78</v>
      </c>
      <c r="B100" s="164"/>
      <c r="C100" s="75"/>
      <c r="D100" s="173"/>
      <c r="E100" s="75"/>
      <c r="F100" s="75"/>
      <c r="G100" s="75"/>
      <c r="H100" s="75"/>
      <c r="I100" s="174"/>
      <c r="J100" s="175"/>
      <c r="K100" s="685">
        <v>0</v>
      </c>
      <c r="L100" s="669">
        <f>SUM(L93,L98)</f>
        <v>321425</v>
      </c>
      <c r="M100" s="669">
        <f t="shared" ref="M100:AE100" si="21">SUM(M93,M98)</f>
        <v>558032</v>
      </c>
      <c r="N100" s="669">
        <f t="shared" si="21"/>
        <v>569202.84000000008</v>
      </c>
      <c r="O100" s="669">
        <f t="shared" si="21"/>
        <v>580586.89679999999</v>
      </c>
      <c r="P100" s="669">
        <f t="shared" si="21"/>
        <v>592198.63473599998</v>
      </c>
      <c r="Q100" s="669">
        <f t="shared" si="21"/>
        <v>632386.48622592003</v>
      </c>
      <c r="R100" s="669">
        <f t="shared" si="21"/>
        <v>640497.29716007039</v>
      </c>
      <c r="S100" s="669">
        <f t="shared" si="21"/>
        <v>653307.2431032717</v>
      </c>
      <c r="T100" s="669">
        <f t="shared" si="21"/>
        <v>666373.38796533737</v>
      </c>
      <c r="U100" s="669">
        <f t="shared" si="21"/>
        <v>679700.85572464403</v>
      </c>
      <c r="V100" s="669">
        <f t="shared" si="21"/>
        <v>697685.37562913971</v>
      </c>
      <c r="W100" s="669">
        <f t="shared" si="21"/>
        <v>707160.77029591973</v>
      </c>
      <c r="X100" s="669">
        <f t="shared" si="21"/>
        <v>721303.98570183804</v>
      </c>
      <c r="Y100" s="669">
        <f t="shared" si="21"/>
        <v>735730.06541587494</v>
      </c>
      <c r="Z100" s="669">
        <f t="shared" si="21"/>
        <v>750444.66672419233</v>
      </c>
      <c r="AA100" s="669">
        <f t="shared" si="21"/>
        <v>769780.62588951422</v>
      </c>
      <c r="AB100" s="669">
        <f t="shared" si="21"/>
        <v>780762.63125984988</v>
      </c>
      <c r="AC100" s="669">
        <f t="shared" si="21"/>
        <v>796377.88388504682</v>
      </c>
      <c r="AD100" s="669">
        <f t="shared" si="21"/>
        <v>812305.44156274782</v>
      </c>
      <c r="AE100" s="669">
        <f t="shared" si="21"/>
        <v>828551.55039400281</v>
      </c>
    </row>
    <row r="101" spans="1:33">
      <c r="A101" s="47"/>
      <c r="B101" s="47"/>
      <c r="C101" s="78"/>
      <c r="D101" s="100"/>
      <c r="E101" s="78"/>
      <c r="F101" s="78"/>
      <c r="G101" s="78"/>
      <c r="H101" s="78"/>
      <c r="I101" s="52"/>
      <c r="J101" s="114"/>
      <c r="K101" s="683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</row>
    <row r="102" spans="1:33">
      <c r="A102" s="168" t="s">
        <v>25</v>
      </c>
      <c r="B102" s="168"/>
      <c r="C102" s="176"/>
      <c r="D102" s="177"/>
      <c r="E102" s="176"/>
      <c r="F102" s="176"/>
      <c r="G102" s="176"/>
      <c r="H102" s="176"/>
      <c r="I102" s="178"/>
      <c r="J102" s="179"/>
      <c r="K102" s="682"/>
      <c r="L102" s="319"/>
      <c r="M102" s="319"/>
      <c r="N102" s="319"/>
      <c r="O102" s="319"/>
      <c r="P102" s="319"/>
      <c r="Q102" s="319"/>
      <c r="R102" s="319"/>
      <c r="S102" s="319"/>
      <c r="T102" s="319"/>
      <c r="U102" s="319"/>
      <c r="V102" s="319"/>
      <c r="W102" s="319"/>
      <c r="X102" s="319"/>
      <c r="Y102" s="319"/>
      <c r="Z102" s="319"/>
      <c r="AA102" s="319"/>
      <c r="AB102" s="319"/>
      <c r="AC102" s="319"/>
      <c r="AD102" s="319"/>
      <c r="AE102" s="319"/>
    </row>
    <row r="103" spans="1:33" s="252" customFormat="1">
      <c r="A103" s="183"/>
      <c r="B103" s="183"/>
      <c r="C103" s="185"/>
      <c r="D103" s="186"/>
      <c r="E103" s="185"/>
      <c r="F103" s="185"/>
      <c r="G103" s="185"/>
      <c r="H103" s="185"/>
      <c r="I103" s="302"/>
      <c r="J103" s="188"/>
      <c r="K103" s="683"/>
      <c r="L103" s="320"/>
      <c r="M103" s="320"/>
      <c r="N103" s="320"/>
      <c r="O103" s="320"/>
      <c r="P103" s="320"/>
      <c r="Q103" s="320"/>
      <c r="R103" s="320"/>
      <c r="S103" s="320"/>
      <c r="T103" s="320"/>
      <c r="U103" s="320"/>
      <c r="V103" s="320"/>
      <c r="W103" s="320"/>
      <c r="X103" s="320"/>
      <c r="Y103" s="320"/>
      <c r="Z103" s="320"/>
      <c r="AA103" s="320"/>
      <c r="AB103" s="320"/>
      <c r="AC103" s="320"/>
      <c r="AD103" s="320"/>
      <c r="AE103" s="320"/>
    </row>
    <row r="104" spans="1:33">
      <c r="A104" s="37" t="s">
        <v>425</v>
      </c>
      <c r="B104" s="37"/>
      <c r="C104" s="57"/>
      <c r="E104" s="57"/>
      <c r="F104" s="57"/>
      <c r="G104" s="57"/>
      <c r="H104" s="998"/>
      <c r="I104" s="51" t="s">
        <v>532</v>
      </c>
      <c r="J104" s="624">
        <f>((6350/6)*7)+((6500/6)*7)</f>
        <v>14991.666666666666</v>
      </c>
      <c r="K104" s="683">
        <v>0</v>
      </c>
      <c r="L104" s="671">
        <f>J104</f>
        <v>14991.666666666666</v>
      </c>
      <c r="M104" s="671">
        <f>$L$104*L11</f>
        <v>15291.5</v>
      </c>
      <c r="N104" s="671">
        <f t="shared" ref="N104:AE104" si="22">$L$104*M11</f>
        <v>15597.33</v>
      </c>
      <c r="O104" s="671">
        <f t="shared" si="22"/>
        <v>15909.276599999997</v>
      </c>
      <c r="P104" s="671">
        <f t="shared" si="22"/>
        <v>16227.462131999999</v>
      </c>
      <c r="Q104" s="671">
        <f t="shared" si="22"/>
        <v>16552.011374639998</v>
      </c>
      <c r="R104" s="671">
        <f t="shared" si="22"/>
        <v>16883.0516021328</v>
      </c>
      <c r="S104" s="671">
        <f t="shared" si="22"/>
        <v>17220.712634175456</v>
      </c>
      <c r="T104" s="671">
        <f t="shared" si="22"/>
        <v>17565.126886858965</v>
      </c>
      <c r="U104" s="671">
        <f t="shared" si="22"/>
        <v>17916.429424596146</v>
      </c>
      <c r="V104" s="671">
        <f t="shared" si="22"/>
        <v>18274.758013088071</v>
      </c>
      <c r="W104" s="671">
        <f t="shared" si="22"/>
        <v>18640.253173349829</v>
      </c>
      <c r="X104" s="671">
        <f t="shared" si="22"/>
        <v>19013.058236816825</v>
      </c>
      <c r="Y104" s="671">
        <f t="shared" si="22"/>
        <v>19393.319401553163</v>
      </c>
      <c r="Z104" s="671">
        <f t="shared" si="22"/>
        <v>19781.185789584226</v>
      </c>
      <c r="AA104" s="671">
        <f t="shared" si="22"/>
        <v>20176.809505375913</v>
      </c>
      <c r="AB104" s="671">
        <f t="shared" si="22"/>
        <v>20580.345695483433</v>
      </c>
      <c r="AC104" s="671">
        <f t="shared" si="22"/>
        <v>20991.952609393102</v>
      </c>
      <c r="AD104" s="671">
        <f t="shared" si="22"/>
        <v>21411.791661580963</v>
      </c>
      <c r="AE104" s="671">
        <f t="shared" si="22"/>
        <v>21840.027494812584</v>
      </c>
    </row>
    <row r="105" spans="1:33">
      <c r="A105" s="37" t="s">
        <v>16</v>
      </c>
      <c r="B105" s="37"/>
      <c r="C105" s="57"/>
      <c r="E105" s="57"/>
      <c r="F105" s="57"/>
      <c r="G105" s="57"/>
      <c r="H105" s="998"/>
      <c r="I105" s="51" t="s">
        <v>17</v>
      </c>
      <c r="J105" s="624">
        <f>1250</f>
        <v>1250</v>
      </c>
      <c r="K105" s="683">
        <v>0</v>
      </c>
      <c r="L105" s="671">
        <f>J105*7</f>
        <v>8750</v>
      </c>
      <c r="M105" s="671">
        <f>$L$105*L11</f>
        <v>8925</v>
      </c>
      <c r="N105" s="671">
        <f t="shared" ref="N105:AE105" si="23">$L$105*M11</f>
        <v>9103.5</v>
      </c>
      <c r="O105" s="671">
        <f t="shared" si="23"/>
        <v>9285.57</v>
      </c>
      <c r="P105" s="671">
        <f t="shared" si="23"/>
        <v>9471.2813999999998</v>
      </c>
      <c r="Q105" s="671">
        <f t="shared" si="23"/>
        <v>9660.7070280000007</v>
      </c>
      <c r="R105" s="671">
        <f t="shared" si="23"/>
        <v>9853.9211685600003</v>
      </c>
      <c r="S105" s="671">
        <f t="shared" si="23"/>
        <v>10050.9995919312</v>
      </c>
      <c r="T105" s="671">
        <f t="shared" si="23"/>
        <v>10252.019583769825</v>
      </c>
      <c r="U105" s="671">
        <f t="shared" si="23"/>
        <v>10457.059975445221</v>
      </c>
      <c r="V105" s="671">
        <f t="shared" si="23"/>
        <v>10666.201174954127</v>
      </c>
      <c r="W105" s="671">
        <f t="shared" si="23"/>
        <v>10879.52519845321</v>
      </c>
      <c r="X105" s="671">
        <f t="shared" si="23"/>
        <v>11097.115702422274</v>
      </c>
      <c r="Y105" s="671">
        <f t="shared" si="23"/>
        <v>11319.058016470717</v>
      </c>
      <c r="Z105" s="671">
        <f t="shared" si="23"/>
        <v>11545.439176800133</v>
      </c>
      <c r="AA105" s="671">
        <f t="shared" si="23"/>
        <v>11776.347960336136</v>
      </c>
      <c r="AB105" s="671">
        <f t="shared" si="23"/>
        <v>12011.874919542859</v>
      </c>
      <c r="AC105" s="671">
        <f t="shared" si="23"/>
        <v>12252.112417933717</v>
      </c>
      <c r="AD105" s="671">
        <f t="shared" si="23"/>
        <v>12497.154666292392</v>
      </c>
      <c r="AE105" s="671">
        <f t="shared" si="23"/>
        <v>12747.09775961824</v>
      </c>
    </row>
    <row r="106" spans="1:33" s="702" customFormat="1">
      <c r="A106" s="701" t="s">
        <v>53</v>
      </c>
      <c r="B106" s="701"/>
      <c r="C106" s="705"/>
      <c r="D106" s="984"/>
      <c r="E106" s="705"/>
      <c r="F106" s="705"/>
      <c r="G106" s="705"/>
      <c r="H106" s="985"/>
      <c r="I106" s="706" t="s">
        <v>17</v>
      </c>
      <c r="J106" s="986">
        <v>0</v>
      </c>
      <c r="K106" s="987">
        <v>0</v>
      </c>
      <c r="L106" s="988">
        <f t="shared" ref="L106:L107" si="24">J106*12</f>
        <v>0</v>
      </c>
      <c r="M106" s="988">
        <f t="shared" ref="M106:M107" si="25">L106*1.03</f>
        <v>0</v>
      </c>
      <c r="N106" s="988">
        <f t="shared" ref="N106:N107" si="26">M106*1.03</f>
        <v>0</v>
      </c>
      <c r="O106" s="988">
        <f t="shared" ref="O106:O107" si="27">N106*1.03</f>
        <v>0</v>
      </c>
      <c r="P106" s="988">
        <f t="shared" ref="P106:P107" si="28">O106*1.03</f>
        <v>0</v>
      </c>
      <c r="Q106" s="988">
        <f t="shared" ref="Q106:Q107" si="29">P106*1.03</f>
        <v>0</v>
      </c>
      <c r="R106" s="988">
        <f t="shared" ref="R106:R107" si="30">Q106*1.03</f>
        <v>0</v>
      </c>
      <c r="S106" s="988">
        <f t="shared" ref="S106:S107" si="31">R106*1.03</f>
        <v>0</v>
      </c>
      <c r="T106" s="988">
        <f t="shared" ref="T106:T107" si="32">S106*1.03</f>
        <v>0</v>
      </c>
      <c r="U106" s="988">
        <f t="shared" ref="U106:U107" si="33">T106*1.03</f>
        <v>0</v>
      </c>
      <c r="V106" s="988">
        <f t="shared" ref="V106:V107" si="34">U106*1.03</f>
        <v>0</v>
      </c>
      <c r="W106" s="988">
        <f t="shared" ref="W106:W107" si="35">V106*1.03</f>
        <v>0</v>
      </c>
      <c r="X106" s="988">
        <f t="shared" ref="X106:X107" si="36">W106*1.03</f>
        <v>0</v>
      </c>
      <c r="Y106" s="988">
        <f t="shared" ref="Y106:Y107" si="37">X106*1.03</f>
        <v>0</v>
      </c>
      <c r="Z106" s="988">
        <f t="shared" ref="Z106:Z107" si="38">Y106*1.03</f>
        <v>0</v>
      </c>
      <c r="AA106" s="988">
        <f t="shared" ref="AA106:AA107" si="39">Z106*1.03</f>
        <v>0</v>
      </c>
      <c r="AB106" s="988">
        <f t="shared" ref="AB106:AB107" si="40">AA106*1.03</f>
        <v>0</v>
      </c>
      <c r="AC106" s="988">
        <f t="shared" ref="AC106:AC107" si="41">AB106*1.03</f>
        <v>0</v>
      </c>
      <c r="AD106" s="988">
        <f t="shared" ref="AD106:AD107" si="42">AC106*1.03</f>
        <v>0</v>
      </c>
      <c r="AE106" s="988">
        <f t="shared" ref="AE106:AE107" si="43">AD106*1.03</f>
        <v>0</v>
      </c>
    </row>
    <row r="107" spans="1:33" s="702" customFormat="1">
      <c r="A107" s="989" t="s">
        <v>54</v>
      </c>
      <c r="B107" s="990"/>
      <c r="C107" s="991"/>
      <c r="D107" s="992"/>
      <c r="E107" s="991"/>
      <c r="F107" s="991"/>
      <c r="G107" s="991"/>
      <c r="H107" s="993"/>
      <c r="I107" s="994" t="s">
        <v>17</v>
      </c>
      <c r="J107" s="995">
        <v>0</v>
      </c>
      <c r="K107" s="996">
        <v>0</v>
      </c>
      <c r="L107" s="997">
        <f t="shared" si="24"/>
        <v>0</v>
      </c>
      <c r="M107" s="997">
        <f t="shared" si="25"/>
        <v>0</v>
      </c>
      <c r="N107" s="997">
        <f t="shared" si="26"/>
        <v>0</v>
      </c>
      <c r="O107" s="997">
        <f t="shared" si="27"/>
        <v>0</v>
      </c>
      <c r="P107" s="997">
        <f t="shared" si="28"/>
        <v>0</v>
      </c>
      <c r="Q107" s="997">
        <f t="shared" si="29"/>
        <v>0</v>
      </c>
      <c r="R107" s="997">
        <f t="shared" si="30"/>
        <v>0</v>
      </c>
      <c r="S107" s="997">
        <f t="shared" si="31"/>
        <v>0</v>
      </c>
      <c r="T107" s="997">
        <f t="shared" si="32"/>
        <v>0</v>
      </c>
      <c r="U107" s="997">
        <f t="shared" si="33"/>
        <v>0</v>
      </c>
      <c r="V107" s="997">
        <f t="shared" si="34"/>
        <v>0</v>
      </c>
      <c r="W107" s="997">
        <f t="shared" si="35"/>
        <v>0</v>
      </c>
      <c r="X107" s="997">
        <f t="shared" si="36"/>
        <v>0</v>
      </c>
      <c r="Y107" s="997">
        <f t="shared" si="37"/>
        <v>0</v>
      </c>
      <c r="Z107" s="997">
        <f t="shared" si="38"/>
        <v>0</v>
      </c>
      <c r="AA107" s="997">
        <f t="shared" si="39"/>
        <v>0</v>
      </c>
      <c r="AB107" s="997">
        <f t="shared" si="40"/>
        <v>0</v>
      </c>
      <c r="AC107" s="997">
        <f t="shared" si="41"/>
        <v>0</v>
      </c>
      <c r="AD107" s="997">
        <f t="shared" si="42"/>
        <v>0</v>
      </c>
      <c r="AE107" s="997">
        <f t="shared" si="43"/>
        <v>0</v>
      </c>
    </row>
    <row r="108" spans="1:33" s="56" customFormat="1" ht="14.25">
      <c r="A108" s="56" t="s">
        <v>55</v>
      </c>
      <c r="B108" s="164"/>
      <c r="C108" s="75"/>
      <c r="D108" s="173"/>
      <c r="E108" s="75"/>
      <c r="F108" s="75"/>
      <c r="G108" s="75"/>
      <c r="H108" s="75"/>
      <c r="I108" s="999"/>
      <c r="J108" s="1000"/>
      <c r="K108" s="685">
        <v>0</v>
      </c>
      <c r="L108" s="1001">
        <f>SUM(L104:L107)</f>
        <v>23741.666666666664</v>
      </c>
      <c r="M108" s="1001">
        <f t="shared" ref="M108" si="44">SUM(M104:M107)</f>
        <v>24216.5</v>
      </c>
      <c r="N108" s="1001">
        <f t="shared" ref="N108" si="45">SUM(N104:N107)</f>
        <v>24700.83</v>
      </c>
      <c r="O108" s="1001">
        <f t="shared" ref="O108" si="46">SUM(O104:O107)</f>
        <v>25194.846599999997</v>
      </c>
      <c r="P108" s="1001">
        <f t="shared" ref="P108" si="47">SUM(P104:P107)</f>
        <v>25698.743532</v>
      </c>
      <c r="Q108" s="1001">
        <f t="shared" ref="Q108" si="48">SUM(Q104:Q107)</f>
        <v>26212.718402639999</v>
      </c>
      <c r="R108" s="1001">
        <f t="shared" ref="R108" si="49">SUM(R104:R107)</f>
        <v>26736.972770692802</v>
      </c>
      <c r="S108" s="1001">
        <f t="shared" ref="S108" si="50">SUM(S104:S107)</f>
        <v>27271.712226106654</v>
      </c>
      <c r="T108" s="1001">
        <f t="shared" ref="T108" si="51">SUM(T104:T107)</f>
        <v>27817.146470628788</v>
      </c>
      <c r="U108" s="1001">
        <f t="shared" ref="U108" si="52">SUM(U104:U107)</f>
        <v>28373.48940004137</v>
      </c>
      <c r="V108" s="1001">
        <f t="shared" ref="V108" si="53">SUM(V104:V107)</f>
        <v>28940.959188042198</v>
      </c>
      <c r="W108" s="1001">
        <f t="shared" ref="W108" si="54">SUM(W104:W107)</f>
        <v>29519.77837180304</v>
      </c>
      <c r="X108" s="1001">
        <f t="shared" ref="X108" si="55">SUM(X104:X107)</f>
        <v>30110.173939239099</v>
      </c>
      <c r="Y108" s="1001">
        <f t="shared" ref="Y108" si="56">SUM(Y104:Y107)</f>
        <v>30712.37741802388</v>
      </c>
      <c r="Z108" s="1001">
        <f t="shared" ref="Z108" si="57">SUM(Z104:Z107)</f>
        <v>31326.624966384359</v>
      </c>
      <c r="AA108" s="1001">
        <f t="shared" ref="AA108" si="58">SUM(AA104:AA107)</f>
        <v>31953.157465712051</v>
      </c>
      <c r="AB108" s="1001">
        <f t="shared" ref="AB108" si="59">SUM(AB104:AB107)</f>
        <v>32592.220615026294</v>
      </c>
      <c r="AC108" s="1001">
        <f t="shared" ref="AC108" si="60">SUM(AC104:AC107)</f>
        <v>33244.065027326818</v>
      </c>
      <c r="AD108" s="1001">
        <f t="shared" ref="AD108" si="61">SUM(AD104:AD107)</f>
        <v>33908.946327873353</v>
      </c>
      <c r="AE108" s="1001">
        <f t="shared" ref="AE108" si="62">SUM(AE104:AE107)</f>
        <v>34587.125254430823</v>
      </c>
    </row>
    <row r="109" spans="1:33">
      <c r="A109" s="56"/>
      <c r="B109" s="37"/>
      <c r="C109" s="57"/>
      <c r="E109" s="57"/>
      <c r="F109" s="57"/>
      <c r="G109" s="57"/>
      <c r="H109" s="57"/>
      <c r="I109" s="51"/>
      <c r="J109" s="624"/>
      <c r="K109" s="683"/>
      <c r="L109" s="666"/>
      <c r="M109" s="666"/>
      <c r="N109" s="666"/>
      <c r="O109" s="666"/>
      <c r="P109" s="666"/>
      <c r="Q109" s="666"/>
      <c r="R109" s="666"/>
      <c r="S109" s="666"/>
      <c r="T109" s="666"/>
      <c r="U109" s="666"/>
      <c r="V109" s="666"/>
      <c r="W109" s="666"/>
      <c r="X109" s="666"/>
      <c r="Y109" s="666"/>
      <c r="Z109" s="666"/>
      <c r="AA109" s="666"/>
      <c r="AB109" s="666"/>
      <c r="AC109" s="666"/>
      <c r="AD109" s="666"/>
      <c r="AE109" s="666"/>
    </row>
    <row r="110" spans="1:33">
      <c r="A110" s="47" t="s">
        <v>7</v>
      </c>
      <c r="B110" s="47" t="s">
        <v>7</v>
      </c>
      <c r="C110" s="78" t="s">
        <v>7</v>
      </c>
      <c r="D110" s="100"/>
      <c r="E110" s="78" t="s">
        <v>7</v>
      </c>
      <c r="F110" s="78"/>
      <c r="G110" s="78" t="s">
        <v>7</v>
      </c>
      <c r="H110" s="78"/>
      <c r="I110" s="52" t="s">
        <v>7</v>
      </c>
      <c r="J110" s="672"/>
      <c r="K110" s="673"/>
      <c r="L110" s="672"/>
      <c r="M110" s="672"/>
      <c r="N110" s="672"/>
      <c r="O110" s="672"/>
      <c r="P110" s="672"/>
      <c r="Q110" s="672"/>
      <c r="R110" s="672"/>
      <c r="S110" s="672"/>
      <c r="T110" s="672"/>
      <c r="U110" s="672"/>
      <c r="V110" s="672"/>
      <c r="W110" s="672"/>
      <c r="X110" s="672"/>
      <c r="Y110" s="672"/>
      <c r="Z110" s="672"/>
      <c r="AA110" s="672"/>
      <c r="AB110" s="672"/>
      <c r="AC110" s="672"/>
      <c r="AD110" s="672"/>
      <c r="AE110" s="672"/>
    </row>
    <row r="111" spans="1:33">
      <c r="A111" s="47"/>
      <c r="B111" s="47"/>
      <c r="C111" s="78"/>
      <c r="D111" s="100"/>
      <c r="E111" s="78"/>
      <c r="F111" s="78"/>
      <c r="G111" s="78"/>
      <c r="H111" s="78"/>
      <c r="I111" s="52"/>
      <c r="J111" s="672"/>
      <c r="K111" s="683"/>
      <c r="L111" s="666"/>
      <c r="M111" s="666"/>
      <c r="N111" s="666"/>
      <c r="O111" s="666"/>
      <c r="P111" s="666"/>
      <c r="Q111" s="666"/>
      <c r="R111" s="666"/>
      <c r="S111" s="666"/>
      <c r="T111" s="666"/>
      <c r="U111" s="666"/>
      <c r="V111" s="666"/>
      <c r="W111" s="666"/>
      <c r="X111" s="666"/>
      <c r="Y111" s="666"/>
      <c r="Z111" s="666"/>
      <c r="AA111" s="666"/>
      <c r="AB111" s="666"/>
      <c r="AC111" s="666"/>
      <c r="AD111" s="666"/>
      <c r="AE111" s="666"/>
    </row>
    <row r="112" spans="1:33" s="56" customFormat="1" ht="14.25">
      <c r="A112" s="203" t="s">
        <v>303</v>
      </c>
      <c r="B112" s="203"/>
      <c r="C112" s="204"/>
      <c r="D112" s="205"/>
      <c r="E112" s="204"/>
      <c r="F112" s="204"/>
      <c r="G112" s="204"/>
      <c r="H112" s="204"/>
      <c r="I112" s="206"/>
      <c r="J112" s="674"/>
      <c r="K112" s="676">
        <f>SUM(K79,K100,K108)</f>
        <v>0</v>
      </c>
      <c r="L112" s="676">
        <f>SUM(L79,L100,L108)</f>
        <v>357416.66666666669</v>
      </c>
      <c r="M112" s="676">
        <f t="shared" ref="M112:AE112" si="63">SUM(M79,M100,M108)</f>
        <v>732748.5</v>
      </c>
      <c r="N112" s="676">
        <f t="shared" si="63"/>
        <v>747413.67</v>
      </c>
      <c r="O112" s="676">
        <f t="shared" si="63"/>
        <v>762361.94339999999</v>
      </c>
      <c r="P112" s="676">
        <f t="shared" si="63"/>
        <v>777609.18226799998</v>
      </c>
      <c r="Q112" s="676">
        <f t="shared" si="63"/>
        <v>821505.24470855994</v>
      </c>
      <c r="R112" s="676">
        <f t="shared" si="63"/>
        <v>833398.43081236316</v>
      </c>
      <c r="S112" s="676">
        <f t="shared" si="63"/>
        <v>850066.39942861034</v>
      </c>
      <c r="T112" s="676">
        <f t="shared" si="63"/>
        <v>867067.72741718276</v>
      </c>
      <c r="U112" s="676">
        <f t="shared" si="63"/>
        <v>884409.08196552645</v>
      </c>
      <c r="V112" s="676">
        <f t="shared" si="63"/>
        <v>906487.76639483974</v>
      </c>
      <c r="W112" s="676">
        <f t="shared" si="63"/>
        <v>920139.20887693367</v>
      </c>
      <c r="X112" s="676">
        <f t="shared" si="63"/>
        <v>938541.99305447238</v>
      </c>
      <c r="Y112" s="676">
        <f t="shared" si="63"/>
        <v>957312.83291556186</v>
      </c>
      <c r="Z112" s="676">
        <f t="shared" si="63"/>
        <v>976459.08957387297</v>
      </c>
      <c r="AA112" s="676">
        <f t="shared" si="63"/>
        <v>1000315.3371961886</v>
      </c>
      <c r="AB112" s="676">
        <f t="shared" si="63"/>
        <v>1015908.0367926577</v>
      </c>
      <c r="AC112" s="676">
        <f t="shared" si="63"/>
        <v>1036226.1975285108</v>
      </c>
      <c r="AD112" s="676">
        <f t="shared" si="63"/>
        <v>1056950.7214790811</v>
      </c>
      <c r="AE112" s="676">
        <f t="shared" si="63"/>
        <v>1078089.7359086629</v>
      </c>
      <c r="AG112" s="199"/>
    </row>
    <row r="113" spans="1:33">
      <c r="A113" s="37"/>
      <c r="B113" s="37"/>
      <c r="C113" s="57"/>
      <c r="E113" s="110"/>
      <c r="F113" s="110"/>
      <c r="G113" s="57"/>
      <c r="H113" s="57"/>
      <c r="I113" s="43"/>
      <c r="J113" s="44"/>
      <c r="K113" s="683"/>
      <c r="L113" s="115"/>
      <c r="M113" s="115"/>
      <c r="N113" s="115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5"/>
      <c r="Z113" s="115"/>
      <c r="AA113" s="115"/>
      <c r="AB113" s="115"/>
      <c r="AC113" s="115"/>
      <c r="AD113" s="115"/>
      <c r="AE113" s="115"/>
      <c r="AG113" s="199"/>
    </row>
    <row r="114" spans="1:33">
      <c r="A114" s="47" t="s">
        <v>7</v>
      </c>
      <c r="B114" s="47" t="s">
        <v>7</v>
      </c>
      <c r="C114" s="78" t="s">
        <v>7</v>
      </c>
      <c r="D114" s="100"/>
      <c r="E114" s="78" t="s">
        <v>7</v>
      </c>
      <c r="F114" s="78"/>
      <c r="G114" s="78" t="s">
        <v>7</v>
      </c>
      <c r="H114" s="78"/>
      <c r="I114" s="52" t="s">
        <v>7</v>
      </c>
      <c r="J114" s="114"/>
      <c r="K114" s="673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G114" s="199"/>
    </row>
    <row r="115" spans="1:33">
      <c r="A115" s="47"/>
      <c r="B115" s="47"/>
      <c r="C115" s="78"/>
      <c r="D115" s="100"/>
      <c r="E115" s="78"/>
      <c r="F115" s="78"/>
      <c r="G115" s="78"/>
      <c r="H115" s="78"/>
      <c r="I115" s="52"/>
      <c r="J115" s="114"/>
      <c r="K115" s="683"/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5"/>
      <c r="Z115" s="115"/>
      <c r="AA115" s="115"/>
      <c r="AB115" s="115"/>
      <c r="AC115" s="115"/>
      <c r="AD115" s="115"/>
      <c r="AE115" s="115"/>
      <c r="AG115" s="199"/>
    </row>
    <row r="116" spans="1:33">
      <c r="A116" s="168" t="s">
        <v>71</v>
      </c>
      <c r="B116" s="171"/>
      <c r="C116" s="176"/>
      <c r="D116" s="177"/>
      <c r="E116" s="176"/>
      <c r="F116" s="176"/>
      <c r="G116" s="176"/>
      <c r="H116" s="176"/>
      <c r="I116" s="182"/>
      <c r="J116" s="179"/>
      <c r="K116" s="682"/>
      <c r="L116" s="319"/>
      <c r="M116" s="319"/>
      <c r="N116" s="319"/>
      <c r="O116" s="319"/>
      <c r="P116" s="319"/>
      <c r="Q116" s="319"/>
      <c r="R116" s="319"/>
      <c r="S116" s="319"/>
      <c r="T116" s="319"/>
      <c r="U116" s="319"/>
      <c r="V116" s="319"/>
      <c r="W116" s="319"/>
      <c r="X116" s="319"/>
      <c r="Y116" s="319"/>
      <c r="Z116" s="319"/>
      <c r="AA116" s="319"/>
      <c r="AB116" s="319"/>
      <c r="AC116" s="319"/>
      <c r="AD116" s="319"/>
      <c r="AE116" s="319"/>
      <c r="AG116" s="199"/>
    </row>
    <row r="117" spans="1:33" s="252" customFormat="1">
      <c r="A117" s="183"/>
      <c r="B117" s="184"/>
      <c r="C117" s="185"/>
      <c r="D117" s="186"/>
      <c r="E117" s="185"/>
      <c r="F117" s="185"/>
      <c r="G117" s="185"/>
      <c r="H117" s="185"/>
      <c r="I117" s="187"/>
      <c r="J117" s="188"/>
      <c r="K117" s="683"/>
      <c r="L117" s="320"/>
      <c r="M117" s="320"/>
      <c r="N117" s="320"/>
      <c r="O117" s="320"/>
      <c r="P117" s="320"/>
      <c r="Q117" s="320"/>
      <c r="R117" s="320"/>
      <c r="S117" s="320"/>
      <c r="T117" s="320"/>
      <c r="U117" s="320"/>
      <c r="V117" s="320"/>
      <c r="W117" s="320"/>
      <c r="X117" s="320"/>
      <c r="Y117" s="320"/>
      <c r="Z117" s="320"/>
      <c r="AA117" s="320"/>
      <c r="AB117" s="320"/>
      <c r="AC117" s="320"/>
      <c r="AD117" s="320"/>
      <c r="AE117" s="320"/>
      <c r="AG117" s="363"/>
    </row>
    <row r="118" spans="1:33">
      <c r="A118" s="39" t="s">
        <v>0</v>
      </c>
      <c r="B118" s="39"/>
      <c r="C118" s="102"/>
      <c r="D118" s="103"/>
      <c r="E118" s="104"/>
      <c r="F118" s="104"/>
      <c r="G118" s="104"/>
      <c r="H118" s="104"/>
      <c r="I118" s="39"/>
      <c r="J118" s="104"/>
      <c r="K118" s="688"/>
      <c r="L118" s="335"/>
      <c r="M118" s="335"/>
      <c r="N118" s="335"/>
      <c r="O118" s="335"/>
      <c r="P118" s="335"/>
      <c r="Q118" s="335"/>
      <c r="R118" s="335"/>
      <c r="S118" s="335"/>
      <c r="T118" s="335"/>
      <c r="U118" s="335"/>
      <c r="V118" s="335"/>
      <c r="W118" s="335"/>
      <c r="X118" s="335"/>
      <c r="Y118" s="335"/>
      <c r="Z118" s="335"/>
      <c r="AA118" s="335"/>
      <c r="AB118" s="335"/>
      <c r="AC118" s="335"/>
      <c r="AD118" s="335"/>
      <c r="AE118" s="335"/>
    </row>
    <row r="119" spans="1:33">
      <c r="A119" s="41" t="s">
        <v>13</v>
      </c>
      <c r="B119" s="41"/>
      <c r="C119" s="105"/>
      <c r="D119" s="106"/>
      <c r="E119" s="37"/>
      <c r="F119" s="37"/>
      <c r="G119" s="37"/>
      <c r="H119" s="37"/>
      <c r="I119" s="41"/>
      <c r="J119" s="37"/>
      <c r="K119" s="683"/>
      <c r="L119" s="200"/>
      <c r="M119" s="200"/>
      <c r="N119" s="200"/>
      <c r="O119" s="200"/>
      <c r="P119" s="200"/>
      <c r="Q119" s="200"/>
      <c r="R119" s="200"/>
      <c r="S119" s="200"/>
      <c r="T119" s="200"/>
      <c r="U119" s="201"/>
      <c r="V119" s="323"/>
      <c r="W119" s="200"/>
      <c r="X119" s="200"/>
      <c r="Y119" s="200"/>
      <c r="Z119" s="200"/>
      <c r="AA119" s="200"/>
      <c r="AB119" s="200"/>
      <c r="AC119" s="200"/>
      <c r="AD119" s="200"/>
      <c r="AE119" s="201"/>
    </row>
    <row r="120" spans="1:33">
      <c r="A120" s="96" t="s">
        <v>56</v>
      </c>
      <c r="B120" s="735" t="s">
        <v>12</v>
      </c>
      <c r="C120" s="663">
        <v>55000</v>
      </c>
      <c r="D120" s="736">
        <f>C120/2080</f>
        <v>26.442307692307693</v>
      </c>
      <c r="E120" s="663">
        <v>0</v>
      </c>
      <c r="F120" s="663">
        <f>C120*$F$13</f>
        <v>22000</v>
      </c>
      <c r="G120" s="663">
        <f>SUM(C120,E120:F120)</f>
        <v>77000</v>
      </c>
      <c r="H120" s="736">
        <f>G120/2080*8</f>
        <v>296.15384615384613</v>
      </c>
      <c r="I120" s="736"/>
      <c r="J120" s="663"/>
      <c r="K120" s="683">
        <v>0</v>
      </c>
      <c r="L120" s="665">
        <v>0</v>
      </c>
      <c r="M120" s="665">
        <f>$H$120*M32*0.25</f>
        <v>15844.230769230768</v>
      </c>
      <c r="N120" s="665">
        <f t="shared" ref="N120:AE120" si="64">$M$120*M11</f>
        <v>16484.33769230769</v>
      </c>
      <c r="O120" s="665">
        <f t="shared" si="64"/>
        <v>16814.024446153842</v>
      </c>
      <c r="P120" s="665">
        <f t="shared" si="64"/>
        <v>17150.304935076922</v>
      </c>
      <c r="Q120" s="665">
        <f t="shared" si="64"/>
        <v>17493.31103377846</v>
      </c>
      <c r="R120" s="665">
        <f t="shared" si="64"/>
        <v>17843.177254454029</v>
      </c>
      <c r="S120" s="665">
        <f t="shared" si="64"/>
        <v>18200.040799543109</v>
      </c>
      <c r="T120" s="665">
        <f t="shared" si="64"/>
        <v>18564.041615533974</v>
      </c>
      <c r="U120" s="665">
        <f t="shared" si="64"/>
        <v>18935.322447844654</v>
      </c>
      <c r="V120" s="665">
        <f t="shared" si="64"/>
        <v>19314.028896801548</v>
      </c>
      <c r="W120" s="665">
        <f t="shared" si="64"/>
        <v>19700.30947473758</v>
      </c>
      <c r="X120" s="665">
        <f t="shared" si="64"/>
        <v>20094.31566423233</v>
      </c>
      <c r="Y120" s="665">
        <f t="shared" si="64"/>
        <v>20496.201977516976</v>
      </c>
      <c r="Z120" s="665">
        <f t="shared" si="64"/>
        <v>20906.126017067316</v>
      </c>
      <c r="AA120" s="665">
        <f t="shared" si="64"/>
        <v>21324.248537408665</v>
      </c>
      <c r="AB120" s="665">
        <f t="shared" si="64"/>
        <v>21750.733508156838</v>
      </c>
      <c r="AC120" s="665">
        <f t="shared" si="64"/>
        <v>22185.748178319976</v>
      </c>
      <c r="AD120" s="665">
        <f t="shared" si="64"/>
        <v>22629.463141886376</v>
      </c>
      <c r="AE120" s="665">
        <f t="shared" si="64"/>
        <v>23082.052404724102</v>
      </c>
    </row>
    <row r="121" spans="1:33">
      <c r="A121" s="96" t="s">
        <v>57</v>
      </c>
      <c r="B121" s="735" t="s">
        <v>15</v>
      </c>
      <c r="C121" s="663">
        <v>15000</v>
      </c>
      <c r="D121" s="736">
        <f>C121/2080</f>
        <v>7.2115384615384617</v>
      </c>
      <c r="E121" s="663">
        <f>C121*E12</f>
        <v>3000</v>
      </c>
      <c r="F121" s="663">
        <f t="shared" ref="F121:F122" si="65">C121*$F$13</f>
        <v>6000</v>
      </c>
      <c r="G121" s="663">
        <f t="shared" ref="G121:G122" si="66">SUM(C121,E121:F121)</f>
        <v>24000</v>
      </c>
      <c r="H121" s="736">
        <f>G121/2080*12</f>
        <v>138.46153846153845</v>
      </c>
      <c r="I121" s="736"/>
      <c r="J121" s="663"/>
      <c r="K121" s="683">
        <v>0</v>
      </c>
      <c r="L121" s="665">
        <v>0</v>
      </c>
      <c r="M121" s="665">
        <f>$H$121*M32*0.5</f>
        <v>14815.384615384615</v>
      </c>
      <c r="N121" s="665">
        <f t="shared" ref="N121:AE121" si="67">$M$121*M11</f>
        <v>15413.926153846154</v>
      </c>
      <c r="O121" s="665">
        <f t="shared" si="67"/>
        <v>15722.204676923076</v>
      </c>
      <c r="P121" s="665">
        <f t="shared" si="67"/>
        <v>16036.648770461537</v>
      </c>
      <c r="Q121" s="665">
        <f t="shared" si="67"/>
        <v>16357.381745870769</v>
      </c>
      <c r="R121" s="665">
        <f t="shared" si="67"/>
        <v>16684.529380788186</v>
      </c>
      <c r="S121" s="665">
        <f t="shared" si="67"/>
        <v>17018.219968403948</v>
      </c>
      <c r="T121" s="665">
        <f t="shared" si="67"/>
        <v>17358.58436777203</v>
      </c>
      <c r="U121" s="665">
        <f t="shared" si="67"/>
        <v>17705.756055127469</v>
      </c>
      <c r="V121" s="665">
        <f t="shared" si="67"/>
        <v>18059.871176230019</v>
      </c>
      <c r="W121" s="665">
        <f t="shared" si="67"/>
        <v>18421.068599754621</v>
      </c>
      <c r="X121" s="665">
        <f t="shared" si="67"/>
        <v>18789.489971749714</v>
      </c>
      <c r="Y121" s="665">
        <f t="shared" si="67"/>
        <v>19165.279771184705</v>
      </c>
      <c r="Z121" s="665">
        <f t="shared" si="67"/>
        <v>19548.5853666084</v>
      </c>
      <c r="AA121" s="665">
        <f t="shared" si="67"/>
        <v>19939.55707394057</v>
      </c>
      <c r="AB121" s="665">
        <f t="shared" si="67"/>
        <v>20338.348215419381</v>
      </c>
      <c r="AC121" s="665">
        <f t="shared" si="67"/>
        <v>20745.115179727771</v>
      </c>
      <c r="AD121" s="665">
        <f t="shared" si="67"/>
        <v>21160.017483322328</v>
      </c>
      <c r="AE121" s="665">
        <f t="shared" si="67"/>
        <v>21583.217832988772</v>
      </c>
    </row>
    <row r="122" spans="1:33">
      <c r="A122" s="737" t="s">
        <v>57</v>
      </c>
      <c r="B122" s="738" t="s">
        <v>15</v>
      </c>
      <c r="C122" s="739">
        <v>15000</v>
      </c>
      <c r="D122" s="740">
        <f>C122/2080</f>
        <v>7.2115384615384617</v>
      </c>
      <c r="E122" s="739">
        <f>C122*$E$12</f>
        <v>3000</v>
      </c>
      <c r="F122" s="739">
        <f t="shared" si="65"/>
        <v>6000</v>
      </c>
      <c r="G122" s="739">
        <f t="shared" si="66"/>
        <v>24000</v>
      </c>
      <c r="H122" s="740">
        <f t="shared" ref="H122" si="68">G122/2080*12</f>
        <v>138.46153846153845</v>
      </c>
      <c r="I122" s="740"/>
      <c r="J122" s="739"/>
      <c r="K122" s="741">
        <v>0</v>
      </c>
      <c r="L122" s="742">
        <v>0</v>
      </c>
      <c r="M122" s="742">
        <f>$H$122*M32*0.5</f>
        <v>14815.384615384615</v>
      </c>
      <c r="N122" s="742">
        <f t="shared" ref="N122:AE122" si="69">$M$122*M11</f>
        <v>15413.926153846154</v>
      </c>
      <c r="O122" s="742">
        <f t="shared" si="69"/>
        <v>15722.204676923076</v>
      </c>
      <c r="P122" s="742">
        <f t="shared" si="69"/>
        <v>16036.648770461537</v>
      </c>
      <c r="Q122" s="742">
        <f t="shared" si="69"/>
        <v>16357.381745870769</v>
      </c>
      <c r="R122" s="742">
        <f t="shared" si="69"/>
        <v>16684.529380788186</v>
      </c>
      <c r="S122" s="742">
        <f t="shared" si="69"/>
        <v>17018.219968403948</v>
      </c>
      <c r="T122" s="742">
        <f t="shared" si="69"/>
        <v>17358.58436777203</v>
      </c>
      <c r="U122" s="742">
        <f t="shared" si="69"/>
        <v>17705.756055127469</v>
      </c>
      <c r="V122" s="742">
        <f t="shared" si="69"/>
        <v>18059.871176230019</v>
      </c>
      <c r="W122" s="742">
        <f t="shared" si="69"/>
        <v>18421.068599754621</v>
      </c>
      <c r="X122" s="742">
        <f t="shared" si="69"/>
        <v>18789.489971749714</v>
      </c>
      <c r="Y122" s="742">
        <f t="shared" si="69"/>
        <v>19165.279771184705</v>
      </c>
      <c r="Z122" s="742">
        <f t="shared" si="69"/>
        <v>19548.5853666084</v>
      </c>
      <c r="AA122" s="742">
        <f t="shared" si="69"/>
        <v>19939.55707394057</v>
      </c>
      <c r="AB122" s="742">
        <f t="shared" si="69"/>
        <v>20338.348215419381</v>
      </c>
      <c r="AC122" s="742">
        <f t="shared" si="69"/>
        <v>20745.115179727771</v>
      </c>
      <c r="AD122" s="742">
        <f t="shared" si="69"/>
        <v>21160.017483322328</v>
      </c>
      <c r="AE122" s="742">
        <f t="shared" si="69"/>
        <v>21583.217832988772</v>
      </c>
    </row>
    <row r="123" spans="1:33">
      <c r="A123" s="164" t="s">
        <v>414</v>
      </c>
      <c r="B123" s="164"/>
      <c r="C123" s="667">
        <f>SUM(C120:C122)</f>
        <v>85000</v>
      </c>
      <c r="D123" s="667"/>
      <c r="E123" s="667">
        <f>SUM(E120:E122)</f>
        <v>6000</v>
      </c>
      <c r="F123" s="667">
        <f>SUM(F120:F122)</f>
        <v>34000</v>
      </c>
      <c r="G123" s="667">
        <f>SUM(G120:G122)</f>
        <v>125000</v>
      </c>
      <c r="H123" s="667">
        <f>SUM(H120:H122)</f>
        <v>573.07692307692309</v>
      </c>
      <c r="I123" s="668"/>
      <c r="J123" s="667"/>
      <c r="K123" s="685">
        <f>SUMIF($B120:$B122,"FT",K120:K122)</f>
        <v>0</v>
      </c>
      <c r="L123" s="669">
        <f>SUM(L120:L122)</f>
        <v>0</v>
      </c>
      <c r="M123" s="669">
        <f t="shared" ref="M123:AE123" si="70">SUM(M120:M122)</f>
        <v>45475</v>
      </c>
      <c r="N123" s="669">
        <f t="shared" si="70"/>
        <v>47312.19</v>
      </c>
      <c r="O123" s="669">
        <f t="shared" si="70"/>
        <v>48258.433799999999</v>
      </c>
      <c r="P123" s="669">
        <f t="shared" si="70"/>
        <v>49223.602475999993</v>
      </c>
      <c r="Q123" s="669">
        <f t="shared" si="70"/>
        <v>50208.074525520002</v>
      </c>
      <c r="R123" s="669">
        <f t="shared" si="70"/>
        <v>51212.236016030394</v>
      </c>
      <c r="S123" s="669">
        <f t="shared" si="70"/>
        <v>52236.480736351004</v>
      </c>
      <c r="T123" s="669">
        <f t="shared" si="70"/>
        <v>53281.210351078029</v>
      </c>
      <c r="U123" s="669">
        <f t="shared" si="70"/>
        <v>54346.834558099596</v>
      </c>
      <c r="V123" s="669">
        <f t="shared" si="70"/>
        <v>55433.771249261583</v>
      </c>
      <c r="W123" s="669">
        <f t="shared" si="70"/>
        <v>56542.446674246821</v>
      </c>
      <c r="X123" s="669">
        <f t="shared" si="70"/>
        <v>57673.295607731765</v>
      </c>
      <c r="Y123" s="669">
        <f t="shared" si="70"/>
        <v>58826.761519886393</v>
      </c>
      <c r="Z123" s="669">
        <f t="shared" si="70"/>
        <v>60003.29675028412</v>
      </c>
      <c r="AA123" s="669">
        <f t="shared" si="70"/>
        <v>61203.362685289801</v>
      </c>
      <c r="AB123" s="669">
        <f t="shared" si="70"/>
        <v>62427.4299389956</v>
      </c>
      <c r="AC123" s="669">
        <f t="shared" si="70"/>
        <v>63675.978537775518</v>
      </c>
      <c r="AD123" s="669">
        <f t="shared" si="70"/>
        <v>64949.498108531028</v>
      </c>
      <c r="AE123" s="669">
        <f t="shared" si="70"/>
        <v>66248.488070701642</v>
      </c>
    </row>
    <row r="124" spans="1:33">
      <c r="A124" s="37"/>
      <c r="B124" s="37"/>
      <c r="C124" s="663"/>
      <c r="D124" s="663"/>
      <c r="E124" s="663"/>
      <c r="F124" s="663"/>
      <c r="G124" s="663"/>
      <c r="H124" s="663"/>
      <c r="I124" s="670"/>
      <c r="J124" s="663"/>
      <c r="K124" s="683"/>
      <c r="L124" s="666"/>
      <c r="M124" s="666"/>
      <c r="N124" s="666"/>
      <c r="O124" s="666"/>
      <c r="P124" s="666"/>
      <c r="Q124" s="666"/>
      <c r="R124" s="666"/>
      <c r="S124" s="666"/>
      <c r="T124" s="666"/>
      <c r="U124" s="666"/>
      <c r="V124" s="666"/>
      <c r="W124" s="666"/>
      <c r="X124" s="666"/>
      <c r="Y124" s="666"/>
      <c r="Z124" s="666"/>
      <c r="AA124" s="666"/>
      <c r="AB124" s="666"/>
      <c r="AC124" s="666"/>
      <c r="AD124" s="666"/>
      <c r="AE124" s="666"/>
    </row>
    <row r="125" spans="1:33">
      <c r="A125" s="37" t="s">
        <v>11</v>
      </c>
      <c r="B125" s="37"/>
      <c r="C125" s="663"/>
      <c r="D125" s="663"/>
      <c r="E125" s="663"/>
      <c r="F125" s="663"/>
      <c r="G125" s="663"/>
      <c r="H125" s="663"/>
      <c r="I125" s="670"/>
      <c r="J125" s="663"/>
      <c r="K125" s="743">
        <f>COUNTIF(K120:K122,"&gt;100")</f>
        <v>0</v>
      </c>
      <c r="L125" s="496">
        <f>COUNTIF(L120,"&gt;100")</f>
        <v>0</v>
      </c>
      <c r="M125" s="496">
        <f t="shared" ref="M125:AE125" si="71">COUNTIF(M120,"&gt;100")</f>
        <v>1</v>
      </c>
      <c r="N125" s="496">
        <f t="shared" si="71"/>
        <v>1</v>
      </c>
      <c r="O125" s="496">
        <f t="shared" si="71"/>
        <v>1</v>
      </c>
      <c r="P125" s="496">
        <f t="shared" si="71"/>
        <v>1</v>
      </c>
      <c r="Q125" s="496">
        <f t="shared" si="71"/>
        <v>1</v>
      </c>
      <c r="R125" s="496">
        <f t="shared" si="71"/>
        <v>1</v>
      </c>
      <c r="S125" s="496">
        <f t="shared" si="71"/>
        <v>1</v>
      </c>
      <c r="T125" s="496">
        <f t="shared" si="71"/>
        <v>1</v>
      </c>
      <c r="U125" s="496">
        <f t="shared" si="71"/>
        <v>1</v>
      </c>
      <c r="V125" s="496">
        <f t="shared" si="71"/>
        <v>1</v>
      </c>
      <c r="W125" s="496">
        <f t="shared" si="71"/>
        <v>1</v>
      </c>
      <c r="X125" s="496">
        <f t="shared" si="71"/>
        <v>1</v>
      </c>
      <c r="Y125" s="496">
        <f t="shared" si="71"/>
        <v>1</v>
      </c>
      <c r="Z125" s="496">
        <f t="shared" si="71"/>
        <v>1</v>
      </c>
      <c r="AA125" s="496">
        <f t="shared" si="71"/>
        <v>1</v>
      </c>
      <c r="AB125" s="496">
        <f t="shared" si="71"/>
        <v>1</v>
      </c>
      <c r="AC125" s="496">
        <f t="shared" si="71"/>
        <v>1</v>
      </c>
      <c r="AD125" s="496">
        <f t="shared" si="71"/>
        <v>1</v>
      </c>
      <c r="AE125" s="496">
        <f t="shared" si="71"/>
        <v>1</v>
      </c>
    </row>
    <row r="126" spans="1:33">
      <c r="A126" s="745" t="s">
        <v>10</v>
      </c>
      <c r="B126" s="745"/>
      <c r="C126" s="739"/>
      <c r="D126" s="739"/>
      <c r="E126" s="739"/>
      <c r="F126" s="739"/>
      <c r="G126" s="739"/>
      <c r="H126" s="739"/>
      <c r="I126" s="763"/>
      <c r="J126" s="739"/>
      <c r="K126" s="749">
        <f t="shared" ref="K126" si="72">K127-K125</f>
        <v>0</v>
      </c>
      <c r="L126" s="750">
        <f>COUNTIF(L121:L122,"&gt;100")</f>
        <v>0</v>
      </c>
      <c r="M126" s="750">
        <f t="shared" ref="M126:AE126" si="73">COUNTIF(M121:M122,"&gt;100")</f>
        <v>2</v>
      </c>
      <c r="N126" s="750">
        <f t="shared" si="73"/>
        <v>2</v>
      </c>
      <c r="O126" s="750">
        <f t="shared" si="73"/>
        <v>2</v>
      </c>
      <c r="P126" s="750">
        <f t="shared" si="73"/>
        <v>2</v>
      </c>
      <c r="Q126" s="750">
        <f t="shared" si="73"/>
        <v>2</v>
      </c>
      <c r="R126" s="750">
        <f t="shared" si="73"/>
        <v>2</v>
      </c>
      <c r="S126" s="750">
        <f t="shared" si="73"/>
        <v>2</v>
      </c>
      <c r="T126" s="750">
        <f t="shared" si="73"/>
        <v>2</v>
      </c>
      <c r="U126" s="750">
        <f t="shared" si="73"/>
        <v>2</v>
      </c>
      <c r="V126" s="750">
        <f t="shared" si="73"/>
        <v>2</v>
      </c>
      <c r="W126" s="750">
        <f t="shared" si="73"/>
        <v>2</v>
      </c>
      <c r="X126" s="750">
        <f t="shared" si="73"/>
        <v>2</v>
      </c>
      <c r="Y126" s="750">
        <f t="shared" si="73"/>
        <v>2</v>
      </c>
      <c r="Z126" s="750">
        <f t="shared" si="73"/>
        <v>2</v>
      </c>
      <c r="AA126" s="750">
        <f t="shared" si="73"/>
        <v>2</v>
      </c>
      <c r="AB126" s="750">
        <f t="shared" si="73"/>
        <v>2</v>
      </c>
      <c r="AC126" s="750">
        <f t="shared" si="73"/>
        <v>2</v>
      </c>
      <c r="AD126" s="750">
        <f t="shared" si="73"/>
        <v>2</v>
      </c>
      <c r="AE126" s="750">
        <f t="shared" si="73"/>
        <v>2</v>
      </c>
    </row>
    <row r="127" spans="1:33">
      <c r="A127" s="164" t="s">
        <v>9</v>
      </c>
      <c r="B127" s="164"/>
      <c r="C127" s="667"/>
      <c r="D127" s="667"/>
      <c r="E127" s="667"/>
      <c r="F127" s="667"/>
      <c r="G127" s="667"/>
      <c r="H127" s="667"/>
      <c r="I127" s="668"/>
      <c r="J127" s="667"/>
      <c r="K127" s="751">
        <f t="shared" ref="K127:AE127" si="74">COUNTIF(K120:K122,"&gt;0")</f>
        <v>0</v>
      </c>
      <c r="L127" s="752">
        <f t="shared" si="74"/>
        <v>0</v>
      </c>
      <c r="M127" s="752">
        <f t="shared" si="74"/>
        <v>3</v>
      </c>
      <c r="N127" s="752">
        <f t="shared" si="74"/>
        <v>3</v>
      </c>
      <c r="O127" s="752">
        <f t="shared" si="74"/>
        <v>3</v>
      </c>
      <c r="P127" s="752">
        <f t="shared" si="74"/>
        <v>3</v>
      </c>
      <c r="Q127" s="752">
        <f t="shared" si="74"/>
        <v>3</v>
      </c>
      <c r="R127" s="752">
        <f t="shared" si="74"/>
        <v>3</v>
      </c>
      <c r="S127" s="752">
        <f t="shared" si="74"/>
        <v>3</v>
      </c>
      <c r="T127" s="752">
        <f t="shared" si="74"/>
        <v>3</v>
      </c>
      <c r="U127" s="752">
        <f t="shared" si="74"/>
        <v>3</v>
      </c>
      <c r="V127" s="752">
        <f t="shared" si="74"/>
        <v>3</v>
      </c>
      <c r="W127" s="752">
        <f t="shared" si="74"/>
        <v>3</v>
      </c>
      <c r="X127" s="752">
        <f t="shared" si="74"/>
        <v>3</v>
      </c>
      <c r="Y127" s="752">
        <f t="shared" si="74"/>
        <v>3</v>
      </c>
      <c r="Z127" s="752">
        <f t="shared" si="74"/>
        <v>3</v>
      </c>
      <c r="AA127" s="752">
        <f t="shared" si="74"/>
        <v>3</v>
      </c>
      <c r="AB127" s="752">
        <f t="shared" si="74"/>
        <v>3</v>
      </c>
      <c r="AC127" s="752">
        <f t="shared" si="74"/>
        <v>3</v>
      </c>
      <c r="AD127" s="752">
        <f t="shared" si="74"/>
        <v>3</v>
      </c>
      <c r="AE127" s="752">
        <f t="shared" si="74"/>
        <v>3</v>
      </c>
    </row>
    <row r="128" spans="1:33">
      <c r="A128" s="37"/>
      <c r="B128" s="37"/>
      <c r="C128" s="57"/>
      <c r="E128" s="57"/>
      <c r="F128" s="57"/>
      <c r="G128" s="57"/>
      <c r="H128" s="57"/>
      <c r="I128" s="43"/>
      <c r="J128" s="42"/>
      <c r="K128" s="683"/>
      <c r="L128" s="316"/>
      <c r="M128" s="316"/>
      <c r="N128" s="316"/>
      <c r="O128" s="316"/>
      <c r="P128" s="316"/>
      <c r="Q128" s="316"/>
      <c r="R128" s="316"/>
      <c r="S128" s="316"/>
      <c r="T128" s="316"/>
      <c r="U128" s="316"/>
      <c r="V128" s="316"/>
      <c r="W128" s="316"/>
      <c r="X128" s="316"/>
      <c r="Y128" s="316"/>
      <c r="Z128" s="316"/>
      <c r="AA128" s="316"/>
      <c r="AB128" s="316"/>
      <c r="AC128" s="316"/>
      <c r="AD128" s="316"/>
      <c r="AE128" s="316"/>
    </row>
    <row r="129" spans="1:33" s="55" customFormat="1">
      <c r="A129" s="190" t="s">
        <v>60</v>
      </c>
      <c r="B129" s="191"/>
      <c r="C129" s="192"/>
      <c r="D129" s="193"/>
      <c r="E129" s="194"/>
      <c r="F129" s="194"/>
      <c r="G129" s="192"/>
      <c r="H129" s="192"/>
      <c r="I129" s="195">
        <v>0.2</v>
      </c>
      <c r="J129" s="196"/>
      <c r="K129" s="683">
        <v>0</v>
      </c>
      <c r="L129" s="665">
        <f>$I$129*L123</f>
        <v>0</v>
      </c>
      <c r="M129" s="665">
        <f t="shared" ref="M129:AE129" si="75">$I$129*M123</f>
        <v>9095</v>
      </c>
      <c r="N129" s="665">
        <f t="shared" si="75"/>
        <v>9462.4380000000001</v>
      </c>
      <c r="O129" s="665">
        <f t="shared" si="75"/>
        <v>9651.6867600000005</v>
      </c>
      <c r="P129" s="665">
        <f t="shared" si="75"/>
        <v>9844.7204951999993</v>
      </c>
      <c r="Q129" s="665">
        <f t="shared" si="75"/>
        <v>10041.614905104001</v>
      </c>
      <c r="R129" s="665">
        <f t="shared" si="75"/>
        <v>10242.44720320608</v>
      </c>
      <c r="S129" s="665">
        <f t="shared" si="75"/>
        <v>10447.296147270201</v>
      </c>
      <c r="T129" s="665">
        <f t="shared" si="75"/>
        <v>10656.242070215607</v>
      </c>
      <c r="U129" s="665">
        <f t="shared" si="75"/>
        <v>10869.36691161992</v>
      </c>
      <c r="V129" s="665">
        <f t="shared" si="75"/>
        <v>11086.754249852318</v>
      </c>
      <c r="W129" s="665">
        <f t="shared" si="75"/>
        <v>11308.489334849364</v>
      </c>
      <c r="X129" s="665">
        <f t="shared" si="75"/>
        <v>11534.659121546354</v>
      </c>
      <c r="Y129" s="665">
        <f t="shared" si="75"/>
        <v>11765.352303977279</v>
      </c>
      <c r="Z129" s="665">
        <f t="shared" si="75"/>
        <v>12000.659350056825</v>
      </c>
      <c r="AA129" s="665">
        <f t="shared" si="75"/>
        <v>12240.672537057961</v>
      </c>
      <c r="AB129" s="665">
        <f t="shared" si="75"/>
        <v>12485.48598779912</v>
      </c>
      <c r="AC129" s="665">
        <f t="shared" si="75"/>
        <v>12735.195707555104</v>
      </c>
      <c r="AD129" s="665">
        <f t="shared" si="75"/>
        <v>12989.899621706207</v>
      </c>
      <c r="AE129" s="665">
        <f t="shared" si="75"/>
        <v>13249.697614140328</v>
      </c>
    </row>
    <row r="130" spans="1:33">
      <c r="A130" s="190"/>
      <c r="B130" s="191"/>
      <c r="C130" s="192"/>
      <c r="D130" s="193"/>
      <c r="E130" s="194"/>
      <c r="F130" s="194"/>
      <c r="G130" s="192"/>
      <c r="H130" s="192"/>
      <c r="I130" s="195"/>
      <c r="J130" s="196"/>
      <c r="K130" s="685"/>
      <c r="L130" s="665"/>
      <c r="M130" s="665"/>
      <c r="N130" s="665"/>
      <c r="O130" s="665"/>
      <c r="P130" s="665"/>
      <c r="Q130" s="665"/>
      <c r="R130" s="665"/>
      <c r="S130" s="665"/>
      <c r="T130" s="665"/>
      <c r="U130" s="665"/>
      <c r="V130" s="665"/>
      <c r="W130" s="665"/>
      <c r="X130" s="665"/>
      <c r="Y130" s="665"/>
      <c r="Z130" s="665"/>
      <c r="AA130" s="665"/>
      <c r="AB130" s="665"/>
      <c r="AC130" s="665"/>
      <c r="AD130" s="665"/>
      <c r="AE130" s="665"/>
    </row>
    <row r="131" spans="1:33">
      <c r="A131" s="164" t="s">
        <v>61</v>
      </c>
      <c r="B131" s="164"/>
      <c r="C131" s="75"/>
      <c r="D131" s="173"/>
      <c r="E131" s="75"/>
      <c r="F131" s="75"/>
      <c r="G131" s="75"/>
      <c r="H131" s="75"/>
      <c r="I131" s="174"/>
      <c r="J131" s="175"/>
      <c r="K131" s="685">
        <v>0</v>
      </c>
      <c r="L131" s="669">
        <f>SUM(L123,L129)</f>
        <v>0</v>
      </c>
      <c r="M131" s="669">
        <f t="shared" ref="M131:AE131" si="76">SUM(M123,M129)</f>
        <v>54570</v>
      </c>
      <c r="N131" s="669">
        <f t="shared" si="76"/>
        <v>56774.628000000004</v>
      </c>
      <c r="O131" s="669">
        <f t="shared" si="76"/>
        <v>57910.120559999996</v>
      </c>
      <c r="P131" s="669">
        <f t="shared" si="76"/>
        <v>59068.322971199988</v>
      </c>
      <c r="Q131" s="669">
        <f t="shared" si="76"/>
        <v>60249.689430623999</v>
      </c>
      <c r="R131" s="669">
        <f t="shared" si="76"/>
        <v>61454.683219236475</v>
      </c>
      <c r="S131" s="669">
        <f t="shared" si="76"/>
        <v>62683.776883621205</v>
      </c>
      <c r="T131" s="669">
        <f t="shared" si="76"/>
        <v>63937.452421293638</v>
      </c>
      <c r="U131" s="669">
        <f t="shared" si="76"/>
        <v>65216.201469719512</v>
      </c>
      <c r="V131" s="669">
        <f t="shared" si="76"/>
        <v>66520.525499113894</v>
      </c>
      <c r="W131" s="669">
        <f t="shared" si="76"/>
        <v>67850.936009096185</v>
      </c>
      <c r="X131" s="669">
        <f t="shared" si="76"/>
        <v>69207.954729278121</v>
      </c>
      <c r="Y131" s="669">
        <f t="shared" si="76"/>
        <v>70592.113823863678</v>
      </c>
      <c r="Z131" s="669">
        <f t="shared" si="76"/>
        <v>72003.956100340947</v>
      </c>
      <c r="AA131" s="669">
        <f t="shared" si="76"/>
        <v>73444.035222347768</v>
      </c>
      <c r="AB131" s="669">
        <f t="shared" si="76"/>
        <v>74912.915926794725</v>
      </c>
      <c r="AC131" s="669">
        <f t="shared" si="76"/>
        <v>76411.174245330621</v>
      </c>
      <c r="AD131" s="669">
        <f t="shared" si="76"/>
        <v>77939.397730237237</v>
      </c>
      <c r="AE131" s="669">
        <f t="shared" si="76"/>
        <v>79498.18568484197</v>
      </c>
    </row>
    <row r="132" spans="1:33">
      <c r="A132" s="183"/>
      <c r="B132" s="184"/>
      <c r="C132" s="185"/>
      <c r="D132" s="186"/>
      <c r="E132" s="185"/>
      <c r="F132" s="185"/>
      <c r="G132" s="185"/>
      <c r="H132" s="185"/>
      <c r="I132" s="187"/>
      <c r="J132" s="188"/>
      <c r="K132" s="683"/>
      <c r="L132" s="320"/>
      <c r="M132" s="320"/>
      <c r="N132" s="320"/>
      <c r="O132" s="320"/>
      <c r="P132" s="320"/>
      <c r="Q132" s="320"/>
      <c r="R132" s="320"/>
      <c r="S132" s="320"/>
      <c r="T132" s="320"/>
      <c r="U132" s="320"/>
      <c r="V132" s="320"/>
      <c r="W132" s="320"/>
      <c r="X132" s="320"/>
      <c r="Y132" s="320"/>
      <c r="Z132" s="320"/>
      <c r="AA132" s="320"/>
      <c r="AB132" s="320"/>
      <c r="AC132" s="320"/>
      <c r="AD132" s="320"/>
      <c r="AE132" s="320"/>
    </row>
    <row r="133" spans="1:33">
      <c r="A133" s="39" t="s">
        <v>4</v>
      </c>
      <c r="B133" s="39"/>
      <c r="C133" s="111"/>
      <c r="D133" s="112"/>
      <c r="E133" s="111"/>
      <c r="F133" s="111"/>
      <c r="G133" s="111"/>
      <c r="H133" s="111"/>
      <c r="I133" s="40"/>
      <c r="J133" s="113"/>
      <c r="K133" s="688"/>
      <c r="L133" s="321"/>
      <c r="M133" s="321"/>
      <c r="N133" s="321"/>
      <c r="O133" s="321"/>
      <c r="P133" s="321"/>
      <c r="Q133" s="321"/>
      <c r="R133" s="321"/>
      <c r="S133" s="321"/>
      <c r="T133" s="321"/>
      <c r="U133" s="321"/>
      <c r="V133" s="321"/>
      <c r="W133" s="321"/>
      <c r="X133" s="321"/>
      <c r="Y133" s="321"/>
      <c r="Z133" s="321"/>
      <c r="AA133" s="321"/>
      <c r="AB133" s="321"/>
      <c r="AC133" s="321"/>
      <c r="AD133" s="321"/>
      <c r="AE133" s="321"/>
    </row>
    <row r="134" spans="1:33">
      <c r="A134" s="41" t="s">
        <v>13</v>
      </c>
      <c r="B134" s="41"/>
      <c r="C134" s="105"/>
      <c r="D134" s="106"/>
      <c r="E134" s="37"/>
      <c r="F134" s="37"/>
      <c r="G134" s="37"/>
      <c r="H134" s="37"/>
      <c r="I134" s="41"/>
      <c r="J134" s="37"/>
      <c r="K134" s="683"/>
      <c r="L134" s="200"/>
      <c r="M134" s="200"/>
      <c r="N134" s="200"/>
      <c r="O134" s="200"/>
      <c r="P134" s="200"/>
      <c r="Q134" s="200"/>
      <c r="R134" s="200"/>
      <c r="S134" s="200"/>
      <c r="T134" s="200"/>
      <c r="U134" s="201"/>
      <c r="V134" s="323"/>
      <c r="W134" s="200"/>
      <c r="X134" s="200"/>
      <c r="Y134" s="200"/>
      <c r="Z134" s="200"/>
      <c r="AA134" s="200"/>
      <c r="AB134" s="200"/>
      <c r="AC134" s="200"/>
      <c r="AD134" s="200"/>
      <c r="AE134" s="201"/>
    </row>
    <row r="135" spans="1:33">
      <c r="A135" s="33" t="s">
        <v>65</v>
      </c>
      <c r="B135" s="735" t="s">
        <v>12</v>
      </c>
      <c r="C135" s="663">
        <v>65000</v>
      </c>
      <c r="D135" s="736">
        <f>C135/2080</f>
        <v>31.25</v>
      </c>
      <c r="E135" s="663">
        <v>0</v>
      </c>
      <c r="F135" s="663">
        <f>C135*$F$13</f>
        <v>26000</v>
      </c>
      <c r="G135" s="663">
        <f>SUM(C135,E135:F135)</f>
        <v>91000</v>
      </c>
      <c r="H135" s="736">
        <f>G135/2080*8</f>
        <v>350</v>
      </c>
      <c r="I135" s="764"/>
      <c r="J135" s="765"/>
      <c r="K135" s="683">
        <v>0</v>
      </c>
      <c r="L135" s="665">
        <v>0</v>
      </c>
      <c r="M135" s="665">
        <f>$H$135*M32*0.25</f>
        <v>18725</v>
      </c>
      <c r="N135" s="665">
        <f t="shared" ref="N135:AE135" si="77">$M$135*L11</f>
        <v>19099.5</v>
      </c>
      <c r="O135" s="665">
        <f t="shared" si="77"/>
        <v>19481.490000000002</v>
      </c>
      <c r="P135" s="665">
        <f t="shared" si="77"/>
        <v>19871.1198</v>
      </c>
      <c r="Q135" s="665">
        <f t="shared" si="77"/>
        <v>20268.542195999999</v>
      </c>
      <c r="R135" s="665">
        <f t="shared" si="77"/>
        <v>20673.91303992</v>
      </c>
      <c r="S135" s="665">
        <f t="shared" si="77"/>
        <v>21087.391300718402</v>
      </c>
      <c r="T135" s="665">
        <f t="shared" si="77"/>
        <v>21509.139126732767</v>
      </c>
      <c r="U135" s="665">
        <f t="shared" si="77"/>
        <v>21939.321909267426</v>
      </c>
      <c r="V135" s="665">
        <f t="shared" si="77"/>
        <v>22378.108347452773</v>
      </c>
      <c r="W135" s="665">
        <f t="shared" si="77"/>
        <v>22825.670514401831</v>
      </c>
      <c r="X135" s="665">
        <f t="shared" si="77"/>
        <v>23282.183924689867</v>
      </c>
      <c r="Y135" s="665">
        <f t="shared" si="77"/>
        <v>23747.827603183665</v>
      </c>
      <c r="Z135" s="665">
        <f t="shared" si="77"/>
        <v>24222.784155247336</v>
      </c>
      <c r="AA135" s="665">
        <f t="shared" si="77"/>
        <v>24707.239838352285</v>
      </c>
      <c r="AB135" s="665">
        <f t="shared" si="77"/>
        <v>25201.384635119332</v>
      </c>
      <c r="AC135" s="665">
        <f t="shared" si="77"/>
        <v>25705.412327821719</v>
      </c>
      <c r="AD135" s="665">
        <f t="shared" si="77"/>
        <v>26219.520574378155</v>
      </c>
      <c r="AE135" s="665">
        <f t="shared" si="77"/>
        <v>26743.910985865718</v>
      </c>
    </row>
    <row r="136" spans="1:33">
      <c r="A136" s="37" t="s">
        <v>62</v>
      </c>
      <c r="B136" s="735" t="s">
        <v>12</v>
      </c>
      <c r="C136" s="663">
        <v>85000</v>
      </c>
      <c r="D136" s="736">
        <f>C136/2080</f>
        <v>40.865384615384613</v>
      </c>
      <c r="E136" s="663">
        <f>C136*$L$15</f>
        <v>0</v>
      </c>
      <c r="F136" s="663">
        <f t="shared" ref="F136:F139" si="78">C136*$F$13</f>
        <v>34000</v>
      </c>
      <c r="G136" s="663">
        <f t="shared" ref="G136:G139" si="79">SUM(C136,E136:F136)</f>
        <v>119000</v>
      </c>
      <c r="H136" s="736">
        <f>G136/2080*8</f>
        <v>457.69230769230768</v>
      </c>
      <c r="I136" s="764"/>
      <c r="J136" s="765"/>
      <c r="K136" s="683">
        <v>0</v>
      </c>
      <c r="L136" s="665">
        <v>0</v>
      </c>
      <c r="M136" s="665">
        <f>$H$136*M32*0.1</f>
        <v>9794.6153846153848</v>
      </c>
      <c r="N136" s="665">
        <f t="shared" ref="N136:AE136" si="80">$M$136*L11</f>
        <v>9990.5076923076922</v>
      </c>
      <c r="O136" s="665">
        <f t="shared" si="80"/>
        <v>10190.317846153846</v>
      </c>
      <c r="P136" s="665">
        <f t="shared" si="80"/>
        <v>10394.124203076923</v>
      </c>
      <c r="Q136" s="665">
        <f t="shared" si="80"/>
        <v>10602.006687138461</v>
      </c>
      <c r="R136" s="665">
        <f t="shared" si="80"/>
        <v>10814.046820881231</v>
      </c>
      <c r="S136" s="665">
        <f t="shared" si="80"/>
        <v>11030.327757298855</v>
      </c>
      <c r="T136" s="665">
        <f t="shared" si="80"/>
        <v>11250.934312444833</v>
      </c>
      <c r="U136" s="665">
        <f t="shared" si="80"/>
        <v>11475.95299869373</v>
      </c>
      <c r="V136" s="665">
        <f t="shared" si="80"/>
        <v>11705.472058667605</v>
      </c>
      <c r="W136" s="665">
        <f t="shared" si="80"/>
        <v>11939.581499840959</v>
      </c>
      <c r="X136" s="665">
        <f t="shared" si="80"/>
        <v>12178.373129837777</v>
      </c>
      <c r="Y136" s="665">
        <f t="shared" si="80"/>
        <v>12421.940592434532</v>
      </c>
      <c r="Z136" s="665">
        <f t="shared" si="80"/>
        <v>12670.379404283221</v>
      </c>
      <c r="AA136" s="665">
        <f t="shared" si="80"/>
        <v>12923.786992368889</v>
      </c>
      <c r="AB136" s="665">
        <f t="shared" si="80"/>
        <v>13182.262732216266</v>
      </c>
      <c r="AC136" s="665">
        <f t="shared" si="80"/>
        <v>13445.907986860591</v>
      </c>
      <c r="AD136" s="665">
        <f t="shared" si="80"/>
        <v>13714.826146597805</v>
      </c>
      <c r="AE136" s="665">
        <f t="shared" si="80"/>
        <v>13989.122669529761</v>
      </c>
    </row>
    <row r="137" spans="1:33">
      <c r="A137" s="37" t="s">
        <v>419</v>
      </c>
      <c r="B137" s="735" t="s">
        <v>12</v>
      </c>
      <c r="C137" s="663">
        <v>75000</v>
      </c>
      <c r="D137" s="736">
        <f>C137/2080</f>
        <v>36.057692307692307</v>
      </c>
      <c r="E137" s="663">
        <f>C137*$L$15</f>
        <v>0</v>
      </c>
      <c r="F137" s="663">
        <f t="shared" si="78"/>
        <v>30000</v>
      </c>
      <c r="G137" s="663">
        <f t="shared" si="79"/>
        <v>105000</v>
      </c>
      <c r="H137" s="736">
        <f>G137/2080*8</f>
        <v>403.84615384615387</v>
      </c>
      <c r="I137" s="764"/>
      <c r="J137" s="765"/>
      <c r="K137" s="683">
        <v>0</v>
      </c>
      <c r="L137" s="665">
        <v>0</v>
      </c>
      <c r="M137" s="665">
        <f>$H$137*M32*0.1</f>
        <v>8642.3076923076933</v>
      </c>
      <c r="N137" s="665">
        <f t="shared" ref="N137:AE137" si="81">$M$137*L11</f>
        <v>8815.1538461538476</v>
      </c>
      <c r="O137" s="665">
        <f t="shared" si="81"/>
        <v>8991.4569230769248</v>
      </c>
      <c r="P137" s="665">
        <f t="shared" si="81"/>
        <v>9171.2860615384616</v>
      </c>
      <c r="Q137" s="665">
        <f t="shared" si="81"/>
        <v>9354.7117827692309</v>
      </c>
      <c r="R137" s="665">
        <f t="shared" si="81"/>
        <v>9541.8060184246169</v>
      </c>
      <c r="S137" s="665">
        <f t="shared" si="81"/>
        <v>9732.6421387931096</v>
      </c>
      <c r="T137" s="665">
        <f t="shared" si="81"/>
        <v>9927.2949815689717</v>
      </c>
      <c r="U137" s="665">
        <f t="shared" si="81"/>
        <v>10125.840881200351</v>
      </c>
      <c r="V137" s="665">
        <f t="shared" si="81"/>
        <v>10328.357698824359</v>
      </c>
      <c r="W137" s="665">
        <f t="shared" si="81"/>
        <v>10534.924852800847</v>
      </c>
      <c r="X137" s="665">
        <f t="shared" si="81"/>
        <v>10745.623349856864</v>
      </c>
      <c r="Y137" s="665">
        <f t="shared" si="81"/>
        <v>10960.535816854001</v>
      </c>
      <c r="Z137" s="665">
        <f t="shared" si="81"/>
        <v>11179.746533191079</v>
      </c>
      <c r="AA137" s="665">
        <f t="shared" si="81"/>
        <v>11403.341463854902</v>
      </c>
      <c r="AB137" s="665">
        <f t="shared" si="81"/>
        <v>11631.408293132001</v>
      </c>
      <c r="AC137" s="665">
        <f t="shared" si="81"/>
        <v>11864.03645899464</v>
      </c>
      <c r="AD137" s="665">
        <f t="shared" si="81"/>
        <v>12101.317188174535</v>
      </c>
      <c r="AE137" s="665">
        <f t="shared" si="81"/>
        <v>12343.343531938026</v>
      </c>
    </row>
    <row r="138" spans="1:33">
      <c r="A138" s="37" t="s">
        <v>63</v>
      </c>
      <c r="B138" s="735" t="s">
        <v>15</v>
      </c>
      <c r="C138" s="663">
        <v>15000</v>
      </c>
      <c r="D138" s="736">
        <f t="shared" ref="D138:D139" si="82">C138/2080</f>
        <v>7.2115384615384617</v>
      </c>
      <c r="E138" s="663">
        <f>C138*$L$15</f>
        <v>0</v>
      </c>
      <c r="F138" s="663">
        <f t="shared" si="78"/>
        <v>6000</v>
      </c>
      <c r="G138" s="663">
        <f t="shared" si="79"/>
        <v>21000</v>
      </c>
      <c r="H138" s="736">
        <f t="shared" ref="H138:H139" si="83">G138/2080*8</f>
        <v>80.769230769230774</v>
      </c>
      <c r="I138" s="764"/>
      <c r="J138" s="765"/>
      <c r="K138" s="683">
        <v>0</v>
      </c>
      <c r="L138" s="665">
        <v>0</v>
      </c>
      <c r="M138" s="665">
        <f>($H$138*M32)*0.5</f>
        <v>8642.3076923076933</v>
      </c>
      <c r="N138" s="665">
        <f t="shared" ref="N138:AE138" si="84">$M$138*L11</f>
        <v>8815.1538461538476</v>
      </c>
      <c r="O138" s="665">
        <f t="shared" si="84"/>
        <v>8991.4569230769248</v>
      </c>
      <c r="P138" s="665">
        <f t="shared" si="84"/>
        <v>9171.2860615384616</v>
      </c>
      <c r="Q138" s="665">
        <f t="shared" si="84"/>
        <v>9354.7117827692309</v>
      </c>
      <c r="R138" s="665">
        <f t="shared" si="84"/>
        <v>9541.8060184246169</v>
      </c>
      <c r="S138" s="665">
        <f t="shared" si="84"/>
        <v>9732.6421387931096</v>
      </c>
      <c r="T138" s="665">
        <f t="shared" si="84"/>
        <v>9927.2949815689717</v>
      </c>
      <c r="U138" s="665">
        <f t="shared" si="84"/>
        <v>10125.840881200351</v>
      </c>
      <c r="V138" s="665">
        <f t="shared" si="84"/>
        <v>10328.357698824359</v>
      </c>
      <c r="W138" s="665">
        <f t="shared" si="84"/>
        <v>10534.924852800847</v>
      </c>
      <c r="X138" s="665">
        <f t="shared" si="84"/>
        <v>10745.623349856864</v>
      </c>
      <c r="Y138" s="665">
        <f t="shared" si="84"/>
        <v>10960.535816854001</v>
      </c>
      <c r="Z138" s="665">
        <f t="shared" si="84"/>
        <v>11179.746533191079</v>
      </c>
      <c r="AA138" s="665">
        <f t="shared" si="84"/>
        <v>11403.341463854902</v>
      </c>
      <c r="AB138" s="665">
        <f t="shared" si="84"/>
        <v>11631.408293132001</v>
      </c>
      <c r="AC138" s="665">
        <f t="shared" si="84"/>
        <v>11864.03645899464</v>
      </c>
      <c r="AD138" s="665">
        <f t="shared" si="84"/>
        <v>12101.317188174535</v>
      </c>
      <c r="AE138" s="665">
        <f t="shared" si="84"/>
        <v>12343.343531938026</v>
      </c>
    </row>
    <row r="139" spans="1:33">
      <c r="A139" s="745" t="s">
        <v>63</v>
      </c>
      <c r="B139" s="738" t="s">
        <v>15</v>
      </c>
      <c r="C139" s="739">
        <v>15000</v>
      </c>
      <c r="D139" s="740">
        <f t="shared" si="82"/>
        <v>7.2115384615384617</v>
      </c>
      <c r="E139" s="739">
        <f>C139*$L$15</f>
        <v>0</v>
      </c>
      <c r="F139" s="739">
        <f t="shared" si="78"/>
        <v>6000</v>
      </c>
      <c r="G139" s="739">
        <f t="shared" si="79"/>
        <v>21000</v>
      </c>
      <c r="H139" s="740">
        <f t="shared" si="83"/>
        <v>80.769230769230774</v>
      </c>
      <c r="I139" s="766"/>
      <c r="J139" s="767"/>
      <c r="K139" s="741">
        <v>0</v>
      </c>
      <c r="L139" s="742">
        <v>0</v>
      </c>
      <c r="M139" s="742">
        <f>($H$139*M32)*0.5</f>
        <v>8642.3076923076933</v>
      </c>
      <c r="N139" s="742">
        <f t="shared" ref="N139:AE139" si="85">$M$139*L11</f>
        <v>8815.1538461538476</v>
      </c>
      <c r="O139" s="742">
        <f t="shared" si="85"/>
        <v>8991.4569230769248</v>
      </c>
      <c r="P139" s="742">
        <f t="shared" si="85"/>
        <v>9171.2860615384616</v>
      </c>
      <c r="Q139" s="742">
        <f t="shared" si="85"/>
        <v>9354.7117827692309</v>
      </c>
      <c r="R139" s="742">
        <f t="shared" si="85"/>
        <v>9541.8060184246169</v>
      </c>
      <c r="S139" s="742">
        <f t="shared" si="85"/>
        <v>9732.6421387931096</v>
      </c>
      <c r="T139" s="742">
        <f t="shared" si="85"/>
        <v>9927.2949815689717</v>
      </c>
      <c r="U139" s="742">
        <f t="shared" si="85"/>
        <v>10125.840881200351</v>
      </c>
      <c r="V139" s="742">
        <f t="shared" si="85"/>
        <v>10328.357698824359</v>
      </c>
      <c r="W139" s="742">
        <f t="shared" si="85"/>
        <v>10534.924852800847</v>
      </c>
      <c r="X139" s="742">
        <f t="shared" si="85"/>
        <v>10745.623349856864</v>
      </c>
      <c r="Y139" s="742">
        <f t="shared" si="85"/>
        <v>10960.535816854001</v>
      </c>
      <c r="Z139" s="742">
        <f t="shared" si="85"/>
        <v>11179.746533191079</v>
      </c>
      <c r="AA139" s="742">
        <f t="shared" si="85"/>
        <v>11403.341463854902</v>
      </c>
      <c r="AB139" s="742">
        <f t="shared" si="85"/>
        <v>11631.408293132001</v>
      </c>
      <c r="AC139" s="742">
        <f t="shared" si="85"/>
        <v>11864.03645899464</v>
      </c>
      <c r="AD139" s="742">
        <f t="shared" si="85"/>
        <v>12101.317188174535</v>
      </c>
      <c r="AE139" s="742">
        <f t="shared" si="85"/>
        <v>12343.343531938026</v>
      </c>
    </row>
    <row r="140" spans="1:33" s="56" customFormat="1" ht="14.25">
      <c r="A140" s="164" t="s">
        <v>415</v>
      </c>
      <c r="B140" s="164"/>
      <c r="C140" s="667">
        <f>SUM(C135:C139)</f>
        <v>255000</v>
      </c>
      <c r="D140" s="667"/>
      <c r="E140" s="667">
        <f>SUM(E135:E139)</f>
        <v>0</v>
      </c>
      <c r="F140" s="667">
        <f>SUM(F135:F139)</f>
        <v>102000</v>
      </c>
      <c r="G140" s="667">
        <f>SUM(G135:G139)</f>
        <v>357000</v>
      </c>
      <c r="H140" s="667">
        <f>SUM(H135:H139)</f>
        <v>1373.0769230769229</v>
      </c>
      <c r="I140" s="768"/>
      <c r="J140" s="769"/>
      <c r="K140" s="685">
        <f>SUMIF($B135:$B139,"FT",K135:K139)</f>
        <v>0</v>
      </c>
      <c r="L140" s="669">
        <f>SUMIF($B135:$B139,"FT",L135:L139)</f>
        <v>0</v>
      </c>
      <c r="M140" s="669">
        <f>SUM(M135:M139)</f>
        <v>54446.538461538468</v>
      </c>
      <c r="N140" s="669">
        <f t="shared" ref="N140:AE140" si="86">SUM(N135:N139)</f>
        <v>55535.469230769231</v>
      </c>
      <c r="O140" s="669">
        <f t="shared" si="86"/>
        <v>56646.178615384626</v>
      </c>
      <c r="P140" s="669">
        <f t="shared" si="86"/>
        <v>57779.102187692311</v>
      </c>
      <c r="Q140" s="669">
        <f t="shared" si="86"/>
        <v>58934.684231446139</v>
      </c>
      <c r="R140" s="669">
        <f t="shared" si="86"/>
        <v>60113.377916075071</v>
      </c>
      <c r="S140" s="669">
        <f t="shared" si="86"/>
        <v>61315.645474396588</v>
      </c>
      <c r="T140" s="669">
        <f t="shared" si="86"/>
        <v>62541.958383884514</v>
      </c>
      <c r="U140" s="669">
        <f t="shared" si="86"/>
        <v>63792.797551562195</v>
      </c>
      <c r="V140" s="669">
        <f t="shared" si="86"/>
        <v>65068.653502593457</v>
      </c>
      <c r="W140" s="669">
        <f t="shared" si="86"/>
        <v>66370.026572645322</v>
      </c>
      <c r="X140" s="669">
        <f t="shared" si="86"/>
        <v>67697.427104098228</v>
      </c>
      <c r="Y140" s="669">
        <f t="shared" si="86"/>
        <v>69051.375646180197</v>
      </c>
      <c r="Z140" s="669">
        <f t="shared" si="86"/>
        <v>70432.403159103793</v>
      </c>
      <c r="AA140" s="669">
        <f t="shared" si="86"/>
        <v>71841.051222285882</v>
      </c>
      <c r="AB140" s="669">
        <f t="shared" si="86"/>
        <v>73277.872246731597</v>
      </c>
      <c r="AC140" s="669">
        <f t="shared" si="86"/>
        <v>74743.429691666228</v>
      </c>
      <c r="AD140" s="669">
        <f t="shared" si="86"/>
        <v>76238.298285499564</v>
      </c>
      <c r="AE140" s="669">
        <f t="shared" si="86"/>
        <v>77763.064251209551</v>
      </c>
    </row>
    <row r="141" spans="1:33">
      <c r="A141" s="37"/>
      <c r="B141" s="37"/>
      <c r="C141" s="663"/>
      <c r="D141" s="663"/>
      <c r="E141" s="663"/>
      <c r="F141" s="663"/>
      <c r="G141" s="663"/>
      <c r="H141" s="663"/>
      <c r="I141" s="107"/>
      <c r="J141" s="108"/>
      <c r="K141" s="683"/>
      <c r="L141" s="666"/>
      <c r="M141" s="666"/>
      <c r="N141" s="666"/>
      <c r="O141" s="666"/>
      <c r="P141" s="666"/>
      <c r="Q141" s="666"/>
      <c r="R141" s="666"/>
      <c r="S141" s="666"/>
      <c r="T141" s="666"/>
      <c r="U141" s="666"/>
      <c r="V141" s="666"/>
      <c r="W141" s="666"/>
      <c r="X141" s="666"/>
      <c r="Y141" s="666"/>
      <c r="Z141" s="666"/>
      <c r="AA141" s="666"/>
      <c r="AB141" s="666"/>
      <c r="AC141" s="666"/>
      <c r="AD141" s="666"/>
      <c r="AE141" s="666"/>
    </row>
    <row r="142" spans="1:33">
      <c r="A142" s="37" t="s">
        <v>11</v>
      </c>
      <c r="B142" s="37"/>
      <c r="C142" s="57"/>
      <c r="E142" s="57"/>
      <c r="F142" s="57"/>
      <c r="G142" s="57"/>
      <c r="H142" s="57"/>
      <c r="I142" s="43"/>
      <c r="J142" s="42"/>
      <c r="K142" s="770">
        <f>COUNTIF(K135:K139,"&gt;100")</f>
        <v>0</v>
      </c>
      <c r="L142" s="771">
        <f>COUNTIF(L135:L137,"&gt;100")</f>
        <v>0</v>
      </c>
      <c r="M142" s="771">
        <f t="shared" ref="M142:AE142" si="87">COUNTIF(M135:M137,"&gt;100")</f>
        <v>3</v>
      </c>
      <c r="N142" s="771">
        <f t="shared" si="87"/>
        <v>3</v>
      </c>
      <c r="O142" s="771">
        <f t="shared" si="87"/>
        <v>3</v>
      </c>
      <c r="P142" s="771">
        <f t="shared" si="87"/>
        <v>3</v>
      </c>
      <c r="Q142" s="771">
        <f t="shared" si="87"/>
        <v>3</v>
      </c>
      <c r="R142" s="771">
        <f t="shared" si="87"/>
        <v>3</v>
      </c>
      <c r="S142" s="771">
        <f t="shared" si="87"/>
        <v>3</v>
      </c>
      <c r="T142" s="771">
        <f t="shared" si="87"/>
        <v>3</v>
      </c>
      <c r="U142" s="771">
        <f t="shared" si="87"/>
        <v>3</v>
      </c>
      <c r="V142" s="771">
        <f t="shared" si="87"/>
        <v>3</v>
      </c>
      <c r="W142" s="771">
        <f t="shared" si="87"/>
        <v>3</v>
      </c>
      <c r="X142" s="771">
        <f t="shared" si="87"/>
        <v>3</v>
      </c>
      <c r="Y142" s="771">
        <f t="shared" si="87"/>
        <v>3</v>
      </c>
      <c r="Z142" s="771">
        <f t="shared" si="87"/>
        <v>3</v>
      </c>
      <c r="AA142" s="771">
        <f t="shared" si="87"/>
        <v>3</v>
      </c>
      <c r="AB142" s="771">
        <f t="shared" si="87"/>
        <v>3</v>
      </c>
      <c r="AC142" s="771">
        <f t="shared" si="87"/>
        <v>3</v>
      </c>
      <c r="AD142" s="771">
        <f t="shared" si="87"/>
        <v>3</v>
      </c>
      <c r="AE142" s="771">
        <f t="shared" si="87"/>
        <v>3</v>
      </c>
      <c r="AF142" s="772"/>
      <c r="AG142" s="772"/>
    </row>
    <row r="143" spans="1:33">
      <c r="A143" s="745" t="s">
        <v>10</v>
      </c>
      <c r="B143" s="745"/>
      <c r="C143" s="746"/>
      <c r="D143" s="116"/>
      <c r="E143" s="746"/>
      <c r="F143" s="746"/>
      <c r="G143" s="746"/>
      <c r="H143" s="746"/>
      <c r="I143" s="747"/>
      <c r="J143" s="748"/>
      <c r="K143" s="773">
        <v>0</v>
      </c>
      <c r="L143" s="774">
        <f>COUNTIF(L138:L139,"&gt;100")</f>
        <v>0</v>
      </c>
      <c r="M143" s="774">
        <f t="shared" ref="M143:AE143" si="88">COUNTIF(M138:M139,"&gt;100")</f>
        <v>2</v>
      </c>
      <c r="N143" s="774">
        <f t="shared" si="88"/>
        <v>2</v>
      </c>
      <c r="O143" s="774">
        <f t="shared" si="88"/>
        <v>2</v>
      </c>
      <c r="P143" s="774">
        <f t="shared" si="88"/>
        <v>2</v>
      </c>
      <c r="Q143" s="774">
        <f t="shared" si="88"/>
        <v>2</v>
      </c>
      <c r="R143" s="774">
        <f t="shared" si="88"/>
        <v>2</v>
      </c>
      <c r="S143" s="774">
        <f t="shared" si="88"/>
        <v>2</v>
      </c>
      <c r="T143" s="774">
        <f t="shared" si="88"/>
        <v>2</v>
      </c>
      <c r="U143" s="774">
        <f t="shared" si="88"/>
        <v>2</v>
      </c>
      <c r="V143" s="774">
        <f t="shared" si="88"/>
        <v>2</v>
      </c>
      <c r="W143" s="774">
        <f t="shared" si="88"/>
        <v>2</v>
      </c>
      <c r="X143" s="774">
        <f t="shared" si="88"/>
        <v>2</v>
      </c>
      <c r="Y143" s="774">
        <f t="shared" si="88"/>
        <v>2</v>
      </c>
      <c r="Z143" s="774">
        <f t="shared" si="88"/>
        <v>2</v>
      </c>
      <c r="AA143" s="774">
        <f t="shared" si="88"/>
        <v>2</v>
      </c>
      <c r="AB143" s="774">
        <f t="shared" si="88"/>
        <v>2</v>
      </c>
      <c r="AC143" s="774">
        <f t="shared" si="88"/>
        <v>2</v>
      </c>
      <c r="AD143" s="774">
        <f t="shared" si="88"/>
        <v>2</v>
      </c>
      <c r="AE143" s="774">
        <f t="shared" si="88"/>
        <v>2</v>
      </c>
      <c r="AF143" s="772"/>
      <c r="AG143" s="772"/>
    </row>
    <row r="144" spans="1:33" s="56" customFormat="1" ht="14.25">
      <c r="A144" s="164" t="s">
        <v>9</v>
      </c>
      <c r="B144" s="164"/>
      <c r="C144" s="75"/>
      <c r="D144" s="173"/>
      <c r="E144" s="75"/>
      <c r="F144" s="75"/>
      <c r="G144" s="75"/>
      <c r="H144" s="75"/>
      <c r="I144" s="174"/>
      <c r="J144" s="181"/>
      <c r="K144" s="775">
        <v>0</v>
      </c>
      <c r="L144" s="776">
        <f>SUM(L142:L143)</f>
        <v>0</v>
      </c>
      <c r="M144" s="776">
        <f t="shared" ref="M144:AE144" si="89">COUNTIF(M135:M139,"&gt;0")</f>
        <v>5</v>
      </c>
      <c r="N144" s="776">
        <f t="shared" si="89"/>
        <v>5</v>
      </c>
      <c r="O144" s="776">
        <f t="shared" si="89"/>
        <v>5</v>
      </c>
      <c r="P144" s="776">
        <f t="shared" si="89"/>
        <v>5</v>
      </c>
      <c r="Q144" s="776">
        <f t="shared" si="89"/>
        <v>5</v>
      </c>
      <c r="R144" s="776">
        <f t="shared" si="89"/>
        <v>5</v>
      </c>
      <c r="S144" s="776">
        <f t="shared" si="89"/>
        <v>5</v>
      </c>
      <c r="T144" s="776">
        <f t="shared" si="89"/>
        <v>5</v>
      </c>
      <c r="U144" s="776">
        <f t="shared" si="89"/>
        <v>5</v>
      </c>
      <c r="V144" s="776">
        <f t="shared" si="89"/>
        <v>5</v>
      </c>
      <c r="W144" s="776">
        <f t="shared" si="89"/>
        <v>5</v>
      </c>
      <c r="X144" s="776">
        <f t="shared" si="89"/>
        <v>5</v>
      </c>
      <c r="Y144" s="776">
        <f t="shared" si="89"/>
        <v>5</v>
      </c>
      <c r="Z144" s="776">
        <f t="shared" si="89"/>
        <v>5</v>
      </c>
      <c r="AA144" s="776">
        <f t="shared" si="89"/>
        <v>5</v>
      </c>
      <c r="AB144" s="776">
        <f t="shared" si="89"/>
        <v>5</v>
      </c>
      <c r="AC144" s="776">
        <f t="shared" si="89"/>
        <v>5</v>
      </c>
      <c r="AD144" s="776">
        <f t="shared" si="89"/>
        <v>5</v>
      </c>
      <c r="AE144" s="776">
        <f t="shared" si="89"/>
        <v>5</v>
      </c>
      <c r="AF144" s="723"/>
      <c r="AG144" s="723"/>
    </row>
    <row r="145" spans="1:33">
      <c r="B145" s="37"/>
      <c r="C145" s="57"/>
      <c r="E145" s="57"/>
      <c r="F145" s="57"/>
      <c r="G145" s="57"/>
      <c r="H145" s="57"/>
      <c r="I145" s="43"/>
      <c r="J145" s="42"/>
      <c r="K145" s="683"/>
      <c r="L145" s="316"/>
      <c r="M145" s="316"/>
      <c r="N145" s="316"/>
      <c r="O145" s="316"/>
      <c r="P145" s="316"/>
      <c r="Q145" s="316"/>
      <c r="R145" s="316"/>
      <c r="S145" s="316"/>
      <c r="T145" s="316"/>
      <c r="U145" s="316"/>
      <c r="V145" s="316"/>
      <c r="W145" s="316"/>
      <c r="X145" s="316"/>
      <c r="Y145" s="316"/>
      <c r="Z145" s="316"/>
      <c r="AA145" s="316"/>
      <c r="AB145" s="316"/>
      <c r="AC145" s="316"/>
      <c r="AD145" s="316"/>
      <c r="AE145" s="316"/>
    </row>
    <row r="146" spans="1:33">
      <c r="A146" s="33" t="s">
        <v>60</v>
      </c>
      <c r="B146" s="191"/>
      <c r="C146" s="192"/>
      <c r="D146" s="193"/>
      <c r="E146" s="194"/>
      <c r="F146" s="194"/>
      <c r="G146" s="192"/>
      <c r="H146" s="192"/>
      <c r="I146" s="195">
        <v>0.2</v>
      </c>
      <c r="J146" s="196"/>
      <c r="K146" s="689">
        <v>0</v>
      </c>
      <c r="L146" s="665">
        <f t="shared" ref="L146:AE146" si="90">L140*$I$146</f>
        <v>0</v>
      </c>
      <c r="M146" s="665">
        <f t="shared" si="90"/>
        <v>10889.307692307695</v>
      </c>
      <c r="N146" s="665">
        <f t="shared" si="90"/>
        <v>11107.093846153846</v>
      </c>
      <c r="O146" s="665">
        <f t="shared" si="90"/>
        <v>11329.235723076927</v>
      </c>
      <c r="P146" s="665">
        <f t="shared" si="90"/>
        <v>11555.820437538463</v>
      </c>
      <c r="Q146" s="665">
        <f t="shared" si="90"/>
        <v>11786.936846289229</v>
      </c>
      <c r="R146" s="665">
        <f t="shared" si="90"/>
        <v>12022.675583215016</v>
      </c>
      <c r="S146" s="665">
        <f t="shared" si="90"/>
        <v>12263.129094879318</v>
      </c>
      <c r="T146" s="665">
        <f t="shared" si="90"/>
        <v>12508.391676776904</v>
      </c>
      <c r="U146" s="665">
        <f t="shared" si="90"/>
        <v>12758.55951031244</v>
      </c>
      <c r="V146" s="665">
        <f t="shared" si="90"/>
        <v>13013.730700518692</v>
      </c>
      <c r="W146" s="665">
        <f t="shared" si="90"/>
        <v>13274.005314529066</v>
      </c>
      <c r="X146" s="665">
        <f t="shared" si="90"/>
        <v>13539.485420819647</v>
      </c>
      <c r="Y146" s="665">
        <f t="shared" si="90"/>
        <v>13810.275129236041</v>
      </c>
      <c r="Z146" s="665">
        <f t="shared" si="90"/>
        <v>14086.480631820759</v>
      </c>
      <c r="AA146" s="665">
        <f t="shared" si="90"/>
        <v>14368.210244457177</v>
      </c>
      <c r="AB146" s="665">
        <f t="shared" si="90"/>
        <v>14655.574449346321</v>
      </c>
      <c r="AC146" s="665">
        <f t="shared" si="90"/>
        <v>14948.685938333247</v>
      </c>
      <c r="AD146" s="665">
        <f t="shared" si="90"/>
        <v>15247.659657099914</v>
      </c>
      <c r="AE146" s="665">
        <f t="shared" si="90"/>
        <v>15552.612850241911</v>
      </c>
    </row>
    <row r="147" spans="1:33">
      <c r="B147" s="191"/>
      <c r="C147" s="192"/>
      <c r="D147" s="193"/>
      <c r="E147" s="194"/>
      <c r="F147" s="194"/>
      <c r="G147" s="192"/>
      <c r="H147" s="192"/>
      <c r="I147" s="195"/>
      <c r="J147" s="196"/>
      <c r="K147" s="689"/>
      <c r="L147" s="665"/>
      <c r="M147" s="665"/>
      <c r="N147" s="665"/>
      <c r="O147" s="665"/>
      <c r="P147" s="665"/>
      <c r="Q147" s="665"/>
      <c r="R147" s="665"/>
      <c r="S147" s="665"/>
      <c r="T147" s="665"/>
      <c r="U147" s="665"/>
      <c r="V147" s="665"/>
      <c r="W147" s="665"/>
      <c r="X147" s="665"/>
      <c r="Y147" s="665"/>
      <c r="Z147" s="665"/>
      <c r="AA147" s="665"/>
      <c r="AB147" s="665"/>
      <c r="AC147" s="665"/>
      <c r="AD147" s="665"/>
      <c r="AE147" s="665"/>
    </row>
    <row r="148" spans="1:33" s="197" customFormat="1" ht="14.25">
      <c r="A148" s="197" t="s">
        <v>68</v>
      </c>
      <c r="D148" s="198"/>
      <c r="K148" s="690"/>
      <c r="L148" s="677"/>
      <c r="M148" s="677"/>
      <c r="N148" s="677"/>
      <c r="O148" s="677"/>
      <c r="P148" s="677"/>
      <c r="Q148" s="677"/>
      <c r="R148" s="677"/>
      <c r="S148" s="677"/>
      <c r="T148" s="677"/>
      <c r="U148" s="677"/>
      <c r="V148" s="677"/>
      <c r="W148" s="677"/>
      <c r="X148" s="677"/>
      <c r="Y148" s="677"/>
      <c r="Z148" s="677"/>
      <c r="AA148" s="677"/>
      <c r="AB148" s="677"/>
      <c r="AC148" s="677"/>
      <c r="AD148" s="677"/>
      <c r="AE148" s="677"/>
    </row>
    <row r="149" spans="1:33">
      <c r="A149" s="37" t="s">
        <v>423</v>
      </c>
      <c r="B149" s="37"/>
      <c r="C149" s="110"/>
      <c r="D149" s="106"/>
      <c r="E149" s="57"/>
      <c r="F149" s="57"/>
      <c r="G149" s="57"/>
      <c r="H149" s="57"/>
      <c r="I149" s="49"/>
      <c r="J149" s="44"/>
      <c r="K149" s="683">
        <f>COUNTIF(K$115:K$122,"&gt;0")*$J149*R$9</f>
        <v>0</v>
      </c>
      <c r="L149" s="666">
        <v>0</v>
      </c>
      <c r="M149" s="666">
        <v>10000</v>
      </c>
      <c r="N149" s="666">
        <f t="shared" ref="N149:AE149" si="91">$M$149*L11</f>
        <v>10200</v>
      </c>
      <c r="O149" s="666">
        <f t="shared" si="91"/>
        <v>10404</v>
      </c>
      <c r="P149" s="666">
        <f t="shared" si="91"/>
        <v>10612.08</v>
      </c>
      <c r="Q149" s="666">
        <f t="shared" si="91"/>
        <v>10824.321599999999</v>
      </c>
      <c r="R149" s="666">
        <f t="shared" si="91"/>
        <v>11040.808032000001</v>
      </c>
      <c r="S149" s="666">
        <f t="shared" si="91"/>
        <v>11261.62419264</v>
      </c>
      <c r="T149" s="666">
        <f t="shared" si="91"/>
        <v>11486.8566764928</v>
      </c>
      <c r="U149" s="666">
        <f t="shared" si="91"/>
        <v>11716.593810022658</v>
      </c>
      <c r="V149" s="666">
        <f t="shared" si="91"/>
        <v>11950.92568622311</v>
      </c>
      <c r="W149" s="666">
        <f t="shared" si="91"/>
        <v>12189.944199947573</v>
      </c>
      <c r="X149" s="666">
        <f t="shared" si="91"/>
        <v>12433.743083946525</v>
      </c>
      <c r="Y149" s="666">
        <f t="shared" si="91"/>
        <v>12682.417945625455</v>
      </c>
      <c r="Z149" s="666">
        <f t="shared" si="91"/>
        <v>12936.066304537962</v>
      </c>
      <c r="AA149" s="666">
        <f t="shared" si="91"/>
        <v>13194.787630628723</v>
      </c>
      <c r="AB149" s="666">
        <f t="shared" si="91"/>
        <v>13458.683383241299</v>
      </c>
      <c r="AC149" s="666">
        <f t="shared" si="91"/>
        <v>13727.857050906125</v>
      </c>
      <c r="AD149" s="666">
        <f t="shared" si="91"/>
        <v>14002.414191924248</v>
      </c>
      <c r="AE149" s="666">
        <f t="shared" si="91"/>
        <v>14282.462475762733</v>
      </c>
    </row>
    <row r="150" spans="1:33">
      <c r="A150" s="37" t="s">
        <v>67</v>
      </c>
      <c r="B150" s="37"/>
      <c r="C150" s="110"/>
      <c r="D150" s="106"/>
      <c r="E150" s="57"/>
      <c r="F150" s="57"/>
      <c r="G150" s="57"/>
      <c r="H150" s="57"/>
      <c r="I150" s="51"/>
      <c r="J150" s="44"/>
      <c r="K150" s="683">
        <v>0</v>
      </c>
      <c r="L150" s="666">
        <v>0</v>
      </c>
      <c r="M150" s="666">
        <v>10000</v>
      </c>
      <c r="N150" s="666">
        <f t="shared" ref="N150:AE150" si="92">$M$150*L11</f>
        <v>10200</v>
      </c>
      <c r="O150" s="666">
        <f t="shared" si="92"/>
        <v>10404</v>
      </c>
      <c r="P150" s="666">
        <f t="shared" si="92"/>
        <v>10612.08</v>
      </c>
      <c r="Q150" s="666">
        <f t="shared" si="92"/>
        <v>10824.321599999999</v>
      </c>
      <c r="R150" s="666">
        <f t="shared" si="92"/>
        <v>11040.808032000001</v>
      </c>
      <c r="S150" s="666">
        <f t="shared" si="92"/>
        <v>11261.62419264</v>
      </c>
      <c r="T150" s="666">
        <f t="shared" si="92"/>
        <v>11486.8566764928</v>
      </c>
      <c r="U150" s="666">
        <f t="shared" si="92"/>
        <v>11716.593810022658</v>
      </c>
      <c r="V150" s="666">
        <f t="shared" si="92"/>
        <v>11950.92568622311</v>
      </c>
      <c r="W150" s="666">
        <f t="shared" si="92"/>
        <v>12189.944199947573</v>
      </c>
      <c r="X150" s="666">
        <f t="shared" si="92"/>
        <v>12433.743083946525</v>
      </c>
      <c r="Y150" s="666">
        <f t="shared" si="92"/>
        <v>12682.417945625455</v>
      </c>
      <c r="Z150" s="666">
        <f t="shared" si="92"/>
        <v>12936.066304537962</v>
      </c>
      <c r="AA150" s="666">
        <f t="shared" si="92"/>
        <v>13194.787630628723</v>
      </c>
      <c r="AB150" s="666">
        <f t="shared" si="92"/>
        <v>13458.683383241299</v>
      </c>
      <c r="AC150" s="666">
        <f t="shared" si="92"/>
        <v>13727.857050906125</v>
      </c>
      <c r="AD150" s="666">
        <f t="shared" si="92"/>
        <v>14002.414191924248</v>
      </c>
      <c r="AE150" s="666">
        <f t="shared" si="92"/>
        <v>14282.462475762733</v>
      </c>
    </row>
    <row r="151" spans="1:33">
      <c r="A151" s="180" t="s">
        <v>2</v>
      </c>
      <c r="B151" s="777"/>
      <c r="C151" s="778"/>
      <c r="D151" s="779"/>
      <c r="E151" s="746"/>
      <c r="F151" s="746"/>
      <c r="G151" s="778"/>
      <c r="H151" s="778"/>
      <c r="I151" s="780"/>
      <c r="J151" s="781"/>
      <c r="K151" s="741">
        <v>0</v>
      </c>
      <c r="L151" s="742">
        <v>0</v>
      </c>
      <c r="M151" s="742">
        <v>0</v>
      </c>
      <c r="N151" s="742">
        <v>0</v>
      </c>
      <c r="O151" s="742">
        <v>0</v>
      </c>
      <c r="P151" s="742">
        <v>0</v>
      </c>
      <c r="Q151" s="742">
        <v>0</v>
      </c>
      <c r="R151" s="742">
        <v>0</v>
      </c>
      <c r="S151" s="742">
        <v>0</v>
      </c>
      <c r="T151" s="742">
        <v>0</v>
      </c>
      <c r="U151" s="742">
        <v>0</v>
      </c>
      <c r="V151" s="742">
        <v>0</v>
      </c>
      <c r="W151" s="742">
        <v>0</v>
      </c>
      <c r="X151" s="742">
        <v>0</v>
      </c>
      <c r="Y151" s="742">
        <v>0</v>
      </c>
      <c r="Z151" s="742">
        <v>0</v>
      </c>
      <c r="AA151" s="742">
        <v>0</v>
      </c>
      <c r="AB151" s="742">
        <v>0</v>
      </c>
      <c r="AC151" s="742">
        <v>0</v>
      </c>
      <c r="AD151" s="742">
        <v>0</v>
      </c>
      <c r="AE151" s="742">
        <v>0</v>
      </c>
    </row>
    <row r="152" spans="1:33" s="56" customFormat="1" ht="14.25">
      <c r="A152" s="164" t="s">
        <v>78</v>
      </c>
      <c r="B152" s="164"/>
      <c r="C152" s="75"/>
      <c r="D152" s="173"/>
      <c r="E152" s="75"/>
      <c r="F152" s="75"/>
      <c r="G152" s="75"/>
      <c r="H152" s="75"/>
      <c r="I152" s="174"/>
      <c r="J152" s="175"/>
      <c r="K152" s="685">
        <v>0</v>
      </c>
      <c r="L152" s="669">
        <f t="shared" ref="L152:AE152" si="93">SUM(L149:L151)</f>
        <v>0</v>
      </c>
      <c r="M152" s="669">
        <f t="shared" si="93"/>
        <v>20000</v>
      </c>
      <c r="N152" s="669">
        <f t="shared" si="93"/>
        <v>20400</v>
      </c>
      <c r="O152" s="669">
        <f t="shared" si="93"/>
        <v>20808</v>
      </c>
      <c r="P152" s="669">
        <f t="shared" si="93"/>
        <v>21224.16</v>
      </c>
      <c r="Q152" s="669">
        <f t="shared" si="93"/>
        <v>21648.643199999999</v>
      </c>
      <c r="R152" s="669">
        <f t="shared" si="93"/>
        <v>22081.616064000002</v>
      </c>
      <c r="S152" s="669">
        <f t="shared" si="93"/>
        <v>22523.24838528</v>
      </c>
      <c r="T152" s="669">
        <f t="shared" si="93"/>
        <v>22973.7133529856</v>
      </c>
      <c r="U152" s="669">
        <f t="shared" si="93"/>
        <v>23433.187620045315</v>
      </c>
      <c r="V152" s="669">
        <f t="shared" si="93"/>
        <v>23901.851372446221</v>
      </c>
      <c r="W152" s="669">
        <f t="shared" si="93"/>
        <v>24379.888399895146</v>
      </c>
      <c r="X152" s="669">
        <f t="shared" si="93"/>
        <v>24867.48616789305</v>
      </c>
      <c r="Y152" s="669">
        <f t="shared" si="93"/>
        <v>25364.83589125091</v>
      </c>
      <c r="Z152" s="669">
        <f t="shared" si="93"/>
        <v>25872.132609075925</v>
      </c>
      <c r="AA152" s="669">
        <f t="shared" si="93"/>
        <v>26389.575261257447</v>
      </c>
      <c r="AB152" s="669">
        <f t="shared" si="93"/>
        <v>26917.366766482599</v>
      </c>
      <c r="AC152" s="669">
        <f t="shared" si="93"/>
        <v>27455.714101812249</v>
      </c>
      <c r="AD152" s="669">
        <f t="shared" si="93"/>
        <v>28004.828383848497</v>
      </c>
      <c r="AE152" s="669">
        <f t="shared" si="93"/>
        <v>28564.924951525467</v>
      </c>
    </row>
    <row r="153" spans="1:33" s="56" customFormat="1" ht="14.25">
      <c r="A153" s="164"/>
      <c r="B153" s="164"/>
      <c r="C153" s="75"/>
      <c r="D153" s="173"/>
      <c r="E153" s="75"/>
      <c r="F153" s="75"/>
      <c r="G153" s="75"/>
      <c r="H153" s="75"/>
      <c r="I153" s="174"/>
      <c r="J153" s="175"/>
      <c r="K153" s="685"/>
      <c r="L153" s="669"/>
      <c r="M153" s="669"/>
      <c r="N153" s="669"/>
      <c r="O153" s="669"/>
      <c r="P153" s="669"/>
      <c r="Q153" s="669"/>
      <c r="R153" s="669"/>
      <c r="S153" s="669"/>
      <c r="T153" s="669"/>
      <c r="U153" s="669"/>
      <c r="V153" s="669"/>
      <c r="W153" s="669"/>
      <c r="X153" s="669"/>
      <c r="Y153" s="669"/>
      <c r="Z153" s="669"/>
      <c r="AA153" s="669"/>
      <c r="AB153" s="669"/>
      <c r="AC153" s="669"/>
      <c r="AD153" s="669"/>
      <c r="AE153" s="669"/>
    </row>
    <row r="154" spans="1:33" s="56" customFormat="1" ht="14.25">
      <c r="A154" s="164" t="s">
        <v>66</v>
      </c>
      <c r="B154" s="164"/>
      <c r="C154" s="75"/>
      <c r="D154" s="173"/>
      <c r="E154" s="75"/>
      <c r="F154" s="75"/>
      <c r="G154" s="75"/>
      <c r="H154" s="75"/>
      <c r="I154" s="174"/>
      <c r="J154" s="175"/>
      <c r="K154" s="685">
        <v>0</v>
      </c>
      <c r="L154" s="669">
        <f>SUM(L140,L152)</f>
        <v>0</v>
      </c>
      <c r="M154" s="669">
        <f>SUM(M140,M146,M152)</f>
        <v>85335.846153846156</v>
      </c>
      <c r="N154" s="669">
        <f t="shared" ref="N154:AE154" si="94">SUM(N140,N146,N152)</f>
        <v>87042.563076923077</v>
      </c>
      <c r="O154" s="669">
        <f t="shared" si="94"/>
        <v>88783.41433846156</v>
      </c>
      <c r="P154" s="669">
        <f t="shared" si="94"/>
        <v>90559.082625230774</v>
      </c>
      <c r="Q154" s="669">
        <f t="shared" si="94"/>
        <v>92370.264277735376</v>
      </c>
      <c r="R154" s="669">
        <f t="shared" si="94"/>
        <v>94217.669563290081</v>
      </c>
      <c r="S154" s="669">
        <f t="shared" si="94"/>
        <v>96102.022954555898</v>
      </c>
      <c r="T154" s="669">
        <f t="shared" si="94"/>
        <v>98024.063413647003</v>
      </c>
      <c r="U154" s="669">
        <f t="shared" si="94"/>
        <v>99984.544681919942</v>
      </c>
      <c r="V154" s="669">
        <f t="shared" si="94"/>
        <v>101984.23557555837</v>
      </c>
      <c r="W154" s="669">
        <f t="shared" si="94"/>
        <v>104023.92028706953</v>
      </c>
      <c r="X154" s="669">
        <f t="shared" si="94"/>
        <v>106104.39869281092</v>
      </c>
      <c r="Y154" s="669">
        <f t="shared" si="94"/>
        <v>108226.48666666714</v>
      </c>
      <c r="Z154" s="669">
        <f t="shared" si="94"/>
        <v>110391.01640000047</v>
      </c>
      <c r="AA154" s="669">
        <f t="shared" si="94"/>
        <v>112598.8367280005</v>
      </c>
      <c r="AB154" s="669">
        <f t="shared" si="94"/>
        <v>114850.8134625605</v>
      </c>
      <c r="AC154" s="669">
        <f t="shared" si="94"/>
        <v>117147.82973181173</v>
      </c>
      <c r="AD154" s="669">
        <f t="shared" si="94"/>
        <v>119490.78632644797</v>
      </c>
      <c r="AE154" s="669">
        <f t="shared" si="94"/>
        <v>121880.60205297693</v>
      </c>
    </row>
    <row r="155" spans="1:33" s="56" customFormat="1" ht="14.25">
      <c r="A155" s="164"/>
      <c r="B155" s="164"/>
      <c r="C155" s="75"/>
      <c r="D155" s="173"/>
      <c r="E155" s="75"/>
      <c r="F155" s="75"/>
      <c r="G155" s="75"/>
      <c r="H155" s="75"/>
      <c r="I155" s="174"/>
      <c r="J155" s="175"/>
      <c r="K155" s="685"/>
      <c r="L155" s="669"/>
      <c r="M155" s="669"/>
      <c r="N155" s="669"/>
      <c r="O155" s="669"/>
      <c r="P155" s="669"/>
      <c r="Q155" s="669"/>
      <c r="R155" s="669"/>
      <c r="S155" s="669"/>
      <c r="T155" s="669"/>
      <c r="U155" s="669"/>
      <c r="V155" s="669"/>
      <c r="W155" s="669"/>
      <c r="X155" s="669"/>
      <c r="Y155" s="669"/>
      <c r="Z155" s="669"/>
      <c r="AA155" s="669"/>
      <c r="AB155" s="669"/>
      <c r="AC155" s="669"/>
      <c r="AD155" s="669"/>
      <c r="AE155" s="669"/>
    </row>
    <row r="156" spans="1:33">
      <c r="A156" s="47" t="s">
        <v>7</v>
      </c>
      <c r="B156" s="47" t="s">
        <v>7</v>
      </c>
      <c r="C156" s="78" t="s">
        <v>7</v>
      </c>
      <c r="D156" s="100"/>
      <c r="E156" s="78" t="s">
        <v>7</v>
      </c>
      <c r="F156" s="78"/>
      <c r="G156" s="78" t="s">
        <v>7</v>
      </c>
      <c r="H156" s="78"/>
      <c r="I156" s="52" t="s">
        <v>7</v>
      </c>
      <c r="J156" s="114"/>
      <c r="K156" s="673"/>
      <c r="L156" s="672"/>
      <c r="M156" s="672"/>
      <c r="N156" s="672"/>
      <c r="O156" s="672"/>
      <c r="P156" s="672"/>
      <c r="Q156" s="672"/>
      <c r="R156" s="672"/>
      <c r="S156" s="672"/>
      <c r="T156" s="672"/>
      <c r="U156" s="672"/>
      <c r="V156" s="672"/>
      <c r="W156" s="672"/>
      <c r="X156" s="672"/>
      <c r="Y156" s="672"/>
      <c r="Z156" s="672"/>
      <c r="AA156" s="672"/>
      <c r="AB156" s="672"/>
      <c r="AC156" s="672"/>
      <c r="AD156" s="672"/>
      <c r="AE156" s="672"/>
    </row>
    <row r="157" spans="1:33">
      <c r="A157" s="47"/>
      <c r="B157" s="47"/>
      <c r="C157" s="78"/>
      <c r="D157" s="100"/>
      <c r="E157" s="78"/>
      <c r="F157" s="78"/>
      <c r="G157" s="78"/>
      <c r="H157" s="78"/>
      <c r="I157" s="52"/>
      <c r="J157" s="114"/>
      <c r="K157" s="664"/>
      <c r="L157" s="666"/>
      <c r="M157" s="666"/>
      <c r="N157" s="666"/>
      <c r="O157" s="666"/>
      <c r="P157" s="666"/>
      <c r="Q157" s="666"/>
      <c r="R157" s="666"/>
      <c r="S157" s="666"/>
      <c r="T157" s="666"/>
      <c r="U157" s="666"/>
      <c r="V157" s="666"/>
      <c r="W157" s="666"/>
      <c r="X157" s="666"/>
      <c r="Y157" s="666"/>
      <c r="Z157" s="666"/>
      <c r="AA157" s="666"/>
      <c r="AB157" s="666"/>
      <c r="AC157" s="666"/>
      <c r="AD157" s="666"/>
      <c r="AE157" s="666"/>
    </row>
    <row r="158" spans="1:33" s="56" customFormat="1" ht="14.25">
      <c r="A158" s="203" t="s">
        <v>79</v>
      </c>
      <c r="B158" s="203"/>
      <c r="C158" s="204"/>
      <c r="D158" s="205"/>
      <c r="E158" s="204"/>
      <c r="F158" s="204"/>
      <c r="G158" s="204"/>
      <c r="H158" s="204"/>
      <c r="I158" s="206"/>
      <c r="J158" s="207"/>
      <c r="K158" s="675">
        <v>0</v>
      </c>
      <c r="L158" s="676">
        <f t="shared" ref="L158:AE158" si="95">SUM(L131,L154)</f>
        <v>0</v>
      </c>
      <c r="M158" s="676">
        <f t="shared" si="95"/>
        <v>139905.84615384616</v>
      </c>
      <c r="N158" s="676">
        <f t="shared" si="95"/>
        <v>143817.19107692307</v>
      </c>
      <c r="O158" s="676">
        <f t="shared" si="95"/>
        <v>146693.53489846154</v>
      </c>
      <c r="P158" s="676">
        <f t="shared" si="95"/>
        <v>149627.40559643076</v>
      </c>
      <c r="Q158" s="676">
        <f t="shared" si="95"/>
        <v>152619.95370835939</v>
      </c>
      <c r="R158" s="676">
        <f t="shared" si="95"/>
        <v>155672.35278252655</v>
      </c>
      <c r="S158" s="676">
        <f t="shared" si="95"/>
        <v>158785.7998381771</v>
      </c>
      <c r="T158" s="676">
        <f t="shared" si="95"/>
        <v>161961.51583494066</v>
      </c>
      <c r="U158" s="676">
        <f t="shared" si="95"/>
        <v>165200.74615163944</v>
      </c>
      <c r="V158" s="676">
        <f t="shared" si="95"/>
        <v>168504.76107467228</v>
      </c>
      <c r="W158" s="676">
        <f t="shared" si="95"/>
        <v>171874.85629616573</v>
      </c>
      <c r="X158" s="676">
        <f t="shared" si="95"/>
        <v>175312.35342208904</v>
      </c>
      <c r="Y158" s="676">
        <f t="shared" si="95"/>
        <v>178818.60049053084</v>
      </c>
      <c r="Z158" s="676">
        <f t="shared" si="95"/>
        <v>182394.97250034142</v>
      </c>
      <c r="AA158" s="676">
        <f t="shared" si="95"/>
        <v>186042.87195034826</v>
      </c>
      <c r="AB158" s="676">
        <f t="shared" si="95"/>
        <v>189763.72938935523</v>
      </c>
      <c r="AC158" s="676">
        <f t="shared" si="95"/>
        <v>193559.00397714233</v>
      </c>
      <c r="AD158" s="676">
        <f t="shared" si="95"/>
        <v>197430.18405668519</v>
      </c>
      <c r="AE158" s="676">
        <f t="shared" si="95"/>
        <v>201378.7877378189</v>
      </c>
      <c r="AG158" s="199"/>
    </row>
    <row r="159" spans="1:33">
      <c r="K159" s="664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</row>
    <row r="160" spans="1:33">
      <c r="A160" s="47" t="s">
        <v>7</v>
      </c>
      <c r="B160" s="47" t="s">
        <v>7</v>
      </c>
      <c r="C160" s="78" t="s">
        <v>7</v>
      </c>
      <c r="D160" s="100"/>
      <c r="E160" s="78" t="s">
        <v>7</v>
      </c>
      <c r="F160" s="78"/>
      <c r="G160" s="78" t="s">
        <v>7</v>
      </c>
      <c r="H160" s="78"/>
      <c r="I160" s="52" t="s">
        <v>7</v>
      </c>
      <c r="J160" s="114"/>
      <c r="K160" s="673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</row>
    <row r="161" spans="1:33">
      <c r="K161" s="664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G161" s="199"/>
    </row>
    <row r="162" spans="1:33" s="56" customFormat="1" ht="14.25">
      <c r="A162" s="208" t="s">
        <v>115</v>
      </c>
      <c r="B162" s="208"/>
      <c r="C162" s="208"/>
      <c r="D162" s="202"/>
      <c r="E162" s="208"/>
      <c r="F162" s="208"/>
      <c r="G162" s="208"/>
      <c r="H162" s="208"/>
      <c r="I162" s="208"/>
      <c r="J162" s="208"/>
      <c r="K162" s="678">
        <f>SUM(K152,K112)</f>
        <v>0</v>
      </c>
      <c r="L162" s="678">
        <f t="shared" ref="L162:AE162" si="96">SUM(L112,L158)</f>
        <v>357416.66666666669</v>
      </c>
      <c r="M162" s="678">
        <f t="shared" si="96"/>
        <v>872654.34615384613</v>
      </c>
      <c r="N162" s="678">
        <f t="shared" si="96"/>
        <v>891230.86107692309</v>
      </c>
      <c r="O162" s="678">
        <f t="shared" si="96"/>
        <v>909055.47829846153</v>
      </c>
      <c r="P162" s="678">
        <f t="shared" si="96"/>
        <v>927236.58786443074</v>
      </c>
      <c r="Q162" s="678">
        <f t="shared" si="96"/>
        <v>974125.19841691933</v>
      </c>
      <c r="R162" s="678">
        <f t="shared" si="96"/>
        <v>989070.78359488968</v>
      </c>
      <c r="S162" s="678">
        <f t="shared" si="96"/>
        <v>1008852.1992667874</v>
      </c>
      <c r="T162" s="678">
        <f t="shared" si="96"/>
        <v>1029029.2432521235</v>
      </c>
      <c r="U162" s="678">
        <f t="shared" si="96"/>
        <v>1049609.8281171659</v>
      </c>
      <c r="V162" s="678">
        <f t="shared" si="96"/>
        <v>1074992.5274695121</v>
      </c>
      <c r="W162" s="678">
        <f t="shared" si="96"/>
        <v>1092014.0651730993</v>
      </c>
      <c r="X162" s="678">
        <f t="shared" si="96"/>
        <v>1113854.3464765614</v>
      </c>
      <c r="Y162" s="678">
        <f t="shared" si="96"/>
        <v>1136131.4334060927</v>
      </c>
      <c r="Z162" s="678">
        <f t="shared" si="96"/>
        <v>1158854.0620742145</v>
      </c>
      <c r="AA162" s="678">
        <f t="shared" si="96"/>
        <v>1186358.2091465369</v>
      </c>
      <c r="AB162" s="678">
        <f t="shared" si="96"/>
        <v>1205671.7661820129</v>
      </c>
      <c r="AC162" s="678">
        <f t="shared" si="96"/>
        <v>1229785.2015056531</v>
      </c>
      <c r="AD162" s="678">
        <f t="shared" si="96"/>
        <v>1254380.9055357664</v>
      </c>
      <c r="AE162" s="678">
        <f t="shared" si="96"/>
        <v>1279468.5236464818</v>
      </c>
      <c r="AG162" s="199"/>
    </row>
    <row r="163" spans="1:33">
      <c r="K163" s="664"/>
      <c r="L163" s="666"/>
      <c r="M163" s="666"/>
      <c r="N163" s="666"/>
      <c r="O163" s="666"/>
      <c r="P163" s="666"/>
      <c r="Q163" s="666"/>
      <c r="R163" s="666"/>
      <c r="S163" s="666"/>
      <c r="T163" s="666"/>
      <c r="U163" s="666"/>
      <c r="V163" s="666"/>
      <c r="W163" s="666"/>
      <c r="X163" s="666"/>
      <c r="Y163" s="666"/>
      <c r="Z163" s="666"/>
      <c r="AA163" s="666"/>
      <c r="AB163" s="666"/>
      <c r="AC163" s="666"/>
      <c r="AD163" s="666"/>
      <c r="AE163" s="666"/>
      <c r="AG163" s="199"/>
    </row>
    <row r="164" spans="1:33">
      <c r="A164" s="251"/>
      <c r="B164" s="251"/>
      <c r="C164" s="251"/>
      <c r="D164" s="259"/>
      <c r="E164" s="251"/>
      <c r="F164" s="251"/>
      <c r="G164" s="251"/>
      <c r="H164" s="251"/>
      <c r="I164" s="251"/>
      <c r="J164" s="251"/>
      <c r="K164" s="679"/>
      <c r="L164" s="680"/>
      <c r="M164" s="680"/>
      <c r="N164" s="680"/>
      <c r="O164" s="680"/>
      <c r="P164" s="680"/>
      <c r="Q164" s="680"/>
      <c r="R164" s="680"/>
      <c r="S164" s="680"/>
      <c r="T164" s="680"/>
      <c r="U164" s="680"/>
      <c r="V164" s="680"/>
      <c r="W164" s="680"/>
      <c r="X164" s="680"/>
      <c r="Y164" s="680"/>
      <c r="Z164" s="680"/>
      <c r="AA164" s="680"/>
      <c r="AB164" s="680"/>
      <c r="AC164" s="680"/>
      <c r="AD164" s="680"/>
      <c r="AE164" s="680"/>
      <c r="AG164" s="199"/>
    </row>
    <row r="165" spans="1:33">
      <c r="K165" s="664"/>
      <c r="L165" s="666"/>
      <c r="M165" s="666"/>
      <c r="N165" s="666"/>
      <c r="O165" s="666"/>
      <c r="P165" s="666"/>
      <c r="Q165" s="666"/>
      <c r="R165" s="666"/>
      <c r="S165" s="666"/>
      <c r="T165" s="666"/>
      <c r="U165" s="666"/>
      <c r="V165" s="666"/>
      <c r="W165" s="666"/>
      <c r="X165" s="666"/>
      <c r="Y165" s="666"/>
      <c r="Z165" s="666"/>
      <c r="AA165" s="666"/>
      <c r="AB165" s="666"/>
      <c r="AC165" s="666"/>
      <c r="AD165" s="666"/>
      <c r="AE165" s="666"/>
      <c r="AG165" s="199"/>
    </row>
    <row r="166" spans="1:33">
      <c r="A166" s="249" t="s">
        <v>84</v>
      </c>
      <c r="B166" s="281"/>
      <c r="C166" s="281"/>
      <c r="D166" s="177"/>
      <c r="E166" s="281"/>
      <c r="F166" s="281"/>
      <c r="G166" s="281"/>
      <c r="H166" s="281"/>
      <c r="I166" s="281"/>
      <c r="J166" s="281"/>
      <c r="K166" s="681"/>
      <c r="L166" s="682"/>
      <c r="M166" s="682"/>
      <c r="N166" s="682"/>
      <c r="O166" s="682"/>
      <c r="P166" s="682"/>
      <c r="Q166" s="682"/>
      <c r="R166" s="682"/>
      <c r="S166" s="682"/>
      <c r="T166" s="682"/>
      <c r="U166" s="682"/>
      <c r="V166" s="682"/>
      <c r="W166" s="682"/>
      <c r="X166" s="682"/>
      <c r="Y166" s="682"/>
      <c r="Z166" s="682"/>
      <c r="AA166" s="682"/>
      <c r="AB166" s="682"/>
      <c r="AC166" s="682"/>
      <c r="AD166" s="682"/>
      <c r="AE166" s="682"/>
      <c r="AG166" s="199"/>
    </row>
    <row r="167" spans="1:33" s="252" customFormat="1">
      <c r="A167" s="257"/>
      <c r="D167" s="186"/>
      <c r="K167" s="664"/>
      <c r="L167" s="671"/>
      <c r="M167" s="671"/>
      <c r="N167" s="671"/>
      <c r="O167" s="671"/>
      <c r="P167" s="671"/>
      <c r="Q167" s="671"/>
      <c r="R167" s="671"/>
      <c r="S167" s="671"/>
      <c r="T167" s="671"/>
      <c r="U167" s="671"/>
      <c r="V167" s="671"/>
      <c r="W167" s="671"/>
      <c r="X167" s="671"/>
      <c r="Y167" s="671"/>
      <c r="Z167" s="671"/>
      <c r="AA167" s="671"/>
      <c r="AB167" s="671"/>
      <c r="AC167" s="671"/>
      <c r="AD167" s="671"/>
      <c r="AE167" s="671"/>
      <c r="AG167" s="363"/>
    </row>
    <row r="168" spans="1:33">
      <c r="A168" s="96" t="s">
        <v>136</v>
      </c>
      <c r="B168" s="37"/>
      <c r="C168" s="110"/>
      <c r="D168" s="106"/>
      <c r="E168" s="57"/>
      <c r="F168" s="57"/>
      <c r="G168" s="57"/>
      <c r="H168" s="57"/>
      <c r="I168" s="51"/>
      <c r="J168" s="44"/>
      <c r="K168" s="514"/>
      <c r="L168" s="515"/>
      <c r="M168" s="515"/>
      <c r="N168" s="515"/>
      <c r="O168" s="515"/>
      <c r="P168" s="515"/>
      <c r="Q168" s="515"/>
      <c r="R168" s="515"/>
      <c r="S168" s="515"/>
      <c r="T168" s="515"/>
      <c r="U168" s="515"/>
      <c r="V168" s="515"/>
      <c r="W168" s="515"/>
      <c r="X168" s="515"/>
      <c r="Y168" s="515"/>
      <c r="Z168" s="515"/>
      <c r="AA168" s="515"/>
      <c r="AB168" s="515"/>
      <c r="AC168" s="515"/>
      <c r="AD168" s="515"/>
      <c r="AE168" s="515"/>
      <c r="AG168" s="199"/>
    </row>
    <row r="169" spans="1:33">
      <c r="A169" s="37" t="s">
        <v>456</v>
      </c>
      <c r="K169" s="683">
        <v>0</v>
      </c>
      <c r="L169" s="663">
        <v>0</v>
      </c>
      <c r="M169" s="663">
        <v>49995</v>
      </c>
      <c r="N169" s="663">
        <f t="shared" ref="N169:AE169" si="97">$M$169*L11</f>
        <v>50994.9</v>
      </c>
      <c r="O169" s="663">
        <f t="shared" si="97"/>
        <v>52014.798000000003</v>
      </c>
      <c r="P169" s="663">
        <f t="shared" si="97"/>
        <v>53055.093959999998</v>
      </c>
      <c r="Q169" s="663">
        <f t="shared" si="97"/>
        <v>54116.195839200002</v>
      </c>
      <c r="R169" s="663">
        <f t="shared" si="97"/>
        <v>55198.519755984002</v>
      </c>
      <c r="S169" s="663">
        <f t="shared" si="97"/>
        <v>56302.490151103681</v>
      </c>
      <c r="T169" s="663">
        <f t="shared" si="97"/>
        <v>57428.539954125758</v>
      </c>
      <c r="U169" s="663">
        <f t="shared" si="97"/>
        <v>58577.110753208275</v>
      </c>
      <c r="V169" s="663">
        <f t="shared" si="97"/>
        <v>59748.652968272443</v>
      </c>
      <c r="W169" s="663">
        <f t="shared" si="97"/>
        <v>60943.626027637896</v>
      </c>
      <c r="X169" s="663">
        <f t="shared" si="97"/>
        <v>62162.498548190648</v>
      </c>
      <c r="Y169" s="663">
        <f t="shared" si="97"/>
        <v>63405.748519154462</v>
      </c>
      <c r="Z169" s="663">
        <f t="shared" si="97"/>
        <v>64673.863489537544</v>
      </c>
      <c r="AA169" s="663">
        <f t="shared" si="97"/>
        <v>65967.340759328305</v>
      </c>
      <c r="AB169" s="663">
        <f t="shared" si="97"/>
        <v>67286.687574514872</v>
      </c>
      <c r="AC169" s="663">
        <f t="shared" si="97"/>
        <v>68632.421326005177</v>
      </c>
      <c r="AD169" s="663">
        <f t="shared" si="97"/>
        <v>70005.069752525276</v>
      </c>
      <c r="AE169" s="663">
        <f t="shared" si="97"/>
        <v>71405.171147575791</v>
      </c>
    </row>
    <row r="170" spans="1:33">
      <c r="K170" s="683"/>
    </row>
    <row r="171" spans="1:33">
      <c r="A171" s="96" t="s">
        <v>576</v>
      </c>
      <c r="K171" s="683">
        <v>0</v>
      </c>
      <c r="L171" s="882">
        <f>'Capital Financing'!$B$44</f>
        <v>591295.19999999995</v>
      </c>
      <c r="M171" s="882">
        <f>'Capital Financing'!$B$44</f>
        <v>591295.19999999995</v>
      </c>
      <c r="N171" s="882">
        <f>'Capital Financing'!$B$44</f>
        <v>591295.19999999995</v>
      </c>
      <c r="O171" s="882">
        <f>'Capital Financing'!$B$44</f>
        <v>591295.19999999995</v>
      </c>
      <c r="P171" s="882">
        <f>'Capital Financing'!$B$44</f>
        <v>591295.19999999995</v>
      </c>
      <c r="Q171" s="882">
        <f>'Capital Financing'!$B$44</f>
        <v>591295.19999999995</v>
      </c>
      <c r="R171" s="882">
        <f>'Capital Financing'!$B$44</f>
        <v>591295.19999999995</v>
      </c>
      <c r="S171" s="882">
        <f>'Capital Financing'!$B$44</f>
        <v>591295.19999999995</v>
      </c>
      <c r="T171" s="882">
        <f>'Capital Financing'!$B$44</f>
        <v>591295.19999999995</v>
      </c>
      <c r="U171" s="882">
        <f>'Capital Financing'!$B$44</f>
        <v>591295.19999999995</v>
      </c>
      <c r="V171" s="882">
        <f>'Capital Financing'!$B$44</f>
        <v>591295.19999999995</v>
      </c>
      <c r="W171" s="882">
        <f>'Capital Financing'!$B$44</f>
        <v>591295.19999999995</v>
      </c>
      <c r="X171" s="882">
        <f>'Capital Financing'!$B$44</f>
        <v>591295.19999999995</v>
      </c>
      <c r="Y171" s="882">
        <f>'Capital Financing'!$B$44</f>
        <v>591295.19999999995</v>
      </c>
      <c r="Z171" s="882">
        <f>'Capital Financing'!$B$44</f>
        <v>591295.19999999995</v>
      </c>
      <c r="AA171" s="882">
        <f>'Capital Financing'!$B$44</f>
        <v>591295.19999999995</v>
      </c>
      <c r="AB171" s="882">
        <f>'Capital Financing'!$B$44</f>
        <v>591295.19999999995</v>
      </c>
      <c r="AC171" s="882">
        <f>'Capital Financing'!$B$44</f>
        <v>591295.19999999995</v>
      </c>
      <c r="AD171" s="882">
        <f>'Capital Financing'!$B$44</f>
        <v>591295.19999999995</v>
      </c>
      <c r="AE171" s="882">
        <f>'Capital Financing'!$B$44</f>
        <v>591295.19999999995</v>
      </c>
    </row>
    <row r="172" spans="1:33" s="702" customFormat="1">
      <c r="A172" s="341" t="s">
        <v>315</v>
      </c>
      <c r="B172" s="701"/>
      <c r="C172" s="703"/>
      <c r="D172" s="704"/>
      <c r="E172" s="705"/>
      <c r="F172" s="705"/>
      <c r="G172" s="705"/>
      <c r="H172" s="705"/>
      <c r="I172" s="706"/>
      <c r="J172" s="707"/>
      <c r="K172" s="699">
        <v>0</v>
      </c>
      <c r="L172" s="700">
        <v>0</v>
      </c>
      <c r="M172" s="700">
        <v>0</v>
      </c>
      <c r="N172" s="700">
        <v>0</v>
      </c>
      <c r="O172" s="700">
        <v>0</v>
      </c>
      <c r="P172" s="700">
        <v>0</v>
      </c>
      <c r="Q172" s="700">
        <v>0</v>
      </c>
      <c r="R172" s="700">
        <v>0</v>
      </c>
      <c r="S172" s="700">
        <v>0</v>
      </c>
      <c r="T172" s="700">
        <v>0</v>
      </c>
      <c r="U172" s="700">
        <v>0</v>
      </c>
      <c r="V172" s="700">
        <v>0</v>
      </c>
      <c r="W172" s="700">
        <v>0</v>
      </c>
      <c r="X172" s="700">
        <v>0</v>
      </c>
      <c r="Y172" s="700">
        <v>0</v>
      </c>
      <c r="Z172" s="700">
        <v>0</v>
      </c>
      <c r="AA172" s="700">
        <v>0</v>
      </c>
      <c r="AB172" s="700">
        <v>0</v>
      </c>
      <c r="AC172" s="700">
        <v>0</v>
      </c>
      <c r="AD172" s="700">
        <v>0</v>
      </c>
      <c r="AE172" s="700">
        <v>0</v>
      </c>
      <c r="AG172" s="708"/>
    </row>
    <row r="173" spans="1:33">
      <c r="A173" s="180" t="s">
        <v>316</v>
      </c>
      <c r="B173" s="180"/>
      <c r="C173" s="180"/>
      <c r="D173" s="116"/>
      <c r="E173" s="180"/>
      <c r="F173" s="180"/>
      <c r="G173" s="180"/>
      <c r="H173" s="180"/>
      <c r="I173" s="180"/>
      <c r="J173" s="180"/>
      <c r="K173" s="505">
        <v>0</v>
      </c>
      <c r="L173" s="506">
        <v>246000</v>
      </c>
      <c r="M173" s="506">
        <v>246000</v>
      </c>
      <c r="N173" s="506">
        <v>246000</v>
      </c>
      <c r="O173" s="506">
        <v>246000</v>
      </c>
      <c r="P173" s="506">
        <v>246000</v>
      </c>
      <c r="Q173" s="506">
        <v>246000</v>
      </c>
      <c r="R173" s="506">
        <v>246000</v>
      </c>
      <c r="S173" s="506">
        <v>246000</v>
      </c>
      <c r="T173" s="506">
        <v>246000</v>
      </c>
      <c r="U173" s="506">
        <v>246000</v>
      </c>
      <c r="V173" s="506">
        <v>246000</v>
      </c>
      <c r="W173" s="506">
        <v>246000</v>
      </c>
      <c r="X173" s="506">
        <v>246000</v>
      </c>
      <c r="Y173" s="506">
        <v>246000</v>
      </c>
      <c r="Z173" s="506">
        <v>246000</v>
      </c>
      <c r="AA173" s="506">
        <v>246000</v>
      </c>
      <c r="AB173" s="506">
        <v>246000</v>
      </c>
      <c r="AC173" s="506">
        <v>246000</v>
      </c>
      <c r="AD173" s="506">
        <v>246000</v>
      </c>
      <c r="AE173" s="506">
        <v>246000</v>
      </c>
      <c r="AG173" s="199"/>
    </row>
    <row r="174" spans="1:33" s="56" customFormat="1" ht="14.25">
      <c r="A174" s="56" t="s">
        <v>134</v>
      </c>
      <c r="D174" s="173"/>
      <c r="K174" s="524">
        <f t="shared" ref="K174:AE174" si="98">SUM(K168:K173)</f>
        <v>0</v>
      </c>
      <c r="L174" s="525">
        <f t="shared" si="98"/>
        <v>837295.2</v>
      </c>
      <c r="M174" s="525">
        <f t="shared" si="98"/>
        <v>887290.2</v>
      </c>
      <c r="N174" s="525">
        <f t="shared" si="98"/>
        <v>888290.1</v>
      </c>
      <c r="O174" s="525">
        <f t="shared" si="98"/>
        <v>889309.99799999991</v>
      </c>
      <c r="P174" s="525">
        <f t="shared" si="98"/>
        <v>890350.29395999992</v>
      </c>
      <c r="Q174" s="525">
        <f t="shared" si="98"/>
        <v>891411.39583920001</v>
      </c>
      <c r="R174" s="525">
        <f t="shared" si="98"/>
        <v>892493.71975598391</v>
      </c>
      <c r="S174" s="525">
        <f t="shared" si="98"/>
        <v>893597.69015110366</v>
      </c>
      <c r="T174" s="525">
        <f t="shared" si="98"/>
        <v>894723.73995412572</v>
      </c>
      <c r="U174" s="525">
        <f t="shared" si="98"/>
        <v>895872.31075320824</v>
      </c>
      <c r="V174" s="525">
        <f t="shared" si="98"/>
        <v>897043.8529682724</v>
      </c>
      <c r="W174" s="525">
        <f t="shared" si="98"/>
        <v>898238.82602763781</v>
      </c>
      <c r="X174" s="525">
        <f t="shared" si="98"/>
        <v>899457.69854819064</v>
      </c>
      <c r="Y174" s="525">
        <f t="shared" si="98"/>
        <v>900700.94851915445</v>
      </c>
      <c r="Z174" s="525">
        <f t="shared" si="98"/>
        <v>901969.06348953745</v>
      </c>
      <c r="AA174" s="525">
        <f t="shared" si="98"/>
        <v>903262.54075932829</v>
      </c>
      <c r="AB174" s="525">
        <f t="shared" si="98"/>
        <v>904581.88757451484</v>
      </c>
      <c r="AC174" s="525">
        <f t="shared" si="98"/>
        <v>905927.62132600509</v>
      </c>
      <c r="AD174" s="525">
        <f t="shared" si="98"/>
        <v>907300.26975252526</v>
      </c>
      <c r="AE174" s="525">
        <f t="shared" si="98"/>
        <v>908700.37114757579</v>
      </c>
      <c r="AG174" s="199"/>
    </row>
    <row r="175" spans="1:33">
      <c r="K175" s="683"/>
      <c r="L175" s="666"/>
      <c r="M175" s="666"/>
      <c r="N175" s="666"/>
      <c r="O175" s="666"/>
      <c r="P175" s="666"/>
      <c r="Q175" s="666"/>
      <c r="R175" s="666"/>
      <c r="S175" s="666"/>
      <c r="T175" s="666"/>
      <c r="U175" s="666"/>
      <c r="V175" s="666"/>
      <c r="W175" s="666"/>
      <c r="X175" s="666"/>
      <c r="Y175" s="666"/>
      <c r="Z175" s="666"/>
      <c r="AA175" s="666"/>
      <c r="AB175" s="666"/>
      <c r="AC175" s="666"/>
      <c r="AD175" s="666"/>
      <c r="AE175" s="666"/>
      <c r="AG175" s="199"/>
    </row>
    <row r="176" spans="1:33" s="56" customFormat="1" ht="14.25">
      <c r="A176" s="208" t="s">
        <v>86</v>
      </c>
      <c r="B176" s="718">
        <f>SUM(L176:AE176)</f>
        <v>17887817.728526361</v>
      </c>
      <c r="C176" s="208"/>
      <c r="D176" s="202"/>
      <c r="E176" s="208"/>
      <c r="F176" s="208"/>
      <c r="G176" s="208"/>
      <c r="H176" s="208"/>
      <c r="I176" s="208"/>
      <c r="J176" s="208"/>
      <c r="K176" s="678">
        <f>SUM(K169:K169)</f>
        <v>0</v>
      </c>
      <c r="L176" s="678">
        <f>L174</f>
        <v>837295.2</v>
      </c>
      <c r="M176" s="678">
        <f t="shared" ref="M176:AE176" si="99">M174</f>
        <v>887290.2</v>
      </c>
      <c r="N176" s="678">
        <f t="shared" si="99"/>
        <v>888290.1</v>
      </c>
      <c r="O176" s="678">
        <f t="shared" si="99"/>
        <v>889309.99799999991</v>
      </c>
      <c r="P176" s="678">
        <f t="shared" si="99"/>
        <v>890350.29395999992</v>
      </c>
      <c r="Q176" s="678">
        <f t="shared" si="99"/>
        <v>891411.39583920001</v>
      </c>
      <c r="R176" s="678">
        <f t="shared" si="99"/>
        <v>892493.71975598391</v>
      </c>
      <c r="S176" s="678">
        <f t="shared" si="99"/>
        <v>893597.69015110366</v>
      </c>
      <c r="T176" s="678">
        <f t="shared" si="99"/>
        <v>894723.73995412572</v>
      </c>
      <c r="U176" s="678">
        <f t="shared" si="99"/>
        <v>895872.31075320824</v>
      </c>
      <c r="V176" s="678">
        <f t="shared" si="99"/>
        <v>897043.8529682724</v>
      </c>
      <c r="W176" s="678">
        <f t="shared" si="99"/>
        <v>898238.82602763781</v>
      </c>
      <c r="X176" s="678">
        <f t="shared" si="99"/>
        <v>899457.69854819064</v>
      </c>
      <c r="Y176" s="678">
        <f t="shared" si="99"/>
        <v>900700.94851915445</v>
      </c>
      <c r="Z176" s="678">
        <f t="shared" si="99"/>
        <v>901969.06348953745</v>
      </c>
      <c r="AA176" s="678">
        <f t="shared" si="99"/>
        <v>903262.54075932829</v>
      </c>
      <c r="AB176" s="678">
        <f t="shared" si="99"/>
        <v>904581.88757451484</v>
      </c>
      <c r="AC176" s="678">
        <f t="shared" si="99"/>
        <v>905927.62132600509</v>
      </c>
      <c r="AD176" s="678">
        <f t="shared" si="99"/>
        <v>907300.26975252526</v>
      </c>
      <c r="AE176" s="678">
        <f t="shared" si="99"/>
        <v>908700.37114757579</v>
      </c>
      <c r="AG176" s="199"/>
    </row>
    <row r="177" spans="1:31">
      <c r="K177" s="662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1"/>
      <c r="Y177" s="201"/>
      <c r="Z177" s="201"/>
      <c r="AA177" s="201"/>
      <c r="AB177" s="201"/>
      <c r="AC177" s="201"/>
      <c r="AD177" s="201"/>
      <c r="AE177" s="201"/>
    </row>
    <row r="178" spans="1:31">
      <c r="A178" s="251"/>
      <c r="B178" s="251"/>
      <c r="C178" s="251"/>
      <c r="D178" s="259"/>
      <c r="E178" s="251"/>
      <c r="F178" s="251"/>
      <c r="G178" s="251"/>
      <c r="H178" s="251"/>
      <c r="I178" s="251"/>
      <c r="J178" s="251"/>
      <c r="K178" s="324"/>
      <c r="L178" s="325"/>
      <c r="M178" s="325"/>
      <c r="N178" s="325"/>
      <c r="O178" s="325"/>
      <c r="P178" s="325"/>
      <c r="Q178" s="325"/>
      <c r="R178" s="325"/>
      <c r="S178" s="325"/>
      <c r="T178" s="325"/>
      <c r="U178" s="325"/>
      <c r="V178" s="325"/>
      <c r="W178" s="325"/>
      <c r="X178" s="325"/>
      <c r="Y178" s="325"/>
      <c r="Z178" s="325"/>
      <c r="AA178" s="325"/>
      <c r="AB178" s="325"/>
      <c r="AC178" s="325"/>
      <c r="AD178" s="325"/>
      <c r="AE178" s="325"/>
    </row>
    <row r="179" spans="1:31">
      <c r="K179" s="322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1"/>
      <c r="Y179" s="201"/>
      <c r="Z179" s="201"/>
      <c r="AA179" s="201"/>
      <c r="AB179" s="201"/>
      <c r="AC179" s="201"/>
      <c r="AD179" s="201"/>
      <c r="AE179" s="201"/>
    </row>
    <row r="180" spans="1:31">
      <c r="A180"/>
      <c r="K180" s="322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</row>
    <row r="181" spans="1:31">
      <c r="A181"/>
      <c r="K181" s="322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</row>
    <row r="182" spans="1:31">
      <c r="K182" s="322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  <c r="AA182" s="201"/>
      <c r="AB182" s="201"/>
      <c r="AC182" s="201"/>
      <c r="AD182" s="201"/>
      <c r="AE182" s="201"/>
    </row>
    <row r="183" spans="1:31">
      <c r="K183" s="322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</row>
    <row r="184" spans="1:31">
      <c r="K184" s="322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  <c r="AA184" s="201"/>
      <c r="AB184" s="201"/>
      <c r="AC184" s="201"/>
      <c r="AD184" s="201"/>
      <c r="AE184" s="201"/>
    </row>
    <row r="185" spans="1:31">
      <c r="K185" s="322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</row>
    <row r="186" spans="1:31">
      <c r="K186" s="322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</row>
    <row r="187" spans="1:31">
      <c r="K187" s="322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</row>
    <row r="188" spans="1:31">
      <c r="K188" s="322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</row>
    <row r="189" spans="1:31">
      <c r="K189" s="322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</row>
    <row r="190" spans="1:31">
      <c r="K190" s="322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</row>
    <row r="191" spans="1:31">
      <c r="K191" s="322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</row>
    <row r="192" spans="1:31">
      <c r="K192" s="322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</row>
    <row r="193" spans="11:31">
      <c r="K193" s="322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201"/>
      <c r="AE193" s="201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FD193"/>
  <sheetViews>
    <sheetView topLeftCell="A66" zoomScale="70" zoomScaleNormal="70" workbookViewId="0">
      <selection activeCell="P87" sqref="P87"/>
    </sheetView>
  </sheetViews>
  <sheetFormatPr defaultColWidth="9" defaultRowHeight="16.5"/>
  <cols>
    <col min="1" max="1" width="45.625" style="33" customWidth="1"/>
    <col min="2" max="2" width="48.5" style="33" bestFit="1" customWidth="1"/>
    <col min="3" max="3" width="18.125" style="33" bestFit="1" customWidth="1"/>
    <col min="4" max="4" width="16.25" style="109" bestFit="1" customWidth="1"/>
    <col min="5" max="5" width="13.125" style="33" bestFit="1" customWidth="1"/>
    <col min="6" max="6" width="20.5" style="33" bestFit="1" customWidth="1"/>
    <col min="7" max="7" width="20.25" style="33" bestFit="1" customWidth="1"/>
    <col min="8" max="8" width="21.75" style="33" bestFit="1" customWidth="1"/>
    <col min="9" max="9" width="12.125" style="33" bestFit="1" customWidth="1"/>
    <col min="10" max="10" width="13.875" style="33" bestFit="1" customWidth="1"/>
    <col min="11" max="11" width="7.75" style="166" bestFit="1" customWidth="1"/>
    <col min="12" max="18" width="15.875" style="33" bestFit="1" customWidth="1"/>
    <col min="19" max="22" width="17.5" style="33" bestFit="1" customWidth="1"/>
    <col min="23" max="23" width="17.125" style="33" bestFit="1" customWidth="1"/>
    <col min="24" max="24" width="16.75" style="33" bestFit="1" customWidth="1"/>
    <col min="25" max="25" width="16.375" style="33" bestFit="1" customWidth="1"/>
    <col min="26" max="28" width="17.125" style="33" bestFit="1" customWidth="1"/>
    <col min="29" max="31" width="17.5" style="33" bestFit="1" customWidth="1"/>
    <col min="32" max="32" width="22.625" style="33" bestFit="1" customWidth="1"/>
    <col min="33" max="33" width="12.625" style="33" bestFit="1" customWidth="1"/>
    <col min="34" max="16384" width="9" style="33"/>
  </cols>
  <sheetData>
    <row r="1" spans="1:31" ht="18.75" thickBot="1">
      <c r="A1" s="11" t="str">
        <f>Intro!A1</f>
        <v>Town of Bar Harbor</v>
      </c>
      <c r="B1" s="13"/>
      <c r="C1" s="13"/>
      <c r="D1" s="99"/>
      <c r="E1" s="14"/>
      <c r="F1" s="14"/>
      <c r="G1" s="34"/>
      <c r="H1" s="34"/>
      <c r="I1" s="34"/>
      <c r="J1" s="34"/>
      <c r="K1" s="16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</row>
    <row r="2" spans="1:31" ht="17.25" thickBot="1">
      <c r="A2" s="380" t="str">
        <f>Intro!A2</f>
        <v>Ferry Property Business Plan</v>
      </c>
      <c r="B2" s="13"/>
      <c r="C2" s="13"/>
      <c r="D2" s="99"/>
      <c r="E2" s="14"/>
      <c r="F2" s="14"/>
      <c r="G2" s="34"/>
      <c r="H2" s="34"/>
      <c r="I2" s="34"/>
      <c r="J2" s="34"/>
      <c r="K2" s="16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</row>
    <row r="3" spans="1:31" s="392" customFormat="1" ht="14.25" thickBot="1">
      <c r="A3" s="384" t="str">
        <f>Intro!A3</f>
        <v>05.23.2018</v>
      </c>
      <c r="B3" s="2"/>
      <c r="C3" s="382"/>
      <c r="D3" s="393"/>
      <c r="E3" s="385"/>
      <c r="F3" s="385"/>
      <c r="G3" s="389"/>
      <c r="H3" s="389"/>
      <c r="I3" s="389"/>
      <c r="J3" s="389"/>
      <c r="K3" s="390"/>
      <c r="L3" s="391"/>
      <c r="M3" s="391"/>
      <c r="N3" s="391"/>
      <c r="O3" s="391"/>
      <c r="P3" s="391"/>
      <c r="Q3" s="391"/>
      <c r="R3" s="391"/>
      <c r="S3" s="391"/>
      <c r="T3" s="391"/>
      <c r="U3" s="391"/>
      <c r="V3" s="391"/>
      <c r="W3" s="391"/>
      <c r="X3" s="391"/>
      <c r="Y3" s="391"/>
      <c r="Z3" s="391"/>
      <c r="AA3" s="391"/>
      <c r="AB3" s="391"/>
      <c r="AC3" s="391"/>
      <c r="AD3" s="391"/>
      <c r="AE3" s="391"/>
    </row>
    <row r="4" spans="1:31" s="392" customFormat="1" ht="13.5">
      <c r="A4" s="384" t="str">
        <f ca="1">Intro!A4</f>
        <v>Town of Bar Harbor</v>
      </c>
      <c r="B4" s="382"/>
      <c r="C4" s="382"/>
      <c r="D4" s="393"/>
      <c r="E4" s="383">
        <f ca="1">NOW()</f>
        <v>43242.835659143515</v>
      </c>
      <c r="F4" s="383"/>
      <c r="G4" s="389"/>
      <c r="H4" s="389"/>
      <c r="I4" s="389"/>
      <c r="J4" s="389"/>
      <c r="K4" s="390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  <c r="W4" s="391"/>
      <c r="X4" s="391"/>
      <c r="Y4" s="391"/>
      <c r="Z4" s="391"/>
      <c r="AA4" s="391"/>
      <c r="AB4" s="391"/>
      <c r="AC4" s="391"/>
      <c r="AD4" s="391"/>
      <c r="AE4" s="391"/>
    </row>
    <row r="5" spans="1:31">
      <c r="A5" s="231" t="s">
        <v>342</v>
      </c>
      <c r="B5" s="231"/>
      <c r="C5" s="232"/>
      <c r="D5" s="233"/>
      <c r="E5" s="232"/>
      <c r="F5" s="232"/>
      <c r="G5" s="234"/>
      <c r="H5" s="234"/>
      <c r="I5" s="234"/>
      <c r="J5" s="234"/>
      <c r="K5" s="235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1:31">
      <c r="A6" s="237"/>
      <c r="B6" s="237"/>
      <c r="C6" s="237"/>
      <c r="D6" s="238"/>
      <c r="E6" s="237"/>
      <c r="F6" s="237"/>
      <c r="G6" s="237"/>
      <c r="H6" s="237"/>
      <c r="I6" s="237"/>
      <c r="J6" s="237"/>
      <c r="K6" s="659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</row>
    <row r="7" spans="1:31" ht="48.75" customHeight="1">
      <c r="A7" s="239"/>
      <c r="B7" s="240" t="s">
        <v>45</v>
      </c>
      <c r="C7" s="241" t="s">
        <v>46</v>
      </c>
      <c r="D7" s="242" t="s">
        <v>47</v>
      </c>
      <c r="E7" s="240" t="s">
        <v>21</v>
      </c>
      <c r="F7" s="240" t="s">
        <v>48</v>
      </c>
      <c r="G7" s="240" t="s">
        <v>49</v>
      </c>
      <c r="H7" s="240" t="s">
        <v>59</v>
      </c>
      <c r="I7" s="240" t="s">
        <v>22</v>
      </c>
      <c r="J7" s="240" t="s">
        <v>50</v>
      </c>
      <c r="K7" s="243">
        <v>2018</v>
      </c>
      <c r="L7" s="243">
        <v>2019</v>
      </c>
      <c r="M7" s="243">
        <v>2020</v>
      </c>
      <c r="N7" s="243">
        <v>2021</v>
      </c>
      <c r="O7" s="243">
        <v>2022</v>
      </c>
      <c r="P7" s="243">
        <v>2023</v>
      </c>
      <c r="Q7" s="243">
        <v>2024</v>
      </c>
      <c r="R7" s="243">
        <v>2025</v>
      </c>
      <c r="S7" s="243">
        <v>2026</v>
      </c>
      <c r="T7" s="243">
        <v>2027</v>
      </c>
      <c r="U7" s="243">
        <v>2028</v>
      </c>
      <c r="V7" s="243">
        <v>2029</v>
      </c>
      <c r="W7" s="243">
        <v>2030</v>
      </c>
      <c r="X7" s="243">
        <v>2031</v>
      </c>
      <c r="Y7" s="243">
        <v>2032</v>
      </c>
      <c r="Z7" s="243">
        <v>2033</v>
      </c>
      <c r="AA7" s="243">
        <v>2034</v>
      </c>
      <c r="AB7" s="243">
        <v>2035</v>
      </c>
      <c r="AC7" s="243">
        <v>2036</v>
      </c>
      <c r="AD7" s="243">
        <v>2037</v>
      </c>
      <c r="AE7" s="243">
        <v>2038</v>
      </c>
    </row>
    <row r="8" spans="1:31" s="18" customFormat="1" ht="17.25" thickBot="1">
      <c r="K8" s="488"/>
    </row>
    <row r="9" spans="1:31" s="18" customFormat="1" ht="17.25" thickBot="1">
      <c r="A9" s="117" t="s">
        <v>381</v>
      </c>
      <c r="B9" s="484" t="str">
        <f>'Cruise Projections'!A83</f>
        <v>Scenario 4 - Percent of 2018 Business - RCCL</v>
      </c>
      <c r="K9" s="489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  <c r="Y9" s="327"/>
      <c r="Z9" s="327"/>
      <c r="AA9" s="327"/>
      <c r="AB9" s="327"/>
      <c r="AC9" s="327"/>
      <c r="AD9" s="327"/>
      <c r="AE9" s="327"/>
    </row>
    <row r="10" spans="1:31" s="18" customFormat="1">
      <c r="A10" s="649"/>
      <c r="B10" s="372"/>
      <c r="K10" s="489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  <c r="Y10" s="327"/>
      <c r="Z10" s="327"/>
      <c r="AA10" s="327"/>
      <c r="AB10" s="327"/>
      <c r="AC10" s="327"/>
      <c r="AD10" s="327"/>
      <c r="AE10" s="327"/>
    </row>
    <row r="11" spans="1:31">
      <c r="A11" s="38" t="s">
        <v>52</v>
      </c>
      <c r="B11" s="38"/>
      <c r="C11" s="38"/>
      <c r="D11" s="101"/>
      <c r="E11" s="38"/>
      <c r="F11" s="38"/>
      <c r="G11" s="37"/>
      <c r="H11" s="37"/>
      <c r="I11" s="38"/>
      <c r="J11" s="37"/>
      <c r="K11" s="784">
        <f>'OPEX - Concept A1'!K11</f>
        <v>0</v>
      </c>
      <c r="L11" s="311">
        <f>'BH Tariffs'!D52</f>
        <v>1.02</v>
      </c>
      <c r="M11" s="311">
        <f>'BH Tariffs'!E52</f>
        <v>1.0404</v>
      </c>
      <c r="N11" s="311">
        <f>'BH Tariffs'!F52</f>
        <v>1.0612079999999999</v>
      </c>
      <c r="O11" s="311">
        <f>'BH Tariffs'!G52</f>
        <v>1.08243216</v>
      </c>
      <c r="P11" s="311">
        <f>'BH Tariffs'!H52</f>
        <v>1.1040808032</v>
      </c>
      <c r="Q11" s="311">
        <f>'BH Tariffs'!I52</f>
        <v>1.1261624192640001</v>
      </c>
      <c r="R11" s="311">
        <f>'BH Tariffs'!J52</f>
        <v>1.14868566764928</v>
      </c>
      <c r="S11" s="311">
        <f>'BH Tariffs'!K52</f>
        <v>1.1716593810022657</v>
      </c>
      <c r="T11" s="311">
        <f>'BH Tariffs'!L52</f>
        <v>1.1950925686223111</v>
      </c>
      <c r="U11" s="311">
        <f>'BH Tariffs'!M52</f>
        <v>1.2189944199947573</v>
      </c>
      <c r="V11" s="311">
        <f>'BH Tariffs'!N52</f>
        <v>1.2433743083946525</v>
      </c>
      <c r="W11" s="311">
        <f>'BH Tariffs'!O52</f>
        <v>1.2682417945625455</v>
      </c>
      <c r="X11" s="311">
        <f>'BH Tariffs'!P52</f>
        <v>1.2936066304537963</v>
      </c>
      <c r="Y11" s="311">
        <f>'BH Tariffs'!Q52</f>
        <v>1.3194787630628724</v>
      </c>
      <c r="Z11" s="311">
        <f>'BH Tariffs'!R52</f>
        <v>1.3458683383241299</v>
      </c>
      <c r="AA11" s="311">
        <f>'BH Tariffs'!S52</f>
        <v>1.3727857050906125</v>
      </c>
      <c r="AB11" s="311">
        <f>'BH Tariffs'!T52</f>
        <v>1.4002414191924248</v>
      </c>
      <c r="AC11" s="311">
        <f>'BH Tariffs'!U52</f>
        <v>1.4282462475762734</v>
      </c>
      <c r="AD11" s="311">
        <f>'BH Tariffs'!V52</f>
        <v>1.4568111725277988</v>
      </c>
      <c r="AE11" s="311">
        <f>'BH Tariffs'!W52</f>
        <v>1.4859473959783549</v>
      </c>
    </row>
    <row r="12" spans="1:31">
      <c r="A12" s="38" t="s">
        <v>58</v>
      </c>
      <c r="B12" s="38"/>
      <c r="C12" s="37"/>
      <c r="D12" s="76"/>
      <c r="E12" s="79">
        <v>0.2</v>
      </c>
      <c r="F12" s="172"/>
      <c r="G12" s="36"/>
      <c r="H12" s="36"/>
      <c r="I12" s="38"/>
      <c r="J12" s="36"/>
      <c r="K12" s="661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200"/>
      <c r="AC12" s="200"/>
      <c r="AD12" s="200"/>
      <c r="AE12" s="200"/>
    </row>
    <row r="13" spans="1:31">
      <c r="A13" s="38" t="s">
        <v>51</v>
      </c>
      <c r="B13" s="38"/>
      <c r="C13" s="37"/>
      <c r="D13" s="76"/>
      <c r="E13" s="79"/>
      <c r="F13" s="79">
        <v>0.4</v>
      </c>
      <c r="G13" s="36"/>
      <c r="H13" s="36"/>
      <c r="I13" s="38"/>
      <c r="J13" s="36"/>
      <c r="K13" s="661"/>
      <c r="L13" s="200"/>
      <c r="M13" s="200"/>
      <c r="N13" s="200"/>
      <c r="O13" s="200"/>
      <c r="P13" s="200"/>
      <c r="Q13" s="200"/>
      <c r="R13" s="200"/>
      <c r="S13" s="200"/>
      <c r="T13" s="200"/>
      <c r="U13" s="200"/>
      <c r="V13" s="200"/>
      <c r="W13" s="200"/>
      <c r="X13" s="200"/>
      <c r="Y13" s="200"/>
      <c r="Z13" s="200"/>
      <c r="AA13" s="200"/>
      <c r="AB13" s="200"/>
      <c r="AC13" s="200"/>
      <c r="AD13" s="200"/>
      <c r="AE13" s="200"/>
    </row>
    <row r="14" spans="1:31" s="18" customFormat="1">
      <c r="A14" s="649"/>
      <c r="B14" s="372"/>
      <c r="K14" s="489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7"/>
      <c r="X14" s="327"/>
      <c r="Y14" s="327"/>
      <c r="Z14" s="327"/>
      <c r="AA14" s="327"/>
      <c r="AB14" s="327"/>
      <c r="AC14" s="327"/>
      <c r="AD14" s="327"/>
      <c r="AE14" s="327"/>
    </row>
    <row r="15" spans="1:31" s="18" customFormat="1">
      <c r="K15" s="489"/>
      <c r="L15" s="327"/>
      <c r="M15" s="327"/>
      <c r="N15" s="327"/>
      <c r="O15" s="327"/>
      <c r="P15" s="327"/>
      <c r="Q15" s="327"/>
      <c r="R15" s="327"/>
      <c r="S15" s="327"/>
      <c r="T15" s="327"/>
      <c r="U15" s="327"/>
      <c r="V15" s="327"/>
      <c r="W15" s="327"/>
      <c r="X15" s="327"/>
      <c r="Y15" s="327"/>
      <c r="Z15" s="327"/>
      <c r="AA15" s="327"/>
      <c r="AB15" s="327"/>
      <c r="AC15" s="327"/>
      <c r="AD15" s="327"/>
      <c r="AE15" s="327"/>
    </row>
    <row r="16" spans="1:31" s="582" customFormat="1" ht="14.25">
      <c r="A16" s="582" t="s">
        <v>83</v>
      </c>
      <c r="K16" s="490"/>
      <c r="L16" s="785"/>
      <c r="M16" s="785"/>
      <c r="N16" s="785"/>
      <c r="O16" s="785"/>
      <c r="P16" s="785"/>
      <c r="Q16" s="785"/>
      <c r="R16" s="785"/>
      <c r="S16" s="785"/>
      <c r="T16" s="785"/>
      <c r="U16" s="785"/>
      <c r="V16" s="785"/>
      <c r="W16" s="785"/>
      <c r="X16" s="785"/>
      <c r="Y16" s="785"/>
      <c r="Z16" s="785"/>
      <c r="AA16" s="785"/>
      <c r="AB16" s="785"/>
      <c r="AC16" s="785"/>
      <c r="AD16" s="785"/>
      <c r="AE16" s="785"/>
    </row>
    <row r="17" spans="1:31" s="96" customFormat="1">
      <c r="A17" s="53" t="str">
        <f>'Cruise Projections'!A67</f>
        <v>Passengers</v>
      </c>
      <c r="B17" s="487"/>
      <c r="C17" s="487"/>
      <c r="K17" s="486">
        <f>'P&amp;L - Concept B2 - RCCL'!D12</f>
        <v>0</v>
      </c>
      <c r="L17" s="313">
        <f>'P&amp;L - Concept B2 - RCCL'!E12</f>
        <v>0</v>
      </c>
      <c r="M17" s="313">
        <f>'P&amp;L - Concept B2 - RCCL'!F12</f>
        <v>89162.177869620791</v>
      </c>
      <c r="N17" s="313">
        <f>'P&amp;L - Concept B2 - RCCL'!G12</f>
        <v>89162.177869620791</v>
      </c>
      <c r="O17" s="313">
        <f>'P&amp;L - Concept B2 - RCCL'!H12</f>
        <v>89162.177869620791</v>
      </c>
      <c r="P17" s="313">
        <f>'P&amp;L - Concept B2 - RCCL'!I12</f>
        <v>89162.177869620791</v>
      </c>
      <c r="Q17" s="313">
        <f>'P&amp;L - Concept B2 - RCCL'!J12</f>
        <v>89162.177869620791</v>
      </c>
      <c r="R17" s="313">
        <f>'P&amp;L - Concept B2 - RCCL'!K12</f>
        <v>89162.177869620791</v>
      </c>
      <c r="S17" s="313">
        <f>'P&amp;L - Concept B2 - RCCL'!L12</f>
        <v>89162.177869620791</v>
      </c>
      <c r="T17" s="313">
        <f>'P&amp;L - Concept B2 - RCCL'!M12</f>
        <v>89162.177869620791</v>
      </c>
      <c r="U17" s="313">
        <f>'P&amp;L - Concept B2 - RCCL'!N12</f>
        <v>89162.177869620791</v>
      </c>
      <c r="V17" s="313">
        <f>'P&amp;L - Concept B2 - RCCL'!O12</f>
        <v>89162.177869620791</v>
      </c>
      <c r="W17" s="313">
        <f>'P&amp;L - Concept B2 - RCCL'!P12</f>
        <v>89162.177869620791</v>
      </c>
      <c r="X17" s="313">
        <f>'P&amp;L - Concept B2 - RCCL'!Q12</f>
        <v>89162.177869620791</v>
      </c>
      <c r="Y17" s="313">
        <f>'P&amp;L - Concept B2 - RCCL'!R12</f>
        <v>89162.177869620791</v>
      </c>
      <c r="Z17" s="313">
        <f>'P&amp;L - Concept B2 - RCCL'!S12</f>
        <v>89162.177869620791</v>
      </c>
      <c r="AA17" s="313">
        <f>'P&amp;L - Concept B2 - RCCL'!T12</f>
        <v>89162.177869620791</v>
      </c>
      <c r="AB17" s="313">
        <f>'P&amp;L - Concept B2 - RCCL'!U12</f>
        <v>89162.177869620791</v>
      </c>
      <c r="AC17" s="313">
        <f>'P&amp;L - Concept B2 - RCCL'!V12</f>
        <v>89162.177869620791</v>
      </c>
      <c r="AD17" s="313">
        <f>'P&amp;L - Concept B2 - RCCL'!W12</f>
        <v>89162.177869620791</v>
      </c>
      <c r="AE17" s="313">
        <f>'P&amp;L - Concept B2 - RCCL'!X12</f>
        <v>89162.177869620791</v>
      </c>
    </row>
    <row r="18" spans="1:31" s="96" customFormat="1">
      <c r="A18" s="53" t="str">
        <f>'Cruise Projections'!A68</f>
        <v>Calls</v>
      </c>
      <c r="B18" s="487"/>
      <c r="C18" s="487"/>
      <c r="K18" s="486">
        <f>'P&amp;L - Concept B2 - RCCL'!D13</f>
        <v>0</v>
      </c>
      <c r="L18" s="313">
        <f>'P&amp;L - Concept B2 - RCCL'!E13</f>
        <v>0</v>
      </c>
      <c r="M18" s="313">
        <f>'P&amp;L - Concept B2 - RCCL'!F13</f>
        <v>28.666666666666664</v>
      </c>
      <c r="N18" s="313">
        <f>'P&amp;L - Concept B2 - RCCL'!G13</f>
        <v>28.666666666666664</v>
      </c>
      <c r="O18" s="313">
        <f>'P&amp;L - Concept B2 - RCCL'!H13</f>
        <v>28.666666666666664</v>
      </c>
      <c r="P18" s="313">
        <f>'P&amp;L - Concept B2 - RCCL'!I13</f>
        <v>28.666666666666664</v>
      </c>
      <c r="Q18" s="313">
        <f>'P&amp;L - Concept B2 - RCCL'!J13</f>
        <v>28.666666666666664</v>
      </c>
      <c r="R18" s="313">
        <f>'P&amp;L - Concept B2 - RCCL'!K13</f>
        <v>28.666666666666664</v>
      </c>
      <c r="S18" s="313">
        <f>'P&amp;L - Concept B2 - RCCL'!L13</f>
        <v>28.666666666666664</v>
      </c>
      <c r="T18" s="313">
        <f>'P&amp;L - Concept B2 - RCCL'!M13</f>
        <v>28.666666666666664</v>
      </c>
      <c r="U18" s="313">
        <f>'P&amp;L - Concept B2 - RCCL'!N13</f>
        <v>28.666666666666664</v>
      </c>
      <c r="V18" s="313">
        <f>'P&amp;L - Concept B2 - RCCL'!O13</f>
        <v>28.666666666666664</v>
      </c>
      <c r="W18" s="313">
        <f>'P&amp;L - Concept B2 - RCCL'!P13</f>
        <v>28.666666666666664</v>
      </c>
      <c r="X18" s="313">
        <f>'P&amp;L - Concept B2 - RCCL'!Q13</f>
        <v>28.666666666666664</v>
      </c>
      <c r="Y18" s="313">
        <f>'P&amp;L - Concept B2 - RCCL'!R13</f>
        <v>28.666666666666664</v>
      </c>
      <c r="Z18" s="313">
        <f>'P&amp;L - Concept B2 - RCCL'!S13</f>
        <v>28.666666666666664</v>
      </c>
      <c r="AA18" s="313">
        <f>'P&amp;L - Concept B2 - RCCL'!T13</f>
        <v>28.666666666666664</v>
      </c>
      <c r="AB18" s="313">
        <f>'P&amp;L - Concept B2 - RCCL'!U13</f>
        <v>28.666666666666664</v>
      </c>
      <c r="AC18" s="313">
        <f>'P&amp;L - Concept B2 - RCCL'!V13</f>
        <v>28.666666666666664</v>
      </c>
      <c r="AD18" s="313">
        <f>'P&amp;L - Concept B2 - RCCL'!W13</f>
        <v>28.666666666666664</v>
      </c>
      <c r="AE18" s="313">
        <f>'P&amp;L - Concept B2 - RCCL'!X13</f>
        <v>28.666666666666664</v>
      </c>
    </row>
    <row r="19" spans="1:31" s="96" customFormat="1">
      <c r="A19" s="53" t="str">
        <f>'Cruise Projections'!A69</f>
        <v>Passengers per Call</v>
      </c>
      <c r="B19" s="487"/>
      <c r="C19" s="487"/>
      <c r="K19" s="486">
        <f>'P&amp;L - Concept B2 - RCCL'!D14</f>
        <v>0</v>
      </c>
      <c r="L19" s="313">
        <f>'P&amp;L - Concept B2 - RCCL'!E14</f>
        <v>0</v>
      </c>
      <c r="M19" s="313">
        <f>'P&amp;L - Concept B2 - RCCL'!F14</f>
        <v>3110.3085303356092</v>
      </c>
      <c r="N19" s="313">
        <f>'P&amp;L - Concept B2 - RCCL'!G14</f>
        <v>3110.3085303356092</v>
      </c>
      <c r="O19" s="313">
        <f>'P&amp;L - Concept B2 - RCCL'!H14</f>
        <v>3110.3085303356092</v>
      </c>
      <c r="P19" s="313">
        <f>'P&amp;L - Concept B2 - RCCL'!I14</f>
        <v>3110.3085303356092</v>
      </c>
      <c r="Q19" s="313">
        <f>'P&amp;L - Concept B2 - RCCL'!J14</f>
        <v>3110.3085303356092</v>
      </c>
      <c r="R19" s="313">
        <f>'P&amp;L - Concept B2 - RCCL'!K14</f>
        <v>3110.3085303356092</v>
      </c>
      <c r="S19" s="313">
        <f>'P&amp;L - Concept B2 - RCCL'!L14</f>
        <v>3110.3085303356092</v>
      </c>
      <c r="T19" s="313">
        <f>'P&amp;L - Concept B2 - RCCL'!M14</f>
        <v>3110.3085303356092</v>
      </c>
      <c r="U19" s="313">
        <f>'P&amp;L - Concept B2 - RCCL'!N14</f>
        <v>3110.3085303356092</v>
      </c>
      <c r="V19" s="313">
        <f>'P&amp;L - Concept B2 - RCCL'!O14</f>
        <v>3110.3085303356092</v>
      </c>
      <c r="W19" s="313">
        <f>'P&amp;L - Concept B2 - RCCL'!P14</f>
        <v>3110.3085303356092</v>
      </c>
      <c r="X19" s="313">
        <f>'P&amp;L - Concept B2 - RCCL'!Q14</f>
        <v>3110.3085303356092</v>
      </c>
      <c r="Y19" s="313">
        <f>'P&amp;L - Concept B2 - RCCL'!R14</f>
        <v>3110.3085303356092</v>
      </c>
      <c r="Z19" s="313">
        <f>'P&amp;L - Concept B2 - RCCL'!S14</f>
        <v>3110.3085303356092</v>
      </c>
      <c r="AA19" s="313">
        <f>'P&amp;L - Concept B2 - RCCL'!T14</f>
        <v>3110.3085303356092</v>
      </c>
      <c r="AB19" s="313">
        <f>'P&amp;L - Concept B2 - RCCL'!U14</f>
        <v>3110.3085303356092</v>
      </c>
      <c r="AC19" s="313">
        <f>'P&amp;L - Concept B2 - RCCL'!V14</f>
        <v>3110.3085303356092</v>
      </c>
      <c r="AD19" s="313">
        <f>'P&amp;L - Concept B2 - RCCL'!W14</f>
        <v>3110.3085303356092</v>
      </c>
      <c r="AE19" s="313">
        <f>'P&amp;L - Concept B2 - RCCL'!X14</f>
        <v>3110.3085303356092</v>
      </c>
    </row>
    <row r="20" spans="1:31" s="96" customFormat="1">
      <c r="A20" s="54" t="s">
        <v>313</v>
      </c>
      <c r="B20" s="487"/>
      <c r="C20" s="487"/>
      <c r="K20" s="486">
        <f>'P&amp;L - Concept B2 - RCCL'!D15</f>
        <v>0</v>
      </c>
      <c r="L20" s="313">
        <f>'P&amp;L - Concept B2 - RCCL'!E15</f>
        <v>0</v>
      </c>
      <c r="M20" s="313">
        <f>'P&amp;L - Concept B2 - RCCL'!F15</f>
        <v>4120</v>
      </c>
      <c r="N20" s="313">
        <f>'P&amp;L - Concept B2 - RCCL'!G15</f>
        <v>4120</v>
      </c>
      <c r="O20" s="313">
        <f>'P&amp;L - Concept B2 - RCCL'!H15</f>
        <v>4120</v>
      </c>
      <c r="P20" s="313">
        <f>'P&amp;L - Concept B2 - RCCL'!I15</f>
        <v>4120</v>
      </c>
      <c r="Q20" s="313">
        <f>'P&amp;L - Concept B2 - RCCL'!J15</f>
        <v>4120</v>
      </c>
      <c r="R20" s="313">
        <f>'P&amp;L - Concept B2 - RCCL'!K15</f>
        <v>4120</v>
      </c>
      <c r="S20" s="313">
        <f>'P&amp;L - Concept B2 - RCCL'!L15</f>
        <v>4120</v>
      </c>
      <c r="T20" s="313">
        <f>'P&amp;L - Concept B2 - RCCL'!M15</f>
        <v>4120</v>
      </c>
      <c r="U20" s="313">
        <f>'P&amp;L - Concept B2 - RCCL'!N15</f>
        <v>4120</v>
      </c>
      <c r="V20" s="313">
        <f>'P&amp;L - Concept B2 - RCCL'!O15</f>
        <v>4120</v>
      </c>
      <c r="W20" s="313">
        <f>'P&amp;L - Concept B2 - RCCL'!P15</f>
        <v>4120</v>
      </c>
      <c r="X20" s="313">
        <f>'P&amp;L - Concept B2 - RCCL'!Q15</f>
        <v>4120</v>
      </c>
      <c r="Y20" s="313">
        <f>'P&amp;L - Concept B2 - RCCL'!R15</f>
        <v>4120</v>
      </c>
      <c r="Z20" s="313">
        <f>'P&amp;L - Concept B2 - RCCL'!S15</f>
        <v>4120</v>
      </c>
      <c r="AA20" s="313">
        <f>'P&amp;L - Concept B2 - RCCL'!T15</f>
        <v>4120</v>
      </c>
      <c r="AB20" s="313">
        <f>'P&amp;L - Concept B2 - RCCL'!U15</f>
        <v>4120</v>
      </c>
      <c r="AC20" s="313">
        <f>'P&amp;L - Concept B2 - RCCL'!V15</f>
        <v>4120</v>
      </c>
      <c r="AD20" s="313">
        <f>'P&amp;L - Concept B2 - RCCL'!W15</f>
        <v>4120</v>
      </c>
      <c r="AE20" s="313">
        <f>'P&amp;L - Concept B2 - RCCL'!X15</f>
        <v>4120</v>
      </c>
    </row>
    <row r="21" spans="1:31" s="18" customFormat="1">
      <c r="A21" s="54"/>
      <c r="B21" s="21"/>
      <c r="C21" s="21"/>
      <c r="K21" s="486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  <c r="Y21" s="313"/>
      <c r="Z21" s="313"/>
      <c r="AA21" s="313"/>
      <c r="AB21" s="313"/>
      <c r="AC21" s="313"/>
      <c r="AD21" s="313"/>
      <c r="AE21" s="313"/>
    </row>
    <row r="22" spans="1:31" s="547" customFormat="1">
      <c r="A22" s="549" t="s">
        <v>163</v>
      </c>
      <c r="B22" s="550"/>
      <c r="C22" s="550"/>
      <c r="K22" s="610"/>
      <c r="L22" s="555"/>
      <c r="M22" s="555"/>
      <c r="N22" s="555"/>
      <c r="O22" s="555"/>
      <c r="P22" s="555"/>
      <c r="Q22" s="555"/>
      <c r="R22" s="555"/>
      <c r="S22" s="555"/>
      <c r="T22" s="555"/>
      <c r="U22" s="555"/>
      <c r="V22" s="555"/>
      <c r="W22" s="555"/>
      <c r="X22" s="555"/>
      <c r="Y22" s="555"/>
      <c r="Z22" s="555"/>
      <c r="AA22" s="555"/>
      <c r="AB22" s="555"/>
      <c r="AC22" s="555"/>
      <c r="AD22" s="555"/>
      <c r="AE22" s="555"/>
    </row>
    <row r="23" spans="1:31" s="341" customFormat="1">
      <c r="A23" s="552" t="str">
        <f>'International Ferry Projections'!A11</f>
        <v>Passengers</v>
      </c>
      <c r="B23" s="553"/>
      <c r="C23" s="553"/>
      <c r="K23" s="554">
        <f>'P&amp;L - Concept B2 - RCCL'!D18</f>
        <v>0</v>
      </c>
      <c r="L23" s="555">
        <f>'P&amp;L - Concept B2 - RCCL'!E18</f>
        <v>60000</v>
      </c>
      <c r="M23" s="555">
        <f>'P&amp;L - Concept B2 - RCCL'!F18</f>
        <v>70000</v>
      </c>
      <c r="N23" s="555">
        <f>'P&amp;L - Concept B2 - RCCL'!G18</f>
        <v>80000</v>
      </c>
      <c r="O23" s="555">
        <f>'P&amp;L - Concept B2 - RCCL'!H18</f>
        <v>80000</v>
      </c>
      <c r="P23" s="555">
        <f>'P&amp;L - Concept B2 - RCCL'!I18</f>
        <v>80000</v>
      </c>
      <c r="Q23" s="555">
        <f>'P&amp;L - Concept B2 - RCCL'!J18</f>
        <v>80000</v>
      </c>
      <c r="R23" s="555">
        <f>'P&amp;L - Concept B2 - RCCL'!K18</f>
        <v>80000</v>
      </c>
      <c r="S23" s="555">
        <f>'P&amp;L - Concept B2 - RCCL'!L18</f>
        <v>80000</v>
      </c>
      <c r="T23" s="555">
        <f>'P&amp;L - Concept B2 - RCCL'!M18</f>
        <v>80000</v>
      </c>
      <c r="U23" s="555">
        <f>'P&amp;L - Concept B2 - RCCL'!N18</f>
        <v>80000</v>
      </c>
      <c r="V23" s="555">
        <f>'P&amp;L - Concept B2 - RCCL'!O18</f>
        <v>80000</v>
      </c>
      <c r="W23" s="555">
        <f>'P&amp;L - Concept B2 - RCCL'!P18</f>
        <v>80000</v>
      </c>
      <c r="X23" s="555">
        <f>'P&amp;L - Concept B2 - RCCL'!Q18</f>
        <v>80000</v>
      </c>
      <c r="Y23" s="555">
        <f>'P&amp;L - Concept B2 - RCCL'!R18</f>
        <v>80000</v>
      </c>
      <c r="Z23" s="555">
        <f>'P&amp;L - Concept B2 - RCCL'!S18</f>
        <v>80000</v>
      </c>
      <c r="AA23" s="555">
        <f>'P&amp;L - Concept B2 - RCCL'!T18</f>
        <v>80000</v>
      </c>
      <c r="AB23" s="555">
        <f>'P&amp;L - Concept B2 - RCCL'!U18</f>
        <v>80000</v>
      </c>
      <c r="AC23" s="555">
        <f>'P&amp;L - Concept B2 - RCCL'!V18</f>
        <v>80000</v>
      </c>
      <c r="AD23" s="555">
        <f>'P&amp;L - Concept B2 - RCCL'!W18</f>
        <v>80000</v>
      </c>
      <c r="AE23" s="555">
        <f>'P&amp;L - Concept B2 - RCCL'!X18</f>
        <v>80000</v>
      </c>
    </row>
    <row r="24" spans="1:31" s="341" customFormat="1">
      <c r="A24" s="552" t="str">
        <f>'International Ferry Projections'!A12</f>
        <v>Cars</v>
      </c>
      <c r="B24" s="553"/>
      <c r="C24" s="553"/>
      <c r="K24" s="554">
        <f>'P&amp;L - Concept B2 - RCCL'!D19</f>
        <v>0</v>
      </c>
      <c r="L24" s="555">
        <f>'P&amp;L - Concept B2 - RCCL'!E19</f>
        <v>24000</v>
      </c>
      <c r="M24" s="555">
        <f>'P&amp;L - Concept B2 - RCCL'!F19</f>
        <v>28000</v>
      </c>
      <c r="N24" s="555">
        <f>'P&amp;L - Concept B2 - RCCL'!G19</f>
        <v>32000</v>
      </c>
      <c r="O24" s="555">
        <f>'P&amp;L - Concept B2 - RCCL'!H19</f>
        <v>32000</v>
      </c>
      <c r="P24" s="555">
        <f>'P&amp;L - Concept B2 - RCCL'!I19</f>
        <v>32000</v>
      </c>
      <c r="Q24" s="555">
        <f>'P&amp;L - Concept B2 - RCCL'!J19</f>
        <v>32000</v>
      </c>
      <c r="R24" s="555">
        <f>'P&amp;L - Concept B2 - RCCL'!K19</f>
        <v>32000</v>
      </c>
      <c r="S24" s="555">
        <f>'P&amp;L - Concept B2 - RCCL'!L19</f>
        <v>32000</v>
      </c>
      <c r="T24" s="555">
        <f>'P&amp;L - Concept B2 - RCCL'!M19</f>
        <v>32000</v>
      </c>
      <c r="U24" s="555">
        <f>'P&amp;L - Concept B2 - RCCL'!N19</f>
        <v>32000</v>
      </c>
      <c r="V24" s="555">
        <f>'P&amp;L - Concept B2 - RCCL'!O19</f>
        <v>32000</v>
      </c>
      <c r="W24" s="555">
        <f>'P&amp;L - Concept B2 - RCCL'!P19</f>
        <v>32000</v>
      </c>
      <c r="X24" s="555">
        <f>'P&amp;L - Concept B2 - RCCL'!Q19</f>
        <v>32000</v>
      </c>
      <c r="Y24" s="555">
        <f>'P&amp;L - Concept B2 - RCCL'!R19</f>
        <v>32000</v>
      </c>
      <c r="Z24" s="555">
        <f>'P&amp;L - Concept B2 - RCCL'!S19</f>
        <v>32000</v>
      </c>
      <c r="AA24" s="555">
        <f>'P&amp;L - Concept B2 - RCCL'!T19</f>
        <v>32000</v>
      </c>
      <c r="AB24" s="555">
        <f>'P&amp;L - Concept B2 - RCCL'!U19</f>
        <v>32000</v>
      </c>
      <c r="AC24" s="555">
        <f>'P&amp;L - Concept B2 - RCCL'!V19</f>
        <v>32000</v>
      </c>
      <c r="AD24" s="555">
        <f>'P&amp;L - Concept B2 - RCCL'!W19</f>
        <v>32000</v>
      </c>
      <c r="AE24" s="555">
        <f>'P&amp;L - Concept B2 - RCCL'!X19</f>
        <v>32000</v>
      </c>
    </row>
    <row r="25" spans="1:31" s="341" customFormat="1">
      <c r="A25" s="552" t="str">
        <f>'International Ferry Projections'!A13</f>
        <v>Buses</v>
      </c>
      <c r="B25" s="553"/>
      <c r="C25" s="553"/>
      <c r="K25" s="554">
        <f>'P&amp;L - Concept B2 - RCCL'!D20</f>
        <v>0</v>
      </c>
      <c r="L25" s="555">
        <f>'P&amp;L - Concept B2 - RCCL'!E20</f>
        <v>40</v>
      </c>
      <c r="M25" s="555">
        <f>'P&amp;L - Concept B2 - RCCL'!F20</f>
        <v>50</v>
      </c>
      <c r="N25" s="555">
        <f>'P&amp;L - Concept B2 - RCCL'!G20</f>
        <v>60</v>
      </c>
      <c r="O25" s="555">
        <f>'P&amp;L - Concept B2 - RCCL'!H20</f>
        <v>60</v>
      </c>
      <c r="P25" s="555">
        <f>'P&amp;L - Concept B2 - RCCL'!I20</f>
        <v>60</v>
      </c>
      <c r="Q25" s="555">
        <f>'P&amp;L - Concept B2 - RCCL'!J20</f>
        <v>60</v>
      </c>
      <c r="R25" s="555">
        <f>'P&amp;L - Concept B2 - RCCL'!K20</f>
        <v>60</v>
      </c>
      <c r="S25" s="555">
        <f>'P&amp;L - Concept B2 - RCCL'!L20</f>
        <v>60</v>
      </c>
      <c r="T25" s="555">
        <f>'P&amp;L - Concept B2 - RCCL'!M20</f>
        <v>60</v>
      </c>
      <c r="U25" s="555">
        <f>'P&amp;L - Concept B2 - RCCL'!N20</f>
        <v>60</v>
      </c>
      <c r="V25" s="555">
        <f>'P&amp;L - Concept B2 - RCCL'!O20</f>
        <v>60</v>
      </c>
      <c r="W25" s="555">
        <f>'P&amp;L - Concept B2 - RCCL'!P20</f>
        <v>60</v>
      </c>
      <c r="X25" s="555">
        <f>'P&amp;L - Concept B2 - RCCL'!Q20</f>
        <v>60</v>
      </c>
      <c r="Y25" s="555">
        <f>'P&amp;L - Concept B2 - RCCL'!R20</f>
        <v>60</v>
      </c>
      <c r="Z25" s="555">
        <f>'P&amp;L - Concept B2 - RCCL'!S20</f>
        <v>60</v>
      </c>
      <c r="AA25" s="555">
        <f>'P&amp;L - Concept B2 - RCCL'!T20</f>
        <v>60</v>
      </c>
      <c r="AB25" s="555">
        <f>'P&amp;L - Concept B2 - RCCL'!U20</f>
        <v>60</v>
      </c>
      <c r="AC25" s="555">
        <f>'P&amp;L - Concept B2 - RCCL'!V20</f>
        <v>60</v>
      </c>
      <c r="AD25" s="555">
        <f>'P&amp;L - Concept B2 - RCCL'!W20</f>
        <v>60</v>
      </c>
      <c r="AE25" s="555">
        <f>'P&amp;L - Concept B2 - RCCL'!X20</f>
        <v>60</v>
      </c>
    </row>
    <row r="26" spans="1:31" s="18" customFormat="1">
      <c r="A26" s="54"/>
      <c r="B26" s="21"/>
      <c r="C26" s="21"/>
      <c r="K26" s="486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</row>
    <row r="27" spans="1:31" s="582" customFormat="1">
      <c r="A27" s="293" t="str">
        <f>'BH Tariffs'!A30</f>
        <v>Local Ferry</v>
      </c>
      <c r="B27" s="581"/>
      <c r="C27" s="581"/>
      <c r="K27" s="486"/>
      <c r="L27" s="313"/>
      <c r="M27" s="313"/>
      <c r="N27" s="313"/>
      <c r="O27" s="313"/>
      <c r="P27" s="313"/>
      <c r="Q27" s="313"/>
      <c r="R27" s="313"/>
      <c r="S27" s="313"/>
      <c r="T27" s="313"/>
      <c r="U27" s="313"/>
      <c r="V27" s="313"/>
      <c r="W27" s="313"/>
      <c r="X27" s="313"/>
      <c r="Y27" s="313"/>
      <c r="Z27" s="313"/>
      <c r="AA27" s="313"/>
      <c r="AB27" s="313"/>
      <c r="AC27" s="313"/>
      <c r="AD27" s="313"/>
      <c r="AE27" s="313"/>
    </row>
    <row r="28" spans="1:31" s="96" customFormat="1">
      <c r="A28" s="54" t="str">
        <f>'BH Tariffs'!A31</f>
        <v>Dock Rent (6 Months Only)</v>
      </c>
      <c r="B28" s="487"/>
      <c r="C28" s="487"/>
      <c r="K28" s="486">
        <f>'P&amp;L - Concept B2 - RCCL'!D23</f>
        <v>0</v>
      </c>
      <c r="L28" s="313" t="str">
        <f>'P&amp;L - Concept B2 - RCCL'!E23</f>
        <v>see Tariff</v>
      </c>
      <c r="M28" s="313" t="str">
        <f>'P&amp;L - Concept B2 - RCCL'!F23</f>
        <v>see Tariff</v>
      </c>
      <c r="N28" s="313" t="str">
        <f>'P&amp;L - Concept B2 - RCCL'!G23</f>
        <v>see Tariff</v>
      </c>
      <c r="O28" s="313" t="str">
        <f>'P&amp;L - Concept B2 - RCCL'!H23</f>
        <v>see Tariff</v>
      </c>
      <c r="P28" s="313" t="str">
        <f>'P&amp;L - Concept B2 - RCCL'!I23</f>
        <v>see Tariff</v>
      </c>
      <c r="Q28" s="313" t="str">
        <f>'P&amp;L - Concept B2 - RCCL'!J23</f>
        <v>see Tariff</v>
      </c>
      <c r="R28" s="313" t="str">
        <f>'P&amp;L - Concept B2 - RCCL'!K23</f>
        <v>see Tariff</v>
      </c>
      <c r="S28" s="313" t="str">
        <f>'P&amp;L - Concept B2 - RCCL'!L23</f>
        <v>see Tariff</v>
      </c>
      <c r="T28" s="313" t="str">
        <f>'P&amp;L - Concept B2 - RCCL'!M23</f>
        <v>see Tariff</v>
      </c>
      <c r="U28" s="313" t="str">
        <f>'P&amp;L - Concept B2 - RCCL'!N23</f>
        <v>see Tariff</v>
      </c>
      <c r="V28" s="313" t="str">
        <f>'P&amp;L - Concept B2 - RCCL'!O23</f>
        <v>see Tariff</v>
      </c>
      <c r="W28" s="313" t="str">
        <f>'P&amp;L - Concept B2 - RCCL'!P23</f>
        <v>see Tariff</v>
      </c>
      <c r="X28" s="313" t="str">
        <f>'P&amp;L - Concept B2 - RCCL'!Q23</f>
        <v>see Tariff</v>
      </c>
      <c r="Y28" s="313" t="str">
        <f>'P&amp;L - Concept B2 - RCCL'!R23</f>
        <v>see Tariff</v>
      </c>
      <c r="Z28" s="313" t="str">
        <f>'P&amp;L - Concept B2 - RCCL'!S23</f>
        <v>see Tariff</v>
      </c>
      <c r="AA28" s="313" t="str">
        <f>'P&amp;L - Concept B2 - RCCL'!T23</f>
        <v>see Tariff</v>
      </c>
      <c r="AB28" s="313" t="str">
        <f>'P&amp;L - Concept B2 - RCCL'!U23</f>
        <v>see Tariff</v>
      </c>
      <c r="AC28" s="313" t="str">
        <f>'P&amp;L - Concept B2 - RCCL'!V23</f>
        <v>see Tariff</v>
      </c>
      <c r="AD28" s="313" t="str">
        <f>'P&amp;L - Concept B2 - RCCL'!W23</f>
        <v>see Tariff</v>
      </c>
      <c r="AE28" s="313" t="str">
        <f>'P&amp;L - Concept B2 - RCCL'!X23</f>
        <v>see Tariff</v>
      </c>
    </row>
    <row r="29" spans="1:31" s="341" customFormat="1">
      <c r="A29" s="552"/>
      <c r="B29" s="553"/>
      <c r="C29" s="553"/>
      <c r="K29" s="554"/>
      <c r="L29" s="313"/>
      <c r="M29" s="313"/>
      <c r="N29" s="313"/>
      <c r="O29" s="313"/>
      <c r="P29" s="313"/>
      <c r="Q29" s="313"/>
      <c r="R29" s="313"/>
      <c r="S29" s="313"/>
      <c r="T29" s="313"/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</row>
    <row r="30" spans="1:31" s="96" customFormat="1">
      <c r="A30" s="559" t="s">
        <v>227</v>
      </c>
      <c r="B30" s="487"/>
      <c r="C30" s="487"/>
      <c r="K30" s="486"/>
      <c r="L30" s="313"/>
      <c r="M30" s="313"/>
      <c r="N30" s="313"/>
      <c r="O30" s="313"/>
      <c r="P30" s="313"/>
      <c r="Q30" s="313"/>
      <c r="R30" s="313"/>
      <c r="S30" s="313"/>
      <c r="T30" s="313"/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</row>
    <row r="31" spans="1:31" s="96" customFormat="1">
      <c r="A31" s="559"/>
      <c r="B31" s="487"/>
      <c r="C31" s="487"/>
      <c r="K31" s="486"/>
      <c r="L31" s="313"/>
      <c r="M31" s="313"/>
      <c r="N31" s="313"/>
      <c r="O31" s="313"/>
      <c r="P31" s="313"/>
      <c r="Q31" s="313"/>
      <c r="R31" s="313"/>
      <c r="S31" s="313"/>
      <c r="T31" s="313"/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</row>
    <row r="32" spans="1:31" s="96" customFormat="1">
      <c r="A32" s="54" t="s">
        <v>420</v>
      </c>
      <c r="B32" s="487"/>
      <c r="C32" s="487"/>
      <c r="K32" s="486">
        <f>'P&amp;L - Concept B2 - RCCL'!D27</f>
        <v>0</v>
      </c>
      <c r="L32" s="313">
        <f>'P&amp;L - Concept B2 - RCCL'!E27</f>
        <v>0</v>
      </c>
      <c r="M32" s="313">
        <f>'P&amp;L - Concept B2 - RCCL'!F27</f>
        <v>214</v>
      </c>
      <c r="N32" s="313">
        <f>'P&amp;L - Concept B2 - RCCL'!G27</f>
        <v>214</v>
      </c>
      <c r="O32" s="313">
        <f>'P&amp;L - Concept B2 - RCCL'!H27</f>
        <v>214</v>
      </c>
      <c r="P32" s="313">
        <f>'P&amp;L - Concept B2 - RCCL'!I27</f>
        <v>214</v>
      </c>
      <c r="Q32" s="313">
        <f>'P&amp;L - Concept B2 - RCCL'!J27</f>
        <v>214</v>
      </c>
      <c r="R32" s="313">
        <f>'P&amp;L - Concept B2 - RCCL'!K27</f>
        <v>214</v>
      </c>
      <c r="S32" s="313">
        <f>'P&amp;L - Concept B2 - RCCL'!L27</f>
        <v>214</v>
      </c>
      <c r="T32" s="313">
        <f>'P&amp;L - Concept B2 - RCCL'!M27</f>
        <v>214</v>
      </c>
      <c r="U32" s="313">
        <f>'P&amp;L - Concept B2 - RCCL'!N27</f>
        <v>214</v>
      </c>
      <c r="V32" s="313">
        <f>'P&amp;L - Concept B2 - RCCL'!O27</f>
        <v>214</v>
      </c>
      <c r="W32" s="313">
        <f>'P&amp;L - Concept B2 - RCCL'!P27</f>
        <v>214</v>
      </c>
      <c r="X32" s="313">
        <f>'P&amp;L - Concept B2 - RCCL'!Q27</f>
        <v>214</v>
      </c>
      <c r="Y32" s="313">
        <f>'P&amp;L - Concept B2 - RCCL'!R27</f>
        <v>214</v>
      </c>
      <c r="Z32" s="313">
        <f>'P&amp;L - Concept B2 - RCCL'!S27</f>
        <v>214</v>
      </c>
      <c r="AA32" s="313">
        <f>'P&amp;L - Concept B2 - RCCL'!T27</f>
        <v>214</v>
      </c>
      <c r="AB32" s="313">
        <f>'P&amp;L - Concept B2 - RCCL'!U27</f>
        <v>214</v>
      </c>
      <c r="AC32" s="313">
        <f>'P&amp;L - Concept B2 - RCCL'!V27</f>
        <v>214</v>
      </c>
      <c r="AD32" s="313">
        <f>'P&amp;L - Concept B2 - RCCL'!W27</f>
        <v>214</v>
      </c>
      <c r="AE32" s="313">
        <f>'P&amp;L - Concept B2 - RCCL'!X27</f>
        <v>214</v>
      </c>
    </row>
    <row r="33" spans="1:31" s="96" customFormat="1">
      <c r="A33" s="54" t="s">
        <v>205</v>
      </c>
      <c r="B33" s="487"/>
      <c r="C33" s="487"/>
      <c r="K33" s="486">
        <f>'P&amp;L - Concept B2 - RCCL'!D28</f>
        <v>0</v>
      </c>
      <c r="L33" s="313">
        <f>'P&amp;L - Concept B2 - RCCL'!E28</f>
        <v>0</v>
      </c>
      <c r="M33" s="313">
        <f>'P&amp;L - Concept B2 - RCCL'!F28</f>
        <v>28.666666666666664</v>
      </c>
      <c r="N33" s="313">
        <f>'P&amp;L - Concept B2 - RCCL'!G28</f>
        <v>28.666666666666664</v>
      </c>
      <c r="O33" s="313">
        <f>'P&amp;L - Concept B2 - RCCL'!H28</f>
        <v>28.666666666666664</v>
      </c>
      <c r="P33" s="313">
        <f>'P&amp;L - Concept B2 - RCCL'!I28</f>
        <v>28.666666666666664</v>
      </c>
      <c r="Q33" s="313">
        <f>'P&amp;L - Concept B2 - RCCL'!J28</f>
        <v>28.666666666666664</v>
      </c>
      <c r="R33" s="313">
        <f>'P&amp;L - Concept B2 - RCCL'!K28</f>
        <v>28.666666666666664</v>
      </c>
      <c r="S33" s="313">
        <f>'P&amp;L - Concept B2 - RCCL'!L28</f>
        <v>28.666666666666664</v>
      </c>
      <c r="T33" s="313">
        <f>'P&amp;L - Concept B2 - RCCL'!M28</f>
        <v>28.666666666666664</v>
      </c>
      <c r="U33" s="313">
        <f>'P&amp;L - Concept B2 - RCCL'!N28</f>
        <v>28.666666666666664</v>
      </c>
      <c r="V33" s="313">
        <f>'P&amp;L - Concept B2 - RCCL'!O28</f>
        <v>28.666666666666664</v>
      </c>
      <c r="W33" s="313">
        <f>'P&amp;L - Concept B2 - RCCL'!P28</f>
        <v>28.666666666666664</v>
      </c>
      <c r="X33" s="313">
        <f>'P&amp;L - Concept B2 - RCCL'!Q28</f>
        <v>28.666666666666664</v>
      </c>
      <c r="Y33" s="313">
        <f>'P&amp;L - Concept B2 - RCCL'!R28</f>
        <v>28.666666666666664</v>
      </c>
      <c r="Z33" s="313">
        <f>'P&amp;L - Concept B2 - RCCL'!S28</f>
        <v>28.666666666666664</v>
      </c>
      <c r="AA33" s="313">
        <f>'P&amp;L - Concept B2 - RCCL'!T28</f>
        <v>28.666666666666664</v>
      </c>
      <c r="AB33" s="313">
        <f>'P&amp;L - Concept B2 - RCCL'!U28</f>
        <v>28.666666666666664</v>
      </c>
      <c r="AC33" s="313">
        <f>'P&amp;L - Concept B2 - RCCL'!V28</f>
        <v>28.666666666666664</v>
      </c>
      <c r="AD33" s="313">
        <f>'P&amp;L - Concept B2 - RCCL'!W28</f>
        <v>28.666666666666664</v>
      </c>
      <c r="AE33" s="313">
        <f>'P&amp;L - Concept B2 - RCCL'!X28</f>
        <v>28.666666666666664</v>
      </c>
    </row>
    <row r="34" spans="1:31" s="341" customFormat="1">
      <c r="A34" s="552" t="s">
        <v>219</v>
      </c>
      <c r="B34" s="553"/>
      <c r="C34" s="553"/>
      <c r="K34" s="554">
        <f>'P&amp;L - Concept B2 - RCCL'!D29</f>
        <v>0</v>
      </c>
      <c r="L34" s="555">
        <f>'P&amp;L - Concept B2 - RCCL'!E29</f>
        <v>150</v>
      </c>
      <c r="M34" s="555">
        <f>'P&amp;L - Concept B2 - RCCL'!F29</f>
        <v>150</v>
      </c>
      <c r="N34" s="555">
        <f>'P&amp;L - Concept B2 - RCCL'!G29</f>
        <v>150</v>
      </c>
      <c r="O34" s="555">
        <f>'P&amp;L - Concept B2 - RCCL'!H29</f>
        <v>150</v>
      </c>
      <c r="P34" s="555">
        <f>'P&amp;L - Concept B2 - RCCL'!I29</f>
        <v>150</v>
      </c>
      <c r="Q34" s="555">
        <f>'P&amp;L - Concept B2 - RCCL'!J29</f>
        <v>150</v>
      </c>
      <c r="R34" s="555">
        <f>'P&amp;L - Concept B2 - RCCL'!K29</f>
        <v>150</v>
      </c>
      <c r="S34" s="555">
        <f>'P&amp;L - Concept B2 - RCCL'!L29</f>
        <v>150</v>
      </c>
      <c r="T34" s="555">
        <f>'P&amp;L - Concept B2 - RCCL'!M29</f>
        <v>150</v>
      </c>
      <c r="U34" s="555">
        <f>'P&amp;L - Concept B2 - RCCL'!N29</f>
        <v>150</v>
      </c>
      <c r="V34" s="555">
        <f>'P&amp;L - Concept B2 - RCCL'!O29</f>
        <v>150</v>
      </c>
      <c r="W34" s="555">
        <f>'P&amp;L - Concept B2 - RCCL'!P29</f>
        <v>150</v>
      </c>
      <c r="X34" s="555">
        <f>'P&amp;L - Concept B2 - RCCL'!Q29</f>
        <v>150</v>
      </c>
      <c r="Y34" s="555">
        <f>'P&amp;L - Concept B2 - RCCL'!R29</f>
        <v>150</v>
      </c>
      <c r="Z34" s="555">
        <f>'P&amp;L - Concept B2 - RCCL'!S29</f>
        <v>150</v>
      </c>
      <c r="AA34" s="555">
        <f>'P&amp;L - Concept B2 - RCCL'!T29</f>
        <v>150</v>
      </c>
      <c r="AB34" s="555">
        <f>'P&amp;L - Concept B2 - RCCL'!U29</f>
        <v>150</v>
      </c>
      <c r="AC34" s="555">
        <f>'P&amp;L - Concept B2 - RCCL'!V29</f>
        <v>150</v>
      </c>
      <c r="AD34" s="555">
        <f>'P&amp;L - Concept B2 - RCCL'!W29</f>
        <v>150</v>
      </c>
      <c r="AE34" s="555">
        <f>'P&amp;L - Concept B2 - RCCL'!X29</f>
        <v>150</v>
      </c>
    </row>
    <row r="35" spans="1:31" s="341" customFormat="1">
      <c r="A35" s="552" t="s">
        <v>220</v>
      </c>
      <c r="B35" s="553"/>
      <c r="C35" s="553"/>
      <c r="K35" s="554">
        <f>'P&amp;L - Concept B2 - RCCL'!D30</f>
        <v>0</v>
      </c>
      <c r="L35" s="788">
        <v>0</v>
      </c>
      <c r="M35" s="788">
        <v>0</v>
      </c>
      <c r="N35" s="788">
        <v>0</v>
      </c>
      <c r="O35" s="788">
        <v>0</v>
      </c>
      <c r="P35" s="788">
        <v>0</v>
      </c>
      <c r="Q35" s="788">
        <v>0</v>
      </c>
      <c r="R35" s="788">
        <v>0</v>
      </c>
      <c r="S35" s="788">
        <v>0</v>
      </c>
      <c r="T35" s="788">
        <v>0</v>
      </c>
      <c r="U35" s="788">
        <v>0</v>
      </c>
      <c r="V35" s="788">
        <v>0</v>
      </c>
      <c r="W35" s="788">
        <v>0</v>
      </c>
      <c r="X35" s="788">
        <v>0</v>
      </c>
      <c r="Y35" s="788">
        <v>0</v>
      </c>
      <c r="Z35" s="788">
        <v>0</v>
      </c>
      <c r="AA35" s="788">
        <v>0</v>
      </c>
      <c r="AB35" s="788">
        <v>0</v>
      </c>
      <c r="AC35" s="788">
        <v>0</v>
      </c>
      <c r="AD35" s="788">
        <v>0</v>
      </c>
      <c r="AE35" s="788">
        <v>0</v>
      </c>
    </row>
    <row r="36" spans="1:31" s="96" customFormat="1">
      <c r="A36" s="54" t="s">
        <v>226</v>
      </c>
      <c r="B36" s="487"/>
      <c r="C36" s="487"/>
      <c r="K36" s="486">
        <f>'P&amp;L - Concept B2 - RCCL'!D31</f>
        <v>0</v>
      </c>
      <c r="L36" s="313">
        <f>'P&amp;L - Concept B2 - RCCL'!E31</f>
        <v>0</v>
      </c>
      <c r="M36" s="313">
        <f>'P&amp;L - Concept B2 - RCCL'!F31</f>
        <v>125</v>
      </c>
      <c r="N36" s="313">
        <f>'P&amp;L - Concept B2 - RCCL'!G31</f>
        <v>125</v>
      </c>
      <c r="O36" s="313">
        <f>'P&amp;L - Concept B2 - RCCL'!H31</f>
        <v>125</v>
      </c>
      <c r="P36" s="313">
        <f>'P&amp;L - Concept B2 - RCCL'!I31</f>
        <v>125</v>
      </c>
      <c r="Q36" s="313">
        <f>'P&amp;L - Concept B2 - RCCL'!J31</f>
        <v>125</v>
      </c>
      <c r="R36" s="313">
        <f>'P&amp;L - Concept B2 - RCCL'!K31</f>
        <v>125</v>
      </c>
      <c r="S36" s="313">
        <f>'P&amp;L - Concept B2 - RCCL'!L31</f>
        <v>125</v>
      </c>
      <c r="T36" s="313">
        <f>'P&amp;L - Concept B2 - RCCL'!M31</f>
        <v>125</v>
      </c>
      <c r="U36" s="313">
        <f>'P&amp;L - Concept B2 - RCCL'!N31</f>
        <v>125</v>
      </c>
      <c r="V36" s="313">
        <f>'P&amp;L - Concept B2 - RCCL'!O31</f>
        <v>125</v>
      </c>
      <c r="W36" s="313">
        <f>'P&amp;L - Concept B2 - RCCL'!P31</f>
        <v>125</v>
      </c>
      <c r="X36" s="313">
        <f>'P&amp;L - Concept B2 - RCCL'!Q31</f>
        <v>125</v>
      </c>
      <c r="Y36" s="313">
        <f>'P&amp;L - Concept B2 - RCCL'!R31</f>
        <v>125</v>
      </c>
      <c r="Z36" s="313">
        <f>'P&amp;L - Concept B2 - RCCL'!S31</f>
        <v>125</v>
      </c>
      <c r="AA36" s="313">
        <f>'P&amp;L - Concept B2 - RCCL'!T31</f>
        <v>125</v>
      </c>
      <c r="AB36" s="313">
        <f>'P&amp;L - Concept B2 - RCCL'!U31</f>
        <v>125</v>
      </c>
      <c r="AC36" s="313">
        <f>'P&amp;L - Concept B2 - RCCL'!V31</f>
        <v>125</v>
      </c>
      <c r="AD36" s="313">
        <f>'P&amp;L - Concept B2 - RCCL'!W31</f>
        <v>125</v>
      </c>
      <c r="AE36" s="313">
        <f>'P&amp;L - Concept B2 - RCCL'!X31</f>
        <v>125</v>
      </c>
    </row>
    <row r="37" spans="1:31" s="18" customFormat="1">
      <c r="A37" s="54"/>
      <c r="B37" s="21"/>
      <c r="C37" s="21"/>
      <c r="K37" s="486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</row>
    <row r="38" spans="1:31" s="96" customFormat="1">
      <c r="A38" s="54" t="s">
        <v>206</v>
      </c>
      <c r="B38" s="487"/>
      <c r="C38" s="487"/>
      <c r="K38" s="486">
        <f>'P&amp;L - Concept B2 - RCCL'!D33</f>
        <v>0</v>
      </c>
      <c r="L38" s="313">
        <f>'P&amp;L - Concept B2 - RCCL'!E33</f>
        <v>0</v>
      </c>
      <c r="M38" s="313">
        <f>'P&amp;L - Concept B2 - RCCL'!F33</f>
        <v>3110.3085303356092</v>
      </c>
      <c r="N38" s="313">
        <f>'P&amp;L - Concept B2 - RCCL'!G33</f>
        <v>3110.3085303356092</v>
      </c>
      <c r="O38" s="313">
        <f>'P&amp;L - Concept B2 - RCCL'!H33</f>
        <v>3110.3085303356092</v>
      </c>
      <c r="P38" s="313">
        <f>'P&amp;L - Concept B2 - RCCL'!I33</f>
        <v>3110.3085303356092</v>
      </c>
      <c r="Q38" s="313">
        <f>'P&amp;L - Concept B2 - RCCL'!J33</f>
        <v>3110.3085303356092</v>
      </c>
      <c r="R38" s="313">
        <f>'P&amp;L - Concept B2 - RCCL'!K33</f>
        <v>3110.3085303356092</v>
      </c>
      <c r="S38" s="313">
        <f>'P&amp;L - Concept B2 - RCCL'!L33</f>
        <v>3110.3085303356092</v>
      </c>
      <c r="T38" s="313">
        <f>'P&amp;L - Concept B2 - RCCL'!M33</f>
        <v>3110.3085303356092</v>
      </c>
      <c r="U38" s="313">
        <f>'P&amp;L - Concept B2 - RCCL'!N33</f>
        <v>3110.3085303356092</v>
      </c>
      <c r="V38" s="313">
        <f>'P&amp;L - Concept B2 - RCCL'!O33</f>
        <v>3110.3085303356092</v>
      </c>
      <c r="W38" s="313">
        <f>'P&amp;L - Concept B2 - RCCL'!P33</f>
        <v>3110.3085303356092</v>
      </c>
      <c r="X38" s="313">
        <f>'P&amp;L - Concept B2 - RCCL'!Q33</f>
        <v>3110.3085303356092</v>
      </c>
      <c r="Y38" s="313">
        <f>'P&amp;L - Concept B2 - RCCL'!R33</f>
        <v>3110.3085303356092</v>
      </c>
      <c r="Z38" s="313">
        <f>'P&amp;L - Concept B2 - RCCL'!S33</f>
        <v>3110.3085303356092</v>
      </c>
      <c r="AA38" s="313">
        <f>'P&amp;L - Concept B2 - RCCL'!T33</f>
        <v>3110.3085303356092</v>
      </c>
      <c r="AB38" s="313">
        <f>'P&amp;L - Concept B2 - RCCL'!U33</f>
        <v>3110.3085303356092</v>
      </c>
      <c r="AC38" s="313">
        <f>'P&amp;L - Concept B2 - RCCL'!V33</f>
        <v>3110.3085303356092</v>
      </c>
      <c r="AD38" s="313">
        <f>'P&amp;L - Concept B2 - RCCL'!W33</f>
        <v>3110.3085303356092</v>
      </c>
      <c r="AE38" s="313">
        <f>'P&amp;L - Concept B2 - RCCL'!X33</f>
        <v>3110.3085303356092</v>
      </c>
    </row>
    <row r="39" spans="1:31" s="96" customFormat="1">
      <c r="A39" s="54" t="s">
        <v>207</v>
      </c>
      <c r="B39" s="487"/>
      <c r="C39" s="487"/>
      <c r="K39" s="486">
        <f>'P&amp;L - Concept B2 - RCCL'!D34</f>
        <v>0</v>
      </c>
      <c r="L39" s="313">
        <f>'P&amp;L - Concept B2 - RCCL'!E34</f>
        <v>0</v>
      </c>
      <c r="M39" s="313">
        <f>'P&amp;L - Concept B2 - RCCL'!F34</f>
        <v>5500</v>
      </c>
      <c r="N39" s="313">
        <f>'P&amp;L - Concept B2 - RCCL'!G34</f>
        <v>5500</v>
      </c>
      <c r="O39" s="313">
        <f>'P&amp;L - Concept B2 - RCCL'!H34</f>
        <v>5500</v>
      </c>
      <c r="P39" s="313">
        <f>'P&amp;L - Concept B2 - RCCL'!I34</f>
        <v>5500</v>
      </c>
      <c r="Q39" s="313">
        <f>'P&amp;L - Concept B2 - RCCL'!J34</f>
        <v>5500</v>
      </c>
      <c r="R39" s="313">
        <f>'P&amp;L - Concept B2 - RCCL'!K34</f>
        <v>5500</v>
      </c>
      <c r="S39" s="313">
        <f>'P&amp;L - Concept B2 - RCCL'!L34</f>
        <v>5500</v>
      </c>
      <c r="T39" s="313">
        <f>'P&amp;L - Concept B2 - RCCL'!M34</f>
        <v>5500</v>
      </c>
      <c r="U39" s="313">
        <f>'P&amp;L - Concept B2 - RCCL'!N34</f>
        <v>5500</v>
      </c>
      <c r="V39" s="313">
        <f>'P&amp;L - Concept B2 - RCCL'!O34</f>
        <v>5500</v>
      </c>
      <c r="W39" s="313">
        <f>'P&amp;L - Concept B2 - RCCL'!P34</f>
        <v>5500</v>
      </c>
      <c r="X39" s="313">
        <f>'P&amp;L - Concept B2 - RCCL'!Q34</f>
        <v>5500</v>
      </c>
      <c r="Y39" s="313">
        <f>'P&amp;L - Concept B2 - RCCL'!R34</f>
        <v>5500</v>
      </c>
      <c r="Z39" s="313">
        <f>'P&amp;L - Concept B2 - RCCL'!S34</f>
        <v>5500</v>
      </c>
      <c r="AA39" s="313">
        <f>'P&amp;L - Concept B2 - RCCL'!T34</f>
        <v>5500</v>
      </c>
      <c r="AB39" s="313">
        <f>'P&amp;L - Concept B2 - RCCL'!U34</f>
        <v>5500</v>
      </c>
      <c r="AC39" s="313">
        <f>'P&amp;L - Concept B2 - RCCL'!V34</f>
        <v>5500</v>
      </c>
      <c r="AD39" s="313">
        <f>'P&amp;L - Concept B2 - RCCL'!W34</f>
        <v>5500</v>
      </c>
      <c r="AE39" s="313">
        <f>'P&amp;L - Concept B2 - RCCL'!X34</f>
        <v>5500</v>
      </c>
    </row>
    <row r="40" spans="1:31" s="341" customFormat="1">
      <c r="A40" s="552" t="s">
        <v>221</v>
      </c>
      <c r="B40" s="553"/>
      <c r="C40" s="553"/>
      <c r="K40" s="554">
        <f>'P&amp;L - Concept B2 - RCCL'!D35</f>
        <v>0</v>
      </c>
      <c r="L40" s="555">
        <f>'P&amp;L - Concept B2 - RCCL'!E35</f>
        <v>400</v>
      </c>
      <c r="M40" s="555">
        <f>'P&amp;L - Concept B2 - RCCL'!F35</f>
        <v>466.66666666666669</v>
      </c>
      <c r="N40" s="555">
        <f>'P&amp;L - Concept B2 - RCCL'!G35</f>
        <v>533.33333333333337</v>
      </c>
      <c r="O40" s="555">
        <f>'P&amp;L - Concept B2 - RCCL'!H35</f>
        <v>533.33333333333337</v>
      </c>
      <c r="P40" s="555">
        <f>'P&amp;L - Concept B2 - RCCL'!I35</f>
        <v>533.33333333333337</v>
      </c>
      <c r="Q40" s="555">
        <f>'P&amp;L - Concept B2 - RCCL'!J35</f>
        <v>533.33333333333337</v>
      </c>
      <c r="R40" s="555">
        <f>'P&amp;L - Concept B2 - RCCL'!K35</f>
        <v>533.33333333333337</v>
      </c>
      <c r="S40" s="555">
        <f>'P&amp;L - Concept B2 - RCCL'!L35</f>
        <v>533.33333333333337</v>
      </c>
      <c r="T40" s="555">
        <f>'P&amp;L - Concept B2 - RCCL'!M35</f>
        <v>533.33333333333337</v>
      </c>
      <c r="U40" s="555">
        <f>'P&amp;L - Concept B2 - RCCL'!N35</f>
        <v>533.33333333333337</v>
      </c>
      <c r="V40" s="555">
        <f>'P&amp;L - Concept B2 - RCCL'!O35</f>
        <v>533.33333333333337</v>
      </c>
      <c r="W40" s="555">
        <f>'P&amp;L - Concept B2 - RCCL'!P35</f>
        <v>533.33333333333337</v>
      </c>
      <c r="X40" s="555">
        <f>'P&amp;L - Concept B2 - RCCL'!Q35</f>
        <v>533.33333333333337</v>
      </c>
      <c r="Y40" s="555">
        <f>'P&amp;L - Concept B2 - RCCL'!R35</f>
        <v>533.33333333333337</v>
      </c>
      <c r="Z40" s="555">
        <f>'P&amp;L - Concept B2 - RCCL'!S35</f>
        <v>533.33333333333337</v>
      </c>
      <c r="AA40" s="555">
        <f>'P&amp;L - Concept B2 - RCCL'!T35</f>
        <v>533.33333333333337</v>
      </c>
      <c r="AB40" s="555">
        <f>'P&amp;L - Concept B2 - RCCL'!U35</f>
        <v>533.33333333333337</v>
      </c>
      <c r="AC40" s="555">
        <f>'P&amp;L - Concept B2 - RCCL'!V35</f>
        <v>533.33333333333337</v>
      </c>
      <c r="AD40" s="555">
        <f>'P&amp;L - Concept B2 - RCCL'!W35</f>
        <v>533.33333333333337</v>
      </c>
      <c r="AE40" s="555">
        <f>'P&amp;L - Concept B2 - RCCL'!X35</f>
        <v>533.33333333333337</v>
      </c>
    </row>
    <row r="41" spans="1:31" s="341" customFormat="1">
      <c r="A41" s="552" t="s">
        <v>222</v>
      </c>
      <c r="B41" s="553"/>
      <c r="C41" s="553"/>
      <c r="K41" s="554">
        <f>'P&amp;L - Concept B2 - RCCL'!D36</f>
        <v>0</v>
      </c>
      <c r="L41" s="555">
        <f>'P&amp;L - Concept B2 - RCCL'!E36</f>
        <v>800</v>
      </c>
      <c r="M41" s="555">
        <f>'P&amp;L - Concept B2 - RCCL'!F36</f>
        <v>800</v>
      </c>
      <c r="N41" s="555">
        <f>'P&amp;L - Concept B2 - RCCL'!G36</f>
        <v>800</v>
      </c>
      <c r="O41" s="555">
        <f>'P&amp;L - Concept B2 - RCCL'!H36</f>
        <v>800</v>
      </c>
      <c r="P41" s="555">
        <f>'P&amp;L - Concept B2 - RCCL'!I36</f>
        <v>800</v>
      </c>
      <c r="Q41" s="555">
        <f>'P&amp;L - Concept B2 - RCCL'!J36</f>
        <v>800</v>
      </c>
      <c r="R41" s="555">
        <f>'P&amp;L - Concept B2 - RCCL'!K36</f>
        <v>800</v>
      </c>
      <c r="S41" s="555">
        <f>'P&amp;L - Concept B2 - RCCL'!L36</f>
        <v>800</v>
      </c>
      <c r="T41" s="555">
        <f>'P&amp;L - Concept B2 - RCCL'!M36</f>
        <v>800</v>
      </c>
      <c r="U41" s="555">
        <f>'P&amp;L - Concept B2 - RCCL'!N36</f>
        <v>800</v>
      </c>
      <c r="V41" s="555">
        <f>'P&amp;L - Concept B2 - RCCL'!O36</f>
        <v>800</v>
      </c>
      <c r="W41" s="555">
        <f>'P&amp;L - Concept B2 - RCCL'!P36</f>
        <v>800</v>
      </c>
      <c r="X41" s="555">
        <f>'P&amp;L - Concept B2 - RCCL'!Q36</f>
        <v>800</v>
      </c>
      <c r="Y41" s="555">
        <f>'P&amp;L - Concept B2 - RCCL'!R36</f>
        <v>800</v>
      </c>
      <c r="Z41" s="555">
        <f>'P&amp;L - Concept B2 - RCCL'!S36</f>
        <v>800</v>
      </c>
      <c r="AA41" s="555">
        <f>'P&amp;L - Concept B2 - RCCL'!T36</f>
        <v>800</v>
      </c>
      <c r="AB41" s="555">
        <f>'P&amp;L - Concept B2 - RCCL'!U36</f>
        <v>800</v>
      </c>
      <c r="AC41" s="555">
        <f>'P&amp;L - Concept B2 - RCCL'!V36</f>
        <v>800</v>
      </c>
      <c r="AD41" s="555">
        <f>'P&amp;L - Concept B2 - RCCL'!W36</f>
        <v>800</v>
      </c>
      <c r="AE41" s="555">
        <f>'P&amp;L - Concept B2 - RCCL'!X36</f>
        <v>800</v>
      </c>
    </row>
    <row r="42" spans="1:31" s="341" customFormat="1">
      <c r="A42" s="552" t="s">
        <v>208</v>
      </c>
      <c r="B42" s="553"/>
      <c r="C42" s="553"/>
      <c r="K42" s="554">
        <f>'P&amp;L - Concept B2 - RCCL'!D37</f>
        <v>0</v>
      </c>
      <c r="L42" s="555">
        <f>'P&amp;L - Concept B2 - RCCL'!E37</f>
        <v>800</v>
      </c>
      <c r="M42" s="555">
        <f>'P&amp;L - Concept B2 - RCCL'!F37</f>
        <v>6300</v>
      </c>
      <c r="N42" s="555">
        <f>'P&amp;L - Concept B2 - RCCL'!G37</f>
        <v>6300</v>
      </c>
      <c r="O42" s="555">
        <f>'P&amp;L - Concept B2 - RCCL'!H37</f>
        <v>6300</v>
      </c>
      <c r="P42" s="555">
        <f>'P&amp;L - Concept B2 - RCCL'!I37</f>
        <v>6300</v>
      </c>
      <c r="Q42" s="555">
        <f>'P&amp;L - Concept B2 - RCCL'!J37</f>
        <v>6300</v>
      </c>
      <c r="R42" s="555">
        <f>'P&amp;L - Concept B2 - RCCL'!K37</f>
        <v>6300</v>
      </c>
      <c r="S42" s="555">
        <f>'P&amp;L - Concept B2 - RCCL'!L37</f>
        <v>6300</v>
      </c>
      <c r="T42" s="555">
        <f>'P&amp;L - Concept B2 - RCCL'!M37</f>
        <v>6300</v>
      </c>
      <c r="U42" s="555">
        <f>'P&amp;L - Concept B2 - RCCL'!N37</f>
        <v>6300</v>
      </c>
      <c r="V42" s="555">
        <f>'P&amp;L - Concept B2 - RCCL'!O37</f>
        <v>6300</v>
      </c>
      <c r="W42" s="555">
        <f>'P&amp;L - Concept B2 - RCCL'!P37</f>
        <v>6300</v>
      </c>
      <c r="X42" s="555">
        <f>'P&amp;L - Concept B2 - RCCL'!Q37</f>
        <v>6300</v>
      </c>
      <c r="Y42" s="555">
        <f>'P&amp;L - Concept B2 - RCCL'!R37</f>
        <v>6300</v>
      </c>
      <c r="Z42" s="555">
        <f>'P&amp;L - Concept B2 - RCCL'!S37</f>
        <v>6300</v>
      </c>
      <c r="AA42" s="555">
        <f>'P&amp;L - Concept B2 - RCCL'!T37</f>
        <v>6300</v>
      </c>
      <c r="AB42" s="555">
        <f>'P&amp;L - Concept B2 - RCCL'!U37</f>
        <v>6300</v>
      </c>
      <c r="AC42" s="555">
        <f>'P&amp;L - Concept B2 - RCCL'!V37</f>
        <v>6300</v>
      </c>
      <c r="AD42" s="555">
        <f>'P&amp;L - Concept B2 - RCCL'!W37</f>
        <v>6300</v>
      </c>
      <c r="AE42" s="555">
        <f>'P&amp;L - Concept B2 - RCCL'!X37</f>
        <v>6300</v>
      </c>
    </row>
    <row r="43" spans="1:31" s="18" customFormat="1">
      <c r="A43" s="54"/>
      <c r="B43" s="21"/>
      <c r="C43" s="21"/>
      <c r="K43" s="486"/>
      <c r="L43" s="313"/>
      <c r="M43" s="313"/>
      <c r="N43" s="313"/>
      <c r="O43" s="313"/>
      <c r="P43" s="313"/>
      <c r="Q43" s="313"/>
      <c r="R43" s="313"/>
      <c r="S43" s="313"/>
      <c r="T43" s="313"/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</row>
    <row r="44" spans="1:31" s="341" customFormat="1">
      <c r="A44" s="552" t="s">
        <v>223</v>
      </c>
      <c r="B44" s="557"/>
      <c r="C44" s="557"/>
      <c r="K44" s="554">
        <f>'P&amp;L - Concept B2 - RCCL'!D39</f>
        <v>0</v>
      </c>
      <c r="L44" s="313">
        <f>'P&amp;L - Concept B2 - RCCL'!E39</f>
        <v>160.26666666666668</v>
      </c>
      <c r="M44" s="313">
        <f>'P&amp;L - Concept B2 - RCCL'!F39</f>
        <v>187</v>
      </c>
      <c r="N44" s="313">
        <f>'P&amp;L - Concept B2 - RCCL'!G39</f>
        <v>213.73333333333332</v>
      </c>
      <c r="O44" s="313">
        <f>'P&amp;L - Concept B2 - RCCL'!H39</f>
        <v>213.73333333333332</v>
      </c>
      <c r="P44" s="313">
        <f>'P&amp;L - Concept B2 - RCCL'!I39</f>
        <v>213.73333333333332</v>
      </c>
      <c r="Q44" s="313">
        <f>'P&amp;L - Concept B2 - RCCL'!J39</f>
        <v>213.73333333333332</v>
      </c>
      <c r="R44" s="313">
        <f>'P&amp;L - Concept B2 - RCCL'!K39</f>
        <v>213.73333333333332</v>
      </c>
      <c r="S44" s="313">
        <f>'P&amp;L - Concept B2 - RCCL'!L39</f>
        <v>213.73333333333332</v>
      </c>
      <c r="T44" s="313">
        <f>'P&amp;L - Concept B2 - RCCL'!M39</f>
        <v>213.73333333333332</v>
      </c>
      <c r="U44" s="313">
        <f>'P&amp;L - Concept B2 - RCCL'!N39</f>
        <v>213.73333333333332</v>
      </c>
      <c r="V44" s="313">
        <f>'P&amp;L - Concept B2 - RCCL'!O39</f>
        <v>213.73333333333332</v>
      </c>
      <c r="W44" s="313">
        <f>'P&amp;L - Concept B2 - RCCL'!P39</f>
        <v>213.73333333333332</v>
      </c>
      <c r="X44" s="313">
        <f>'P&amp;L - Concept B2 - RCCL'!Q39</f>
        <v>213.73333333333332</v>
      </c>
      <c r="Y44" s="313">
        <f>'P&amp;L - Concept B2 - RCCL'!R39</f>
        <v>213.73333333333332</v>
      </c>
      <c r="Z44" s="313">
        <f>'P&amp;L - Concept B2 - RCCL'!S39</f>
        <v>213.73333333333332</v>
      </c>
      <c r="AA44" s="313">
        <f>'P&amp;L - Concept B2 - RCCL'!T39</f>
        <v>213.73333333333332</v>
      </c>
      <c r="AB44" s="313">
        <f>'P&amp;L - Concept B2 - RCCL'!U39</f>
        <v>213.73333333333332</v>
      </c>
      <c r="AC44" s="313">
        <f>'P&amp;L - Concept B2 - RCCL'!V39</f>
        <v>213.73333333333332</v>
      </c>
      <c r="AD44" s="313">
        <f>'P&amp;L - Concept B2 - RCCL'!W39</f>
        <v>213.73333333333332</v>
      </c>
      <c r="AE44" s="313">
        <f>'P&amp;L - Concept B2 - RCCL'!X39</f>
        <v>213.73333333333332</v>
      </c>
    </row>
    <row r="45" spans="1:31" s="18" customFormat="1">
      <c r="A45" s="54"/>
      <c r="B45" s="74"/>
      <c r="C45" s="74"/>
      <c r="K45" s="492"/>
      <c r="L45" s="313"/>
      <c r="M45" s="313"/>
      <c r="N45" s="313"/>
      <c r="O45" s="313"/>
      <c r="P45" s="313"/>
      <c r="Q45" s="313"/>
      <c r="R45" s="313"/>
      <c r="S45" s="313"/>
      <c r="T45" s="313"/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</row>
    <row r="46" spans="1:31" s="18" customFormat="1">
      <c r="A46" s="293" t="s">
        <v>26</v>
      </c>
      <c r="B46" s="74"/>
      <c r="C46" s="74"/>
      <c r="K46" s="492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</row>
    <row r="47" spans="1:31" s="18" customFormat="1">
      <c r="A47" s="54" t="s">
        <v>264</v>
      </c>
      <c r="B47" s="277"/>
      <c r="C47" s="74"/>
      <c r="K47" s="486">
        <f>'P&amp;L - Concept B2 - RCCL'!D42</f>
        <v>0</v>
      </c>
      <c r="L47" s="313">
        <f>'P&amp;L - Concept B2 - RCCL'!E42</f>
        <v>1381.6770833333335</v>
      </c>
      <c r="M47" s="313">
        <f>'P&amp;L - Concept B2 - RCCL'!F42</f>
        <v>2763.354166666667</v>
      </c>
      <c r="N47" s="313">
        <f>'P&amp;L - Concept B2 - RCCL'!G42</f>
        <v>2763.354166666667</v>
      </c>
      <c r="O47" s="313">
        <f>'P&amp;L - Concept B2 - RCCL'!H42</f>
        <v>2763.354166666667</v>
      </c>
      <c r="P47" s="313">
        <f>'P&amp;L - Concept B2 - RCCL'!I42</f>
        <v>2763.354166666667</v>
      </c>
      <c r="Q47" s="313">
        <f>'P&amp;L - Concept B2 - RCCL'!J42</f>
        <v>2763.354166666667</v>
      </c>
      <c r="R47" s="313">
        <f>'P&amp;L - Concept B2 - RCCL'!K42</f>
        <v>2763.354166666667</v>
      </c>
      <c r="S47" s="313">
        <f>'P&amp;L - Concept B2 - RCCL'!L42</f>
        <v>2763.354166666667</v>
      </c>
      <c r="T47" s="313">
        <f>'P&amp;L - Concept B2 - RCCL'!M42</f>
        <v>2763.354166666667</v>
      </c>
      <c r="U47" s="313">
        <f>'P&amp;L - Concept B2 - RCCL'!N42</f>
        <v>2763.354166666667</v>
      </c>
      <c r="V47" s="313">
        <f>'P&amp;L - Concept B2 - RCCL'!O42</f>
        <v>2763.354166666667</v>
      </c>
      <c r="W47" s="313">
        <f>'P&amp;L - Concept B2 - RCCL'!P42</f>
        <v>2763.354166666667</v>
      </c>
      <c r="X47" s="313">
        <f>'P&amp;L - Concept B2 - RCCL'!Q42</f>
        <v>2763.354166666667</v>
      </c>
      <c r="Y47" s="313">
        <f>'P&amp;L - Concept B2 - RCCL'!R42</f>
        <v>2763.354166666667</v>
      </c>
      <c r="Z47" s="313">
        <f>'P&amp;L - Concept B2 - RCCL'!S42</f>
        <v>2763.354166666667</v>
      </c>
      <c r="AA47" s="313">
        <f>'P&amp;L - Concept B2 - RCCL'!T42</f>
        <v>2763.354166666667</v>
      </c>
      <c r="AB47" s="313">
        <f>'P&amp;L - Concept B2 - RCCL'!U42</f>
        <v>2763.354166666667</v>
      </c>
      <c r="AC47" s="313">
        <f>'P&amp;L - Concept B2 - RCCL'!V42</f>
        <v>2763.354166666667</v>
      </c>
      <c r="AD47" s="313">
        <f>'P&amp;L - Concept B2 - RCCL'!W42</f>
        <v>2763.354166666667</v>
      </c>
      <c r="AE47" s="313">
        <f>'P&amp;L - Concept B2 - RCCL'!X42</f>
        <v>2763.354166666667</v>
      </c>
    </row>
    <row r="48" spans="1:31" s="18" customFormat="1">
      <c r="A48" s="54" t="s">
        <v>267</v>
      </c>
      <c r="B48" s="277"/>
      <c r="C48" s="74"/>
      <c r="K48" s="486">
        <f>'P&amp;L - Concept B2 - RCCL'!D43</f>
        <v>0</v>
      </c>
      <c r="L48" s="313">
        <f>'P&amp;L - Concept B2 - RCCL'!E43</f>
        <v>14009.916666666664</v>
      </c>
      <c r="M48" s="313">
        <f>'P&amp;L - Concept B2 - RCCL'!F43</f>
        <v>28019.833333333328</v>
      </c>
      <c r="N48" s="313">
        <f>'P&amp;L - Concept B2 - RCCL'!G43</f>
        <v>28019.833333333328</v>
      </c>
      <c r="O48" s="313">
        <f>'P&amp;L - Concept B2 - RCCL'!H43</f>
        <v>28019.833333333328</v>
      </c>
      <c r="P48" s="313">
        <f>'P&amp;L - Concept B2 - RCCL'!I43</f>
        <v>28019.833333333328</v>
      </c>
      <c r="Q48" s="313">
        <f>'P&amp;L - Concept B2 - RCCL'!J43</f>
        <v>28019.833333333328</v>
      </c>
      <c r="R48" s="313">
        <f>'P&amp;L - Concept B2 - RCCL'!K43</f>
        <v>28019.833333333328</v>
      </c>
      <c r="S48" s="313">
        <f>'P&amp;L - Concept B2 - RCCL'!L43</f>
        <v>28019.833333333328</v>
      </c>
      <c r="T48" s="313">
        <f>'P&amp;L - Concept B2 - RCCL'!M43</f>
        <v>28019.833333333328</v>
      </c>
      <c r="U48" s="313">
        <f>'P&amp;L - Concept B2 - RCCL'!N43</f>
        <v>28019.833333333328</v>
      </c>
      <c r="V48" s="313">
        <f>'P&amp;L - Concept B2 - RCCL'!O43</f>
        <v>28019.833333333328</v>
      </c>
      <c r="W48" s="313">
        <f>'P&amp;L - Concept B2 - RCCL'!P43</f>
        <v>28019.833333333328</v>
      </c>
      <c r="X48" s="313">
        <f>'P&amp;L - Concept B2 - RCCL'!Q43</f>
        <v>28019.833333333328</v>
      </c>
      <c r="Y48" s="313">
        <f>'P&amp;L - Concept B2 - RCCL'!R43</f>
        <v>28019.833333333328</v>
      </c>
      <c r="Z48" s="313">
        <f>'P&amp;L - Concept B2 - RCCL'!S43</f>
        <v>28019.833333333328</v>
      </c>
      <c r="AA48" s="313">
        <f>'P&amp;L - Concept B2 - RCCL'!T43</f>
        <v>28019.833333333328</v>
      </c>
      <c r="AB48" s="313">
        <f>'P&amp;L - Concept B2 - RCCL'!U43</f>
        <v>28019.833333333328</v>
      </c>
      <c r="AC48" s="313">
        <f>'P&amp;L - Concept B2 - RCCL'!V43</f>
        <v>28019.833333333328</v>
      </c>
      <c r="AD48" s="313">
        <f>'P&amp;L - Concept B2 - RCCL'!W43</f>
        <v>28019.833333333328</v>
      </c>
      <c r="AE48" s="313">
        <f>'P&amp;L - Concept B2 - RCCL'!X43</f>
        <v>28019.833333333328</v>
      </c>
    </row>
    <row r="49" spans="1:32 16384:16384" s="96" customFormat="1">
      <c r="A49" s="54" t="s">
        <v>274</v>
      </c>
      <c r="B49" s="435"/>
      <c r="C49" s="583"/>
      <c r="K49" s="486">
        <f>'P&amp;L - Concept B2 - RCCL'!D44</f>
        <v>0</v>
      </c>
      <c r="L49" s="313">
        <f>'P&amp;L - Concept B2 - RCCL'!E44</f>
        <v>15391.593749999998</v>
      </c>
      <c r="M49" s="313">
        <f>'P&amp;L - Concept B2 - RCCL'!F44</f>
        <v>30783.187499999996</v>
      </c>
      <c r="N49" s="313">
        <f>'P&amp;L - Concept B2 - RCCL'!G44</f>
        <v>30783.187499999996</v>
      </c>
      <c r="O49" s="313">
        <f>'P&amp;L - Concept B2 - RCCL'!H44</f>
        <v>30783.187499999996</v>
      </c>
      <c r="P49" s="313">
        <f>'P&amp;L - Concept B2 - RCCL'!I44</f>
        <v>30783.187499999996</v>
      </c>
      <c r="Q49" s="313">
        <f>'P&amp;L - Concept B2 - RCCL'!J44</f>
        <v>30783.187499999996</v>
      </c>
      <c r="R49" s="313">
        <f>'P&amp;L - Concept B2 - RCCL'!K44</f>
        <v>30783.187499999996</v>
      </c>
      <c r="S49" s="313">
        <f>'P&amp;L - Concept B2 - RCCL'!L44</f>
        <v>30783.187499999996</v>
      </c>
      <c r="T49" s="313">
        <f>'P&amp;L - Concept B2 - RCCL'!M44</f>
        <v>30783.187499999996</v>
      </c>
      <c r="U49" s="313">
        <f>'P&amp;L - Concept B2 - RCCL'!N44</f>
        <v>30783.187499999996</v>
      </c>
      <c r="V49" s="313">
        <f>'P&amp;L - Concept B2 - RCCL'!O44</f>
        <v>30783.187499999996</v>
      </c>
      <c r="W49" s="313">
        <f>'P&amp;L - Concept B2 - RCCL'!P44</f>
        <v>30783.187499999996</v>
      </c>
      <c r="X49" s="313">
        <f>'P&amp;L - Concept B2 - RCCL'!Q44</f>
        <v>30783.187499999996</v>
      </c>
      <c r="Y49" s="313">
        <f>'P&amp;L - Concept B2 - RCCL'!R44</f>
        <v>30783.187499999996</v>
      </c>
      <c r="Z49" s="313">
        <f>'P&amp;L - Concept B2 - RCCL'!S44</f>
        <v>30783.187499999996</v>
      </c>
      <c r="AA49" s="313">
        <f>'P&amp;L - Concept B2 - RCCL'!T44</f>
        <v>30783.187499999996</v>
      </c>
      <c r="AB49" s="313">
        <f>'P&amp;L - Concept B2 - RCCL'!U44</f>
        <v>30783.187499999996</v>
      </c>
      <c r="AC49" s="313">
        <f>'P&amp;L - Concept B2 - RCCL'!V44</f>
        <v>30783.187499999996</v>
      </c>
      <c r="AD49" s="313">
        <f>'P&amp;L - Concept B2 - RCCL'!W44</f>
        <v>30783.187499999996</v>
      </c>
      <c r="AE49" s="313">
        <f>'P&amp;L - Concept B2 - RCCL'!X44</f>
        <v>30783.187499999996</v>
      </c>
    </row>
    <row r="50" spans="1:32 16384:16384" s="18" customFormat="1">
      <c r="A50" s="54"/>
      <c r="B50" s="277"/>
      <c r="C50" s="74"/>
      <c r="K50" s="499"/>
      <c r="L50" s="313"/>
      <c r="M50" s="313"/>
      <c r="N50" s="313"/>
      <c r="O50" s="313"/>
      <c r="P50" s="313"/>
      <c r="Q50" s="313"/>
      <c r="R50" s="313"/>
      <c r="S50" s="313"/>
      <c r="T50" s="313"/>
      <c r="U50" s="313"/>
      <c r="V50" s="313"/>
      <c r="W50" s="313"/>
      <c r="X50" s="313"/>
      <c r="Y50" s="313"/>
      <c r="Z50" s="313"/>
      <c r="AA50" s="313"/>
      <c r="AB50" s="313"/>
      <c r="AC50" s="313"/>
      <c r="AD50" s="313"/>
      <c r="AE50" s="313"/>
    </row>
    <row r="51" spans="1:32 16384:16384" s="341" customFormat="1">
      <c r="A51" s="552" t="s">
        <v>224</v>
      </c>
      <c r="B51" s="556"/>
      <c r="C51" s="557"/>
      <c r="K51" s="554">
        <f>'P&amp;L - Concept B2 - RCCL'!D46</f>
        <v>0</v>
      </c>
      <c r="L51" s="558">
        <f>'P&amp;L - Concept B2 - RCCL'!E46</f>
        <v>3</v>
      </c>
      <c r="M51" s="558">
        <f>'P&amp;L - Concept B2 - RCCL'!F46</f>
        <v>3</v>
      </c>
      <c r="N51" s="558">
        <f>'P&amp;L - Concept B2 - RCCL'!G46</f>
        <v>3</v>
      </c>
      <c r="O51" s="558">
        <f>'P&amp;L - Concept B2 - RCCL'!H46</f>
        <v>3</v>
      </c>
      <c r="P51" s="558">
        <f>'P&amp;L - Concept B2 - RCCL'!I46</f>
        <v>3</v>
      </c>
      <c r="Q51" s="558">
        <f>'P&amp;L - Concept B2 - RCCL'!J46</f>
        <v>3</v>
      </c>
      <c r="R51" s="558">
        <f>'P&amp;L - Concept B2 - RCCL'!K46</f>
        <v>3</v>
      </c>
      <c r="S51" s="558">
        <f>'P&amp;L - Concept B2 - RCCL'!L46</f>
        <v>3</v>
      </c>
      <c r="T51" s="558">
        <f>'P&amp;L - Concept B2 - RCCL'!M46</f>
        <v>3</v>
      </c>
      <c r="U51" s="558">
        <f>'P&amp;L - Concept B2 - RCCL'!N46</f>
        <v>3</v>
      </c>
      <c r="V51" s="558">
        <f>'P&amp;L - Concept B2 - RCCL'!O46</f>
        <v>3</v>
      </c>
      <c r="W51" s="558">
        <f>'P&amp;L - Concept B2 - RCCL'!P46</f>
        <v>3</v>
      </c>
      <c r="X51" s="558">
        <f>'P&amp;L - Concept B2 - RCCL'!Q46</f>
        <v>3</v>
      </c>
      <c r="Y51" s="558">
        <f>'P&amp;L - Concept B2 - RCCL'!R46</f>
        <v>3</v>
      </c>
      <c r="Z51" s="558">
        <f>'P&amp;L - Concept B2 - RCCL'!S46</f>
        <v>3</v>
      </c>
      <c r="AA51" s="558">
        <f>'P&amp;L - Concept B2 - RCCL'!T46</f>
        <v>3</v>
      </c>
      <c r="AB51" s="558">
        <f>'P&amp;L - Concept B2 - RCCL'!U46</f>
        <v>3</v>
      </c>
      <c r="AC51" s="558">
        <f>'P&amp;L - Concept B2 - RCCL'!V46</f>
        <v>3</v>
      </c>
      <c r="AD51" s="558">
        <f>'P&amp;L - Concept B2 - RCCL'!W46</f>
        <v>3</v>
      </c>
      <c r="AE51" s="558">
        <f>'P&amp;L - Concept B2 - RCCL'!X46</f>
        <v>3</v>
      </c>
    </row>
    <row r="52" spans="1:32 16384:16384" s="96" customFormat="1">
      <c r="A52" s="54" t="s">
        <v>225</v>
      </c>
      <c r="B52" s="435"/>
      <c r="C52" s="583"/>
      <c r="K52" s="486">
        <f>'P&amp;L - Concept B2 - RCCL'!D47</f>
        <v>0</v>
      </c>
      <c r="L52" s="496">
        <f>'P&amp;L - Concept B2 - RCCL'!E47</f>
        <v>1</v>
      </c>
      <c r="M52" s="496">
        <f>'P&amp;L - Concept B2 - RCCL'!F47</f>
        <v>1</v>
      </c>
      <c r="N52" s="496">
        <f>'P&amp;L - Concept B2 - RCCL'!G47</f>
        <v>1</v>
      </c>
      <c r="O52" s="496">
        <f>'P&amp;L - Concept B2 - RCCL'!H47</f>
        <v>1</v>
      </c>
      <c r="P52" s="496">
        <f>'P&amp;L - Concept B2 - RCCL'!I47</f>
        <v>1</v>
      </c>
      <c r="Q52" s="496">
        <f>'P&amp;L - Concept B2 - RCCL'!J47</f>
        <v>1</v>
      </c>
      <c r="R52" s="496">
        <f>'P&amp;L - Concept B2 - RCCL'!K47</f>
        <v>1</v>
      </c>
      <c r="S52" s="496">
        <f>'P&amp;L - Concept B2 - RCCL'!L47</f>
        <v>1</v>
      </c>
      <c r="T52" s="496">
        <f>'P&amp;L - Concept B2 - RCCL'!M47</f>
        <v>1</v>
      </c>
      <c r="U52" s="496">
        <f>'P&amp;L - Concept B2 - RCCL'!N47</f>
        <v>1</v>
      </c>
      <c r="V52" s="496">
        <f>'P&amp;L - Concept B2 - RCCL'!O47</f>
        <v>1</v>
      </c>
      <c r="W52" s="496">
        <f>'P&amp;L - Concept B2 - RCCL'!P47</f>
        <v>1</v>
      </c>
      <c r="X52" s="496">
        <f>'P&amp;L - Concept B2 - RCCL'!Q47</f>
        <v>1</v>
      </c>
      <c r="Y52" s="496">
        <f>'P&amp;L - Concept B2 - RCCL'!R47</f>
        <v>1</v>
      </c>
      <c r="Z52" s="496">
        <f>'P&amp;L - Concept B2 - RCCL'!S47</f>
        <v>1</v>
      </c>
      <c r="AA52" s="496">
        <f>'P&amp;L - Concept B2 - RCCL'!T47</f>
        <v>1</v>
      </c>
      <c r="AB52" s="496">
        <f>'P&amp;L - Concept B2 - RCCL'!U47</f>
        <v>1</v>
      </c>
      <c r="AC52" s="496">
        <f>'P&amp;L - Concept B2 - RCCL'!V47</f>
        <v>1</v>
      </c>
      <c r="AD52" s="496">
        <f>'P&amp;L - Concept B2 - RCCL'!W47</f>
        <v>1</v>
      </c>
      <c r="AE52" s="496">
        <f>'P&amp;L - Concept B2 - RCCL'!X47</f>
        <v>1</v>
      </c>
    </row>
    <row r="53" spans="1:32 16384:16384" s="18" customFormat="1">
      <c r="A53" s="54" t="s">
        <v>209</v>
      </c>
      <c r="B53" s="277"/>
      <c r="C53" s="74"/>
      <c r="K53" s="486">
        <f>'P&amp;L - Concept B2 - RCCL'!D48</f>
        <v>0</v>
      </c>
      <c r="L53" s="496">
        <f>'P&amp;L - Concept B2 - RCCL'!E48</f>
        <v>0.5</v>
      </c>
      <c r="M53" s="496">
        <f>'P&amp;L - Concept B2 - RCCL'!F48</f>
        <v>0.5</v>
      </c>
      <c r="N53" s="496">
        <f>'P&amp;L - Concept B2 - RCCL'!G48</f>
        <v>0.5</v>
      </c>
      <c r="O53" s="496">
        <f>'P&amp;L - Concept B2 - RCCL'!H48</f>
        <v>0.5</v>
      </c>
      <c r="P53" s="496">
        <f>'P&amp;L - Concept B2 - RCCL'!I48</f>
        <v>0.5</v>
      </c>
      <c r="Q53" s="496">
        <f>'P&amp;L - Concept B2 - RCCL'!J48</f>
        <v>0.5</v>
      </c>
      <c r="R53" s="496">
        <f>'P&amp;L - Concept B2 - RCCL'!K48</f>
        <v>0.5</v>
      </c>
      <c r="S53" s="496">
        <f>'P&amp;L - Concept B2 - RCCL'!L48</f>
        <v>0.5</v>
      </c>
      <c r="T53" s="496">
        <f>'P&amp;L - Concept B2 - RCCL'!M48</f>
        <v>0.5</v>
      </c>
      <c r="U53" s="496">
        <f>'P&amp;L - Concept B2 - RCCL'!N48</f>
        <v>0.5</v>
      </c>
      <c r="V53" s="496">
        <f>'P&amp;L - Concept B2 - RCCL'!O48</f>
        <v>0.5</v>
      </c>
      <c r="W53" s="496">
        <f>'P&amp;L - Concept B2 - RCCL'!P48</f>
        <v>0.5</v>
      </c>
      <c r="X53" s="496">
        <f>'P&amp;L - Concept B2 - RCCL'!Q48</f>
        <v>0.5</v>
      </c>
      <c r="Y53" s="496">
        <f>'P&amp;L - Concept B2 - RCCL'!R48</f>
        <v>0.5</v>
      </c>
      <c r="Z53" s="496">
        <f>'P&amp;L - Concept B2 - RCCL'!S48</f>
        <v>0.5</v>
      </c>
      <c r="AA53" s="496">
        <f>'P&amp;L - Concept B2 - RCCL'!T48</f>
        <v>0.5</v>
      </c>
      <c r="AB53" s="496">
        <f>'P&amp;L - Concept B2 - RCCL'!U48</f>
        <v>0.5</v>
      </c>
      <c r="AC53" s="496">
        <f>'P&amp;L - Concept B2 - RCCL'!V48</f>
        <v>0.5</v>
      </c>
      <c r="AD53" s="496">
        <f>'P&amp;L - Concept B2 - RCCL'!W48</f>
        <v>0.5</v>
      </c>
      <c r="AE53" s="496">
        <f>'P&amp;L - Concept B2 - RCCL'!X48</f>
        <v>0.5</v>
      </c>
    </row>
    <row r="54" spans="1:32 16384:16384" s="18" customFormat="1">
      <c r="A54" s="54" t="s">
        <v>289</v>
      </c>
      <c r="B54" s="277"/>
      <c r="C54" s="74"/>
      <c r="K54" s="486">
        <f>'P&amp;L - Concept B2 - RCCL'!D49</f>
        <v>0</v>
      </c>
      <c r="L54" s="496">
        <f>'P&amp;L - Concept B2 - RCCL'!E49</f>
        <v>0.75</v>
      </c>
      <c r="M54" s="496">
        <f>'P&amp;L - Concept B2 - RCCL'!F49</f>
        <v>0.75</v>
      </c>
      <c r="N54" s="496">
        <f>'P&amp;L - Concept B2 - RCCL'!G49</f>
        <v>0.75</v>
      </c>
      <c r="O54" s="496">
        <f>'P&amp;L - Concept B2 - RCCL'!H49</f>
        <v>0.75</v>
      </c>
      <c r="P54" s="496">
        <f>'P&amp;L - Concept B2 - RCCL'!I49</f>
        <v>0.75</v>
      </c>
      <c r="Q54" s="496">
        <f>'P&amp;L - Concept B2 - RCCL'!J49</f>
        <v>0.75</v>
      </c>
      <c r="R54" s="496">
        <f>'P&amp;L - Concept B2 - RCCL'!K49</f>
        <v>0.75</v>
      </c>
      <c r="S54" s="496">
        <f>'P&amp;L - Concept B2 - RCCL'!L49</f>
        <v>0.75</v>
      </c>
      <c r="T54" s="496">
        <f>'P&amp;L - Concept B2 - RCCL'!M49</f>
        <v>0.75</v>
      </c>
      <c r="U54" s="496">
        <f>'P&amp;L - Concept B2 - RCCL'!N49</f>
        <v>0.75</v>
      </c>
      <c r="V54" s="496">
        <f>'P&amp;L - Concept B2 - RCCL'!O49</f>
        <v>0.75</v>
      </c>
      <c r="W54" s="496">
        <f>'P&amp;L - Concept B2 - RCCL'!P49</f>
        <v>0.75</v>
      </c>
      <c r="X54" s="496">
        <f>'P&amp;L - Concept B2 - RCCL'!Q49</f>
        <v>0.75</v>
      </c>
      <c r="Y54" s="496">
        <f>'P&amp;L - Concept B2 - RCCL'!R49</f>
        <v>0.75</v>
      </c>
      <c r="Z54" s="496">
        <f>'P&amp;L - Concept B2 - RCCL'!S49</f>
        <v>0.75</v>
      </c>
      <c r="AA54" s="496">
        <f>'P&amp;L - Concept B2 - RCCL'!T49</f>
        <v>0.75</v>
      </c>
      <c r="AB54" s="496">
        <f>'P&amp;L - Concept B2 - RCCL'!U49</f>
        <v>0.75</v>
      </c>
      <c r="AC54" s="496">
        <f>'P&amp;L - Concept B2 - RCCL'!V49</f>
        <v>0.75</v>
      </c>
      <c r="AD54" s="496">
        <f>'P&amp;L - Concept B2 - RCCL'!W49</f>
        <v>0.75</v>
      </c>
      <c r="AE54" s="496">
        <f>'P&amp;L - Concept B2 - RCCL'!X49</f>
        <v>0.75</v>
      </c>
      <c r="XFD54" s="570">
        <f>SUM(K54:XFC54)</f>
        <v>15</v>
      </c>
    </row>
    <row r="55" spans="1:32 16384:16384" s="18" customFormat="1">
      <c r="A55" s="54"/>
      <c r="B55" s="277"/>
      <c r="C55" s="74"/>
      <c r="K55" s="486"/>
      <c r="L55" s="313"/>
      <c r="M55" s="313"/>
      <c r="N55" s="313"/>
      <c r="O55" s="313"/>
      <c r="P55" s="313"/>
      <c r="Q55" s="313"/>
      <c r="R55" s="313"/>
      <c r="S55" s="313"/>
      <c r="T55" s="313"/>
      <c r="U55" s="313"/>
      <c r="V55" s="313"/>
      <c r="W55" s="313"/>
      <c r="X55" s="313"/>
      <c r="Y55" s="313"/>
      <c r="Z55" s="313"/>
      <c r="AA55" s="313"/>
      <c r="AB55" s="313"/>
      <c r="AC55" s="313"/>
      <c r="AD55" s="313"/>
      <c r="AE55" s="313"/>
      <c r="XFD55" s="570"/>
    </row>
    <row r="56" spans="1:32 16384:16384" s="18" customFormat="1">
      <c r="A56" s="54" t="s">
        <v>312</v>
      </c>
      <c r="B56" s="277"/>
      <c r="C56" s="74"/>
      <c r="K56" s="486">
        <f>'P&amp;L - Concept B2 - RCCL'!D51</f>
        <v>0</v>
      </c>
      <c r="L56" s="313">
        <f>'P&amp;L - Concept B2 - RCCL'!E51</f>
        <v>3595</v>
      </c>
      <c r="M56" s="313">
        <f>'P&amp;L - Concept B2 - RCCL'!F51</f>
        <v>7190</v>
      </c>
      <c r="N56" s="313">
        <f>'P&amp;L - Concept B2 - RCCL'!G51</f>
        <v>7190</v>
      </c>
      <c r="O56" s="313">
        <f>'P&amp;L - Concept B2 - RCCL'!H51</f>
        <v>7190</v>
      </c>
      <c r="P56" s="313">
        <f>'P&amp;L - Concept B2 - RCCL'!I51</f>
        <v>7190</v>
      </c>
      <c r="Q56" s="313">
        <f>'P&amp;L - Concept B2 - RCCL'!J51</f>
        <v>7190</v>
      </c>
      <c r="R56" s="313">
        <f>'P&amp;L - Concept B2 - RCCL'!K51</f>
        <v>7190</v>
      </c>
      <c r="S56" s="313">
        <f>'P&amp;L - Concept B2 - RCCL'!L51</f>
        <v>7190</v>
      </c>
      <c r="T56" s="313">
        <f>'P&amp;L - Concept B2 - RCCL'!M51</f>
        <v>7190</v>
      </c>
      <c r="U56" s="313">
        <f>'P&amp;L - Concept B2 - RCCL'!N51</f>
        <v>7190</v>
      </c>
      <c r="V56" s="313">
        <f>'P&amp;L - Concept B2 - RCCL'!O51</f>
        <v>7190</v>
      </c>
      <c r="W56" s="313">
        <f>'P&amp;L - Concept B2 - RCCL'!P51</f>
        <v>7190</v>
      </c>
      <c r="X56" s="313">
        <f>'P&amp;L - Concept B2 - RCCL'!Q51</f>
        <v>7190</v>
      </c>
      <c r="Y56" s="313">
        <f>'P&amp;L - Concept B2 - RCCL'!R51</f>
        <v>7190</v>
      </c>
      <c r="Z56" s="313">
        <f>'P&amp;L - Concept B2 - RCCL'!S51</f>
        <v>7190</v>
      </c>
      <c r="AA56" s="313">
        <f>'P&amp;L - Concept B2 - RCCL'!T51</f>
        <v>7190</v>
      </c>
      <c r="AB56" s="313">
        <f>'P&amp;L - Concept B2 - RCCL'!U51</f>
        <v>7190</v>
      </c>
      <c r="AC56" s="313">
        <f>'P&amp;L - Concept B2 - RCCL'!V51</f>
        <v>7190</v>
      </c>
      <c r="AD56" s="313">
        <f>'P&amp;L - Concept B2 - RCCL'!W51</f>
        <v>7190</v>
      </c>
      <c r="AE56" s="313">
        <f>'P&amp;L - Concept B2 - RCCL'!X51</f>
        <v>7190</v>
      </c>
      <c r="XFD56" s="570"/>
    </row>
    <row r="57" spans="1:32 16384:16384" s="18" customFormat="1">
      <c r="A57" s="54"/>
      <c r="B57" s="277"/>
      <c r="C57" s="74"/>
      <c r="K57" s="486"/>
      <c r="L57" s="313"/>
      <c r="M57" s="313"/>
      <c r="N57" s="313"/>
      <c r="O57" s="313"/>
      <c r="P57" s="313"/>
      <c r="Q57" s="313"/>
      <c r="R57" s="313"/>
      <c r="S57" s="313"/>
      <c r="T57" s="313"/>
      <c r="U57" s="313"/>
      <c r="V57" s="313"/>
      <c r="W57" s="313"/>
      <c r="X57" s="313"/>
      <c r="Y57" s="313"/>
      <c r="Z57" s="313"/>
      <c r="AA57" s="313"/>
      <c r="AB57" s="313"/>
      <c r="AC57" s="313"/>
      <c r="AD57" s="313"/>
      <c r="AE57" s="313"/>
    </row>
    <row r="58" spans="1:32 16384:16384" s="612" customFormat="1">
      <c r="A58" s="613" t="s">
        <v>292</v>
      </c>
      <c r="B58" s="614"/>
      <c r="C58" s="615"/>
      <c r="D58" s="717"/>
      <c r="E58" s="717"/>
      <c r="F58" s="717"/>
      <c r="G58" s="717"/>
      <c r="H58" s="717"/>
      <c r="I58" s="717"/>
      <c r="J58" s="717"/>
      <c r="K58" s="616">
        <f>'P&amp;L - Concept B2 - RCCL'!D53</f>
        <v>0</v>
      </c>
      <c r="L58" s="616">
        <f>'P&amp;L - Concept B2 - RCCL'!E53</f>
        <v>0</v>
      </c>
      <c r="M58" s="616">
        <f>'P&amp;L - Concept B2 - RCCL'!F53</f>
        <v>0</v>
      </c>
      <c r="N58" s="616">
        <f>'P&amp;L - Concept B2 - RCCL'!G53</f>
        <v>100000</v>
      </c>
      <c r="O58" s="616">
        <f>'P&amp;L - Concept B2 - RCCL'!H53</f>
        <v>100000</v>
      </c>
      <c r="P58" s="616">
        <f>'P&amp;L - Concept B2 - RCCL'!I53</f>
        <v>100000</v>
      </c>
      <c r="Q58" s="616">
        <f>'P&amp;L - Concept B2 - RCCL'!J53</f>
        <v>100000</v>
      </c>
      <c r="R58" s="616">
        <f>'P&amp;L - Concept B2 - RCCL'!K53</f>
        <v>100000</v>
      </c>
      <c r="S58" s="616">
        <f>'P&amp;L - Concept B2 - RCCL'!L53</f>
        <v>100000</v>
      </c>
      <c r="T58" s="616">
        <f>'P&amp;L - Concept B2 - RCCL'!M53</f>
        <v>100000</v>
      </c>
      <c r="U58" s="616">
        <f>'P&amp;L - Concept B2 - RCCL'!N53</f>
        <v>100000</v>
      </c>
      <c r="V58" s="616">
        <f>'P&amp;L - Concept B2 - RCCL'!O53</f>
        <v>100000</v>
      </c>
      <c r="W58" s="616">
        <f>'P&amp;L - Concept B2 - RCCL'!P53</f>
        <v>100000</v>
      </c>
      <c r="X58" s="616">
        <f>'P&amp;L - Concept B2 - RCCL'!Q53</f>
        <v>100000</v>
      </c>
      <c r="Y58" s="616">
        <f>'P&amp;L - Concept B2 - RCCL'!R53</f>
        <v>100000</v>
      </c>
      <c r="Z58" s="616">
        <f>'P&amp;L - Concept B2 - RCCL'!S53</f>
        <v>100000</v>
      </c>
      <c r="AA58" s="616">
        <f>'P&amp;L - Concept B2 - RCCL'!T53</f>
        <v>100000</v>
      </c>
      <c r="AB58" s="616">
        <f>'P&amp;L - Concept B2 - RCCL'!U53</f>
        <v>100000</v>
      </c>
      <c r="AC58" s="616">
        <f>'P&amp;L - Concept B2 - RCCL'!V53</f>
        <v>100000</v>
      </c>
      <c r="AD58" s="616">
        <f>'P&amp;L - Concept B2 - RCCL'!W53</f>
        <v>100000</v>
      </c>
      <c r="AE58" s="787">
        <f>'P&amp;L - Concept B2 - RCCL'!X53</f>
        <v>100000</v>
      </c>
    </row>
    <row r="59" spans="1:32 16384:16384" s="18" customFormat="1">
      <c r="A59" s="54"/>
      <c r="B59" s="277"/>
      <c r="C59" s="74"/>
      <c r="K59" s="486"/>
      <c r="L59" s="313"/>
      <c r="M59" s="313"/>
      <c r="N59" s="313"/>
      <c r="O59" s="313"/>
      <c r="P59" s="313"/>
      <c r="Q59" s="313"/>
      <c r="R59" s="313"/>
      <c r="S59" s="313"/>
      <c r="T59" s="313"/>
      <c r="U59" s="313"/>
      <c r="V59" s="313"/>
      <c r="W59" s="313"/>
      <c r="X59" s="313"/>
      <c r="Y59" s="313"/>
      <c r="Z59" s="313"/>
      <c r="AA59" s="313"/>
      <c r="AB59" s="313"/>
      <c r="AC59" s="313"/>
      <c r="AD59" s="313"/>
      <c r="AE59" s="313"/>
    </row>
    <row r="60" spans="1:32 16384:16384" s="582" customFormat="1">
      <c r="A60" s="293" t="str">
        <f>'BH Tariffs'!A33</f>
        <v>Recreational/Commercial Marina</v>
      </c>
      <c r="B60" s="584"/>
      <c r="C60" s="585"/>
      <c r="K60" s="486"/>
      <c r="L60" s="313"/>
      <c r="M60" s="313"/>
      <c r="N60" s="313"/>
      <c r="O60" s="313"/>
      <c r="P60" s="313"/>
      <c r="Q60" s="313"/>
      <c r="R60" s="313"/>
      <c r="S60" s="313"/>
      <c r="T60" s="313"/>
      <c r="U60" s="313"/>
      <c r="V60" s="313"/>
      <c r="W60" s="313"/>
      <c r="X60" s="313"/>
      <c r="Y60" s="313"/>
      <c r="Z60" s="313"/>
      <c r="AA60" s="313"/>
      <c r="AB60" s="313"/>
      <c r="AC60" s="313"/>
      <c r="AD60" s="313"/>
      <c r="AE60" s="313"/>
    </row>
    <row r="61" spans="1:32 16384:16384" s="96" customFormat="1">
      <c r="A61" s="54" t="s">
        <v>291</v>
      </c>
      <c r="B61" s="435"/>
      <c r="C61" s="583"/>
      <c r="K61" s="486">
        <f>'P&amp;L - Concept B2 - RCCL'!D56</f>
        <v>0</v>
      </c>
      <c r="L61" s="313">
        <f>'P&amp;L - Concept B2 - RCCL'!E56</f>
        <v>0</v>
      </c>
      <c r="M61" s="313">
        <f>'P&amp;L - Concept B2 - RCCL'!F56</f>
        <v>12</v>
      </c>
      <c r="N61" s="313">
        <f>'P&amp;L - Concept B2 - RCCL'!G56</f>
        <v>12</v>
      </c>
      <c r="O61" s="313">
        <f>'P&amp;L - Concept B2 - RCCL'!H56</f>
        <v>12</v>
      </c>
      <c r="P61" s="313">
        <f>'P&amp;L - Concept B2 - RCCL'!I56</f>
        <v>12</v>
      </c>
      <c r="Q61" s="313">
        <f>'P&amp;L - Concept B2 - RCCL'!J56</f>
        <v>12</v>
      </c>
      <c r="R61" s="313">
        <f>'P&amp;L - Concept B2 - RCCL'!K56</f>
        <v>12</v>
      </c>
      <c r="S61" s="313">
        <f>'P&amp;L - Concept B2 - RCCL'!L56</f>
        <v>12</v>
      </c>
      <c r="T61" s="313">
        <f>'P&amp;L - Concept B2 - RCCL'!M56</f>
        <v>12</v>
      </c>
      <c r="U61" s="313">
        <f>'P&amp;L - Concept B2 - RCCL'!N56</f>
        <v>12</v>
      </c>
      <c r="V61" s="313">
        <f>'P&amp;L - Concept B2 - RCCL'!O56</f>
        <v>12</v>
      </c>
      <c r="W61" s="313">
        <f>'P&amp;L - Concept B2 - RCCL'!P56</f>
        <v>12</v>
      </c>
      <c r="X61" s="313">
        <f>'P&amp;L - Concept B2 - RCCL'!Q56</f>
        <v>12</v>
      </c>
      <c r="Y61" s="313">
        <f>'P&amp;L - Concept B2 - RCCL'!R56</f>
        <v>12</v>
      </c>
      <c r="Z61" s="313">
        <f>'P&amp;L - Concept B2 - RCCL'!S56</f>
        <v>12</v>
      </c>
      <c r="AA61" s="313">
        <f>'P&amp;L - Concept B2 - RCCL'!T56</f>
        <v>12</v>
      </c>
      <c r="AB61" s="313">
        <f>'P&amp;L - Concept B2 - RCCL'!U56</f>
        <v>12</v>
      </c>
      <c r="AC61" s="313">
        <f>'P&amp;L - Concept B2 - RCCL'!V56</f>
        <v>12</v>
      </c>
      <c r="AD61" s="313">
        <f>'P&amp;L - Concept B2 - RCCL'!W56</f>
        <v>12</v>
      </c>
      <c r="AE61" s="313">
        <f>'P&amp;L - Concept B2 - RCCL'!X56</f>
        <v>12</v>
      </c>
    </row>
    <row r="62" spans="1:32 16384:16384" s="96" customFormat="1">
      <c r="A62" s="54" t="s">
        <v>293</v>
      </c>
      <c r="B62" s="435"/>
      <c r="C62" s="583"/>
      <c r="K62" s="486">
        <f>'P&amp;L - Concept B2 - RCCL'!D57</f>
        <v>0</v>
      </c>
      <c r="L62" s="313">
        <f>'P&amp;L - Concept B2 - RCCL'!E57</f>
        <v>0</v>
      </c>
      <c r="M62" s="313">
        <f>'P&amp;L - Concept B2 - RCCL'!F57</f>
        <v>9557.1731249999993</v>
      </c>
      <c r="N62" s="313">
        <f>'P&amp;L - Concept B2 - RCCL'!G57</f>
        <v>9557.1731249999993</v>
      </c>
      <c r="O62" s="313">
        <f>'P&amp;L - Concept B2 - RCCL'!H57</f>
        <v>9557.1731249999993</v>
      </c>
      <c r="P62" s="313">
        <f>'P&amp;L - Concept B2 - RCCL'!I57</f>
        <v>9557.1731249999993</v>
      </c>
      <c r="Q62" s="313">
        <f>'P&amp;L - Concept B2 - RCCL'!J57</f>
        <v>9557.1731249999993</v>
      </c>
      <c r="R62" s="313">
        <f>'P&amp;L - Concept B2 - RCCL'!K57</f>
        <v>9557.1731249999993</v>
      </c>
      <c r="S62" s="313">
        <f>'P&amp;L - Concept B2 - RCCL'!L57</f>
        <v>9557.1731249999993</v>
      </c>
      <c r="T62" s="313">
        <f>'P&amp;L - Concept B2 - RCCL'!M57</f>
        <v>9557.1731249999993</v>
      </c>
      <c r="U62" s="313">
        <f>'P&amp;L - Concept B2 - RCCL'!N57</f>
        <v>9557.1731249999993</v>
      </c>
      <c r="V62" s="313">
        <f>'P&amp;L - Concept B2 - RCCL'!O57</f>
        <v>9557.1731249999993</v>
      </c>
      <c r="W62" s="313">
        <f>'P&amp;L - Concept B2 - RCCL'!P57</f>
        <v>9557.1731249999993</v>
      </c>
      <c r="X62" s="313">
        <f>'P&amp;L - Concept B2 - RCCL'!Q57</f>
        <v>9557.1731249999993</v>
      </c>
      <c r="Y62" s="313">
        <f>'P&amp;L - Concept B2 - RCCL'!R57</f>
        <v>9557.1731249999993</v>
      </c>
      <c r="Z62" s="313">
        <f>'P&amp;L - Concept B2 - RCCL'!S57</f>
        <v>9557.1731249999993</v>
      </c>
      <c r="AA62" s="313">
        <f>'P&amp;L - Concept B2 - RCCL'!T57</f>
        <v>9557.1731249999993</v>
      </c>
      <c r="AB62" s="313">
        <f>'P&amp;L - Concept B2 - RCCL'!U57</f>
        <v>9557.1731249999993</v>
      </c>
      <c r="AC62" s="313">
        <f>'P&amp;L - Concept B2 - RCCL'!V57</f>
        <v>9557.1731249999993</v>
      </c>
      <c r="AD62" s="313">
        <f>'P&amp;L - Concept B2 - RCCL'!W57</f>
        <v>9557.1731249999993</v>
      </c>
      <c r="AE62" s="313">
        <f>'P&amp;L - Concept B2 - RCCL'!X57</f>
        <v>9557.1731249999993</v>
      </c>
    </row>
    <row r="63" spans="1:32 16384:16384" s="96" customFormat="1">
      <c r="A63" s="54" t="s">
        <v>294</v>
      </c>
      <c r="B63" s="435"/>
      <c r="C63" s="583"/>
      <c r="K63" s="486">
        <f>'P&amp;L - Concept B2 - RCCL'!D58</f>
        <v>0</v>
      </c>
      <c r="L63" s="313">
        <f>'P&amp;L - Concept B2 - RCCL'!E58</f>
        <v>0</v>
      </c>
      <c r="M63" s="313">
        <f>'P&amp;L - Concept B2 - RCCL'!F58</f>
        <v>359.1</v>
      </c>
      <c r="N63" s="313">
        <f>'P&amp;L - Concept B2 - RCCL'!G58</f>
        <v>359.1</v>
      </c>
      <c r="O63" s="313">
        <f>'P&amp;L - Concept B2 - RCCL'!H58</f>
        <v>359.1</v>
      </c>
      <c r="P63" s="313">
        <f>'P&amp;L - Concept B2 - RCCL'!I58</f>
        <v>359.1</v>
      </c>
      <c r="Q63" s="313">
        <f>'P&amp;L - Concept B2 - RCCL'!J58</f>
        <v>359.1</v>
      </c>
      <c r="R63" s="313">
        <f>'P&amp;L - Concept B2 - RCCL'!K58</f>
        <v>359.1</v>
      </c>
      <c r="S63" s="313">
        <f>'P&amp;L - Concept B2 - RCCL'!L58</f>
        <v>359.1</v>
      </c>
      <c r="T63" s="313">
        <f>'P&amp;L - Concept B2 - RCCL'!M58</f>
        <v>359.1</v>
      </c>
      <c r="U63" s="313">
        <f>'P&amp;L - Concept B2 - RCCL'!N58</f>
        <v>359.1</v>
      </c>
      <c r="V63" s="313">
        <f>'P&amp;L - Concept B2 - RCCL'!O58</f>
        <v>359.1</v>
      </c>
      <c r="W63" s="313">
        <f>'P&amp;L - Concept B2 - RCCL'!P58</f>
        <v>359.1</v>
      </c>
      <c r="X63" s="313">
        <f>'P&amp;L - Concept B2 - RCCL'!Q58</f>
        <v>359.1</v>
      </c>
      <c r="Y63" s="313">
        <f>'P&amp;L - Concept B2 - RCCL'!R58</f>
        <v>359.1</v>
      </c>
      <c r="Z63" s="313">
        <f>'P&amp;L - Concept B2 - RCCL'!S58</f>
        <v>359.1</v>
      </c>
      <c r="AA63" s="313">
        <f>'P&amp;L - Concept B2 - RCCL'!T58</f>
        <v>359.1</v>
      </c>
      <c r="AB63" s="313">
        <f>'P&amp;L - Concept B2 - RCCL'!U58</f>
        <v>359.1</v>
      </c>
      <c r="AC63" s="313">
        <f>'P&amp;L - Concept B2 - RCCL'!V58</f>
        <v>359.1</v>
      </c>
      <c r="AD63" s="313">
        <f>'P&amp;L - Concept B2 - RCCL'!W58</f>
        <v>359.1</v>
      </c>
      <c r="AE63" s="313">
        <f>'P&amp;L - Concept B2 - RCCL'!X58</f>
        <v>359.1</v>
      </c>
    </row>
    <row r="64" spans="1:32 16384:16384" s="167" customFormat="1">
      <c r="A64" s="497" t="s">
        <v>170</v>
      </c>
      <c r="B64" s="450"/>
      <c r="C64" s="498"/>
      <c r="K64" s="499">
        <f>'P&amp;L - Concept B2 - RCCL'!D59</f>
        <v>0</v>
      </c>
      <c r="L64" s="500">
        <f>'P&amp;L - Concept B2 - RCCL'!E59</f>
        <v>0</v>
      </c>
      <c r="M64" s="500">
        <f>'P&amp;L - Concept B2 - RCCL'!F59</f>
        <v>0</v>
      </c>
      <c r="N64" s="500">
        <f>'P&amp;L - Concept B2 - RCCL'!G59</f>
        <v>0</v>
      </c>
      <c r="O64" s="500">
        <f>'P&amp;L - Concept B2 - RCCL'!H59</f>
        <v>0</v>
      </c>
      <c r="P64" s="500">
        <f>'P&amp;L - Concept B2 - RCCL'!I59</f>
        <v>0</v>
      </c>
      <c r="Q64" s="500">
        <f>'P&amp;L - Concept B2 - RCCL'!J59</f>
        <v>0</v>
      </c>
      <c r="R64" s="500">
        <f>'P&amp;L - Concept B2 - RCCL'!K59</f>
        <v>0</v>
      </c>
      <c r="S64" s="500">
        <f>'P&amp;L - Concept B2 - RCCL'!L59</f>
        <v>0</v>
      </c>
      <c r="T64" s="500">
        <f>'P&amp;L - Concept B2 - RCCL'!M59</f>
        <v>0</v>
      </c>
      <c r="U64" s="500">
        <f>'P&amp;L - Concept B2 - RCCL'!N59</f>
        <v>0</v>
      </c>
      <c r="V64" s="500">
        <f>'P&amp;L - Concept B2 - RCCL'!O59</f>
        <v>0</v>
      </c>
      <c r="W64" s="500">
        <f>'P&amp;L - Concept B2 - RCCL'!P59</f>
        <v>0</v>
      </c>
      <c r="X64" s="500">
        <f>'P&amp;L - Concept B2 - RCCL'!Q59</f>
        <v>0</v>
      </c>
      <c r="Y64" s="500">
        <f>'P&amp;L - Concept B2 - RCCL'!R59</f>
        <v>0</v>
      </c>
      <c r="Z64" s="500">
        <f>'P&amp;L - Concept B2 - RCCL'!S59</f>
        <v>0</v>
      </c>
      <c r="AA64" s="500">
        <f>'P&amp;L - Concept B2 - RCCL'!T59</f>
        <v>0</v>
      </c>
      <c r="AB64" s="500">
        <f>'P&amp;L - Concept B2 - RCCL'!U59</f>
        <v>0</v>
      </c>
      <c r="AC64" s="500">
        <f>'P&amp;L - Concept B2 - RCCL'!V59</f>
        <v>0</v>
      </c>
      <c r="AD64" s="500">
        <f>'P&amp;L - Concept B2 - RCCL'!W59</f>
        <v>0</v>
      </c>
      <c r="AE64" s="500">
        <f>'P&amp;L - Concept B2 - RCCL'!X59</f>
        <v>0</v>
      </c>
      <c r="AF64" s="167" t="str">
        <f>'P&amp;L - Concept B2 - RCCL'!Y59</f>
        <v>cost recovery assumed</v>
      </c>
    </row>
    <row r="65" spans="1:32" s="167" customFormat="1">
      <c r="A65" s="497" t="s">
        <v>16</v>
      </c>
      <c r="B65" s="450"/>
      <c r="C65" s="498"/>
      <c r="K65" s="499">
        <f>'P&amp;L - Concept B2 - RCCL'!D60</f>
        <v>0</v>
      </c>
      <c r="L65" s="500">
        <f>'P&amp;L - Concept B2 - RCCL'!E60</f>
        <v>0</v>
      </c>
      <c r="M65" s="500">
        <f>'P&amp;L - Concept B2 - RCCL'!F60</f>
        <v>0</v>
      </c>
      <c r="N65" s="500">
        <f>'P&amp;L - Concept B2 - RCCL'!G60</f>
        <v>0</v>
      </c>
      <c r="O65" s="500">
        <f>'P&amp;L - Concept B2 - RCCL'!H60</f>
        <v>0</v>
      </c>
      <c r="P65" s="500">
        <f>'P&amp;L - Concept B2 - RCCL'!I60</f>
        <v>0</v>
      </c>
      <c r="Q65" s="500">
        <f>'P&amp;L - Concept B2 - RCCL'!J60</f>
        <v>0</v>
      </c>
      <c r="R65" s="500">
        <f>'P&amp;L - Concept B2 - RCCL'!K60</f>
        <v>0</v>
      </c>
      <c r="S65" s="500">
        <f>'P&amp;L - Concept B2 - RCCL'!L60</f>
        <v>0</v>
      </c>
      <c r="T65" s="500">
        <f>'P&amp;L - Concept B2 - RCCL'!M60</f>
        <v>0</v>
      </c>
      <c r="U65" s="500">
        <f>'P&amp;L - Concept B2 - RCCL'!N60</f>
        <v>0</v>
      </c>
      <c r="V65" s="500">
        <f>'P&amp;L - Concept B2 - RCCL'!O60</f>
        <v>0</v>
      </c>
      <c r="W65" s="500">
        <f>'P&amp;L - Concept B2 - RCCL'!P60</f>
        <v>0</v>
      </c>
      <c r="X65" s="500">
        <f>'P&amp;L - Concept B2 - RCCL'!Q60</f>
        <v>0</v>
      </c>
      <c r="Y65" s="500">
        <f>'P&amp;L - Concept B2 - RCCL'!R60</f>
        <v>0</v>
      </c>
      <c r="Z65" s="500">
        <f>'P&amp;L - Concept B2 - RCCL'!S60</f>
        <v>0</v>
      </c>
      <c r="AA65" s="500">
        <f>'P&amp;L - Concept B2 - RCCL'!T60</f>
        <v>0</v>
      </c>
      <c r="AB65" s="500">
        <f>'P&amp;L - Concept B2 - RCCL'!U60</f>
        <v>0</v>
      </c>
      <c r="AC65" s="500">
        <f>'P&amp;L - Concept B2 - RCCL'!V60</f>
        <v>0</v>
      </c>
      <c r="AD65" s="500">
        <f>'P&amp;L - Concept B2 - RCCL'!W60</f>
        <v>0</v>
      </c>
      <c r="AE65" s="500">
        <f>'P&amp;L - Concept B2 - RCCL'!X60</f>
        <v>0</v>
      </c>
      <c r="AF65" s="167" t="str">
        <f>'P&amp;L - Concept B2 - RCCL'!Y60</f>
        <v>cost recovery assumed</v>
      </c>
    </row>
    <row r="66" spans="1:32" s="18" customFormat="1">
      <c r="A66" s="54"/>
      <c r="B66" s="277"/>
      <c r="C66" s="74"/>
      <c r="K66" s="492"/>
      <c r="L66" s="313"/>
      <c r="M66" s="313"/>
      <c r="N66" s="313"/>
      <c r="O66" s="313"/>
      <c r="P66" s="313"/>
      <c r="Q66" s="313"/>
      <c r="R66" s="313"/>
      <c r="S66" s="313"/>
      <c r="T66" s="313"/>
      <c r="U66" s="313"/>
      <c r="V66" s="313"/>
      <c r="W66" s="313"/>
      <c r="X66" s="313"/>
      <c r="Y66" s="313"/>
      <c r="Z66" s="313"/>
      <c r="AA66" s="313"/>
      <c r="AB66" s="313"/>
      <c r="AC66" s="313"/>
      <c r="AD66" s="313"/>
      <c r="AE66" s="313"/>
    </row>
    <row r="67" spans="1:32" s="18" customFormat="1">
      <c r="A67" s="293" t="s">
        <v>2</v>
      </c>
      <c r="B67" s="277"/>
      <c r="C67" s="74"/>
      <c r="K67" s="492"/>
      <c r="L67" s="313"/>
      <c r="M67" s="313"/>
      <c r="N67" s="313"/>
      <c r="O67" s="313"/>
      <c r="P67" s="313"/>
      <c r="Q67" s="313"/>
      <c r="R67" s="313"/>
      <c r="S67" s="313"/>
      <c r="T67" s="313"/>
      <c r="U67" s="313"/>
      <c r="V67" s="313"/>
      <c r="W67" s="313"/>
      <c r="X67" s="313"/>
      <c r="Y67" s="313"/>
      <c r="Z67" s="313"/>
      <c r="AA67" s="313"/>
      <c r="AB67" s="313"/>
      <c r="AC67" s="313"/>
      <c r="AD67" s="313"/>
      <c r="AE67" s="313"/>
    </row>
    <row r="68" spans="1:32" s="96" customFormat="1">
      <c r="A68" s="54" t="s">
        <v>290</v>
      </c>
      <c r="B68" s="435">
        <v>500</v>
      </c>
      <c r="C68" s="487"/>
      <c r="K68" s="486">
        <f>'P&amp;L - Concept B2 - RCCL'!D63</f>
        <v>0</v>
      </c>
      <c r="L68" s="313">
        <f>'P&amp;L - Concept B2 - RCCL'!E63</f>
        <v>0</v>
      </c>
      <c r="M68" s="313">
        <f>'P&amp;L - Concept B2 - RCCL'!F63</f>
        <v>0</v>
      </c>
      <c r="N68" s="313">
        <f>'P&amp;L - Concept B2 - RCCL'!G63</f>
        <v>500</v>
      </c>
      <c r="O68" s="313">
        <f>'P&amp;L - Concept B2 - RCCL'!H63</f>
        <v>500</v>
      </c>
      <c r="P68" s="313">
        <f>'P&amp;L - Concept B2 - RCCL'!I63</f>
        <v>500</v>
      </c>
      <c r="Q68" s="313">
        <f>'P&amp;L - Concept B2 - RCCL'!J63</f>
        <v>500</v>
      </c>
      <c r="R68" s="313">
        <f>'P&amp;L - Concept B2 - RCCL'!K63</f>
        <v>500</v>
      </c>
      <c r="S68" s="313">
        <f>'P&amp;L - Concept B2 - RCCL'!L63</f>
        <v>500</v>
      </c>
      <c r="T68" s="313">
        <f>'P&amp;L - Concept B2 - RCCL'!M63</f>
        <v>500</v>
      </c>
      <c r="U68" s="313">
        <f>'P&amp;L - Concept B2 - RCCL'!N63</f>
        <v>500</v>
      </c>
      <c r="V68" s="313">
        <f>'P&amp;L - Concept B2 - RCCL'!O63</f>
        <v>500</v>
      </c>
      <c r="W68" s="313">
        <f>'P&amp;L - Concept B2 - RCCL'!P63</f>
        <v>500</v>
      </c>
      <c r="X68" s="313">
        <f>'P&amp;L - Concept B2 - RCCL'!Q63</f>
        <v>500</v>
      </c>
      <c r="Y68" s="313">
        <f>'P&amp;L - Concept B2 - RCCL'!R63</f>
        <v>500</v>
      </c>
      <c r="Z68" s="313">
        <f>'P&amp;L - Concept B2 - RCCL'!S63</f>
        <v>500</v>
      </c>
      <c r="AA68" s="313">
        <f>'P&amp;L - Concept B2 - RCCL'!T63</f>
        <v>500</v>
      </c>
      <c r="AB68" s="313">
        <f>'P&amp;L - Concept B2 - RCCL'!U63</f>
        <v>500</v>
      </c>
      <c r="AC68" s="313">
        <f>'P&amp;L - Concept B2 - RCCL'!V63</f>
        <v>500</v>
      </c>
      <c r="AD68" s="313">
        <f>'P&amp;L - Concept B2 - RCCL'!W63</f>
        <v>500</v>
      </c>
      <c r="AE68" s="313">
        <f>'P&amp;L - Concept B2 - RCCL'!X63</f>
        <v>500</v>
      </c>
    </row>
    <row r="69" spans="1:32" s="96" customFormat="1">
      <c r="A69" s="54" t="s">
        <v>210</v>
      </c>
      <c r="B69" s="487"/>
      <c r="C69" s="487"/>
      <c r="K69" s="486">
        <f>'P&amp;L - Concept B2 - RCCL'!D65</f>
        <v>0</v>
      </c>
      <c r="L69" s="313">
        <f>'P&amp;L - Concept B2 - RCCL'!E65</f>
        <v>0</v>
      </c>
      <c r="M69" s="313">
        <f>'P&amp;L - Concept B2 - RCCL'!F65</f>
        <v>1</v>
      </c>
      <c r="N69" s="313">
        <f>'P&amp;L - Concept B2 - RCCL'!G65</f>
        <v>2</v>
      </c>
      <c r="O69" s="313">
        <f>'P&amp;L - Concept B2 - RCCL'!H65</f>
        <v>2</v>
      </c>
      <c r="P69" s="313">
        <f>'P&amp;L - Concept B2 - RCCL'!I65</f>
        <v>2</v>
      </c>
      <c r="Q69" s="313">
        <f>'P&amp;L - Concept B2 - RCCL'!J65</f>
        <v>3</v>
      </c>
      <c r="R69" s="313">
        <f>'P&amp;L - Concept B2 - RCCL'!K65</f>
        <v>3</v>
      </c>
      <c r="S69" s="313">
        <f>'P&amp;L - Concept B2 - RCCL'!L65</f>
        <v>3</v>
      </c>
      <c r="T69" s="313">
        <f>'P&amp;L - Concept B2 - RCCL'!M65</f>
        <v>3</v>
      </c>
      <c r="U69" s="313">
        <f>'P&amp;L - Concept B2 - RCCL'!N65</f>
        <v>3</v>
      </c>
      <c r="V69" s="313">
        <f>'P&amp;L - Concept B2 - RCCL'!O65</f>
        <v>4</v>
      </c>
      <c r="W69" s="313">
        <f>'P&amp;L - Concept B2 - RCCL'!P65</f>
        <v>4</v>
      </c>
      <c r="X69" s="313">
        <f>'P&amp;L - Concept B2 - RCCL'!Q65</f>
        <v>4</v>
      </c>
      <c r="Y69" s="313">
        <f>'P&amp;L - Concept B2 - RCCL'!R65</f>
        <v>4</v>
      </c>
      <c r="Z69" s="313">
        <f>'P&amp;L - Concept B2 - RCCL'!S65</f>
        <v>4</v>
      </c>
      <c r="AA69" s="313">
        <f>'P&amp;L - Concept B2 - RCCL'!T65</f>
        <v>5</v>
      </c>
      <c r="AB69" s="313">
        <f>'P&amp;L - Concept B2 - RCCL'!U65</f>
        <v>5</v>
      </c>
      <c r="AC69" s="313">
        <f>'P&amp;L - Concept B2 - RCCL'!V65</f>
        <v>5</v>
      </c>
      <c r="AD69" s="313">
        <f>'P&amp;L - Concept B2 - RCCL'!W65</f>
        <v>5</v>
      </c>
      <c r="AE69" s="313">
        <f>'P&amp;L - Concept B2 - RCCL'!X65</f>
        <v>5</v>
      </c>
    </row>
    <row r="70" spans="1:32" s="96" customFormat="1">
      <c r="A70" s="96" t="s">
        <v>211</v>
      </c>
      <c r="K70" s="486">
        <f>'P&amp;L - Concept B2 - RCCL'!D66</f>
        <v>0</v>
      </c>
      <c r="L70" s="313">
        <f>'P&amp;L - Concept B2 - RCCL'!E66</f>
        <v>0</v>
      </c>
      <c r="M70" s="313">
        <f>'P&amp;L - Concept B2 - RCCL'!F66</f>
        <v>3</v>
      </c>
      <c r="N70" s="313">
        <f>'P&amp;L - Concept B2 - RCCL'!G66</f>
        <v>3</v>
      </c>
      <c r="O70" s="313">
        <f>'P&amp;L - Concept B2 - RCCL'!H66</f>
        <v>3</v>
      </c>
      <c r="P70" s="313">
        <f>'P&amp;L - Concept B2 - RCCL'!I66</f>
        <v>3</v>
      </c>
      <c r="Q70" s="313">
        <f>'P&amp;L - Concept B2 - RCCL'!J66</f>
        <v>3</v>
      </c>
      <c r="R70" s="313">
        <f>'P&amp;L - Concept B2 - RCCL'!K66</f>
        <v>3</v>
      </c>
      <c r="S70" s="313">
        <f>'P&amp;L - Concept B2 - RCCL'!L66</f>
        <v>3</v>
      </c>
      <c r="T70" s="313">
        <f>'P&amp;L - Concept B2 - RCCL'!M66</f>
        <v>3</v>
      </c>
      <c r="U70" s="313">
        <f>'P&amp;L - Concept B2 - RCCL'!N66</f>
        <v>3</v>
      </c>
      <c r="V70" s="313">
        <f>'P&amp;L - Concept B2 - RCCL'!O66</f>
        <v>3</v>
      </c>
      <c r="W70" s="313">
        <f>'P&amp;L - Concept B2 - RCCL'!P66</f>
        <v>3</v>
      </c>
      <c r="X70" s="313">
        <f>'P&amp;L - Concept B2 - RCCL'!Q66</f>
        <v>3</v>
      </c>
      <c r="Y70" s="313">
        <f>'P&amp;L - Concept B2 - RCCL'!R66</f>
        <v>3</v>
      </c>
      <c r="Z70" s="313">
        <f>'P&amp;L - Concept B2 - RCCL'!S66</f>
        <v>3</v>
      </c>
      <c r="AA70" s="313">
        <f>'P&amp;L - Concept B2 - RCCL'!T66</f>
        <v>3</v>
      </c>
      <c r="AB70" s="313">
        <f>'P&amp;L - Concept B2 - RCCL'!U66</f>
        <v>3</v>
      </c>
      <c r="AC70" s="313">
        <f>'P&amp;L - Concept B2 - RCCL'!V66</f>
        <v>3</v>
      </c>
      <c r="AD70" s="313">
        <f>'P&amp;L - Concept B2 - RCCL'!W66</f>
        <v>3</v>
      </c>
      <c r="AE70" s="313">
        <f>'P&amp;L - Concept B2 - RCCL'!X66</f>
        <v>3</v>
      </c>
    </row>
    <row r="71" spans="1:32" s="96" customFormat="1">
      <c r="K71" s="486"/>
      <c r="L71" s="435"/>
      <c r="M71" s="435"/>
      <c r="N71" s="435"/>
      <c r="O71" s="435"/>
      <c r="P71" s="435"/>
      <c r="Q71" s="435"/>
      <c r="R71" s="435"/>
      <c r="S71" s="435"/>
      <c r="T71" s="435"/>
      <c r="U71" s="435"/>
      <c r="V71" s="435"/>
      <c r="W71" s="435"/>
      <c r="X71" s="435"/>
      <c r="Y71" s="435"/>
      <c r="Z71" s="435"/>
      <c r="AA71" s="435"/>
      <c r="AB71" s="435"/>
      <c r="AC71" s="435"/>
      <c r="AD71" s="435"/>
      <c r="AE71" s="435"/>
    </row>
    <row r="72" spans="1:32" s="18" customFormat="1">
      <c r="A72" s="28"/>
      <c r="K72" s="486"/>
      <c r="L72" s="331"/>
      <c r="M72" s="333"/>
      <c r="N72" s="331"/>
      <c r="O72" s="331"/>
      <c r="P72" s="331"/>
      <c r="Q72" s="331"/>
      <c r="R72" s="331"/>
      <c r="S72" s="331"/>
      <c r="T72" s="331"/>
      <c r="U72" s="331"/>
      <c r="V72" s="331"/>
      <c r="W72" s="331"/>
      <c r="X72" s="331"/>
      <c r="Y72" s="331"/>
      <c r="Z72" s="331"/>
      <c r="AA72" s="331"/>
      <c r="AB72" s="331"/>
      <c r="AC72" s="331"/>
      <c r="AD72" s="331"/>
      <c r="AE72" s="331"/>
    </row>
    <row r="73" spans="1:32">
      <c r="A73" s="168" t="s">
        <v>131</v>
      </c>
      <c r="B73" s="168"/>
      <c r="C73" s="169"/>
      <c r="D73" s="170"/>
      <c r="E73" s="171"/>
      <c r="F73" s="171"/>
      <c r="G73" s="171"/>
      <c r="H73" s="171"/>
      <c r="I73" s="168"/>
      <c r="J73" s="171"/>
      <c r="K73" s="681"/>
      <c r="L73" s="314"/>
      <c r="M73" s="314"/>
      <c r="N73" s="314"/>
      <c r="O73" s="314"/>
      <c r="P73" s="314"/>
      <c r="Q73" s="314"/>
      <c r="R73" s="314"/>
      <c r="S73" s="314"/>
      <c r="T73" s="314"/>
      <c r="U73" s="314"/>
      <c r="V73" s="314"/>
      <c r="W73" s="314"/>
      <c r="X73" s="314"/>
      <c r="Y73" s="314"/>
      <c r="Z73" s="314"/>
      <c r="AA73" s="314"/>
      <c r="AB73" s="314"/>
      <c r="AC73" s="314"/>
      <c r="AD73" s="314"/>
      <c r="AE73" s="314"/>
    </row>
    <row r="74" spans="1:32" s="252" customFormat="1">
      <c r="A74" s="183"/>
      <c r="B74" s="183"/>
      <c r="C74" s="364"/>
      <c r="D74" s="365"/>
      <c r="E74" s="184"/>
      <c r="F74" s="184"/>
      <c r="G74" s="184"/>
      <c r="H74" s="184"/>
      <c r="I74" s="183"/>
      <c r="J74" s="184"/>
      <c r="K74" s="664"/>
      <c r="L74" s="366"/>
      <c r="M74" s="366"/>
      <c r="N74" s="366"/>
      <c r="O74" s="366"/>
      <c r="P74" s="366"/>
      <c r="Q74" s="366"/>
      <c r="R74" s="366"/>
      <c r="S74" s="366"/>
      <c r="T74" s="366"/>
      <c r="U74" s="366"/>
      <c r="V74" s="366"/>
      <c r="W74" s="366"/>
      <c r="X74" s="366"/>
      <c r="Y74" s="366"/>
      <c r="Z74" s="366"/>
      <c r="AA74" s="366"/>
      <c r="AB74" s="366"/>
      <c r="AC74" s="366"/>
      <c r="AD74" s="366"/>
      <c r="AE74" s="366"/>
    </row>
    <row r="75" spans="1:32">
      <c r="A75" s="41" t="s">
        <v>13</v>
      </c>
      <c r="B75" s="41"/>
      <c r="C75" s="105"/>
      <c r="D75" s="106"/>
      <c r="E75" s="37"/>
      <c r="F75" s="37"/>
      <c r="G75" s="37"/>
      <c r="H75" s="37"/>
      <c r="I75" s="41"/>
      <c r="J75" s="37"/>
      <c r="K75" s="683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</row>
    <row r="76" spans="1:32">
      <c r="A76" s="96" t="s">
        <v>418</v>
      </c>
      <c r="B76" s="735" t="s">
        <v>12</v>
      </c>
      <c r="C76" s="663">
        <v>75000</v>
      </c>
      <c r="D76" s="736">
        <f t="shared" ref="D76:D78" si="0">C76/2080</f>
        <v>36.057692307692307</v>
      </c>
      <c r="E76" s="663">
        <v>0</v>
      </c>
      <c r="F76" s="663">
        <f>(C76*$F$13)</f>
        <v>30000</v>
      </c>
      <c r="G76" s="663">
        <f>SUM(C76,E76:F76)</f>
        <v>105000</v>
      </c>
      <c r="H76" s="663"/>
      <c r="I76" s="736"/>
      <c r="J76" s="663"/>
      <c r="K76" s="683">
        <v>0</v>
      </c>
      <c r="L76" s="665">
        <v>0</v>
      </c>
      <c r="M76" s="666">
        <f>G76</f>
        <v>105000</v>
      </c>
      <c r="N76" s="666">
        <f>($G$76*L11)</f>
        <v>107100</v>
      </c>
      <c r="O76" s="666">
        <f t="shared" ref="O76:AE76" si="1">($G$76*M11)</f>
        <v>109242</v>
      </c>
      <c r="P76" s="666">
        <f t="shared" si="1"/>
        <v>111426.84</v>
      </c>
      <c r="Q76" s="666">
        <f t="shared" si="1"/>
        <v>113655.3768</v>
      </c>
      <c r="R76" s="666">
        <f t="shared" si="1"/>
        <v>115928.48433600001</v>
      </c>
      <c r="S76" s="666">
        <f t="shared" si="1"/>
        <v>118247.05402272001</v>
      </c>
      <c r="T76" s="666">
        <f t="shared" si="1"/>
        <v>120611.9951031744</v>
      </c>
      <c r="U76" s="666">
        <f t="shared" si="1"/>
        <v>123024.2350052379</v>
      </c>
      <c r="V76" s="666">
        <f t="shared" si="1"/>
        <v>125484.71970534266</v>
      </c>
      <c r="W76" s="666">
        <f t="shared" si="1"/>
        <v>127994.41409944952</v>
      </c>
      <c r="X76" s="666">
        <f t="shared" si="1"/>
        <v>130554.30238143851</v>
      </c>
      <c r="Y76" s="666">
        <f t="shared" si="1"/>
        <v>133165.38842906727</v>
      </c>
      <c r="Z76" s="666">
        <f t="shared" si="1"/>
        <v>135828.69619764862</v>
      </c>
      <c r="AA76" s="666">
        <f t="shared" si="1"/>
        <v>138545.27012160158</v>
      </c>
      <c r="AB76" s="666">
        <f t="shared" si="1"/>
        <v>141316.17552403364</v>
      </c>
      <c r="AC76" s="666">
        <f t="shared" si="1"/>
        <v>144142.4990345143</v>
      </c>
      <c r="AD76" s="666">
        <f t="shared" si="1"/>
        <v>147025.34901520461</v>
      </c>
      <c r="AE76" s="666">
        <f t="shared" si="1"/>
        <v>149965.8559955087</v>
      </c>
    </row>
    <row r="77" spans="1:32">
      <c r="A77" s="96" t="s">
        <v>417</v>
      </c>
      <c r="B77" s="735" t="s">
        <v>12</v>
      </c>
      <c r="C77" s="663">
        <v>35000</v>
      </c>
      <c r="D77" s="736">
        <f t="shared" si="0"/>
        <v>16.826923076923077</v>
      </c>
      <c r="E77" s="663">
        <v>0</v>
      </c>
      <c r="F77" s="663">
        <f t="shared" ref="F77:F78" si="2">(C77*$F$13)</f>
        <v>14000</v>
      </c>
      <c r="G77" s="663">
        <f t="shared" ref="G77:G78" si="3">SUM(C77,E77:F77)</f>
        <v>49000</v>
      </c>
      <c r="H77" s="663"/>
      <c r="I77" s="736"/>
      <c r="J77" s="663"/>
      <c r="K77" s="683">
        <v>0</v>
      </c>
      <c r="L77" s="665">
        <f>G77*0.25</f>
        <v>12250</v>
      </c>
      <c r="M77" s="666">
        <f>G77*0.5</f>
        <v>24500</v>
      </c>
      <c r="N77" s="666">
        <f>($G$77*0.5*L11)</f>
        <v>24990</v>
      </c>
      <c r="O77" s="666">
        <f t="shared" ref="O77:AE77" si="4">($G$77*0.5*M11)</f>
        <v>25489.8</v>
      </c>
      <c r="P77" s="666">
        <f t="shared" si="4"/>
        <v>25999.595999999998</v>
      </c>
      <c r="Q77" s="666">
        <f t="shared" si="4"/>
        <v>26519.587919999998</v>
      </c>
      <c r="R77" s="666">
        <f t="shared" si="4"/>
        <v>27049.979678399999</v>
      </c>
      <c r="S77" s="666">
        <f t="shared" si="4"/>
        <v>27590.979271968001</v>
      </c>
      <c r="T77" s="666">
        <f t="shared" si="4"/>
        <v>28142.798857407361</v>
      </c>
      <c r="U77" s="666">
        <f t="shared" si="4"/>
        <v>28705.654834555509</v>
      </c>
      <c r="V77" s="666">
        <f t="shared" si="4"/>
        <v>29279.767931246621</v>
      </c>
      <c r="W77" s="666">
        <f t="shared" si="4"/>
        <v>29865.363289871555</v>
      </c>
      <c r="X77" s="666">
        <f t="shared" si="4"/>
        <v>30462.670555668985</v>
      </c>
      <c r="Y77" s="666">
        <f t="shared" si="4"/>
        <v>31071.923966782364</v>
      </c>
      <c r="Z77" s="666">
        <f t="shared" si="4"/>
        <v>31693.362446118008</v>
      </c>
      <c r="AA77" s="666">
        <f t="shared" si="4"/>
        <v>32327.229695040372</v>
      </c>
      <c r="AB77" s="666">
        <f t="shared" si="4"/>
        <v>32973.774288941182</v>
      </c>
      <c r="AC77" s="666">
        <f t="shared" si="4"/>
        <v>33633.249774720003</v>
      </c>
      <c r="AD77" s="666">
        <f t="shared" si="4"/>
        <v>34305.914770214411</v>
      </c>
      <c r="AE77" s="666">
        <f t="shared" si="4"/>
        <v>34992.0330656187</v>
      </c>
    </row>
    <row r="78" spans="1:32">
      <c r="A78" s="737" t="s">
        <v>422</v>
      </c>
      <c r="B78" s="738" t="s">
        <v>15</v>
      </c>
      <c r="C78" s="739">
        <v>15000</v>
      </c>
      <c r="D78" s="740">
        <f t="shared" si="0"/>
        <v>7.2115384615384617</v>
      </c>
      <c r="E78" s="739">
        <f>C78*$L$15</f>
        <v>0</v>
      </c>
      <c r="F78" s="739">
        <f t="shared" si="2"/>
        <v>6000</v>
      </c>
      <c r="G78" s="739">
        <f t="shared" si="3"/>
        <v>21000</v>
      </c>
      <c r="H78" s="739"/>
      <c r="I78" s="740"/>
      <c r="J78" s="739"/>
      <c r="K78" s="741">
        <v>0</v>
      </c>
      <c r="L78" s="742">
        <v>0</v>
      </c>
      <c r="M78" s="742">
        <f t="shared" ref="M78" si="5">G78</f>
        <v>21000</v>
      </c>
      <c r="N78" s="742">
        <f>($G$78*L11)</f>
        <v>21420</v>
      </c>
      <c r="O78" s="742">
        <f t="shared" ref="O78:AE78" si="6">($G$78*M11)</f>
        <v>21848.400000000001</v>
      </c>
      <c r="P78" s="742">
        <f t="shared" si="6"/>
        <v>22285.367999999999</v>
      </c>
      <c r="Q78" s="742">
        <f t="shared" si="6"/>
        <v>22731.075359999999</v>
      </c>
      <c r="R78" s="742">
        <f t="shared" si="6"/>
        <v>23185.6968672</v>
      </c>
      <c r="S78" s="742">
        <f t="shared" si="6"/>
        <v>23649.410804544001</v>
      </c>
      <c r="T78" s="742">
        <f t="shared" si="6"/>
        <v>24122.399020634883</v>
      </c>
      <c r="U78" s="742">
        <f t="shared" si="6"/>
        <v>24604.847001047579</v>
      </c>
      <c r="V78" s="742">
        <f t="shared" si="6"/>
        <v>25096.943941068534</v>
      </c>
      <c r="W78" s="742">
        <f t="shared" si="6"/>
        <v>25598.882819889903</v>
      </c>
      <c r="X78" s="742">
        <f t="shared" si="6"/>
        <v>26110.8604762877</v>
      </c>
      <c r="Y78" s="742">
        <f t="shared" si="6"/>
        <v>26633.077685813456</v>
      </c>
      <c r="Z78" s="742">
        <f t="shared" si="6"/>
        <v>27165.739239529721</v>
      </c>
      <c r="AA78" s="742">
        <f t="shared" si="6"/>
        <v>27709.054024320321</v>
      </c>
      <c r="AB78" s="742">
        <f t="shared" si="6"/>
        <v>28263.235104806728</v>
      </c>
      <c r="AC78" s="742">
        <f t="shared" si="6"/>
        <v>28828.499806902862</v>
      </c>
      <c r="AD78" s="742">
        <f t="shared" si="6"/>
        <v>29405.069803040922</v>
      </c>
      <c r="AE78" s="742">
        <f t="shared" si="6"/>
        <v>29993.17119910174</v>
      </c>
    </row>
    <row r="79" spans="1:32" s="56" customFormat="1" ht="14.25">
      <c r="A79" s="164" t="s">
        <v>416</v>
      </c>
      <c r="B79" s="164"/>
      <c r="C79" s="667">
        <f>SUM(C76:C78)</f>
        <v>125000</v>
      </c>
      <c r="D79" s="667"/>
      <c r="E79" s="667">
        <f>SUM(E76:E78)</f>
        <v>0</v>
      </c>
      <c r="F79" s="667">
        <f>SUM(F76:F78)</f>
        <v>50000</v>
      </c>
      <c r="G79" s="667">
        <f>SUM(G76:G78)</f>
        <v>175000</v>
      </c>
      <c r="H79" s="667"/>
      <c r="I79" s="668"/>
      <c r="J79" s="667"/>
      <c r="K79" s="685">
        <f>SUMIF($B76:$B78,"FT",K76:K78)</f>
        <v>0</v>
      </c>
      <c r="L79" s="669">
        <f t="shared" ref="L79:AE79" si="7">SUM(L76:L78)</f>
        <v>12250</v>
      </c>
      <c r="M79" s="669">
        <f t="shared" si="7"/>
        <v>150500</v>
      </c>
      <c r="N79" s="669">
        <f t="shared" si="7"/>
        <v>153510</v>
      </c>
      <c r="O79" s="669">
        <f t="shared" si="7"/>
        <v>156580.19999999998</v>
      </c>
      <c r="P79" s="669">
        <f t="shared" si="7"/>
        <v>159711.80399999997</v>
      </c>
      <c r="Q79" s="669">
        <f t="shared" si="7"/>
        <v>162906.04007999998</v>
      </c>
      <c r="R79" s="669">
        <f t="shared" si="7"/>
        <v>166164.16088159999</v>
      </c>
      <c r="S79" s="669">
        <f t="shared" si="7"/>
        <v>169487.444099232</v>
      </c>
      <c r="T79" s="669">
        <f t="shared" si="7"/>
        <v>172877.19298121665</v>
      </c>
      <c r="U79" s="669">
        <f t="shared" si="7"/>
        <v>176334.73684084098</v>
      </c>
      <c r="V79" s="669">
        <f t="shared" si="7"/>
        <v>179861.43157765782</v>
      </c>
      <c r="W79" s="669">
        <f t="shared" si="7"/>
        <v>183458.66020921097</v>
      </c>
      <c r="X79" s="669">
        <f t="shared" si="7"/>
        <v>187127.83341339519</v>
      </c>
      <c r="Y79" s="669">
        <f t="shared" si="7"/>
        <v>190870.39008166309</v>
      </c>
      <c r="Z79" s="669">
        <f t="shared" si="7"/>
        <v>194687.79788329633</v>
      </c>
      <c r="AA79" s="669">
        <f t="shared" si="7"/>
        <v>198581.5538409623</v>
      </c>
      <c r="AB79" s="669">
        <f t="shared" si="7"/>
        <v>202553.18491778153</v>
      </c>
      <c r="AC79" s="669">
        <f t="shared" si="7"/>
        <v>206604.24861613716</v>
      </c>
      <c r="AD79" s="669">
        <f t="shared" si="7"/>
        <v>210736.33358845994</v>
      </c>
      <c r="AE79" s="669">
        <f t="shared" si="7"/>
        <v>214951.06026022913</v>
      </c>
    </row>
    <row r="80" spans="1:32" s="56" customFormat="1" ht="14.25">
      <c r="A80" s="164"/>
      <c r="B80" s="164"/>
      <c r="C80" s="667"/>
      <c r="D80" s="667"/>
      <c r="E80" s="667"/>
      <c r="F80" s="667"/>
      <c r="G80" s="667"/>
      <c r="H80" s="667"/>
      <c r="I80" s="668"/>
      <c r="J80" s="667"/>
      <c r="K80" s="685"/>
      <c r="L80" s="669"/>
      <c r="M80" s="669"/>
      <c r="N80" s="669"/>
      <c r="O80" s="669"/>
      <c r="P80" s="669"/>
      <c r="Q80" s="669"/>
      <c r="R80" s="669"/>
      <c r="S80" s="669"/>
      <c r="T80" s="669"/>
      <c r="U80" s="669"/>
      <c r="V80" s="669"/>
      <c r="W80" s="669"/>
      <c r="X80" s="669"/>
      <c r="Y80" s="669"/>
      <c r="Z80" s="669"/>
      <c r="AA80" s="669"/>
      <c r="AB80" s="669"/>
      <c r="AC80" s="669"/>
      <c r="AD80" s="669"/>
      <c r="AE80" s="669"/>
    </row>
    <row r="81" spans="1:35">
      <c r="A81" s="37" t="s">
        <v>411</v>
      </c>
      <c r="B81" s="37"/>
      <c r="C81" s="57"/>
      <c r="E81" s="57"/>
      <c r="F81" s="57"/>
      <c r="G81" s="57"/>
      <c r="H81" s="57"/>
      <c r="I81" s="43"/>
      <c r="J81" s="42"/>
      <c r="K81" s="743">
        <f>COUNTIF(K76:K78,"&gt;100")</f>
        <v>0</v>
      </c>
      <c r="L81" s="496">
        <f t="shared" ref="L81:AE81" si="8">COUNTIF(L76:L77,"&gt;100")</f>
        <v>1</v>
      </c>
      <c r="M81" s="496">
        <f t="shared" si="8"/>
        <v>2</v>
      </c>
      <c r="N81" s="496">
        <f t="shared" si="8"/>
        <v>2</v>
      </c>
      <c r="O81" s="496">
        <f t="shared" si="8"/>
        <v>2</v>
      </c>
      <c r="P81" s="496">
        <f t="shared" si="8"/>
        <v>2</v>
      </c>
      <c r="Q81" s="496">
        <f t="shared" si="8"/>
        <v>2</v>
      </c>
      <c r="R81" s="496">
        <f t="shared" si="8"/>
        <v>2</v>
      </c>
      <c r="S81" s="496">
        <f t="shared" si="8"/>
        <v>2</v>
      </c>
      <c r="T81" s="496">
        <f t="shared" si="8"/>
        <v>2</v>
      </c>
      <c r="U81" s="496">
        <f t="shared" si="8"/>
        <v>2</v>
      </c>
      <c r="V81" s="496">
        <f t="shared" si="8"/>
        <v>2</v>
      </c>
      <c r="W81" s="496">
        <f t="shared" si="8"/>
        <v>2</v>
      </c>
      <c r="X81" s="496">
        <f t="shared" si="8"/>
        <v>2</v>
      </c>
      <c r="Y81" s="496">
        <f t="shared" si="8"/>
        <v>2</v>
      </c>
      <c r="Z81" s="496">
        <f t="shared" si="8"/>
        <v>2</v>
      </c>
      <c r="AA81" s="496">
        <f t="shared" si="8"/>
        <v>2</v>
      </c>
      <c r="AB81" s="496">
        <f t="shared" si="8"/>
        <v>2</v>
      </c>
      <c r="AC81" s="496">
        <f t="shared" si="8"/>
        <v>2</v>
      </c>
      <c r="AD81" s="496">
        <f t="shared" si="8"/>
        <v>2</v>
      </c>
      <c r="AE81" s="496">
        <f t="shared" si="8"/>
        <v>2</v>
      </c>
      <c r="AF81" s="744"/>
    </row>
    <row r="82" spans="1:35">
      <c r="A82" s="745" t="s">
        <v>412</v>
      </c>
      <c r="B82" s="745"/>
      <c r="C82" s="746"/>
      <c r="D82" s="116"/>
      <c r="E82" s="746"/>
      <c r="F82" s="746"/>
      <c r="G82" s="746"/>
      <c r="H82" s="746"/>
      <c r="I82" s="747"/>
      <c r="J82" s="748"/>
      <c r="K82" s="749">
        <f t="shared" ref="K82" si="9">K83-K81</f>
        <v>0</v>
      </c>
      <c r="L82" s="750">
        <f t="shared" ref="L82:AE82" si="10">COUNTIF(L78:L78,"&gt;100")</f>
        <v>0</v>
      </c>
      <c r="M82" s="750">
        <f t="shared" si="10"/>
        <v>1</v>
      </c>
      <c r="N82" s="750">
        <f t="shared" si="10"/>
        <v>1</v>
      </c>
      <c r="O82" s="750">
        <f t="shared" si="10"/>
        <v>1</v>
      </c>
      <c r="P82" s="750">
        <f t="shared" si="10"/>
        <v>1</v>
      </c>
      <c r="Q82" s="750">
        <f t="shared" si="10"/>
        <v>1</v>
      </c>
      <c r="R82" s="750">
        <f t="shared" si="10"/>
        <v>1</v>
      </c>
      <c r="S82" s="750">
        <f t="shared" si="10"/>
        <v>1</v>
      </c>
      <c r="T82" s="750">
        <f t="shared" si="10"/>
        <v>1</v>
      </c>
      <c r="U82" s="750">
        <f t="shared" si="10"/>
        <v>1</v>
      </c>
      <c r="V82" s="750">
        <f t="shared" si="10"/>
        <v>1</v>
      </c>
      <c r="W82" s="750">
        <f t="shared" si="10"/>
        <v>1</v>
      </c>
      <c r="X82" s="750">
        <f t="shared" si="10"/>
        <v>1</v>
      </c>
      <c r="Y82" s="750">
        <f t="shared" si="10"/>
        <v>1</v>
      </c>
      <c r="Z82" s="750">
        <f t="shared" si="10"/>
        <v>1</v>
      </c>
      <c r="AA82" s="750">
        <f t="shared" si="10"/>
        <v>1</v>
      </c>
      <c r="AB82" s="750">
        <f t="shared" si="10"/>
        <v>1</v>
      </c>
      <c r="AC82" s="750">
        <f t="shared" si="10"/>
        <v>1</v>
      </c>
      <c r="AD82" s="750">
        <f t="shared" si="10"/>
        <v>1</v>
      </c>
      <c r="AE82" s="750">
        <f t="shared" si="10"/>
        <v>1</v>
      </c>
    </row>
    <row r="83" spans="1:35" s="56" customFormat="1" ht="14.25">
      <c r="A83" s="164" t="s">
        <v>413</v>
      </c>
      <c r="B83" s="164"/>
      <c r="C83" s="75"/>
      <c r="D83" s="173"/>
      <c r="E83" s="75"/>
      <c r="F83" s="75"/>
      <c r="G83" s="75"/>
      <c r="H83" s="75"/>
      <c r="I83" s="174"/>
      <c r="J83" s="181"/>
      <c r="K83" s="751">
        <f>COUNTIF(K76:K78,"&gt;0")</f>
        <v>0</v>
      </c>
      <c r="L83" s="752">
        <f>SUM(L81:L82)</f>
        <v>1</v>
      </c>
      <c r="M83" s="752">
        <f t="shared" ref="M83:AE83" si="11">SUM(M81:M82)</f>
        <v>3</v>
      </c>
      <c r="N83" s="752">
        <f t="shared" si="11"/>
        <v>3</v>
      </c>
      <c r="O83" s="752">
        <f t="shared" si="11"/>
        <v>3</v>
      </c>
      <c r="P83" s="752">
        <f t="shared" si="11"/>
        <v>3</v>
      </c>
      <c r="Q83" s="752">
        <f t="shared" si="11"/>
        <v>3</v>
      </c>
      <c r="R83" s="752">
        <f t="shared" si="11"/>
        <v>3</v>
      </c>
      <c r="S83" s="752">
        <f t="shared" si="11"/>
        <v>3</v>
      </c>
      <c r="T83" s="752">
        <f t="shared" si="11"/>
        <v>3</v>
      </c>
      <c r="U83" s="752">
        <f t="shared" si="11"/>
        <v>3</v>
      </c>
      <c r="V83" s="752">
        <f t="shared" si="11"/>
        <v>3</v>
      </c>
      <c r="W83" s="752">
        <f t="shared" si="11"/>
        <v>3</v>
      </c>
      <c r="X83" s="752">
        <f t="shared" si="11"/>
        <v>3</v>
      </c>
      <c r="Y83" s="752">
        <f t="shared" si="11"/>
        <v>3</v>
      </c>
      <c r="Z83" s="752">
        <f t="shared" si="11"/>
        <v>3</v>
      </c>
      <c r="AA83" s="752">
        <f t="shared" si="11"/>
        <v>3</v>
      </c>
      <c r="AB83" s="752">
        <f t="shared" si="11"/>
        <v>3</v>
      </c>
      <c r="AC83" s="752">
        <f t="shared" si="11"/>
        <v>3</v>
      </c>
      <c r="AD83" s="752">
        <f t="shared" si="11"/>
        <v>3</v>
      </c>
      <c r="AE83" s="752">
        <f t="shared" si="11"/>
        <v>3</v>
      </c>
    </row>
    <row r="84" spans="1:35" s="56" customFormat="1" ht="14.25">
      <c r="A84" s="164"/>
      <c r="B84" s="164"/>
      <c r="C84" s="75"/>
      <c r="D84" s="173"/>
      <c r="E84" s="75"/>
      <c r="F84" s="75"/>
      <c r="G84" s="75"/>
      <c r="H84" s="75"/>
      <c r="I84" s="174"/>
      <c r="J84" s="181"/>
      <c r="K84" s="685"/>
      <c r="L84" s="315"/>
      <c r="M84" s="315"/>
      <c r="N84" s="315"/>
      <c r="O84" s="315"/>
      <c r="P84" s="315"/>
      <c r="Q84" s="315"/>
      <c r="R84" s="315"/>
      <c r="S84" s="315"/>
      <c r="T84" s="315"/>
      <c r="U84" s="315"/>
      <c r="V84" s="315"/>
      <c r="W84" s="315"/>
      <c r="X84" s="315"/>
      <c r="Y84" s="315"/>
      <c r="Z84" s="315"/>
      <c r="AA84" s="315"/>
      <c r="AB84" s="315"/>
      <c r="AC84" s="315"/>
      <c r="AD84" s="315"/>
      <c r="AE84" s="315"/>
    </row>
    <row r="85" spans="1:35">
      <c r="A85" s="48" t="s">
        <v>68</v>
      </c>
      <c r="B85" s="48"/>
      <c r="C85" s="77"/>
      <c r="D85" s="76"/>
      <c r="E85" s="57"/>
      <c r="F85" s="57"/>
      <c r="G85" s="77"/>
      <c r="H85" s="77"/>
      <c r="I85" s="50"/>
      <c r="J85" s="49"/>
      <c r="K85" s="683"/>
      <c r="L85" s="316"/>
      <c r="M85" s="316"/>
      <c r="N85" s="316"/>
      <c r="O85" s="316"/>
      <c r="P85" s="316"/>
      <c r="Q85" s="316"/>
      <c r="R85" s="316"/>
      <c r="S85" s="316"/>
      <c r="T85" s="316"/>
      <c r="U85" s="316"/>
      <c r="V85" s="316"/>
      <c r="W85" s="316"/>
      <c r="X85" s="316"/>
      <c r="Y85" s="316"/>
      <c r="Z85" s="316"/>
      <c r="AA85" s="316"/>
      <c r="AB85" s="316"/>
      <c r="AC85" s="316"/>
      <c r="AD85" s="316"/>
      <c r="AE85" s="316"/>
    </row>
    <row r="86" spans="1:35" s="68" customFormat="1" ht="14.25">
      <c r="A86" s="214" t="s">
        <v>80</v>
      </c>
      <c r="B86" s="189"/>
      <c r="C86" s="209"/>
      <c r="D86" s="210"/>
      <c r="E86" s="211"/>
      <c r="F86" s="211"/>
      <c r="G86" s="209"/>
      <c r="H86" s="209"/>
      <c r="I86" s="213"/>
      <c r="J86" s="212"/>
      <c r="K86" s="686"/>
      <c r="L86" s="317"/>
      <c r="M86" s="317"/>
      <c r="N86" s="317"/>
      <c r="O86" s="317"/>
      <c r="P86" s="317"/>
      <c r="Q86" s="317"/>
      <c r="R86" s="317"/>
      <c r="S86" s="317"/>
      <c r="T86" s="317"/>
      <c r="U86" s="317"/>
      <c r="V86" s="317"/>
      <c r="W86" s="317"/>
      <c r="X86" s="317"/>
      <c r="Y86" s="317"/>
      <c r="Z86" s="317"/>
      <c r="AA86" s="317"/>
      <c r="AB86" s="317"/>
      <c r="AC86" s="317"/>
      <c r="AD86" s="317"/>
      <c r="AE86" s="317"/>
    </row>
    <row r="87" spans="1:35">
      <c r="A87" s="37" t="s">
        <v>41</v>
      </c>
      <c r="B87" s="37"/>
      <c r="C87" s="110"/>
      <c r="D87" s="106"/>
      <c r="E87" s="57"/>
      <c r="F87" s="57"/>
      <c r="G87" s="57"/>
      <c r="H87" s="57"/>
      <c r="I87" s="51"/>
      <c r="J87" s="663"/>
      <c r="K87" s="683">
        <f>K$83*$J87*R$9</f>
        <v>0</v>
      </c>
      <c r="L87" s="666">
        <v>25000</v>
      </c>
      <c r="M87" s="666">
        <f>$L$87*L11</f>
        <v>25500</v>
      </c>
      <c r="N87" s="666">
        <f t="shared" ref="N87:AE87" si="12">$L$87*M11</f>
        <v>26010</v>
      </c>
      <c r="O87" s="666">
        <f t="shared" si="12"/>
        <v>26530.199999999997</v>
      </c>
      <c r="P87" s="666">
        <f t="shared" si="12"/>
        <v>27060.804</v>
      </c>
      <c r="Q87" s="666">
        <f t="shared" si="12"/>
        <v>27602.020080000002</v>
      </c>
      <c r="R87" s="666">
        <f t="shared" si="12"/>
        <v>28154.060481600001</v>
      </c>
      <c r="S87" s="666">
        <f t="shared" si="12"/>
        <v>28717.141691232002</v>
      </c>
      <c r="T87" s="666">
        <f t="shared" si="12"/>
        <v>29291.484525056643</v>
      </c>
      <c r="U87" s="666">
        <f t="shared" si="12"/>
        <v>29877.314215557777</v>
      </c>
      <c r="V87" s="666">
        <f t="shared" si="12"/>
        <v>30474.860499868933</v>
      </c>
      <c r="W87" s="666">
        <f t="shared" si="12"/>
        <v>31084.357709866312</v>
      </c>
      <c r="X87" s="666">
        <f t="shared" si="12"/>
        <v>31706.044864063639</v>
      </c>
      <c r="Y87" s="666">
        <f t="shared" si="12"/>
        <v>32340.165761344906</v>
      </c>
      <c r="Z87" s="666">
        <f t="shared" si="12"/>
        <v>32986.969076571811</v>
      </c>
      <c r="AA87" s="666">
        <f t="shared" si="12"/>
        <v>33646.708458103247</v>
      </c>
      <c r="AB87" s="666">
        <f t="shared" si="12"/>
        <v>34319.642627265312</v>
      </c>
      <c r="AC87" s="666">
        <f t="shared" si="12"/>
        <v>35006.03547981062</v>
      </c>
      <c r="AD87" s="666">
        <f t="shared" si="12"/>
        <v>35706.156189406836</v>
      </c>
      <c r="AE87" s="666">
        <f t="shared" si="12"/>
        <v>36420.279313194973</v>
      </c>
    </row>
    <row r="88" spans="1:35">
      <c r="A88" s="37" t="s">
        <v>424</v>
      </c>
      <c r="B88" s="37"/>
      <c r="C88" s="110"/>
      <c r="D88" s="106"/>
      <c r="E88" s="57"/>
      <c r="F88" s="57"/>
      <c r="G88" s="57"/>
      <c r="H88" s="57"/>
      <c r="I88" s="51"/>
      <c r="J88" s="663"/>
      <c r="K88" s="683">
        <f>K$83*$J88*R$9</f>
        <v>0</v>
      </c>
      <c r="L88" s="666">
        <v>10000</v>
      </c>
      <c r="M88" s="666">
        <v>500</v>
      </c>
      <c r="N88" s="666">
        <f>$M$88*M11</f>
        <v>520.20000000000005</v>
      </c>
      <c r="O88" s="666">
        <f>$M$88*N11</f>
        <v>530.60399999999993</v>
      </c>
      <c r="P88" s="666">
        <f>$M$88*O11</f>
        <v>541.21608000000003</v>
      </c>
      <c r="Q88" s="666">
        <v>5000</v>
      </c>
      <c r="R88" s="666">
        <f>$M$88*Q11</f>
        <v>563.08120963200008</v>
      </c>
      <c r="S88" s="666">
        <f>$M$88*R11</f>
        <v>574.34283382464002</v>
      </c>
      <c r="T88" s="666">
        <f>$M$88*S11</f>
        <v>585.82969050113286</v>
      </c>
      <c r="U88" s="666">
        <f>$M$88*T11</f>
        <v>597.54628431115555</v>
      </c>
      <c r="V88" s="666">
        <v>5000</v>
      </c>
      <c r="W88" s="666">
        <f>$M$88*V11</f>
        <v>621.68715419732621</v>
      </c>
      <c r="X88" s="666">
        <f>$M$88*W11</f>
        <v>634.12089728127273</v>
      </c>
      <c r="Y88" s="666">
        <f>$M$88*X11</f>
        <v>646.80331522689812</v>
      </c>
      <c r="Z88" s="666">
        <f>$M$88*Y11</f>
        <v>659.73938153143615</v>
      </c>
      <c r="AA88" s="666">
        <v>5000</v>
      </c>
      <c r="AB88" s="666">
        <f>$M$88*AA11</f>
        <v>686.39285254530625</v>
      </c>
      <c r="AC88" s="666">
        <f>$M$88*AB11</f>
        <v>700.12070959621246</v>
      </c>
      <c r="AD88" s="666">
        <f>$M$88*AC11</f>
        <v>714.1231237881367</v>
      </c>
      <c r="AE88" s="666">
        <f>$M$88*AD11</f>
        <v>728.40558626389941</v>
      </c>
    </row>
    <row r="89" spans="1:35">
      <c r="A89" s="37" t="s">
        <v>42</v>
      </c>
      <c r="B89" s="37"/>
      <c r="C89" s="110"/>
      <c r="D89" s="106"/>
      <c r="E89" s="57"/>
      <c r="F89" s="57"/>
      <c r="G89" s="57"/>
      <c r="H89" s="57"/>
      <c r="I89" s="51"/>
      <c r="J89" s="663"/>
      <c r="K89" s="683">
        <f>K$83*$J89*R$9</f>
        <v>0</v>
      </c>
      <c r="L89" s="666">
        <v>50000</v>
      </c>
      <c r="M89" s="666">
        <f t="shared" ref="M89:AE89" si="13">($L$89*L11)</f>
        <v>51000</v>
      </c>
      <c r="N89" s="666">
        <f t="shared" si="13"/>
        <v>52020</v>
      </c>
      <c r="O89" s="666">
        <f t="shared" si="13"/>
        <v>53060.399999999994</v>
      </c>
      <c r="P89" s="666">
        <f t="shared" si="13"/>
        <v>54121.608</v>
      </c>
      <c r="Q89" s="666">
        <f t="shared" si="13"/>
        <v>55204.040160000004</v>
      </c>
      <c r="R89" s="666">
        <f t="shared" si="13"/>
        <v>56308.120963200003</v>
      </c>
      <c r="S89" s="666">
        <f t="shared" si="13"/>
        <v>57434.283382464004</v>
      </c>
      <c r="T89" s="666">
        <f t="shared" si="13"/>
        <v>58582.969050113286</v>
      </c>
      <c r="U89" s="666">
        <f t="shared" si="13"/>
        <v>59754.628431115554</v>
      </c>
      <c r="V89" s="666">
        <f t="shared" si="13"/>
        <v>60949.720999737867</v>
      </c>
      <c r="W89" s="666">
        <f t="shared" si="13"/>
        <v>62168.715419732624</v>
      </c>
      <c r="X89" s="666">
        <f t="shared" si="13"/>
        <v>63412.089728127277</v>
      </c>
      <c r="Y89" s="666">
        <f t="shared" si="13"/>
        <v>64680.331522689812</v>
      </c>
      <c r="Z89" s="666">
        <f t="shared" si="13"/>
        <v>65973.938153143623</v>
      </c>
      <c r="AA89" s="666">
        <f t="shared" si="13"/>
        <v>67293.416916206494</v>
      </c>
      <c r="AB89" s="666">
        <f t="shared" si="13"/>
        <v>68639.285254530623</v>
      </c>
      <c r="AC89" s="666">
        <f t="shared" si="13"/>
        <v>70012.07095962124</v>
      </c>
      <c r="AD89" s="666">
        <f t="shared" si="13"/>
        <v>71412.312378813673</v>
      </c>
      <c r="AE89" s="666">
        <f t="shared" si="13"/>
        <v>72840.558626389946</v>
      </c>
    </row>
    <row r="90" spans="1:35">
      <c r="A90" s="37" t="s">
        <v>43</v>
      </c>
      <c r="B90" s="37"/>
      <c r="C90" s="110"/>
      <c r="D90" s="106"/>
      <c r="E90" s="57"/>
      <c r="F90" s="57"/>
      <c r="G90" s="57"/>
      <c r="H90" s="57"/>
      <c r="I90" s="51" t="s">
        <v>8</v>
      </c>
      <c r="J90" s="663">
        <v>500</v>
      </c>
      <c r="K90" s="683">
        <v>0</v>
      </c>
      <c r="L90" s="666">
        <f>J90*L83</f>
        <v>500</v>
      </c>
      <c r="M90" s="666">
        <f t="shared" ref="M90:AE90" si="14">$J$90*M83*L11</f>
        <v>1530</v>
      </c>
      <c r="N90" s="666">
        <f t="shared" si="14"/>
        <v>1560.6</v>
      </c>
      <c r="O90" s="666">
        <f t="shared" si="14"/>
        <v>1591.8119999999999</v>
      </c>
      <c r="P90" s="666">
        <f t="shared" si="14"/>
        <v>1623.64824</v>
      </c>
      <c r="Q90" s="666">
        <f t="shared" si="14"/>
        <v>1656.1212048</v>
      </c>
      <c r="R90" s="666">
        <f t="shared" si="14"/>
        <v>1689.243628896</v>
      </c>
      <c r="S90" s="666">
        <f t="shared" si="14"/>
        <v>1723.02850147392</v>
      </c>
      <c r="T90" s="666">
        <f t="shared" si="14"/>
        <v>1757.4890715033987</v>
      </c>
      <c r="U90" s="666">
        <f t="shared" si="14"/>
        <v>1792.6388529334665</v>
      </c>
      <c r="V90" s="666">
        <f t="shared" si="14"/>
        <v>1828.491629992136</v>
      </c>
      <c r="W90" s="666">
        <f t="shared" si="14"/>
        <v>1865.0614625919786</v>
      </c>
      <c r="X90" s="666">
        <f t="shared" si="14"/>
        <v>1902.3626918438183</v>
      </c>
      <c r="Y90" s="666">
        <f t="shared" si="14"/>
        <v>1940.4099456806944</v>
      </c>
      <c r="Z90" s="666">
        <f t="shared" si="14"/>
        <v>1979.2181445943086</v>
      </c>
      <c r="AA90" s="666">
        <f t="shared" si="14"/>
        <v>2018.8025074861948</v>
      </c>
      <c r="AB90" s="666">
        <f t="shared" si="14"/>
        <v>2059.1785576359189</v>
      </c>
      <c r="AC90" s="666">
        <f t="shared" si="14"/>
        <v>2100.3621287886372</v>
      </c>
      <c r="AD90" s="666">
        <f t="shared" si="14"/>
        <v>2142.3693713644102</v>
      </c>
      <c r="AE90" s="666">
        <f t="shared" si="14"/>
        <v>2185.2167587916983</v>
      </c>
    </row>
    <row r="91" spans="1:35">
      <c r="A91" s="37" t="s">
        <v>44</v>
      </c>
      <c r="B91" s="37"/>
      <c r="C91" s="110"/>
      <c r="D91" s="106"/>
      <c r="E91" s="57"/>
      <c r="F91" s="57"/>
      <c r="G91" s="57"/>
      <c r="H91" s="57"/>
      <c r="I91" s="51" t="s">
        <v>8</v>
      </c>
      <c r="J91" s="663">
        <v>250</v>
      </c>
      <c r="K91" s="683">
        <v>0</v>
      </c>
      <c r="L91" s="666">
        <f>J91*L83</f>
        <v>250</v>
      </c>
      <c r="M91" s="666">
        <f t="shared" ref="M91:AE91" si="15">$J$91*M83*L11</f>
        <v>765</v>
      </c>
      <c r="N91" s="666">
        <f t="shared" si="15"/>
        <v>780.3</v>
      </c>
      <c r="O91" s="666">
        <f t="shared" si="15"/>
        <v>795.90599999999995</v>
      </c>
      <c r="P91" s="666">
        <f t="shared" si="15"/>
        <v>811.82411999999999</v>
      </c>
      <c r="Q91" s="666">
        <f t="shared" si="15"/>
        <v>828.06060239999999</v>
      </c>
      <c r="R91" s="666">
        <f t="shared" si="15"/>
        <v>844.62181444800001</v>
      </c>
      <c r="S91" s="666">
        <f t="shared" si="15"/>
        <v>861.51425073695998</v>
      </c>
      <c r="T91" s="666">
        <f t="shared" si="15"/>
        <v>878.74453575169935</v>
      </c>
      <c r="U91" s="666">
        <f t="shared" si="15"/>
        <v>896.31942646673326</v>
      </c>
      <c r="V91" s="666">
        <f t="shared" si="15"/>
        <v>914.24581499606802</v>
      </c>
      <c r="W91" s="666">
        <f t="shared" si="15"/>
        <v>932.53073129598931</v>
      </c>
      <c r="X91" s="666">
        <f t="shared" si="15"/>
        <v>951.18134592190916</v>
      </c>
      <c r="Y91" s="666">
        <f t="shared" si="15"/>
        <v>970.20497284034718</v>
      </c>
      <c r="Z91" s="666">
        <f t="shared" si="15"/>
        <v>989.60907229715428</v>
      </c>
      <c r="AA91" s="666">
        <f t="shared" si="15"/>
        <v>1009.4012537430974</v>
      </c>
      <c r="AB91" s="666">
        <f t="shared" si="15"/>
        <v>1029.5892788179594</v>
      </c>
      <c r="AC91" s="666">
        <f t="shared" si="15"/>
        <v>1050.1810643943186</v>
      </c>
      <c r="AD91" s="666">
        <f t="shared" si="15"/>
        <v>1071.1846856822051</v>
      </c>
      <c r="AE91" s="666">
        <f t="shared" si="15"/>
        <v>1092.6083793958492</v>
      </c>
      <c r="AF91" s="44"/>
    </row>
    <row r="92" spans="1:35">
      <c r="A92" s="745" t="s">
        <v>2</v>
      </c>
      <c r="B92" s="745"/>
      <c r="C92" s="753"/>
      <c r="D92" s="754"/>
      <c r="E92" s="746"/>
      <c r="F92" s="746"/>
      <c r="G92" s="746"/>
      <c r="H92" s="746"/>
      <c r="I92" s="755"/>
      <c r="J92" s="739"/>
      <c r="K92" s="741">
        <v>0</v>
      </c>
      <c r="L92" s="742">
        <v>1000</v>
      </c>
      <c r="M92" s="742">
        <f t="shared" ref="M92:AE92" si="16">($L$92*L11)</f>
        <v>1020</v>
      </c>
      <c r="N92" s="742">
        <f t="shared" si="16"/>
        <v>1040.4000000000001</v>
      </c>
      <c r="O92" s="742">
        <f t="shared" si="16"/>
        <v>1061.2079999999999</v>
      </c>
      <c r="P92" s="742">
        <f t="shared" si="16"/>
        <v>1082.4321600000001</v>
      </c>
      <c r="Q92" s="742">
        <f t="shared" si="16"/>
        <v>1104.0808032</v>
      </c>
      <c r="R92" s="742">
        <f t="shared" si="16"/>
        <v>1126.1624192640002</v>
      </c>
      <c r="S92" s="742">
        <f t="shared" si="16"/>
        <v>1148.68566764928</v>
      </c>
      <c r="T92" s="742">
        <f t="shared" si="16"/>
        <v>1171.6593810022657</v>
      </c>
      <c r="U92" s="742">
        <f t="shared" si="16"/>
        <v>1195.0925686223111</v>
      </c>
      <c r="V92" s="742">
        <f t="shared" si="16"/>
        <v>1218.9944199947574</v>
      </c>
      <c r="W92" s="742">
        <f t="shared" si="16"/>
        <v>1243.3743083946524</v>
      </c>
      <c r="X92" s="742">
        <f t="shared" si="16"/>
        <v>1268.2417945625455</v>
      </c>
      <c r="Y92" s="742">
        <f t="shared" si="16"/>
        <v>1293.6066304537962</v>
      </c>
      <c r="Z92" s="742">
        <f t="shared" si="16"/>
        <v>1319.4787630628723</v>
      </c>
      <c r="AA92" s="742">
        <f t="shared" si="16"/>
        <v>1345.8683383241298</v>
      </c>
      <c r="AB92" s="742">
        <f t="shared" si="16"/>
        <v>1372.7857050906125</v>
      </c>
      <c r="AC92" s="742">
        <f t="shared" si="16"/>
        <v>1400.2414191924249</v>
      </c>
      <c r="AD92" s="742">
        <f t="shared" si="16"/>
        <v>1428.2462475762734</v>
      </c>
      <c r="AE92" s="742">
        <f t="shared" si="16"/>
        <v>1456.8111725277988</v>
      </c>
    </row>
    <row r="93" spans="1:35" s="56" customFormat="1" ht="14.25">
      <c r="A93" s="164" t="s">
        <v>409</v>
      </c>
      <c r="B93" s="215"/>
      <c r="C93" s="216"/>
      <c r="D93" s="217"/>
      <c r="E93" s="218"/>
      <c r="F93" s="218"/>
      <c r="G93" s="218"/>
      <c r="H93" s="218"/>
      <c r="I93" s="219"/>
      <c r="J93" s="756"/>
      <c r="K93" s="687">
        <f>SUM(K87:K92)</f>
        <v>0</v>
      </c>
      <c r="L93" s="757">
        <f>SUM(L87:L92)</f>
        <v>86750</v>
      </c>
      <c r="M93" s="757">
        <f t="shared" ref="M93:AE93" si="17">SUM(M87:M92)</f>
        <v>80315</v>
      </c>
      <c r="N93" s="757">
        <f t="shared" si="17"/>
        <v>81931.5</v>
      </c>
      <c r="O93" s="757">
        <f t="shared" si="17"/>
        <v>83570.13</v>
      </c>
      <c r="P93" s="757">
        <f t="shared" si="17"/>
        <v>85241.532599999991</v>
      </c>
      <c r="Q93" s="757">
        <f t="shared" si="17"/>
        <v>91394.322850400014</v>
      </c>
      <c r="R93" s="757">
        <f t="shared" si="17"/>
        <v>88685.290517040004</v>
      </c>
      <c r="S93" s="757">
        <f t="shared" si="17"/>
        <v>90458.996327380795</v>
      </c>
      <c r="T93" s="757">
        <f t="shared" si="17"/>
        <v>92268.176253928425</v>
      </c>
      <c r="U93" s="757">
        <f t="shared" si="17"/>
        <v>94113.539779006998</v>
      </c>
      <c r="V93" s="757">
        <f t="shared" si="17"/>
        <v>100386.31336458978</v>
      </c>
      <c r="W93" s="757">
        <f t="shared" si="17"/>
        <v>97915.726786078885</v>
      </c>
      <c r="X93" s="757">
        <f t="shared" si="17"/>
        <v>99874.041321800469</v>
      </c>
      <c r="Y93" s="757">
        <f t="shared" si="17"/>
        <v>101871.52214823647</v>
      </c>
      <c r="Z93" s="757">
        <f t="shared" si="17"/>
        <v>103908.9525912012</v>
      </c>
      <c r="AA93" s="757">
        <f t="shared" si="17"/>
        <v>110314.19747386317</v>
      </c>
      <c r="AB93" s="757">
        <f t="shared" si="17"/>
        <v>108106.87427588576</v>
      </c>
      <c r="AC93" s="757">
        <f t="shared" si="17"/>
        <v>110269.01176140344</v>
      </c>
      <c r="AD93" s="757">
        <f t="shared" si="17"/>
        <v>112474.39199663154</v>
      </c>
      <c r="AE93" s="757">
        <f t="shared" si="17"/>
        <v>114723.87983656416</v>
      </c>
    </row>
    <row r="94" spans="1:35" s="56" customFormat="1" ht="14.25">
      <c r="A94" s="164"/>
      <c r="B94" s="215"/>
      <c r="C94" s="216"/>
      <c r="D94" s="217"/>
      <c r="E94" s="218"/>
      <c r="F94" s="218"/>
      <c r="G94" s="218"/>
      <c r="H94" s="218"/>
      <c r="I94" s="219"/>
      <c r="J94" s="220"/>
      <c r="K94" s="687"/>
      <c r="L94" s="318"/>
      <c r="M94" s="318"/>
      <c r="N94" s="318"/>
      <c r="O94" s="318"/>
      <c r="P94" s="318"/>
      <c r="Q94" s="318"/>
      <c r="R94" s="318"/>
      <c r="S94" s="318"/>
      <c r="T94" s="318"/>
      <c r="U94" s="318"/>
      <c r="V94" s="318"/>
      <c r="W94" s="318"/>
      <c r="X94" s="318"/>
      <c r="Y94" s="318"/>
      <c r="Z94" s="318"/>
      <c r="AA94" s="318"/>
      <c r="AB94" s="318"/>
      <c r="AC94" s="318"/>
      <c r="AD94" s="318"/>
      <c r="AE94" s="318"/>
    </row>
    <row r="95" spans="1:35" s="56" customFormat="1" ht="14.25">
      <c r="A95" s="720" t="s">
        <v>26</v>
      </c>
      <c r="B95" s="215"/>
      <c r="C95" s="218"/>
      <c r="D95" s="721"/>
      <c r="E95" s="218"/>
      <c r="F95" s="218"/>
      <c r="G95" s="218"/>
      <c r="H95" s="218"/>
      <c r="I95" s="722"/>
      <c r="J95" s="220"/>
      <c r="K95" s="687"/>
      <c r="L95" s="318"/>
      <c r="M95" s="318"/>
      <c r="N95" s="318"/>
      <c r="O95" s="318"/>
      <c r="P95" s="318"/>
      <c r="Q95" s="318"/>
      <c r="R95" s="318"/>
      <c r="S95" s="318"/>
      <c r="T95" s="318"/>
      <c r="U95" s="318"/>
      <c r="V95" s="318"/>
      <c r="W95" s="318"/>
      <c r="X95" s="318"/>
      <c r="Y95" s="318"/>
      <c r="Z95" s="318"/>
      <c r="AA95" s="318"/>
      <c r="AB95" s="318"/>
      <c r="AC95" s="318"/>
      <c r="AD95" s="318"/>
      <c r="AE95" s="318"/>
      <c r="AF95" s="723"/>
      <c r="AG95" s="723"/>
      <c r="AH95" s="723"/>
      <c r="AI95" s="723"/>
    </row>
    <row r="96" spans="1:35">
      <c r="A96" s="190" t="s">
        <v>41</v>
      </c>
      <c r="B96" s="190"/>
      <c r="C96" s="194"/>
      <c r="D96" s="758"/>
      <c r="E96" s="194"/>
      <c r="F96" s="194"/>
      <c r="G96" s="759"/>
      <c r="H96" s="759"/>
      <c r="I96" s="760"/>
      <c r="J96" s="761"/>
      <c r="K96" s="689">
        <v>0</v>
      </c>
      <c r="L96" s="665">
        <v>1000</v>
      </c>
      <c r="M96" s="665">
        <f>$L$96*L11</f>
        <v>1020</v>
      </c>
      <c r="N96" s="665">
        <f t="shared" ref="N96:P96" si="18">$L$96*M11</f>
        <v>1040.4000000000001</v>
      </c>
      <c r="O96" s="665">
        <f t="shared" si="18"/>
        <v>1061.2079999999999</v>
      </c>
      <c r="P96" s="665">
        <f t="shared" si="18"/>
        <v>1082.4321600000001</v>
      </c>
      <c r="Q96" s="665">
        <v>25000</v>
      </c>
      <c r="R96" s="665">
        <f>$Q$96*L11</f>
        <v>25500</v>
      </c>
      <c r="S96" s="665">
        <f t="shared" ref="S96:AE96" si="19">$Q$96*M11</f>
        <v>26010</v>
      </c>
      <c r="T96" s="665">
        <f t="shared" si="19"/>
        <v>26530.199999999997</v>
      </c>
      <c r="U96" s="665">
        <f t="shared" si="19"/>
        <v>27060.804</v>
      </c>
      <c r="V96" s="665">
        <f t="shared" si="19"/>
        <v>27602.020080000002</v>
      </c>
      <c r="W96" s="665">
        <f t="shared" si="19"/>
        <v>28154.060481600001</v>
      </c>
      <c r="X96" s="665">
        <f t="shared" si="19"/>
        <v>28717.141691232002</v>
      </c>
      <c r="Y96" s="665">
        <f t="shared" si="19"/>
        <v>29291.484525056643</v>
      </c>
      <c r="Z96" s="665">
        <f t="shared" si="19"/>
        <v>29877.314215557777</v>
      </c>
      <c r="AA96" s="665">
        <f t="shared" si="19"/>
        <v>30474.860499868933</v>
      </c>
      <c r="AB96" s="665">
        <f t="shared" si="19"/>
        <v>31084.357709866312</v>
      </c>
      <c r="AC96" s="665">
        <f t="shared" si="19"/>
        <v>31706.044864063639</v>
      </c>
      <c r="AD96" s="665">
        <f t="shared" si="19"/>
        <v>32340.165761344906</v>
      </c>
      <c r="AE96" s="665">
        <f t="shared" si="19"/>
        <v>32986.969076571811</v>
      </c>
      <c r="AF96" s="55"/>
      <c r="AG96" s="55"/>
      <c r="AH96" s="55"/>
      <c r="AI96" s="55"/>
    </row>
    <row r="97" spans="1:33">
      <c r="A97" s="745" t="s">
        <v>302</v>
      </c>
      <c r="B97" s="745"/>
      <c r="C97" s="746"/>
      <c r="D97" s="116"/>
      <c r="E97" s="746"/>
      <c r="F97" s="746"/>
      <c r="G97" s="753"/>
      <c r="H97" s="753"/>
      <c r="I97" s="755"/>
      <c r="J97" s="762"/>
      <c r="K97" s="741">
        <v>0</v>
      </c>
      <c r="L97" s="742">
        <f>'Shuttle Projections'!C28/2</f>
        <v>233675</v>
      </c>
      <c r="M97" s="742">
        <f>'Shuttle Projections'!D28</f>
        <v>476697</v>
      </c>
      <c r="N97" s="742">
        <f>'Shuttle Projections'!E28</f>
        <v>486230.94000000006</v>
      </c>
      <c r="O97" s="742">
        <f>'Shuttle Projections'!F28</f>
        <v>495955.55879999994</v>
      </c>
      <c r="P97" s="742">
        <f>'Shuttle Projections'!G28</f>
        <v>505874.66997599998</v>
      </c>
      <c r="Q97" s="742">
        <f>'Shuttle Projections'!H28</f>
        <v>515992.16337552003</v>
      </c>
      <c r="R97" s="742">
        <f>'Shuttle Projections'!I28</f>
        <v>526312.00664303044</v>
      </c>
      <c r="S97" s="742">
        <f>'Shuttle Projections'!J28</f>
        <v>536838.24677589093</v>
      </c>
      <c r="T97" s="742">
        <f>'Shuttle Projections'!K28</f>
        <v>547575.01171140897</v>
      </c>
      <c r="U97" s="742">
        <f>'Shuttle Projections'!L28</f>
        <v>558526.51194563706</v>
      </c>
      <c r="V97" s="742">
        <f>'Shuttle Projections'!M28</f>
        <v>569697.04218454985</v>
      </c>
      <c r="W97" s="742">
        <f>'Shuttle Projections'!N28</f>
        <v>581090.98302824085</v>
      </c>
      <c r="X97" s="742">
        <f>'Shuttle Projections'!O28</f>
        <v>592712.80268880562</v>
      </c>
      <c r="Y97" s="742">
        <f>'Shuttle Projections'!P28</f>
        <v>604567.05874258175</v>
      </c>
      <c r="Z97" s="742">
        <f>'Shuttle Projections'!Q28</f>
        <v>616658.39991743339</v>
      </c>
      <c r="AA97" s="742">
        <f>'Shuttle Projections'!R28</f>
        <v>628991.5679157821</v>
      </c>
      <c r="AB97" s="742">
        <f>'Shuttle Projections'!S28</f>
        <v>641571.39927409776</v>
      </c>
      <c r="AC97" s="742">
        <f>'Shuttle Projections'!T28</f>
        <v>654402.82725957979</v>
      </c>
      <c r="AD97" s="742">
        <f>'Shuttle Projections'!U28</f>
        <v>667490.88380477135</v>
      </c>
      <c r="AE97" s="742">
        <f>'Shuttle Projections'!V28</f>
        <v>680840.70148086676</v>
      </c>
    </row>
    <row r="98" spans="1:33" s="56" customFormat="1" ht="14.25">
      <c r="A98" s="164" t="s">
        <v>410</v>
      </c>
      <c r="B98" s="164"/>
      <c r="C98" s="75"/>
      <c r="D98" s="173"/>
      <c r="E98" s="75"/>
      <c r="F98" s="75"/>
      <c r="G98" s="75"/>
      <c r="H98" s="75"/>
      <c r="I98" s="174"/>
      <c r="J98" s="175"/>
      <c r="K98" s="685">
        <v>0</v>
      </c>
      <c r="L98" s="669">
        <f>SUM(L96:L97)</f>
        <v>234675</v>
      </c>
      <c r="M98" s="669">
        <f t="shared" ref="M98:AE98" si="20">SUM(M96:M97)</f>
        <v>477717</v>
      </c>
      <c r="N98" s="669">
        <f t="shared" si="20"/>
        <v>487271.34000000008</v>
      </c>
      <c r="O98" s="669">
        <f t="shared" si="20"/>
        <v>497016.76679999992</v>
      </c>
      <c r="P98" s="669">
        <f t="shared" si="20"/>
        <v>506957.102136</v>
      </c>
      <c r="Q98" s="669">
        <f t="shared" si="20"/>
        <v>540992.16337552003</v>
      </c>
      <c r="R98" s="669">
        <f t="shared" si="20"/>
        <v>551812.00664303044</v>
      </c>
      <c r="S98" s="669">
        <f t="shared" si="20"/>
        <v>562848.24677589093</v>
      </c>
      <c r="T98" s="669">
        <f t="shared" si="20"/>
        <v>574105.21171140892</v>
      </c>
      <c r="U98" s="669">
        <f t="shared" si="20"/>
        <v>585587.31594563706</v>
      </c>
      <c r="V98" s="669">
        <f t="shared" si="20"/>
        <v>597299.0622645499</v>
      </c>
      <c r="W98" s="669">
        <f t="shared" si="20"/>
        <v>609245.04350984085</v>
      </c>
      <c r="X98" s="669">
        <f t="shared" si="20"/>
        <v>621429.9443800376</v>
      </c>
      <c r="Y98" s="669">
        <f t="shared" si="20"/>
        <v>633858.54326763842</v>
      </c>
      <c r="Z98" s="669">
        <f t="shared" si="20"/>
        <v>646535.71413299115</v>
      </c>
      <c r="AA98" s="669">
        <f t="shared" si="20"/>
        <v>659466.42841565108</v>
      </c>
      <c r="AB98" s="669">
        <f t="shared" si="20"/>
        <v>672655.75698396412</v>
      </c>
      <c r="AC98" s="669">
        <f t="shared" si="20"/>
        <v>686108.87212364341</v>
      </c>
      <c r="AD98" s="669">
        <f t="shared" si="20"/>
        <v>699831.0495661163</v>
      </c>
      <c r="AE98" s="669">
        <f t="shared" si="20"/>
        <v>713827.67055743863</v>
      </c>
    </row>
    <row r="99" spans="1:33" s="56" customFormat="1" ht="14.25">
      <c r="A99" s="164"/>
      <c r="B99" s="164"/>
      <c r="C99" s="75"/>
      <c r="D99" s="173"/>
      <c r="E99" s="75"/>
      <c r="F99" s="75"/>
      <c r="G99" s="75"/>
      <c r="H99" s="75"/>
      <c r="I99" s="174"/>
      <c r="J99" s="175"/>
      <c r="K99" s="685"/>
      <c r="L99" s="669"/>
      <c r="M99" s="669"/>
      <c r="N99" s="669"/>
      <c r="O99" s="669"/>
      <c r="P99" s="669"/>
      <c r="Q99" s="669"/>
      <c r="R99" s="669"/>
      <c r="S99" s="669"/>
      <c r="T99" s="669"/>
      <c r="U99" s="669"/>
      <c r="V99" s="669"/>
      <c r="W99" s="669"/>
      <c r="X99" s="669"/>
      <c r="Y99" s="669"/>
      <c r="Z99" s="669"/>
      <c r="AA99" s="669"/>
      <c r="AB99" s="669"/>
      <c r="AC99" s="669"/>
      <c r="AD99" s="669"/>
      <c r="AE99" s="669"/>
    </row>
    <row r="100" spans="1:33" s="56" customFormat="1" ht="14.25">
      <c r="A100" s="164" t="s">
        <v>78</v>
      </c>
      <c r="B100" s="164"/>
      <c r="C100" s="75"/>
      <c r="D100" s="173"/>
      <c r="E100" s="75"/>
      <c r="F100" s="75"/>
      <c r="G100" s="75"/>
      <c r="H100" s="75"/>
      <c r="I100" s="174"/>
      <c r="J100" s="175"/>
      <c r="K100" s="685">
        <v>0</v>
      </c>
      <c r="L100" s="669">
        <f>SUM(L93,L98)</f>
        <v>321425</v>
      </c>
      <c r="M100" s="669">
        <f t="shared" ref="M100:AE100" si="21">SUM(M93,M98)</f>
        <v>558032</v>
      </c>
      <c r="N100" s="669">
        <f t="shared" si="21"/>
        <v>569202.84000000008</v>
      </c>
      <c r="O100" s="669">
        <f t="shared" si="21"/>
        <v>580586.89679999999</v>
      </c>
      <c r="P100" s="669">
        <f t="shared" si="21"/>
        <v>592198.63473599998</v>
      </c>
      <c r="Q100" s="669">
        <f t="shared" si="21"/>
        <v>632386.48622592003</v>
      </c>
      <c r="R100" s="669">
        <f t="shared" si="21"/>
        <v>640497.29716007039</v>
      </c>
      <c r="S100" s="669">
        <f t="shared" si="21"/>
        <v>653307.2431032717</v>
      </c>
      <c r="T100" s="669">
        <f t="shared" si="21"/>
        <v>666373.38796533737</v>
      </c>
      <c r="U100" s="669">
        <f t="shared" si="21"/>
        <v>679700.85572464403</v>
      </c>
      <c r="V100" s="669">
        <f t="shared" si="21"/>
        <v>697685.37562913971</v>
      </c>
      <c r="W100" s="669">
        <f t="shared" si="21"/>
        <v>707160.77029591973</v>
      </c>
      <c r="X100" s="669">
        <f t="shared" si="21"/>
        <v>721303.98570183804</v>
      </c>
      <c r="Y100" s="669">
        <f t="shared" si="21"/>
        <v>735730.06541587494</v>
      </c>
      <c r="Z100" s="669">
        <f t="shared" si="21"/>
        <v>750444.66672419233</v>
      </c>
      <c r="AA100" s="669">
        <f t="shared" si="21"/>
        <v>769780.62588951422</v>
      </c>
      <c r="AB100" s="669">
        <f t="shared" si="21"/>
        <v>780762.63125984988</v>
      </c>
      <c r="AC100" s="669">
        <f t="shared" si="21"/>
        <v>796377.88388504682</v>
      </c>
      <c r="AD100" s="669">
        <f t="shared" si="21"/>
        <v>812305.44156274782</v>
      </c>
      <c r="AE100" s="669">
        <f t="shared" si="21"/>
        <v>828551.55039400281</v>
      </c>
    </row>
    <row r="101" spans="1:33">
      <c r="A101" s="47"/>
      <c r="B101" s="47"/>
      <c r="C101" s="78"/>
      <c r="D101" s="100"/>
      <c r="E101" s="78"/>
      <c r="F101" s="78"/>
      <c r="G101" s="78"/>
      <c r="H101" s="78"/>
      <c r="I101" s="52"/>
      <c r="J101" s="114"/>
      <c r="K101" s="683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</row>
    <row r="102" spans="1:33">
      <c r="A102" s="168" t="s">
        <v>25</v>
      </c>
      <c r="B102" s="168"/>
      <c r="C102" s="176"/>
      <c r="D102" s="177"/>
      <c r="E102" s="176"/>
      <c r="F102" s="176"/>
      <c r="G102" s="176"/>
      <c r="H102" s="176"/>
      <c r="I102" s="178"/>
      <c r="J102" s="179"/>
      <c r="K102" s="682"/>
      <c r="L102" s="319"/>
      <c r="M102" s="319"/>
      <c r="N102" s="319"/>
      <c r="O102" s="319"/>
      <c r="P102" s="319"/>
      <c r="Q102" s="319"/>
      <c r="R102" s="319"/>
      <c r="S102" s="319"/>
      <c r="T102" s="319"/>
      <c r="U102" s="319"/>
      <c r="V102" s="319"/>
      <c r="W102" s="319"/>
      <c r="X102" s="319"/>
      <c r="Y102" s="319"/>
      <c r="Z102" s="319"/>
      <c r="AA102" s="319"/>
      <c r="AB102" s="319"/>
      <c r="AC102" s="319"/>
      <c r="AD102" s="319"/>
      <c r="AE102" s="319"/>
    </row>
    <row r="103" spans="1:33" s="252" customFormat="1">
      <c r="A103" s="183"/>
      <c r="B103" s="183"/>
      <c r="C103" s="185"/>
      <c r="D103" s="186"/>
      <c r="E103" s="185"/>
      <c r="F103" s="185"/>
      <c r="G103" s="185"/>
      <c r="H103" s="185"/>
      <c r="I103" s="302"/>
      <c r="J103" s="188"/>
      <c r="K103" s="683"/>
      <c r="L103" s="320"/>
      <c r="M103" s="320"/>
      <c r="N103" s="320"/>
      <c r="O103" s="320"/>
      <c r="P103" s="320"/>
      <c r="Q103" s="320"/>
      <c r="R103" s="320"/>
      <c r="S103" s="320"/>
      <c r="T103" s="320"/>
      <c r="U103" s="320"/>
      <c r="V103" s="320"/>
      <c r="W103" s="320"/>
      <c r="X103" s="320"/>
      <c r="Y103" s="320"/>
      <c r="Z103" s="320"/>
      <c r="AA103" s="320"/>
      <c r="AB103" s="320"/>
      <c r="AC103" s="320"/>
      <c r="AD103" s="320"/>
      <c r="AE103" s="320"/>
    </row>
    <row r="104" spans="1:33">
      <c r="A104" s="37" t="s">
        <v>425</v>
      </c>
      <c r="B104" s="37"/>
      <c r="C104" s="57"/>
      <c r="E104" s="57"/>
      <c r="F104" s="57"/>
      <c r="G104" s="57"/>
      <c r="H104" s="998"/>
      <c r="I104" s="51" t="s">
        <v>532</v>
      </c>
      <c r="J104" s="624">
        <f>((6350/6)*7)+((6500/6)*7)</f>
        <v>14991.666666666666</v>
      </c>
      <c r="K104" s="683">
        <v>0</v>
      </c>
      <c r="L104" s="671">
        <f>J104</f>
        <v>14991.666666666666</v>
      </c>
      <c r="M104" s="671">
        <f>$L$104*L11</f>
        <v>15291.5</v>
      </c>
      <c r="N104" s="671">
        <f t="shared" ref="N104:AE104" si="22">$L$104*M11</f>
        <v>15597.33</v>
      </c>
      <c r="O104" s="671">
        <f t="shared" si="22"/>
        <v>15909.276599999997</v>
      </c>
      <c r="P104" s="671">
        <f t="shared" si="22"/>
        <v>16227.462131999999</v>
      </c>
      <c r="Q104" s="671">
        <f t="shared" si="22"/>
        <v>16552.011374639998</v>
      </c>
      <c r="R104" s="671">
        <f t="shared" si="22"/>
        <v>16883.0516021328</v>
      </c>
      <c r="S104" s="671">
        <f t="shared" si="22"/>
        <v>17220.712634175456</v>
      </c>
      <c r="T104" s="671">
        <f t="shared" si="22"/>
        <v>17565.126886858965</v>
      </c>
      <c r="U104" s="671">
        <f t="shared" si="22"/>
        <v>17916.429424596146</v>
      </c>
      <c r="V104" s="671">
        <f t="shared" si="22"/>
        <v>18274.758013088071</v>
      </c>
      <c r="W104" s="671">
        <f t="shared" si="22"/>
        <v>18640.253173349829</v>
      </c>
      <c r="X104" s="671">
        <f t="shared" si="22"/>
        <v>19013.058236816825</v>
      </c>
      <c r="Y104" s="671">
        <f t="shared" si="22"/>
        <v>19393.319401553163</v>
      </c>
      <c r="Z104" s="671">
        <f t="shared" si="22"/>
        <v>19781.185789584226</v>
      </c>
      <c r="AA104" s="671">
        <f t="shared" si="22"/>
        <v>20176.809505375913</v>
      </c>
      <c r="AB104" s="671">
        <f t="shared" si="22"/>
        <v>20580.345695483433</v>
      </c>
      <c r="AC104" s="671">
        <f t="shared" si="22"/>
        <v>20991.952609393102</v>
      </c>
      <c r="AD104" s="671">
        <f t="shared" si="22"/>
        <v>21411.791661580963</v>
      </c>
      <c r="AE104" s="671">
        <f t="shared" si="22"/>
        <v>21840.027494812584</v>
      </c>
    </row>
    <row r="105" spans="1:33">
      <c r="A105" s="37" t="s">
        <v>16</v>
      </c>
      <c r="B105" s="37"/>
      <c r="C105" s="57"/>
      <c r="E105" s="57"/>
      <c r="F105" s="57"/>
      <c r="G105" s="57"/>
      <c r="H105" s="998"/>
      <c r="I105" s="51" t="s">
        <v>17</v>
      </c>
      <c r="J105" s="624">
        <f>1250</f>
        <v>1250</v>
      </c>
      <c r="K105" s="683">
        <v>0</v>
      </c>
      <c r="L105" s="671">
        <f>J105*7</f>
        <v>8750</v>
      </c>
      <c r="M105" s="671">
        <f>$L$105*L11</f>
        <v>8925</v>
      </c>
      <c r="N105" s="671">
        <f t="shared" ref="N105:AE105" si="23">$L$105*M11</f>
        <v>9103.5</v>
      </c>
      <c r="O105" s="671">
        <f t="shared" si="23"/>
        <v>9285.57</v>
      </c>
      <c r="P105" s="671">
        <f t="shared" si="23"/>
        <v>9471.2813999999998</v>
      </c>
      <c r="Q105" s="671">
        <f t="shared" si="23"/>
        <v>9660.7070280000007</v>
      </c>
      <c r="R105" s="671">
        <f t="shared" si="23"/>
        <v>9853.9211685600003</v>
      </c>
      <c r="S105" s="671">
        <f t="shared" si="23"/>
        <v>10050.9995919312</v>
      </c>
      <c r="T105" s="671">
        <f t="shared" si="23"/>
        <v>10252.019583769825</v>
      </c>
      <c r="U105" s="671">
        <f t="shared" si="23"/>
        <v>10457.059975445221</v>
      </c>
      <c r="V105" s="671">
        <f t="shared" si="23"/>
        <v>10666.201174954127</v>
      </c>
      <c r="W105" s="671">
        <f t="shared" si="23"/>
        <v>10879.52519845321</v>
      </c>
      <c r="X105" s="671">
        <f t="shared" si="23"/>
        <v>11097.115702422274</v>
      </c>
      <c r="Y105" s="671">
        <f t="shared" si="23"/>
        <v>11319.058016470717</v>
      </c>
      <c r="Z105" s="671">
        <f t="shared" si="23"/>
        <v>11545.439176800133</v>
      </c>
      <c r="AA105" s="671">
        <f t="shared" si="23"/>
        <v>11776.347960336136</v>
      </c>
      <c r="AB105" s="671">
        <f t="shared" si="23"/>
        <v>12011.874919542859</v>
      </c>
      <c r="AC105" s="671">
        <f t="shared" si="23"/>
        <v>12252.112417933717</v>
      </c>
      <c r="AD105" s="671">
        <f t="shared" si="23"/>
        <v>12497.154666292392</v>
      </c>
      <c r="AE105" s="671">
        <f t="shared" si="23"/>
        <v>12747.09775961824</v>
      </c>
    </row>
    <row r="106" spans="1:33" s="702" customFormat="1">
      <c r="A106" s="701" t="s">
        <v>53</v>
      </c>
      <c r="B106" s="701"/>
      <c r="C106" s="705"/>
      <c r="D106" s="984"/>
      <c r="E106" s="705"/>
      <c r="F106" s="705"/>
      <c r="G106" s="705"/>
      <c r="H106" s="985"/>
      <c r="I106" s="706" t="s">
        <v>17</v>
      </c>
      <c r="J106" s="986">
        <v>0</v>
      </c>
      <c r="K106" s="987">
        <v>0</v>
      </c>
      <c r="L106" s="988">
        <f t="shared" ref="L106:L107" si="24">J106*12</f>
        <v>0</v>
      </c>
      <c r="M106" s="988">
        <f t="shared" ref="M106:AB107" si="25">L106*1.03</f>
        <v>0</v>
      </c>
      <c r="N106" s="988">
        <f t="shared" si="25"/>
        <v>0</v>
      </c>
      <c r="O106" s="988">
        <f t="shared" si="25"/>
        <v>0</v>
      </c>
      <c r="P106" s="988">
        <f t="shared" si="25"/>
        <v>0</v>
      </c>
      <c r="Q106" s="988">
        <f t="shared" si="25"/>
        <v>0</v>
      </c>
      <c r="R106" s="988">
        <f t="shared" si="25"/>
        <v>0</v>
      </c>
      <c r="S106" s="988">
        <f t="shared" si="25"/>
        <v>0</v>
      </c>
      <c r="T106" s="988">
        <f t="shared" si="25"/>
        <v>0</v>
      </c>
      <c r="U106" s="988">
        <f t="shared" si="25"/>
        <v>0</v>
      </c>
      <c r="V106" s="988">
        <f t="shared" si="25"/>
        <v>0</v>
      </c>
      <c r="W106" s="988">
        <f t="shared" si="25"/>
        <v>0</v>
      </c>
      <c r="X106" s="988">
        <f t="shared" si="25"/>
        <v>0</v>
      </c>
      <c r="Y106" s="988">
        <f t="shared" si="25"/>
        <v>0</v>
      </c>
      <c r="Z106" s="988">
        <f t="shared" si="25"/>
        <v>0</v>
      </c>
      <c r="AA106" s="988">
        <f t="shared" si="25"/>
        <v>0</v>
      </c>
      <c r="AB106" s="988">
        <f t="shared" si="25"/>
        <v>0</v>
      </c>
      <c r="AC106" s="988">
        <f t="shared" ref="AC106:AE107" si="26">AB106*1.03</f>
        <v>0</v>
      </c>
      <c r="AD106" s="988">
        <f t="shared" si="26"/>
        <v>0</v>
      </c>
      <c r="AE106" s="988">
        <f t="shared" si="26"/>
        <v>0</v>
      </c>
    </row>
    <row r="107" spans="1:33" s="702" customFormat="1">
      <c r="A107" s="989" t="s">
        <v>54</v>
      </c>
      <c r="B107" s="990"/>
      <c r="C107" s="991"/>
      <c r="D107" s="992"/>
      <c r="E107" s="991"/>
      <c r="F107" s="991"/>
      <c r="G107" s="991"/>
      <c r="H107" s="993"/>
      <c r="I107" s="994" t="s">
        <v>17</v>
      </c>
      <c r="J107" s="995">
        <v>0</v>
      </c>
      <c r="K107" s="996">
        <v>0</v>
      </c>
      <c r="L107" s="997">
        <f t="shared" si="24"/>
        <v>0</v>
      </c>
      <c r="M107" s="997">
        <f t="shared" si="25"/>
        <v>0</v>
      </c>
      <c r="N107" s="997">
        <f t="shared" si="25"/>
        <v>0</v>
      </c>
      <c r="O107" s="997">
        <f t="shared" si="25"/>
        <v>0</v>
      </c>
      <c r="P107" s="997">
        <f t="shared" si="25"/>
        <v>0</v>
      </c>
      <c r="Q107" s="997">
        <f t="shared" si="25"/>
        <v>0</v>
      </c>
      <c r="R107" s="997">
        <f t="shared" si="25"/>
        <v>0</v>
      </c>
      <c r="S107" s="997">
        <f t="shared" si="25"/>
        <v>0</v>
      </c>
      <c r="T107" s="997">
        <f t="shared" si="25"/>
        <v>0</v>
      </c>
      <c r="U107" s="997">
        <f t="shared" si="25"/>
        <v>0</v>
      </c>
      <c r="V107" s="997">
        <f t="shared" si="25"/>
        <v>0</v>
      </c>
      <c r="W107" s="997">
        <f t="shared" si="25"/>
        <v>0</v>
      </c>
      <c r="X107" s="997">
        <f t="shared" si="25"/>
        <v>0</v>
      </c>
      <c r="Y107" s="997">
        <f t="shared" si="25"/>
        <v>0</v>
      </c>
      <c r="Z107" s="997">
        <f t="shared" si="25"/>
        <v>0</v>
      </c>
      <c r="AA107" s="997">
        <f t="shared" si="25"/>
        <v>0</v>
      </c>
      <c r="AB107" s="997">
        <f t="shared" si="25"/>
        <v>0</v>
      </c>
      <c r="AC107" s="997">
        <f t="shared" si="26"/>
        <v>0</v>
      </c>
      <c r="AD107" s="997">
        <f t="shared" si="26"/>
        <v>0</v>
      </c>
      <c r="AE107" s="997">
        <f t="shared" si="26"/>
        <v>0</v>
      </c>
    </row>
    <row r="108" spans="1:33" s="56" customFormat="1" ht="14.25">
      <c r="A108" s="56" t="s">
        <v>55</v>
      </c>
      <c r="B108" s="164"/>
      <c r="C108" s="75"/>
      <c r="D108" s="173"/>
      <c r="E108" s="75"/>
      <c r="F108" s="75"/>
      <c r="G108" s="75"/>
      <c r="H108" s="75"/>
      <c r="I108" s="999"/>
      <c r="J108" s="1000"/>
      <c r="K108" s="685">
        <v>0</v>
      </c>
      <c r="L108" s="1001">
        <f>SUM(L104:L107)</f>
        <v>23741.666666666664</v>
      </c>
      <c r="M108" s="1001">
        <f t="shared" ref="M108:AE108" si="27">SUM(M104:M107)</f>
        <v>24216.5</v>
      </c>
      <c r="N108" s="1001">
        <f t="shared" si="27"/>
        <v>24700.83</v>
      </c>
      <c r="O108" s="1001">
        <f t="shared" si="27"/>
        <v>25194.846599999997</v>
      </c>
      <c r="P108" s="1001">
        <f t="shared" si="27"/>
        <v>25698.743532</v>
      </c>
      <c r="Q108" s="1001">
        <f t="shared" si="27"/>
        <v>26212.718402639999</v>
      </c>
      <c r="R108" s="1001">
        <f t="shared" si="27"/>
        <v>26736.972770692802</v>
      </c>
      <c r="S108" s="1001">
        <f t="shared" si="27"/>
        <v>27271.712226106654</v>
      </c>
      <c r="T108" s="1001">
        <f t="shared" si="27"/>
        <v>27817.146470628788</v>
      </c>
      <c r="U108" s="1001">
        <f t="shared" si="27"/>
        <v>28373.48940004137</v>
      </c>
      <c r="V108" s="1001">
        <f t="shared" si="27"/>
        <v>28940.959188042198</v>
      </c>
      <c r="W108" s="1001">
        <f t="shared" si="27"/>
        <v>29519.77837180304</v>
      </c>
      <c r="X108" s="1001">
        <f t="shared" si="27"/>
        <v>30110.173939239099</v>
      </c>
      <c r="Y108" s="1001">
        <f t="shared" si="27"/>
        <v>30712.37741802388</v>
      </c>
      <c r="Z108" s="1001">
        <f t="shared" si="27"/>
        <v>31326.624966384359</v>
      </c>
      <c r="AA108" s="1001">
        <f t="shared" si="27"/>
        <v>31953.157465712051</v>
      </c>
      <c r="AB108" s="1001">
        <f t="shared" si="27"/>
        <v>32592.220615026294</v>
      </c>
      <c r="AC108" s="1001">
        <f t="shared" si="27"/>
        <v>33244.065027326818</v>
      </c>
      <c r="AD108" s="1001">
        <f t="shared" si="27"/>
        <v>33908.946327873353</v>
      </c>
      <c r="AE108" s="1001">
        <f t="shared" si="27"/>
        <v>34587.125254430823</v>
      </c>
    </row>
    <row r="109" spans="1:33">
      <c r="A109" s="56"/>
      <c r="B109" s="37"/>
      <c r="C109" s="57"/>
      <c r="E109" s="57"/>
      <c r="F109" s="57"/>
      <c r="G109" s="57"/>
      <c r="H109" s="57"/>
      <c r="I109" s="51"/>
      <c r="J109" s="624"/>
      <c r="K109" s="683"/>
      <c r="L109" s="666"/>
      <c r="M109" s="666"/>
      <c r="N109" s="666"/>
      <c r="O109" s="666"/>
      <c r="P109" s="666"/>
      <c r="Q109" s="666"/>
      <c r="R109" s="666"/>
      <c r="S109" s="666"/>
      <c r="T109" s="666"/>
      <c r="U109" s="666"/>
      <c r="V109" s="666"/>
      <c r="W109" s="666"/>
      <c r="X109" s="666"/>
      <c r="Y109" s="666"/>
      <c r="Z109" s="666"/>
      <c r="AA109" s="666"/>
      <c r="AB109" s="666"/>
      <c r="AC109" s="666"/>
      <c r="AD109" s="666"/>
      <c r="AE109" s="666"/>
    </row>
    <row r="110" spans="1:33">
      <c r="A110" s="47" t="s">
        <v>7</v>
      </c>
      <c r="B110" s="47" t="s">
        <v>7</v>
      </c>
      <c r="C110" s="78" t="s">
        <v>7</v>
      </c>
      <c r="D110" s="100"/>
      <c r="E110" s="78" t="s">
        <v>7</v>
      </c>
      <c r="F110" s="78"/>
      <c r="G110" s="78" t="s">
        <v>7</v>
      </c>
      <c r="H110" s="78"/>
      <c r="I110" s="52" t="s">
        <v>7</v>
      </c>
      <c r="J110" s="672"/>
      <c r="K110" s="673"/>
      <c r="L110" s="672"/>
      <c r="M110" s="672"/>
      <c r="N110" s="672"/>
      <c r="O110" s="672"/>
      <c r="P110" s="672"/>
      <c r="Q110" s="672"/>
      <c r="R110" s="672"/>
      <c r="S110" s="672"/>
      <c r="T110" s="672"/>
      <c r="U110" s="672"/>
      <c r="V110" s="672"/>
      <c r="W110" s="672"/>
      <c r="X110" s="672"/>
      <c r="Y110" s="672"/>
      <c r="Z110" s="672"/>
      <c r="AA110" s="672"/>
      <c r="AB110" s="672"/>
      <c r="AC110" s="672"/>
      <c r="AD110" s="672"/>
      <c r="AE110" s="672"/>
    </row>
    <row r="111" spans="1:33">
      <c r="A111" s="47"/>
      <c r="B111" s="47"/>
      <c r="C111" s="78"/>
      <c r="D111" s="100"/>
      <c r="E111" s="78"/>
      <c r="F111" s="78"/>
      <c r="G111" s="78"/>
      <c r="H111" s="78"/>
      <c r="I111" s="52"/>
      <c r="J111" s="672"/>
      <c r="K111" s="683"/>
      <c r="L111" s="666"/>
      <c r="M111" s="666"/>
      <c r="N111" s="666"/>
      <c r="O111" s="666"/>
      <c r="P111" s="666"/>
      <c r="Q111" s="666"/>
      <c r="R111" s="666"/>
      <c r="S111" s="666"/>
      <c r="T111" s="666"/>
      <c r="U111" s="666"/>
      <c r="V111" s="666"/>
      <c r="W111" s="666"/>
      <c r="X111" s="666"/>
      <c r="Y111" s="666"/>
      <c r="Z111" s="666"/>
      <c r="AA111" s="666"/>
      <c r="AB111" s="666"/>
      <c r="AC111" s="666"/>
      <c r="AD111" s="666"/>
      <c r="AE111" s="666"/>
    </row>
    <row r="112" spans="1:33" s="56" customFormat="1" ht="14.25">
      <c r="A112" s="203" t="s">
        <v>303</v>
      </c>
      <c r="B112" s="203"/>
      <c r="C112" s="204"/>
      <c r="D112" s="205"/>
      <c r="E112" s="204"/>
      <c r="F112" s="204"/>
      <c r="G112" s="204"/>
      <c r="H112" s="204"/>
      <c r="I112" s="206"/>
      <c r="J112" s="674"/>
      <c r="K112" s="676">
        <f>SUM(K79,K100,K108)</f>
        <v>0</v>
      </c>
      <c r="L112" s="676">
        <f>SUM(L79,L100,L108)</f>
        <v>357416.66666666669</v>
      </c>
      <c r="M112" s="676">
        <f t="shared" ref="M112:AE112" si="28">SUM(M79,M100,M108)</f>
        <v>732748.5</v>
      </c>
      <c r="N112" s="676">
        <f t="shared" si="28"/>
        <v>747413.67</v>
      </c>
      <c r="O112" s="676">
        <f t="shared" si="28"/>
        <v>762361.94339999999</v>
      </c>
      <c r="P112" s="676">
        <f t="shared" si="28"/>
        <v>777609.18226799998</v>
      </c>
      <c r="Q112" s="676">
        <f t="shared" si="28"/>
        <v>821505.24470855994</v>
      </c>
      <c r="R112" s="676">
        <f t="shared" si="28"/>
        <v>833398.43081236316</v>
      </c>
      <c r="S112" s="676">
        <f t="shared" si="28"/>
        <v>850066.39942861034</v>
      </c>
      <c r="T112" s="676">
        <f t="shared" si="28"/>
        <v>867067.72741718276</v>
      </c>
      <c r="U112" s="676">
        <f t="shared" si="28"/>
        <v>884409.08196552645</v>
      </c>
      <c r="V112" s="676">
        <f t="shared" si="28"/>
        <v>906487.76639483974</v>
      </c>
      <c r="W112" s="676">
        <f t="shared" si="28"/>
        <v>920139.20887693367</v>
      </c>
      <c r="X112" s="676">
        <f t="shared" si="28"/>
        <v>938541.99305447238</v>
      </c>
      <c r="Y112" s="676">
        <f t="shared" si="28"/>
        <v>957312.83291556186</v>
      </c>
      <c r="Z112" s="676">
        <f t="shared" si="28"/>
        <v>976459.08957387297</v>
      </c>
      <c r="AA112" s="676">
        <f t="shared" si="28"/>
        <v>1000315.3371961886</v>
      </c>
      <c r="AB112" s="676">
        <f t="shared" si="28"/>
        <v>1015908.0367926577</v>
      </c>
      <c r="AC112" s="676">
        <f t="shared" si="28"/>
        <v>1036226.1975285108</v>
      </c>
      <c r="AD112" s="676">
        <f t="shared" si="28"/>
        <v>1056950.7214790811</v>
      </c>
      <c r="AE112" s="676">
        <f t="shared" si="28"/>
        <v>1078089.7359086629</v>
      </c>
      <c r="AG112" s="199"/>
    </row>
    <row r="113" spans="1:33">
      <c r="A113" s="37"/>
      <c r="B113" s="37"/>
      <c r="C113" s="57"/>
      <c r="E113" s="110"/>
      <c r="F113" s="110"/>
      <c r="G113" s="57"/>
      <c r="H113" s="57"/>
      <c r="I113" s="43"/>
      <c r="J113" s="44"/>
      <c r="K113" s="683"/>
      <c r="L113" s="115"/>
      <c r="M113" s="115"/>
      <c r="N113" s="115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5"/>
      <c r="Z113" s="115"/>
      <c r="AA113" s="115"/>
      <c r="AB113" s="115"/>
      <c r="AC113" s="115"/>
      <c r="AD113" s="115"/>
      <c r="AE113" s="115"/>
      <c r="AG113" s="199"/>
    </row>
    <row r="114" spans="1:33">
      <c r="A114" s="47" t="s">
        <v>7</v>
      </c>
      <c r="B114" s="47" t="s">
        <v>7</v>
      </c>
      <c r="C114" s="78" t="s">
        <v>7</v>
      </c>
      <c r="D114" s="100"/>
      <c r="E114" s="78" t="s">
        <v>7</v>
      </c>
      <c r="F114" s="78"/>
      <c r="G114" s="78" t="s">
        <v>7</v>
      </c>
      <c r="H114" s="78"/>
      <c r="I114" s="52" t="s">
        <v>7</v>
      </c>
      <c r="J114" s="114"/>
      <c r="K114" s="673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G114" s="199"/>
    </row>
    <row r="115" spans="1:33">
      <c r="A115" s="47"/>
      <c r="B115" s="47"/>
      <c r="C115" s="78"/>
      <c r="D115" s="100"/>
      <c r="E115" s="78"/>
      <c r="F115" s="78"/>
      <c r="G115" s="78"/>
      <c r="H115" s="78"/>
      <c r="I115" s="52"/>
      <c r="J115" s="114"/>
      <c r="K115" s="683"/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5"/>
      <c r="Z115" s="115"/>
      <c r="AA115" s="115"/>
      <c r="AB115" s="115"/>
      <c r="AC115" s="115"/>
      <c r="AD115" s="115"/>
      <c r="AE115" s="115"/>
      <c r="AG115" s="199"/>
    </row>
    <row r="116" spans="1:33">
      <c r="A116" s="168" t="s">
        <v>71</v>
      </c>
      <c r="B116" s="171"/>
      <c r="C116" s="176"/>
      <c r="D116" s="177"/>
      <c r="E116" s="176"/>
      <c r="F116" s="176"/>
      <c r="G116" s="176"/>
      <c r="H116" s="176"/>
      <c r="I116" s="182"/>
      <c r="J116" s="179"/>
      <c r="K116" s="682"/>
      <c r="L116" s="319"/>
      <c r="M116" s="319"/>
      <c r="N116" s="319"/>
      <c r="O116" s="319"/>
      <c r="P116" s="319"/>
      <c r="Q116" s="319"/>
      <c r="R116" s="319"/>
      <c r="S116" s="319"/>
      <c r="T116" s="319"/>
      <c r="U116" s="319"/>
      <c r="V116" s="319"/>
      <c r="W116" s="319"/>
      <c r="X116" s="319"/>
      <c r="Y116" s="319"/>
      <c r="Z116" s="319"/>
      <c r="AA116" s="319"/>
      <c r="AB116" s="319"/>
      <c r="AC116" s="319"/>
      <c r="AD116" s="319"/>
      <c r="AE116" s="319"/>
      <c r="AG116" s="199"/>
    </row>
    <row r="117" spans="1:33" s="252" customFormat="1">
      <c r="A117" s="183"/>
      <c r="B117" s="184"/>
      <c r="C117" s="185"/>
      <c r="D117" s="186"/>
      <c r="E117" s="185"/>
      <c r="F117" s="185"/>
      <c r="G117" s="185"/>
      <c r="H117" s="185"/>
      <c r="I117" s="187"/>
      <c r="J117" s="188"/>
      <c r="K117" s="683"/>
      <c r="L117" s="320"/>
      <c r="M117" s="320"/>
      <c r="N117" s="320"/>
      <c r="O117" s="320"/>
      <c r="P117" s="320"/>
      <c r="Q117" s="320"/>
      <c r="R117" s="320"/>
      <c r="S117" s="320"/>
      <c r="T117" s="320"/>
      <c r="U117" s="320"/>
      <c r="V117" s="320"/>
      <c r="W117" s="320"/>
      <c r="X117" s="320"/>
      <c r="Y117" s="320"/>
      <c r="Z117" s="320"/>
      <c r="AA117" s="320"/>
      <c r="AB117" s="320"/>
      <c r="AC117" s="320"/>
      <c r="AD117" s="320"/>
      <c r="AE117" s="320"/>
      <c r="AG117" s="363"/>
    </row>
    <row r="118" spans="1:33">
      <c r="A118" s="39" t="s">
        <v>0</v>
      </c>
      <c r="B118" s="39"/>
      <c r="C118" s="102"/>
      <c r="D118" s="103"/>
      <c r="E118" s="104"/>
      <c r="F118" s="104"/>
      <c r="G118" s="104"/>
      <c r="H118" s="104"/>
      <c r="I118" s="39"/>
      <c r="J118" s="104"/>
      <c r="K118" s="688"/>
      <c r="L118" s="335"/>
      <c r="M118" s="335"/>
      <c r="N118" s="335"/>
      <c r="O118" s="335"/>
      <c r="P118" s="335"/>
      <c r="Q118" s="335"/>
      <c r="R118" s="335"/>
      <c r="S118" s="335"/>
      <c r="T118" s="335"/>
      <c r="U118" s="335"/>
      <c r="V118" s="335"/>
      <c r="W118" s="335"/>
      <c r="X118" s="335"/>
      <c r="Y118" s="335"/>
      <c r="Z118" s="335"/>
      <c r="AA118" s="335"/>
      <c r="AB118" s="335"/>
      <c r="AC118" s="335"/>
      <c r="AD118" s="335"/>
      <c r="AE118" s="335"/>
    </row>
    <row r="119" spans="1:33">
      <c r="A119" s="41" t="s">
        <v>13</v>
      </c>
      <c r="B119" s="41"/>
      <c r="C119" s="105"/>
      <c r="D119" s="106"/>
      <c r="E119" s="37"/>
      <c r="F119" s="37"/>
      <c r="G119" s="37"/>
      <c r="H119" s="37"/>
      <c r="I119" s="41"/>
      <c r="J119" s="37"/>
      <c r="K119" s="683"/>
      <c r="L119" s="200"/>
      <c r="M119" s="200"/>
      <c r="N119" s="200"/>
      <c r="O119" s="200"/>
      <c r="P119" s="200"/>
      <c r="Q119" s="200"/>
      <c r="R119" s="200"/>
      <c r="S119" s="200"/>
      <c r="T119" s="200"/>
      <c r="U119" s="201"/>
      <c r="V119" s="323"/>
      <c r="W119" s="200"/>
      <c r="X119" s="200"/>
      <c r="Y119" s="200"/>
      <c r="Z119" s="200"/>
      <c r="AA119" s="200"/>
      <c r="AB119" s="200"/>
      <c r="AC119" s="200"/>
      <c r="AD119" s="200"/>
      <c r="AE119" s="201"/>
    </row>
    <row r="120" spans="1:33">
      <c r="A120" s="96" t="s">
        <v>56</v>
      </c>
      <c r="B120" s="735" t="s">
        <v>12</v>
      </c>
      <c r="C120" s="663">
        <v>55000</v>
      </c>
      <c r="D120" s="736">
        <f>C120/2080</f>
        <v>26.442307692307693</v>
      </c>
      <c r="E120" s="663">
        <v>0</v>
      </c>
      <c r="F120" s="663">
        <f>C120*$F$13</f>
        <v>22000</v>
      </c>
      <c r="G120" s="663">
        <f>SUM(C120,E120:F120)</f>
        <v>77000</v>
      </c>
      <c r="H120" s="736">
        <f>G120/2080*8</f>
        <v>296.15384615384613</v>
      </c>
      <c r="I120" s="736"/>
      <c r="J120" s="663"/>
      <c r="K120" s="683">
        <v>0</v>
      </c>
      <c r="L120" s="665">
        <v>0</v>
      </c>
      <c r="M120" s="665">
        <f>$H$120*M32*0.25</f>
        <v>15844.230769230768</v>
      </c>
      <c r="N120" s="665">
        <f t="shared" ref="N120:AE120" si="29">$M$120*M11</f>
        <v>16484.33769230769</v>
      </c>
      <c r="O120" s="665">
        <f t="shared" si="29"/>
        <v>16814.024446153842</v>
      </c>
      <c r="P120" s="665">
        <f t="shared" si="29"/>
        <v>17150.304935076922</v>
      </c>
      <c r="Q120" s="665">
        <f t="shared" si="29"/>
        <v>17493.31103377846</v>
      </c>
      <c r="R120" s="665">
        <f t="shared" si="29"/>
        <v>17843.177254454029</v>
      </c>
      <c r="S120" s="665">
        <f t="shared" si="29"/>
        <v>18200.040799543109</v>
      </c>
      <c r="T120" s="665">
        <f t="shared" si="29"/>
        <v>18564.041615533974</v>
      </c>
      <c r="U120" s="665">
        <f t="shared" si="29"/>
        <v>18935.322447844654</v>
      </c>
      <c r="V120" s="665">
        <f t="shared" si="29"/>
        <v>19314.028896801548</v>
      </c>
      <c r="W120" s="665">
        <f t="shared" si="29"/>
        <v>19700.30947473758</v>
      </c>
      <c r="X120" s="665">
        <f t="shared" si="29"/>
        <v>20094.31566423233</v>
      </c>
      <c r="Y120" s="665">
        <f t="shared" si="29"/>
        <v>20496.201977516976</v>
      </c>
      <c r="Z120" s="665">
        <f t="shared" si="29"/>
        <v>20906.126017067316</v>
      </c>
      <c r="AA120" s="665">
        <f t="shared" si="29"/>
        <v>21324.248537408665</v>
      </c>
      <c r="AB120" s="665">
        <f t="shared" si="29"/>
        <v>21750.733508156838</v>
      </c>
      <c r="AC120" s="665">
        <f t="shared" si="29"/>
        <v>22185.748178319976</v>
      </c>
      <c r="AD120" s="665">
        <f t="shared" si="29"/>
        <v>22629.463141886376</v>
      </c>
      <c r="AE120" s="665">
        <f t="shared" si="29"/>
        <v>23082.052404724102</v>
      </c>
    </row>
    <row r="121" spans="1:33">
      <c r="A121" s="96" t="s">
        <v>57</v>
      </c>
      <c r="B121" s="735" t="s">
        <v>15</v>
      </c>
      <c r="C121" s="663">
        <v>15000</v>
      </c>
      <c r="D121" s="736">
        <f>C121/2080</f>
        <v>7.2115384615384617</v>
      </c>
      <c r="E121" s="663">
        <f>C121*E12</f>
        <v>3000</v>
      </c>
      <c r="F121" s="663">
        <f t="shared" ref="F121:F122" si="30">C121*$F$13</f>
        <v>6000</v>
      </c>
      <c r="G121" s="663">
        <f t="shared" ref="G121:G122" si="31">SUM(C121,E121:F121)</f>
        <v>24000</v>
      </c>
      <c r="H121" s="736">
        <f>G121/2080*12</f>
        <v>138.46153846153845</v>
      </c>
      <c r="I121" s="736"/>
      <c r="J121" s="663"/>
      <c r="K121" s="683">
        <v>0</v>
      </c>
      <c r="L121" s="665">
        <v>0</v>
      </c>
      <c r="M121" s="665">
        <f>$H$121*M32*0.5</f>
        <v>14815.384615384615</v>
      </c>
      <c r="N121" s="665">
        <f t="shared" ref="N121:AE121" si="32">$M$121*M11</f>
        <v>15413.926153846154</v>
      </c>
      <c r="O121" s="665">
        <f t="shared" si="32"/>
        <v>15722.204676923076</v>
      </c>
      <c r="P121" s="665">
        <f t="shared" si="32"/>
        <v>16036.648770461537</v>
      </c>
      <c r="Q121" s="665">
        <f t="shared" si="32"/>
        <v>16357.381745870769</v>
      </c>
      <c r="R121" s="665">
        <f t="shared" si="32"/>
        <v>16684.529380788186</v>
      </c>
      <c r="S121" s="665">
        <f t="shared" si="32"/>
        <v>17018.219968403948</v>
      </c>
      <c r="T121" s="665">
        <f t="shared" si="32"/>
        <v>17358.58436777203</v>
      </c>
      <c r="U121" s="665">
        <f t="shared" si="32"/>
        <v>17705.756055127469</v>
      </c>
      <c r="V121" s="665">
        <f t="shared" si="32"/>
        <v>18059.871176230019</v>
      </c>
      <c r="W121" s="665">
        <f t="shared" si="32"/>
        <v>18421.068599754621</v>
      </c>
      <c r="X121" s="665">
        <f t="shared" si="32"/>
        <v>18789.489971749714</v>
      </c>
      <c r="Y121" s="665">
        <f t="shared" si="32"/>
        <v>19165.279771184705</v>
      </c>
      <c r="Z121" s="665">
        <f t="shared" si="32"/>
        <v>19548.5853666084</v>
      </c>
      <c r="AA121" s="665">
        <f t="shared" si="32"/>
        <v>19939.55707394057</v>
      </c>
      <c r="AB121" s="665">
        <f t="shared" si="32"/>
        <v>20338.348215419381</v>
      </c>
      <c r="AC121" s="665">
        <f t="shared" si="32"/>
        <v>20745.115179727771</v>
      </c>
      <c r="AD121" s="665">
        <f t="shared" si="32"/>
        <v>21160.017483322328</v>
      </c>
      <c r="AE121" s="665">
        <f t="shared" si="32"/>
        <v>21583.217832988772</v>
      </c>
    </row>
    <row r="122" spans="1:33">
      <c r="A122" s="737" t="s">
        <v>57</v>
      </c>
      <c r="B122" s="738" t="s">
        <v>15</v>
      </c>
      <c r="C122" s="739">
        <v>15000</v>
      </c>
      <c r="D122" s="740">
        <f>C122/2080</f>
        <v>7.2115384615384617</v>
      </c>
      <c r="E122" s="739">
        <f>C122*$E$12</f>
        <v>3000</v>
      </c>
      <c r="F122" s="739">
        <f t="shared" si="30"/>
        <v>6000</v>
      </c>
      <c r="G122" s="739">
        <f t="shared" si="31"/>
        <v>24000</v>
      </c>
      <c r="H122" s="740">
        <f t="shared" ref="H122" si="33">G122/2080*12</f>
        <v>138.46153846153845</v>
      </c>
      <c r="I122" s="740"/>
      <c r="J122" s="739"/>
      <c r="K122" s="741">
        <v>0</v>
      </c>
      <c r="L122" s="742">
        <v>0</v>
      </c>
      <c r="M122" s="742">
        <f>$H$122*M32*0.5</f>
        <v>14815.384615384615</v>
      </c>
      <c r="N122" s="742">
        <f t="shared" ref="N122:AE122" si="34">$M$122*M11</f>
        <v>15413.926153846154</v>
      </c>
      <c r="O122" s="742">
        <f t="shared" si="34"/>
        <v>15722.204676923076</v>
      </c>
      <c r="P122" s="742">
        <f t="shared" si="34"/>
        <v>16036.648770461537</v>
      </c>
      <c r="Q122" s="742">
        <f t="shared" si="34"/>
        <v>16357.381745870769</v>
      </c>
      <c r="R122" s="742">
        <f t="shared" si="34"/>
        <v>16684.529380788186</v>
      </c>
      <c r="S122" s="742">
        <f t="shared" si="34"/>
        <v>17018.219968403948</v>
      </c>
      <c r="T122" s="742">
        <f t="shared" si="34"/>
        <v>17358.58436777203</v>
      </c>
      <c r="U122" s="742">
        <f t="shared" si="34"/>
        <v>17705.756055127469</v>
      </c>
      <c r="V122" s="742">
        <f t="shared" si="34"/>
        <v>18059.871176230019</v>
      </c>
      <c r="W122" s="742">
        <f t="shared" si="34"/>
        <v>18421.068599754621</v>
      </c>
      <c r="X122" s="742">
        <f t="shared" si="34"/>
        <v>18789.489971749714</v>
      </c>
      <c r="Y122" s="742">
        <f t="shared" si="34"/>
        <v>19165.279771184705</v>
      </c>
      <c r="Z122" s="742">
        <f t="shared" si="34"/>
        <v>19548.5853666084</v>
      </c>
      <c r="AA122" s="742">
        <f t="shared" si="34"/>
        <v>19939.55707394057</v>
      </c>
      <c r="AB122" s="742">
        <f t="shared" si="34"/>
        <v>20338.348215419381</v>
      </c>
      <c r="AC122" s="742">
        <f t="shared" si="34"/>
        <v>20745.115179727771</v>
      </c>
      <c r="AD122" s="742">
        <f t="shared" si="34"/>
        <v>21160.017483322328</v>
      </c>
      <c r="AE122" s="742">
        <f t="shared" si="34"/>
        <v>21583.217832988772</v>
      </c>
    </row>
    <row r="123" spans="1:33">
      <c r="A123" s="164" t="s">
        <v>414</v>
      </c>
      <c r="B123" s="164"/>
      <c r="C123" s="667">
        <f>SUM(C120:C122)</f>
        <v>85000</v>
      </c>
      <c r="D123" s="667"/>
      <c r="E123" s="667">
        <f>SUM(E120:E122)</f>
        <v>6000</v>
      </c>
      <c r="F123" s="667">
        <f>SUM(F120:F122)</f>
        <v>34000</v>
      </c>
      <c r="G123" s="667">
        <f>SUM(G120:G122)</f>
        <v>125000</v>
      </c>
      <c r="H123" s="667">
        <f>SUM(H120:H122)</f>
        <v>573.07692307692309</v>
      </c>
      <c r="I123" s="668"/>
      <c r="J123" s="667"/>
      <c r="K123" s="685">
        <f>SUMIF($B120:$B122,"FT",K120:K122)</f>
        <v>0</v>
      </c>
      <c r="L123" s="669">
        <f>SUM(L120:L122)</f>
        <v>0</v>
      </c>
      <c r="M123" s="669">
        <f t="shared" ref="M123:AE123" si="35">SUM(M120:M122)</f>
        <v>45475</v>
      </c>
      <c r="N123" s="669">
        <f t="shared" si="35"/>
        <v>47312.19</v>
      </c>
      <c r="O123" s="669">
        <f t="shared" si="35"/>
        <v>48258.433799999999</v>
      </c>
      <c r="P123" s="669">
        <f t="shared" si="35"/>
        <v>49223.602475999993</v>
      </c>
      <c r="Q123" s="669">
        <f t="shared" si="35"/>
        <v>50208.074525520002</v>
      </c>
      <c r="R123" s="669">
        <f t="shared" si="35"/>
        <v>51212.236016030394</v>
      </c>
      <c r="S123" s="669">
        <f t="shared" si="35"/>
        <v>52236.480736351004</v>
      </c>
      <c r="T123" s="669">
        <f t="shared" si="35"/>
        <v>53281.210351078029</v>
      </c>
      <c r="U123" s="669">
        <f t="shared" si="35"/>
        <v>54346.834558099596</v>
      </c>
      <c r="V123" s="669">
        <f t="shared" si="35"/>
        <v>55433.771249261583</v>
      </c>
      <c r="W123" s="669">
        <f t="shared" si="35"/>
        <v>56542.446674246821</v>
      </c>
      <c r="X123" s="669">
        <f t="shared" si="35"/>
        <v>57673.295607731765</v>
      </c>
      <c r="Y123" s="669">
        <f t="shared" si="35"/>
        <v>58826.761519886393</v>
      </c>
      <c r="Z123" s="669">
        <f t="shared" si="35"/>
        <v>60003.29675028412</v>
      </c>
      <c r="AA123" s="669">
        <f t="shared" si="35"/>
        <v>61203.362685289801</v>
      </c>
      <c r="AB123" s="669">
        <f t="shared" si="35"/>
        <v>62427.4299389956</v>
      </c>
      <c r="AC123" s="669">
        <f t="shared" si="35"/>
        <v>63675.978537775518</v>
      </c>
      <c r="AD123" s="669">
        <f t="shared" si="35"/>
        <v>64949.498108531028</v>
      </c>
      <c r="AE123" s="669">
        <f t="shared" si="35"/>
        <v>66248.488070701642</v>
      </c>
    </row>
    <row r="124" spans="1:33">
      <c r="A124" s="37"/>
      <c r="B124" s="37"/>
      <c r="C124" s="663"/>
      <c r="D124" s="663"/>
      <c r="E124" s="663"/>
      <c r="F124" s="663"/>
      <c r="G124" s="663"/>
      <c r="H124" s="663"/>
      <c r="I124" s="670"/>
      <c r="J124" s="663"/>
      <c r="K124" s="683"/>
      <c r="L124" s="666"/>
      <c r="M124" s="666"/>
      <c r="N124" s="666"/>
      <c r="O124" s="666"/>
      <c r="P124" s="666"/>
      <c r="Q124" s="666"/>
      <c r="R124" s="666"/>
      <c r="S124" s="666"/>
      <c r="T124" s="666"/>
      <c r="U124" s="666"/>
      <c r="V124" s="666"/>
      <c r="W124" s="666"/>
      <c r="X124" s="666"/>
      <c r="Y124" s="666"/>
      <c r="Z124" s="666"/>
      <c r="AA124" s="666"/>
      <c r="AB124" s="666"/>
      <c r="AC124" s="666"/>
      <c r="AD124" s="666"/>
      <c r="AE124" s="666"/>
    </row>
    <row r="125" spans="1:33">
      <c r="A125" s="37" t="s">
        <v>11</v>
      </c>
      <c r="B125" s="37"/>
      <c r="C125" s="663"/>
      <c r="D125" s="663"/>
      <c r="E125" s="663"/>
      <c r="F125" s="663"/>
      <c r="G125" s="663"/>
      <c r="H125" s="663"/>
      <c r="I125" s="670"/>
      <c r="J125" s="663"/>
      <c r="K125" s="743">
        <f>COUNTIF(K120:K122,"&gt;100")</f>
        <v>0</v>
      </c>
      <c r="L125" s="496">
        <f>COUNTIF(L120,"&gt;100")</f>
        <v>0</v>
      </c>
      <c r="M125" s="496">
        <f t="shared" ref="M125:AE125" si="36">COUNTIF(M120,"&gt;100")</f>
        <v>1</v>
      </c>
      <c r="N125" s="496">
        <f t="shared" si="36"/>
        <v>1</v>
      </c>
      <c r="O125" s="496">
        <f t="shared" si="36"/>
        <v>1</v>
      </c>
      <c r="P125" s="496">
        <f t="shared" si="36"/>
        <v>1</v>
      </c>
      <c r="Q125" s="496">
        <f t="shared" si="36"/>
        <v>1</v>
      </c>
      <c r="R125" s="496">
        <f t="shared" si="36"/>
        <v>1</v>
      </c>
      <c r="S125" s="496">
        <f t="shared" si="36"/>
        <v>1</v>
      </c>
      <c r="T125" s="496">
        <f t="shared" si="36"/>
        <v>1</v>
      </c>
      <c r="U125" s="496">
        <f t="shared" si="36"/>
        <v>1</v>
      </c>
      <c r="V125" s="496">
        <f t="shared" si="36"/>
        <v>1</v>
      </c>
      <c r="W125" s="496">
        <f t="shared" si="36"/>
        <v>1</v>
      </c>
      <c r="X125" s="496">
        <f t="shared" si="36"/>
        <v>1</v>
      </c>
      <c r="Y125" s="496">
        <f t="shared" si="36"/>
        <v>1</v>
      </c>
      <c r="Z125" s="496">
        <f t="shared" si="36"/>
        <v>1</v>
      </c>
      <c r="AA125" s="496">
        <f t="shared" si="36"/>
        <v>1</v>
      </c>
      <c r="AB125" s="496">
        <f t="shared" si="36"/>
        <v>1</v>
      </c>
      <c r="AC125" s="496">
        <f t="shared" si="36"/>
        <v>1</v>
      </c>
      <c r="AD125" s="496">
        <f t="shared" si="36"/>
        <v>1</v>
      </c>
      <c r="AE125" s="496">
        <f t="shared" si="36"/>
        <v>1</v>
      </c>
    </row>
    <row r="126" spans="1:33">
      <c r="A126" s="745" t="s">
        <v>10</v>
      </c>
      <c r="B126" s="745"/>
      <c r="C126" s="739"/>
      <c r="D126" s="739"/>
      <c r="E126" s="739"/>
      <c r="F126" s="739"/>
      <c r="G126" s="739"/>
      <c r="H126" s="739"/>
      <c r="I126" s="763"/>
      <c r="J126" s="739"/>
      <c r="K126" s="749">
        <f t="shared" ref="K126" si="37">K127-K125</f>
        <v>0</v>
      </c>
      <c r="L126" s="750">
        <f>COUNTIF(L121:L122,"&gt;100")</f>
        <v>0</v>
      </c>
      <c r="M126" s="750">
        <f t="shared" ref="M126:AE126" si="38">COUNTIF(M121:M122,"&gt;100")</f>
        <v>2</v>
      </c>
      <c r="N126" s="750">
        <f t="shared" si="38"/>
        <v>2</v>
      </c>
      <c r="O126" s="750">
        <f t="shared" si="38"/>
        <v>2</v>
      </c>
      <c r="P126" s="750">
        <f t="shared" si="38"/>
        <v>2</v>
      </c>
      <c r="Q126" s="750">
        <f t="shared" si="38"/>
        <v>2</v>
      </c>
      <c r="R126" s="750">
        <f t="shared" si="38"/>
        <v>2</v>
      </c>
      <c r="S126" s="750">
        <f t="shared" si="38"/>
        <v>2</v>
      </c>
      <c r="T126" s="750">
        <f t="shared" si="38"/>
        <v>2</v>
      </c>
      <c r="U126" s="750">
        <f t="shared" si="38"/>
        <v>2</v>
      </c>
      <c r="V126" s="750">
        <f t="shared" si="38"/>
        <v>2</v>
      </c>
      <c r="W126" s="750">
        <f t="shared" si="38"/>
        <v>2</v>
      </c>
      <c r="X126" s="750">
        <f t="shared" si="38"/>
        <v>2</v>
      </c>
      <c r="Y126" s="750">
        <f t="shared" si="38"/>
        <v>2</v>
      </c>
      <c r="Z126" s="750">
        <f t="shared" si="38"/>
        <v>2</v>
      </c>
      <c r="AA126" s="750">
        <f t="shared" si="38"/>
        <v>2</v>
      </c>
      <c r="AB126" s="750">
        <f t="shared" si="38"/>
        <v>2</v>
      </c>
      <c r="AC126" s="750">
        <f t="shared" si="38"/>
        <v>2</v>
      </c>
      <c r="AD126" s="750">
        <f t="shared" si="38"/>
        <v>2</v>
      </c>
      <c r="AE126" s="750">
        <f t="shared" si="38"/>
        <v>2</v>
      </c>
    </row>
    <row r="127" spans="1:33">
      <c r="A127" s="164" t="s">
        <v>9</v>
      </c>
      <c r="B127" s="164"/>
      <c r="C127" s="667"/>
      <c r="D127" s="667"/>
      <c r="E127" s="667"/>
      <c r="F127" s="667"/>
      <c r="G127" s="667"/>
      <c r="H127" s="667"/>
      <c r="I127" s="668"/>
      <c r="J127" s="667"/>
      <c r="K127" s="751">
        <f t="shared" ref="K127:AE127" si="39">COUNTIF(K120:K122,"&gt;0")</f>
        <v>0</v>
      </c>
      <c r="L127" s="752">
        <f t="shared" si="39"/>
        <v>0</v>
      </c>
      <c r="M127" s="752">
        <f t="shared" si="39"/>
        <v>3</v>
      </c>
      <c r="N127" s="752">
        <f t="shared" si="39"/>
        <v>3</v>
      </c>
      <c r="O127" s="752">
        <f t="shared" si="39"/>
        <v>3</v>
      </c>
      <c r="P127" s="752">
        <f t="shared" si="39"/>
        <v>3</v>
      </c>
      <c r="Q127" s="752">
        <f t="shared" si="39"/>
        <v>3</v>
      </c>
      <c r="R127" s="752">
        <f t="shared" si="39"/>
        <v>3</v>
      </c>
      <c r="S127" s="752">
        <f t="shared" si="39"/>
        <v>3</v>
      </c>
      <c r="T127" s="752">
        <f t="shared" si="39"/>
        <v>3</v>
      </c>
      <c r="U127" s="752">
        <f t="shared" si="39"/>
        <v>3</v>
      </c>
      <c r="V127" s="752">
        <f t="shared" si="39"/>
        <v>3</v>
      </c>
      <c r="W127" s="752">
        <f t="shared" si="39"/>
        <v>3</v>
      </c>
      <c r="X127" s="752">
        <f t="shared" si="39"/>
        <v>3</v>
      </c>
      <c r="Y127" s="752">
        <f t="shared" si="39"/>
        <v>3</v>
      </c>
      <c r="Z127" s="752">
        <f t="shared" si="39"/>
        <v>3</v>
      </c>
      <c r="AA127" s="752">
        <f t="shared" si="39"/>
        <v>3</v>
      </c>
      <c r="AB127" s="752">
        <f t="shared" si="39"/>
        <v>3</v>
      </c>
      <c r="AC127" s="752">
        <f t="shared" si="39"/>
        <v>3</v>
      </c>
      <c r="AD127" s="752">
        <f t="shared" si="39"/>
        <v>3</v>
      </c>
      <c r="AE127" s="752">
        <f t="shared" si="39"/>
        <v>3</v>
      </c>
    </row>
    <row r="128" spans="1:33">
      <c r="A128" s="37"/>
      <c r="B128" s="37"/>
      <c r="C128" s="57"/>
      <c r="E128" s="57"/>
      <c r="F128" s="57"/>
      <c r="G128" s="57"/>
      <c r="H128" s="57"/>
      <c r="I128" s="43"/>
      <c r="J128" s="42"/>
      <c r="K128" s="683"/>
      <c r="L128" s="316"/>
      <c r="M128" s="316"/>
      <c r="N128" s="316"/>
      <c r="O128" s="316"/>
      <c r="P128" s="316"/>
      <c r="Q128" s="316"/>
      <c r="R128" s="316"/>
      <c r="S128" s="316"/>
      <c r="T128" s="316"/>
      <c r="U128" s="316"/>
      <c r="V128" s="316"/>
      <c r="W128" s="316"/>
      <c r="X128" s="316"/>
      <c r="Y128" s="316"/>
      <c r="Z128" s="316"/>
      <c r="AA128" s="316"/>
      <c r="AB128" s="316"/>
      <c r="AC128" s="316"/>
      <c r="AD128" s="316"/>
      <c r="AE128" s="316"/>
    </row>
    <row r="129" spans="1:33" s="55" customFormat="1">
      <c r="A129" s="190" t="s">
        <v>60</v>
      </c>
      <c r="B129" s="191"/>
      <c r="C129" s="192"/>
      <c r="D129" s="193"/>
      <c r="E129" s="194"/>
      <c r="F129" s="194"/>
      <c r="G129" s="192"/>
      <c r="H129" s="192"/>
      <c r="I129" s="195">
        <v>0.2</v>
      </c>
      <c r="J129" s="196"/>
      <c r="K129" s="683">
        <v>0</v>
      </c>
      <c r="L129" s="665">
        <f>$I$129*L123</f>
        <v>0</v>
      </c>
      <c r="M129" s="665">
        <f t="shared" ref="M129:AE129" si="40">$I$129*M123</f>
        <v>9095</v>
      </c>
      <c r="N129" s="665">
        <f t="shared" si="40"/>
        <v>9462.4380000000001</v>
      </c>
      <c r="O129" s="665">
        <f t="shared" si="40"/>
        <v>9651.6867600000005</v>
      </c>
      <c r="P129" s="665">
        <f t="shared" si="40"/>
        <v>9844.7204951999993</v>
      </c>
      <c r="Q129" s="665">
        <f t="shared" si="40"/>
        <v>10041.614905104001</v>
      </c>
      <c r="R129" s="665">
        <f t="shared" si="40"/>
        <v>10242.44720320608</v>
      </c>
      <c r="S129" s="665">
        <f t="shared" si="40"/>
        <v>10447.296147270201</v>
      </c>
      <c r="T129" s="665">
        <f t="shared" si="40"/>
        <v>10656.242070215607</v>
      </c>
      <c r="U129" s="665">
        <f t="shared" si="40"/>
        <v>10869.36691161992</v>
      </c>
      <c r="V129" s="665">
        <f t="shared" si="40"/>
        <v>11086.754249852318</v>
      </c>
      <c r="W129" s="665">
        <f t="shared" si="40"/>
        <v>11308.489334849364</v>
      </c>
      <c r="X129" s="665">
        <f t="shared" si="40"/>
        <v>11534.659121546354</v>
      </c>
      <c r="Y129" s="665">
        <f t="shared" si="40"/>
        <v>11765.352303977279</v>
      </c>
      <c r="Z129" s="665">
        <f t="shared" si="40"/>
        <v>12000.659350056825</v>
      </c>
      <c r="AA129" s="665">
        <f t="shared" si="40"/>
        <v>12240.672537057961</v>
      </c>
      <c r="AB129" s="665">
        <f t="shared" si="40"/>
        <v>12485.48598779912</v>
      </c>
      <c r="AC129" s="665">
        <f t="shared" si="40"/>
        <v>12735.195707555104</v>
      </c>
      <c r="AD129" s="665">
        <f t="shared" si="40"/>
        <v>12989.899621706207</v>
      </c>
      <c r="AE129" s="665">
        <f t="shared" si="40"/>
        <v>13249.697614140328</v>
      </c>
    </row>
    <row r="130" spans="1:33">
      <c r="A130" s="190"/>
      <c r="B130" s="191"/>
      <c r="C130" s="192"/>
      <c r="D130" s="193"/>
      <c r="E130" s="194"/>
      <c r="F130" s="194"/>
      <c r="G130" s="192"/>
      <c r="H130" s="192"/>
      <c r="I130" s="195"/>
      <c r="J130" s="196"/>
      <c r="K130" s="685"/>
      <c r="L130" s="665"/>
      <c r="M130" s="665"/>
      <c r="N130" s="665"/>
      <c r="O130" s="665"/>
      <c r="P130" s="665"/>
      <c r="Q130" s="665"/>
      <c r="R130" s="665"/>
      <c r="S130" s="665"/>
      <c r="T130" s="665"/>
      <c r="U130" s="665"/>
      <c r="V130" s="665"/>
      <c r="W130" s="665"/>
      <c r="X130" s="665"/>
      <c r="Y130" s="665"/>
      <c r="Z130" s="665"/>
      <c r="AA130" s="665"/>
      <c r="AB130" s="665"/>
      <c r="AC130" s="665"/>
      <c r="AD130" s="665"/>
      <c r="AE130" s="665"/>
    </row>
    <row r="131" spans="1:33">
      <c r="A131" s="164" t="s">
        <v>61</v>
      </c>
      <c r="B131" s="164"/>
      <c r="C131" s="75"/>
      <c r="D131" s="173"/>
      <c r="E131" s="75"/>
      <c r="F131" s="75"/>
      <c r="G131" s="75"/>
      <c r="H131" s="75"/>
      <c r="I131" s="174"/>
      <c r="J131" s="175"/>
      <c r="K131" s="685">
        <v>0</v>
      </c>
      <c r="L131" s="669">
        <f>SUM(L123,L129)</f>
        <v>0</v>
      </c>
      <c r="M131" s="669">
        <f t="shared" ref="M131:AE131" si="41">SUM(M123,M129)</f>
        <v>54570</v>
      </c>
      <c r="N131" s="669">
        <f t="shared" si="41"/>
        <v>56774.628000000004</v>
      </c>
      <c r="O131" s="669">
        <f t="shared" si="41"/>
        <v>57910.120559999996</v>
      </c>
      <c r="P131" s="669">
        <f t="shared" si="41"/>
        <v>59068.322971199988</v>
      </c>
      <c r="Q131" s="669">
        <f t="shared" si="41"/>
        <v>60249.689430623999</v>
      </c>
      <c r="R131" s="669">
        <f t="shared" si="41"/>
        <v>61454.683219236475</v>
      </c>
      <c r="S131" s="669">
        <f t="shared" si="41"/>
        <v>62683.776883621205</v>
      </c>
      <c r="T131" s="669">
        <f t="shared" si="41"/>
        <v>63937.452421293638</v>
      </c>
      <c r="U131" s="669">
        <f t="shared" si="41"/>
        <v>65216.201469719512</v>
      </c>
      <c r="V131" s="669">
        <f t="shared" si="41"/>
        <v>66520.525499113894</v>
      </c>
      <c r="W131" s="669">
        <f t="shared" si="41"/>
        <v>67850.936009096185</v>
      </c>
      <c r="X131" s="669">
        <f t="shared" si="41"/>
        <v>69207.954729278121</v>
      </c>
      <c r="Y131" s="669">
        <f t="shared" si="41"/>
        <v>70592.113823863678</v>
      </c>
      <c r="Z131" s="669">
        <f t="shared" si="41"/>
        <v>72003.956100340947</v>
      </c>
      <c r="AA131" s="669">
        <f t="shared" si="41"/>
        <v>73444.035222347768</v>
      </c>
      <c r="AB131" s="669">
        <f t="shared" si="41"/>
        <v>74912.915926794725</v>
      </c>
      <c r="AC131" s="669">
        <f t="shared" si="41"/>
        <v>76411.174245330621</v>
      </c>
      <c r="AD131" s="669">
        <f t="shared" si="41"/>
        <v>77939.397730237237</v>
      </c>
      <c r="AE131" s="669">
        <f t="shared" si="41"/>
        <v>79498.18568484197</v>
      </c>
    </row>
    <row r="132" spans="1:33">
      <c r="A132" s="183"/>
      <c r="B132" s="184"/>
      <c r="C132" s="185"/>
      <c r="D132" s="186"/>
      <c r="E132" s="185"/>
      <c r="F132" s="185"/>
      <c r="G132" s="185"/>
      <c r="H132" s="185"/>
      <c r="I132" s="187"/>
      <c r="J132" s="188"/>
      <c r="K132" s="683"/>
      <c r="L132" s="320"/>
      <c r="M132" s="320"/>
      <c r="N132" s="320"/>
      <c r="O132" s="320"/>
      <c r="P132" s="320"/>
      <c r="Q132" s="320"/>
      <c r="R132" s="320"/>
      <c r="S132" s="320"/>
      <c r="T132" s="320"/>
      <c r="U132" s="320"/>
      <c r="V132" s="320"/>
      <c r="W132" s="320"/>
      <c r="X132" s="320"/>
      <c r="Y132" s="320"/>
      <c r="Z132" s="320"/>
      <c r="AA132" s="320"/>
      <c r="AB132" s="320"/>
      <c r="AC132" s="320"/>
      <c r="AD132" s="320"/>
      <c r="AE132" s="320"/>
    </row>
    <row r="133" spans="1:33">
      <c r="A133" s="39" t="s">
        <v>4</v>
      </c>
      <c r="B133" s="39"/>
      <c r="C133" s="111"/>
      <c r="D133" s="112"/>
      <c r="E133" s="111"/>
      <c r="F133" s="111"/>
      <c r="G133" s="111"/>
      <c r="H133" s="111"/>
      <c r="I133" s="40"/>
      <c r="J133" s="113"/>
      <c r="K133" s="688"/>
      <c r="L133" s="321"/>
      <c r="M133" s="321"/>
      <c r="N133" s="321"/>
      <c r="O133" s="321"/>
      <c r="P133" s="321"/>
      <c r="Q133" s="321"/>
      <c r="R133" s="321"/>
      <c r="S133" s="321"/>
      <c r="T133" s="321"/>
      <c r="U133" s="321"/>
      <c r="V133" s="321"/>
      <c r="W133" s="321"/>
      <c r="X133" s="321"/>
      <c r="Y133" s="321"/>
      <c r="Z133" s="321"/>
      <c r="AA133" s="321"/>
      <c r="AB133" s="321"/>
      <c r="AC133" s="321"/>
      <c r="AD133" s="321"/>
      <c r="AE133" s="321"/>
    </row>
    <row r="134" spans="1:33">
      <c r="A134" s="41" t="s">
        <v>13</v>
      </c>
      <c r="B134" s="41"/>
      <c r="C134" s="105"/>
      <c r="D134" s="106"/>
      <c r="E134" s="37"/>
      <c r="F134" s="37"/>
      <c r="G134" s="37"/>
      <c r="H134" s="37"/>
      <c r="I134" s="41"/>
      <c r="J134" s="37"/>
      <c r="K134" s="683"/>
      <c r="L134" s="200"/>
      <c r="M134" s="200"/>
      <c r="N134" s="200"/>
      <c r="O134" s="200"/>
      <c r="P134" s="200"/>
      <c r="Q134" s="200"/>
      <c r="R134" s="200"/>
      <c r="S134" s="200"/>
      <c r="T134" s="200"/>
      <c r="U134" s="201"/>
      <c r="V134" s="323"/>
      <c r="W134" s="200"/>
      <c r="X134" s="200"/>
      <c r="Y134" s="200"/>
      <c r="Z134" s="200"/>
      <c r="AA134" s="200"/>
      <c r="AB134" s="200"/>
      <c r="AC134" s="200"/>
      <c r="AD134" s="200"/>
      <c r="AE134" s="201"/>
    </row>
    <row r="135" spans="1:33">
      <c r="A135" s="33" t="s">
        <v>65</v>
      </c>
      <c r="B135" s="735" t="s">
        <v>12</v>
      </c>
      <c r="C135" s="663">
        <v>65000</v>
      </c>
      <c r="D135" s="736">
        <f>C135/2080</f>
        <v>31.25</v>
      </c>
      <c r="E135" s="663">
        <v>0</v>
      </c>
      <c r="F135" s="663">
        <f>C135*$F$13</f>
        <v>26000</v>
      </c>
      <c r="G135" s="663">
        <f>SUM(C135,E135:F135)</f>
        <v>91000</v>
      </c>
      <c r="H135" s="736">
        <f>G135/2080*8</f>
        <v>350</v>
      </c>
      <c r="I135" s="764"/>
      <c r="J135" s="765"/>
      <c r="K135" s="683">
        <v>0</v>
      </c>
      <c r="L135" s="665">
        <v>0</v>
      </c>
      <c r="M135" s="665">
        <f>$H$135*M32*0.25</f>
        <v>18725</v>
      </c>
      <c r="N135" s="665">
        <f t="shared" ref="N135:AE135" si="42">$M$135*L11</f>
        <v>19099.5</v>
      </c>
      <c r="O135" s="665">
        <f t="shared" si="42"/>
        <v>19481.490000000002</v>
      </c>
      <c r="P135" s="665">
        <f t="shared" si="42"/>
        <v>19871.1198</v>
      </c>
      <c r="Q135" s="665">
        <f t="shared" si="42"/>
        <v>20268.542195999999</v>
      </c>
      <c r="R135" s="665">
        <f t="shared" si="42"/>
        <v>20673.91303992</v>
      </c>
      <c r="S135" s="665">
        <f t="shared" si="42"/>
        <v>21087.391300718402</v>
      </c>
      <c r="T135" s="665">
        <f t="shared" si="42"/>
        <v>21509.139126732767</v>
      </c>
      <c r="U135" s="665">
        <f t="shared" si="42"/>
        <v>21939.321909267426</v>
      </c>
      <c r="V135" s="665">
        <f t="shared" si="42"/>
        <v>22378.108347452773</v>
      </c>
      <c r="W135" s="665">
        <f t="shared" si="42"/>
        <v>22825.670514401831</v>
      </c>
      <c r="X135" s="665">
        <f t="shared" si="42"/>
        <v>23282.183924689867</v>
      </c>
      <c r="Y135" s="665">
        <f t="shared" si="42"/>
        <v>23747.827603183665</v>
      </c>
      <c r="Z135" s="665">
        <f t="shared" si="42"/>
        <v>24222.784155247336</v>
      </c>
      <c r="AA135" s="665">
        <f t="shared" si="42"/>
        <v>24707.239838352285</v>
      </c>
      <c r="AB135" s="665">
        <f t="shared" si="42"/>
        <v>25201.384635119332</v>
      </c>
      <c r="AC135" s="665">
        <f t="shared" si="42"/>
        <v>25705.412327821719</v>
      </c>
      <c r="AD135" s="665">
        <f t="shared" si="42"/>
        <v>26219.520574378155</v>
      </c>
      <c r="AE135" s="665">
        <f t="shared" si="42"/>
        <v>26743.910985865718</v>
      </c>
    </row>
    <row r="136" spans="1:33">
      <c r="A136" s="37" t="s">
        <v>62</v>
      </c>
      <c r="B136" s="735" t="s">
        <v>12</v>
      </c>
      <c r="C136" s="663">
        <v>85000</v>
      </c>
      <c r="D136" s="736">
        <f>C136/2080</f>
        <v>40.865384615384613</v>
      </c>
      <c r="E136" s="663">
        <f>C136*$L$15</f>
        <v>0</v>
      </c>
      <c r="F136" s="663">
        <f t="shared" ref="F136:F139" si="43">C136*$F$13</f>
        <v>34000</v>
      </c>
      <c r="G136" s="663">
        <f t="shared" ref="G136:G139" si="44">SUM(C136,E136:F136)</f>
        <v>119000</v>
      </c>
      <c r="H136" s="736">
        <f>G136/2080*8</f>
        <v>457.69230769230768</v>
      </c>
      <c r="I136" s="764"/>
      <c r="J136" s="765"/>
      <c r="K136" s="683">
        <v>0</v>
      </c>
      <c r="L136" s="665">
        <v>0</v>
      </c>
      <c r="M136" s="665">
        <f>$H$136*M32*0.1</f>
        <v>9794.6153846153848</v>
      </c>
      <c r="N136" s="665">
        <f t="shared" ref="N136:AE136" si="45">$M$136*L11</f>
        <v>9990.5076923076922</v>
      </c>
      <c r="O136" s="665">
        <f t="shared" si="45"/>
        <v>10190.317846153846</v>
      </c>
      <c r="P136" s="665">
        <f t="shared" si="45"/>
        <v>10394.124203076923</v>
      </c>
      <c r="Q136" s="665">
        <f t="shared" si="45"/>
        <v>10602.006687138461</v>
      </c>
      <c r="R136" s="665">
        <f t="shared" si="45"/>
        <v>10814.046820881231</v>
      </c>
      <c r="S136" s="665">
        <f t="shared" si="45"/>
        <v>11030.327757298855</v>
      </c>
      <c r="T136" s="665">
        <f t="shared" si="45"/>
        <v>11250.934312444833</v>
      </c>
      <c r="U136" s="665">
        <f t="shared" si="45"/>
        <v>11475.95299869373</v>
      </c>
      <c r="V136" s="665">
        <f t="shared" si="45"/>
        <v>11705.472058667605</v>
      </c>
      <c r="W136" s="665">
        <f t="shared" si="45"/>
        <v>11939.581499840959</v>
      </c>
      <c r="X136" s="665">
        <f t="shared" si="45"/>
        <v>12178.373129837777</v>
      </c>
      <c r="Y136" s="665">
        <f t="shared" si="45"/>
        <v>12421.940592434532</v>
      </c>
      <c r="Z136" s="665">
        <f t="shared" si="45"/>
        <v>12670.379404283221</v>
      </c>
      <c r="AA136" s="665">
        <f t="shared" si="45"/>
        <v>12923.786992368889</v>
      </c>
      <c r="AB136" s="665">
        <f t="shared" si="45"/>
        <v>13182.262732216266</v>
      </c>
      <c r="AC136" s="665">
        <f t="shared" si="45"/>
        <v>13445.907986860591</v>
      </c>
      <c r="AD136" s="665">
        <f t="shared" si="45"/>
        <v>13714.826146597805</v>
      </c>
      <c r="AE136" s="665">
        <f t="shared" si="45"/>
        <v>13989.122669529761</v>
      </c>
    </row>
    <row r="137" spans="1:33">
      <c r="A137" s="37" t="s">
        <v>419</v>
      </c>
      <c r="B137" s="735" t="s">
        <v>12</v>
      </c>
      <c r="C137" s="663">
        <v>75000</v>
      </c>
      <c r="D137" s="736">
        <f>C137/2080</f>
        <v>36.057692307692307</v>
      </c>
      <c r="E137" s="663">
        <f>C137*$L$15</f>
        <v>0</v>
      </c>
      <c r="F137" s="663">
        <f t="shared" si="43"/>
        <v>30000</v>
      </c>
      <c r="G137" s="663">
        <f t="shared" si="44"/>
        <v>105000</v>
      </c>
      <c r="H137" s="736">
        <f>G137/2080*8</f>
        <v>403.84615384615387</v>
      </c>
      <c r="I137" s="764"/>
      <c r="J137" s="765"/>
      <c r="K137" s="683">
        <v>0</v>
      </c>
      <c r="L137" s="665">
        <v>0</v>
      </c>
      <c r="M137" s="665">
        <f>$H$137*M32*0.1</f>
        <v>8642.3076923076933</v>
      </c>
      <c r="N137" s="665">
        <f t="shared" ref="N137:AE137" si="46">$M$137*L11</f>
        <v>8815.1538461538476</v>
      </c>
      <c r="O137" s="665">
        <f t="shared" si="46"/>
        <v>8991.4569230769248</v>
      </c>
      <c r="P137" s="665">
        <f t="shared" si="46"/>
        <v>9171.2860615384616</v>
      </c>
      <c r="Q137" s="665">
        <f t="shared" si="46"/>
        <v>9354.7117827692309</v>
      </c>
      <c r="R137" s="665">
        <f t="shared" si="46"/>
        <v>9541.8060184246169</v>
      </c>
      <c r="S137" s="665">
        <f t="shared" si="46"/>
        <v>9732.6421387931096</v>
      </c>
      <c r="T137" s="665">
        <f t="shared" si="46"/>
        <v>9927.2949815689717</v>
      </c>
      <c r="U137" s="665">
        <f t="shared" si="46"/>
        <v>10125.840881200351</v>
      </c>
      <c r="V137" s="665">
        <f t="shared" si="46"/>
        <v>10328.357698824359</v>
      </c>
      <c r="W137" s="665">
        <f t="shared" si="46"/>
        <v>10534.924852800847</v>
      </c>
      <c r="X137" s="665">
        <f t="shared" si="46"/>
        <v>10745.623349856864</v>
      </c>
      <c r="Y137" s="665">
        <f t="shared" si="46"/>
        <v>10960.535816854001</v>
      </c>
      <c r="Z137" s="665">
        <f t="shared" si="46"/>
        <v>11179.746533191079</v>
      </c>
      <c r="AA137" s="665">
        <f t="shared" si="46"/>
        <v>11403.341463854902</v>
      </c>
      <c r="AB137" s="665">
        <f t="shared" si="46"/>
        <v>11631.408293132001</v>
      </c>
      <c r="AC137" s="665">
        <f t="shared" si="46"/>
        <v>11864.03645899464</v>
      </c>
      <c r="AD137" s="665">
        <f t="shared" si="46"/>
        <v>12101.317188174535</v>
      </c>
      <c r="AE137" s="665">
        <f t="shared" si="46"/>
        <v>12343.343531938026</v>
      </c>
    </row>
    <row r="138" spans="1:33">
      <c r="A138" s="37" t="s">
        <v>63</v>
      </c>
      <c r="B138" s="735" t="s">
        <v>15</v>
      </c>
      <c r="C138" s="663">
        <v>15000</v>
      </c>
      <c r="D138" s="736">
        <f t="shared" ref="D138:D139" si="47">C138/2080</f>
        <v>7.2115384615384617</v>
      </c>
      <c r="E138" s="663">
        <f>C138*$L$15</f>
        <v>0</v>
      </c>
      <c r="F138" s="663">
        <f t="shared" si="43"/>
        <v>6000</v>
      </c>
      <c r="G138" s="663">
        <f t="shared" si="44"/>
        <v>21000</v>
      </c>
      <c r="H138" s="736">
        <f t="shared" ref="H138:H139" si="48">G138/2080*8</f>
        <v>80.769230769230774</v>
      </c>
      <c r="I138" s="764"/>
      <c r="J138" s="765"/>
      <c r="K138" s="683">
        <v>0</v>
      </c>
      <c r="L138" s="665">
        <v>0</v>
      </c>
      <c r="M138" s="665">
        <f>($H$138*M32)*0.5</f>
        <v>8642.3076923076933</v>
      </c>
      <c r="N138" s="665">
        <f t="shared" ref="N138:AE138" si="49">$M$138*L11</f>
        <v>8815.1538461538476</v>
      </c>
      <c r="O138" s="665">
        <f t="shared" si="49"/>
        <v>8991.4569230769248</v>
      </c>
      <c r="P138" s="665">
        <f t="shared" si="49"/>
        <v>9171.2860615384616</v>
      </c>
      <c r="Q138" s="665">
        <f t="shared" si="49"/>
        <v>9354.7117827692309</v>
      </c>
      <c r="R138" s="665">
        <f t="shared" si="49"/>
        <v>9541.8060184246169</v>
      </c>
      <c r="S138" s="665">
        <f t="shared" si="49"/>
        <v>9732.6421387931096</v>
      </c>
      <c r="T138" s="665">
        <f t="shared" si="49"/>
        <v>9927.2949815689717</v>
      </c>
      <c r="U138" s="665">
        <f t="shared" si="49"/>
        <v>10125.840881200351</v>
      </c>
      <c r="V138" s="665">
        <f t="shared" si="49"/>
        <v>10328.357698824359</v>
      </c>
      <c r="W138" s="665">
        <f t="shared" si="49"/>
        <v>10534.924852800847</v>
      </c>
      <c r="X138" s="665">
        <f t="shared" si="49"/>
        <v>10745.623349856864</v>
      </c>
      <c r="Y138" s="665">
        <f t="shared" si="49"/>
        <v>10960.535816854001</v>
      </c>
      <c r="Z138" s="665">
        <f t="shared" si="49"/>
        <v>11179.746533191079</v>
      </c>
      <c r="AA138" s="665">
        <f t="shared" si="49"/>
        <v>11403.341463854902</v>
      </c>
      <c r="AB138" s="665">
        <f t="shared" si="49"/>
        <v>11631.408293132001</v>
      </c>
      <c r="AC138" s="665">
        <f t="shared" si="49"/>
        <v>11864.03645899464</v>
      </c>
      <c r="AD138" s="665">
        <f t="shared" si="49"/>
        <v>12101.317188174535</v>
      </c>
      <c r="AE138" s="665">
        <f t="shared" si="49"/>
        <v>12343.343531938026</v>
      </c>
    </row>
    <row r="139" spans="1:33">
      <c r="A139" s="745" t="s">
        <v>63</v>
      </c>
      <c r="B139" s="738" t="s">
        <v>15</v>
      </c>
      <c r="C139" s="739">
        <v>15000</v>
      </c>
      <c r="D139" s="740">
        <f t="shared" si="47"/>
        <v>7.2115384615384617</v>
      </c>
      <c r="E139" s="739">
        <f>C139*$L$15</f>
        <v>0</v>
      </c>
      <c r="F139" s="739">
        <f t="shared" si="43"/>
        <v>6000</v>
      </c>
      <c r="G139" s="739">
        <f t="shared" si="44"/>
        <v>21000</v>
      </c>
      <c r="H139" s="740">
        <f t="shared" si="48"/>
        <v>80.769230769230774</v>
      </c>
      <c r="I139" s="766"/>
      <c r="J139" s="767"/>
      <c r="K139" s="741">
        <v>0</v>
      </c>
      <c r="L139" s="742">
        <v>0</v>
      </c>
      <c r="M139" s="742">
        <f>($H$139*M32)*0.5</f>
        <v>8642.3076923076933</v>
      </c>
      <c r="N139" s="742">
        <f t="shared" ref="N139:AE139" si="50">$M$139*L11</f>
        <v>8815.1538461538476</v>
      </c>
      <c r="O139" s="742">
        <f t="shared" si="50"/>
        <v>8991.4569230769248</v>
      </c>
      <c r="P139" s="742">
        <f t="shared" si="50"/>
        <v>9171.2860615384616</v>
      </c>
      <c r="Q139" s="742">
        <f t="shared" si="50"/>
        <v>9354.7117827692309</v>
      </c>
      <c r="R139" s="742">
        <f t="shared" si="50"/>
        <v>9541.8060184246169</v>
      </c>
      <c r="S139" s="742">
        <f t="shared" si="50"/>
        <v>9732.6421387931096</v>
      </c>
      <c r="T139" s="742">
        <f t="shared" si="50"/>
        <v>9927.2949815689717</v>
      </c>
      <c r="U139" s="742">
        <f t="shared" si="50"/>
        <v>10125.840881200351</v>
      </c>
      <c r="V139" s="742">
        <f t="shared" si="50"/>
        <v>10328.357698824359</v>
      </c>
      <c r="W139" s="742">
        <f t="shared" si="50"/>
        <v>10534.924852800847</v>
      </c>
      <c r="X139" s="742">
        <f t="shared" si="50"/>
        <v>10745.623349856864</v>
      </c>
      <c r="Y139" s="742">
        <f t="shared" si="50"/>
        <v>10960.535816854001</v>
      </c>
      <c r="Z139" s="742">
        <f t="shared" si="50"/>
        <v>11179.746533191079</v>
      </c>
      <c r="AA139" s="742">
        <f t="shared" si="50"/>
        <v>11403.341463854902</v>
      </c>
      <c r="AB139" s="742">
        <f t="shared" si="50"/>
        <v>11631.408293132001</v>
      </c>
      <c r="AC139" s="742">
        <f t="shared" si="50"/>
        <v>11864.03645899464</v>
      </c>
      <c r="AD139" s="742">
        <f t="shared" si="50"/>
        <v>12101.317188174535</v>
      </c>
      <c r="AE139" s="742">
        <f t="shared" si="50"/>
        <v>12343.343531938026</v>
      </c>
    </row>
    <row r="140" spans="1:33" s="56" customFormat="1" ht="14.25">
      <c r="A140" s="164" t="s">
        <v>415</v>
      </c>
      <c r="B140" s="164"/>
      <c r="C140" s="667">
        <f>SUM(C135:C139)</f>
        <v>255000</v>
      </c>
      <c r="D140" s="667"/>
      <c r="E140" s="667">
        <f>SUM(E135:E139)</f>
        <v>0</v>
      </c>
      <c r="F140" s="667">
        <f>SUM(F135:F139)</f>
        <v>102000</v>
      </c>
      <c r="G140" s="667">
        <f>SUM(G135:G139)</f>
        <v>357000</v>
      </c>
      <c r="H140" s="667">
        <f>SUM(H135:H139)</f>
        <v>1373.0769230769229</v>
      </c>
      <c r="I140" s="768"/>
      <c r="J140" s="769"/>
      <c r="K140" s="685">
        <f>SUMIF($B135:$B139,"FT",K135:K139)</f>
        <v>0</v>
      </c>
      <c r="L140" s="669">
        <f>SUMIF($B135:$B139,"FT",L135:L139)</f>
        <v>0</v>
      </c>
      <c r="M140" s="669">
        <f>SUM(M135:M139)</f>
        <v>54446.538461538468</v>
      </c>
      <c r="N140" s="669">
        <f t="shared" ref="N140:AE140" si="51">SUM(N135:N139)</f>
        <v>55535.469230769231</v>
      </c>
      <c r="O140" s="669">
        <f t="shared" si="51"/>
        <v>56646.178615384626</v>
      </c>
      <c r="P140" s="669">
        <f t="shared" si="51"/>
        <v>57779.102187692311</v>
      </c>
      <c r="Q140" s="669">
        <f t="shared" si="51"/>
        <v>58934.684231446139</v>
      </c>
      <c r="R140" s="669">
        <f t="shared" si="51"/>
        <v>60113.377916075071</v>
      </c>
      <c r="S140" s="669">
        <f t="shared" si="51"/>
        <v>61315.645474396588</v>
      </c>
      <c r="T140" s="669">
        <f t="shared" si="51"/>
        <v>62541.958383884514</v>
      </c>
      <c r="U140" s="669">
        <f t="shared" si="51"/>
        <v>63792.797551562195</v>
      </c>
      <c r="V140" s="669">
        <f t="shared" si="51"/>
        <v>65068.653502593457</v>
      </c>
      <c r="W140" s="669">
        <f t="shared" si="51"/>
        <v>66370.026572645322</v>
      </c>
      <c r="X140" s="669">
        <f t="shared" si="51"/>
        <v>67697.427104098228</v>
      </c>
      <c r="Y140" s="669">
        <f t="shared" si="51"/>
        <v>69051.375646180197</v>
      </c>
      <c r="Z140" s="669">
        <f t="shared" si="51"/>
        <v>70432.403159103793</v>
      </c>
      <c r="AA140" s="669">
        <f t="shared" si="51"/>
        <v>71841.051222285882</v>
      </c>
      <c r="AB140" s="669">
        <f t="shared" si="51"/>
        <v>73277.872246731597</v>
      </c>
      <c r="AC140" s="669">
        <f t="shared" si="51"/>
        <v>74743.429691666228</v>
      </c>
      <c r="AD140" s="669">
        <f t="shared" si="51"/>
        <v>76238.298285499564</v>
      </c>
      <c r="AE140" s="669">
        <f t="shared" si="51"/>
        <v>77763.064251209551</v>
      </c>
    </row>
    <row r="141" spans="1:33">
      <c r="A141" s="37"/>
      <c r="B141" s="37"/>
      <c r="C141" s="663"/>
      <c r="D141" s="663"/>
      <c r="E141" s="663"/>
      <c r="F141" s="663"/>
      <c r="G141" s="663"/>
      <c r="H141" s="663"/>
      <c r="I141" s="107"/>
      <c r="J141" s="108"/>
      <c r="K141" s="683"/>
      <c r="L141" s="666"/>
      <c r="M141" s="666"/>
      <c r="N141" s="666"/>
      <c r="O141" s="666"/>
      <c r="P141" s="666"/>
      <c r="Q141" s="666"/>
      <c r="R141" s="666"/>
      <c r="S141" s="666"/>
      <c r="T141" s="666"/>
      <c r="U141" s="666"/>
      <c r="V141" s="666"/>
      <c r="W141" s="666"/>
      <c r="X141" s="666"/>
      <c r="Y141" s="666"/>
      <c r="Z141" s="666"/>
      <c r="AA141" s="666"/>
      <c r="AB141" s="666"/>
      <c r="AC141" s="666"/>
      <c r="AD141" s="666"/>
      <c r="AE141" s="666"/>
    </row>
    <row r="142" spans="1:33">
      <c r="A142" s="37" t="s">
        <v>11</v>
      </c>
      <c r="B142" s="37"/>
      <c r="C142" s="57"/>
      <c r="E142" s="57"/>
      <c r="F142" s="57"/>
      <c r="G142" s="57"/>
      <c r="H142" s="57"/>
      <c r="I142" s="43"/>
      <c r="J142" s="42"/>
      <c r="K142" s="770">
        <f>COUNTIF(K135:K139,"&gt;100")</f>
        <v>0</v>
      </c>
      <c r="L142" s="771">
        <f>COUNTIF(L135:L137,"&gt;100")</f>
        <v>0</v>
      </c>
      <c r="M142" s="771">
        <f t="shared" ref="M142:AE142" si="52">COUNTIF(M135:M137,"&gt;100")</f>
        <v>3</v>
      </c>
      <c r="N142" s="771">
        <f t="shared" si="52"/>
        <v>3</v>
      </c>
      <c r="O142" s="771">
        <f t="shared" si="52"/>
        <v>3</v>
      </c>
      <c r="P142" s="771">
        <f t="shared" si="52"/>
        <v>3</v>
      </c>
      <c r="Q142" s="771">
        <f t="shared" si="52"/>
        <v>3</v>
      </c>
      <c r="R142" s="771">
        <f t="shared" si="52"/>
        <v>3</v>
      </c>
      <c r="S142" s="771">
        <f t="shared" si="52"/>
        <v>3</v>
      </c>
      <c r="T142" s="771">
        <f t="shared" si="52"/>
        <v>3</v>
      </c>
      <c r="U142" s="771">
        <f t="shared" si="52"/>
        <v>3</v>
      </c>
      <c r="V142" s="771">
        <f t="shared" si="52"/>
        <v>3</v>
      </c>
      <c r="W142" s="771">
        <f t="shared" si="52"/>
        <v>3</v>
      </c>
      <c r="X142" s="771">
        <f t="shared" si="52"/>
        <v>3</v>
      </c>
      <c r="Y142" s="771">
        <f t="shared" si="52"/>
        <v>3</v>
      </c>
      <c r="Z142" s="771">
        <f t="shared" si="52"/>
        <v>3</v>
      </c>
      <c r="AA142" s="771">
        <f t="shared" si="52"/>
        <v>3</v>
      </c>
      <c r="AB142" s="771">
        <f t="shared" si="52"/>
        <v>3</v>
      </c>
      <c r="AC142" s="771">
        <f t="shared" si="52"/>
        <v>3</v>
      </c>
      <c r="AD142" s="771">
        <f t="shared" si="52"/>
        <v>3</v>
      </c>
      <c r="AE142" s="771">
        <f t="shared" si="52"/>
        <v>3</v>
      </c>
      <c r="AF142" s="772"/>
      <c r="AG142" s="772"/>
    </row>
    <row r="143" spans="1:33">
      <c r="A143" s="745" t="s">
        <v>10</v>
      </c>
      <c r="B143" s="745"/>
      <c r="C143" s="746"/>
      <c r="D143" s="116"/>
      <c r="E143" s="746"/>
      <c r="F143" s="746"/>
      <c r="G143" s="746"/>
      <c r="H143" s="746"/>
      <c r="I143" s="747"/>
      <c r="J143" s="748"/>
      <c r="K143" s="773">
        <v>0</v>
      </c>
      <c r="L143" s="774">
        <f>COUNTIF(L138:L139,"&gt;100")</f>
        <v>0</v>
      </c>
      <c r="M143" s="774">
        <f t="shared" ref="M143:AE143" si="53">COUNTIF(M138:M139,"&gt;100")</f>
        <v>2</v>
      </c>
      <c r="N143" s="774">
        <f t="shared" si="53"/>
        <v>2</v>
      </c>
      <c r="O143" s="774">
        <f t="shared" si="53"/>
        <v>2</v>
      </c>
      <c r="P143" s="774">
        <f t="shared" si="53"/>
        <v>2</v>
      </c>
      <c r="Q143" s="774">
        <f t="shared" si="53"/>
        <v>2</v>
      </c>
      <c r="R143" s="774">
        <f t="shared" si="53"/>
        <v>2</v>
      </c>
      <c r="S143" s="774">
        <f t="shared" si="53"/>
        <v>2</v>
      </c>
      <c r="T143" s="774">
        <f t="shared" si="53"/>
        <v>2</v>
      </c>
      <c r="U143" s="774">
        <f t="shared" si="53"/>
        <v>2</v>
      </c>
      <c r="V143" s="774">
        <f t="shared" si="53"/>
        <v>2</v>
      </c>
      <c r="W143" s="774">
        <f t="shared" si="53"/>
        <v>2</v>
      </c>
      <c r="X143" s="774">
        <f t="shared" si="53"/>
        <v>2</v>
      </c>
      <c r="Y143" s="774">
        <f t="shared" si="53"/>
        <v>2</v>
      </c>
      <c r="Z143" s="774">
        <f t="shared" si="53"/>
        <v>2</v>
      </c>
      <c r="AA143" s="774">
        <f t="shared" si="53"/>
        <v>2</v>
      </c>
      <c r="AB143" s="774">
        <f t="shared" si="53"/>
        <v>2</v>
      </c>
      <c r="AC143" s="774">
        <f t="shared" si="53"/>
        <v>2</v>
      </c>
      <c r="AD143" s="774">
        <f t="shared" si="53"/>
        <v>2</v>
      </c>
      <c r="AE143" s="774">
        <f t="shared" si="53"/>
        <v>2</v>
      </c>
      <c r="AF143" s="772"/>
      <c r="AG143" s="772"/>
    </row>
    <row r="144" spans="1:33" s="56" customFormat="1" ht="14.25">
      <c r="A144" s="164" t="s">
        <v>9</v>
      </c>
      <c r="B144" s="164"/>
      <c r="C144" s="75"/>
      <c r="D144" s="173"/>
      <c r="E144" s="75"/>
      <c r="F144" s="75"/>
      <c r="G144" s="75"/>
      <c r="H144" s="75"/>
      <c r="I144" s="174"/>
      <c r="J144" s="181"/>
      <c r="K144" s="775">
        <v>0</v>
      </c>
      <c r="L144" s="776">
        <f>SUM(L142:L143)</f>
        <v>0</v>
      </c>
      <c r="M144" s="776">
        <f t="shared" ref="M144:AE144" si="54">COUNTIF(M135:M139,"&gt;0")</f>
        <v>5</v>
      </c>
      <c r="N144" s="776">
        <f t="shared" si="54"/>
        <v>5</v>
      </c>
      <c r="O144" s="776">
        <f t="shared" si="54"/>
        <v>5</v>
      </c>
      <c r="P144" s="776">
        <f t="shared" si="54"/>
        <v>5</v>
      </c>
      <c r="Q144" s="776">
        <f t="shared" si="54"/>
        <v>5</v>
      </c>
      <c r="R144" s="776">
        <f t="shared" si="54"/>
        <v>5</v>
      </c>
      <c r="S144" s="776">
        <f t="shared" si="54"/>
        <v>5</v>
      </c>
      <c r="T144" s="776">
        <f t="shared" si="54"/>
        <v>5</v>
      </c>
      <c r="U144" s="776">
        <f t="shared" si="54"/>
        <v>5</v>
      </c>
      <c r="V144" s="776">
        <f t="shared" si="54"/>
        <v>5</v>
      </c>
      <c r="W144" s="776">
        <f t="shared" si="54"/>
        <v>5</v>
      </c>
      <c r="X144" s="776">
        <f t="shared" si="54"/>
        <v>5</v>
      </c>
      <c r="Y144" s="776">
        <f t="shared" si="54"/>
        <v>5</v>
      </c>
      <c r="Z144" s="776">
        <f t="shared" si="54"/>
        <v>5</v>
      </c>
      <c r="AA144" s="776">
        <f t="shared" si="54"/>
        <v>5</v>
      </c>
      <c r="AB144" s="776">
        <f t="shared" si="54"/>
        <v>5</v>
      </c>
      <c r="AC144" s="776">
        <f t="shared" si="54"/>
        <v>5</v>
      </c>
      <c r="AD144" s="776">
        <f t="shared" si="54"/>
        <v>5</v>
      </c>
      <c r="AE144" s="776">
        <f t="shared" si="54"/>
        <v>5</v>
      </c>
      <c r="AF144" s="723"/>
      <c r="AG144" s="723"/>
    </row>
    <row r="145" spans="1:33">
      <c r="B145" s="37"/>
      <c r="C145" s="57"/>
      <c r="E145" s="57"/>
      <c r="F145" s="57"/>
      <c r="G145" s="57"/>
      <c r="H145" s="57"/>
      <c r="I145" s="43"/>
      <c r="J145" s="42"/>
      <c r="K145" s="683"/>
      <c r="L145" s="316"/>
      <c r="M145" s="316"/>
      <c r="N145" s="316"/>
      <c r="O145" s="316"/>
      <c r="P145" s="316"/>
      <c r="Q145" s="316"/>
      <c r="R145" s="316"/>
      <c r="S145" s="316"/>
      <c r="T145" s="316"/>
      <c r="U145" s="316"/>
      <c r="V145" s="316"/>
      <c r="W145" s="316"/>
      <c r="X145" s="316"/>
      <c r="Y145" s="316"/>
      <c r="Z145" s="316"/>
      <c r="AA145" s="316"/>
      <c r="AB145" s="316"/>
      <c r="AC145" s="316"/>
      <c r="AD145" s="316"/>
      <c r="AE145" s="316"/>
    </row>
    <row r="146" spans="1:33">
      <c r="A146" s="33" t="s">
        <v>60</v>
      </c>
      <c r="B146" s="191"/>
      <c r="C146" s="192"/>
      <c r="D146" s="193"/>
      <c r="E146" s="194"/>
      <c r="F146" s="194"/>
      <c r="G146" s="192"/>
      <c r="H146" s="192"/>
      <c r="I146" s="195">
        <v>0.2</v>
      </c>
      <c r="J146" s="196"/>
      <c r="K146" s="689">
        <v>0</v>
      </c>
      <c r="L146" s="665">
        <f t="shared" ref="L146:AE146" si="55">L140*$I$146</f>
        <v>0</v>
      </c>
      <c r="M146" s="665">
        <f t="shared" si="55"/>
        <v>10889.307692307695</v>
      </c>
      <c r="N146" s="665">
        <f t="shared" si="55"/>
        <v>11107.093846153846</v>
      </c>
      <c r="O146" s="665">
        <f t="shared" si="55"/>
        <v>11329.235723076927</v>
      </c>
      <c r="P146" s="665">
        <f t="shared" si="55"/>
        <v>11555.820437538463</v>
      </c>
      <c r="Q146" s="665">
        <f t="shared" si="55"/>
        <v>11786.936846289229</v>
      </c>
      <c r="R146" s="665">
        <f t="shared" si="55"/>
        <v>12022.675583215016</v>
      </c>
      <c r="S146" s="665">
        <f t="shared" si="55"/>
        <v>12263.129094879318</v>
      </c>
      <c r="T146" s="665">
        <f t="shared" si="55"/>
        <v>12508.391676776904</v>
      </c>
      <c r="U146" s="665">
        <f t="shared" si="55"/>
        <v>12758.55951031244</v>
      </c>
      <c r="V146" s="665">
        <f t="shared" si="55"/>
        <v>13013.730700518692</v>
      </c>
      <c r="W146" s="665">
        <f t="shared" si="55"/>
        <v>13274.005314529066</v>
      </c>
      <c r="X146" s="665">
        <f t="shared" si="55"/>
        <v>13539.485420819647</v>
      </c>
      <c r="Y146" s="665">
        <f t="shared" si="55"/>
        <v>13810.275129236041</v>
      </c>
      <c r="Z146" s="665">
        <f t="shared" si="55"/>
        <v>14086.480631820759</v>
      </c>
      <c r="AA146" s="665">
        <f t="shared" si="55"/>
        <v>14368.210244457177</v>
      </c>
      <c r="AB146" s="665">
        <f t="shared" si="55"/>
        <v>14655.574449346321</v>
      </c>
      <c r="AC146" s="665">
        <f t="shared" si="55"/>
        <v>14948.685938333247</v>
      </c>
      <c r="AD146" s="665">
        <f t="shared" si="55"/>
        <v>15247.659657099914</v>
      </c>
      <c r="AE146" s="665">
        <f t="shared" si="55"/>
        <v>15552.612850241911</v>
      </c>
    </row>
    <row r="147" spans="1:33">
      <c r="B147" s="191"/>
      <c r="C147" s="192"/>
      <c r="D147" s="193"/>
      <c r="E147" s="194"/>
      <c r="F147" s="194"/>
      <c r="G147" s="192"/>
      <c r="H147" s="192"/>
      <c r="I147" s="195"/>
      <c r="J147" s="196"/>
      <c r="K147" s="689"/>
      <c r="L147" s="665"/>
      <c r="M147" s="665"/>
      <c r="N147" s="665"/>
      <c r="O147" s="665"/>
      <c r="P147" s="665"/>
      <c r="Q147" s="665"/>
      <c r="R147" s="665"/>
      <c r="S147" s="665"/>
      <c r="T147" s="665"/>
      <c r="U147" s="665"/>
      <c r="V147" s="665"/>
      <c r="W147" s="665"/>
      <c r="X147" s="665"/>
      <c r="Y147" s="665"/>
      <c r="Z147" s="665"/>
      <c r="AA147" s="665"/>
      <c r="AB147" s="665"/>
      <c r="AC147" s="665"/>
      <c r="AD147" s="665"/>
      <c r="AE147" s="665"/>
    </row>
    <row r="148" spans="1:33" s="197" customFormat="1" ht="14.25">
      <c r="A148" s="197" t="s">
        <v>68</v>
      </c>
      <c r="D148" s="198"/>
      <c r="K148" s="690"/>
      <c r="L148" s="677"/>
      <c r="M148" s="677"/>
      <c r="N148" s="677"/>
      <c r="O148" s="677"/>
      <c r="P148" s="677"/>
      <c r="Q148" s="677"/>
      <c r="R148" s="677"/>
      <c r="S148" s="677"/>
      <c r="T148" s="677"/>
      <c r="U148" s="677"/>
      <c r="V148" s="677"/>
      <c r="W148" s="677"/>
      <c r="X148" s="677"/>
      <c r="Y148" s="677"/>
      <c r="Z148" s="677"/>
      <c r="AA148" s="677"/>
      <c r="AB148" s="677"/>
      <c r="AC148" s="677"/>
      <c r="AD148" s="677"/>
      <c r="AE148" s="677"/>
    </row>
    <row r="149" spans="1:33">
      <c r="A149" s="37" t="s">
        <v>423</v>
      </c>
      <c r="B149" s="37"/>
      <c r="C149" s="110"/>
      <c r="D149" s="106"/>
      <c r="E149" s="57"/>
      <c r="F149" s="57"/>
      <c r="G149" s="57"/>
      <c r="H149" s="57"/>
      <c r="I149" s="49"/>
      <c r="J149" s="44"/>
      <c r="K149" s="683">
        <f>COUNTIF(K$115:K$122,"&gt;0")*$J149*R$9</f>
        <v>0</v>
      </c>
      <c r="L149" s="666">
        <v>0</v>
      </c>
      <c r="M149" s="666">
        <v>10000</v>
      </c>
      <c r="N149" s="666">
        <f t="shared" ref="N149:AE149" si="56">$M$149*L11</f>
        <v>10200</v>
      </c>
      <c r="O149" s="666">
        <f t="shared" si="56"/>
        <v>10404</v>
      </c>
      <c r="P149" s="666">
        <f t="shared" si="56"/>
        <v>10612.08</v>
      </c>
      <c r="Q149" s="666">
        <f t="shared" si="56"/>
        <v>10824.321599999999</v>
      </c>
      <c r="R149" s="666">
        <f t="shared" si="56"/>
        <v>11040.808032000001</v>
      </c>
      <c r="S149" s="666">
        <f t="shared" si="56"/>
        <v>11261.62419264</v>
      </c>
      <c r="T149" s="666">
        <f t="shared" si="56"/>
        <v>11486.8566764928</v>
      </c>
      <c r="U149" s="666">
        <f t="shared" si="56"/>
        <v>11716.593810022658</v>
      </c>
      <c r="V149" s="666">
        <f t="shared" si="56"/>
        <v>11950.92568622311</v>
      </c>
      <c r="W149" s="666">
        <f t="shared" si="56"/>
        <v>12189.944199947573</v>
      </c>
      <c r="X149" s="666">
        <f t="shared" si="56"/>
        <v>12433.743083946525</v>
      </c>
      <c r="Y149" s="666">
        <f t="shared" si="56"/>
        <v>12682.417945625455</v>
      </c>
      <c r="Z149" s="666">
        <f t="shared" si="56"/>
        <v>12936.066304537962</v>
      </c>
      <c r="AA149" s="666">
        <f t="shared" si="56"/>
        <v>13194.787630628723</v>
      </c>
      <c r="AB149" s="666">
        <f t="shared" si="56"/>
        <v>13458.683383241299</v>
      </c>
      <c r="AC149" s="666">
        <f t="shared" si="56"/>
        <v>13727.857050906125</v>
      </c>
      <c r="AD149" s="666">
        <f t="shared" si="56"/>
        <v>14002.414191924248</v>
      </c>
      <c r="AE149" s="666">
        <f t="shared" si="56"/>
        <v>14282.462475762733</v>
      </c>
    </row>
    <row r="150" spans="1:33">
      <c r="A150" s="37" t="s">
        <v>67</v>
      </c>
      <c r="B150" s="37"/>
      <c r="C150" s="110"/>
      <c r="D150" s="106"/>
      <c r="E150" s="57"/>
      <c r="F150" s="57"/>
      <c r="G150" s="57"/>
      <c r="H150" s="57"/>
      <c r="I150" s="51"/>
      <c r="J150" s="44"/>
      <c r="K150" s="683">
        <v>0</v>
      </c>
      <c r="L150" s="666">
        <v>0</v>
      </c>
      <c r="M150" s="666">
        <v>10000</v>
      </c>
      <c r="N150" s="666">
        <f t="shared" ref="N150:AE150" si="57">$M$150*L11</f>
        <v>10200</v>
      </c>
      <c r="O150" s="666">
        <f t="shared" si="57"/>
        <v>10404</v>
      </c>
      <c r="P150" s="666">
        <f t="shared" si="57"/>
        <v>10612.08</v>
      </c>
      <c r="Q150" s="666">
        <f t="shared" si="57"/>
        <v>10824.321599999999</v>
      </c>
      <c r="R150" s="666">
        <f t="shared" si="57"/>
        <v>11040.808032000001</v>
      </c>
      <c r="S150" s="666">
        <f t="shared" si="57"/>
        <v>11261.62419264</v>
      </c>
      <c r="T150" s="666">
        <f t="shared" si="57"/>
        <v>11486.8566764928</v>
      </c>
      <c r="U150" s="666">
        <f t="shared" si="57"/>
        <v>11716.593810022658</v>
      </c>
      <c r="V150" s="666">
        <f t="shared" si="57"/>
        <v>11950.92568622311</v>
      </c>
      <c r="W150" s="666">
        <f t="shared" si="57"/>
        <v>12189.944199947573</v>
      </c>
      <c r="X150" s="666">
        <f t="shared" si="57"/>
        <v>12433.743083946525</v>
      </c>
      <c r="Y150" s="666">
        <f t="shared" si="57"/>
        <v>12682.417945625455</v>
      </c>
      <c r="Z150" s="666">
        <f t="shared" si="57"/>
        <v>12936.066304537962</v>
      </c>
      <c r="AA150" s="666">
        <f t="shared" si="57"/>
        <v>13194.787630628723</v>
      </c>
      <c r="AB150" s="666">
        <f t="shared" si="57"/>
        <v>13458.683383241299</v>
      </c>
      <c r="AC150" s="666">
        <f t="shared" si="57"/>
        <v>13727.857050906125</v>
      </c>
      <c r="AD150" s="666">
        <f t="shared" si="57"/>
        <v>14002.414191924248</v>
      </c>
      <c r="AE150" s="666">
        <f t="shared" si="57"/>
        <v>14282.462475762733</v>
      </c>
    </row>
    <row r="151" spans="1:33">
      <c r="A151" s="180" t="s">
        <v>2</v>
      </c>
      <c r="B151" s="777"/>
      <c r="C151" s="778"/>
      <c r="D151" s="779"/>
      <c r="E151" s="746"/>
      <c r="F151" s="746"/>
      <c r="G151" s="778"/>
      <c r="H151" s="778"/>
      <c r="I151" s="780"/>
      <c r="J151" s="781"/>
      <c r="K151" s="741">
        <v>0</v>
      </c>
      <c r="L151" s="742">
        <v>0</v>
      </c>
      <c r="M151" s="742">
        <v>0</v>
      </c>
      <c r="N151" s="742">
        <v>0</v>
      </c>
      <c r="O151" s="742">
        <v>0</v>
      </c>
      <c r="P151" s="742">
        <v>0</v>
      </c>
      <c r="Q151" s="742">
        <v>0</v>
      </c>
      <c r="R151" s="742">
        <v>0</v>
      </c>
      <c r="S151" s="742">
        <v>0</v>
      </c>
      <c r="T151" s="742">
        <v>0</v>
      </c>
      <c r="U151" s="742">
        <v>0</v>
      </c>
      <c r="V151" s="742">
        <v>0</v>
      </c>
      <c r="W151" s="742">
        <v>0</v>
      </c>
      <c r="X151" s="742">
        <v>0</v>
      </c>
      <c r="Y151" s="742">
        <v>0</v>
      </c>
      <c r="Z151" s="742">
        <v>0</v>
      </c>
      <c r="AA151" s="742">
        <v>0</v>
      </c>
      <c r="AB151" s="742">
        <v>0</v>
      </c>
      <c r="AC151" s="742">
        <v>0</v>
      </c>
      <c r="AD151" s="742">
        <v>0</v>
      </c>
      <c r="AE151" s="742">
        <v>0</v>
      </c>
    </row>
    <row r="152" spans="1:33" s="56" customFormat="1" ht="14.25">
      <c r="A152" s="164" t="s">
        <v>78</v>
      </c>
      <c r="B152" s="164"/>
      <c r="C152" s="75"/>
      <c r="D152" s="173"/>
      <c r="E152" s="75"/>
      <c r="F152" s="75"/>
      <c r="G152" s="75"/>
      <c r="H152" s="75"/>
      <c r="I152" s="174"/>
      <c r="J152" s="175"/>
      <c r="K152" s="685">
        <v>0</v>
      </c>
      <c r="L152" s="669">
        <f t="shared" ref="L152:AE152" si="58">SUM(L149:L151)</f>
        <v>0</v>
      </c>
      <c r="M152" s="669">
        <f t="shared" si="58"/>
        <v>20000</v>
      </c>
      <c r="N152" s="669">
        <f t="shared" si="58"/>
        <v>20400</v>
      </c>
      <c r="O152" s="669">
        <f t="shared" si="58"/>
        <v>20808</v>
      </c>
      <c r="P152" s="669">
        <f t="shared" si="58"/>
        <v>21224.16</v>
      </c>
      <c r="Q152" s="669">
        <f t="shared" si="58"/>
        <v>21648.643199999999</v>
      </c>
      <c r="R152" s="669">
        <f t="shared" si="58"/>
        <v>22081.616064000002</v>
      </c>
      <c r="S152" s="669">
        <f t="shared" si="58"/>
        <v>22523.24838528</v>
      </c>
      <c r="T152" s="669">
        <f t="shared" si="58"/>
        <v>22973.7133529856</v>
      </c>
      <c r="U152" s="669">
        <f t="shared" si="58"/>
        <v>23433.187620045315</v>
      </c>
      <c r="V152" s="669">
        <f t="shared" si="58"/>
        <v>23901.851372446221</v>
      </c>
      <c r="W152" s="669">
        <f t="shared" si="58"/>
        <v>24379.888399895146</v>
      </c>
      <c r="X152" s="669">
        <f t="shared" si="58"/>
        <v>24867.48616789305</v>
      </c>
      <c r="Y152" s="669">
        <f t="shared" si="58"/>
        <v>25364.83589125091</v>
      </c>
      <c r="Z152" s="669">
        <f t="shared" si="58"/>
        <v>25872.132609075925</v>
      </c>
      <c r="AA152" s="669">
        <f t="shared" si="58"/>
        <v>26389.575261257447</v>
      </c>
      <c r="AB152" s="669">
        <f t="shared" si="58"/>
        <v>26917.366766482599</v>
      </c>
      <c r="AC152" s="669">
        <f t="shared" si="58"/>
        <v>27455.714101812249</v>
      </c>
      <c r="AD152" s="669">
        <f t="shared" si="58"/>
        <v>28004.828383848497</v>
      </c>
      <c r="AE152" s="669">
        <f t="shared" si="58"/>
        <v>28564.924951525467</v>
      </c>
    </row>
    <row r="153" spans="1:33" s="56" customFormat="1" ht="14.25">
      <c r="A153" s="164"/>
      <c r="B153" s="164"/>
      <c r="C153" s="75"/>
      <c r="D153" s="173"/>
      <c r="E153" s="75"/>
      <c r="F153" s="75"/>
      <c r="G153" s="75"/>
      <c r="H153" s="75"/>
      <c r="I153" s="174"/>
      <c r="J153" s="175"/>
      <c r="K153" s="685"/>
      <c r="L153" s="669"/>
      <c r="M153" s="669"/>
      <c r="N153" s="669"/>
      <c r="O153" s="669"/>
      <c r="P153" s="669"/>
      <c r="Q153" s="669"/>
      <c r="R153" s="669"/>
      <c r="S153" s="669"/>
      <c r="T153" s="669"/>
      <c r="U153" s="669"/>
      <c r="V153" s="669"/>
      <c r="W153" s="669"/>
      <c r="X153" s="669"/>
      <c r="Y153" s="669"/>
      <c r="Z153" s="669"/>
      <c r="AA153" s="669"/>
      <c r="AB153" s="669"/>
      <c r="AC153" s="669"/>
      <c r="AD153" s="669"/>
      <c r="AE153" s="669"/>
    </row>
    <row r="154" spans="1:33" s="56" customFormat="1" ht="14.25">
      <c r="A154" s="164" t="s">
        <v>66</v>
      </c>
      <c r="B154" s="164"/>
      <c r="C154" s="75"/>
      <c r="D154" s="173"/>
      <c r="E154" s="75"/>
      <c r="F154" s="75"/>
      <c r="G154" s="75"/>
      <c r="H154" s="75"/>
      <c r="I154" s="174"/>
      <c r="J154" s="175"/>
      <c r="K154" s="685">
        <v>0</v>
      </c>
      <c r="L154" s="669">
        <f>SUM(L140,L152)</f>
        <v>0</v>
      </c>
      <c r="M154" s="669">
        <f>SUM(M140,M146,M152)</f>
        <v>85335.846153846156</v>
      </c>
      <c r="N154" s="669">
        <f t="shared" ref="N154:AE154" si="59">SUM(N140,N146,N152)</f>
        <v>87042.563076923077</v>
      </c>
      <c r="O154" s="669">
        <f t="shared" si="59"/>
        <v>88783.41433846156</v>
      </c>
      <c r="P154" s="669">
        <f t="shared" si="59"/>
        <v>90559.082625230774</v>
      </c>
      <c r="Q154" s="669">
        <f t="shared" si="59"/>
        <v>92370.264277735376</v>
      </c>
      <c r="R154" s="669">
        <f t="shared" si="59"/>
        <v>94217.669563290081</v>
      </c>
      <c r="S154" s="669">
        <f t="shared" si="59"/>
        <v>96102.022954555898</v>
      </c>
      <c r="T154" s="669">
        <f t="shared" si="59"/>
        <v>98024.063413647003</v>
      </c>
      <c r="U154" s="669">
        <f t="shared" si="59"/>
        <v>99984.544681919942</v>
      </c>
      <c r="V154" s="669">
        <f t="shared" si="59"/>
        <v>101984.23557555837</v>
      </c>
      <c r="W154" s="669">
        <f t="shared" si="59"/>
        <v>104023.92028706953</v>
      </c>
      <c r="X154" s="669">
        <f t="shared" si="59"/>
        <v>106104.39869281092</v>
      </c>
      <c r="Y154" s="669">
        <f t="shared" si="59"/>
        <v>108226.48666666714</v>
      </c>
      <c r="Z154" s="669">
        <f t="shared" si="59"/>
        <v>110391.01640000047</v>
      </c>
      <c r="AA154" s="669">
        <f t="shared" si="59"/>
        <v>112598.8367280005</v>
      </c>
      <c r="AB154" s="669">
        <f t="shared" si="59"/>
        <v>114850.8134625605</v>
      </c>
      <c r="AC154" s="669">
        <f t="shared" si="59"/>
        <v>117147.82973181173</v>
      </c>
      <c r="AD154" s="669">
        <f t="shared" si="59"/>
        <v>119490.78632644797</v>
      </c>
      <c r="AE154" s="669">
        <f t="shared" si="59"/>
        <v>121880.60205297693</v>
      </c>
    </row>
    <row r="155" spans="1:33" s="56" customFormat="1" ht="14.25">
      <c r="A155" s="164"/>
      <c r="B155" s="164"/>
      <c r="C155" s="75"/>
      <c r="D155" s="173"/>
      <c r="E155" s="75"/>
      <c r="F155" s="75"/>
      <c r="G155" s="75"/>
      <c r="H155" s="75"/>
      <c r="I155" s="174"/>
      <c r="J155" s="175"/>
      <c r="K155" s="685"/>
      <c r="L155" s="669"/>
      <c r="M155" s="669"/>
      <c r="N155" s="669"/>
      <c r="O155" s="669"/>
      <c r="P155" s="669"/>
      <c r="Q155" s="669"/>
      <c r="R155" s="669"/>
      <c r="S155" s="669"/>
      <c r="T155" s="669"/>
      <c r="U155" s="669"/>
      <c r="V155" s="669"/>
      <c r="W155" s="669"/>
      <c r="X155" s="669"/>
      <c r="Y155" s="669"/>
      <c r="Z155" s="669"/>
      <c r="AA155" s="669"/>
      <c r="AB155" s="669"/>
      <c r="AC155" s="669"/>
      <c r="AD155" s="669"/>
      <c r="AE155" s="669"/>
    </row>
    <row r="156" spans="1:33">
      <c r="A156" s="47" t="s">
        <v>7</v>
      </c>
      <c r="B156" s="47" t="s">
        <v>7</v>
      </c>
      <c r="C156" s="78" t="s">
        <v>7</v>
      </c>
      <c r="D156" s="100"/>
      <c r="E156" s="78" t="s">
        <v>7</v>
      </c>
      <c r="F156" s="78"/>
      <c r="G156" s="78" t="s">
        <v>7</v>
      </c>
      <c r="H156" s="78"/>
      <c r="I156" s="52" t="s">
        <v>7</v>
      </c>
      <c r="J156" s="114"/>
      <c r="K156" s="673"/>
      <c r="L156" s="672"/>
      <c r="M156" s="672"/>
      <c r="N156" s="672"/>
      <c r="O156" s="672"/>
      <c r="P156" s="672"/>
      <c r="Q156" s="672"/>
      <c r="R156" s="672"/>
      <c r="S156" s="672"/>
      <c r="T156" s="672"/>
      <c r="U156" s="672"/>
      <c r="V156" s="672"/>
      <c r="W156" s="672"/>
      <c r="X156" s="672"/>
      <c r="Y156" s="672"/>
      <c r="Z156" s="672"/>
      <c r="AA156" s="672"/>
      <c r="AB156" s="672"/>
      <c r="AC156" s="672"/>
      <c r="AD156" s="672"/>
      <c r="AE156" s="672"/>
    </row>
    <row r="157" spans="1:33">
      <c r="A157" s="47"/>
      <c r="B157" s="47"/>
      <c r="C157" s="78"/>
      <c r="D157" s="100"/>
      <c r="E157" s="78"/>
      <c r="F157" s="78"/>
      <c r="G157" s="78"/>
      <c r="H157" s="78"/>
      <c r="I157" s="52"/>
      <c r="J157" s="114"/>
      <c r="K157" s="664"/>
      <c r="L157" s="666"/>
      <c r="M157" s="666"/>
      <c r="N157" s="666"/>
      <c r="O157" s="666"/>
      <c r="P157" s="666"/>
      <c r="Q157" s="666"/>
      <c r="R157" s="666"/>
      <c r="S157" s="666"/>
      <c r="T157" s="666"/>
      <c r="U157" s="666"/>
      <c r="V157" s="666"/>
      <c r="W157" s="666"/>
      <c r="X157" s="666"/>
      <c r="Y157" s="666"/>
      <c r="Z157" s="666"/>
      <c r="AA157" s="666"/>
      <c r="AB157" s="666"/>
      <c r="AC157" s="666"/>
      <c r="AD157" s="666"/>
      <c r="AE157" s="666"/>
    </row>
    <row r="158" spans="1:33" s="56" customFormat="1" ht="14.25">
      <c r="A158" s="203" t="s">
        <v>79</v>
      </c>
      <c r="B158" s="203"/>
      <c r="C158" s="204"/>
      <c r="D158" s="205"/>
      <c r="E158" s="204"/>
      <c r="F158" s="204"/>
      <c r="G158" s="204"/>
      <c r="H158" s="204"/>
      <c r="I158" s="206"/>
      <c r="J158" s="207"/>
      <c r="K158" s="675">
        <v>0</v>
      </c>
      <c r="L158" s="676">
        <f t="shared" ref="L158:AE158" si="60">SUM(L131,L154)</f>
        <v>0</v>
      </c>
      <c r="M158" s="676">
        <f t="shared" si="60"/>
        <v>139905.84615384616</v>
      </c>
      <c r="N158" s="676">
        <f t="shared" si="60"/>
        <v>143817.19107692307</v>
      </c>
      <c r="O158" s="676">
        <f t="shared" si="60"/>
        <v>146693.53489846154</v>
      </c>
      <c r="P158" s="676">
        <f t="shared" si="60"/>
        <v>149627.40559643076</v>
      </c>
      <c r="Q158" s="676">
        <f t="shared" si="60"/>
        <v>152619.95370835939</v>
      </c>
      <c r="R158" s="676">
        <f t="shared" si="60"/>
        <v>155672.35278252655</v>
      </c>
      <c r="S158" s="676">
        <f t="shared" si="60"/>
        <v>158785.7998381771</v>
      </c>
      <c r="T158" s="676">
        <f t="shared" si="60"/>
        <v>161961.51583494066</v>
      </c>
      <c r="U158" s="676">
        <f t="shared" si="60"/>
        <v>165200.74615163944</v>
      </c>
      <c r="V158" s="676">
        <f t="shared" si="60"/>
        <v>168504.76107467228</v>
      </c>
      <c r="W158" s="676">
        <f t="shared" si="60"/>
        <v>171874.85629616573</v>
      </c>
      <c r="X158" s="676">
        <f t="shared" si="60"/>
        <v>175312.35342208904</v>
      </c>
      <c r="Y158" s="676">
        <f t="shared" si="60"/>
        <v>178818.60049053084</v>
      </c>
      <c r="Z158" s="676">
        <f t="shared" si="60"/>
        <v>182394.97250034142</v>
      </c>
      <c r="AA158" s="676">
        <f t="shared" si="60"/>
        <v>186042.87195034826</v>
      </c>
      <c r="AB158" s="676">
        <f t="shared" si="60"/>
        <v>189763.72938935523</v>
      </c>
      <c r="AC158" s="676">
        <f t="shared" si="60"/>
        <v>193559.00397714233</v>
      </c>
      <c r="AD158" s="676">
        <f t="shared" si="60"/>
        <v>197430.18405668519</v>
      </c>
      <c r="AE158" s="676">
        <f t="shared" si="60"/>
        <v>201378.7877378189</v>
      </c>
      <c r="AG158" s="199"/>
    </row>
    <row r="159" spans="1:33">
      <c r="K159" s="664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</row>
    <row r="160" spans="1:33">
      <c r="A160" s="47" t="s">
        <v>7</v>
      </c>
      <c r="B160" s="47" t="s">
        <v>7</v>
      </c>
      <c r="C160" s="78" t="s">
        <v>7</v>
      </c>
      <c r="D160" s="100"/>
      <c r="E160" s="78" t="s">
        <v>7</v>
      </c>
      <c r="F160" s="78"/>
      <c r="G160" s="78" t="s">
        <v>7</v>
      </c>
      <c r="H160" s="78"/>
      <c r="I160" s="52" t="s">
        <v>7</v>
      </c>
      <c r="J160" s="114"/>
      <c r="K160" s="673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</row>
    <row r="161" spans="1:33">
      <c r="K161" s="664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G161" s="199"/>
    </row>
    <row r="162" spans="1:33" s="56" customFormat="1" ht="14.25">
      <c r="A162" s="208" t="s">
        <v>115</v>
      </c>
      <c r="B162" s="208"/>
      <c r="C162" s="208"/>
      <c r="D162" s="202"/>
      <c r="E162" s="208"/>
      <c r="F162" s="208"/>
      <c r="G162" s="208"/>
      <c r="H162" s="208"/>
      <c r="I162" s="208"/>
      <c r="J162" s="208"/>
      <c r="K162" s="678">
        <f>SUM(K152,K112)</f>
        <v>0</v>
      </c>
      <c r="L162" s="678">
        <f t="shared" ref="L162:AE162" si="61">SUM(L112,L158)</f>
        <v>357416.66666666669</v>
      </c>
      <c r="M162" s="678">
        <f t="shared" si="61"/>
        <v>872654.34615384613</v>
      </c>
      <c r="N162" s="678">
        <f t="shared" si="61"/>
        <v>891230.86107692309</v>
      </c>
      <c r="O162" s="678">
        <f t="shared" si="61"/>
        <v>909055.47829846153</v>
      </c>
      <c r="P162" s="678">
        <f t="shared" si="61"/>
        <v>927236.58786443074</v>
      </c>
      <c r="Q162" s="678">
        <f t="shared" si="61"/>
        <v>974125.19841691933</v>
      </c>
      <c r="R162" s="678">
        <f t="shared" si="61"/>
        <v>989070.78359488968</v>
      </c>
      <c r="S162" s="678">
        <f t="shared" si="61"/>
        <v>1008852.1992667874</v>
      </c>
      <c r="T162" s="678">
        <f t="shared" si="61"/>
        <v>1029029.2432521235</v>
      </c>
      <c r="U162" s="678">
        <f t="shared" si="61"/>
        <v>1049609.8281171659</v>
      </c>
      <c r="V162" s="678">
        <f t="shared" si="61"/>
        <v>1074992.5274695121</v>
      </c>
      <c r="W162" s="678">
        <f t="shared" si="61"/>
        <v>1092014.0651730993</v>
      </c>
      <c r="X162" s="678">
        <f t="shared" si="61"/>
        <v>1113854.3464765614</v>
      </c>
      <c r="Y162" s="678">
        <f t="shared" si="61"/>
        <v>1136131.4334060927</v>
      </c>
      <c r="Z162" s="678">
        <f t="shared" si="61"/>
        <v>1158854.0620742145</v>
      </c>
      <c r="AA162" s="678">
        <f t="shared" si="61"/>
        <v>1186358.2091465369</v>
      </c>
      <c r="AB162" s="678">
        <f t="shared" si="61"/>
        <v>1205671.7661820129</v>
      </c>
      <c r="AC162" s="678">
        <f t="shared" si="61"/>
        <v>1229785.2015056531</v>
      </c>
      <c r="AD162" s="678">
        <f t="shared" si="61"/>
        <v>1254380.9055357664</v>
      </c>
      <c r="AE162" s="678">
        <f t="shared" si="61"/>
        <v>1279468.5236464818</v>
      </c>
      <c r="AG162" s="199"/>
    </row>
    <row r="163" spans="1:33">
      <c r="K163" s="664"/>
      <c r="L163" s="666"/>
      <c r="M163" s="666"/>
      <c r="N163" s="666"/>
      <c r="O163" s="666"/>
      <c r="P163" s="666"/>
      <c r="Q163" s="666"/>
      <c r="R163" s="666"/>
      <c r="S163" s="666"/>
      <c r="T163" s="666"/>
      <c r="U163" s="666"/>
      <c r="V163" s="666"/>
      <c r="W163" s="666"/>
      <c r="X163" s="666"/>
      <c r="Y163" s="666"/>
      <c r="Z163" s="666"/>
      <c r="AA163" s="666"/>
      <c r="AB163" s="666"/>
      <c r="AC163" s="666"/>
      <c r="AD163" s="666"/>
      <c r="AE163" s="666"/>
      <c r="AG163" s="199"/>
    </row>
    <row r="164" spans="1:33">
      <c r="A164" s="251"/>
      <c r="B164" s="251"/>
      <c r="C164" s="251"/>
      <c r="D164" s="259"/>
      <c r="E164" s="251"/>
      <c r="F164" s="251"/>
      <c r="G164" s="251"/>
      <c r="H164" s="251"/>
      <c r="I164" s="251"/>
      <c r="J164" s="251"/>
      <c r="K164" s="679"/>
      <c r="L164" s="680"/>
      <c r="M164" s="680"/>
      <c r="N164" s="680"/>
      <c r="O164" s="680"/>
      <c r="P164" s="680"/>
      <c r="Q164" s="680"/>
      <c r="R164" s="680"/>
      <c r="S164" s="680"/>
      <c r="T164" s="680"/>
      <c r="U164" s="680"/>
      <c r="V164" s="680"/>
      <c r="W164" s="680"/>
      <c r="X164" s="680"/>
      <c r="Y164" s="680"/>
      <c r="Z164" s="680"/>
      <c r="AA164" s="680"/>
      <c r="AB164" s="680"/>
      <c r="AC164" s="680"/>
      <c r="AD164" s="680"/>
      <c r="AE164" s="680"/>
      <c r="AG164" s="199"/>
    </row>
    <row r="165" spans="1:33">
      <c r="K165" s="664"/>
      <c r="L165" s="666"/>
      <c r="M165" s="666"/>
      <c r="N165" s="666"/>
      <c r="O165" s="666"/>
      <c r="P165" s="666"/>
      <c r="Q165" s="666"/>
      <c r="R165" s="666"/>
      <c r="S165" s="666"/>
      <c r="T165" s="666"/>
      <c r="U165" s="666"/>
      <c r="V165" s="666"/>
      <c r="W165" s="666"/>
      <c r="X165" s="666"/>
      <c r="Y165" s="666"/>
      <c r="Z165" s="666"/>
      <c r="AA165" s="666"/>
      <c r="AB165" s="666"/>
      <c r="AC165" s="666"/>
      <c r="AD165" s="666"/>
      <c r="AE165" s="666"/>
      <c r="AG165" s="199"/>
    </row>
    <row r="166" spans="1:33">
      <c r="A166" s="249" t="s">
        <v>84</v>
      </c>
      <c r="B166" s="281"/>
      <c r="C166" s="281"/>
      <c r="D166" s="177"/>
      <c r="E166" s="281"/>
      <c r="F166" s="281"/>
      <c r="G166" s="281"/>
      <c r="H166" s="281"/>
      <c r="I166" s="281"/>
      <c r="J166" s="281"/>
      <c r="K166" s="681"/>
      <c r="L166" s="682"/>
      <c r="M166" s="682"/>
      <c r="N166" s="682"/>
      <c r="O166" s="682"/>
      <c r="P166" s="682"/>
      <c r="Q166" s="682"/>
      <c r="R166" s="682"/>
      <c r="S166" s="682"/>
      <c r="T166" s="682"/>
      <c r="U166" s="682"/>
      <c r="V166" s="682"/>
      <c r="W166" s="682"/>
      <c r="X166" s="682"/>
      <c r="Y166" s="682"/>
      <c r="Z166" s="682"/>
      <c r="AA166" s="682"/>
      <c r="AB166" s="682"/>
      <c r="AC166" s="682"/>
      <c r="AD166" s="682"/>
      <c r="AE166" s="682"/>
      <c r="AG166" s="199"/>
    </row>
    <row r="167" spans="1:33" s="252" customFormat="1">
      <c r="A167" s="257"/>
      <c r="D167" s="186"/>
      <c r="K167" s="664"/>
      <c r="L167" s="671"/>
      <c r="M167" s="671"/>
      <c r="N167" s="671"/>
      <c r="O167" s="671"/>
      <c r="P167" s="671"/>
      <c r="Q167" s="671"/>
      <c r="R167" s="671"/>
      <c r="S167" s="671"/>
      <c r="T167" s="671"/>
      <c r="U167" s="671"/>
      <c r="V167" s="671"/>
      <c r="W167" s="671"/>
      <c r="X167" s="671"/>
      <c r="Y167" s="671"/>
      <c r="Z167" s="671"/>
      <c r="AA167" s="671"/>
      <c r="AB167" s="671"/>
      <c r="AC167" s="671"/>
      <c r="AD167" s="671"/>
      <c r="AE167" s="671"/>
      <c r="AG167" s="363"/>
    </row>
    <row r="168" spans="1:33">
      <c r="A168" s="96" t="str">
        <f>'OPEX - Concept B2 - Carnival'!A168</f>
        <v>Investment (cash)</v>
      </c>
      <c r="B168" s="96"/>
      <c r="C168" s="96"/>
      <c r="D168" s="96"/>
      <c r="E168" s="96"/>
      <c r="F168" s="96"/>
      <c r="G168" s="96"/>
      <c r="H168" s="96"/>
      <c r="I168" s="96"/>
      <c r="J168" s="96"/>
      <c r="K168" s="883"/>
      <c r="L168" s="663"/>
      <c r="M168" s="663"/>
      <c r="N168" s="663"/>
      <c r="O168" s="663"/>
      <c r="P168" s="663"/>
      <c r="Q168" s="663"/>
      <c r="R168" s="663"/>
      <c r="S168" s="663"/>
      <c r="T168" s="663"/>
      <c r="U168" s="663"/>
      <c r="V168" s="663"/>
      <c r="W168" s="663"/>
      <c r="X168" s="663"/>
      <c r="Y168" s="663"/>
      <c r="Z168" s="663"/>
      <c r="AA168" s="663"/>
      <c r="AB168" s="663"/>
      <c r="AC168" s="663"/>
      <c r="AD168" s="663"/>
      <c r="AE168" s="663"/>
      <c r="AG168" s="199"/>
    </row>
    <row r="169" spans="1:33">
      <c r="A169" s="96" t="str">
        <f>'OPEX - Concept B2 - Carnival'!A169</f>
        <v xml:space="preserve">     Site Maintenance</v>
      </c>
      <c r="B169" s="96"/>
      <c r="C169" s="96"/>
      <c r="D169" s="96"/>
      <c r="E169" s="96"/>
      <c r="F169" s="96"/>
      <c r="G169" s="96"/>
      <c r="H169" s="96"/>
      <c r="I169" s="96"/>
      <c r="J169" s="96"/>
      <c r="K169" s="883">
        <f>'OPEX - Concept B2 - Carnival'!K169</f>
        <v>0</v>
      </c>
      <c r="L169" s="663">
        <f>'OPEX - Concept B2 - Carnival'!L169</f>
        <v>0</v>
      </c>
      <c r="M169" s="663">
        <f>'OPEX - Concept B2 - Carnival'!M169</f>
        <v>49995</v>
      </c>
      <c r="N169" s="663">
        <f>'OPEX - Concept B2 - Carnival'!N169</f>
        <v>50994.9</v>
      </c>
      <c r="O169" s="663">
        <f>'OPEX - Concept B2 - Carnival'!O169</f>
        <v>52014.798000000003</v>
      </c>
      <c r="P169" s="663">
        <f>'OPEX - Concept B2 - Carnival'!P169</f>
        <v>53055.093959999998</v>
      </c>
      <c r="Q169" s="663">
        <f>'OPEX - Concept B2 - Carnival'!Q169</f>
        <v>54116.195839200002</v>
      </c>
      <c r="R169" s="663">
        <f>'OPEX - Concept B2 - Carnival'!R169</f>
        <v>55198.519755984002</v>
      </c>
      <c r="S169" s="663">
        <f>'OPEX - Concept B2 - Carnival'!S169</f>
        <v>56302.490151103681</v>
      </c>
      <c r="T169" s="663">
        <f>'OPEX - Concept B2 - Carnival'!T169</f>
        <v>57428.539954125758</v>
      </c>
      <c r="U169" s="663">
        <f>'OPEX - Concept B2 - Carnival'!U169</f>
        <v>58577.110753208275</v>
      </c>
      <c r="V169" s="663">
        <f>'OPEX - Concept B2 - Carnival'!V169</f>
        <v>59748.652968272443</v>
      </c>
      <c r="W169" s="663">
        <f>'OPEX - Concept B2 - Carnival'!W169</f>
        <v>60943.626027637896</v>
      </c>
      <c r="X169" s="663">
        <f>'OPEX - Concept B2 - Carnival'!X169</f>
        <v>62162.498548190648</v>
      </c>
      <c r="Y169" s="663">
        <f>'OPEX - Concept B2 - Carnival'!Y169</f>
        <v>63405.748519154462</v>
      </c>
      <c r="Z169" s="663">
        <f>'OPEX - Concept B2 - Carnival'!Z169</f>
        <v>64673.863489537544</v>
      </c>
      <c r="AA169" s="663">
        <f>'OPEX - Concept B2 - Carnival'!AA169</f>
        <v>65967.340759328305</v>
      </c>
      <c r="AB169" s="663">
        <f>'OPEX - Concept B2 - Carnival'!AB169</f>
        <v>67286.687574514872</v>
      </c>
      <c r="AC169" s="663">
        <f>'OPEX - Concept B2 - Carnival'!AC169</f>
        <v>68632.421326005177</v>
      </c>
      <c r="AD169" s="663">
        <f>'OPEX - Concept B2 - Carnival'!AD169</f>
        <v>70005.069752525276</v>
      </c>
      <c r="AE169" s="663">
        <f>'OPEX - Concept B2 - Carnival'!AE169</f>
        <v>71405.171147575791</v>
      </c>
      <c r="AG169" s="199"/>
    </row>
    <row r="170" spans="1:33" s="162" customFormat="1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883"/>
      <c r="L170" s="663"/>
      <c r="M170" s="663"/>
      <c r="N170" s="663"/>
      <c r="O170" s="663"/>
      <c r="P170" s="663"/>
      <c r="Q170" s="663"/>
      <c r="R170" s="663"/>
      <c r="S170" s="663"/>
      <c r="T170" s="663"/>
      <c r="U170" s="663"/>
      <c r="V170" s="663"/>
      <c r="W170" s="663"/>
      <c r="X170" s="663"/>
      <c r="Y170" s="663"/>
      <c r="Z170" s="663"/>
      <c r="AA170" s="663"/>
      <c r="AB170" s="663"/>
      <c r="AC170" s="663"/>
      <c r="AD170" s="663"/>
      <c r="AE170" s="663"/>
      <c r="AG170" s="786"/>
    </row>
    <row r="171" spans="1:33" s="162" customFormat="1">
      <c r="A171" s="96" t="str">
        <f>'OPEX - Concept B2 - Carnival'!A171</f>
        <v>Debt Service (Site Demolition, Design, Development/Preparation &amp; Shuttles)</v>
      </c>
      <c r="B171" s="96"/>
      <c r="C171" s="96"/>
      <c r="D171" s="96"/>
      <c r="E171" s="96"/>
      <c r="F171" s="96"/>
      <c r="G171" s="96"/>
      <c r="H171" s="96"/>
      <c r="I171" s="96"/>
      <c r="J171" s="96"/>
      <c r="K171" s="883">
        <f>'OPEX - Concept B2 - Carnival'!K171</f>
        <v>0</v>
      </c>
      <c r="L171" s="663">
        <f>'OPEX - Concept B2 - Carnival'!L171</f>
        <v>591295.19999999995</v>
      </c>
      <c r="M171" s="663">
        <f>'OPEX - Concept B2 - Carnival'!M171</f>
        <v>591295.19999999995</v>
      </c>
      <c r="N171" s="663">
        <f>'OPEX - Concept B2 - Carnival'!N171</f>
        <v>591295.19999999995</v>
      </c>
      <c r="O171" s="663">
        <f>'OPEX - Concept B2 - Carnival'!O171</f>
        <v>591295.19999999995</v>
      </c>
      <c r="P171" s="663">
        <f>'OPEX - Concept B2 - Carnival'!P171</f>
        <v>591295.19999999995</v>
      </c>
      <c r="Q171" s="663">
        <f>'OPEX - Concept B2 - Carnival'!Q171</f>
        <v>591295.19999999995</v>
      </c>
      <c r="R171" s="663">
        <f>'OPEX - Concept B2 - Carnival'!R171</f>
        <v>591295.19999999995</v>
      </c>
      <c r="S171" s="663">
        <f>'OPEX - Concept B2 - Carnival'!S171</f>
        <v>591295.19999999995</v>
      </c>
      <c r="T171" s="663">
        <f>'OPEX - Concept B2 - Carnival'!T171</f>
        <v>591295.19999999995</v>
      </c>
      <c r="U171" s="663">
        <f>'OPEX - Concept B2 - Carnival'!U171</f>
        <v>591295.19999999995</v>
      </c>
      <c r="V171" s="663">
        <f>'OPEX - Concept B2 - Carnival'!V171</f>
        <v>591295.19999999995</v>
      </c>
      <c r="W171" s="663">
        <f>'OPEX - Concept B2 - Carnival'!W171</f>
        <v>591295.19999999995</v>
      </c>
      <c r="X171" s="663">
        <f>'OPEX - Concept B2 - Carnival'!X171</f>
        <v>591295.19999999995</v>
      </c>
      <c r="Y171" s="663">
        <f>'OPEX - Concept B2 - Carnival'!Y171</f>
        <v>591295.19999999995</v>
      </c>
      <c r="Z171" s="663">
        <f>'OPEX - Concept B2 - Carnival'!Z171</f>
        <v>591295.19999999995</v>
      </c>
      <c r="AA171" s="663">
        <f>'OPEX - Concept B2 - Carnival'!AA171</f>
        <v>591295.19999999995</v>
      </c>
      <c r="AB171" s="663">
        <f>'OPEX - Concept B2 - Carnival'!AB171</f>
        <v>591295.19999999995</v>
      </c>
      <c r="AC171" s="663">
        <f>'OPEX - Concept B2 - Carnival'!AC171</f>
        <v>591295.19999999995</v>
      </c>
      <c r="AD171" s="663">
        <f>'OPEX - Concept B2 - Carnival'!AD171</f>
        <v>591295.19999999995</v>
      </c>
      <c r="AE171" s="663">
        <f>'OPEX - Concept B2 - Carnival'!AE171</f>
        <v>591295.19999999995</v>
      </c>
    </row>
    <row r="172" spans="1:33" s="702" customFormat="1">
      <c r="A172" s="341" t="s">
        <v>315</v>
      </c>
      <c r="B172" s="701"/>
      <c r="C172" s="703"/>
      <c r="D172" s="704"/>
      <c r="E172" s="705"/>
      <c r="F172" s="705"/>
      <c r="G172" s="705"/>
      <c r="H172" s="705"/>
      <c r="I172" s="706"/>
      <c r="J172" s="707"/>
      <c r="K172" s="699">
        <v>0</v>
      </c>
      <c r="L172" s="700">
        <v>0</v>
      </c>
      <c r="M172" s="700">
        <v>0</v>
      </c>
      <c r="N172" s="700">
        <v>0</v>
      </c>
      <c r="O172" s="700">
        <v>0</v>
      </c>
      <c r="P172" s="700">
        <v>0</v>
      </c>
      <c r="Q172" s="700">
        <v>0</v>
      </c>
      <c r="R172" s="700">
        <v>0</v>
      </c>
      <c r="S172" s="700">
        <v>0</v>
      </c>
      <c r="T172" s="700">
        <v>0</v>
      </c>
      <c r="U172" s="700">
        <v>0</v>
      </c>
      <c r="V172" s="700">
        <v>0</v>
      </c>
      <c r="W172" s="700">
        <v>0</v>
      </c>
      <c r="X172" s="700">
        <v>0</v>
      </c>
      <c r="Y172" s="700">
        <v>0</v>
      </c>
      <c r="Z172" s="700">
        <v>0</v>
      </c>
      <c r="AA172" s="700">
        <v>0</v>
      </c>
      <c r="AB172" s="700">
        <v>0</v>
      </c>
      <c r="AC172" s="700">
        <v>0</v>
      </c>
      <c r="AD172" s="700">
        <v>0</v>
      </c>
      <c r="AE172" s="700">
        <v>0</v>
      </c>
      <c r="AG172" s="708"/>
    </row>
    <row r="173" spans="1:33">
      <c r="A173" s="180" t="s">
        <v>316</v>
      </c>
      <c r="B173" s="180"/>
      <c r="C173" s="180"/>
      <c r="D173" s="116"/>
      <c r="E173" s="180"/>
      <c r="F173" s="180"/>
      <c r="G173" s="180"/>
      <c r="H173" s="180"/>
      <c r="I173" s="180"/>
      <c r="J173" s="180"/>
      <c r="K173" s="505">
        <v>0</v>
      </c>
      <c r="L173" s="506">
        <v>246000</v>
      </c>
      <c r="M173" s="506">
        <v>246000</v>
      </c>
      <c r="N173" s="506">
        <v>246000</v>
      </c>
      <c r="O173" s="506">
        <v>246000</v>
      </c>
      <c r="P173" s="506">
        <v>246000</v>
      </c>
      <c r="Q173" s="506">
        <v>246000</v>
      </c>
      <c r="R173" s="506">
        <v>246000</v>
      </c>
      <c r="S173" s="506">
        <v>246000</v>
      </c>
      <c r="T173" s="506">
        <v>246000</v>
      </c>
      <c r="U173" s="506">
        <v>246000</v>
      </c>
      <c r="V173" s="506">
        <v>246000</v>
      </c>
      <c r="W173" s="506">
        <v>246000</v>
      </c>
      <c r="X173" s="506">
        <v>246000</v>
      </c>
      <c r="Y173" s="506">
        <v>246000</v>
      </c>
      <c r="Z173" s="506">
        <v>246000</v>
      </c>
      <c r="AA173" s="506">
        <v>246000</v>
      </c>
      <c r="AB173" s="506">
        <v>246000</v>
      </c>
      <c r="AC173" s="506">
        <v>246000</v>
      </c>
      <c r="AD173" s="506">
        <v>246000</v>
      </c>
      <c r="AE173" s="506">
        <v>246000</v>
      </c>
      <c r="AG173" s="199"/>
    </row>
    <row r="174" spans="1:33" s="56" customFormat="1" ht="14.25">
      <c r="A174" s="56" t="s">
        <v>134</v>
      </c>
      <c r="D174" s="173"/>
      <c r="K174" s="524">
        <f t="shared" ref="K174:AE174" si="62">SUM(K168:K173)</f>
        <v>0</v>
      </c>
      <c r="L174" s="525">
        <f t="shared" si="62"/>
        <v>837295.2</v>
      </c>
      <c r="M174" s="525">
        <f t="shared" si="62"/>
        <v>887290.2</v>
      </c>
      <c r="N174" s="525">
        <f t="shared" si="62"/>
        <v>888290.1</v>
      </c>
      <c r="O174" s="525">
        <f t="shared" si="62"/>
        <v>889309.99799999991</v>
      </c>
      <c r="P174" s="525">
        <f t="shared" si="62"/>
        <v>890350.29395999992</v>
      </c>
      <c r="Q174" s="525">
        <f t="shared" si="62"/>
        <v>891411.39583920001</v>
      </c>
      <c r="R174" s="525">
        <f t="shared" si="62"/>
        <v>892493.71975598391</v>
      </c>
      <c r="S174" s="525">
        <f t="shared" si="62"/>
        <v>893597.69015110366</v>
      </c>
      <c r="T174" s="525">
        <f t="shared" si="62"/>
        <v>894723.73995412572</v>
      </c>
      <c r="U174" s="525">
        <f t="shared" si="62"/>
        <v>895872.31075320824</v>
      </c>
      <c r="V174" s="525">
        <f t="shared" si="62"/>
        <v>897043.8529682724</v>
      </c>
      <c r="W174" s="525">
        <f t="shared" si="62"/>
        <v>898238.82602763781</v>
      </c>
      <c r="X174" s="525">
        <f t="shared" si="62"/>
        <v>899457.69854819064</v>
      </c>
      <c r="Y174" s="525">
        <f t="shared" si="62"/>
        <v>900700.94851915445</v>
      </c>
      <c r="Z174" s="525">
        <f t="shared" si="62"/>
        <v>901969.06348953745</v>
      </c>
      <c r="AA174" s="525">
        <f t="shared" si="62"/>
        <v>903262.54075932829</v>
      </c>
      <c r="AB174" s="525">
        <f t="shared" si="62"/>
        <v>904581.88757451484</v>
      </c>
      <c r="AC174" s="525">
        <f t="shared" si="62"/>
        <v>905927.62132600509</v>
      </c>
      <c r="AD174" s="525">
        <f t="shared" si="62"/>
        <v>907300.26975252526</v>
      </c>
      <c r="AE174" s="525">
        <f t="shared" si="62"/>
        <v>908700.37114757579</v>
      </c>
      <c r="AG174" s="199"/>
    </row>
    <row r="175" spans="1:33">
      <c r="K175" s="683"/>
      <c r="L175" s="666"/>
      <c r="M175" s="666"/>
      <c r="N175" s="666"/>
      <c r="O175" s="666"/>
      <c r="P175" s="666"/>
      <c r="Q175" s="666"/>
      <c r="R175" s="666"/>
      <c r="S175" s="666"/>
      <c r="T175" s="666"/>
      <c r="U175" s="666"/>
      <c r="V175" s="666"/>
      <c r="W175" s="666"/>
      <c r="X175" s="666"/>
      <c r="Y175" s="666"/>
      <c r="Z175" s="666"/>
      <c r="AA175" s="666"/>
      <c r="AB175" s="666"/>
      <c r="AC175" s="666"/>
      <c r="AD175" s="666"/>
      <c r="AE175" s="666"/>
      <c r="AG175" s="199"/>
    </row>
    <row r="176" spans="1:33" s="56" customFormat="1" ht="14.25">
      <c r="A176" s="208" t="s">
        <v>86</v>
      </c>
      <c r="B176" s="718">
        <f>SUM(L176:AE176)</f>
        <v>17887817.728526361</v>
      </c>
      <c r="C176" s="208"/>
      <c r="D176" s="202"/>
      <c r="E176" s="208"/>
      <c r="F176" s="208"/>
      <c r="G176" s="208"/>
      <c r="H176" s="208"/>
      <c r="I176" s="208"/>
      <c r="J176" s="208"/>
      <c r="K176" s="678">
        <f>SUM(K169:K171)</f>
        <v>0</v>
      </c>
      <c r="L176" s="678">
        <f>L174</f>
        <v>837295.2</v>
      </c>
      <c r="M176" s="678">
        <f t="shared" ref="M176:AE176" si="63">M174</f>
        <v>887290.2</v>
      </c>
      <c r="N176" s="678">
        <f t="shared" si="63"/>
        <v>888290.1</v>
      </c>
      <c r="O176" s="678">
        <f t="shared" si="63"/>
        <v>889309.99799999991</v>
      </c>
      <c r="P176" s="678">
        <f t="shared" si="63"/>
        <v>890350.29395999992</v>
      </c>
      <c r="Q176" s="678">
        <f t="shared" si="63"/>
        <v>891411.39583920001</v>
      </c>
      <c r="R176" s="678">
        <f t="shared" si="63"/>
        <v>892493.71975598391</v>
      </c>
      <c r="S176" s="678">
        <f t="shared" si="63"/>
        <v>893597.69015110366</v>
      </c>
      <c r="T176" s="678">
        <f t="shared" si="63"/>
        <v>894723.73995412572</v>
      </c>
      <c r="U176" s="678">
        <f t="shared" si="63"/>
        <v>895872.31075320824</v>
      </c>
      <c r="V176" s="678">
        <f t="shared" si="63"/>
        <v>897043.8529682724</v>
      </c>
      <c r="W176" s="678">
        <f t="shared" si="63"/>
        <v>898238.82602763781</v>
      </c>
      <c r="X176" s="678">
        <f t="shared" si="63"/>
        <v>899457.69854819064</v>
      </c>
      <c r="Y176" s="678">
        <f t="shared" si="63"/>
        <v>900700.94851915445</v>
      </c>
      <c r="Z176" s="678">
        <f t="shared" si="63"/>
        <v>901969.06348953745</v>
      </c>
      <c r="AA176" s="678">
        <f t="shared" si="63"/>
        <v>903262.54075932829</v>
      </c>
      <c r="AB176" s="678">
        <f t="shared" si="63"/>
        <v>904581.88757451484</v>
      </c>
      <c r="AC176" s="678">
        <f t="shared" si="63"/>
        <v>905927.62132600509</v>
      </c>
      <c r="AD176" s="678">
        <f t="shared" si="63"/>
        <v>907300.26975252526</v>
      </c>
      <c r="AE176" s="678">
        <f t="shared" si="63"/>
        <v>908700.37114757579</v>
      </c>
      <c r="AG176" s="199"/>
    </row>
    <row r="177" spans="1:31">
      <c r="K177" s="662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1"/>
      <c r="Y177" s="201"/>
      <c r="Z177" s="201"/>
      <c r="AA177" s="201"/>
      <c r="AB177" s="201"/>
      <c r="AC177" s="201"/>
      <c r="AD177" s="201"/>
      <c r="AE177" s="201"/>
    </row>
    <row r="178" spans="1:31">
      <c r="A178" s="251"/>
      <c r="B178" s="251"/>
      <c r="C178" s="251"/>
      <c r="D178" s="259"/>
      <c r="E178" s="251"/>
      <c r="F178" s="251"/>
      <c r="G178" s="251"/>
      <c r="H178" s="251"/>
      <c r="I178" s="251"/>
      <c r="J178" s="251"/>
      <c r="K178" s="324"/>
      <c r="L178" s="325"/>
      <c r="M178" s="325"/>
      <c r="N178" s="325"/>
      <c r="O178" s="325"/>
      <c r="P178" s="325"/>
      <c r="Q178" s="325"/>
      <c r="R178" s="325"/>
      <c r="S178" s="325"/>
      <c r="T178" s="325"/>
      <c r="U178" s="325"/>
      <c r="V178" s="325"/>
      <c r="W178" s="325"/>
      <c r="X178" s="325"/>
      <c r="Y178" s="325"/>
      <c r="Z178" s="325"/>
      <c r="AA178" s="325"/>
      <c r="AB178" s="325"/>
      <c r="AC178" s="325"/>
      <c r="AD178" s="325"/>
      <c r="AE178" s="325"/>
    </row>
    <row r="179" spans="1:31">
      <c r="K179" s="322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1"/>
      <c r="Y179" s="201"/>
      <c r="Z179" s="201"/>
      <c r="AA179" s="201"/>
      <c r="AB179" s="201"/>
      <c r="AC179" s="201"/>
      <c r="AD179" s="201"/>
      <c r="AE179" s="201"/>
    </row>
    <row r="180" spans="1:31">
      <c r="A180"/>
      <c r="K180" s="322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</row>
    <row r="181" spans="1:31">
      <c r="A181"/>
      <c r="K181" s="322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</row>
    <row r="182" spans="1:31">
      <c r="K182" s="322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  <c r="AA182" s="201"/>
      <c r="AB182" s="201"/>
      <c r="AC182" s="201"/>
      <c r="AD182" s="201"/>
      <c r="AE182" s="201"/>
    </row>
    <row r="183" spans="1:31">
      <c r="K183" s="322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</row>
    <row r="184" spans="1:31">
      <c r="K184" s="322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  <c r="AA184" s="201"/>
      <c r="AB184" s="201"/>
      <c r="AC184" s="201"/>
      <c r="AD184" s="201"/>
      <c r="AE184" s="201"/>
    </row>
    <row r="185" spans="1:31">
      <c r="K185" s="322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</row>
    <row r="186" spans="1:31">
      <c r="K186" s="322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</row>
    <row r="187" spans="1:31">
      <c r="K187" s="322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</row>
    <row r="188" spans="1:31">
      <c r="K188" s="322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</row>
    <row r="189" spans="1:31">
      <c r="K189" s="322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</row>
    <row r="190" spans="1:31">
      <c r="K190" s="322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</row>
    <row r="191" spans="1:31">
      <c r="K191" s="322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</row>
    <row r="192" spans="1:31">
      <c r="K192" s="322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</row>
    <row r="193" spans="11:31">
      <c r="K193" s="322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201"/>
      <c r="AE193" s="20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FD193"/>
  <sheetViews>
    <sheetView topLeftCell="A69" zoomScale="70" zoomScaleNormal="70" workbookViewId="0">
      <selection activeCell="Q180" sqref="Q180"/>
    </sheetView>
  </sheetViews>
  <sheetFormatPr defaultColWidth="9" defaultRowHeight="16.5"/>
  <cols>
    <col min="1" max="1" width="45.625" style="33" customWidth="1"/>
    <col min="2" max="2" width="48.5" style="33" bestFit="1" customWidth="1"/>
    <col min="3" max="3" width="18.125" style="33" bestFit="1" customWidth="1"/>
    <col min="4" max="4" width="16.25" style="109" bestFit="1" customWidth="1"/>
    <col min="5" max="5" width="13.125" style="33" bestFit="1" customWidth="1"/>
    <col min="6" max="6" width="20.5" style="33" bestFit="1" customWidth="1"/>
    <col min="7" max="7" width="20.25" style="33" bestFit="1" customWidth="1"/>
    <col min="8" max="8" width="21.75" style="33" bestFit="1" customWidth="1"/>
    <col min="9" max="9" width="12.125" style="33" bestFit="1" customWidth="1"/>
    <col min="10" max="10" width="13.875" style="33" bestFit="1" customWidth="1"/>
    <col min="11" max="11" width="7.75" style="166" bestFit="1" customWidth="1"/>
    <col min="12" max="18" width="15.875" style="33" bestFit="1" customWidth="1"/>
    <col min="19" max="22" width="17.5" style="33" bestFit="1" customWidth="1"/>
    <col min="23" max="23" width="17.125" style="33" bestFit="1" customWidth="1"/>
    <col min="24" max="24" width="16.75" style="33" bestFit="1" customWidth="1"/>
    <col min="25" max="25" width="16.375" style="33" bestFit="1" customWidth="1"/>
    <col min="26" max="28" width="17.125" style="33" bestFit="1" customWidth="1"/>
    <col min="29" max="31" width="17.5" style="33" bestFit="1" customWidth="1"/>
    <col min="32" max="32" width="22.625" style="33" bestFit="1" customWidth="1"/>
    <col min="33" max="33" width="12.625" style="33" bestFit="1" customWidth="1"/>
    <col min="34" max="16384" width="9" style="33"/>
  </cols>
  <sheetData>
    <row r="1" spans="1:31" ht="18.75" thickBot="1">
      <c r="A1" s="11" t="str">
        <f>Intro!A1</f>
        <v>Town of Bar Harbor</v>
      </c>
      <c r="B1" s="13"/>
      <c r="C1" s="13"/>
      <c r="D1" s="99"/>
      <c r="E1" s="14"/>
      <c r="F1" s="14"/>
      <c r="G1" s="34"/>
      <c r="H1" s="34"/>
      <c r="I1" s="34"/>
      <c r="J1" s="34"/>
      <c r="K1" s="16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</row>
    <row r="2" spans="1:31" ht="17.25" thickBot="1">
      <c r="A2" s="380" t="str">
        <f>Intro!A2</f>
        <v>Ferry Property Business Plan</v>
      </c>
      <c r="B2" s="13"/>
      <c r="C2" s="13"/>
      <c r="D2" s="99"/>
      <c r="E2" s="14"/>
      <c r="F2" s="14"/>
      <c r="G2" s="34"/>
      <c r="H2" s="34"/>
      <c r="I2" s="34"/>
      <c r="J2" s="34"/>
      <c r="K2" s="16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</row>
    <row r="3" spans="1:31" s="392" customFormat="1" ht="14.25" thickBot="1">
      <c r="A3" s="384" t="str">
        <f>Intro!A3</f>
        <v>05.23.2018</v>
      </c>
      <c r="B3" s="2"/>
      <c r="C3" s="382"/>
      <c r="D3" s="393"/>
      <c r="E3" s="385"/>
      <c r="F3" s="385"/>
      <c r="G3" s="389"/>
      <c r="H3" s="389"/>
      <c r="I3" s="389"/>
      <c r="J3" s="389"/>
      <c r="K3" s="390"/>
      <c r="L3" s="391"/>
      <c r="M3" s="391"/>
      <c r="N3" s="391"/>
      <c r="O3" s="391"/>
      <c r="P3" s="391"/>
      <c r="Q3" s="391"/>
      <c r="R3" s="391"/>
      <c r="S3" s="391"/>
      <c r="T3" s="391"/>
      <c r="U3" s="391"/>
      <c r="V3" s="391"/>
      <c r="W3" s="391"/>
      <c r="X3" s="391"/>
      <c r="Y3" s="391"/>
      <c r="Z3" s="391"/>
      <c r="AA3" s="391"/>
      <c r="AB3" s="391"/>
      <c r="AC3" s="391"/>
      <c r="AD3" s="391"/>
      <c r="AE3" s="391"/>
    </row>
    <row r="4" spans="1:31" s="392" customFormat="1" ht="13.5">
      <c r="A4" s="384" t="str">
        <f ca="1">Intro!A4</f>
        <v>Town of Bar Harbor</v>
      </c>
      <c r="B4" s="382"/>
      <c r="C4" s="382"/>
      <c r="D4" s="393"/>
      <c r="E4" s="383">
        <f ca="1">NOW()</f>
        <v>43242.835659143515</v>
      </c>
      <c r="F4" s="383"/>
      <c r="G4" s="389"/>
      <c r="H4" s="389"/>
      <c r="I4" s="389"/>
      <c r="J4" s="389"/>
      <c r="K4" s="390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  <c r="W4" s="391"/>
      <c r="X4" s="391"/>
      <c r="Y4" s="391"/>
      <c r="Z4" s="391"/>
      <c r="AA4" s="391"/>
      <c r="AB4" s="391"/>
      <c r="AC4" s="391"/>
      <c r="AD4" s="391"/>
      <c r="AE4" s="391"/>
    </row>
    <row r="5" spans="1:31">
      <c r="A5" s="231" t="s">
        <v>342</v>
      </c>
      <c r="B5" s="231"/>
      <c r="C5" s="232"/>
      <c r="D5" s="233"/>
      <c r="E5" s="232"/>
      <c r="F5" s="232"/>
      <c r="G5" s="234"/>
      <c r="H5" s="234"/>
      <c r="I5" s="234"/>
      <c r="J5" s="234"/>
      <c r="K5" s="235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1:31">
      <c r="A6" s="237"/>
      <c r="B6" s="237"/>
      <c r="C6" s="237"/>
      <c r="D6" s="238"/>
      <c r="E6" s="237"/>
      <c r="F6" s="237"/>
      <c r="G6" s="237"/>
      <c r="H6" s="237"/>
      <c r="I6" s="237"/>
      <c r="J6" s="237"/>
      <c r="K6" s="659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</row>
    <row r="7" spans="1:31" ht="48.75" customHeight="1">
      <c r="A7" s="239"/>
      <c r="B7" s="240" t="s">
        <v>45</v>
      </c>
      <c r="C7" s="241" t="s">
        <v>46</v>
      </c>
      <c r="D7" s="242" t="s">
        <v>47</v>
      </c>
      <c r="E7" s="240" t="s">
        <v>21</v>
      </c>
      <c r="F7" s="240" t="s">
        <v>48</v>
      </c>
      <c r="G7" s="240" t="s">
        <v>49</v>
      </c>
      <c r="H7" s="240" t="s">
        <v>59</v>
      </c>
      <c r="I7" s="240" t="s">
        <v>22</v>
      </c>
      <c r="J7" s="240" t="s">
        <v>50</v>
      </c>
      <c r="K7" s="243">
        <v>2018</v>
      </c>
      <c r="L7" s="243">
        <v>2019</v>
      </c>
      <c r="M7" s="243">
        <v>2020</v>
      </c>
      <c r="N7" s="243">
        <v>2021</v>
      </c>
      <c r="O7" s="243">
        <v>2022</v>
      </c>
      <c r="P7" s="243">
        <v>2023</v>
      </c>
      <c r="Q7" s="243">
        <v>2024</v>
      </c>
      <c r="R7" s="243">
        <v>2025</v>
      </c>
      <c r="S7" s="243">
        <v>2026</v>
      </c>
      <c r="T7" s="243">
        <v>2027</v>
      </c>
      <c r="U7" s="243">
        <v>2028</v>
      </c>
      <c r="V7" s="243">
        <v>2029</v>
      </c>
      <c r="W7" s="243">
        <v>2030</v>
      </c>
      <c r="X7" s="243">
        <v>2031</v>
      </c>
      <c r="Y7" s="243">
        <v>2032</v>
      </c>
      <c r="Z7" s="243">
        <v>2033</v>
      </c>
      <c r="AA7" s="243">
        <v>2034</v>
      </c>
      <c r="AB7" s="243">
        <v>2035</v>
      </c>
      <c r="AC7" s="243">
        <v>2036</v>
      </c>
      <c r="AD7" s="243">
        <v>2037</v>
      </c>
      <c r="AE7" s="243">
        <v>2038</v>
      </c>
    </row>
    <row r="8" spans="1:31" s="18" customFormat="1" ht="17.25" thickBot="1">
      <c r="K8" s="488"/>
    </row>
    <row r="9" spans="1:31" s="18" customFormat="1" ht="17.25" thickBot="1">
      <c r="A9" s="117" t="s">
        <v>381</v>
      </c>
      <c r="B9" s="484" t="str">
        <f>'Cruise Projections'!A89</f>
        <v>Scenario 5 - Percent of 2018 Business - NCLH</v>
      </c>
      <c r="K9" s="489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  <c r="Y9" s="327"/>
      <c r="Z9" s="327"/>
      <c r="AA9" s="327"/>
      <c r="AB9" s="327"/>
      <c r="AC9" s="327"/>
      <c r="AD9" s="327"/>
      <c r="AE9" s="327"/>
    </row>
    <row r="10" spans="1:31" s="18" customFormat="1">
      <c r="A10" s="649"/>
      <c r="B10" s="372"/>
      <c r="K10" s="489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  <c r="Y10" s="327"/>
      <c r="Z10" s="327"/>
      <c r="AA10" s="327"/>
      <c r="AB10" s="327"/>
      <c r="AC10" s="327"/>
      <c r="AD10" s="327"/>
      <c r="AE10" s="327"/>
    </row>
    <row r="11" spans="1:31">
      <c r="A11" s="38" t="s">
        <v>52</v>
      </c>
      <c r="B11" s="38"/>
      <c r="C11" s="38"/>
      <c r="D11" s="101"/>
      <c r="E11" s="38"/>
      <c r="F11" s="38"/>
      <c r="G11" s="37"/>
      <c r="H11" s="37"/>
      <c r="I11" s="38"/>
      <c r="J11" s="37"/>
      <c r="K11" s="784">
        <f>'OPEX - Concept A1'!K11</f>
        <v>0</v>
      </c>
      <c r="L11" s="311">
        <f>'BH Tariffs'!D52</f>
        <v>1.02</v>
      </c>
      <c r="M11" s="311">
        <f>'BH Tariffs'!E52</f>
        <v>1.0404</v>
      </c>
      <c r="N11" s="311">
        <f>'BH Tariffs'!F52</f>
        <v>1.0612079999999999</v>
      </c>
      <c r="O11" s="311">
        <f>'BH Tariffs'!G52</f>
        <v>1.08243216</v>
      </c>
      <c r="P11" s="311">
        <f>'BH Tariffs'!H52</f>
        <v>1.1040808032</v>
      </c>
      <c r="Q11" s="311">
        <f>'BH Tariffs'!I52</f>
        <v>1.1261624192640001</v>
      </c>
      <c r="R11" s="311">
        <f>'BH Tariffs'!J52</f>
        <v>1.14868566764928</v>
      </c>
      <c r="S11" s="311">
        <f>'BH Tariffs'!K52</f>
        <v>1.1716593810022657</v>
      </c>
      <c r="T11" s="311">
        <f>'BH Tariffs'!L52</f>
        <v>1.1950925686223111</v>
      </c>
      <c r="U11" s="311">
        <f>'BH Tariffs'!M52</f>
        <v>1.2189944199947573</v>
      </c>
      <c r="V11" s="311">
        <f>'BH Tariffs'!N52</f>
        <v>1.2433743083946525</v>
      </c>
      <c r="W11" s="311">
        <f>'BH Tariffs'!O52</f>
        <v>1.2682417945625455</v>
      </c>
      <c r="X11" s="311">
        <f>'BH Tariffs'!P52</f>
        <v>1.2936066304537963</v>
      </c>
      <c r="Y11" s="311">
        <f>'BH Tariffs'!Q52</f>
        <v>1.3194787630628724</v>
      </c>
      <c r="Z11" s="311">
        <f>'BH Tariffs'!R52</f>
        <v>1.3458683383241299</v>
      </c>
      <c r="AA11" s="311">
        <f>'BH Tariffs'!S52</f>
        <v>1.3727857050906125</v>
      </c>
      <c r="AB11" s="311">
        <f>'BH Tariffs'!T52</f>
        <v>1.4002414191924248</v>
      </c>
      <c r="AC11" s="311">
        <f>'BH Tariffs'!U52</f>
        <v>1.4282462475762734</v>
      </c>
      <c r="AD11" s="311">
        <f>'BH Tariffs'!V52</f>
        <v>1.4568111725277988</v>
      </c>
      <c r="AE11" s="311">
        <f>'BH Tariffs'!W52</f>
        <v>1.4859473959783549</v>
      </c>
    </row>
    <row r="12" spans="1:31">
      <c r="A12" s="38" t="s">
        <v>58</v>
      </c>
      <c r="B12" s="38"/>
      <c r="C12" s="37"/>
      <c r="D12" s="76"/>
      <c r="E12" s="79">
        <v>0.2</v>
      </c>
      <c r="F12" s="172"/>
      <c r="G12" s="36"/>
      <c r="H12" s="36"/>
      <c r="I12" s="38"/>
      <c r="J12" s="36"/>
      <c r="K12" s="661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200"/>
      <c r="AC12" s="200"/>
      <c r="AD12" s="200"/>
      <c r="AE12" s="200"/>
    </row>
    <row r="13" spans="1:31">
      <c r="A13" s="38" t="s">
        <v>51</v>
      </c>
      <c r="B13" s="38"/>
      <c r="C13" s="37"/>
      <c r="D13" s="76"/>
      <c r="E13" s="79"/>
      <c r="F13" s="79">
        <v>0.4</v>
      </c>
      <c r="G13" s="36"/>
      <c r="H13" s="36"/>
      <c r="I13" s="38"/>
      <c r="J13" s="36"/>
      <c r="K13" s="661"/>
      <c r="L13" s="200"/>
      <c r="M13" s="200"/>
      <c r="N13" s="200"/>
      <c r="O13" s="200"/>
      <c r="P13" s="200"/>
      <c r="Q13" s="200"/>
      <c r="R13" s="200"/>
      <c r="S13" s="200"/>
      <c r="T13" s="200"/>
      <c r="U13" s="200"/>
      <c r="V13" s="200"/>
      <c r="W13" s="200"/>
      <c r="X13" s="200"/>
      <c r="Y13" s="200"/>
      <c r="Z13" s="200"/>
      <c r="AA13" s="200"/>
      <c r="AB13" s="200"/>
      <c r="AC13" s="200"/>
      <c r="AD13" s="200"/>
      <c r="AE13" s="200"/>
    </row>
    <row r="14" spans="1:31" s="18" customFormat="1">
      <c r="A14" s="649"/>
      <c r="B14" s="372"/>
      <c r="K14" s="489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7"/>
      <c r="X14" s="327"/>
      <c r="Y14" s="327"/>
      <c r="Z14" s="327"/>
      <c r="AA14" s="327"/>
      <c r="AB14" s="327"/>
      <c r="AC14" s="327"/>
      <c r="AD14" s="327"/>
      <c r="AE14" s="327"/>
    </row>
    <row r="15" spans="1:31" s="18" customFormat="1">
      <c r="K15" s="489"/>
      <c r="L15" s="327"/>
      <c r="M15" s="327"/>
      <c r="N15" s="327"/>
      <c r="O15" s="327"/>
      <c r="P15" s="327"/>
      <c r="Q15" s="327"/>
      <c r="R15" s="327"/>
      <c r="S15" s="327"/>
      <c r="T15" s="327"/>
      <c r="U15" s="327"/>
      <c r="V15" s="327"/>
      <c r="W15" s="327"/>
      <c r="X15" s="327"/>
      <c r="Y15" s="327"/>
      <c r="Z15" s="327"/>
      <c r="AA15" s="327"/>
      <c r="AB15" s="327"/>
      <c r="AC15" s="327"/>
      <c r="AD15" s="327"/>
      <c r="AE15" s="327"/>
    </row>
    <row r="16" spans="1:31" s="582" customFormat="1" ht="14.25">
      <c r="A16" s="582" t="s">
        <v>83</v>
      </c>
      <c r="K16" s="490"/>
      <c r="L16" s="785"/>
      <c r="M16" s="785"/>
      <c r="N16" s="785"/>
      <c r="O16" s="785"/>
      <c r="P16" s="785"/>
      <c r="Q16" s="785"/>
      <c r="R16" s="785"/>
      <c r="S16" s="785"/>
      <c r="T16" s="785"/>
      <c r="U16" s="785"/>
      <c r="V16" s="785"/>
      <c r="W16" s="785"/>
      <c r="X16" s="785"/>
      <c r="Y16" s="785"/>
      <c r="Z16" s="785"/>
      <c r="AA16" s="785"/>
      <c r="AB16" s="785"/>
      <c r="AC16" s="785"/>
      <c r="AD16" s="785"/>
      <c r="AE16" s="785"/>
    </row>
    <row r="17" spans="1:31" s="96" customFormat="1">
      <c r="A17" s="53" t="str">
        <f>'Cruise Projections'!A67</f>
        <v>Passengers</v>
      </c>
      <c r="B17" s="487"/>
      <c r="C17" s="487"/>
      <c r="K17" s="486">
        <f>'P&amp;L - Concept B2 - NCLH'!D12</f>
        <v>0</v>
      </c>
      <c r="L17" s="313">
        <f>'P&amp;L - Concept B2 - NCLH'!E12</f>
        <v>0</v>
      </c>
      <c r="M17" s="313">
        <f>'P&amp;L - Concept B2 - NCLH'!F12</f>
        <v>51920.067226246269</v>
      </c>
      <c r="N17" s="313">
        <f>'P&amp;L - Concept B2 - NCLH'!G12</f>
        <v>51920.067226246269</v>
      </c>
      <c r="O17" s="313">
        <f>'P&amp;L - Concept B2 - NCLH'!H12</f>
        <v>51920.067226246269</v>
      </c>
      <c r="P17" s="313">
        <f>'P&amp;L - Concept B2 - NCLH'!I12</f>
        <v>51920.067226246269</v>
      </c>
      <c r="Q17" s="313">
        <f>'P&amp;L - Concept B2 - NCLH'!J12</f>
        <v>51920.067226246269</v>
      </c>
      <c r="R17" s="313">
        <f>'P&amp;L - Concept B2 - NCLH'!K12</f>
        <v>51920.067226246269</v>
      </c>
      <c r="S17" s="313">
        <f>'P&amp;L - Concept B2 - NCLH'!L12</f>
        <v>51920.067226246269</v>
      </c>
      <c r="T17" s="313">
        <f>'P&amp;L - Concept B2 - NCLH'!M12</f>
        <v>51920.067226246269</v>
      </c>
      <c r="U17" s="313">
        <f>'P&amp;L - Concept B2 - NCLH'!N12</f>
        <v>51920.067226246269</v>
      </c>
      <c r="V17" s="313">
        <f>'P&amp;L - Concept B2 - NCLH'!O12</f>
        <v>51920.067226246269</v>
      </c>
      <c r="W17" s="313">
        <f>'P&amp;L - Concept B2 - NCLH'!P12</f>
        <v>51920.067226246269</v>
      </c>
      <c r="X17" s="313">
        <f>'P&amp;L - Concept B2 - NCLH'!Q12</f>
        <v>51920.067226246269</v>
      </c>
      <c r="Y17" s="313">
        <f>'P&amp;L - Concept B2 - NCLH'!R12</f>
        <v>51920.067226246269</v>
      </c>
      <c r="Z17" s="313">
        <f>'P&amp;L - Concept B2 - NCLH'!S12</f>
        <v>51920.067226246269</v>
      </c>
      <c r="AA17" s="313">
        <f>'P&amp;L - Concept B2 - NCLH'!T12</f>
        <v>51920.067226246269</v>
      </c>
      <c r="AB17" s="313">
        <f>'P&amp;L - Concept B2 - NCLH'!U12</f>
        <v>51920.067226246269</v>
      </c>
      <c r="AC17" s="313">
        <f>'P&amp;L - Concept B2 - NCLH'!V12</f>
        <v>51920.067226246269</v>
      </c>
      <c r="AD17" s="313">
        <f>'P&amp;L - Concept B2 - NCLH'!W12</f>
        <v>51920.067226246269</v>
      </c>
      <c r="AE17" s="313">
        <f>'P&amp;L - Concept B2 - NCLH'!X12</f>
        <v>51920.067226246269</v>
      </c>
    </row>
    <row r="18" spans="1:31" s="96" customFormat="1">
      <c r="A18" s="53" t="str">
        <f>'Cruise Projections'!A68</f>
        <v>Calls</v>
      </c>
      <c r="B18" s="487"/>
      <c r="C18" s="487"/>
      <c r="K18" s="486">
        <f>'P&amp;L - Concept B2 - NCLH'!D13</f>
        <v>0</v>
      </c>
      <c r="L18" s="313">
        <f>'P&amp;L - Concept B2 - NCLH'!E13</f>
        <v>0</v>
      </c>
      <c r="M18" s="313">
        <f>'P&amp;L - Concept B2 - NCLH'!F13</f>
        <v>27.711111111111112</v>
      </c>
      <c r="N18" s="313">
        <f>'P&amp;L - Concept B2 - NCLH'!G13</f>
        <v>27.711111111111112</v>
      </c>
      <c r="O18" s="313">
        <f>'P&amp;L - Concept B2 - NCLH'!H13</f>
        <v>27.711111111111112</v>
      </c>
      <c r="P18" s="313">
        <f>'P&amp;L - Concept B2 - NCLH'!I13</f>
        <v>27.711111111111112</v>
      </c>
      <c r="Q18" s="313">
        <f>'P&amp;L - Concept B2 - NCLH'!J13</f>
        <v>27.711111111111112</v>
      </c>
      <c r="R18" s="313">
        <f>'P&amp;L - Concept B2 - NCLH'!K13</f>
        <v>27.711111111111112</v>
      </c>
      <c r="S18" s="313">
        <f>'P&amp;L - Concept B2 - NCLH'!L13</f>
        <v>27.711111111111112</v>
      </c>
      <c r="T18" s="313">
        <f>'P&amp;L - Concept B2 - NCLH'!M13</f>
        <v>27.711111111111112</v>
      </c>
      <c r="U18" s="313">
        <f>'P&amp;L - Concept B2 - NCLH'!N13</f>
        <v>27.711111111111112</v>
      </c>
      <c r="V18" s="313">
        <f>'P&amp;L - Concept B2 - NCLH'!O13</f>
        <v>27.711111111111112</v>
      </c>
      <c r="W18" s="313">
        <f>'P&amp;L - Concept B2 - NCLH'!P13</f>
        <v>27.711111111111112</v>
      </c>
      <c r="X18" s="313">
        <f>'P&amp;L - Concept B2 - NCLH'!Q13</f>
        <v>27.711111111111112</v>
      </c>
      <c r="Y18" s="313">
        <f>'P&amp;L - Concept B2 - NCLH'!R13</f>
        <v>27.711111111111112</v>
      </c>
      <c r="Z18" s="313">
        <f>'P&amp;L - Concept B2 - NCLH'!S13</f>
        <v>27.711111111111112</v>
      </c>
      <c r="AA18" s="313">
        <f>'P&amp;L - Concept B2 - NCLH'!T13</f>
        <v>27.711111111111112</v>
      </c>
      <c r="AB18" s="313">
        <f>'P&amp;L - Concept B2 - NCLH'!U13</f>
        <v>27.711111111111112</v>
      </c>
      <c r="AC18" s="313">
        <f>'P&amp;L - Concept B2 - NCLH'!V13</f>
        <v>27.711111111111112</v>
      </c>
      <c r="AD18" s="313">
        <f>'P&amp;L - Concept B2 - NCLH'!W13</f>
        <v>27.711111111111112</v>
      </c>
      <c r="AE18" s="313">
        <f>'P&amp;L - Concept B2 - NCLH'!X13</f>
        <v>27.711111111111112</v>
      </c>
    </row>
    <row r="19" spans="1:31" s="96" customFormat="1">
      <c r="A19" s="53" t="str">
        <f>'Cruise Projections'!A69</f>
        <v>Passengers per Call</v>
      </c>
      <c r="B19" s="487"/>
      <c r="C19" s="487"/>
      <c r="K19" s="486">
        <f>'P&amp;L - Concept B2 - NCLH'!D14</f>
        <v>0</v>
      </c>
      <c r="L19" s="313">
        <f>'P&amp;L - Concept B2 - NCLH'!E14</f>
        <v>0</v>
      </c>
      <c r="M19" s="313">
        <f>'P&amp;L - Concept B2 - NCLH'!F14</f>
        <v>1873.6191059992639</v>
      </c>
      <c r="N19" s="313">
        <f>'P&amp;L - Concept B2 - NCLH'!G14</f>
        <v>1873.6191059992639</v>
      </c>
      <c r="O19" s="313">
        <f>'P&amp;L - Concept B2 - NCLH'!H14</f>
        <v>1873.6191059992639</v>
      </c>
      <c r="P19" s="313">
        <f>'P&amp;L - Concept B2 - NCLH'!I14</f>
        <v>1873.6191059992639</v>
      </c>
      <c r="Q19" s="313">
        <f>'P&amp;L - Concept B2 - NCLH'!J14</f>
        <v>1873.6191059992639</v>
      </c>
      <c r="R19" s="313">
        <f>'P&amp;L - Concept B2 - NCLH'!K14</f>
        <v>1873.6191059992639</v>
      </c>
      <c r="S19" s="313">
        <f>'P&amp;L - Concept B2 - NCLH'!L14</f>
        <v>1873.6191059992639</v>
      </c>
      <c r="T19" s="313">
        <f>'P&amp;L - Concept B2 - NCLH'!M14</f>
        <v>1873.6191059992639</v>
      </c>
      <c r="U19" s="313">
        <f>'P&amp;L - Concept B2 - NCLH'!N14</f>
        <v>1873.6191059992639</v>
      </c>
      <c r="V19" s="313">
        <f>'P&amp;L - Concept B2 - NCLH'!O14</f>
        <v>1873.6191059992639</v>
      </c>
      <c r="W19" s="313">
        <f>'P&amp;L - Concept B2 - NCLH'!P14</f>
        <v>1873.6191059992639</v>
      </c>
      <c r="X19" s="313">
        <f>'P&amp;L - Concept B2 - NCLH'!Q14</f>
        <v>1873.6191059992639</v>
      </c>
      <c r="Y19" s="313">
        <f>'P&amp;L - Concept B2 - NCLH'!R14</f>
        <v>1873.6191059992639</v>
      </c>
      <c r="Z19" s="313">
        <f>'P&amp;L - Concept B2 - NCLH'!S14</f>
        <v>1873.6191059992639</v>
      </c>
      <c r="AA19" s="313">
        <f>'P&amp;L - Concept B2 - NCLH'!T14</f>
        <v>1873.6191059992639</v>
      </c>
      <c r="AB19" s="313">
        <f>'P&amp;L - Concept B2 - NCLH'!U14</f>
        <v>1873.6191059992639</v>
      </c>
      <c r="AC19" s="313">
        <f>'P&amp;L - Concept B2 - NCLH'!V14</f>
        <v>1873.6191059992639</v>
      </c>
      <c r="AD19" s="313">
        <f>'P&amp;L - Concept B2 - NCLH'!W14</f>
        <v>1873.6191059992639</v>
      </c>
      <c r="AE19" s="313">
        <f>'P&amp;L - Concept B2 - NCLH'!X14</f>
        <v>1873.6191059992639</v>
      </c>
    </row>
    <row r="20" spans="1:31" s="96" customFormat="1">
      <c r="A20" s="54" t="s">
        <v>313</v>
      </c>
      <c r="B20" s="487"/>
      <c r="C20" s="487"/>
      <c r="K20" s="486">
        <f>'P&amp;L - Concept B2 - NCLH'!D15</f>
        <v>0</v>
      </c>
      <c r="L20" s="313">
        <f>'P&amp;L - Concept B2 - NCLH'!E15</f>
        <v>0</v>
      </c>
      <c r="M20" s="313">
        <f>'P&amp;L - Concept B2 - NCLH'!F15</f>
        <v>4120</v>
      </c>
      <c r="N20" s="313">
        <f>'P&amp;L - Concept B2 - NCLH'!G15</f>
        <v>4120</v>
      </c>
      <c r="O20" s="313">
        <f>'P&amp;L - Concept B2 - NCLH'!H15</f>
        <v>4120</v>
      </c>
      <c r="P20" s="313">
        <f>'P&amp;L - Concept B2 - NCLH'!I15</f>
        <v>4120</v>
      </c>
      <c r="Q20" s="313">
        <f>'P&amp;L - Concept B2 - NCLH'!J15</f>
        <v>4120</v>
      </c>
      <c r="R20" s="313">
        <f>'P&amp;L - Concept B2 - NCLH'!K15</f>
        <v>4120</v>
      </c>
      <c r="S20" s="313">
        <f>'P&amp;L - Concept B2 - NCLH'!L15</f>
        <v>4120</v>
      </c>
      <c r="T20" s="313">
        <f>'P&amp;L - Concept B2 - NCLH'!M15</f>
        <v>4120</v>
      </c>
      <c r="U20" s="313">
        <f>'P&amp;L - Concept B2 - NCLH'!N15</f>
        <v>4120</v>
      </c>
      <c r="V20" s="313">
        <f>'P&amp;L - Concept B2 - NCLH'!O15</f>
        <v>4120</v>
      </c>
      <c r="W20" s="313">
        <f>'P&amp;L - Concept B2 - NCLH'!P15</f>
        <v>4120</v>
      </c>
      <c r="X20" s="313">
        <f>'P&amp;L - Concept B2 - NCLH'!Q15</f>
        <v>4120</v>
      </c>
      <c r="Y20" s="313">
        <f>'P&amp;L - Concept B2 - NCLH'!R15</f>
        <v>4120</v>
      </c>
      <c r="Z20" s="313">
        <f>'P&amp;L - Concept B2 - NCLH'!S15</f>
        <v>4120</v>
      </c>
      <c r="AA20" s="313">
        <f>'P&amp;L - Concept B2 - NCLH'!T15</f>
        <v>4120</v>
      </c>
      <c r="AB20" s="313">
        <f>'P&amp;L - Concept B2 - NCLH'!U15</f>
        <v>4120</v>
      </c>
      <c r="AC20" s="313">
        <f>'P&amp;L - Concept B2 - NCLH'!V15</f>
        <v>4120</v>
      </c>
      <c r="AD20" s="313">
        <f>'P&amp;L - Concept B2 - NCLH'!W15</f>
        <v>4120</v>
      </c>
      <c r="AE20" s="313">
        <f>'P&amp;L - Concept B2 - NCLH'!X15</f>
        <v>4120</v>
      </c>
    </row>
    <row r="21" spans="1:31" s="18" customFormat="1">
      <c r="A21" s="54"/>
      <c r="B21" s="21"/>
      <c r="C21" s="21"/>
      <c r="K21" s="486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  <c r="Y21" s="313"/>
      <c r="Z21" s="313"/>
      <c r="AA21" s="313"/>
      <c r="AB21" s="313"/>
      <c r="AC21" s="313"/>
      <c r="AD21" s="313"/>
      <c r="AE21" s="313"/>
    </row>
    <row r="22" spans="1:31" s="547" customFormat="1">
      <c r="A22" s="549" t="s">
        <v>163</v>
      </c>
      <c r="B22" s="550"/>
      <c r="C22" s="550"/>
      <c r="K22" s="610"/>
      <c r="L22" s="555"/>
      <c r="M22" s="555"/>
      <c r="N22" s="555"/>
      <c r="O22" s="555"/>
      <c r="P22" s="555"/>
      <c r="Q22" s="555"/>
      <c r="R22" s="555"/>
      <c r="S22" s="555"/>
      <c r="T22" s="555"/>
      <c r="U22" s="555"/>
      <c r="V22" s="555"/>
      <c r="W22" s="555"/>
      <c r="X22" s="555"/>
      <c r="Y22" s="555"/>
      <c r="Z22" s="555"/>
      <c r="AA22" s="555"/>
      <c r="AB22" s="555"/>
      <c r="AC22" s="555"/>
      <c r="AD22" s="555"/>
      <c r="AE22" s="555"/>
    </row>
    <row r="23" spans="1:31" s="341" customFormat="1">
      <c r="A23" s="552" t="str">
        <f>'International Ferry Projections'!A11</f>
        <v>Passengers</v>
      </c>
      <c r="B23" s="553"/>
      <c r="C23" s="553"/>
      <c r="K23" s="554">
        <f>'P&amp;L - Concept B2 - NCLH'!D18</f>
        <v>0</v>
      </c>
      <c r="L23" s="555">
        <f>'P&amp;L - Concept B2 - NCLH'!E18</f>
        <v>60000</v>
      </c>
      <c r="M23" s="555">
        <f>'P&amp;L - Concept B2 - NCLH'!F18</f>
        <v>70000</v>
      </c>
      <c r="N23" s="555">
        <f>'P&amp;L - Concept B2 - NCLH'!G18</f>
        <v>80000</v>
      </c>
      <c r="O23" s="555">
        <f>'P&amp;L - Concept B2 - NCLH'!H18</f>
        <v>80000</v>
      </c>
      <c r="P23" s="555">
        <f>'P&amp;L - Concept B2 - NCLH'!I18</f>
        <v>80000</v>
      </c>
      <c r="Q23" s="555">
        <f>'P&amp;L - Concept B2 - NCLH'!J18</f>
        <v>80000</v>
      </c>
      <c r="R23" s="555">
        <f>'P&amp;L - Concept B2 - NCLH'!K18</f>
        <v>80000</v>
      </c>
      <c r="S23" s="555">
        <f>'P&amp;L - Concept B2 - NCLH'!L18</f>
        <v>80000</v>
      </c>
      <c r="T23" s="555">
        <f>'P&amp;L - Concept B2 - NCLH'!M18</f>
        <v>80000</v>
      </c>
      <c r="U23" s="555">
        <f>'P&amp;L - Concept B2 - NCLH'!N18</f>
        <v>80000</v>
      </c>
      <c r="V23" s="555">
        <f>'P&amp;L - Concept B2 - NCLH'!O18</f>
        <v>80000</v>
      </c>
      <c r="W23" s="555">
        <f>'P&amp;L - Concept B2 - NCLH'!P18</f>
        <v>80000</v>
      </c>
      <c r="X23" s="555">
        <f>'P&amp;L - Concept B2 - NCLH'!Q18</f>
        <v>80000</v>
      </c>
      <c r="Y23" s="555">
        <f>'P&amp;L - Concept B2 - NCLH'!R18</f>
        <v>80000</v>
      </c>
      <c r="Z23" s="555">
        <f>'P&amp;L - Concept B2 - NCLH'!S18</f>
        <v>80000</v>
      </c>
      <c r="AA23" s="555">
        <f>'P&amp;L - Concept B2 - NCLH'!T18</f>
        <v>80000</v>
      </c>
      <c r="AB23" s="555">
        <f>'P&amp;L - Concept B2 - NCLH'!U18</f>
        <v>80000</v>
      </c>
      <c r="AC23" s="555">
        <f>'P&amp;L - Concept B2 - NCLH'!V18</f>
        <v>80000</v>
      </c>
      <c r="AD23" s="555">
        <f>'P&amp;L - Concept B2 - NCLH'!W18</f>
        <v>80000</v>
      </c>
      <c r="AE23" s="555">
        <f>'P&amp;L - Concept B2 - NCLH'!X18</f>
        <v>80000</v>
      </c>
    </row>
    <row r="24" spans="1:31" s="341" customFormat="1">
      <c r="A24" s="552" t="str">
        <f>'International Ferry Projections'!A12</f>
        <v>Cars</v>
      </c>
      <c r="B24" s="553"/>
      <c r="C24" s="553"/>
      <c r="K24" s="554">
        <f>'P&amp;L - Concept B2 - NCLH'!D19</f>
        <v>0</v>
      </c>
      <c r="L24" s="555">
        <f>'P&amp;L - Concept B2 - NCLH'!E19</f>
        <v>24000</v>
      </c>
      <c r="M24" s="555">
        <f>'P&amp;L - Concept B2 - NCLH'!F19</f>
        <v>28000</v>
      </c>
      <c r="N24" s="555">
        <f>'P&amp;L - Concept B2 - NCLH'!G19</f>
        <v>32000</v>
      </c>
      <c r="O24" s="555">
        <f>'P&amp;L - Concept B2 - NCLH'!H19</f>
        <v>32000</v>
      </c>
      <c r="P24" s="555">
        <f>'P&amp;L - Concept B2 - NCLH'!I19</f>
        <v>32000</v>
      </c>
      <c r="Q24" s="555">
        <f>'P&amp;L - Concept B2 - NCLH'!J19</f>
        <v>32000</v>
      </c>
      <c r="R24" s="555">
        <f>'P&amp;L - Concept B2 - NCLH'!K19</f>
        <v>32000</v>
      </c>
      <c r="S24" s="555">
        <f>'P&amp;L - Concept B2 - NCLH'!L19</f>
        <v>32000</v>
      </c>
      <c r="T24" s="555">
        <f>'P&amp;L - Concept B2 - NCLH'!M19</f>
        <v>32000</v>
      </c>
      <c r="U24" s="555">
        <f>'P&amp;L - Concept B2 - NCLH'!N19</f>
        <v>32000</v>
      </c>
      <c r="V24" s="555">
        <f>'P&amp;L - Concept B2 - NCLH'!O19</f>
        <v>32000</v>
      </c>
      <c r="W24" s="555">
        <f>'P&amp;L - Concept B2 - NCLH'!P19</f>
        <v>32000</v>
      </c>
      <c r="X24" s="555">
        <f>'P&amp;L - Concept B2 - NCLH'!Q19</f>
        <v>32000</v>
      </c>
      <c r="Y24" s="555">
        <f>'P&amp;L - Concept B2 - NCLH'!R19</f>
        <v>32000</v>
      </c>
      <c r="Z24" s="555">
        <f>'P&amp;L - Concept B2 - NCLH'!S19</f>
        <v>32000</v>
      </c>
      <c r="AA24" s="555">
        <f>'P&amp;L - Concept B2 - NCLH'!T19</f>
        <v>32000</v>
      </c>
      <c r="AB24" s="555">
        <f>'P&amp;L - Concept B2 - NCLH'!U19</f>
        <v>32000</v>
      </c>
      <c r="AC24" s="555">
        <f>'P&amp;L - Concept B2 - NCLH'!V19</f>
        <v>32000</v>
      </c>
      <c r="AD24" s="555">
        <f>'P&amp;L - Concept B2 - NCLH'!W19</f>
        <v>32000</v>
      </c>
      <c r="AE24" s="555">
        <f>'P&amp;L - Concept B2 - NCLH'!X19</f>
        <v>32000</v>
      </c>
    </row>
    <row r="25" spans="1:31" s="341" customFormat="1">
      <c r="A25" s="552" t="str">
        <f>'International Ferry Projections'!A13</f>
        <v>Buses</v>
      </c>
      <c r="B25" s="553"/>
      <c r="C25" s="553"/>
      <c r="K25" s="554">
        <f>'P&amp;L - Concept B2 - NCLH'!D20</f>
        <v>0</v>
      </c>
      <c r="L25" s="555">
        <f>'P&amp;L - Concept B2 - NCLH'!E20</f>
        <v>40</v>
      </c>
      <c r="M25" s="555">
        <f>'P&amp;L - Concept B2 - NCLH'!F20</f>
        <v>50</v>
      </c>
      <c r="N25" s="555">
        <f>'P&amp;L - Concept B2 - NCLH'!G20</f>
        <v>60</v>
      </c>
      <c r="O25" s="555">
        <f>'P&amp;L - Concept B2 - NCLH'!H20</f>
        <v>60</v>
      </c>
      <c r="P25" s="555">
        <f>'P&amp;L - Concept B2 - NCLH'!I20</f>
        <v>60</v>
      </c>
      <c r="Q25" s="555">
        <f>'P&amp;L - Concept B2 - NCLH'!J20</f>
        <v>60</v>
      </c>
      <c r="R25" s="555">
        <f>'P&amp;L - Concept B2 - NCLH'!K20</f>
        <v>60</v>
      </c>
      <c r="S25" s="555">
        <f>'P&amp;L - Concept B2 - NCLH'!L20</f>
        <v>60</v>
      </c>
      <c r="T25" s="555">
        <f>'P&amp;L - Concept B2 - NCLH'!M20</f>
        <v>60</v>
      </c>
      <c r="U25" s="555">
        <f>'P&amp;L - Concept B2 - NCLH'!N20</f>
        <v>60</v>
      </c>
      <c r="V25" s="555">
        <f>'P&amp;L - Concept B2 - NCLH'!O20</f>
        <v>60</v>
      </c>
      <c r="W25" s="555">
        <f>'P&amp;L - Concept B2 - NCLH'!P20</f>
        <v>60</v>
      </c>
      <c r="X25" s="555">
        <f>'P&amp;L - Concept B2 - NCLH'!Q20</f>
        <v>60</v>
      </c>
      <c r="Y25" s="555">
        <f>'P&amp;L - Concept B2 - NCLH'!R20</f>
        <v>60</v>
      </c>
      <c r="Z25" s="555">
        <f>'P&amp;L - Concept B2 - NCLH'!S20</f>
        <v>60</v>
      </c>
      <c r="AA25" s="555">
        <f>'P&amp;L - Concept B2 - NCLH'!T20</f>
        <v>60</v>
      </c>
      <c r="AB25" s="555">
        <f>'P&amp;L - Concept B2 - NCLH'!U20</f>
        <v>60</v>
      </c>
      <c r="AC25" s="555">
        <f>'P&amp;L - Concept B2 - NCLH'!V20</f>
        <v>60</v>
      </c>
      <c r="AD25" s="555">
        <f>'P&amp;L - Concept B2 - NCLH'!W20</f>
        <v>60</v>
      </c>
      <c r="AE25" s="555">
        <f>'P&amp;L - Concept B2 - NCLH'!X20</f>
        <v>60</v>
      </c>
    </row>
    <row r="26" spans="1:31" s="18" customFormat="1">
      <c r="A26" s="54"/>
      <c r="B26" s="21"/>
      <c r="C26" s="21"/>
      <c r="K26" s="486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</row>
    <row r="27" spans="1:31" s="582" customFormat="1">
      <c r="A27" s="293" t="str">
        <f>'BH Tariffs'!A30</f>
        <v>Local Ferry</v>
      </c>
      <c r="B27" s="581"/>
      <c r="C27" s="581"/>
      <c r="K27" s="486"/>
      <c r="L27" s="313"/>
      <c r="M27" s="313"/>
      <c r="N27" s="313"/>
      <c r="O27" s="313"/>
      <c r="P27" s="313"/>
      <c r="Q27" s="313"/>
      <c r="R27" s="313"/>
      <c r="S27" s="313"/>
      <c r="T27" s="313"/>
      <c r="U27" s="313"/>
      <c r="V27" s="313"/>
      <c r="W27" s="313"/>
      <c r="X27" s="313"/>
      <c r="Y27" s="313"/>
      <c r="Z27" s="313"/>
      <c r="AA27" s="313"/>
      <c r="AB27" s="313"/>
      <c r="AC27" s="313"/>
      <c r="AD27" s="313"/>
      <c r="AE27" s="313"/>
    </row>
    <row r="28" spans="1:31" s="96" customFormat="1">
      <c r="A28" s="54" t="str">
        <f>'BH Tariffs'!A31</f>
        <v>Dock Rent (6 Months Only)</v>
      </c>
      <c r="B28" s="487"/>
      <c r="C28" s="487"/>
      <c r="K28" s="486">
        <f>'P&amp;L - Concept B2 - NCLH'!D23</f>
        <v>0</v>
      </c>
      <c r="L28" s="313" t="str">
        <f>'P&amp;L - Concept B2 - NCLH'!E23</f>
        <v>see Tariff</v>
      </c>
      <c r="M28" s="313" t="str">
        <f>'P&amp;L - Concept B2 - NCLH'!F23</f>
        <v>see Tariff</v>
      </c>
      <c r="N28" s="313" t="str">
        <f>'P&amp;L - Concept B2 - NCLH'!G23</f>
        <v>see Tariff</v>
      </c>
      <c r="O28" s="313" t="str">
        <f>'P&amp;L - Concept B2 - NCLH'!H23</f>
        <v>see Tariff</v>
      </c>
      <c r="P28" s="313" t="str">
        <f>'P&amp;L - Concept B2 - NCLH'!I23</f>
        <v>see Tariff</v>
      </c>
      <c r="Q28" s="313" t="str">
        <f>'P&amp;L - Concept B2 - NCLH'!J23</f>
        <v>see Tariff</v>
      </c>
      <c r="R28" s="313" t="str">
        <f>'P&amp;L - Concept B2 - NCLH'!K23</f>
        <v>see Tariff</v>
      </c>
      <c r="S28" s="313" t="str">
        <f>'P&amp;L - Concept B2 - NCLH'!L23</f>
        <v>see Tariff</v>
      </c>
      <c r="T28" s="313" t="str">
        <f>'P&amp;L - Concept B2 - NCLH'!M23</f>
        <v>see Tariff</v>
      </c>
      <c r="U28" s="313" t="str">
        <f>'P&amp;L - Concept B2 - NCLH'!N23</f>
        <v>see Tariff</v>
      </c>
      <c r="V28" s="313" t="str">
        <f>'P&amp;L - Concept B2 - NCLH'!O23</f>
        <v>see Tariff</v>
      </c>
      <c r="W28" s="313" t="str">
        <f>'P&amp;L - Concept B2 - NCLH'!P23</f>
        <v>see Tariff</v>
      </c>
      <c r="X28" s="313" t="str">
        <f>'P&amp;L - Concept B2 - NCLH'!Q23</f>
        <v>see Tariff</v>
      </c>
      <c r="Y28" s="313" t="str">
        <f>'P&amp;L - Concept B2 - NCLH'!R23</f>
        <v>see Tariff</v>
      </c>
      <c r="Z28" s="313" t="str">
        <f>'P&amp;L - Concept B2 - NCLH'!S23</f>
        <v>see Tariff</v>
      </c>
      <c r="AA28" s="313" t="str">
        <f>'P&amp;L - Concept B2 - NCLH'!T23</f>
        <v>see Tariff</v>
      </c>
      <c r="AB28" s="313" t="str">
        <f>'P&amp;L - Concept B2 - NCLH'!U23</f>
        <v>see Tariff</v>
      </c>
      <c r="AC28" s="313" t="str">
        <f>'P&amp;L - Concept B2 - NCLH'!V23</f>
        <v>see Tariff</v>
      </c>
      <c r="AD28" s="313" t="str">
        <f>'P&amp;L - Concept B2 - NCLH'!W23</f>
        <v>see Tariff</v>
      </c>
      <c r="AE28" s="313" t="str">
        <f>'P&amp;L - Concept B2 - NCLH'!X23</f>
        <v>see Tariff</v>
      </c>
    </row>
    <row r="29" spans="1:31" s="341" customFormat="1">
      <c r="A29" s="552"/>
      <c r="B29" s="553"/>
      <c r="C29" s="553"/>
      <c r="K29" s="554"/>
      <c r="L29" s="313"/>
      <c r="M29" s="313"/>
      <c r="N29" s="313"/>
      <c r="O29" s="313"/>
      <c r="P29" s="313"/>
      <c r="Q29" s="313"/>
      <c r="R29" s="313"/>
      <c r="S29" s="313"/>
      <c r="T29" s="313"/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</row>
    <row r="30" spans="1:31" s="96" customFormat="1">
      <c r="A30" s="559" t="s">
        <v>227</v>
      </c>
      <c r="B30" s="487"/>
      <c r="C30" s="487"/>
      <c r="K30" s="486"/>
      <c r="L30" s="313"/>
      <c r="M30" s="313"/>
      <c r="N30" s="313"/>
      <c r="O30" s="313"/>
      <c r="P30" s="313"/>
      <c r="Q30" s="313"/>
      <c r="R30" s="313"/>
      <c r="S30" s="313"/>
      <c r="T30" s="313"/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</row>
    <row r="31" spans="1:31" s="96" customFormat="1">
      <c r="A31" s="559"/>
      <c r="B31" s="487"/>
      <c r="C31" s="487"/>
      <c r="K31" s="486"/>
      <c r="L31" s="313"/>
      <c r="M31" s="313"/>
      <c r="N31" s="313"/>
      <c r="O31" s="313"/>
      <c r="P31" s="313"/>
      <c r="Q31" s="313"/>
      <c r="R31" s="313"/>
      <c r="S31" s="313"/>
      <c r="T31" s="313"/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</row>
    <row r="32" spans="1:31" s="96" customFormat="1">
      <c r="A32" s="54" t="s">
        <v>420</v>
      </c>
      <c r="B32" s="487"/>
      <c r="C32" s="487"/>
      <c r="K32" s="486">
        <f>'P&amp;L - Concept B2 - NCLH'!D27</f>
        <v>0</v>
      </c>
      <c r="L32" s="313">
        <f>'P&amp;L - Concept B2 - NCLH'!E27</f>
        <v>0</v>
      </c>
      <c r="M32" s="313">
        <f>'P&amp;L - Concept B2 - NCLH'!F27</f>
        <v>214</v>
      </c>
      <c r="N32" s="313">
        <f>'P&amp;L - Concept B2 - NCLH'!G27</f>
        <v>214</v>
      </c>
      <c r="O32" s="313">
        <f>'P&amp;L - Concept B2 - NCLH'!H27</f>
        <v>214</v>
      </c>
      <c r="P32" s="313">
        <f>'P&amp;L - Concept B2 - NCLH'!I27</f>
        <v>214</v>
      </c>
      <c r="Q32" s="313">
        <f>'P&amp;L - Concept B2 - NCLH'!J27</f>
        <v>214</v>
      </c>
      <c r="R32" s="313">
        <f>'P&amp;L - Concept B2 - NCLH'!K27</f>
        <v>214</v>
      </c>
      <c r="S32" s="313">
        <f>'P&amp;L - Concept B2 - NCLH'!L27</f>
        <v>214</v>
      </c>
      <c r="T32" s="313">
        <f>'P&amp;L - Concept B2 - NCLH'!M27</f>
        <v>214</v>
      </c>
      <c r="U32" s="313">
        <f>'P&amp;L - Concept B2 - NCLH'!N27</f>
        <v>214</v>
      </c>
      <c r="V32" s="313">
        <f>'P&amp;L - Concept B2 - NCLH'!O27</f>
        <v>214</v>
      </c>
      <c r="W32" s="313">
        <f>'P&amp;L - Concept B2 - NCLH'!P27</f>
        <v>214</v>
      </c>
      <c r="X32" s="313">
        <f>'P&amp;L - Concept B2 - NCLH'!Q27</f>
        <v>214</v>
      </c>
      <c r="Y32" s="313">
        <f>'P&amp;L - Concept B2 - NCLH'!R27</f>
        <v>214</v>
      </c>
      <c r="Z32" s="313">
        <f>'P&amp;L - Concept B2 - NCLH'!S27</f>
        <v>214</v>
      </c>
      <c r="AA32" s="313">
        <f>'P&amp;L - Concept B2 - NCLH'!T27</f>
        <v>214</v>
      </c>
      <c r="AB32" s="313">
        <f>'P&amp;L - Concept B2 - NCLH'!U27</f>
        <v>214</v>
      </c>
      <c r="AC32" s="313">
        <f>'P&amp;L - Concept B2 - NCLH'!V27</f>
        <v>214</v>
      </c>
      <c r="AD32" s="313">
        <f>'P&amp;L - Concept B2 - NCLH'!W27</f>
        <v>214</v>
      </c>
      <c r="AE32" s="313">
        <f>'P&amp;L - Concept B2 - NCLH'!X27</f>
        <v>214</v>
      </c>
    </row>
    <row r="33" spans="1:31" s="96" customFormat="1">
      <c r="A33" s="54" t="s">
        <v>205</v>
      </c>
      <c r="B33" s="487"/>
      <c r="C33" s="487"/>
      <c r="K33" s="486">
        <f>'P&amp;L - Concept B2 - NCLH'!D28</f>
        <v>0</v>
      </c>
      <c r="L33" s="313">
        <f>'P&amp;L - Concept B2 - NCLH'!E28</f>
        <v>0</v>
      </c>
      <c r="M33" s="313">
        <f>'P&amp;L - Concept B2 - NCLH'!F28</f>
        <v>27.711111111111112</v>
      </c>
      <c r="N33" s="313">
        <f>'P&amp;L - Concept B2 - NCLH'!G28</f>
        <v>27.711111111111112</v>
      </c>
      <c r="O33" s="313">
        <f>'P&amp;L - Concept B2 - NCLH'!H28</f>
        <v>27.711111111111112</v>
      </c>
      <c r="P33" s="313">
        <f>'P&amp;L - Concept B2 - NCLH'!I28</f>
        <v>27.711111111111112</v>
      </c>
      <c r="Q33" s="313">
        <f>'P&amp;L - Concept B2 - NCLH'!J28</f>
        <v>27.711111111111112</v>
      </c>
      <c r="R33" s="313">
        <f>'P&amp;L - Concept B2 - NCLH'!K28</f>
        <v>27.711111111111112</v>
      </c>
      <c r="S33" s="313">
        <f>'P&amp;L - Concept B2 - NCLH'!L28</f>
        <v>27.711111111111112</v>
      </c>
      <c r="T33" s="313">
        <f>'P&amp;L - Concept B2 - NCLH'!M28</f>
        <v>27.711111111111112</v>
      </c>
      <c r="U33" s="313">
        <f>'P&amp;L - Concept B2 - NCLH'!N28</f>
        <v>27.711111111111112</v>
      </c>
      <c r="V33" s="313">
        <f>'P&amp;L - Concept B2 - NCLH'!O28</f>
        <v>27.711111111111112</v>
      </c>
      <c r="W33" s="313">
        <f>'P&amp;L - Concept B2 - NCLH'!P28</f>
        <v>27.711111111111112</v>
      </c>
      <c r="X33" s="313">
        <f>'P&amp;L - Concept B2 - NCLH'!Q28</f>
        <v>27.711111111111112</v>
      </c>
      <c r="Y33" s="313">
        <f>'P&amp;L - Concept B2 - NCLH'!R28</f>
        <v>27.711111111111112</v>
      </c>
      <c r="Z33" s="313">
        <f>'P&amp;L - Concept B2 - NCLH'!S28</f>
        <v>27.711111111111112</v>
      </c>
      <c r="AA33" s="313">
        <f>'P&amp;L - Concept B2 - NCLH'!T28</f>
        <v>27.711111111111112</v>
      </c>
      <c r="AB33" s="313">
        <f>'P&amp;L - Concept B2 - NCLH'!U28</f>
        <v>27.711111111111112</v>
      </c>
      <c r="AC33" s="313">
        <f>'P&amp;L - Concept B2 - NCLH'!V28</f>
        <v>27.711111111111112</v>
      </c>
      <c r="AD33" s="313">
        <f>'P&amp;L - Concept B2 - NCLH'!W28</f>
        <v>27.711111111111112</v>
      </c>
      <c r="AE33" s="313">
        <f>'P&amp;L - Concept B2 - NCLH'!X28</f>
        <v>27.711111111111112</v>
      </c>
    </row>
    <row r="34" spans="1:31" s="341" customFormat="1">
      <c r="A34" s="552" t="s">
        <v>219</v>
      </c>
      <c r="B34" s="553"/>
      <c r="C34" s="553"/>
      <c r="K34" s="554">
        <f>'P&amp;L - Concept B2 - NCLH'!D29</f>
        <v>0</v>
      </c>
      <c r="L34" s="555">
        <f>'P&amp;L - Concept B2 - NCLH'!E29</f>
        <v>150</v>
      </c>
      <c r="M34" s="555">
        <f>'P&amp;L - Concept B2 - NCLH'!F29</f>
        <v>150</v>
      </c>
      <c r="N34" s="555">
        <f>'P&amp;L - Concept B2 - NCLH'!G29</f>
        <v>150</v>
      </c>
      <c r="O34" s="555">
        <f>'P&amp;L - Concept B2 - NCLH'!H29</f>
        <v>150</v>
      </c>
      <c r="P34" s="555">
        <f>'P&amp;L - Concept B2 - NCLH'!I29</f>
        <v>150</v>
      </c>
      <c r="Q34" s="555">
        <f>'P&amp;L - Concept B2 - NCLH'!J29</f>
        <v>150</v>
      </c>
      <c r="R34" s="555">
        <f>'P&amp;L - Concept B2 - NCLH'!K29</f>
        <v>150</v>
      </c>
      <c r="S34" s="555">
        <f>'P&amp;L - Concept B2 - NCLH'!L29</f>
        <v>150</v>
      </c>
      <c r="T34" s="555">
        <f>'P&amp;L - Concept B2 - NCLH'!M29</f>
        <v>150</v>
      </c>
      <c r="U34" s="555">
        <f>'P&amp;L - Concept B2 - NCLH'!N29</f>
        <v>150</v>
      </c>
      <c r="V34" s="555">
        <f>'P&amp;L - Concept B2 - NCLH'!O29</f>
        <v>150</v>
      </c>
      <c r="W34" s="555">
        <f>'P&amp;L - Concept B2 - NCLH'!P29</f>
        <v>150</v>
      </c>
      <c r="X34" s="555">
        <f>'P&amp;L - Concept B2 - NCLH'!Q29</f>
        <v>150</v>
      </c>
      <c r="Y34" s="555">
        <f>'P&amp;L - Concept B2 - NCLH'!R29</f>
        <v>150</v>
      </c>
      <c r="Z34" s="555">
        <f>'P&amp;L - Concept B2 - NCLH'!S29</f>
        <v>150</v>
      </c>
      <c r="AA34" s="555">
        <f>'P&amp;L - Concept B2 - NCLH'!T29</f>
        <v>150</v>
      </c>
      <c r="AB34" s="555">
        <f>'P&amp;L - Concept B2 - NCLH'!U29</f>
        <v>150</v>
      </c>
      <c r="AC34" s="555">
        <f>'P&amp;L - Concept B2 - NCLH'!V29</f>
        <v>150</v>
      </c>
      <c r="AD34" s="555">
        <f>'P&amp;L - Concept B2 - NCLH'!W29</f>
        <v>150</v>
      </c>
      <c r="AE34" s="555">
        <f>'P&amp;L - Concept B2 - NCLH'!X29</f>
        <v>150</v>
      </c>
    </row>
    <row r="35" spans="1:31" s="341" customFormat="1">
      <c r="A35" s="552" t="s">
        <v>220</v>
      </c>
      <c r="B35" s="553"/>
      <c r="C35" s="553"/>
      <c r="K35" s="554">
        <f>'P&amp;L - Concept B2 - NCLH'!D30</f>
        <v>0</v>
      </c>
      <c r="L35" s="788">
        <v>0</v>
      </c>
      <c r="M35" s="788">
        <v>0</v>
      </c>
      <c r="N35" s="788">
        <v>0</v>
      </c>
      <c r="O35" s="788">
        <v>0</v>
      </c>
      <c r="P35" s="788">
        <v>0</v>
      </c>
      <c r="Q35" s="788">
        <v>0</v>
      </c>
      <c r="R35" s="788">
        <v>0</v>
      </c>
      <c r="S35" s="788">
        <v>0</v>
      </c>
      <c r="T35" s="788">
        <v>0</v>
      </c>
      <c r="U35" s="788">
        <v>0</v>
      </c>
      <c r="V35" s="788">
        <v>0</v>
      </c>
      <c r="W35" s="788">
        <v>0</v>
      </c>
      <c r="X35" s="788">
        <v>0</v>
      </c>
      <c r="Y35" s="788">
        <v>0</v>
      </c>
      <c r="Z35" s="788">
        <v>0</v>
      </c>
      <c r="AA35" s="788">
        <v>0</v>
      </c>
      <c r="AB35" s="788">
        <v>0</v>
      </c>
      <c r="AC35" s="788">
        <v>0</v>
      </c>
      <c r="AD35" s="788">
        <v>0</v>
      </c>
      <c r="AE35" s="788">
        <v>0</v>
      </c>
    </row>
    <row r="36" spans="1:31" s="96" customFormat="1">
      <c r="A36" s="54" t="s">
        <v>226</v>
      </c>
      <c r="B36" s="487"/>
      <c r="C36" s="487"/>
      <c r="K36" s="486">
        <f>'P&amp;L - Concept B2 - NCLH'!D31</f>
        <v>0</v>
      </c>
      <c r="L36" s="313">
        <f>'P&amp;L - Concept B2 - NCLH'!E31</f>
        <v>0</v>
      </c>
      <c r="M36" s="313">
        <f>'P&amp;L - Concept B2 - NCLH'!F31</f>
        <v>125</v>
      </c>
      <c r="N36" s="313">
        <f>'P&amp;L - Concept B2 - NCLH'!G31</f>
        <v>125</v>
      </c>
      <c r="O36" s="313">
        <f>'P&amp;L - Concept B2 - NCLH'!H31</f>
        <v>125</v>
      </c>
      <c r="P36" s="313">
        <f>'P&amp;L - Concept B2 - NCLH'!I31</f>
        <v>125</v>
      </c>
      <c r="Q36" s="313">
        <f>'P&amp;L - Concept B2 - NCLH'!J31</f>
        <v>125</v>
      </c>
      <c r="R36" s="313">
        <f>'P&amp;L - Concept B2 - NCLH'!K31</f>
        <v>125</v>
      </c>
      <c r="S36" s="313">
        <f>'P&amp;L - Concept B2 - NCLH'!L31</f>
        <v>125</v>
      </c>
      <c r="T36" s="313">
        <f>'P&amp;L - Concept B2 - NCLH'!M31</f>
        <v>125</v>
      </c>
      <c r="U36" s="313">
        <f>'P&amp;L - Concept B2 - NCLH'!N31</f>
        <v>125</v>
      </c>
      <c r="V36" s="313">
        <f>'P&amp;L - Concept B2 - NCLH'!O31</f>
        <v>125</v>
      </c>
      <c r="W36" s="313">
        <f>'P&amp;L - Concept B2 - NCLH'!P31</f>
        <v>125</v>
      </c>
      <c r="X36" s="313">
        <f>'P&amp;L - Concept B2 - NCLH'!Q31</f>
        <v>125</v>
      </c>
      <c r="Y36" s="313">
        <f>'P&amp;L - Concept B2 - NCLH'!R31</f>
        <v>125</v>
      </c>
      <c r="Z36" s="313">
        <f>'P&amp;L - Concept B2 - NCLH'!S31</f>
        <v>125</v>
      </c>
      <c r="AA36" s="313">
        <f>'P&amp;L - Concept B2 - NCLH'!T31</f>
        <v>125</v>
      </c>
      <c r="AB36" s="313">
        <f>'P&amp;L - Concept B2 - NCLH'!U31</f>
        <v>125</v>
      </c>
      <c r="AC36" s="313">
        <f>'P&amp;L - Concept B2 - NCLH'!V31</f>
        <v>125</v>
      </c>
      <c r="AD36" s="313">
        <f>'P&amp;L - Concept B2 - NCLH'!W31</f>
        <v>125</v>
      </c>
      <c r="AE36" s="313">
        <f>'P&amp;L - Concept B2 - NCLH'!X31</f>
        <v>125</v>
      </c>
    </row>
    <row r="37" spans="1:31" s="18" customFormat="1">
      <c r="A37" s="54"/>
      <c r="B37" s="21"/>
      <c r="C37" s="21"/>
      <c r="K37" s="486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</row>
    <row r="38" spans="1:31" s="96" customFormat="1">
      <c r="A38" s="54" t="s">
        <v>206</v>
      </c>
      <c r="B38" s="487"/>
      <c r="C38" s="487"/>
      <c r="K38" s="486">
        <f>'P&amp;L - Concept B2 - NCLH'!D33</f>
        <v>0</v>
      </c>
      <c r="L38" s="313">
        <f>'P&amp;L - Concept B2 - NCLH'!E33</f>
        <v>0</v>
      </c>
      <c r="M38" s="313">
        <f>'P&amp;L - Concept B2 - NCLH'!F33</f>
        <v>1873.6191059992639</v>
      </c>
      <c r="N38" s="313">
        <f>'P&amp;L - Concept B2 - NCLH'!G33</f>
        <v>1873.6191059992639</v>
      </c>
      <c r="O38" s="313">
        <f>'P&amp;L - Concept B2 - NCLH'!H33</f>
        <v>1873.6191059992639</v>
      </c>
      <c r="P38" s="313">
        <f>'P&amp;L - Concept B2 - NCLH'!I33</f>
        <v>1873.6191059992639</v>
      </c>
      <c r="Q38" s="313">
        <f>'P&amp;L - Concept B2 - NCLH'!J33</f>
        <v>1873.6191059992639</v>
      </c>
      <c r="R38" s="313">
        <f>'P&amp;L - Concept B2 - NCLH'!K33</f>
        <v>1873.6191059992639</v>
      </c>
      <c r="S38" s="313">
        <f>'P&amp;L - Concept B2 - NCLH'!L33</f>
        <v>1873.6191059992639</v>
      </c>
      <c r="T38" s="313">
        <f>'P&amp;L - Concept B2 - NCLH'!M33</f>
        <v>1873.6191059992639</v>
      </c>
      <c r="U38" s="313">
        <f>'P&amp;L - Concept B2 - NCLH'!N33</f>
        <v>1873.6191059992639</v>
      </c>
      <c r="V38" s="313">
        <f>'P&amp;L - Concept B2 - NCLH'!O33</f>
        <v>1873.6191059992639</v>
      </c>
      <c r="W38" s="313">
        <f>'P&amp;L - Concept B2 - NCLH'!P33</f>
        <v>1873.6191059992639</v>
      </c>
      <c r="X38" s="313">
        <f>'P&amp;L - Concept B2 - NCLH'!Q33</f>
        <v>1873.6191059992639</v>
      </c>
      <c r="Y38" s="313">
        <f>'P&amp;L - Concept B2 - NCLH'!R33</f>
        <v>1873.6191059992639</v>
      </c>
      <c r="Z38" s="313">
        <f>'P&amp;L - Concept B2 - NCLH'!S33</f>
        <v>1873.6191059992639</v>
      </c>
      <c r="AA38" s="313">
        <f>'P&amp;L - Concept B2 - NCLH'!T33</f>
        <v>1873.6191059992639</v>
      </c>
      <c r="AB38" s="313">
        <f>'P&amp;L - Concept B2 - NCLH'!U33</f>
        <v>1873.6191059992639</v>
      </c>
      <c r="AC38" s="313">
        <f>'P&amp;L - Concept B2 - NCLH'!V33</f>
        <v>1873.6191059992639</v>
      </c>
      <c r="AD38" s="313">
        <f>'P&amp;L - Concept B2 - NCLH'!W33</f>
        <v>1873.6191059992639</v>
      </c>
      <c r="AE38" s="313">
        <f>'P&amp;L - Concept B2 - NCLH'!X33</f>
        <v>1873.6191059992639</v>
      </c>
    </row>
    <row r="39" spans="1:31" s="96" customFormat="1">
      <c r="A39" s="54" t="s">
        <v>207</v>
      </c>
      <c r="B39" s="487"/>
      <c r="C39" s="487"/>
      <c r="K39" s="486">
        <f>'P&amp;L - Concept B2 - NCLH'!D34</f>
        <v>0</v>
      </c>
      <c r="L39" s="313">
        <f>'P&amp;L - Concept B2 - NCLH'!E34</f>
        <v>0</v>
      </c>
      <c r="M39" s="313">
        <f>'P&amp;L - Concept B2 - NCLH'!F34</f>
        <v>5500</v>
      </c>
      <c r="N39" s="313">
        <f>'P&amp;L - Concept B2 - NCLH'!G34</f>
        <v>5500</v>
      </c>
      <c r="O39" s="313">
        <f>'P&amp;L - Concept B2 - NCLH'!H34</f>
        <v>5500</v>
      </c>
      <c r="P39" s="313">
        <f>'P&amp;L - Concept B2 - NCLH'!I34</f>
        <v>5500</v>
      </c>
      <c r="Q39" s="313">
        <f>'P&amp;L - Concept B2 - NCLH'!J34</f>
        <v>5500</v>
      </c>
      <c r="R39" s="313">
        <f>'P&amp;L - Concept B2 - NCLH'!K34</f>
        <v>5500</v>
      </c>
      <c r="S39" s="313">
        <f>'P&amp;L - Concept B2 - NCLH'!L34</f>
        <v>5500</v>
      </c>
      <c r="T39" s="313">
        <f>'P&amp;L - Concept B2 - NCLH'!M34</f>
        <v>5500</v>
      </c>
      <c r="U39" s="313">
        <f>'P&amp;L - Concept B2 - NCLH'!N34</f>
        <v>5500</v>
      </c>
      <c r="V39" s="313">
        <f>'P&amp;L - Concept B2 - NCLH'!O34</f>
        <v>5500</v>
      </c>
      <c r="W39" s="313">
        <f>'P&amp;L - Concept B2 - NCLH'!P34</f>
        <v>5500</v>
      </c>
      <c r="X39" s="313">
        <f>'P&amp;L - Concept B2 - NCLH'!Q34</f>
        <v>5500</v>
      </c>
      <c r="Y39" s="313">
        <f>'P&amp;L - Concept B2 - NCLH'!R34</f>
        <v>5500</v>
      </c>
      <c r="Z39" s="313">
        <f>'P&amp;L - Concept B2 - NCLH'!S34</f>
        <v>5500</v>
      </c>
      <c r="AA39" s="313">
        <f>'P&amp;L - Concept B2 - NCLH'!T34</f>
        <v>5500</v>
      </c>
      <c r="AB39" s="313">
        <f>'P&amp;L - Concept B2 - NCLH'!U34</f>
        <v>5500</v>
      </c>
      <c r="AC39" s="313">
        <f>'P&amp;L - Concept B2 - NCLH'!V34</f>
        <v>5500</v>
      </c>
      <c r="AD39" s="313">
        <f>'P&amp;L - Concept B2 - NCLH'!W34</f>
        <v>5500</v>
      </c>
      <c r="AE39" s="313">
        <f>'P&amp;L - Concept B2 - NCLH'!X34</f>
        <v>5500</v>
      </c>
    </row>
    <row r="40" spans="1:31" s="341" customFormat="1">
      <c r="A40" s="552" t="s">
        <v>221</v>
      </c>
      <c r="B40" s="553"/>
      <c r="C40" s="553"/>
      <c r="K40" s="554">
        <f>'P&amp;L - Concept B2 - NCLH'!D35</f>
        <v>0</v>
      </c>
      <c r="L40" s="555">
        <f>'P&amp;L - Concept B2 - NCLH'!E35</f>
        <v>400</v>
      </c>
      <c r="M40" s="555">
        <f>'P&amp;L - Concept B2 - NCLH'!F35</f>
        <v>466.66666666666669</v>
      </c>
      <c r="N40" s="555">
        <f>'P&amp;L - Concept B2 - NCLH'!G35</f>
        <v>533.33333333333337</v>
      </c>
      <c r="O40" s="555">
        <f>'P&amp;L - Concept B2 - NCLH'!H35</f>
        <v>533.33333333333337</v>
      </c>
      <c r="P40" s="555">
        <f>'P&amp;L - Concept B2 - NCLH'!I35</f>
        <v>533.33333333333337</v>
      </c>
      <c r="Q40" s="555">
        <f>'P&amp;L - Concept B2 - NCLH'!J35</f>
        <v>533.33333333333337</v>
      </c>
      <c r="R40" s="555">
        <f>'P&amp;L - Concept B2 - NCLH'!K35</f>
        <v>533.33333333333337</v>
      </c>
      <c r="S40" s="555">
        <f>'P&amp;L - Concept B2 - NCLH'!L35</f>
        <v>533.33333333333337</v>
      </c>
      <c r="T40" s="555">
        <f>'P&amp;L - Concept B2 - NCLH'!M35</f>
        <v>533.33333333333337</v>
      </c>
      <c r="U40" s="555">
        <f>'P&amp;L - Concept B2 - NCLH'!N35</f>
        <v>533.33333333333337</v>
      </c>
      <c r="V40" s="555">
        <f>'P&amp;L - Concept B2 - NCLH'!O35</f>
        <v>533.33333333333337</v>
      </c>
      <c r="W40" s="555">
        <f>'P&amp;L - Concept B2 - NCLH'!P35</f>
        <v>533.33333333333337</v>
      </c>
      <c r="X40" s="555">
        <f>'P&amp;L - Concept B2 - NCLH'!Q35</f>
        <v>533.33333333333337</v>
      </c>
      <c r="Y40" s="555">
        <f>'P&amp;L - Concept B2 - NCLH'!R35</f>
        <v>533.33333333333337</v>
      </c>
      <c r="Z40" s="555">
        <f>'P&amp;L - Concept B2 - NCLH'!S35</f>
        <v>533.33333333333337</v>
      </c>
      <c r="AA40" s="555">
        <f>'P&amp;L - Concept B2 - NCLH'!T35</f>
        <v>533.33333333333337</v>
      </c>
      <c r="AB40" s="555">
        <f>'P&amp;L - Concept B2 - NCLH'!U35</f>
        <v>533.33333333333337</v>
      </c>
      <c r="AC40" s="555">
        <f>'P&amp;L - Concept B2 - NCLH'!V35</f>
        <v>533.33333333333337</v>
      </c>
      <c r="AD40" s="555">
        <f>'P&amp;L - Concept B2 - NCLH'!W35</f>
        <v>533.33333333333337</v>
      </c>
      <c r="AE40" s="555">
        <f>'P&amp;L - Concept B2 - NCLH'!X35</f>
        <v>533.33333333333337</v>
      </c>
    </row>
    <row r="41" spans="1:31" s="341" customFormat="1">
      <c r="A41" s="552" t="s">
        <v>222</v>
      </c>
      <c r="B41" s="553"/>
      <c r="C41" s="553"/>
      <c r="K41" s="554">
        <f>'P&amp;L - Concept B2 - NCLH'!D36</f>
        <v>0</v>
      </c>
      <c r="L41" s="555">
        <f>'P&amp;L - Concept B2 - NCLH'!E36</f>
        <v>800</v>
      </c>
      <c r="M41" s="555">
        <f>'P&amp;L - Concept B2 - NCLH'!F36</f>
        <v>800</v>
      </c>
      <c r="N41" s="555">
        <f>'P&amp;L - Concept B2 - NCLH'!G36</f>
        <v>800</v>
      </c>
      <c r="O41" s="555">
        <f>'P&amp;L - Concept B2 - NCLH'!H36</f>
        <v>800</v>
      </c>
      <c r="P41" s="555">
        <f>'P&amp;L - Concept B2 - NCLH'!I36</f>
        <v>800</v>
      </c>
      <c r="Q41" s="555">
        <f>'P&amp;L - Concept B2 - NCLH'!J36</f>
        <v>800</v>
      </c>
      <c r="R41" s="555">
        <f>'P&amp;L - Concept B2 - NCLH'!K36</f>
        <v>800</v>
      </c>
      <c r="S41" s="555">
        <f>'P&amp;L - Concept B2 - NCLH'!L36</f>
        <v>800</v>
      </c>
      <c r="T41" s="555">
        <f>'P&amp;L - Concept B2 - NCLH'!M36</f>
        <v>800</v>
      </c>
      <c r="U41" s="555">
        <f>'P&amp;L - Concept B2 - NCLH'!N36</f>
        <v>800</v>
      </c>
      <c r="V41" s="555">
        <f>'P&amp;L - Concept B2 - NCLH'!O36</f>
        <v>800</v>
      </c>
      <c r="W41" s="555">
        <f>'P&amp;L - Concept B2 - NCLH'!P36</f>
        <v>800</v>
      </c>
      <c r="X41" s="555">
        <f>'P&amp;L - Concept B2 - NCLH'!Q36</f>
        <v>800</v>
      </c>
      <c r="Y41" s="555">
        <f>'P&amp;L - Concept B2 - NCLH'!R36</f>
        <v>800</v>
      </c>
      <c r="Z41" s="555">
        <f>'P&amp;L - Concept B2 - NCLH'!S36</f>
        <v>800</v>
      </c>
      <c r="AA41" s="555">
        <f>'P&amp;L - Concept B2 - NCLH'!T36</f>
        <v>800</v>
      </c>
      <c r="AB41" s="555">
        <f>'P&amp;L - Concept B2 - NCLH'!U36</f>
        <v>800</v>
      </c>
      <c r="AC41" s="555">
        <f>'P&amp;L - Concept B2 - NCLH'!V36</f>
        <v>800</v>
      </c>
      <c r="AD41" s="555">
        <f>'P&amp;L - Concept B2 - NCLH'!W36</f>
        <v>800</v>
      </c>
      <c r="AE41" s="555">
        <f>'P&amp;L - Concept B2 - NCLH'!X36</f>
        <v>800</v>
      </c>
    </row>
    <row r="42" spans="1:31" s="341" customFormat="1">
      <c r="A42" s="552" t="s">
        <v>208</v>
      </c>
      <c r="B42" s="553"/>
      <c r="C42" s="553"/>
      <c r="K42" s="554">
        <f>'P&amp;L - Concept B2 - NCLH'!D37</f>
        <v>0</v>
      </c>
      <c r="L42" s="555">
        <f>'P&amp;L - Concept B2 - NCLH'!E37</f>
        <v>800</v>
      </c>
      <c r="M42" s="555">
        <f>'P&amp;L - Concept B2 - NCLH'!F37</f>
        <v>6300</v>
      </c>
      <c r="N42" s="555">
        <f>'P&amp;L - Concept B2 - NCLH'!G37</f>
        <v>6300</v>
      </c>
      <c r="O42" s="555">
        <f>'P&amp;L - Concept B2 - NCLH'!H37</f>
        <v>6300</v>
      </c>
      <c r="P42" s="555">
        <f>'P&amp;L - Concept B2 - NCLH'!I37</f>
        <v>6300</v>
      </c>
      <c r="Q42" s="555">
        <f>'P&amp;L - Concept B2 - NCLH'!J37</f>
        <v>6300</v>
      </c>
      <c r="R42" s="555">
        <f>'P&amp;L - Concept B2 - NCLH'!K37</f>
        <v>6300</v>
      </c>
      <c r="S42" s="555">
        <f>'P&amp;L - Concept B2 - NCLH'!L37</f>
        <v>6300</v>
      </c>
      <c r="T42" s="555">
        <f>'P&amp;L - Concept B2 - NCLH'!M37</f>
        <v>6300</v>
      </c>
      <c r="U42" s="555">
        <f>'P&amp;L - Concept B2 - NCLH'!N37</f>
        <v>6300</v>
      </c>
      <c r="V42" s="555">
        <f>'P&amp;L - Concept B2 - NCLH'!O37</f>
        <v>6300</v>
      </c>
      <c r="W42" s="555">
        <f>'P&amp;L - Concept B2 - NCLH'!P37</f>
        <v>6300</v>
      </c>
      <c r="X42" s="555">
        <f>'P&amp;L - Concept B2 - NCLH'!Q37</f>
        <v>6300</v>
      </c>
      <c r="Y42" s="555">
        <f>'P&amp;L - Concept B2 - NCLH'!R37</f>
        <v>6300</v>
      </c>
      <c r="Z42" s="555">
        <f>'P&amp;L - Concept B2 - NCLH'!S37</f>
        <v>6300</v>
      </c>
      <c r="AA42" s="555">
        <f>'P&amp;L - Concept B2 - NCLH'!T37</f>
        <v>6300</v>
      </c>
      <c r="AB42" s="555">
        <f>'P&amp;L - Concept B2 - NCLH'!U37</f>
        <v>6300</v>
      </c>
      <c r="AC42" s="555">
        <f>'P&amp;L - Concept B2 - NCLH'!V37</f>
        <v>6300</v>
      </c>
      <c r="AD42" s="555">
        <f>'P&amp;L - Concept B2 - NCLH'!W37</f>
        <v>6300</v>
      </c>
      <c r="AE42" s="555">
        <f>'P&amp;L - Concept B2 - NCLH'!X37</f>
        <v>6300</v>
      </c>
    </row>
    <row r="43" spans="1:31" s="18" customFormat="1">
      <c r="A43" s="54"/>
      <c r="B43" s="21"/>
      <c r="C43" s="21"/>
      <c r="K43" s="486"/>
      <c r="L43" s="313"/>
      <c r="M43" s="313"/>
      <c r="N43" s="313"/>
      <c r="O43" s="313"/>
      <c r="P43" s="313"/>
      <c r="Q43" s="313"/>
      <c r="R43" s="313"/>
      <c r="S43" s="313"/>
      <c r="T43" s="313"/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</row>
    <row r="44" spans="1:31" s="341" customFormat="1">
      <c r="A44" s="552" t="s">
        <v>223</v>
      </c>
      <c r="B44" s="557"/>
      <c r="C44" s="557"/>
      <c r="K44" s="554">
        <f>'P&amp;L - Concept B2 - NCLH'!D39</f>
        <v>0</v>
      </c>
      <c r="L44" s="313">
        <f>'P&amp;L - Concept B2 - NCLH'!E39</f>
        <v>160.26666666666668</v>
      </c>
      <c r="M44" s="313">
        <f>'P&amp;L - Concept B2 - NCLH'!F39</f>
        <v>187</v>
      </c>
      <c r="N44" s="313">
        <f>'P&amp;L - Concept B2 - NCLH'!G39</f>
        <v>213.73333333333332</v>
      </c>
      <c r="O44" s="313">
        <f>'P&amp;L - Concept B2 - NCLH'!H39</f>
        <v>213.73333333333332</v>
      </c>
      <c r="P44" s="313">
        <f>'P&amp;L - Concept B2 - NCLH'!I39</f>
        <v>213.73333333333332</v>
      </c>
      <c r="Q44" s="313">
        <f>'P&amp;L - Concept B2 - NCLH'!J39</f>
        <v>213.73333333333332</v>
      </c>
      <c r="R44" s="313">
        <f>'P&amp;L - Concept B2 - NCLH'!K39</f>
        <v>213.73333333333332</v>
      </c>
      <c r="S44" s="313">
        <f>'P&amp;L - Concept B2 - NCLH'!L39</f>
        <v>213.73333333333332</v>
      </c>
      <c r="T44" s="313">
        <f>'P&amp;L - Concept B2 - NCLH'!M39</f>
        <v>213.73333333333332</v>
      </c>
      <c r="U44" s="313">
        <f>'P&amp;L - Concept B2 - NCLH'!N39</f>
        <v>213.73333333333332</v>
      </c>
      <c r="V44" s="313">
        <f>'P&amp;L - Concept B2 - NCLH'!O39</f>
        <v>213.73333333333332</v>
      </c>
      <c r="W44" s="313">
        <f>'P&amp;L - Concept B2 - NCLH'!P39</f>
        <v>213.73333333333332</v>
      </c>
      <c r="X44" s="313">
        <f>'P&amp;L - Concept B2 - NCLH'!Q39</f>
        <v>213.73333333333332</v>
      </c>
      <c r="Y44" s="313">
        <f>'P&amp;L - Concept B2 - NCLH'!R39</f>
        <v>213.73333333333332</v>
      </c>
      <c r="Z44" s="313">
        <f>'P&amp;L - Concept B2 - NCLH'!S39</f>
        <v>213.73333333333332</v>
      </c>
      <c r="AA44" s="313">
        <f>'P&amp;L - Concept B2 - NCLH'!T39</f>
        <v>213.73333333333332</v>
      </c>
      <c r="AB44" s="313">
        <f>'P&amp;L - Concept B2 - NCLH'!U39</f>
        <v>213.73333333333332</v>
      </c>
      <c r="AC44" s="313">
        <f>'P&amp;L - Concept B2 - NCLH'!V39</f>
        <v>213.73333333333332</v>
      </c>
      <c r="AD44" s="313">
        <f>'P&amp;L - Concept B2 - NCLH'!W39</f>
        <v>213.73333333333332</v>
      </c>
      <c r="AE44" s="313">
        <f>'P&amp;L - Concept B2 - NCLH'!X39</f>
        <v>213.73333333333332</v>
      </c>
    </row>
    <row r="45" spans="1:31" s="18" customFormat="1">
      <c r="A45" s="54"/>
      <c r="B45" s="74"/>
      <c r="C45" s="74"/>
      <c r="K45" s="492"/>
      <c r="L45" s="313"/>
      <c r="M45" s="313"/>
      <c r="N45" s="313"/>
      <c r="O45" s="313"/>
      <c r="P45" s="313"/>
      <c r="Q45" s="313"/>
      <c r="R45" s="313"/>
      <c r="S45" s="313"/>
      <c r="T45" s="313"/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</row>
    <row r="46" spans="1:31" s="18" customFormat="1">
      <c r="A46" s="293" t="s">
        <v>26</v>
      </c>
      <c r="B46" s="74"/>
      <c r="C46" s="74"/>
      <c r="K46" s="492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</row>
    <row r="47" spans="1:31" s="18" customFormat="1">
      <c r="A47" s="54" t="s">
        <v>264</v>
      </c>
      <c r="B47" s="277"/>
      <c r="C47" s="74"/>
      <c r="K47" s="486">
        <f>'P&amp;L - Concept B2 - NCLH'!D42</f>
        <v>0</v>
      </c>
      <c r="L47" s="313">
        <f>'P&amp;L - Concept B2 - NCLH'!E42</f>
        <v>1381.6770833333335</v>
      </c>
      <c r="M47" s="313">
        <f>'P&amp;L - Concept B2 - NCLH'!F42</f>
        <v>2763.354166666667</v>
      </c>
      <c r="N47" s="313">
        <f>'P&amp;L - Concept B2 - NCLH'!G42</f>
        <v>2763.354166666667</v>
      </c>
      <c r="O47" s="313">
        <f>'P&amp;L - Concept B2 - NCLH'!H42</f>
        <v>2763.354166666667</v>
      </c>
      <c r="P47" s="313">
        <f>'P&amp;L - Concept B2 - NCLH'!I42</f>
        <v>2763.354166666667</v>
      </c>
      <c r="Q47" s="313">
        <f>'P&amp;L - Concept B2 - NCLH'!J42</f>
        <v>2763.354166666667</v>
      </c>
      <c r="R47" s="313">
        <f>'P&amp;L - Concept B2 - NCLH'!K42</f>
        <v>2763.354166666667</v>
      </c>
      <c r="S47" s="313">
        <f>'P&amp;L - Concept B2 - NCLH'!L42</f>
        <v>2763.354166666667</v>
      </c>
      <c r="T47" s="313">
        <f>'P&amp;L - Concept B2 - NCLH'!M42</f>
        <v>2763.354166666667</v>
      </c>
      <c r="U47" s="313">
        <f>'P&amp;L - Concept B2 - NCLH'!N42</f>
        <v>2763.354166666667</v>
      </c>
      <c r="V47" s="313">
        <f>'P&amp;L - Concept B2 - NCLH'!O42</f>
        <v>2763.354166666667</v>
      </c>
      <c r="W47" s="313">
        <f>'P&amp;L - Concept B2 - NCLH'!P42</f>
        <v>2763.354166666667</v>
      </c>
      <c r="X47" s="313">
        <f>'P&amp;L - Concept B2 - NCLH'!Q42</f>
        <v>2763.354166666667</v>
      </c>
      <c r="Y47" s="313">
        <f>'P&amp;L - Concept B2 - NCLH'!R42</f>
        <v>2763.354166666667</v>
      </c>
      <c r="Z47" s="313">
        <f>'P&amp;L - Concept B2 - NCLH'!S42</f>
        <v>2763.354166666667</v>
      </c>
      <c r="AA47" s="313">
        <f>'P&amp;L - Concept B2 - NCLH'!T42</f>
        <v>2763.354166666667</v>
      </c>
      <c r="AB47" s="313">
        <f>'P&amp;L - Concept B2 - NCLH'!U42</f>
        <v>2763.354166666667</v>
      </c>
      <c r="AC47" s="313">
        <f>'P&amp;L - Concept B2 - NCLH'!V42</f>
        <v>2763.354166666667</v>
      </c>
      <c r="AD47" s="313">
        <f>'P&amp;L - Concept B2 - NCLH'!W42</f>
        <v>2763.354166666667</v>
      </c>
      <c r="AE47" s="313">
        <f>'P&amp;L - Concept B2 - NCLH'!X42</f>
        <v>2763.354166666667</v>
      </c>
    </row>
    <row r="48" spans="1:31" s="18" customFormat="1">
      <c r="A48" s="54" t="s">
        <v>267</v>
      </c>
      <c r="B48" s="277"/>
      <c r="C48" s="74"/>
      <c r="K48" s="486">
        <f>'P&amp;L - Concept B2 - NCLH'!D43</f>
        <v>0</v>
      </c>
      <c r="L48" s="313">
        <f>'P&amp;L - Concept B2 - NCLH'!E43</f>
        <v>14009.916666666664</v>
      </c>
      <c r="M48" s="313">
        <f>'P&amp;L - Concept B2 - NCLH'!F43</f>
        <v>28019.833333333328</v>
      </c>
      <c r="N48" s="313">
        <f>'P&amp;L - Concept B2 - NCLH'!G43</f>
        <v>28019.833333333328</v>
      </c>
      <c r="O48" s="313">
        <f>'P&amp;L - Concept B2 - NCLH'!H43</f>
        <v>28019.833333333328</v>
      </c>
      <c r="P48" s="313">
        <f>'P&amp;L - Concept B2 - NCLH'!I43</f>
        <v>28019.833333333328</v>
      </c>
      <c r="Q48" s="313">
        <f>'P&amp;L - Concept B2 - NCLH'!J43</f>
        <v>28019.833333333328</v>
      </c>
      <c r="R48" s="313">
        <f>'P&amp;L - Concept B2 - NCLH'!K43</f>
        <v>28019.833333333328</v>
      </c>
      <c r="S48" s="313">
        <f>'P&amp;L - Concept B2 - NCLH'!L43</f>
        <v>28019.833333333328</v>
      </c>
      <c r="T48" s="313">
        <f>'P&amp;L - Concept B2 - NCLH'!M43</f>
        <v>28019.833333333328</v>
      </c>
      <c r="U48" s="313">
        <f>'P&amp;L - Concept B2 - NCLH'!N43</f>
        <v>28019.833333333328</v>
      </c>
      <c r="V48" s="313">
        <f>'P&amp;L - Concept B2 - NCLH'!O43</f>
        <v>28019.833333333328</v>
      </c>
      <c r="W48" s="313">
        <f>'P&amp;L - Concept B2 - NCLH'!P43</f>
        <v>28019.833333333328</v>
      </c>
      <c r="X48" s="313">
        <f>'P&amp;L - Concept B2 - NCLH'!Q43</f>
        <v>28019.833333333328</v>
      </c>
      <c r="Y48" s="313">
        <f>'P&amp;L - Concept B2 - NCLH'!R43</f>
        <v>28019.833333333328</v>
      </c>
      <c r="Z48" s="313">
        <f>'P&amp;L - Concept B2 - NCLH'!S43</f>
        <v>28019.833333333328</v>
      </c>
      <c r="AA48" s="313">
        <f>'P&amp;L - Concept B2 - NCLH'!T43</f>
        <v>28019.833333333328</v>
      </c>
      <c r="AB48" s="313">
        <f>'P&amp;L - Concept B2 - NCLH'!U43</f>
        <v>28019.833333333328</v>
      </c>
      <c r="AC48" s="313">
        <f>'P&amp;L - Concept B2 - NCLH'!V43</f>
        <v>28019.833333333328</v>
      </c>
      <c r="AD48" s="313">
        <f>'P&amp;L - Concept B2 - NCLH'!W43</f>
        <v>28019.833333333328</v>
      </c>
      <c r="AE48" s="313">
        <f>'P&amp;L - Concept B2 - NCLH'!X43</f>
        <v>28019.833333333328</v>
      </c>
    </row>
    <row r="49" spans="1:32 16384:16384" s="96" customFormat="1">
      <c r="A49" s="54" t="s">
        <v>274</v>
      </c>
      <c r="B49" s="435"/>
      <c r="C49" s="583"/>
      <c r="K49" s="486">
        <f>'P&amp;L - Concept B2 - NCLH'!D44</f>
        <v>0</v>
      </c>
      <c r="L49" s="313">
        <f>'P&amp;L - Concept B2 - NCLH'!E44</f>
        <v>15391.593749999998</v>
      </c>
      <c r="M49" s="313">
        <f>'P&amp;L - Concept B2 - NCLH'!F44</f>
        <v>30783.187499999996</v>
      </c>
      <c r="N49" s="313">
        <f>'P&amp;L - Concept B2 - NCLH'!G44</f>
        <v>30783.187499999996</v>
      </c>
      <c r="O49" s="313">
        <f>'P&amp;L - Concept B2 - NCLH'!H44</f>
        <v>30783.187499999996</v>
      </c>
      <c r="P49" s="313">
        <f>'P&amp;L - Concept B2 - NCLH'!I44</f>
        <v>30783.187499999996</v>
      </c>
      <c r="Q49" s="313">
        <f>'P&amp;L - Concept B2 - NCLH'!J44</f>
        <v>30783.187499999996</v>
      </c>
      <c r="R49" s="313">
        <f>'P&amp;L - Concept B2 - NCLH'!K44</f>
        <v>30783.187499999996</v>
      </c>
      <c r="S49" s="313">
        <f>'P&amp;L - Concept B2 - NCLH'!L44</f>
        <v>30783.187499999996</v>
      </c>
      <c r="T49" s="313">
        <f>'P&amp;L - Concept B2 - NCLH'!M44</f>
        <v>30783.187499999996</v>
      </c>
      <c r="U49" s="313">
        <f>'P&amp;L - Concept B2 - NCLH'!N44</f>
        <v>30783.187499999996</v>
      </c>
      <c r="V49" s="313">
        <f>'P&amp;L - Concept B2 - NCLH'!O44</f>
        <v>30783.187499999996</v>
      </c>
      <c r="W49" s="313">
        <f>'P&amp;L - Concept B2 - NCLH'!P44</f>
        <v>30783.187499999996</v>
      </c>
      <c r="X49" s="313">
        <f>'P&amp;L - Concept B2 - NCLH'!Q44</f>
        <v>30783.187499999996</v>
      </c>
      <c r="Y49" s="313">
        <f>'P&amp;L - Concept B2 - NCLH'!R44</f>
        <v>30783.187499999996</v>
      </c>
      <c r="Z49" s="313">
        <f>'P&amp;L - Concept B2 - NCLH'!S44</f>
        <v>30783.187499999996</v>
      </c>
      <c r="AA49" s="313">
        <f>'P&amp;L - Concept B2 - NCLH'!T44</f>
        <v>30783.187499999996</v>
      </c>
      <c r="AB49" s="313">
        <f>'P&amp;L - Concept B2 - NCLH'!U44</f>
        <v>30783.187499999996</v>
      </c>
      <c r="AC49" s="313">
        <f>'P&amp;L - Concept B2 - NCLH'!V44</f>
        <v>30783.187499999996</v>
      </c>
      <c r="AD49" s="313">
        <f>'P&amp;L - Concept B2 - NCLH'!W44</f>
        <v>30783.187499999996</v>
      </c>
      <c r="AE49" s="313">
        <f>'P&amp;L - Concept B2 - NCLH'!X44</f>
        <v>30783.187499999996</v>
      </c>
    </row>
    <row r="50" spans="1:32 16384:16384" s="18" customFormat="1">
      <c r="A50" s="54"/>
      <c r="B50" s="277"/>
      <c r="C50" s="74"/>
      <c r="K50" s="499"/>
      <c r="L50" s="313"/>
      <c r="M50" s="313"/>
      <c r="N50" s="313"/>
      <c r="O50" s="313"/>
      <c r="P50" s="313"/>
      <c r="Q50" s="313"/>
      <c r="R50" s="313"/>
      <c r="S50" s="313"/>
      <c r="T50" s="313"/>
      <c r="U50" s="313"/>
      <c r="V50" s="313"/>
      <c r="W50" s="313"/>
      <c r="X50" s="313"/>
      <c r="Y50" s="313"/>
      <c r="Z50" s="313"/>
      <c r="AA50" s="313"/>
      <c r="AB50" s="313"/>
      <c r="AC50" s="313"/>
      <c r="AD50" s="313"/>
      <c r="AE50" s="313"/>
    </row>
    <row r="51" spans="1:32 16384:16384" s="341" customFormat="1">
      <c r="A51" s="552" t="s">
        <v>224</v>
      </c>
      <c r="B51" s="556"/>
      <c r="C51" s="557"/>
      <c r="K51" s="554">
        <f>'P&amp;L - Concept B2 - NCLH'!D46</f>
        <v>0</v>
      </c>
      <c r="L51" s="558">
        <f>'P&amp;L - Concept B2 - NCLH'!E46</f>
        <v>3</v>
      </c>
      <c r="M51" s="558">
        <f>'P&amp;L - Concept B2 - NCLH'!F46</f>
        <v>3</v>
      </c>
      <c r="N51" s="558">
        <f>'P&amp;L - Concept B2 - NCLH'!G46</f>
        <v>3</v>
      </c>
      <c r="O51" s="558">
        <f>'P&amp;L - Concept B2 - NCLH'!H46</f>
        <v>3</v>
      </c>
      <c r="P51" s="558">
        <f>'P&amp;L - Concept B2 - NCLH'!I46</f>
        <v>3</v>
      </c>
      <c r="Q51" s="558">
        <f>'P&amp;L - Concept B2 - NCLH'!J46</f>
        <v>3</v>
      </c>
      <c r="R51" s="558">
        <f>'P&amp;L - Concept B2 - NCLH'!K46</f>
        <v>3</v>
      </c>
      <c r="S51" s="558">
        <f>'P&amp;L - Concept B2 - NCLH'!L46</f>
        <v>3</v>
      </c>
      <c r="T51" s="558">
        <f>'P&amp;L - Concept B2 - NCLH'!M46</f>
        <v>3</v>
      </c>
      <c r="U51" s="558">
        <f>'P&amp;L - Concept B2 - NCLH'!N46</f>
        <v>3</v>
      </c>
      <c r="V51" s="558">
        <f>'P&amp;L - Concept B2 - NCLH'!O46</f>
        <v>3</v>
      </c>
      <c r="W51" s="558">
        <f>'P&amp;L - Concept B2 - NCLH'!P46</f>
        <v>3</v>
      </c>
      <c r="X51" s="558">
        <f>'P&amp;L - Concept B2 - NCLH'!Q46</f>
        <v>3</v>
      </c>
      <c r="Y51" s="558">
        <f>'P&amp;L - Concept B2 - NCLH'!R46</f>
        <v>3</v>
      </c>
      <c r="Z51" s="558">
        <f>'P&amp;L - Concept B2 - NCLH'!S46</f>
        <v>3</v>
      </c>
      <c r="AA51" s="558">
        <f>'P&amp;L - Concept B2 - NCLH'!T46</f>
        <v>3</v>
      </c>
      <c r="AB51" s="558">
        <f>'P&amp;L - Concept B2 - NCLH'!U46</f>
        <v>3</v>
      </c>
      <c r="AC51" s="558">
        <f>'P&amp;L - Concept B2 - NCLH'!V46</f>
        <v>3</v>
      </c>
      <c r="AD51" s="558">
        <f>'P&amp;L - Concept B2 - NCLH'!W46</f>
        <v>3</v>
      </c>
      <c r="AE51" s="558">
        <f>'P&amp;L - Concept B2 - NCLH'!X46</f>
        <v>3</v>
      </c>
    </row>
    <row r="52" spans="1:32 16384:16384" s="96" customFormat="1">
      <c r="A52" s="54" t="s">
        <v>225</v>
      </c>
      <c r="B52" s="435"/>
      <c r="C52" s="583"/>
      <c r="K52" s="486">
        <f>'P&amp;L - Concept B2 - NCLH'!D47</f>
        <v>0</v>
      </c>
      <c r="L52" s="496">
        <f>'P&amp;L - Concept B2 - NCLH'!E47</f>
        <v>1</v>
      </c>
      <c r="M52" s="496">
        <f>'P&amp;L - Concept B2 - NCLH'!F47</f>
        <v>1</v>
      </c>
      <c r="N52" s="496">
        <f>'P&amp;L - Concept B2 - NCLH'!G47</f>
        <v>1</v>
      </c>
      <c r="O52" s="496">
        <f>'P&amp;L - Concept B2 - NCLH'!H47</f>
        <v>1</v>
      </c>
      <c r="P52" s="496">
        <f>'P&amp;L - Concept B2 - NCLH'!I47</f>
        <v>1</v>
      </c>
      <c r="Q52" s="496">
        <f>'P&amp;L - Concept B2 - NCLH'!J47</f>
        <v>1</v>
      </c>
      <c r="R52" s="496">
        <f>'P&amp;L - Concept B2 - NCLH'!K47</f>
        <v>1</v>
      </c>
      <c r="S52" s="496">
        <f>'P&amp;L - Concept B2 - NCLH'!L47</f>
        <v>1</v>
      </c>
      <c r="T52" s="496">
        <f>'P&amp;L - Concept B2 - NCLH'!M47</f>
        <v>1</v>
      </c>
      <c r="U52" s="496">
        <f>'P&amp;L - Concept B2 - NCLH'!N47</f>
        <v>1</v>
      </c>
      <c r="V52" s="496">
        <f>'P&amp;L - Concept B2 - NCLH'!O47</f>
        <v>1</v>
      </c>
      <c r="W52" s="496">
        <f>'P&amp;L - Concept B2 - NCLH'!P47</f>
        <v>1</v>
      </c>
      <c r="X52" s="496">
        <f>'P&amp;L - Concept B2 - NCLH'!Q47</f>
        <v>1</v>
      </c>
      <c r="Y52" s="496">
        <f>'P&amp;L - Concept B2 - NCLH'!R47</f>
        <v>1</v>
      </c>
      <c r="Z52" s="496">
        <f>'P&amp;L - Concept B2 - NCLH'!S47</f>
        <v>1</v>
      </c>
      <c r="AA52" s="496">
        <f>'P&amp;L - Concept B2 - NCLH'!T47</f>
        <v>1</v>
      </c>
      <c r="AB52" s="496">
        <f>'P&amp;L - Concept B2 - NCLH'!U47</f>
        <v>1</v>
      </c>
      <c r="AC52" s="496">
        <f>'P&amp;L - Concept B2 - NCLH'!V47</f>
        <v>1</v>
      </c>
      <c r="AD52" s="496">
        <f>'P&amp;L - Concept B2 - NCLH'!W47</f>
        <v>1</v>
      </c>
      <c r="AE52" s="496">
        <f>'P&amp;L - Concept B2 - NCLH'!X47</f>
        <v>1</v>
      </c>
    </row>
    <row r="53" spans="1:32 16384:16384" s="18" customFormat="1">
      <c r="A53" s="54" t="s">
        <v>209</v>
      </c>
      <c r="B53" s="277"/>
      <c r="C53" s="74"/>
      <c r="K53" s="486">
        <f>'P&amp;L - Concept B2 - NCLH'!D48</f>
        <v>0</v>
      </c>
      <c r="L53" s="496">
        <f>'P&amp;L - Concept B2 - NCLH'!E48</f>
        <v>0.5</v>
      </c>
      <c r="M53" s="496">
        <f>'P&amp;L - Concept B2 - NCLH'!F48</f>
        <v>0.5</v>
      </c>
      <c r="N53" s="496">
        <f>'P&amp;L - Concept B2 - NCLH'!G48</f>
        <v>0.5</v>
      </c>
      <c r="O53" s="496">
        <f>'P&amp;L - Concept B2 - NCLH'!H48</f>
        <v>0.5</v>
      </c>
      <c r="P53" s="496">
        <f>'P&amp;L - Concept B2 - NCLH'!I48</f>
        <v>0.5</v>
      </c>
      <c r="Q53" s="496">
        <f>'P&amp;L - Concept B2 - NCLH'!J48</f>
        <v>0.5</v>
      </c>
      <c r="R53" s="496">
        <f>'P&amp;L - Concept B2 - NCLH'!K48</f>
        <v>0.5</v>
      </c>
      <c r="S53" s="496">
        <f>'P&amp;L - Concept B2 - NCLH'!L48</f>
        <v>0.5</v>
      </c>
      <c r="T53" s="496">
        <f>'P&amp;L - Concept B2 - NCLH'!M48</f>
        <v>0.5</v>
      </c>
      <c r="U53" s="496">
        <f>'P&amp;L - Concept B2 - NCLH'!N48</f>
        <v>0.5</v>
      </c>
      <c r="V53" s="496">
        <f>'P&amp;L - Concept B2 - NCLH'!O48</f>
        <v>0.5</v>
      </c>
      <c r="W53" s="496">
        <f>'P&amp;L - Concept B2 - NCLH'!P48</f>
        <v>0.5</v>
      </c>
      <c r="X53" s="496">
        <f>'P&amp;L - Concept B2 - NCLH'!Q48</f>
        <v>0.5</v>
      </c>
      <c r="Y53" s="496">
        <f>'P&amp;L - Concept B2 - NCLH'!R48</f>
        <v>0.5</v>
      </c>
      <c r="Z53" s="496">
        <f>'P&amp;L - Concept B2 - NCLH'!S48</f>
        <v>0.5</v>
      </c>
      <c r="AA53" s="496">
        <f>'P&amp;L - Concept B2 - NCLH'!T48</f>
        <v>0.5</v>
      </c>
      <c r="AB53" s="496">
        <f>'P&amp;L - Concept B2 - NCLH'!U48</f>
        <v>0.5</v>
      </c>
      <c r="AC53" s="496">
        <f>'P&amp;L - Concept B2 - NCLH'!V48</f>
        <v>0.5</v>
      </c>
      <c r="AD53" s="496">
        <f>'P&amp;L - Concept B2 - NCLH'!W48</f>
        <v>0.5</v>
      </c>
      <c r="AE53" s="496">
        <f>'P&amp;L - Concept B2 - NCLH'!X48</f>
        <v>0.5</v>
      </c>
    </row>
    <row r="54" spans="1:32 16384:16384" s="18" customFormat="1">
      <c r="A54" s="54" t="s">
        <v>289</v>
      </c>
      <c r="B54" s="277"/>
      <c r="C54" s="74"/>
      <c r="K54" s="486">
        <f>'P&amp;L - Concept B2 - NCLH'!D49</f>
        <v>0</v>
      </c>
      <c r="L54" s="496">
        <f>'P&amp;L - Concept B2 - NCLH'!E49</f>
        <v>0.75</v>
      </c>
      <c r="M54" s="496">
        <f>'P&amp;L - Concept B2 - NCLH'!F49</f>
        <v>0.75</v>
      </c>
      <c r="N54" s="496">
        <f>'P&amp;L - Concept B2 - NCLH'!G49</f>
        <v>0.75</v>
      </c>
      <c r="O54" s="496">
        <f>'P&amp;L - Concept B2 - NCLH'!H49</f>
        <v>0.75</v>
      </c>
      <c r="P54" s="496">
        <f>'P&amp;L - Concept B2 - NCLH'!I49</f>
        <v>0.75</v>
      </c>
      <c r="Q54" s="496">
        <f>'P&amp;L - Concept B2 - NCLH'!J49</f>
        <v>0.75</v>
      </c>
      <c r="R54" s="496">
        <f>'P&amp;L - Concept B2 - NCLH'!K49</f>
        <v>0.75</v>
      </c>
      <c r="S54" s="496">
        <f>'P&amp;L - Concept B2 - NCLH'!L49</f>
        <v>0.75</v>
      </c>
      <c r="T54" s="496">
        <f>'P&amp;L - Concept B2 - NCLH'!M49</f>
        <v>0.75</v>
      </c>
      <c r="U54" s="496">
        <f>'P&amp;L - Concept B2 - NCLH'!N49</f>
        <v>0.75</v>
      </c>
      <c r="V54" s="496">
        <f>'P&amp;L - Concept B2 - NCLH'!O49</f>
        <v>0.75</v>
      </c>
      <c r="W54" s="496">
        <f>'P&amp;L - Concept B2 - NCLH'!P49</f>
        <v>0.75</v>
      </c>
      <c r="X54" s="496">
        <f>'P&amp;L - Concept B2 - NCLH'!Q49</f>
        <v>0.75</v>
      </c>
      <c r="Y54" s="496">
        <f>'P&amp;L - Concept B2 - NCLH'!R49</f>
        <v>0.75</v>
      </c>
      <c r="Z54" s="496">
        <f>'P&amp;L - Concept B2 - NCLH'!S49</f>
        <v>0.75</v>
      </c>
      <c r="AA54" s="496">
        <f>'P&amp;L - Concept B2 - NCLH'!T49</f>
        <v>0.75</v>
      </c>
      <c r="AB54" s="496">
        <f>'P&amp;L - Concept B2 - NCLH'!U49</f>
        <v>0.75</v>
      </c>
      <c r="AC54" s="496">
        <f>'P&amp;L - Concept B2 - NCLH'!V49</f>
        <v>0.75</v>
      </c>
      <c r="AD54" s="496">
        <f>'P&amp;L - Concept B2 - NCLH'!W49</f>
        <v>0.75</v>
      </c>
      <c r="AE54" s="496">
        <f>'P&amp;L - Concept B2 - NCLH'!X49</f>
        <v>0.75</v>
      </c>
      <c r="XFD54" s="570">
        <f>SUM(K54:XFC54)</f>
        <v>15</v>
      </c>
    </row>
    <row r="55" spans="1:32 16384:16384" s="18" customFormat="1">
      <c r="A55" s="54"/>
      <c r="B55" s="277"/>
      <c r="C55" s="74"/>
      <c r="K55" s="486"/>
      <c r="L55" s="313"/>
      <c r="M55" s="313"/>
      <c r="N55" s="313"/>
      <c r="O55" s="313"/>
      <c r="P55" s="313"/>
      <c r="Q55" s="313"/>
      <c r="R55" s="313"/>
      <c r="S55" s="313"/>
      <c r="T55" s="313"/>
      <c r="U55" s="313"/>
      <c r="V55" s="313"/>
      <c r="W55" s="313"/>
      <c r="X55" s="313"/>
      <c r="Y55" s="313"/>
      <c r="Z55" s="313"/>
      <c r="AA55" s="313"/>
      <c r="AB55" s="313"/>
      <c r="AC55" s="313"/>
      <c r="AD55" s="313"/>
      <c r="AE55" s="313"/>
      <c r="XFD55" s="570"/>
    </row>
    <row r="56" spans="1:32 16384:16384" s="18" customFormat="1">
      <c r="A56" s="54" t="s">
        <v>312</v>
      </c>
      <c r="B56" s="277"/>
      <c r="C56" s="74"/>
      <c r="K56" s="486">
        <f>'P&amp;L - Concept B2 - NCLH'!D51</f>
        <v>0</v>
      </c>
      <c r="L56" s="313">
        <f>'P&amp;L - Concept B2 - NCLH'!E51</f>
        <v>3595</v>
      </c>
      <c r="M56" s="313">
        <f>'P&amp;L - Concept B2 - NCLH'!F51</f>
        <v>7190</v>
      </c>
      <c r="N56" s="313">
        <f>'P&amp;L - Concept B2 - NCLH'!G51</f>
        <v>7190</v>
      </c>
      <c r="O56" s="313">
        <f>'P&amp;L - Concept B2 - NCLH'!H51</f>
        <v>7190</v>
      </c>
      <c r="P56" s="313">
        <f>'P&amp;L - Concept B2 - NCLH'!I51</f>
        <v>7190</v>
      </c>
      <c r="Q56" s="313">
        <f>'P&amp;L - Concept B2 - NCLH'!J51</f>
        <v>7190</v>
      </c>
      <c r="R56" s="313">
        <f>'P&amp;L - Concept B2 - NCLH'!K51</f>
        <v>7190</v>
      </c>
      <c r="S56" s="313">
        <f>'P&amp;L - Concept B2 - NCLH'!L51</f>
        <v>7190</v>
      </c>
      <c r="T56" s="313">
        <f>'P&amp;L - Concept B2 - NCLH'!M51</f>
        <v>7190</v>
      </c>
      <c r="U56" s="313">
        <f>'P&amp;L - Concept B2 - NCLH'!N51</f>
        <v>7190</v>
      </c>
      <c r="V56" s="313">
        <f>'P&amp;L - Concept B2 - NCLH'!O51</f>
        <v>7190</v>
      </c>
      <c r="W56" s="313">
        <f>'P&amp;L - Concept B2 - NCLH'!P51</f>
        <v>7190</v>
      </c>
      <c r="X56" s="313">
        <f>'P&amp;L - Concept B2 - NCLH'!Q51</f>
        <v>7190</v>
      </c>
      <c r="Y56" s="313">
        <f>'P&amp;L - Concept B2 - NCLH'!R51</f>
        <v>7190</v>
      </c>
      <c r="Z56" s="313">
        <f>'P&amp;L - Concept B2 - NCLH'!S51</f>
        <v>7190</v>
      </c>
      <c r="AA56" s="313">
        <f>'P&amp;L - Concept B2 - NCLH'!T51</f>
        <v>7190</v>
      </c>
      <c r="AB56" s="313">
        <f>'P&amp;L - Concept B2 - NCLH'!U51</f>
        <v>7190</v>
      </c>
      <c r="AC56" s="313">
        <f>'P&amp;L - Concept B2 - NCLH'!V51</f>
        <v>7190</v>
      </c>
      <c r="AD56" s="313">
        <f>'P&amp;L - Concept B2 - NCLH'!W51</f>
        <v>7190</v>
      </c>
      <c r="AE56" s="313">
        <f>'P&amp;L - Concept B2 - NCLH'!X51</f>
        <v>7190</v>
      </c>
      <c r="XFD56" s="570"/>
    </row>
    <row r="57" spans="1:32 16384:16384" s="18" customFormat="1">
      <c r="A57" s="54"/>
      <c r="B57" s="277"/>
      <c r="C57" s="74"/>
      <c r="K57" s="486"/>
      <c r="L57" s="313"/>
      <c r="M57" s="313"/>
      <c r="N57" s="313"/>
      <c r="O57" s="313"/>
      <c r="P57" s="313"/>
      <c r="Q57" s="313"/>
      <c r="R57" s="313"/>
      <c r="S57" s="313"/>
      <c r="T57" s="313"/>
      <c r="U57" s="313"/>
      <c r="V57" s="313"/>
      <c r="W57" s="313"/>
      <c r="X57" s="313"/>
      <c r="Y57" s="313"/>
      <c r="Z57" s="313"/>
      <c r="AA57" s="313"/>
      <c r="AB57" s="313"/>
      <c r="AC57" s="313"/>
      <c r="AD57" s="313"/>
      <c r="AE57" s="313"/>
    </row>
    <row r="58" spans="1:32 16384:16384" s="612" customFormat="1">
      <c r="A58" s="613" t="s">
        <v>292</v>
      </c>
      <c r="B58" s="614"/>
      <c r="C58" s="615"/>
      <c r="D58" s="717"/>
      <c r="E58" s="717"/>
      <c r="F58" s="717"/>
      <c r="G58" s="717"/>
      <c r="H58" s="717"/>
      <c r="I58" s="717"/>
      <c r="J58" s="717"/>
      <c r="K58" s="616">
        <f>'P&amp;L - Concept B2 - NCLH'!D53</f>
        <v>0</v>
      </c>
      <c r="L58" s="616">
        <f>'P&amp;L - Concept B2 - NCLH'!E53</f>
        <v>0</v>
      </c>
      <c r="M58" s="616">
        <f>'P&amp;L - Concept B2 - NCLH'!F53</f>
        <v>0</v>
      </c>
      <c r="N58" s="616">
        <f>'P&amp;L - Concept B2 - NCLH'!G53</f>
        <v>100000</v>
      </c>
      <c r="O58" s="616">
        <f>'P&amp;L - Concept B2 - NCLH'!H53</f>
        <v>100000</v>
      </c>
      <c r="P58" s="616">
        <f>'P&amp;L - Concept B2 - NCLH'!I53</f>
        <v>100000</v>
      </c>
      <c r="Q58" s="616">
        <f>'P&amp;L - Concept B2 - NCLH'!J53</f>
        <v>100000</v>
      </c>
      <c r="R58" s="616">
        <f>'P&amp;L - Concept B2 - NCLH'!K53</f>
        <v>100000</v>
      </c>
      <c r="S58" s="616">
        <f>'P&amp;L - Concept B2 - NCLH'!L53</f>
        <v>100000</v>
      </c>
      <c r="T58" s="616">
        <f>'P&amp;L - Concept B2 - NCLH'!M53</f>
        <v>100000</v>
      </c>
      <c r="U58" s="616">
        <f>'P&amp;L - Concept B2 - NCLH'!N53</f>
        <v>100000</v>
      </c>
      <c r="V58" s="616">
        <f>'P&amp;L - Concept B2 - NCLH'!O53</f>
        <v>100000</v>
      </c>
      <c r="W58" s="616">
        <f>'P&amp;L - Concept B2 - NCLH'!P53</f>
        <v>100000</v>
      </c>
      <c r="X58" s="616">
        <f>'P&amp;L - Concept B2 - NCLH'!Q53</f>
        <v>100000</v>
      </c>
      <c r="Y58" s="616">
        <f>'P&amp;L - Concept B2 - NCLH'!R53</f>
        <v>100000</v>
      </c>
      <c r="Z58" s="616">
        <f>'P&amp;L - Concept B2 - NCLH'!S53</f>
        <v>100000</v>
      </c>
      <c r="AA58" s="616">
        <f>'P&amp;L - Concept B2 - NCLH'!T53</f>
        <v>100000</v>
      </c>
      <c r="AB58" s="616">
        <f>'P&amp;L - Concept B2 - NCLH'!U53</f>
        <v>100000</v>
      </c>
      <c r="AC58" s="616">
        <f>'P&amp;L - Concept B2 - NCLH'!V53</f>
        <v>100000</v>
      </c>
      <c r="AD58" s="616">
        <f>'P&amp;L - Concept B2 - NCLH'!W53</f>
        <v>100000</v>
      </c>
      <c r="AE58" s="787">
        <f>'P&amp;L - Concept B2 - NCLH'!X53</f>
        <v>100000</v>
      </c>
    </row>
    <row r="59" spans="1:32 16384:16384" s="18" customFormat="1">
      <c r="A59" s="54"/>
      <c r="B59" s="277"/>
      <c r="C59" s="74"/>
      <c r="K59" s="486"/>
      <c r="L59" s="313"/>
      <c r="M59" s="313"/>
      <c r="N59" s="313"/>
      <c r="O59" s="313"/>
      <c r="P59" s="313"/>
      <c r="Q59" s="313"/>
      <c r="R59" s="313"/>
      <c r="S59" s="313"/>
      <c r="T59" s="313"/>
      <c r="U59" s="313"/>
      <c r="V59" s="313"/>
      <c r="W59" s="313"/>
      <c r="X59" s="313"/>
      <c r="Y59" s="313"/>
      <c r="Z59" s="313"/>
      <c r="AA59" s="313"/>
      <c r="AB59" s="313"/>
      <c r="AC59" s="313"/>
      <c r="AD59" s="313"/>
      <c r="AE59" s="313"/>
    </row>
    <row r="60" spans="1:32 16384:16384" s="582" customFormat="1">
      <c r="A60" s="293" t="str">
        <f>'BH Tariffs'!A33</f>
        <v>Recreational/Commercial Marina</v>
      </c>
      <c r="B60" s="584"/>
      <c r="C60" s="585"/>
      <c r="K60" s="486"/>
      <c r="L60" s="313"/>
      <c r="M60" s="313"/>
      <c r="N60" s="313"/>
      <c r="O60" s="313"/>
      <c r="P60" s="313"/>
      <c r="Q60" s="313"/>
      <c r="R60" s="313"/>
      <c r="S60" s="313"/>
      <c r="T60" s="313"/>
      <c r="U60" s="313"/>
      <c r="V60" s="313"/>
      <c r="W60" s="313"/>
      <c r="X60" s="313"/>
      <c r="Y60" s="313"/>
      <c r="Z60" s="313"/>
      <c r="AA60" s="313"/>
      <c r="AB60" s="313"/>
      <c r="AC60" s="313"/>
      <c r="AD60" s="313"/>
      <c r="AE60" s="313"/>
    </row>
    <row r="61" spans="1:32 16384:16384" s="96" customFormat="1">
      <c r="A61" s="54" t="s">
        <v>291</v>
      </c>
      <c r="B61" s="435"/>
      <c r="C61" s="583"/>
      <c r="K61" s="486">
        <f>'P&amp;L - Concept B2 - NCLH'!D56</f>
        <v>0</v>
      </c>
      <c r="L61" s="313">
        <f>'P&amp;L - Concept B2 - NCLH'!E56</f>
        <v>0</v>
      </c>
      <c r="M61" s="313">
        <f>'P&amp;L - Concept B2 - NCLH'!F56</f>
        <v>12</v>
      </c>
      <c r="N61" s="313">
        <f>'P&amp;L - Concept B2 - NCLH'!G56</f>
        <v>12</v>
      </c>
      <c r="O61" s="313">
        <f>'P&amp;L - Concept B2 - NCLH'!H56</f>
        <v>12</v>
      </c>
      <c r="P61" s="313">
        <f>'P&amp;L - Concept B2 - NCLH'!I56</f>
        <v>12</v>
      </c>
      <c r="Q61" s="313">
        <f>'P&amp;L - Concept B2 - NCLH'!J56</f>
        <v>12</v>
      </c>
      <c r="R61" s="313">
        <f>'P&amp;L - Concept B2 - NCLH'!K56</f>
        <v>12</v>
      </c>
      <c r="S61" s="313">
        <f>'P&amp;L - Concept B2 - NCLH'!L56</f>
        <v>12</v>
      </c>
      <c r="T61" s="313">
        <f>'P&amp;L - Concept B2 - NCLH'!M56</f>
        <v>12</v>
      </c>
      <c r="U61" s="313">
        <f>'P&amp;L - Concept B2 - NCLH'!N56</f>
        <v>12</v>
      </c>
      <c r="V61" s="313">
        <f>'P&amp;L - Concept B2 - NCLH'!O56</f>
        <v>12</v>
      </c>
      <c r="W61" s="313">
        <f>'P&amp;L - Concept B2 - NCLH'!P56</f>
        <v>12</v>
      </c>
      <c r="X61" s="313">
        <f>'P&amp;L - Concept B2 - NCLH'!Q56</f>
        <v>12</v>
      </c>
      <c r="Y61" s="313">
        <f>'P&amp;L - Concept B2 - NCLH'!R56</f>
        <v>12</v>
      </c>
      <c r="Z61" s="313">
        <f>'P&amp;L - Concept B2 - NCLH'!S56</f>
        <v>12</v>
      </c>
      <c r="AA61" s="313">
        <f>'P&amp;L - Concept B2 - NCLH'!T56</f>
        <v>12</v>
      </c>
      <c r="AB61" s="313">
        <f>'P&amp;L - Concept B2 - NCLH'!U56</f>
        <v>12</v>
      </c>
      <c r="AC61" s="313">
        <f>'P&amp;L - Concept B2 - NCLH'!V56</f>
        <v>12</v>
      </c>
      <c r="AD61" s="313">
        <f>'P&amp;L - Concept B2 - NCLH'!W56</f>
        <v>12</v>
      </c>
      <c r="AE61" s="313">
        <f>'P&amp;L - Concept B2 - NCLH'!X56</f>
        <v>12</v>
      </c>
    </row>
    <row r="62" spans="1:32 16384:16384" s="96" customFormat="1">
      <c r="A62" s="54" t="s">
        <v>293</v>
      </c>
      <c r="B62" s="435"/>
      <c r="C62" s="583"/>
      <c r="K62" s="486">
        <f>'P&amp;L - Concept B2 - NCLH'!D57</f>
        <v>0</v>
      </c>
      <c r="L62" s="313">
        <f>'P&amp;L - Concept B2 - NCLH'!E57</f>
        <v>0</v>
      </c>
      <c r="M62" s="313">
        <f>'P&amp;L - Concept B2 - NCLH'!F57</f>
        <v>9557.1731249999993</v>
      </c>
      <c r="N62" s="313">
        <f>'P&amp;L - Concept B2 - NCLH'!G57</f>
        <v>9557.1731249999993</v>
      </c>
      <c r="O62" s="313">
        <f>'P&amp;L - Concept B2 - NCLH'!H57</f>
        <v>9557.1731249999993</v>
      </c>
      <c r="P62" s="313">
        <f>'P&amp;L - Concept B2 - NCLH'!I57</f>
        <v>9557.1731249999993</v>
      </c>
      <c r="Q62" s="313">
        <f>'P&amp;L - Concept B2 - NCLH'!J57</f>
        <v>9557.1731249999993</v>
      </c>
      <c r="R62" s="313">
        <f>'P&amp;L - Concept B2 - NCLH'!K57</f>
        <v>9557.1731249999993</v>
      </c>
      <c r="S62" s="313">
        <f>'P&amp;L - Concept B2 - NCLH'!L57</f>
        <v>9557.1731249999993</v>
      </c>
      <c r="T62" s="313">
        <f>'P&amp;L - Concept B2 - NCLH'!M57</f>
        <v>9557.1731249999993</v>
      </c>
      <c r="U62" s="313">
        <f>'P&amp;L - Concept B2 - NCLH'!N57</f>
        <v>9557.1731249999993</v>
      </c>
      <c r="V62" s="313">
        <f>'P&amp;L - Concept B2 - NCLH'!O57</f>
        <v>9557.1731249999993</v>
      </c>
      <c r="W62" s="313">
        <f>'P&amp;L - Concept B2 - NCLH'!P57</f>
        <v>9557.1731249999993</v>
      </c>
      <c r="X62" s="313">
        <f>'P&amp;L - Concept B2 - NCLH'!Q57</f>
        <v>9557.1731249999993</v>
      </c>
      <c r="Y62" s="313">
        <f>'P&amp;L - Concept B2 - NCLH'!R57</f>
        <v>9557.1731249999993</v>
      </c>
      <c r="Z62" s="313">
        <f>'P&amp;L - Concept B2 - NCLH'!S57</f>
        <v>9557.1731249999993</v>
      </c>
      <c r="AA62" s="313">
        <f>'P&amp;L - Concept B2 - NCLH'!T57</f>
        <v>9557.1731249999993</v>
      </c>
      <c r="AB62" s="313">
        <f>'P&amp;L - Concept B2 - NCLH'!U57</f>
        <v>9557.1731249999993</v>
      </c>
      <c r="AC62" s="313">
        <f>'P&amp;L - Concept B2 - NCLH'!V57</f>
        <v>9557.1731249999993</v>
      </c>
      <c r="AD62" s="313">
        <f>'P&amp;L - Concept B2 - NCLH'!W57</f>
        <v>9557.1731249999993</v>
      </c>
      <c r="AE62" s="313">
        <f>'P&amp;L - Concept B2 - NCLH'!X57</f>
        <v>9557.1731249999993</v>
      </c>
    </row>
    <row r="63" spans="1:32 16384:16384" s="96" customFormat="1">
      <c r="A63" s="54" t="s">
        <v>294</v>
      </c>
      <c r="B63" s="435"/>
      <c r="C63" s="583"/>
      <c r="K63" s="486">
        <f>'P&amp;L - Concept B2 - NCLH'!D58</f>
        <v>0</v>
      </c>
      <c r="L63" s="313">
        <f>'P&amp;L - Concept B2 - NCLH'!E58</f>
        <v>0</v>
      </c>
      <c r="M63" s="313">
        <f>'P&amp;L - Concept B2 - NCLH'!F58</f>
        <v>359.1</v>
      </c>
      <c r="N63" s="313">
        <f>'P&amp;L - Concept B2 - NCLH'!G58</f>
        <v>359.1</v>
      </c>
      <c r="O63" s="313">
        <f>'P&amp;L - Concept B2 - NCLH'!H58</f>
        <v>359.1</v>
      </c>
      <c r="P63" s="313">
        <f>'P&amp;L - Concept B2 - NCLH'!I58</f>
        <v>359.1</v>
      </c>
      <c r="Q63" s="313">
        <f>'P&amp;L - Concept B2 - NCLH'!J58</f>
        <v>359.1</v>
      </c>
      <c r="R63" s="313">
        <f>'P&amp;L - Concept B2 - NCLH'!K58</f>
        <v>359.1</v>
      </c>
      <c r="S63" s="313">
        <f>'P&amp;L - Concept B2 - NCLH'!L58</f>
        <v>359.1</v>
      </c>
      <c r="T63" s="313">
        <f>'P&amp;L - Concept B2 - NCLH'!M58</f>
        <v>359.1</v>
      </c>
      <c r="U63" s="313">
        <f>'P&amp;L - Concept B2 - NCLH'!N58</f>
        <v>359.1</v>
      </c>
      <c r="V63" s="313">
        <f>'P&amp;L - Concept B2 - NCLH'!O58</f>
        <v>359.1</v>
      </c>
      <c r="W63" s="313">
        <f>'P&amp;L - Concept B2 - NCLH'!P58</f>
        <v>359.1</v>
      </c>
      <c r="X63" s="313">
        <f>'P&amp;L - Concept B2 - NCLH'!Q58</f>
        <v>359.1</v>
      </c>
      <c r="Y63" s="313">
        <f>'P&amp;L - Concept B2 - NCLH'!R58</f>
        <v>359.1</v>
      </c>
      <c r="Z63" s="313">
        <f>'P&amp;L - Concept B2 - NCLH'!S58</f>
        <v>359.1</v>
      </c>
      <c r="AA63" s="313">
        <f>'P&amp;L - Concept B2 - NCLH'!T58</f>
        <v>359.1</v>
      </c>
      <c r="AB63" s="313">
        <f>'P&amp;L - Concept B2 - NCLH'!U58</f>
        <v>359.1</v>
      </c>
      <c r="AC63" s="313">
        <f>'P&amp;L - Concept B2 - NCLH'!V58</f>
        <v>359.1</v>
      </c>
      <c r="AD63" s="313">
        <f>'P&amp;L - Concept B2 - NCLH'!W58</f>
        <v>359.1</v>
      </c>
      <c r="AE63" s="313">
        <f>'P&amp;L - Concept B2 - NCLH'!X58</f>
        <v>359.1</v>
      </c>
    </row>
    <row r="64" spans="1:32 16384:16384" s="167" customFormat="1">
      <c r="A64" s="497" t="s">
        <v>170</v>
      </c>
      <c r="B64" s="450"/>
      <c r="C64" s="498"/>
      <c r="K64" s="499">
        <f>'P&amp;L - Concept B2 - NCLH'!D59</f>
        <v>0</v>
      </c>
      <c r="L64" s="500">
        <f>'P&amp;L - Concept B2 - NCLH'!E59</f>
        <v>0</v>
      </c>
      <c r="M64" s="500">
        <f>'P&amp;L - Concept B2 - NCLH'!F59</f>
        <v>0</v>
      </c>
      <c r="N64" s="500">
        <f>'P&amp;L - Concept B2 - NCLH'!G59</f>
        <v>0</v>
      </c>
      <c r="O64" s="500">
        <f>'P&amp;L - Concept B2 - NCLH'!H59</f>
        <v>0</v>
      </c>
      <c r="P64" s="500">
        <f>'P&amp;L - Concept B2 - NCLH'!I59</f>
        <v>0</v>
      </c>
      <c r="Q64" s="500">
        <f>'P&amp;L - Concept B2 - NCLH'!J59</f>
        <v>0</v>
      </c>
      <c r="R64" s="500">
        <f>'P&amp;L - Concept B2 - NCLH'!K59</f>
        <v>0</v>
      </c>
      <c r="S64" s="500">
        <f>'P&amp;L - Concept B2 - NCLH'!L59</f>
        <v>0</v>
      </c>
      <c r="T64" s="500">
        <f>'P&amp;L - Concept B2 - NCLH'!M59</f>
        <v>0</v>
      </c>
      <c r="U64" s="500">
        <f>'P&amp;L - Concept B2 - NCLH'!N59</f>
        <v>0</v>
      </c>
      <c r="V64" s="500">
        <f>'P&amp;L - Concept B2 - NCLH'!O59</f>
        <v>0</v>
      </c>
      <c r="W64" s="500">
        <f>'P&amp;L - Concept B2 - NCLH'!P59</f>
        <v>0</v>
      </c>
      <c r="X64" s="500">
        <f>'P&amp;L - Concept B2 - NCLH'!Q59</f>
        <v>0</v>
      </c>
      <c r="Y64" s="500">
        <f>'P&amp;L - Concept B2 - NCLH'!R59</f>
        <v>0</v>
      </c>
      <c r="Z64" s="500">
        <f>'P&amp;L - Concept B2 - NCLH'!S59</f>
        <v>0</v>
      </c>
      <c r="AA64" s="500">
        <f>'P&amp;L - Concept B2 - NCLH'!T59</f>
        <v>0</v>
      </c>
      <c r="AB64" s="500">
        <f>'P&amp;L - Concept B2 - NCLH'!U59</f>
        <v>0</v>
      </c>
      <c r="AC64" s="500">
        <f>'P&amp;L - Concept B2 - NCLH'!V59</f>
        <v>0</v>
      </c>
      <c r="AD64" s="500">
        <f>'P&amp;L - Concept B2 - NCLH'!W59</f>
        <v>0</v>
      </c>
      <c r="AE64" s="500">
        <f>'P&amp;L - Concept B2 - NCLH'!X59</f>
        <v>0</v>
      </c>
      <c r="AF64" s="167" t="str">
        <f>'P&amp;L - Concept B2 - NCLH'!Y59</f>
        <v>cost recovery assumed</v>
      </c>
    </row>
    <row r="65" spans="1:32" s="167" customFormat="1">
      <c r="A65" s="497" t="s">
        <v>16</v>
      </c>
      <c r="B65" s="450"/>
      <c r="C65" s="498"/>
      <c r="K65" s="499">
        <f>'P&amp;L - Concept B2 - NCLH'!D60</f>
        <v>0</v>
      </c>
      <c r="L65" s="500">
        <f>'P&amp;L - Concept B2 - NCLH'!E60</f>
        <v>0</v>
      </c>
      <c r="M65" s="500">
        <f>'P&amp;L - Concept B2 - NCLH'!F60</f>
        <v>0</v>
      </c>
      <c r="N65" s="500">
        <f>'P&amp;L - Concept B2 - NCLH'!G60</f>
        <v>0</v>
      </c>
      <c r="O65" s="500">
        <f>'P&amp;L - Concept B2 - NCLH'!H60</f>
        <v>0</v>
      </c>
      <c r="P65" s="500">
        <f>'P&amp;L - Concept B2 - NCLH'!I60</f>
        <v>0</v>
      </c>
      <c r="Q65" s="500">
        <f>'P&amp;L - Concept B2 - NCLH'!J60</f>
        <v>0</v>
      </c>
      <c r="R65" s="500">
        <f>'P&amp;L - Concept B2 - NCLH'!K60</f>
        <v>0</v>
      </c>
      <c r="S65" s="500">
        <f>'P&amp;L - Concept B2 - NCLH'!L60</f>
        <v>0</v>
      </c>
      <c r="T65" s="500">
        <f>'P&amp;L - Concept B2 - NCLH'!M60</f>
        <v>0</v>
      </c>
      <c r="U65" s="500">
        <f>'P&amp;L - Concept B2 - NCLH'!N60</f>
        <v>0</v>
      </c>
      <c r="V65" s="500">
        <f>'P&amp;L - Concept B2 - NCLH'!O60</f>
        <v>0</v>
      </c>
      <c r="W65" s="500">
        <f>'P&amp;L - Concept B2 - NCLH'!P60</f>
        <v>0</v>
      </c>
      <c r="X65" s="500">
        <f>'P&amp;L - Concept B2 - NCLH'!Q60</f>
        <v>0</v>
      </c>
      <c r="Y65" s="500">
        <f>'P&amp;L - Concept B2 - NCLH'!R60</f>
        <v>0</v>
      </c>
      <c r="Z65" s="500">
        <f>'P&amp;L - Concept B2 - NCLH'!S60</f>
        <v>0</v>
      </c>
      <c r="AA65" s="500">
        <f>'P&amp;L - Concept B2 - NCLH'!T60</f>
        <v>0</v>
      </c>
      <c r="AB65" s="500">
        <f>'P&amp;L - Concept B2 - NCLH'!U60</f>
        <v>0</v>
      </c>
      <c r="AC65" s="500">
        <f>'P&amp;L - Concept B2 - NCLH'!V60</f>
        <v>0</v>
      </c>
      <c r="AD65" s="500">
        <f>'P&amp;L - Concept B2 - NCLH'!W60</f>
        <v>0</v>
      </c>
      <c r="AE65" s="500">
        <f>'P&amp;L - Concept B2 - NCLH'!X60</f>
        <v>0</v>
      </c>
      <c r="AF65" s="167" t="str">
        <f>'P&amp;L - Concept B2 - NCLH'!Y60</f>
        <v>cost recovery assumed</v>
      </c>
    </row>
    <row r="66" spans="1:32" s="18" customFormat="1">
      <c r="A66" s="54"/>
      <c r="B66" s="277"/>
      <c r="C66" s="74"/>
      <c r="K66" s="492"/>
      <c r="L66" s="313"/>
      <c r="M66" s="313"/>
      <c r="N66" s="313"/>
      <c r="O66" s="313"/>
      <c r="P66" s="313"/>
      <c r="Q66" s="313"/>
      <c r="R66" s="313"/>
      <c r="S66" s="313"/>
      <c r="T66" s="313"/>
      <c r="U66" s="313"/>
      <c r="V66" s="313"/>
      <c r="W66" s="313"/>
      <c r="X66" s="313"/>
      <c r="Y66" s="313"/>
      <c r="Z66" s="313"/>
      <c r="AA66" s="313"/>
      <c r="AB66" s="313"/>
      <c r="AC66" s="313"/>
      <c r="AD66" s="313"/>
      <c r="AE66" s="313"/>
    </row>
    <row r="67" spans="1:32" s="18" customFormat="1">
      <c r="A67" s="293" t="s">
        <v>2</v>
      </c>
      <c r="B67" s="277"/>
      <c r="C67" s="74"/>
      <c r="K67" s="492"/>
      <c r="L67" s="313"/>
      <c r="M67" s="313"/>
      <c r="N67" s="313"/>
      <c r="O67" s="313"/>
      <c r="P67" s="313"/>
      <c r="Q67" s="313"/>
      <c r="R67" s="313"/>
      <c r="S67" s="313"/>
      <c r="T67" s="313"/>
      <c r="U67" s="313"/>
      <c r="V67" s="313"/>
      <c r="W67" s="313"/>
      <c r="X67" s="313"/>
      <c r="Y67" s="313"/>
      <c r="Z67" s="313"/>
      <c r="AA67" s="313"/>
      <c r="AB67" s="313"/>
      <c r="AC67" s="313"/>
      <c r="AD67" s="313"/>
      <c r="AE67" s="313"/>
    </row>
    <row r="68" spans="1:32" s="96" customFormat="1">
      <c r="A68" s="54" t="s">
        <v>290</v>
      </c>
      <c r="B68" s="435">
        <v>500</v>
      </c>
      <c r="C68" s="487"/>
      <c r="K68" s="486">
        <f>'P&amp;L - Concept B2 - NCLH'!D63</f>
        <v>0</v>
      </c>
      <c r="L68" s="313">
        <f>'P&amp;L - Concept B2 - NCLH'!E63</f>
        <v>0</v>
      </c>
      <c r="M68" s="313">
        <f>'P&amp;L - Concept B2 - NCLH'!F63</f>
        <v>0</v>
      </c>
      <c r="N68" s="313">
        <f>'P&amp;L - Concept B2 - NCLH'!G63</f>
        <v>500</v>
      </c>
      <c r="O68" s="313">
        <f>'P&amp;L - Concept B2 - NCLH'!H63</f>
        <v>500</v>
      </c>
      <c r="P68" s="313">
        <f>'P&amp;L - Concept B2 - NCLH'!I63</f>
        <v>500</v>
      </c>
      <c r="Q68" s="313">
        <f>'P&amp;L - Concept B2 - NCLH'!J63</f>
        <v>500</v>
      </c>
      <c r="R68" s="313">
        <f>'P&amp;L - Concept B2 - NCLH'!K63</f>
        <v>500</v>
      </c>
      <c r="S68" s="313">
        <f>'P&amp;L - Concept B2 - NCLH'!L63</f>
        <v>500</v>
      </c>
      <c r="T68" s="313">
        <f>'P&amp;L - Concept B2 - NCLH'!M63</f>
        <v>500</v>
      </c>
      <c r="U68" s="313">
        <f>'P&amp;L - Concept B2 - NCLH'!N63</f>
        <v>500</v>
      </c>
      <c r="V68" s="313">
        <f>'P&amp;L - Concept B2 - NCLH'!O63</f>
        <v>500</v>
      </c>
      <c r="W68" s="313">
        <f>'P&amp;L - Concept B2 - NCLH'!P63</f>
        <v>500</v>
      </c>
      <c r="X68" s="313">
        <f>'P&amp;L - Concept B2 - NCLH'!Q63</f>
        <v>500</v>
      </c>
      <c r="Y68" s="313">
        <f>'P&amp;L - Concept B2 - NCLH'!R63</f>
        <v>500</v>
      </c>
      <c r="Z68" s="313">
        <f>'P&amp;L - Concept B2 - NCLH'!S63</f>
        <v>500</v>
      </c>
      <c r="AA68" s="313">
        <f>'P&amp;L - Concept B2 - NCLH'!T63</f>
        <v>500</v>
      </c>
      <c r="AB68" s="313">
        <f>'P&amp;L - Concept B2 - NCLH'!U63</f>
        <v>500</v>
      </c>
      <c r="AC68" s="313">
        <f>'P&amp;L - Concept B2 - NCLH'!V63</f>
        <v>500</v>
      </c>
      <c r="AD68" s="313">
        <f>'P&amp;L - Concept B2 - NCLH'!W63</f>
        <v>500</v>
      </c>
      <c r="AE68" s="313">
        <f>'P&amp;L - Concept B2 - NCLH'!X63</f>
        <v>500</v>
      </c>
    </row>
    <row r="69" spans="1:32" s="96" customFormat="1">
      <c r="A69" s="54" t="s">
        <v>210</v>
      </c>
      <c r="B69" s="487"/>
      <c r="C69" s="487"/>
      <c r="K69" s="486">
        <f>'P&amp;L - Concept B2 - NCLH'!D65</f>
        <v>0</v>
      </c>
      <c r="L69" s="313">
        <f>'P&amp;L - Concept B2 - NCLH'!E65</f>
        <v>0</v>
      </c>
      <c r="M69" s="313">
        <f>'P&amp;L - Concept B2 - NCLH'!F65</f>
        <v>1</v>
      </c>
      <c r="N69" s="313">
        <f>'P&amp;L - Concept B2 - NCLH'!G65</f>
        <v>2</v>
      </c>
      <c r="O69" s="313">
        <f>'P&amp;L - Concept B2 - NCLH'!H65</f>
        <v>2</v>
      </c>
      <c r="P69" s="313">
        <f>'P&amp;L - Concept B2 - NCLH'!I65</f>
        <v>2</v>
      </c>
      <c r="Q69" s="313">
        <f>'P&amp;L - Concept B2 - NCLH'!J65</f>
        <v>3</v>
      </c>
      <c r="R69" s="313">
        <f>'P&amp;L - Concept B2 - NCLH'!K65</f>
        <v>3</v>
      </c>
      <c r="S69" s="313">
        <f>'P&amp;L - Concept B2 - NCLH'!L65</f>
        <v>3</v>
      </c>
      <c r="T69" s="313">
        <f>'P&amp;L - Concept B2 - NCLH'!M65</f>
        <v>3</v>
      </c>
      <c r="U69" s="313">
        <f>'P&amp;L - Concept B2 - NCLH'!N65</f>
        <v>3</v>
      </c>
      <c r="V69" s="313">
        <f>'P&amp;L - Concept B2 - NCLH'!O65</f>
        <v>4</v>
      </c>
      <c r="W69" s="313">
        <f>'P&amp;L - Concept B2 - NCLH'!P65</f>
        <v>4</v>
      </c>
      <c r="X69" s="313">
        <f>'P&amp;L - Concept B2 - NCLH'!Q65</f>
        <v>4</v>
      </c>
      <c r="Y69" s="313">
        <f>'P&amp;L - Concept B2 - NCLH'!R65</f>
        <v>4</v>
      </c>
      <c r="Z69" s="313">
        <f>'P&amp;L - Concept B2 - NCLH'!S65</f>
        <v>4</v>
      </c>
      <c r="AA69" s="313">
        <f>'P&amp;L - Concept B2 - NCLH'!T65</f>
        <v>5</v>
      </c>
      <c r="AB69" s="313">
        <f>'P&amp;L - Concept B2 - NCLH'!U65</f>
        <v>5</v>
      </c>
      <c r="AC69" s="313">
        <f>'P&amp;L - Concept B2 - NCLH'!V65</f>
        <v>5</v>
      </c>
      <c r="AD69" s="313">
        <f>'P&amp;L - Concept B2 - NCLH'!W65</f>
        <v>5</v>
      </c>
      <c r="AE69" s="313">
        <f>'P&amp;L - Concept B2 - NCLH'!X65</f>
        <v>5</v>
      </c>
    </row>
    <row r="70" spans="1:32" s="96" customFormat="1">
      <c r="A70" s="96" t="s">
        <v>211</v>
      </c>
      <c r="K70" s="486">
        <f>'P&amp;L - Concept B2 - NCLH'!D66</f>
        <v>0</v>
      </c>
      <c r="L70" s="313">
        <f>'P&amp;L - Concept B2 - NCLH'!E66</f>
        <v>0</v>
      </c>
      <c r="M70" s="313">
        <f>'P&amp;L - Concept B2 - NCLH'!F66</f>
        <v>3</v>
      </c>
      <c r="N70" s="313">
        <f>'P&amp;L - Concept B2 - NCLH'!G66</f>
        <v>3</v>
      </c>
      <c r="O70" s="313">
        <f>'P&amp;L - Concept B2 - NCLH'!H66</f>
        <v>3</v>
      </c>
      <c r="P70" s="313">
        <f>'P&amp;L - Concept B2 - NCLH'!I66</f>
        <v>3</v>
      </c>
      <c r="Q70" s="313">
        <f>'P&amp;L - Concept B2 - NCLH'!J66</f>
        <v>3</v>
      </c>
      <c r="R70" s="313">
        <f>'P&amp;L - Concept B2 - NCLH'!K66</f>
        <v>3</v>
      </c>
      <c r="S70" s="313">
        <f>'P&amp;L - Concept B2 - NCLH'!L66</f>
        <v>3</v>
      </c>
      <c r="T70" s="313">
        <f>'P&amp;L - Concept B2 - NCLH'!M66</f>
        <v>3</v>
      </c>
      <c r="U70" s="313">
        <f>'P&amp;L - Concept B2 - NCLH'!N66</f>
        <v>3</v>
      </c>
      <c r="V70" s="313">
        <f>'P&amp;L - Concept B2 - NCLH'!O66</f>
        <v>3</v>
      </c>
      <c r="W70" s="313">
        <f>'P&amp;L - Concept B2 - NCLH'!P66</f>
        <v>3</v>
      </c>
      <c r="X70" s="313">
        <f>'P&amp;L - Concept B2 - NCLH'!Q66</f>
        <v>3</v>
      </c>
      <c r="Y70" s="313">
        <f>'P&amp;L - Concept B2 - NCLH'!R66</f>
        <v>3</v>
      </c>
      <c r="Z70" s="313">
        <f>'P&amp;L - Concept B2 - NCLH'!S66</f>
        <v>3</v>
      </c>
      <c r="AA70" s="313">
        <f>'P&amp;L - Concept B2 - NCLH'!T66</f>
        <v>3</v>
      </c>
      <c r="AB70" s="313">
        <f>'P&amp;L - Concept B2 - NCLH'!U66</f>
        <v>3</v>
      </c>
      <c r="AC70" s="313">
        <f>'P&amp;L - Concept B2 - NCLH'!V66</f>
        <v>3</v>
      </c>
      <c r="AD70" s="313">
        <f>'P&amp;L - Concept B2 - NCLH'!W66</f>
        <v>3</v>
      </c>
      <c r="AE70" s="313">
        <f>'P&amp;L - Concept B2 - NCLH'!X66</f>
        <v>3</v>
      </c>
    </row>
    <row r="71" spans="1:32" s="96" customFormat="1">
      <c r="K71" s="486"/>
      <c r="L71" s="435"/>
      <c r="M71" s="435"/>
      <c r="N71" s="435"/>
      <c r="O71" s="435"/>
      <c r="P71" s="435"/>
      <c r="Q71" s="435"/>
      <c r="R71" s="435"/>
      <c r="S71" s="435"/>
      <c r="T71" s="435"/>
      <c r="U71" s="435"/>
      <c r="V71" s="435"/>
      <c r="W71" s="435"/>
      <c r="X71" s="435"/>
      <c r="Y71" s="435"/>
      <c r="Z71" s="435"/>
      <c r="AA71" s="435"/>
      <c r="AB71" s="435"/>
      <c r="AC71" s="435"/>
      <c r="AD71" s="435"/>
      <c r="AE71" s="435"/>
    </row>
    <row r="72" spans="1:32" s="18" customFormat="1">
      <c r="A72" s="28"/>
      <c r="K72" s="486"/>
      <c r="L72" s="331"/>
      <c r="M72" s="333"/>
      <c r="N72" s="331"/>
      <c r="O72" s="331"/>
      <c r="P72" s="331"/>
      <c r="Q72" s="331"/>
      <c r="R72" s="331"/>
      <c r="S72" s="331"/>
      <c r="T72" s="331"/>
      <c r="U72" s="331"/>
      <c r="V72" s="331"/>
      <c r="W72" s="331"/>
      <c r="X72" s="331"/>
      <c r="Y72" s="331"/>
      <c r="Z72" s="331"/>
      <c r="AA72" s="331"/>
      <c r="AB72" s="331"/>
      <c r="AC72" s="331"/>
      <c r="AD72" s="331"/>
      <c r="AE72" s="331"/>
    </row>
    <row r="73" spans="1:32">
      <c r="A73" s="168" t="s">
        <v>131</v>
      </c>
      <c r="B73" s="168"/>
      <c r="C73" s="169"/>
      <c r="D73" s="170"/>
      <c r="E73" s="171"/>
      <c r="F73" s="171"/>
      <c r="G73" s="171"/>
      <c r="H73" s="171"/>
      <c r="I73" s="168"/>
      <c r="J73" s="171"/>
      <c r="K73" s="681"/>
      <c r="L73" s="314"/>
      <c r="M73" s="314"/>
      <c r="N73" s="314"/>
      <c r="O73" s="314"/>
      <c r="P73" s="314"/>
      <c r="Q73" s="314"/>
      <c r="R73" s="314"/>
      <c r="S73" s="314"/>
      <c r="T73" s="314"/>
      <c r="U73" s="314"/>
      <c r="V73" s="314"/>
      <c r="W73" s="314"/>
      <c r="X73" s="314"/>
      <c r="Y73" s="314"/>
      <c r="Z73" s="314"/>
      <c r="AA73" s="314"/>
      <c r="AB73" s="314"/>
      <c r="AC73" s="314"/>
      <c r="AD73" s="314"/>
      <c r="AE73" s="314"/>
    </row>
    <row r="74" spans="1:32" s="252" customFormat="1">
      <c r="A74" s="183"/>
      <c r="B74" s="183"/>
      <c r="C74" s="364"/>
      <c r="D74" s="365"/>
      <c r="E74" s="184"/>
      <c r="F74" s="184"/>
      <c r="G74" s="184"/>
      <c r="H74" s="184"/>
      <c r="I74" s="183"/>
      <c r="J74" s="184"/>
      <c r="K74" s="664"/>
      <c r="L74" s="366"/>
      <c r="M74" s="366"/>
      <c r="N74" s="366"/>
      <c r="O74" s="366"/>
      <c r="P74" s="366"/>
      <c r="Q74" s="366"/>
      <c r="R74" s="366"/>
      <c r="S74" s="366"/>
      <c r="T74" s="366"/>
      <c r="U74" s="366"/>
      <c r="V74" s="366"/>
      <c r="W74" s="366"/>
      <c r="X74" s="366"/>
      <c r="Y74" s="366"/>
      <c r="Z74" s="366"/>
      <c r="AA74" s="366"/>
      <c r="AB74" s="366"/>
      <c r="AC74" s="366"/>
      <c r="AD74" s="366"/>
      <c r="AE74" s="366"/>
    </row>
    <row r="75" spans="1:32">
      <c r="A75" s="41" t="s">
        <v>13</v>
      </c>
      <c r="B75" s="41"/>
      <c r="C75" s="105"/>
      <c r="D75" s="106"/>
      <c r="E75" s="37"/>
      <c r="F75" s="37"/>
      <c r="G75" s="37"/>
      <c r="H75" s="37"/>
      <c r="I75" s="41"/>
      <c r="J75" s="37"/>
      <c r="K75" s="683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</row>
    <row r="76" spans="1:32">
      <c r="A76" s="96" t="s">
        <v>418</v>
      </c>
      <c r="B76" s="735" t="s">
        <v>12</v>
      </c>
      <c r="C76" s="663">
        <v>75000</v>
      </c>
      <c r="D76" s="736">
        <f t="shared" ref="D76:D78" si="0">C76/2080</f>
        <v>36.057692307692307</v>
      </c>
      <c r="E76" s="663">
        <v>0</v>
      </c>
      <c r="F76" s="663">
        <f>(C76*$F$13)</f>
        <v>30000</v>
      </c>
      <c r="G76" s="663">
        <f>SUM(C76,E76:F76)</f>
        <v>105000</v>
      </c>
      <c r="H76" s="663"/>
      <c r="I76" s="736"/>
      <c r="J76" s="663"/>
      <c r="K76" s="683">
        <v>0</v>
      </c>
      <c r="L76" s="665">
        <v>0</v>
      </c>
      <c r="M76" s="666">
        <f>G76</f>
        <v>105000</v>
      </c>
      <c r="N76" s="666">
        <f>($G$76*L11)</f>
        <v>107100</v>
      </c>
      <c r="O76" s="666">
        <f t="shared" ref="O76:AE76" si="1">($G$76*M11)</f>
        <v>109242</v>
      </c>
      <c r="P76" s="666">
        <f t="shared" si="1"/>
        <v>111426.84</v>
      </c>
      <c r="Q76" s="666">
        <f t="shared" si="1"/>
        <v>113655.3768</v>
      </c>
      <c r="R76" s="666">
        <f t="shared" si="1"/>
        <v>115928.48433600001</v>
      </c>
      <c r="S76" s="666">
        <f t="shared" si="1"/>
        <v>118247.05402272001</v>
      </c>
      <c r="T76" s="666">
        <f t="shared" si="1"/>
        <v>120611.9951031744</v>
      </c>
      <c r="U76" s="666">
        <f t="shared" si="1"/>
        <v>123024.2350052379</v>
      </c>
      <c r="V76" s="666">
        <f t="shared" si="1"/>
        <v>125484.71970534266</v>
      </c>
      <c r="W76" s="666">
        <f t="shared" si="1"/>
        <v>127994.41409944952</v>
      </c>
      <c r="X76" s="666">
        <f t="shared" si="1"/>
        <v>130554.30238143851</v>
      </c>
      <c r="Y76" s="666">
        <f t="shared" si="1"/>
        <v>133165.38842906727</v>
      </c>
      <c r="Z76" s="666">
        <f t="shared" si="1"/>
        <v>135828.69619764862</v>
      </c>
      <c r="AA76" s="666">
        <f t="shared" si="1"/>
        <v>138545.27012160158</v>
      </c>
      <c r="AB76" s="666">
        <f t="shared" si="1"/>
        <v>141316.17552403364</v>
      </c>
      <c r="AC76" s="666">
        <f t="shared" si="1"/>
        <v>144142.4990345143</v>
      </c>
      <c r="AD76" s="666">
        <f t="shared" si="1"/>
        <v>147025.34901520461</v>
      </c>
      <c r="AE76" s="666">
        <f t="shared" si="1"/>
        <v>149965.8559955087</v>
      </c>
    </row>
    <row r="77" spans="1:32">
      <c r="A77" s="96" t="s">
        <v>417</v>
      </c>
      <c r="B77" s="735" t="s">
        <v>12</v>
      </c>
      <c r="C77" s="663">
        <v>35000</v>
      </c>
      <c r="D77" s="736">
        <f t="shared" si="0"/>
        <v>16.826923076923077</v>
      </c>
      <c r="E77" s="663">
        <v>0</v>
      </c>
      <c r="F77" s="663">
        <f t="shared" ref="F77:F78" si="2">(C77*$F$13)</f>
        <v>14000</v>
      </c>
      <c r="G77" s="663">
        <f t="shared" ref="G77:G78" si="3">SUM(C77,E77:F77)</f>
        <v>49000</v>
      </c>
      <c r="H77" s="663"/>
      <c r="I77" s="736"/>
      <c r="J77" s="663"/>
      <c r="K77" s="683">
        <v>0</v>
      </c>
      <c r="L77" s="665">
        <f>G77*0.25</f>
        <v>12250</v>
      </c>
      <c r="M77" s="666">
        <f>G77*0.5</f>
        <v>24500</v>
      </c>
      <c r="N77" s="666">
        <f>($G$77*0.5*L11)</f>
        <v>24990</v>
      </c>
      <c r="O77" s="666">
        <f t="shared" ref="O77:AE77" si="4">($G$77*0.5*M11)</f>
        <v>25489.8</v>
      </c>
      <c r="P77" s="666">
        <f t="shared" si="4"/>
        <v>25999.595999999998</v>
      </c>
      <c r="Q77" s="666">
        <f t="shared" si="4"/>
        <v>26519.587919999998</v>
      </c>
      <c r="R77" s="666">
        <f t="shared" si="4"/>
        <v>27049.979678399999</v>
      </c>
      <c r="S77" s="666">
        <f t="shared" si="4"/>
        <v>27590.979271968001</v>
      </c>
      <c r="T77" s="666">
        <f t="shared" si="4"/>
        <v>28142.798857407361</v>
      </c>
      <c r="U77" s="666">
        <f t="shared" si="4"/>
        <v>28705.654834555509</v>
      </c>
      <c r="V77" s="666">
        <f t="shared" si="4"/>
        <v>29279.767931246621</v>
      </c>
      <c r="W77" s="666">
        <f t="shared" si="4"/>
        <v>29865.363289871555</v>
      </c>
      <c r="X77" s="666">
        <f t="shared" si="4"/>
        <v>30462.670555668985</v>
      </c>
      <c r="Y77" s="666">
        <f t="shared" si="4"/>
        <v>31071.923966782364</v>
      </c>
      <c r="Z77" s="666">
        <f t="shared" si="4"/>
        <v>31693.362446118008</v>
      </c>
      <c r="AA77" s="666">
        <f t="shared" si="4"/>
        <v>32327.229695040372</v>
      </c>
      <c r="AB77" s="666">
        <f t="shared" si="4"/>
        <v>32973.774288941182</v>
      </c>
      <c r="AC77" s="666">
        <f t="shared" si="4"/>
        <v>33633.249774720003</v>
      </c>
      <c r="AD77" s="666">
        <f t="shared" si="4"/>
        <v>34305.914770214411</v>
      </c>
      <c r="AE77" s="666">
        <f t="shared" si="4"/>
        <v>34992.0330656187</v>
      </c>
    </row>
    <row r="78" spans="1:32">
      <c r="A78" s="737" t="s">
        <v>422</v>
      </c>
      <c r="B78" s="738" t="s">
        <v>15</v>
      </c>
      <c r="C78" s="739">
        <v>15000</v>
      </c>
      <c r="D78" s="740">
        <f t="shared" si="0"/>
        <v>7.2115384615384617</v>
      </c>
      <c r="E78" s="739">
        <f>C78*$L$15</f>
        <v>0</v>
      </c>
      <c r="F78" s="739">
        <f t="shared" si="2"/>
        <v>6000</v>
      </c>
      <c r="G78" s="739">
        <f t="shared" si="3"/>
        <v>21000</v>
      </c>
      <c r="H78" s="739"/>
      <c r="I78" s="740"/>
      <c r="J78" s="739"/>
      <c r="K78" s="741">
        <v>0</v>
      </c>
      <c r="L78" s="742">
        <v>0</v>
      </c>
      <c r="M78" s="742">
        <f t="shared" ref="M78" si="5">G78</f>
        <v>21000</v>
      </c>
      <c r="N78" s="742">
        <f>($G$78*L11)</f>
        <v>21420</v>
      </c>
      <c r="O78" s="742">
        <f t="shared" ref="O78:AE78" si="6">($G$78*M11)</f>
        <v>21848.400000000001</v>
      </c>
      <c r="P78" s="742">
        <f t="shared" si="6"/>
        <v>22285.367999999999</v>
      </c>
      <c r="Q78" s="742">
        <f t="shared" si="6"/>
        <v>22731.075359999999</v>
      </c>
      <c r="R78" s="742">
        <f t="shared" si="6"/>
        <v>23185.6968672</v>
      </c>
      <c r="S78" s="742">
        <f t="shared" si="6"/>
        <v>23649.410804544001</v>
      </c>
      <c r="T78" s="742">
        <f t="shared" si="6"/>
        <v>24122.399020634883</v>
      </c>
      <c r="U78" s="742">
        <f t="shared" si="6"/>
        <v>24604.847001047579</v>
      </c>
      <c r="V78" s="742">
        <f t="shared" si="6"/>
        <v>25096.943941068534</v>
      </c>
      <c r="W78" s="742">
        <f t="shared" si="6"/>
        <v>25598.882819889903</v>
      </c>
      <c r="X78" s="742">
        <f t="shared" si="6"/>
        <v>26110.8604762877</v>
      </c>
      <c r="Y78" s="742">
        <f t="shared" si="6"/>
        <v>26633.077685813456</v>
      </c>
      <c r="Z78" s="742">
        <f t="shared" si="6"/>
        <v>27165.739239529721</v>
      </c>
      <c r="AA78" s="742">
        <f t="shared" si="6"/>
        <v>27709.054024320321</v>
      </c>
      <c r="AB78" s="742">
        <f t="shared" si="6"/>
        <v>28263.235104806728</v>
      </c>
      <c r="AC78" s="742">
        <f t="shared" si="6"/>
        <v>28828.499806902862</v>
      </c>
      <c r="AD78" s="742">
        <f t="shared" si="6"/>
        <v>29405.069803040922</v>
      </c>
      <c r="AE78" s="742">
        <f t="shared" si="6"/>
        <v>29993.17119910174</v>
      </c>
    </row>
    <row r="79" spans="1:32" s="56" customFormat="1" ht="14.25">
      <c r="A79" s="164" t="s">
        <v>416</v>
      </c>
      <c r="B79" s="164"/>
      <c r="C79" s="667">
        <f>SUM(C76:C78)</f>
        <v>125000</v>
      </c>
      <c r="D79" s="667"/>
      <c r="E79" s="667">
        <f>SUM(E76:E78)</f>
        <v>0</v>
      </c>
      <c r="F79" s="667">
        <f>SUM(F76:F78)</f>
        <v>50000</v>
      </c>
      <c r="G79" s="667">
        <f>SUM(G76:G78)</f>
        <v>175000</v>
      </c>
      <c r="H79" s="667"/>
      <c r="I79" s="668"/>
      <c r="J79" s="667"/>
      <c r="K79" s="685">
        <f>SUMIF($B76:$B78,"FT",K76:K78)</f>
        <v>0</v>
      </c>
      <c r="L79" s="669">
        <f t="shared" ref="L79:AE79" si="7">SUM(L76:L78)</f>
        <v>12250</v>
      </c>
      <c r="M79" s="669">
        <f t="shared" si="7"/>
        <v>150500</v>
      </c>
      <c r="N79" s="669">
        <f t="shared" si="7"/>
        <v>153510</v>
      </c>
      <c r="O79" s="669">
        <f t="shared" si="7"/>
        <v>156580.19999999998</v>
      </c>
      <c r="P79" s="669">
        <f t="shared" si="7"/>
        <v>159711.80399999997</v>
      </c>
      <c r="Q79" s="669">
        <f>SUM(Q76:Q78)</f>
        <v>162906.04007999998</v>
      </c>
      <c r="R79" s="669">
        <f t="shared" si="7"/>
        <v>166164.16088159999</v>
      </c>
      <c r="S79" s="669">
        <f t="shared" si="7"/>
        <v>169487.444099232</v>
      </c>
      <c r="T79" s="669">
        <f t="shared" si="7"/>
        <v>172877.19298121665</v>
      </c>
      <c r="U79" s="669">
        <f t="shared" si="7"/>
        <v>176334.73684084098</v>
      </c>
      <c r="V79" s="669">
        <f t="shared" si="7"/>
        <v>179861.43157765782</v>
      </c>
      <c r="W79" s="669">
        <f t="shared" si="7"/>
        <v>183458.66020921097</v>
      </c>
      <c r="X79" s="669">
        <f t="shared" si="7"/>
        <v>187127.83341339519</v>
      </c>
      <c r="Y79" s="669">
        <f t="shared" si="7"/>
        <v>190870.39008166309</v>
      </c>
      <c r="Z79" s="669">
        <f t="shared" si="7"/>
        <v>194687.79788329633</v>
      </c>
      <c r="AA79" s="669">
        <f t="shared" si="7"/>
        <v>198581.5538409623</v>
      </c>
      <c r="AB79" s="669">
        <f t="shared" si="7"/>
        <v>202553.18491778153</v>
      </c>
      <c r="AC79" s="669">
        <f t="shared" si="7"/>
        <v>206604.24861613716</v>
      </c>
      <c r="AD79" s="669">
        <f t="shared" si="7"/>
        <v>210736.33358845994</v>
      </c>
      <c r="AE79" s="669">
        <f t="shared" si="7"/>
        <v>214951.06026022913</v>
      </c>
    </row>
    <row r="80" spans="1:32" s="56" customFormat="1" ht="14.25">
      <c r="A80" s="164"/>
      <c r="B80" s="164"/>
      <c r="C80" s="667"/>
      <c r="D80" s="667"/>
      <c r="E80" s="667"/>
      <c r="F80" s="667"/>
      <c r="G80" s="667"/>
      <c r="H80" s="667"/>
      <c r="I80" s="668"/>
      <c r="J80" s="667"/>
      <c r="K80" s="685"/>
      <c r="L80" s="669"/>
      <c r="M80" s="669"/>
      <c r="N80" s="669"/>
      <c r="O80" s="669"/>
      <c r="P80" s="669"/>
      <c r="Q80" s="669"/>
      <c r="R80" s="669"/>
      <c r="S80" s="669"/>
      <c r="T80" s="669"/>
      <c r="U80" s="669"/>
      <c r="V80" s="669"/>
      <c r="W80" s="669"/>
      <c r="X80" s="669"/>
      <c r="Y80" s="669"/>
      <c r="Z80" s="669"/>
      <c r="AA80" s="669"/>
      <c r="AB80" s="669"/>
      <c r="AC80" s="669"/>
      <c r="AD80" s="669"/>
      <c r="AE80" s="669"/>
    </row>
    <row r="81" spans="1:35">
      <c r="A81" s="37" t="s">
        <v>411</v>
      </c>
      <c r="B81" s="37"/>
      <c r="C81" s="57"/>
      <c r="E81" s="57"/>
      <c r="F81" s="57"/>
      <c r="G81" s="57"/>
      <c r="H81" s="57"/>
      <c r="I81" s="43"/>
      <c r="J81" s="42"/>
      <c r="K81" s="743">
        <f>COUNTIF(K76:K78,"&gt;100")</f>
        <v>0</v>
      </c>
      <c r="L81" s="496">
        <f t="shared" ref="L81:AE81" si="8">COUNTIF(L76:L77,"&gt;100")</f>
        <v>1</v>
      </c>
      <c r="M81" s="496">
        <f t="shared" si="8"/>
        <v>2</v>
      </c>
      <c r="N81" s="496">
        <f t="shared" si="8"/>
        <v>2</v>
      </c>
      <c r="O81" s="496">
        <f t="shared" si="8"/>
        <v>2</v>
      </c>
      <c r="P81" s="496">
        <f t="shared" si="8"/>
        <v>2</v>
      </c>
      <c r="Q81" s="496">
        <f t="shared" si="8"/>
        <v>2</v>
      </c>
      <c r="R81" s="496">
        <f t="shared" si="8"/>
        <v>2</v>
      </c>
      <c r="S81" s="496">
        <f t="shared" si="8"/>
        <v>2</v>
      </c>
      <c r="T81" s="496">
        <f t="shared" si="8"/>
        <v>2</v>
      </c>
      <c r="U81" s="496">
        <f t="shared" si="8"/>
        <v>2</v>
      </c>
      <c r="V81" s="496">
        <f t="shared" si="8"/>
        <v>2</v>
      </c>
      <c r="W81" s="496">
        <f t="shared" si="8"/>
        <v>2</v>
      </c>
      <c r="X81" s="496">
        <f t="shared" si="8"/>
        <v>2</v>
      </c>
      <c r="Y81" s="496">
        <f t="shared" si="8"/>
        <v>2</v>
      </c>
      <c r="Z81" s="496">
        <f t="shared" si="8"/>
        <v>2</v>
      </c>
      <c r="AA81" s="496">
        <f t="shared" si="8"/>
        <v>2</v>
      </c>
      <c r="AB81" s="496">
        <f t="shared" si="8"/>
        <v>2</v>
      </c>
      <c r="AC81" s="496">
        <f t="shared" si="8"/>
        <v>2</v>
      </c>
      <c r="AD81" s="496">
        <f t="shared" si="8"/>
        <v>2</v>
      </c>
      <c r="AE81" s="496">
        <f t="shared" si="8"/>
        <v>2</v>
      </c>
      <c r="AF81" s="744"/>
    </row>
    <row r="82" spans="1:35">
      <c r="A82" s="745" t="s">
        <v>412</v>
      </c>
      <c r="B82" s="745"/>
      <c r="C82" s="746"/>
      <c r="D82" s="116"/>
      <c r="E82" s="746"/>
      <c r="F82" s="746"/>
      <c r="G82" s="746"/>
      <c r="H82" s="746"/>
      <c r="I82" s="747"/>
      <c r="J82" s="748"/>
      <c r="K82" s="749">
        <f t="shared" ref="K82" si="9">K83-K81</f>
        <v>0</v>
      </c>
      <c r="L82" s="750">
        <f t="shared" ref="L82:AE82" si="10">COUNTIF(L78:L78,"&gt;100")</f>
        <v>0</v>
      </c>
      <c r="M82" s="750">
        <f t="shared" si="10"/>
        <v>1</v>
      </c>
      <c r="N82" s="750">
        <f t="shared" si="10"/>
        <v>1</v>
      </c>
      <c r="O82" s="750">
        <f t="shared" si="10"/>
        <v>1</v>
      </c>
      <c r="P82" s="750">
        <f t="shared" si="10"/>
        <v>1</v>
      </c>
      <c r="Q82" s="750">
        <f t="shared" si="10"/>
        <v>1</v>
      </c>
      <c r="R82" s="750">
        <f t="shared" si="10"/>
        <v>1</v>
      </c>
      <c r="S82" s="750">
        <f t="shared" si="10"/>
        <v>1</v>
      </c>
      <c r="T82" s="750">
        <f t="shared" si="10"/>
        <v>1</v>
      </c>
      <c r="U82" s="750">
        <f t="shared" si="10"/>
        <v>1</v>
      </c>
      <c r="V82" s="750">
        <f t="shared" si="10"/>
        <v>1</v>
      </c>
      <c r="W82" s="750">
        <f t="shared" si="10"/>
        <v>1</v>
      </c>
      <c r="X82" s="750">
        <f t="shared" si="10"/>
        <v>1</v>
      </c>
      <c r="Y82" s="750">
        <f t="shared" si="10"/>
        <v>1</v>
      </c>
      <c r="Z82" s="750">
        <f t="shared" si="10"/>
        <v>1</v>
      </c>
      <c r="AA82" s="750">
        <f t="shared" si="10"/>
        <v>1</v>
      </c>
      <c r="AB82" s="750">
        <f t="shared" si="10"/>
        <v>1</v>
      </c>
      <c r="AC82" s="750">
        <f t="shared" si="10"/>
        <v>1</v>
      </c>
      <c r="AD82" s="750">
        <f t="shared" si="10"/>
        <v>1</v>
      </c>
      <c r="AE82" s="750">
        <f t="shared" si="10"/>
        <v>1</v>
      </c>
    </row>
    <row r="83" spans="1:35" s="56" customFormat="1" ht="14.25">
      <c r="A83" s="164" t="s">
        <v>413</v>
      </c>
      <c r="B83" s="164"/>
      <c r="C83" s="75"/>
      <c r="D83" s="173"/>
      <c r="E83" s="75"/>
      <c r="F83" s="75"/>
      <c r="G83" s="75"/>
      <c r="H83" s="75"/>
      <c r="I83" s="174"/>
      <c r="J83" s="181"/>
      <c r="K83" s="751">
        <f>COUNTIF(K76:K78,"&gt;0")</f>
        <v>0</v>
      </c>
      <c r="L83" s="752">
        <f>SUM(L81:L82)</f>
        <v>1</v>
      </c>
      <c r="M83" s="752">
        <f t="shared" ref="M83:AE83" si="11">SUM(M81:M82)</f>
        <v>3</v>
      </c>
      <c r="N83" s="752">
        <f t="shared" si="11"/>
        <v>3</v>
      </c>
      <c r="O83" s="752">
        <f t="shared" si="11"/>
        <v>3</v>
      </c>
      <c r="P83" s="752">
        <f t="shared" si="11"/>
        <v>3</v>
      </c>
      <c r="Q83" s="752">
        <f t="shared" si="11"/>
        <v>3</v>
      </c>
      <c r="R83" s="752">
        <f t="shared" si="11"/>
        <v>3</v>
      </c>
      <c r="S83" s="752">
        <f t="shared" si="11"/>
        <v>3</v>
      </c>
      <c r="T83" s="752">
        <f t="shared" si="11"/>
        <v>3</v>
      </c>
      <c r="U83" s="752">
        <f t="shared" si="11"/>
        <v>3</v>
      </c>
      <c r="V83" s="752">
        <f t="shared" si="11"/>
        <v>3</v>
      </c>
      <c r="W83" s="752">
        <f t="shared" si="11"/>
        <v>3</v>
      </c>
      <c r="X83" s="752">
        <f t="shared" si="11"/>
        <v>3</v>
      </c>
      <c r="Y83" s="752">
        <f t="shared" si="11"/>
        <v>3</v>
      </c>
      <c r="Z83" s="752">
        <f t="shared" si="11"/>
        <v>3</v>
      </c>
      <c r="AA83" s="752">
        <f t="shared" si="11"/>
        <v>3</v>
      </c>
      <c r="AB83" s="752">
        <f t="shared" si="11"/>
        <v>3</v>
      </c>
      <c r="AC83" s="752">
        <f t="shared" si="11"/>
        <v>3</v>
      </c>
      <c r="AD83" s="752">
        <f t="shared" si="11"/>
        <v>3</v>
      </c>
      <c r="AE83" s="752">
        <f t="shared" si="11"/>
        <v>3</v>
      </c>
    </row>
    <row r="84" spans="1:35" s="56" customFormat="1" ht="14.25">
      <c r="A84" s="164"/>
      <c r="B84" s="164"/>
      <c r="C84" s="75"/>
      <c r="D84" s="173"/>
      <c r="E84" s="75"/>
      <c r="F84" s="75"/>
      <c r="G84" s="75"/>
      <c r="H84" s="75"/>
      <c r="I84" s="174"/>
      <c r="J84" s="181"/>
      <c r="K84" s="685"/>
      <c r="L84" s="315"/>
      <c r="M84" s="315"/>
      <c r="N84" s="315"/>
      <c r="O84" s="315"/>
      <c r="P84" s="315"/>
      <c r="Q84" s="315"/>
      <c r="R84" s="315"/>
      <c r="S84" s="315"/>
      <c r="T84" s="315"/>
      <c r="U84" s="315"/>
      <c r="V84" s="315"/>
      <c r="W84" s="315"/>
      <c r="X84" s="315"/>
      <c r="Y84" s="315"/>
      <c r="Z84" s="315"/>
      <c r="AA84" s="315"/>
      <c r="AB84" s="315"/>
      <c r="AC84" s="315"/>
      <c r="AD84" s="315"/>
      <c r="AE84" s="315"/>
    </row>
    <row r="85" spans="1:35">
      <c r="A85" s="48" t="s">
        <v>68</v>
      </c>
      <c r="B85" s="48"/>
      <c r="C85" s="77"/>
      <c r="D85" s="76"/>
      <c r="E85" s="57"/>
      <c r="F85" s="57"/>
      <c r="G85" s="77"/>
      <c r="H85" s="77"/>
      <c r="I85" s="50"/>
      <c r="J85" s="49"/>
      <c r="K85" s="683"/>
      <c r="L85" s="316"/>
      <c r="M85" s="316"/>
      <c r="N85" s="316"/>
      <c r="O85" s="316"/>
      <c r="P85" s="316"/>
      <c r="Q85" s="316"/>
      <c r="R85" s="316"/>
      <c r="S85" s="316"/>
      <c r="T85" s="316"/>
      <c r="U85" s="316"/>
      <c r="V85" s="316"/>
      <c r="W85" s="316"/>
      <c r="X85" s="316"/>
      <c r="Y85" s="316"/>
      <c r="Z85" s="316"/>
      <c r="AA85" s="316"/>
      <c r="AB85" s="316"/>
      <c r="AC85" s="316"/>
      <c r="AD85" s="316"/>
      <c r="AE85" s="316"/>
    </row>
    <row r="86" spans="1:35" s="68" customFormat="1" ht="14.25">
      <c r="A86" s="214" t="s">
        <v>80</v>
      </c>
      <c r="B86" s="189"/>
      <c r="C86" s="209"/>
      <c r="D86" s="210"/>
      <c r="E86" s="211"/>
      <c r="F86" s="211"/>
      <c r="G86" s="209"/>
      <c r="H86" s="209"/>
      <c r="I86" s="213"/>
      <c r="J86" s="212"/>
      <c r="K86" s="686"/>
      <c r="L86" s="317"/>
      <c r="M86" s="317"/>
      <c r="N86" s="317"/>
      <c r="O86" s="317"/>
      <c r="P86" s="317"/>
      <c r="Q86" s="317"/>
      <c r="R86" s="317"/>
      <c r="S86" s="317"/>
      <c r="T86" s="317"/>
      <c r="U86" s="317"/>
      <c r="V86" s="317"/>
      <c r="W86" s="317"/>
      <c r="X86" s="317"/>
      <c r="Y86" s="317"/>
      <c r="Z86" s="317"/>
      <c r="AA86" s="317"/>
      <c r="AB86" s="317"/>
      <c r="AC86" s="317"/>
      <c r="AD86" s="317"/>
      <c r="AE86" s="317"/>
    </row>
    <row r="87" spans="1:35">
      <c r="A87" s="37" t="s">
        <v>41</v>
      </c>
      <c r="B87" s="37"/>
      <c r="C87" s="110"/>
      <c r="D87" s="106"/>
      <c r="E87" s="57"/>
      <c r="F87" s="57"/>
      <c r="G87" s="57"/>
      <c r="H87" s="57"/>
      <c r="I87" s="51"/>
      <c r="J87" s="663"/>
      <c r="K87" s="683">
        <f>K$83*$J87*R$9</f>
        <v>0</v>
      </c>
      <c r="L87" s="666">
        <v>25000</v>
      </c>
      <c r="M87" s="666">
        <f>$L$87*L11</f>
        <v>25500</v>
      </c>
      <c r="N87" s="666">
        <f t="shared" ref="N87:AE87" si="12">$L$87*M11</f>
        <v>26010</v>
      </c>
      <c r="O87" s="666">
        <f t="shared" si="12"/>
        <v>26530.199999999997</v>
      </c>
      <c r="P87" s="666">
        <f t="shared" si="12"/>
        <v>27060.804</v>
      </c>
      <c r="Q87" s="666">
        <f t="shared" si="12"/>
        <v>27602.020080000002</v>
      </c>
      <c r="R87" s="666">
        <f t="shared" si="12"/>
        <v>28154.060481600001</v>
      </c>
      <c r="S87" s="666">
        <f t="shared" si="12"/>
        <v>28717.141691232002</v>
      </c>
      <c r="T87" s="666">
        <f t="shared" si="12"/>
        <v>29291.484525056643</v>
      </c>
      <c r="U87" s="666">
        <f t="shared" si="12"/>
        <v>29877.314215557777</v>
      </c>
      <c r="V87" s="666">
        <f t="shared" si="12"/>
        <v>30474.860499868933</v>
      </c>
      <c r="W87" s="666">
        <f t="shared" si="12"/>
        <v>31084.357709866312</v>
      </c>
      <c r="X87" s="666">
        <f t="shared" si="12"/>
        <v>31706.044864063639</v>
      </c>
      <c r="Y87" s="666">
        <f t="shared" si="12"/>
        <v>32340.165761344906</v>
      </c>
      <c r="Z87" s="666">
        <f t="shared" si="12"/>
        <v>32986.969076571811</v>
      </c>
      <c r="AA87" s="666">
        <f t="shared" si="12"/>
        <v>33646.708458103247</v>
      </c>
      <c r="AB87" s="666">
        <f t="shared" si="12"/>
        <v>34319.642627265312</v>
      </c>
      <c r="AC87" s="666">
        <f t="shared" si="12"/>
        <v>35006.03547981062</v>
      </c>
      <c r="AD87" s="666">
        <f t="shared" si="12"/>
        <v>35706.156189406836</v>
      </c>
      <c r="AE87" s="666">
        <f t="shared" si="12"/>
        <v>36420.279313194973</v>
      </c>
    </row>
    <row r="88" spans="1:35">
      <c r="A88" s="37" t="s">
        <v>424</v>
      </c>
      <c r="B88" s="37"/>
      <c r="C88" s="110"/>
      <c r="D88" s="106"/>
      <c r="E88" s="57"/>
      <c r="F88" s="57"/>
      <c r="G88" s="57"/>
      <c r="H88" s="57"/>
      <c r="I88" s="51"/>
      <c r="J88" s="663"/>
      <c r="K88" s="683">
        <f>K$83*$J88*R$9</f>
        <v>0</v>
      </c>
      <c r="L88" s="666">
        <v>10000</v>
      </c>
      <c r="M88" s="666">
        <v>500</v>
      </c>
      <c r="N88" s="666">
        <f>$M$88*M11</f>
        <v>520.20000000000005</v>
      </c>
      <c r="O88" s="666">
        <f>$M$88*N11</f>
        <v>530.60399999999993</v>
      </c>
      <c r="P88" s="666">
        <f>$M$88*O11</f>
        <v>541.21608000000003</v>
      </c>
      <c r="Q88" s="666">
        <v>5000</v>
      </c>
      <c r="R88" s="666">
        <f>$M$88*Q11</f>
        <v>563.08120963200008</v>
      </c>
      <c r="S88" s="666">
        <f>$M$88*R11</f>
        <v>574.34283382464002</v>
      </c>
      <c r="T88" s="666">
        <f>$M$88*S11</f>
        <v>585.82969050113286</v>
      </c>
      <c r="U88" s="666">
        <f>$M$88*T11</f>
        <v>597.54628431115555</v>
      </c>
      <c r="V88" s="666">
        <v>5000</v>
      </c>
      <c r="W88" s="666">
        <f>$M$88*V11</f>
        <v>621.68715419732621</v>
      </c>
      <c r="X88" s="666">
        <f>$M$88*W11</f>
        <v>634.12089728127273</v>
      </c>
      <c r="Y88" s="666">
        <f>$M$88*X11</f>
        <v>646.80331522689812</v>
      </c>
      <c r="Z88" s="666">
        <f>$M$88*Y11</f>
        <v>659.73938153143615</v>
      </c>
      <c r="AA88" s="666">
        <v>5000</v>
      </c>
      <c r="AB88" s="666">
        <f>$M$88*AA11</f>
        <v>686.39285254530625</v>
      </c>
      <c r="AC88" s="666">
        <f>$M$88*AB11</f>
        <v>700.12070959621246</v>
      </c>
      <c r="AD88" s="666">
        <f>$M$88*AC11</f>
        <v>714.1231237881367</v>
      </c>
      <c r="AE88" s="666">
        <f>$M$88*AD11</f>
        <v>728.40558626389941</v>
      </c>
    </row>
    <row r="89" spans="1:35">
      <c r="A89" s="37" t="s">
        <v>42</v>
      </c>
      <c r="B89" s="37"/>
      <c r="C89" s="110"/>
      <c r="D89" s="106"/>
      <c r="E89" s="57"/>
      <c r="F89" s="57"/>
      <c r="G89" s="57"/>
      <c r="H89" s="57"/>
      <c r="I89" s="51"/>
      <c r="J89" s="663"/>
      <c r="K89" s="683">
        <f>K$83*$J89*R$9</f>
        <v>0</v>
      </c>
      <c r="L89" s="666">
        <v>50000</v>
      </c>
      <c r="M89" s="666">
        <f t="shared" ref="M89:AE89" si="13">($L$89*L11)</f>
        <v>51000</v>
      </c>
      <c r="N89" s="666">
        <f t="shared" si="13"/>
        <v>52020</v>
      </c>
      <c r="O89" s="666">
        <f t="shared" si="13"/>
        <v>53060.399999999994</v>
      </c>
      <c r="P89" s="666">
        <f t="shared" si="13"/>
        <v>54121.608</v>
      </c>
      <c r="Q89" s="666">
        <f t="shared" si="13"/>
        <v>55204.040160000004</v>
      </c>
      <c r="R89" s="666">
        <f t="shared" si="13"/>
        <v>56308.120963200003</v>
      </c>
      <c r="S89" s="666">
        <f t="shared" si="13"/>
        <v>57434.283382464004</v>
      </c>
      <c r="T89" s="666">
        <f t="shared" si="13"/>
        <v>58582.969050113286</v>
      </c>
      <c r="U89" s="666">
        <f t="shared" si="13"/>
        <v>59754.628431115554</v>
      </c>
      <c r="V89" s="666">
        <f t="shared" si="13"/>
        <v>60949.720999737867</v>
      </c>
      <c r="W89" s="666">
        <f t="shared" si="13"/>
        <v>62168.715419732624</v>
      </c>
      <c r="X89" s="666">
        <f t="shared" si="13"/>
        <v>63412.089728127277</v>
      </c>
      <c r="Y89" s="666">
        <f t="shared" si="13"/>
        <v>64680.331522689812</v>
      </c>
      <c r="Z89" s="666">
        <f t="shared" si="13"/>
        <v>65973.938153143623</v>
      </c>
      <c r="AA89" s="666">
        <f t="shared" si="13"/>
        <v>67293.416916206494</v>
      </c>
      <c r="AB89" s="666">
        <f t="shared" si="13"/>
        <v>68639.285254530623</v>
      </c>
      <c r="AC89" s="666">
        <f t="shared" si="13"/>
        <v>70012.07095962124</v>
      </c>
      <c r="AD89" s="666">
        <f t="shared" si="13"/>
        <v>71412.312378813673</v>
      </c>
      <c r="AE89" s="666">
        <f t="shared" si="13"/>
        <v>72840.558626389946</v>
      </c>
    </row>
    <row r="90" spans="1:35">
      <c r="A90" s="37" t="s">
        <v>43</v>
      </c>
      <c r="B90" s="37"/>
      <c r="C90" s="110"/>
      <c r="D90" s="106"/>
      <c r="E90" s="57"/>
      <c r="F90" s="57"/>
      <c r="G90" s="57"/>
      <c r="H90" s="57"/>
      <c r="I90" s="51" t="s">
        <v>8</v>
      </c>
      <c r="J90" s="663">
        <v>500</v>
      </c>
      <c r="K90" s="683">
        <v>0</v>
      </c>
      <c r="L90" s="666">
        <f>J90*L83</f>
        <v>500</v>
      </c>
      <c r="M90" s="666">
        <f t="shared" ref="M90:AE90" si="14">$J$90*M83*L11</f>
        <v>1530</v>
      </c>
      <c r="N90" s="666">
        <f t="shared" si="14"/>
        <v>1560.6</v>
      </c>
      <c r="O90" s="666">
        <f t="shared" si="14"/>
        <v>1591.8119999999999</v>
      </c>
      <c r="P90" s="666">
        <f t="shared" si="14"/>
        <v>1623.64824</v>
      </c>
      <c r="Q90" s="666">
        <f t="shared" si="14"/>
        <v>1656.1212048</v>
      </c>
      <c r="R90" s="666">
        <f t="shared" si="14"/>
        <v>1689.243628896</v>
      </c>
      <c r="S90" s="666">
        <f t="shared" si="14"/>
        <v>1723.02850147392</v>
      </c>
      <c r="T90" s="666">
        <f t="shared" si="14"/>
        <v>1757.4890715033987</v>
      </c>
      <c r="U90" s="666">
        <f t="shared" si="14"/>
        <v>1792.6388529334665</v>
      </c>
      <c r="V90" s="666">
        <f t="shared" si="14"/>
        <v>1828.491629992136</v>
      </c>
      <c r="W90" s="666">
        <f t="shared" si="14"/>
        <v>1865.0614625919786</v>
      </c>
      <c r="X90" s="666">
        <f t="shared" si="14"/>
        <v>1902.3626918438183</v>
      </c>
      <c r="Y90" s="666">
        <f t="shared" si="14"/>
        <v>1940.4099456806944</v>
      </c>
      <c r="Z90" s="666">
        <f t="shared" si="14"/>
        <v>1979.2181445943086</v>
      </c>
      <c r="AA90" s="666">
        <f t="shared" si="14"/>
        <v>2018.8025074861948</v>
      </c>
      <c r="AB90" s="666">
        <f t="shared" si="14"/>
        <v>2059.1785576359189</v>
      </c>
      <c r="AC90" s="666">
        <f t="shared" si="14"/>
        <v>2100.3621287886372</v>
      </c>
      <c r="AD90" s="666">
        <f t="shared" si="14"/>
        <v>2142.3693713644102</v>
      </c>
      <c r="AE90" s="666">
        <f t="shared" si="14"/>
        <v>2185.2167587916983</v>
      </c>
    </row>
    <row r="91" spans="1:35">
      <c r="A91" s="37" t="s">
        <v>44</v>
      </c>
      <c r="B91" s="37"/>
      <c r="C91" s="110"/>
      <c r="D91" s="106"/>
      <c r="E91" s="57"/>
      <c r="F91" s="57"/>
      <c r="G91" s="57"/>
      <c r="H91" s="57"/>
      <c r="I91" s="51" t="s">
        <v>8</v>
      </c>
      <c r="J91" s="663">
        <v>250</v>
      </c>
      <c r="K91" s="683">
        <v>0</v>
      </c>
      <c r="L91" s="666">
        <f>J91*L83</f>
        <v>250</v>
      </c>
      <c r="M91" s="666">
        <f t="shared" ref="M91:AE91" si="15">$J$91*M83*L11</f>
        <v>765</v>
      </c>
      <c r="N91" s="666">
        <f t="shared" si="15"/>
        <v>780.3</v>
      </c>
      <c r="O91" s="666">
        <f t="shared" si="15"/>
        <v>795.90599999999995</v>
      </c>
      <c r="P91" s="666">
        <f t="shared" si="15"/>
        <v>811.82411999999999</v>
      </c>
      <c r="Q91" s="666">
        <f t="shared" si="15"/>
        <v>828.06060239999999</v>
      </c>
      <c r="R91" s="666">
        <f t="shared" si="15"/>
        <v>844.62181444800001</v>
      </c>
      <c r="S91" s="666">
        <f t="shared" si="15"/>
        <v>861.51425073695998</v>
      </c>
      <c r="T91" s="666">
        <f t="shared" si="15"/>
        <v>878.74453575169935</v>
      </c>
      <c r="U91" s="666">
        <f t="shared" si="15"/>
        <v>896.31942646673326</v>
      </c>
      <c r="V91" s="666">
        <f t="shared" si="15"/>
        <v>914.24581499606802</v>
      </c>
      <c r="W91" s="666">
        <f t="shared" si="15"/>
        <v>932.53073129598931</v>
      </c>
      <c r="X91" s="666">
        <f t="shared" si="15"/>
        <v>951.18134592190916</v>
      </c>
      <c r="Y91" s="666">
        <f t="shared" si="15"/>
        <v>970.20497284034718</v>
      </c>
      <c r="Z91" s="666">
        <f t="shared" si="15"/>
        <v>989.60907229715428</v>
      </c>
      <c r="AA91" s="666">
        <f t="shared" si="15"/>
        <v>1009.4012537430974</v>
      </c>
      <c r="AB91" s="666">
        <f t="shared" si="15"/>
        <v>1029.5892788179594</v>
      </c>
      <c r="AC91" s="666">
        <f t="shared" si="15"/>
        <v>1050.1810643943186</v>
      </c>
      <c r="AD91" s="666">
        <f t="shared" si="15"/>
        <v>1071.1846856822051</v>
      </c>
      <c r="AE91" s="666">
        <f t="shared" si="15"/>
        <v>1092.6083793958492</v>
      </c>
      <c r="AF91" s="44"/>
    </row>
    <row r="92" spans="1:35">
      <c r="A92" s="745" t="s">
        <v>2</v>
      </c>
      <c r="B92" s="745"/>
      <c r="C92" s="753"/>
      <c r="D92" s="754"/>
      <c r="E92" s="746"/>
      <c r="F92" s="746"/>
      <c r="G92" s="746"/>
      <c r="H92" s="746"/>
      <c r="I92" s="755"/>
      <c r="J92" s="739"/>
      <c r="K92" s="741">
        <v>0</v>
      </c>
      <c r="L92" s="742">
        <v>1000</v>
      </c>
      <c r="M92" s="742">
        <f t="shared" ref="M92:AE92" si="16">($L$92*L11)</f>
        <v>1020</v>
      </c>
      <c r="N92" s="742">
        <f t="shared" si="16"/>
        <v>1040.4000000000001</v>
      </c>
      <c r="O92" s="742">
        <f t="shared" si="16"/>
        <v>1061.2079999999999</v>
      </c>
      <c r="P92" s="742">
        <f t="shared" si="16"/>
        <v>1082.4321600000001</v>
      </c>
      <c r="Q92" s="742">
        <f t="shared" si="16"/>
        <v>1104.0808032</v>
      </c>
      <c r="R92" s="742">
        <f t="shared" si="16"/>
        <v>1126.1624192640002</v>
      </c>
      <c r="S92" s="742">
        <f t="shared" si="16"/>
        <v>1148.68566764928</v>
      </c>
      <c r="T92" s="742">
        <f t="shared" si="16"/>
        <v>1171.6593810022657</v>
      </c>
      <c r="U92" s="742">
        <f t="shared" si="16"/>
        <v>1195.0925686223111</v>
      </c>
      <c r="V92" s="742">
        <f t="shared" si="16"/>
        <v>1218.9944199947574</v>
      </c>
      <c r="W92" s="742">
        <f t="shared" si="16"/>
        <v>1243.3743083946524</v>
      </c>
      <c r="X92" s="742">
        <f t="shared" si="16"/>
        <v>1268.2417945625455</v>
      </c>
      <c r="Y92" s="742">
        <f t="shared" si="16"/>
        <v>1293.6066304537962</v>
      </c>
      <c r="Z92" s="742">
        <f t="shared" si="16"/>
        <v>1319.4787630628723</v>
      </c>
      <c r="AA92" s="742">
        <f t="shared" si="16"/>
        <v>1345.8683383241298</v>
      </c>
      <c r="AB92" s="742">
        <f t="shared" si="16"/>
        <v>1372.7857050906125</v>
      </c>
      <c r="AC92" s="742">
        <f t="shared" si="16"/>
        <v>1400.2414191924249</v>
      </c>
      <c r="AD92" s="742">
        <f t="shared" si="16"/>
        <v>1428.2462475762734</v>
      </c>
      <c r="AE92" s="742">
        <f t="shared" si="16"/>
        <v>1456.8111725277988</v>
      </c>
    </row>
    <row r="93" spans="1:35" s="56" customFormat="1" ht="14.25">
      <c r="A93" s="164" t="s">
        <v>409</v>
      </c>
      <c r="B93" s="215"/>
      <c r="C93" s="216"/>
      <c r="D93" s="217"/>
      <c r="E93" s="218"/>
      <c r="F93" s="218"/>
      <c r="G93" s="218"/>
      <c r="H93" s="218"/>
      <c r="I93" s="219"/>
      <c r="J93" s="756"/>
      <c r="K93" s="687">
        <f>SUM(K87:K92)</f>
        <v>0</v>
      </c>
      <c r="L93" s="757">
        <f>SUM(L87:L92)</f>
        <v>86750</v>
      </c>
      <c r="M93" s="757">
        <f t="shared" ref="M93:AE93" si="17">SUM(M87:M92)</f>
        <v>80315</v>
      </c>
      <c r="N93" s="757">
        <f t="shared" si="17"/>
        <v>81931.5</v>
      </c>
      <c r="O93" s="757">
        <f t="shared" si="17"/>
        <v>83570.13</v>
      </c>
      <c r="P93" s="757">
        <f t="shared" si="17"/>
        <v>85241.532599999991</v>
      </c>
      <c r="Q93" s="757">
        <f t="shared" si="17"/>
        <v>91394.322850400014</v>
      </c>
      <c r="R93" s="757">
        <f t="shared" si="17"/>
        <v>88685.290517040004</v>
      </c>
      <c r="S93" s="757">
        <f t="shared" si="17"/>
        <v>90458.996327380795</v>
      </c>
      <c r="T93" s="757">
        <f t="shared" si="17"/>
        <v>92268.176253928425</v>
      </c>
      <c r="U93" s="757">
        <f t="shared" si="17"/>
        <v>94113.539779006998</v>
      </c>
      <c r="V93" s="757">
        <f t="shared" si="17"/>
        <v>100386.31336458978</v>
      </c>
      <c r="W93" s="757">
        <f t="shared" si="17"/>
        <v>97915.726786078885</v>
      </c>
      <c r="X93" s="757">
        <f t="shared" si="17"/>
        <v>99874.041321800469</v>
      </c>
      <c r="Y93" s="757">
        <f t="shared" si="17"/>
        <v>101871.52214823647</v>
      </c>
      <c r="Z93" s="757">
        <f t="shared" si="17"/>
        <v>103908.9525912012</v>
      </c>
      <c r="AA93" s="757">
        <f t="shared" si="17"/>
        <v>110314.19747386317</v>
      </c>
      <c r="AB93" s="757">
        <f t="shared" si="17"/>
        <v>108106.87427588576</v>
      </c>
      <c r="AC93" s="757">
        <f t="shared" si="17"/>
        <v>110269.01176140344</v>
      </c>
      <c r="AD93" s="757">
        <f t="shared" si="17"/>
        <v>112474.39199663154</v>
      </c>
      <c r="AE93" s="757">
        <f t="shared" si="17"/>
        <v>114723.87983656416</v>
      </c>
    </row>
    <row r="94" spans="1:35" s="56" customFormat="1" ht="14.25">
      <c r="A94" s="164"/>
      <c r="B94" s="215"/>
      <c r="C94" s="216"/>
      <c r="D94" s="217"/>
      <c r="E94" s="218"/>
      <c r="F94" s="218"/>
      <c r="G94" s="218"/>
      <c r="H94" s="218"/>
      <c r="I94" s="219"/>
      <c r="J94" s="220"/>
      <c r="K94" s="687"/>
      <c r="L94" s="318"/>
      <c r="M94" s="318"/>
      <c r="N94" s="318"/>
      <c r="O94" s="318"/>
      <c r="P94" s="318"/>
      <c r="Q94" s="318"/>
      <c r="R94" s="318"/>
      <c r="S94" s="318"/>
      <c r="T94" s="318"/>
      <c r="U94" s="318"/>
      <c r="V94" s="318"/>
      <c r="W94" s="318"/>
      <c r="X94" s="318"/>
      <c r="Y94" s="318"/>
      <c r="Z94" s="318"/>
      <c r="AA94" s="318"/>
      <c r="AB94" s="318"/>
      <c r="AC94" s="318"/>
      <c r="AD94" s="318"/>
      <c r="AE94" s="318"/>
    </row>
    <row r="95" spans="1:35" s="56" customFormat="1" ht="14.25">
      <c r="A95" s="720" t="s">
        <v>26</v>
      </c>
      <c r="B95" s="215"/>
      <c r="C95" s="218"/>
      <c r="D95" s="721"/>
      <c r="E95" s="218"/>
      <c r="F95" s="218"/>
      <c r="G95" s="218"/>
      <c r="H95" s="218"/>
      <c r="I95" s="722"/>
      <c r="J95" s="220"/>
      <c r="K95" s="687"/>
      <c r="L95" s="318"/>
      <c r="M95" s="318"/>
      <c r="N95" s="318"/>
      <c r="O95" s="318"/>
      <c r="P95" s="318"/>
      <c r="Q95" s="318"/>
      <c r="R95" s="318"/>
      <c r="S95" s="318"/>
      <c r="T95" s="318"/>
      <c r="U95" s="318"/>
      <c r="V95" s="318"/>
      <c r="W95" s="318"/>
      <c r="X95" s="318"/>
      <c r="Y95" s="318"/>
      <c r="Z95" s="318"/>
      <c r="AA95" s="318"/>
      <c r="AB95" s="318"/>
      <c r="AC95" s="318"/>
      <c r="AD95" s="318"/>
      <c r="AE95" s="318"/>
      <c r="AF95" s="723"/>
      <c r="AG95" s="723"/>
      <c r="AH95" s="723"/>
      <c r="AI95" s="723"/>
    </row>
    <row r="96" spans="1:35">
      <c r="A96" s="190" t="s">
        <v>41</v>
      </c>
      <c r="B96" s="190"/>
      <c r="C96" s="194"/>
      <c r="D96" s="758"/>
      <c r="E96" s="194"/>
      <c r="F96" s="194"/>
      <c r="G96" s="759"/>
      <c r="H96" s="759"/>
      <c r="I96" s="760"/>
      <c r="J96" s="761"/>
      <c r="K96" s="689">
        <v>0</v>
      </c>
      <c r="L96" s="665">
        <v>1000</v>
      </c>
      <c r="M96" s="665">
        <f>$L$96*L11</f>
        <v>1020</v>
      </c>
      <c r="N96" s="665">
        <f t="shared" ref="N96:P96" si="18">$L$96*M11</f>
        <v>1040.4000000000001</v>
      </c>
      <c r="O96" s="665">
        <f t="shared" si="18"/>
        <v>1061.2079999999999</v>
      </c>
      <c r="P96" s="665">
        <f t="shared" si="18"/>
        <v>1082.4321600000001</v>
      </c>
      <c r="Q96" s="665">
        <v>25000</v>
      </c>
      <c r="R96" s="665">
        <f>$Q$96*L11</f>
        <v>25500</v>
      </c>
      <c r="S96" s="665">
        <f t="shared" ref="S96:AE96" si="19">$Q$96*M11</f>
        <v>26010</v>
      </c>
      <c r="T96" s="665">
        <f t="shared" si="19"/>
        <v>26530.199999999997</v>
      </c>
      <c r="U96" s="665">
        <f t="shared" si="19"/>
        <v>27060.804</v>
      </c>
      <c r="V96" s="665">
        <f t="shared" si="19"/>
        <v>27602.020080000002</v>
      </c>
      <c r="W96" s="665">
        <f t="shared" si="19"/>
        <v>28154.060481600001</v>
      </c>
      <c r="X96" s="665">
        <f t="shared" si="19"/>
        <v>28717.141691232002</v>
      </c>
      <c r="Y96" s="665">
        <f t="shared" si="19"/>
        <v>29291.484525056643</v>
      </c>
      <c r="Z96" s="665">
        <f t="shared" si="19"/>
        <v>29877.314215557777</v>
      </c>
      <c r="AA96" s="665">
        <f t="shared" si="19"/>
        <v>30474.860499868933</v>
      </c>
      <c r="AB96" s="665">
        <f t="shared" si="19"/>
        <v>31084.357709866312</v>
      </c>
      <c r="AC96" s="665">
        <f t="shared" si="19"/>
        <v>31706.044864063639</v>
      </c>
      <c r="AD96" s="665">
        <f t="shared" si="19"/>
        <v>32340.165761344906</v>
      </c>
      <c r="AE96" s="665">
        <f t="shared" si="19"/>
        <v>32986.969076571811</v>
      </c>
      <c r="AF96" s="55"/>
      <c r="AG96" s="55"/>
      <c r="AH96" s="55"/>
      <c r="AI96" s="55"/>
    </row>
    <row r="97" spans="1:33">
      <c r="A97" s="745" t="s">
        <v>302</v>
      </c>
      <c r="B97" s="745"/>
      <c r="C97" s="746"/>
      <c r="D97" s="116"/>
      <c r="E97" s="746"/>
      <c r="F97" s="746"/>
      <c r="G97" s="753"/>
      <c r="H97" s="753"/>
      <c r="I97" s="755"/>
      <c r="J97" s="762"/>
      <c r="K97" s="741">
        <v>0</v>
      </c>
      <c r="L97" s="742">
        <f>'Shuttle Projections'!C28/2</f>
        <v>233675</v>
      </c>
      <c r="M97" s="742">
        <f>'Shuttle Projections'!D28</f>
        <v>476697</v>
      </c>
      <c r="N97" s="742">
        <f>'Shuttle Projections'!E28</f>
        <v>486230.94000000006</v>
      </c>
      <c r="O97" s="742">
        <f>'Shuttle Projections'!F28</f>
        <v>495955.55879999994</v>
      </c>
      <c r="P97" s="742">
        <f>'Shuttle Projections'!G28</f>
        <v>505874.66997599998</v>
      </c>
      <c r="Q97" s="742">
        <f>'Shuttle Projections'!H28</f>
        <v>515992.16337552003</v>
      </c>
      <c r="R97" s="742">
        <f>'Shuttle Projections'!I28</f>
        <v>526312.00664303044</v>
      </c>
      <c r="S97" s="742">
        <f>'Shuttle Projections'!J28</f>
        <v>536838.24677589093</v>
      </c>
      <c r="T97" s="742">
        <f>'Shuttle Projections'!K28</f>
        <v>547575.01171140897</v>
      </c>
      <c r="U97" s="742">
        <f>'Shuttle Projections'!L28</f>
        <v>558526.51194563706</v>
      </c>
      <c r="V97" s="742">
        <f>'Shuttle Projections'!M28</f>
        <v>569697.04218454985</v>
      </c>
      <c r="W97" s="742">
        <f>'Shuttle Projections'!N28</f>
        <v>581090.98302824085</v>
      </c>
      <c r="X97" s="742">
        <f>'Shuttle Projections'!O28</f>
        <v>592712.80268880562</v>
      </c>
      <c r="Y97" s="742">
        <f>'Shuttle Projections'!P28</f>
        <v>604567.05874258175</v>
      </c>
      <c r="Z97" s="742">
        <f>'Shuttle Projections'!Q28</f>
        <v>616658.39991743339</v>
      </c>
      <c r="AA97" s="742">
        <f>'Shuttle Projections'!R28</f>
        <v>628991.5679157821</v>
      </c>
      <c r="AB97" s="742">
        <f>'Shuttle Projections'!S28</f>
        <v>641571.39927409776</v>
      </c>
      <c r="AC97" s="742">
        <f>'Shuttle Projections'!T28</f>
        <v>654402.82725957979</v>
      </c>
      <c r="AD97" s="742">
        <f>'Shuttle Projections'!U28</f>
        <v>667490.88380477135</v>
      </c>
      <c r="AE97" s="742">
        <f>'Shuttle Projections'!V28</f>
        <v>680840.70148086676</v>
      </c>
    </row>
    <row r="98" spans="1:33" s="56" customFormat="1" ht="14.25">
      <c r="A98" s="164" t="s">
        <v>410</v>
      </c>
      <c r="B98" s="164"/>
      <c r="C98" s="75"/>
      <c r="D98" s="173"/>
      <c r="E98" s="75"/>
      <c r="F98" s="75"/>
      <c r="G98" s="75"/>
      <c r="H98" s="75"/>
      <c r="I98" s="174"/>
      <c r="J98" s="175"/>
      <c r="K98" s="685">
        <v>0</v>
      </c>
      <c r="L98" s="669">
        <f>SUM(L96:L97)</f>
        <v>234675</v>
      </c>
      <c r="M98" s="669">
        <f t="shared" ref="M98:AE98" si="20">SUM(M96:M97)</f>
        <v>477717</v>
      </c>
      <c r="N98" s="669">
        <f t="shared" si="20"/>
        <v>487271.34000000008</v>
      </c>
      <c r="O98" s="669">
        <f t="shared" si="20"/>
        <v>497016.76679999992</v>
      </c>
      <c r="P98" s="669">
        <f t="shared" si="20"/>
        <v>506957.102136</v>
      </c>
      <c r="Q98" s="669">
        <f t="shared" si="20"/>
        <v>540992.16337552003</v>
      </c>
      <c r="R98" s="669">
        <f t="shared" si="20"/>
        <v>551812.00664303044</v>
      </c>
      <c r="S98" s="669">
        <f t="shared" si="20"/>
        <v>562848.24677589093</v>
      </c>
      <c r="T98" s="669">
        <f t="shared" si="20"/>
        <v>574105.21171140892</v>
      </c>
      <c r="U98" s="669">
        <f t="shared" si="20"/>
        <v>585587.31594563706</v>
      </c>
      <c r="V98" s="669">
        <f t="shared" si="20"/>
        <v>597299.0622645499</v>
      </c>
      <c r="W98" s="669">
        <f t="shared" si="20"/>
        <v>609245.04350984085</v>
      </c>
      <c r="X98" s="669">
        <f t="shared" si="20"/>
        <v>621429.9443800376</v>
      </c>
      <c r="Y98" s="669">
        <f t="shared" si="20"/>
        <v>633858.54326763842</v>
      </c>
      <c r="Z98" s="669">
        <f t="shared" si="20"/>
        <v>646535.71413299115</v>
      </c>
      <c r="AA98" s="669">
        <f t="shared" si="20"/>
        <v>659466.42841565108</v>
      </c>
      <c r="AB98" s="669">
        <f t="shared" si="20"/>
        <v>672655.75698396412</v>
      </c>
      <c r="AC98" s="669">
        <f t="shared" si="20"/>
        <v>686108.87212364341</v>
      </c>
      <c r="AD98" s="669">
        <f t="shared" si="20"/>
        <v>699831.0495661163</v>
      </c>
      <c r="AE98" s="669">
        <f t="shared" si="20"/>
        <v>713827.67055743863</v>
      </c>
    </row>
    <row r="99" spans="1:33" s="56" customFormat="1" ht="14.25">
      <c r="A99" s="164"/>
      <c r="B99" s="164"/>
      <c r="C99" s="75"/>
      <c r="D99" s="173"/>
      <c r="E99" s="75"/>
      <c r="F99" s="75"/>
      <c r="G99" s="75"/>
      <c r="H99" s="75"/>
      <c r="I99" s="174"/>
      <c r="J99" s="175"/>
      <c r="K99" s="685"/>
      <c r="L99" s="669"/>
      <c r="M99" s="669"/>
      <c r="N99" s="669"/>
      <c r="O99" s="669"/>
      <c r="P99" s="669"/>
      <c r="Q99" s="669"/>
      <c r="R99" s="669"/>
      <c r="S99" s="669"/>
      <c r="T99" s="669"/>
      <c r="U99" s="669"/>
      <c r="V99" s="669"/>
      <c r="W99" s="669"/>
      <c r="X99" s="669"/>
      <c r="Y99" s="669"/>
      <c r="Z99" s="669"/>
      <c r="AA99" s="669"/>
      <c r="AB99" s="669"/>
      <c r="AC99" s="669"/>
      <c r="AD99" s="669"/>
      <c r="AE99" s="669"/>
    </row>
    <row r="100" spans="1:33" s="56" customFormat="1" ht="14.25">
      <c r="A100" s="164" t="s">
        <v>78</v>
      </c>
      <c r="B100" s="164"/>
      <c r="C100" s="75"/>
      <c r="D100" s="173"/>
      <c r="E100" s="75"/>
      <c r="F100" s="75"/>
      <c r="G100" s="75"/>
      <c r="H100" s="75"/>
      <c r="I100" s="174"/>
      <c r="J100" s="175"/>
      <c r="K100" s="685">
        <v>0</v>
      </c>
      <c r="L100" s="669">
        <f>SUM(L93,L98)</f>
        <v>321425</v>
      </c>
      <c r="M100" s="669">
        <f t="shared" ref="M100:AE100" si="21">SUM(M93,M98)</f>
        <v>558032</v>
      </c>
      <c r="N100" s="669">
        <f t="shared" si="21"/>
        <v>569202.84000000008</v>
      </c>
      <c r="O100" s="669">
        <f t="shared" si="21"/>
        <v>580586.89679999999</v>
      </c>
      <c r="P100" s="669">
        <f t="shared" si="21"/>
        <v>592198.63473599998</v>
      </c>
      <c r="Q100" s="669">
        <f t="shared" si="21"/>
        <v>632386.48622592003</v>
      </c>
      <c r="R100" s="669">
        <f t="shared" si="21"/>
        <v>640497.29716007039</v>
      </c>
      <c r="S100" s="669">
        <f t="shared" si="21"/>
        <v>653307.2431032717</v>
      </c>
      <c r="T100" s="669">
        <f t="shared" si="21"/>
        <v>666373.38796533737</v>
      </c>
      <c r="U100" s="669">
        <f t="shared" si="21"/>
        <v>679700.85572464403</v>
      </c>
      <c r="V100" s="669">
        <f t="shared" si="21"/>
        <v>697685.37562913971</v>
      </c>
      <c r="W100" s="669">
        <f t="shared" si="21"/>
        <v>707160.77029591973</v>
      </c>
      <c r="X100" s="669">
        <f t="shared" si="21"/>
        <v>721303.98570183804</v>
      </c>
      <c r="Y100" s="669">
        <f t="shared" si="21"/>
        <v>735730.06541587494</v>
      </c>
      <c r="Z100" s="669">
        <f t="shared" si="21"/>
        <v>750444.66672419233</v>
      </c>
      <c r="AA100" s="669">
        <f t="shared" si="21"/>
        <v>769780.62588951422</v>
      </c>
      <c r="AB100" s="669">
        <f t="shared" si="21"/>
        <v>780762.63125984988</v>
      </c>
      <c r="AC100" s="669">
        <f t="shared" si="21"/>
        <v>796377.88388504682</v>
      </c>
      <c r="AD100" s="669">
        <f t="shared" si="21"/>
        <v>812305.44156274782</v>
      </c>
      <c r="AE100" s="669">
        <f t="shared" si="21"/>
        <v>828551.55039400281</v>
      </c>
    </row>
    <row r="101" spans="1:33">
      <c r="A101" s="47"/>
      <c r="B101" s="47"/>
      <c r="C101" s="78"/>
      <c r="D101" s="100"/>
      <c r="E101" s="78"/>
      <c r="F101" s="78"/>
      <c r="G101" s="78"/>
      <c r="H101" s="78"/>
      <c r="I101" s="52"/>
      <c r="J101" s="114"/>
      <c r="K101" s="683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</row>
    <row r="102" spans="1:33">
      <c r="A102" s="168" t="s">
        <v>25</v>
      </c>
      <c r="B102" s="168"/>
      <c r="C102" s="176"/>
      <c r="D102" s="177"/>
      <c r="E102" s="176"/>
      <c r="F102" s="176"/>
      <c r="G102" s="176"/>
      <c r="H102" s="176"/>
      <c r="I102" s="178"/>
      <c r="J102" s="179"/>
      <c r="K102" s="682"/>
      <c r="L102" s="319"/>
      <c r="M102" s="319"/>
      <c r="N102" s="319"/>
      <c r="O102" s="319"/>
      <c r="P102" s="319"/>
      <c r="Q102" s="319"/>
      <c r="R102" s="319"/>
      <c r="S102" s="319"/>
      <c r="T102" s="319"/>
      <c r="U102" s="319"/>
      <c r="V102" s="319"/>
      <c r="W102" s="319"/>
      <c r="X102" s="319"/>
      <c r="Y102" s="319"/>
      <c r="Z102" s="319"/>
      <c r="AA102" s="319"/>
      <c r="AB102" s="319"/>
      <c r="AC102" s="319"/>
      <c r="AD102" s="319"/>
      <c r="AE102" s="319"/>
    </row>
    <row r="103" spans="1:33" s="252" customFormat="1">
      <c r="A103" s="183"/>
      <c r="B103" s="183"/>
      <c r="C103" s="185"/>
      <c r="D103" s="186"/>
      <c r="E103" s="185"/>
      <c r="F103" s="185"/>
      <c r="G103" s="185"/>
      <c r="H103" s="185"/>
      <c r="I103" s="302"/>
      <c r="J103" s="188"/>
      <c r="K103" s="683"/>
      <c r="L103" s="320"/>
      <c r="M103" s="320"/>
      <c r="N103" s="320"/>
      <c r="O103" s="320"/>
      <c r="P103" s="320"/>
      <c r="Q103" s="320"/>
      <c r="R103" s="320"/>
      <c r="S103" s="320"/>
      <c r="T103" s="320"/>
      <c r="U103" s="320"/>
      <c r="V103" s="320"/>
      <c r="W103" s="320"/>
      <c r="X103" s="320"/>
      <c r="Y103" s="320"/>
      <c r="Z103" s="320"/>
      <c r="AA103" s="320"/>
      <c r="AB103" s="320"/>
      <c r="AC103" s="320"/>
      <c r="AD103" s="320"/>
      <c r="AE103" s="320"/>
    </row>
    <row r="104" spans="1:33">
      <c r="A104" s="37" t="s">
        <v>425</v>
      </c>
      <c r="B104" s="37"/>
      <c r="C104" s="57"/>
      <c r="E104" s="57"/>
      <c r="F104" s="57"/>
      <c r="G104" s="57"/>
      <c r="H104" s="998"/>
      <c r="I104" s="51" t="s">
        <v>532</v>
      </c>
      <c r="J104" s="624">
        <f>((6350/6)*7)+((6500/6)*7)</f>
        <v>14991.666666666666</v>
      </c>
      <c r="K104" s="683">
        <v>0</v>
      </c>
      <c r="L104" s="671">
        <f>J104</f>
        <v>14991.666666666666</v>
      </c>
      <c r="M104" s="671">
        <f>$L$104*L11</f>
        <v>15291.5</v>
      </c>
      <c r="N104" s="671">
        <f t="shared" ref="N104:AE104" si="22">$L$104*M11</f>
        <v>15597.33</v>
      </c>
      <c r="O104" s="671">
        <f t="shared" si="22"/>
        <v>15909.276599999997</v>
      </c>
      <c r="P104" s="671">
        <f t="shared" si="22"/>
        <v>16227.462131999999</v>
      </c>
      <c r="Q104" s="671">
        <f t="shared" si="22"/>
        <v>16552.011374639998</v>
      </c>
      <c r="R104" s="671">
        <f t="shared" si="22"/>
        <v>16883.0516021328</v>
      </c>
      <c r="S104" s="671">
        <f t="shared" si="22"/>
        <v>17220.712634175456</v>
      </c>
      <c r="T104" s="671">
        <f t="shared" si="22"/>
        <v>17565.126886858965</v>
      </c>
      <c r="U104" s="671">
        <f t="shared" si="22"/>
        <v>17916.429424596146</v>
      </c>
      <c r="V104" s="671">
        <f t="shared" si="22"/>
        <v>18274.758013088071</v>
      </c>
      <c r="W104" s="671">
        <f t="shared" si="22"/>
        <v>18640.253173349829</v>
      </c>
      <c r="X104" s="671">
        <f t="shared" si="22"/>
        <v>19013.058236816825</v>
      </c>
      <c r="Y104" s="671">
        <f t="shared" si="22"/>
        <v>19393.319401553163</v>
      </c>
      <c r="Z104" s="671">
        <f t="shared" si="22"/>
        <v>19781.185789584226</v>
      </c>
      <c r="AA104" s="671">
        <f t="shared" si="22"/>
        <v>20176.809505375913</v>
      </c>
      <c r="AB104" s="671">
        <f t="shared" si="22"/>
        <v>20580.345695483433</v>
      </c>
      <c r="AC104" s="671">
        <f t="shared" si="22"/>
        <v>20991.952609393102</v>
      </c>
      <c r="AD104" s="671">
        <f t="shared" si="22"/>
        <v>21411.791661580963</v>
      </c>
      <c r="AE104" s="671">
        <f t="shared" si="22"/>
        <v>21840.027494812584</v>
      </c>
    </row>
    <row r="105" spans="1:33">
      <c r="A105" s="37" t="s">
        <v>16</v>
      </c>
      <c r="B105" s="37"/>
      <c r="C105" s="57"/>
      <c r="E105" s="57"/>
      <c r="F105" s="57"/>
      <c r="G105" s="57"/>
      <c r="H105" s="998"/>
      <c r="I105" s="51" t="s">
        <v>17</v>
      </c>
      <c r="J105" s="624">
        <f>1250</f>
        <v>1250</v>
      </c>
      <c r="K105" s="683">
        <v>0</v>
      </c>
      <c r="L105" s="671">
        <f>J105*7</f>
        <v>8750</v>
      </c>
      <c r="M105" s="671">
        <f>$L$105*L11</f>
        <v>8925</v>
      </c>
      <c r="N105" s="671">
        <f t="shared" ref="N105:AE105" si="23">$L$105*M11</f>
        <v>9103.5</v>
      </c>
      <c r="O105" s="671">
        <f t="shared" si="23"/>
        <v>9285.57</v>
      </c>
      <c r="P105" s="671">
        <f t="shared" si="23"/>
        <v>9471.2813999999998</v>
      </c>
      <c r="Q105" s="671">
        <f t="shared" si="23"/>
        <v>9660.7070280000007</v>
      </c>
      <c r="R105" s="671">
        <f t="shared" si="23"/>
        <v>9853.9211685600003</v>
      </c>
      <c r="S105" s="671">
        <f t="shared" si="23"/>
        <v>10050.9995919312</v>
      </c>
      <c r="T105" s="671">
        <f t="shared" si="23"/>
        <v>10252.019583769825</v>
      </c>
      <c r="U105" s="671">
        <f t="shared" si="23"/>
        <v>10457.059975445221</v>
      </c>
      <c r="V105" s="671">
        <f t="shared" si="23"/>
        <v>10666.201174954127</v>
      </c>
      <c r="W105" s="671">
        <f t="shared" si="23"/>
        <v>10879.52519845321</v>
      </c>
      <c r="X105" s="671">
        <f t="shared" si="23"/>
        <v>11097.115702422274</v>
      </c>
      <c r="Y105" s="671">
        <f t="shared" si="23"/>
        <v>11319.058016470717</v>
      </c>
      <c r="Z105" s="671">
        <f t="shared" si="23"/>
        <v>11545.439176800133</v>
      </c>
      <c r="AA105" s="671">
        <f t="shared" si="23"/>
        <v>11776.347960336136</v>
      </c>
      <c r="AB105" s="671">
        <f t="shared" si="23"/>
        <v>12011.874919542859</v>
      </c>
      <c r="AC105" s="671">
        <f t="shared" si="23"/>
        <v>12252.112417933717</v>
      </c>
      <c r="AD105" s="671">
        <f t="shared" si="23"/>
        <v>12497.154666292392</v>
      </c>
      <c r="AE105" s="671">
        <f t="shared" si="23"/>
        <v>12747.09775961824</v>
      </c>
    </row>
    <row r="106" spans="1:33" s="702" customFormat="1">
      <c r="A106" s="701" t="s">
        <v>53</v>
      </c>
      <c r="B106" s="701"/>
      <c r="C106" s="705"/>
      <c r="D106" s="984"/>
      <c r="E106" s="705"/>
      <c r="F106" s="705"/>
      <c r="G106" s="705"/>
      <c r="H106" s="985"/>
      <c r="I106" s="706" t="s">
        <v>17</v>
      </c>
      <c r="J106" s="986">
        <v>0</v>
      </c>
      <c r="K106" s="987">
        <v>0</v>
      </c>
      <c r="L106" s="988">
        <f t="shared" ref="L106:L107" si="24">J106*12</f>
        <v>0</v>
      </c>
      <c r="M106" s="988">
        <f t="shared" ref="M106:AB107" si="25">L106*1.03</f>
        <v>0</v>
      </c>
      <c r="N106" s="988">
        <f t="shared" si="25"/>
        <v>0</v>
      </c>
      <c r="O106" s="988">
        <f t="shared" si="25"/>
        <v>0</v>
      </c>
      <c r="P106" s="988">
        <f t="shared" si="25"/>
        <v>0</v>
      </c>
      <c r="Q106" s="988">
        <f t="shared" si="25"/>
        <v>0</v>
      </c>
      <c r="R106" s="988">
        <f t="shared" si="25"/>
        <v>0</v>
      </c>
      <c r="S106" s="988">
        <f t="shared" si="25"/>
        <v>0</v>
      </c>
      <c r="T106" s="988">
        <f t="shared" si="25"/>
        <v>0</v>
      </c>
      <c r="U106" s="988">
        <f t="shared" si="25"/>
        <v>0</v>
      </c>
      <c r="V106" s="988">
        <f t="shared" si="25"/>
        <v>0</v>
      </c>
      <c r="W106" s="988">
        <f t="shared" si="25"/>
        <v>0</v>
      </c>
      <c r="X106" s="988">
        <f t="shared" si="25"/>
        <v>0</v>
      </c>
      <c r="Y106" s="988">
        <f t="shared" si="25"/>
        <v>0</v>
      </c>
      <c r="Z106" s="988">
        <f t="shared" si="25"/>
        <v>0</v>
      </c>
      <c r="AA106" s="988">
        <f t="shared" si="25"/>
        <v>0</v>
      </c>
      <c r="AB106" s="988">
        <f t="shared" si="25"/>
        <v>0</v>
      </c>
      <c r="AC106" s="988">
        <f t="shared" ref="AC106:AE107" si="26">AB106*1.03</f>
        <v>0</v>
      </c>
      <c r="AD106" s="988">
        <f t="shared" si="26"/>
        <v>0</v>
      </c>
      <c r="AE106" s="988">
        <f t="shared" si="26"/>
        <v>0</v>
      </c>
    </row>
    <row r="107" spans="1:33" s="702" customFormat="1">
      <c r="A107" s="989" t="s">
        <v>54</v>
      </c>
      <c r="B107" s="990"/>
      <c r="C107" s="991"/>
      <c r="D107" s="992"/>
      <c r="E107" s="991"/>
      <c r="F107" s="991"/>
      <c r="G107" s="991"/>
      <c r="H107" s="993"/>
      <c r="I107" s="994" t="s">
        <v>17</v>
      </c>
      <c r="J107" s="995">
        <v>0</v>
      </c>
      <c r="K107" s="996">
        <v>0</v>
      </c>
      <c r="L107" s="997">
        <f t="shared" si="24"/>
        <v>0</v>
      </c>
      <c r="M107" s="997">
        <f t="shared" si="25"/>
        <v>0</v>
      </c>
      <c r="N107" s="997">
        <f t="shared" si="25"/>
        <v>0</v>
      </c>
      <c r="O107" s="997">
        <f t="shared" si="25"/>
        <v>0</v>
      </c>
      <c r="P107" s="997">
        <f t="shared" si="25"/>
        <v>0</v>
      </c>
      <c r="Q107" s="997">
        <f t="shared" si="25"/>
        <v>0</v>
      </c>
      <c r="R107" s="997">
        <f t="shared" si="25"/>
        <v>0</v>
      </c>
      <c r="S107" s="997">
        <f t="shared" si="25"/>
        <v>0</v>
      </c>
      <c r="T107" s="997">
        <f t="shared" si="25"/>
        <v>0</v>
      </c>
      <c r="U107" s="997">
        <f t="shared" si="25"/>
        <v>0</v>
      </c>
      <c r="V107" s="997">
        <f t="shared" si="25"/>
        <v>0</v>
      </c>
      <c r="W107" s="997">
        <f t="shared" si="25"/>
        <v>0</v>
      </c>
      <c r="X107" s="997">
        <f t="shared" si="25"/>
        <v>0</v>
      </c>
      <c r="Y107" s="997">
        <f t="shared" si="25"/>
        <v>0</v>
      </c>
      <c r="Z107" s="997">
        <f t="shared" si="25"/>
        <v>0</v>
      </c>
      <c r="AA107" s="997">
        <f t="shared" si="25"/>
        <v>0</v>
      </c>
      <c r="AB107" s="997">
        <f t="shared" si="25"/>
        <v>0</v>
      </c>
      <c r="AC107" s="997">
        <f t="shared" si="26"/>
        <v>0</v>
      </c>
      <c r="AD107" s="997">
        <f t="shared" si="26"/>
        <v>0</v>
      </c>
      <c r="AE107" s="997">
        <f t="shared" si="26"/>
        <v>0</v>
      </c>
    </row>
    <row r="108" spans="1:33" s="56" customFormat="1" ht="14.25">
      <c r="A108" s="56" t="s">
        <v>55</v>
      </c>
      <c r="B108" s="164"/>
      <c r="C108" s="75"/>
      <c r="D108" s="173"/>
      <c r="E108" s="75"/>
      <c r="F108" s="75"/>
      <c r="G108" s="75"/>
      <c r="H108" s="75"/>
      <c r="I108" s="999"/>
      <c r="J108" s="1000"/>
      <c r="K108" s="685">
        <v>0</v>
      </c>
      <c r="L108" s="1001">
        <f>SUM(L104:L107)</f>
        <v>23741.666666666664</v>
      </c>
      <c r="M108" s="1001">
        <f t="shared" ref="M108:AE108" si="27">SUM(M104:M107)</f>
        <v>24216.5</v>
      </c>
      <c r="N108" s="1001">
        <f t="shared" si="27"/>
        <v>24700.83</v>
      </c>
      <c r="O108" s="1001">
        <f t="shared" si="27"/>
        <v>25194.846599999997</v>
      </c>
      <c r="P108" s="1001">
        <f t="shared" si="27"/>
        <v>25698.743532</v>
      </c>
      <c r="Q108" s="1001">
        <f t="shared" si="27"/>
        <v>26212.718402639999</v>
      </c>
      <c r="R108" s="1001">
        <f t="shared" si="27"/>
        <v>26736.972770692802</v>
      </c>
      <c r="S108" s="1001">
        <f t="shared" si="27"/>
        <v>27271.712226106654</v>
      </c>
      <c r="T108" s="1001">
        <f t="shared" si="27"/>
        <v>27817.146470628788</v>
      </c>
      <c r="U108" s="1001">
        <f t="shared" si="27"/>
        <v>28373.48940004137</v>
      </c>
      <c r="V108" s="1001">
        <f t="shared" si="27"/>
        <v>28940.959188042198</v>
      </c>
      <c r="W108" s="1001">
        <f t="shared" si="27"/>
        <v>29519.77837180304</v>
      </c>
      <c r="X108" s="1001">
        <f t="shared" si="27"/>
        <v>30110.173939239099</v>
      </c>
      <c r="Y108" s="1001">
        <f t="shared" si="27"/>
        <v>30712.37741802388</v>
      </c>
      <c r="Z108" s="1001">
        <f t="shared" si="27"/>
        <v>31326.624966384359</v>
      </c>
      <c r="AA108" s="1001">
        <f t="shared" si="27"/>
        <v>31953.157465712051</v>
      </c>
      <c r="AB108" s="1001">
        <f t="shared" si="27"/>
        <v>32592.220615026294</v>
      </c>
      <c r="AC108" s="1001">
        <f t="shared" si="27"/>
        <v>33244.065027326818</v>
      </c>
      <c r="AD108" s="1001">
        <f t="shared" si="27"/>
        <v>33908.946327873353</v>
      </c>
      <c r="AE108" s="1001">
        <f t="shared" si="27"/>
        <v>34587.125254430823</v>
      </c>
    </row>
    <row r="109" spans="1:33">
      <c r="A109" s="56"/>
      <c r="B109" s="37"/>
      <c r="C109" s="57"/>
      <c r="E109" s="57"/>
      <c r="F109" s="57"/>
      <c r="G109" s="57"/>
      <c r="H109" s="57"/>
      <c r="I109" s="51"/>
      <c r="J109" s="624"/>
      <c r="K109" s="683"/>
      <c r="L109" s="666"/>
      <c r="M109" s="666"/>
      <c r="N109" s="666"/>
      <c r="O109" s="666"/>
      <c r="P109" s="666"/>
      <c r="Q109" s="666"/>
      <c r="R109" s="666"/>
      <c r="S109" s="666"/>
      <c r="T109" s="666"/>
      <c r="U109" s="666"/>
      <c r="V109" s="666"/>
      <c r="W109" s="666"/>
      <c r="X109" s="666"/>
      <c r="Y109" s="666"/>
      <c r="Z109" s="666"/>
      <c r="AA109" s="666"/>
      <c r="AB109" s="666"/>
      <c r="AC109" s="666"/>
      <c r="AD109" s="666"/>
      <c r="AE109" s="666"/>
    </row>
    <row r="110" spans="1:33">
      <c r="A110" s="47" t="s">
        <v>7</v>
      </c>
      <c r="B110" s="47" t="s">
        <v>7</v>
      </c>
      <c r="C110" s="78" t="s">
        <v>7</v>
      </c>
      <c r="D110" s="100"/>
      <c r="E110" s="78" t="s">
        <v>7</v>
      </c>
      <c r="F110" s="78"/>
      <c r="G110" s="78" t="s">
        <v>7</v>
      </c>
      <c r="H110" s="78"/>
      <c r="I110" s="52" t="s">
        <v>7</v>
      </c>
      <c r="J110" s="672"/>
      <c r="K110" s="673"/>
      <c r="L110" s="672"/>
      <c r="M110" s="672"/>
      <c r="N110" s="672"/>
      <c r="O110" s="672"/>
      <c r="P110" s="672"/>
      <c r="Q110" s="672"/>
      <c r="R110" s="672"/>
      <c r="S110" s="672"/>
      <c r="T110" s="672"/>
      <c r="U110" s="672"/>
      <c r="V110" s="672"/>
      <c r="W110" s="672"/>
      <c r="X110" s="672"/>
      <c r="Y110" s="672"/>
      <c r="Z110" s="672"/>
      <c r="AA110" s="672"/>
      <c r="AB110" s="672"/>
      <c r="AC110" s="672"/>
      <c r="AD110" s="672"/>
      <c r="AE110" s="672"/>
    </row>
    <row r="111" spans="1:33">
      <c r="A111" s="47"/>
      <c r="B111" s="47"/>
      <c r="C111" s="78"/>
      <c r="D111" s="100"/>
      <c r="E111" s="78"/>
      <c r="F111" s="78"/>
      <c r="G111" s="78"/>
      <c r="H111" s="78"/>
      <c r="I111" s="52"/>
      <c r="J111" s="672"/>
      <c r="K111" s="683"/>
      <c r="L111" s="666"/>
      <c r="M111" s="666"/>
      <c r="N111" s="666"/>
      <c r="O111" s="666"/>
      <c r="P111" s="666"/>
      <c r="Q111" s="666"/>
      <c r="R111" s="666"/>
      <c r="S111" s="666"/>
      <c r="T111" s="666"/>
      <c r="U111" s="666"/>
      <c r="V111" s="666"/>
      <c r="W111" s="666"/>
      <c r="X111" s="666"/>
      <c r="Y111" s="666"/>
      <c r="Z111" s="666"/>
      <c r="AA111" s="666"/>
      <c r="AB111" s="666"/>
      <c r="AC111" s="666"/>
      <c r="AD111" s="666"/>
      <c r="AE111" s="666"/>
    </row>
    <row r="112" spans="1:33" s="56" customFormat="1" ht="14.25">
      <c r="A112" s="203" t="s">
        <v>303</v>
      </c>
      <c r="B112" s="203"/>
      <c r="C112" s="204"/>
      <c r="D112" s="205"/>
      <c r="E112" s="204"/>
      <c r="F112" s="204"/>
      <c r="G112" s="204"/>
      <c r="H112" s="204"/>
      <c r="I112" s="206"/>
      <c r="J112" s="674"/>
      <c r="K112" s="676">
        <f>SUM(K79,K100,K108)</f>
        <v>0</v>
      </c>
      <c r="L112" s="676">
        <f>SUM(L79,L100,L108)</f>
        <v>357416.66666666669</v>
      </c>
      <c r="M112" s="676">
        <f t="shared" ref="M112:AE112" si="28">SUM(M79,M100,M108)</f>
        <v>732748.5</v>
      </c>
      <c r="N112" s="676">
        <f t="shared" si="28"/>
        <v>747413.67</v>
      </c>
      <c r="O112" s="676">
        <f t="shared" si="28"/>
        <v>762361.94339999999</v>
      </c>
      <c r="P112" s="676">
        <f t="shared" si="28"/>
        <v>777609.18226799998</v>
      </c>
      <c r="Q112" s="676">
        <f t="shared" si="28"/>
        <v>821505.24470855994</v>
      </c>
      <c r="R112" s="676">
        <f t="shared" si="28"/>
        <v>833398.43081236316</v>
      </c>
      <c r="S112" s="676">
        <f t="shared" si="28"/>
        <v>850066.39942861034</v>
      </c>
      <c r="T112" s="676">
        <f t="shared" si="28"/>
        <v>867067.72741718276</v>
      </c>
      <c r="U112" s="676">
        <f t="shared" si="28"/>
        <v>884409.08196552645</v>
      </c>
      <c r="V112" s="676">
        <f t="shared" si="28"/>
        <v>906487.76639483974</v>
      </c>
      <c r="W112" s="676">
        <f t="shared" si="28"/>
        <v>920139.20887693367</v>
      </c>
      <c r="X112" s="676">
        <f t="shared" si="28"/>
        <v>938541.99305447238</v>
      </c>
      <c r="Y112" s="676">
        <f t="shared" si="28"/>
        <v>957312.83291556186</v>
      </c>
      <c r="Z112" s="676">
        <f t="shared" si="28"/>
        <v>976459.08957387297</v>
      </c>
      <c r="AA112" s="676">
        <f t="shared" si="28"/>
        <v>1000315.3371961886</v>
      </c>
      <c r="AB112" s="676">
        <f t="shared" si="28"/>
        <v>1015908.0367926577</v>
      </c>
      <c r="AC112" s="676">
        <f t="shared" si="28"/>
        <v>1036226.1975285108</v>
      </c>
      <c r="AD112" s="676">
        <f t="shared" si="28"/>
        <v>1056950.7214790811</v>
      </c>
      <c r="AE112" s="676">
        <f t="shared" si="28"/>
        <v>1078089.7359086629</v>
      </c>
      <c r="AG112" s="199"/>
    </row>
    <row r="113" spans="1:33">
      <c r="A113" s="37"/>
      <c r="B113" s="37"/>
      <c r="C113" s="57"/>
      <c r="E113" s="110"/>
      <c r="F113" s="110"/>
      <c r="G113" s="57"/>
      <c r="H113" s="57"/>
      <c r="I113" s="43"/>
      <c r="J113" s="44"/>
      <c r="K113" s="683"/>
      <c r="L113" s="115"/>
      <c r="M113" s="115"/>
      <c r="N113" s="115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5"/>
      <c r="Z113" s="115"/>
      <c r="AA113" s="115"/>
      <c r="AB113" s="115"/>
      <c r="AC113" s="115"/>
      <c r="AD113" s="115"/>
      <c r="AE113" s="115"/>
      <c r="AG113" s="199"/>
    </row>
    <row r="114" spans="1:33">
      <c r="A114" s="47" t="s">
        <v>7</v>
      </c>
      <c r="B114" s="47" t="s">
        <v>7</v>
      </c>
      <c r="C114" s="78" t="s">
        <v>7</v>
      </c>
      <c r="D114" s="100"/>
      <c r="E114" s="78" t="s">
        <v>7</v>
      </c>
      <c r="F114" s="78"/>
      <c r="G114" s="78" t="s">
        <v>7</v>
      </c>
      <c r="H114" s="78"/>
      <c r="I114" s="52" t="s">
        <v>7</v>
      </c>
      <c r="J114" s="114"/>
      <c r="K114" s="673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G114" s="199"/>
    </row>
    <row r="115" spans="1:33">
      <c r="A115" s="47"/>
      <c r="B115" s="47"/>
      <c r="C115" s="78"/>
      <c r="D115" s="100"/>
      <c r="E115" s="78"/>
      <c r="F115" s="78"/>
      <c r="G115" s="78"/>
      <c r="H115" s="78"/>
      <c r="I115" s="52"/>
      <c r="J115" s="114"/>
      <c r="K115" s="683"/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5"/>
      <c r="Z115" s="115"/>
      <c r="AA115" s="115"/>
      <c r="AB115" s="115"/>
      <c r="AC115" s="115"/>
      <c r="AD115" s="115"/>
      <c r="AE115" s="115"/>
      <c r="AG115" s="199"/>
    </row>
    <row r="116" spans="1:33">
      <c r="A116" s="168" t="s">
        <v>71</v>
      </c>
      <c r="B116" s="171"/>
      <c r="C116" s="176"/>
      <c r="D116" s="177"/>
      <c r="E116" s="176"/>
      <c r="F116" s="176"/>
      <c r="G116" s="176"/>
      <c r="H116" s="176"/>
      <c r="I116" s="182"/>
      <c r="J116" s="179"/>
      <c r="K116" s="682"/>
      <c r="L116" s="319"/>
      <c r="M116" s="319"/>
      <c r="N116" s="319"/>
      <c r="O116" s="319"/>
      <c r="P116" s="319"/>
      <c r="Q116" s="319"/>
      <c r="R116" s="319"/>
      <c r="S116" s="319"/>
      <c r="T116" s="319"/>
      <c r="U116" s="319"/>
      <c r="V116" s="319"/>
      <c r="W116" s="319"/>
      <c r="X116" s="319"/>
      <c r="Y116" s="319"/>
      <c r="Z116" s="319"/>
      <c r="AA116" s="319"/>
      <c r="AB116" s="319"/>
      <c r="AC116" s="319"/>
      <c r="AD116" s="319"/>
      <c r="AE116" s="319"/>
      <c r="AG116" s="199"/>
    </row>
    <row r="117" spans="1:33" s="252" customFormat="1">
      <c r="A117" s="183"/>
      <c r="B117" s="184"/>
      <c r="C117" s="185"/>
      <c r="D117" s="186"/>
      <c r="E117" s="185"/>
      <c r="F117" s="185"/>
      <c r="G117" s="185"/>
      <c r="H117" s="185"/>
      <c r="I117" s="187"/>
      <c r="J117" s="188"/>
      <c r="K117" s="683"/>
      <c r="L117" s="320"/>
      <c r="M117" s="320"/>
      <c r="N117" s="320"/>
      <c r="O117" s="320"/>
      <c r="P117" s="320"/>
      <c r="Q117" s="320"/>
      <c r="R117" s="320"/>
      <c r="S117" s="320"/>
      <c r="T117" s="320"/>
      <c r="U117" s="320"/>
      <c r="V117" s="320"/>
      <c r="W117" s="320"/>
      <c r="X117" s="320"/>
      <c r="Y117" s="320"/>
      <c r="Z117" s="320"/>
      <c r="AA117" s="320"/>
      <c r="AB117" s="320"/>
      <c r="AC117" s="320"/>
      <c r="AD117" s="320"/>
      <c r="AE117" s="320"/>
      <c r="AG117" s="363"/>
    </row>
    <row r="118" spans="1:33">
      <c r="A118" s="39" t="s">
        <v>0</v>
      </c>
      <c r="B118" s="39"/>
      <c r="C118" s="102"/>
      <c r="D118" s="103"/>
      <c r="E118" s="104"/>
      <c r="F118" s="104"/>
      <c r="G118" s="104"/>
      <c r="H118" s="104"/>
      <c r="I118" s="39"/>
      <c r="J118" s="104"/>
      <c r="K118" s="688"/>
      <c r="L118" s="335"/>
      <c r="M118" s="335"/>
      <c r="N118" s="335"/>
      <c r="O118" s="335"/>
      <c r="P118" s="335"/>
      <c r="Q118" s="335"/>
      <c r="R118" s="335"/>
      <c r="S118" s="335"/>
      <c r="T118" s="335"/>
      <c r="U118" s="335"/>
      <c r="V118" s="335"/>
      <c r="W118" s="335"/>
      <c r="X118" s="335"/>
      <c r="Y118" s="335"/>
      <c r="Z118" s="335"/>
      <c r="AA118" s="335"/>
      <c r="AB118" s="335"/>
      <c r="AC118" s="335"/>
      <c r="AD118" s="335"/>
      <c r="AE118" s="335"/>
    </row>
    <row r="119" spans="1:33">
      <c r="A119" s="41" t="s">
        <v>13</v>
      </c>
      <c r="B119" s="41"/>
      <c r="C119" s="105"/>
      <c r="D119" s="106"/>
      <c r="E119" s="37"/>
      <c r="F119" s="37"/>
      <c r="G119" s="37"/>
      <c r="H119" s="37"/>
      <c r="I119" s="41"/>
      <c r="J119" s="37"/>
      <c r="K119" s="683"/>
      <c r="L119" s="200"/>
      <c r="M119" s="200"/>
      <c r="N119" s="200"/>
      <c r="O119" s="200"/>
      <c r="P119" s="200"/>
      <c r="Q119" s="200"/>
      <c r="R119" s="200"/>
      <c r="S119" s="200"/>
      <c r="T119" s="200"/>
      <c r="U119" s="201"/>
      <c r="V119" s="323"/>
      <c r="W119" s="200"/>
      <c r="X119" s="200"/>
      <c r="Y119" s="200"/>
      <c r="Z119" s="200"/>
      <c r="AA119" s="200"/>
      <c r="AB119" s="200"/>
      <c r="AC119" s="200"/>
      <c r="AD119" s="200"/>
      <c r="AE119" s="201"/>
    </row>
    <row r="120" spans="1:33">
      <c r="A120" s="96" t="s">
        <v>56</v>
      </c>
      <c r="B120" s="735" t="s">
        <v>12</v>
      </c>
      <c r="C120" s="663">
        <v>55000</v>
      </c>
      <c r="D120" s="736">
        <f>C120/2080</f>
        <v>26.442307692307693</v>
      </c>
      <c r="E120" s="663">
        <v>0</v>
      </c>
      <c r="F120" s="663">
        <f>C120*$F$13</f>
        <v>22000</v>
      </c>
      <c r="G120" s="663">
        <f>SUM(C120,E120:F120)</f>
        <v>77000</v>
      </c>
      <c r="H120" s="736">
        <f>G120/2080*8</f>
        <v>296.15384615384613</v>
      </c>
      <c r="I120" s="736"/>
      <c r="J120" s="663"/>
      <c r="K120" s="683">
        <v>0</v>
      </c>
      <c r="L120" s="665">
        <v>0</v>
      </c>
      <c r="M120" s="665">
        <f>$H$120*M32*0.25</f>
        <v>15844.230769230768</v>
      </c>
      <c r="N120" s="665">
        <f t="shared" ref="N120:AE120" si="29">$M$120*M11</f>
        <v>16484.33769230769</v>
      </c>
      <c r="O120" s="665">
        <f t="shared" si="29"/>
        <v>16814.024446153842</v>
      </c>
      <c r="P120" s="665">
        <f t="shared" si="29"/>
        <v>17150.304935076922</v>
      </c>
      <c r="Q120" s="665">
        <f t="shared" si="29"/>
        <v>17493.31103377846</v>
      </c>
      <c r="R120" s="665">
        <f t="shared" si="29"/>
        <v>17843.177254454029</v>
      </c>
      <c r="S120" s="665">
        <f t="shared" si="29"/>
        <v>18200.040799543109</v>
      </c>
      <c r="T120" s="665">
        <f t="shared" si="29"/>
        <v>18564.041615533974</v>
      </c>
      <c r="U120" s="665">
        <f t="shared" si="29"/>
        <v>18935.322447844654</v>
      </c>
      <c r="V120" s="665">
        <f t="shared" si="29"/>
        <v>19314.028896801548</v>
      </c>
      <c r="W120" s="665">
        <f t="shared" si="29"/>
        <v>19700.30947473758</v>
      </c>
      <c r="X120" s="665">
        <f t="shared" si="29"/>
        <v>20094.31566423233</v>
      </c>
      <c r="Y120" s="665">
        <f t="shared" si="29"/>
        <v>20496.201977516976</v>
      </c>
      <c r="Z120" s="665">
        <f t="shared" si="29"/>
        <v>20906.126017067316</v>
      </c>
      <c r="AA120" s="665">
        <f t="shared" si="29"/>
        <v>21324.248537408665</v>
      </c>
      <c r="AB120" s="665">
        <f t="shared" si="29"/>
        <v>21750.733508156838</v>
      </c>
      <c r="AC120" s="665">
        <f t="shared" si="29"/>
        <v>22185.748178319976</v>
      </c>
      <c r="AD120" s="665">
        <f t="shared" si="29"/>
        <v>22629.463141886376</v>
      </c>
      <c r="AE120" s="665">
        <f t="shared" si="29"/>
        <v>23082.052404724102</v>
      </c>
    </row>
    <row r="121" spans="1:33">
      <c r="A121" s="96" t="s">
        <v>57</v>
      </c>
      <c r="B121" s="735" t="s">
        <v>15</v>
      </c>
      <c r="C121" s="663">
        <v>15000</v>
      </c>
      <c r="D121" s="736">
        <f>C121/2080</f>
        <v>7.2115384615384617</v>
      </c>
      <c r="E121" s="663">
        <f>C121*E12</f>
        <v>3000</v>
      </c>
      <c r="F121" s="663">
        <f t="shared" ref="F121:F122" si="30">C121*$F$13</f>
        <v>6000</v>
      </c>
      <c r="G121" s="663">
        <f t="shared" ref="G121:G122" si="31">SUM(C121,E121:F121)</f>
        <v>24000</v>
      </c>
      <c r="H121" s="736">
        <f>G121/2080*12</f>
        <v>138.46153846153845</v>
      </c>
      <c r="I121" s="736"/>
      <c r="J121" s="663"/>
      <c r="K121" s="683">
        <v>0</v>
      </c>
      <c r="L121" s="665">
        <v>0</v>
      </c>
      <c r="M121" s="665">
        <f>$H$121*M32*0.5</f>
        <v>14815.384615384615</v>
      </c>
      <c r="N121" s="665">
        <f t="shared" ref="N121:AE121" si="32">$M$121*M11</f>
        <v>15413.926153846154</v>
      </c>
      <c r="O121" s="665">
        <f t="shared" si="32"/>
        <v>15722.204676923076</v>
      </c>
      <c r="P121" s="665">
        <f t="shared" si="32"/>
        <v>16036.648770461537</v>
      </c>
      <c r="Q121" s="665">
        <f t="shared" si="32"/>
        <v>16357.381745870769</v>
      </c>
      <c r="R121" s="665">
        <f t="shared" si="32"/>
        <v>16684.529380788186</v>
      </c>
      <c r="S121" s="665">
        <f t="shared" si="32"/>
        <v>17018.219968403948</v>
      </c>
      <c r="T121" s="665">
        <f t="shared" si="32"/>
        <v>17358.58436777203</v>
      </c>
      <c r="U121" s="665">
        <f t="shared" si="32"/>
        <v>17705.756055127469</v>
      </c>
      <c r="V121" s="665">
        <f t="shared" si="32"/>
        <v>18059.871176230019</v>
      </c>
      <c r="W121" s="665">
        <f t="shared" si="32"/>
        <v>18421.068599754621</v>
      </c>
      <c r="X121" s="665">
        <f t="shared" si="32"/>
        <v>18789.489971749714</v>
      </c>
      <c r="Y121" s="665">
        <f t="shared" si="32"/>
        <v>19165.279771184705</v>
      </c>
      <c r="Z121" s="665">
        <f t="shared" si="32"/>
        <v>19548.5853666084</v>
      </c>
      <c r="AA121" s="665">
        <f t="shared" si="32"/>
        <v>19939.55707394057</v>
      </c>
      <c r="AB121" s="665">
        <f t="shared" si="32"/>
        <v>20338.348215419381</v>
      </c>
      <c r="AC121" s="665">
        <f t="shared" si="32"/>
        <v>20745.115179727771</v>
      </c>
      <c r="AD121" s="665">
        <f t="shared" si="32"/>
        <v>21160.017483322328</v>
      </c>
      <c r="AE121" s="665">
        <f t="shared" si="32"/>
        <v>21583.217832988772</v>
      </c>
    </row>
    <row r="122" spans="1:33">
      <c r="A122" s="737" t="s">
        <v>57</v>
      </c>
      <c r="B122" s="738" t="s">
        <v>15</v>
      </c>
      <c r="C122" s="739">
        <v>15000</v>
      </c>
      <c r="D122" s="740">
        <f>C122/2080</f>
        <v>7.2115384615384617</v>
      </c>
      <c r="E122" s="739">
        <f>C122*$E$12</f>
        <v>3000</v>
      </c>
      <c r="F122" s="739">
        <f t="shared" si="30"/>
        <v>6000</v>
      </c>
      <c r="G122" s="739">
        <f t="shared" si="31"/>
        <v>24000</v>
      </c>
      <c r="H122" s="740">
        <f t="shared" ref="H122" si="33">G122/2080*12</f>
        <v>138.46153846153845</v>
      </c>
      <c r="I122" s="740"/>
      <c r="J122" s="739"/>
      <c r="K122" s="741">
        <v>0</v>
      </c>
      <c r="L122" s="742">
        <v>0</v>
      </c>
      <c r="M122" s="742">
        <f>$H$122*M32*0.5</f>
        <v>14815.384615384615</v>
      </c>
      <c r="N122" s="742">
        <f t="shared" ref="N122:AE122" si="34">$M$122*M11</f>
        <v>15413.926153846154</v>
      </c>
      <c r="O122" s="742">
        <f t="shared" si="34"/>
        <v>15722.204676923076</v>
      </c>
      <c r="P122" s="742">
        <f t="shared" si="34"/>
        <v>16036.648770461537</v>
      </c>
      <c r="Q122" s="742">
        <f t="shared" si="34"/>
        <v>16357.381745870769</v>
      </c>
      <c r="R122" s="742">
        <f t="shared" si="34"/>
        <v>16684.529380788186</v>
      </c>
      <c r="S122" s="742">
        <f t="shared" si="34"/>
        <v>17018.219968403948</v>
      </c>
      <c r="T122" s="742">
        <f t="shared" si="34"/>
        <v>17358.58436777203</v>
      </c>
      <c r="U122" s="742">
        <f t="shared" si="34"/>
        <v>17705.756055127469</v>
      </c>
      <c r="V122" s="742">
        <f t="shared" si="34"/>
        <v>18059.871176230019</v>
      </c>
      <c r="W122" s="742">
        <f t="shared" si="34"/>
        <v>18421.068599754621</v>
      </c>
      <c r="X122" s="742">
        <f t="shared" si="34"/>
        <v>18789.489971749714</v>
      </c>
      <c r="Y122" s="742">
        <f t="shared" si="34"/>
        <v>19165.279771184705</v>
      </c>
      <c r="Z122" s="742">
        <f t="shared" si="34"/>
        <v>19548.5853666084</v>
      </c>
      <c r="AA122" s="742">
        <f t="shared" si="34"/>
        <v>19939.55707394057</v>
      </c>
      <c r="AB122" s="742">
        <f t="shared" si="34"/>
        <v>20338.348215419381</v>
      </c>
      <c r="AC122" s="742">
        <f t="shared" si="34"/>
        <v>20745.115179727771</v>
      </c>
      <c r="AD122" s="742">
        <f t="shared" si="34"/>
        <v>21160.017483322328</v>
      </c>
      <c r="AE122" s="742">
        <f t="shared" si="34"/>
        <v>21583.217832988772</v>
      </c>
    </row>
    <row r="123" spans="1:33">
      <c r="A123" s="164" t="s">
        <v>414</v>
      </c>
      <c r="B123" s="164"/>
      <c r="C123" s="667">
        <f>SUM(C120:C122)</f>
        <v>85000</v>
      </c>
      <c r="D123" s="667"/>
      <c r="E123" s="667">
        <f>SUM(E120:E122)</f>
        <v>6000</v>
      </c>
      <c r="F123" s="667">
        <f>SUM(F120:F122)</f>
        <v>34000</v>
      </c>
      <c r="G123" s="667">
        <f>SUM(G120:G122)</f>
        <v>125000</v>
      </c>
      <c r="H123" s="667">
        <f>SUM(H120:H122)</f>
        <v>573.07692307692309</v>
      </c>
      <c r="I123" s="668"/>
      <c r="J123" s="667"/>
      <c r="K123" s="685">
        <f>SUMIF($B120:$B122,"FT",K120:K122)</f>
        <v>0</v>
      </c>
      <c r="L123" s="669">
        <f>SUM(L120:L122)</f>
        <v>0</v>
      </c>
      <c r="M123" s="669">
        <f t="shared" ref="M123:AE123" si="35">SUM(M120:M122)</f>
        <v>45475</v>
      </c>
      <c r="N123" s="669">
        <f t="shared" si="35"/>
        <v>47312.19</v>
      </c>
      <c r="O123" s="669">
        <f t="shared" si="35"/>
        <v>48258.433799999999</v>
      </c>
      <c r="P123" s="669">
        <f t="shared" si="35"/>
        <v>49223.602475999993</v>
      </c>
      <c r="Q123" s="669">
        <f>SUM(Q120:Q122)</f>
        <v>50208.074525520002</v>
      </c>
      <c r="R123" s="669">
        <f t="shared" si="35"/>
        <v>51212.236016030394</v>
      </c>
      <c r="S123" s="669">
        <f t="shared" si="35"/>
        <v>52236.480736351004</v>
      </c>
      <c r="T123" s="669">
        <f t="shared" si="35"/>
        <v>53281.210351078029</v>
      </c>
      <c r="U123" s="669">
        <f t="shared" si="35"/>
        <v>54346.834558099596</v>
      </c>
      <c r="V123" s="669">
        <f t="shared" si="35"/>
        <v>55433.771249261583</v>
      </c>
      <c r="W123" s="669">
        <f t="shared" si="35"/>
        <v>56542.446674246821</v>
      </c>
      <c r="X123" s="669">
        <f t="shared" si="35"/>
        <v>57673.295607731765</v>
      </c>
      <c r="Y123" s="669">
        <f t="shared" si="35"/>
        <v>58826.761519886393</v>
      </c>
      <c r="Z123" s="669">
        <f t="shared" si="35"/>
        <v>60003.29675028412</v>
      </c>
      <c r="AA123" s="669">
        <f t="shared" si="35"/>
        <v>61203.362685289801</v>
      </c>
      <c r="AB123" s="669">
        <f t="shared" si="35"/>
        <v>62427.4299389956</v>
      </c>
      <c r="AC123" s="669">
        <f t="shared" si="35"/>
        <v>63675.978537775518</v>
      </c>
      <c r="AD123" s="669">
        <f t="shared" si="35"/>
        <v>64949.498108531028</v>
      </c>
      <c r="AE123" s="669">
        <f t="shared" si="35"/>
        <v>66248.488070701642</v>
      </c>
    </row>
    <row r="124" spans="1:33">
      <c r="A124" s="37"/>
      <c r="B124" s="37"/>
      <c r="C124" s="663"/>
      <c r="D124" s="663"/>
      <c r="E124" s="663"/>
      <c r="F124" s="663"/>
      <c r="G124" s="663"/>
      <c r="H124" s="663"/>
      <c r="I124" s="670"/>
      <c r="J124" s="663"/>
      <c r="K124" s="683"/>
      <c r="L124" s="666"/>
      <c r="M124" s="666"/>
      <c r="N124" s="666"/>
      <c r="O124" s="666"/>
      <c r="P124" s="666"/>
      <c r="Q124" s="666"/>
      <c r="R124" s="666"/>
      <c r="S124" s="666"/>
      <c r="T124" s="666"/>
      <c r="U124" s="666"/>
      <c r="V124" s="666"/>
      <c r="W124" s="666"/>
      <c r="X124" s="666"/>
      <c r="Y124" s="666"/>
      <c r="Z124" s="666"/>
      <c r="AA124" s="666"/>
      <c r="AB124" s="666"/>
      <c r="AC124" s="666"/>
      <c r="AD124" s="666"/>
      <c r="AE124" s="666"/>
    </row>
    <row r="125" spans="1:33">
      <c r="A125" s="37" t="s">
        <v>11</v>
      </c>
      <c r="B125" s="37"/>
      <c r="C125" s="663"/>
      <c r="D125" s="663"/>
      <c r="E125" s="663"/>
      <c r="F125" s="663"/>
      <c r="G125" s="663"/>
      <c r="H125" s="663"/>
      <c r="I125" s="670"/>
      <c r="J125" s="663"/>
      <c r="K125" s="743">
        <f>COUNTIF(K120:K122,"&gt;100")</f>
        <v>0</v>
      </c>
      <c r="L125" s="496">
        <f>COUNTIF(L120,"&gt;100")</f>
        <v>0</v>
      </c>
      <c r="M125" s="496">
        <f t="shared" ref="M125:AE125" si="36">COUNTIF(M120,"&gt;100")</f>
        <v>1</v>
      </c>
      <c r="N125" s="496">
        <f t="shared" si="36"/>
        <v>1</v>
      </c>
      <c r="O125" s="496">
        <f t="shared" si="36"/>
        <v>1</v>
      </c>
      <c r="P125" s="496">
        <f t="shared" si="36"/>
        <v>1</v>
      </c>
      <c r="Q125" s="496">
        <f t="shared" si="36"/>
        <v>1</v>
      </c>
      <c r="R125" s="496">
        <f t="shared" si="36"/>
        <v>1</v>
      </c>
      <c r="S125" s="496">
        <f t="shared" si="36"/>
        <v>1</v>
      </c>
      <c r="T125" s="496">
        <f t="shared" si="36"/>
        <v>1</v>
      </c>
      <c r="U125" s="496">
        <f t="shared" si="36"/>
        <v>1</v>
      </c>
      <c r="V125" s="496">
        <f t="shared" si="36"/>
        <v>1</v>
      </c>
      <c r="W125" s="496">
        <f t="shared" si="36"/>
        <v>1</v>
      </c>
      <c r="X125" s="496">
        <f t="shared" si="36"/>
        <v>1</v>
      </c>
      <c r="Y125" s="496">
        <f t="shared" si="36"/>
        <v>1</v>
      </c>
      <c r="Z125" s="496">
        <f t="shared" si="36"/>
        <v>1</v>
      </c>
      <c r="AA125" s="496">
        <f t="shared" si="36"/>
        <v>1</v>
      </c>
      <c r="AB125" s="496">
        <f t="shared" si="36"/>
        <v>1</v>
      </c>
      <c r="AC125" s="496">
        <f t="shared" si="36"/>
        <v>1</v>
      </c>
      <c r="AD125" s="496">
        <f t="shared" si="36"/>
        <v>1</v>
      </c>
      <c r="AE125" s="496">
        <f t="shared" si="36"/>
        <v>1</v>
      </c>
    </row>
    <row r="126" spans="1:33">
      <c r="A126" s="745" t="s">
        <v>10</v>
      </c>
      <c r="B126" s="745"/>
      <c r="C126" s="739"/>
      <c r="D126" s="739"/>
      <c r="E126" s="739"/>
      <c r="F126" s="739"/>
      <c r="G126" s="739"/>
      <c r="H126" s="739"/>
      <c r="I126" s="763"/>
      <c r="J126" s="739"/>
      <c r="K126" s="749">
        <f t="shared" ref="K126" si="37">K127-K125</f>
        <v>0</v>
      </c>
      <c r="L126" s="750">
        <f>COUNTIF(L121:L122,"&gt;100")</f>
        <v>0</v>
      </c>
      <c r="M126" s="750">
        <f t="shared" ref="M126:AE126" si="38">COUNTIF(M121:M122,"&gt;100")</f>
        <v>2</v>
      </c>
      <c r="N126" s="750">
        <f t="shared" si="38"/>
        <v>2</v>
      </c>
      <c r="O126" s="750">
        <f t="shared" si="38"/>
        <v>2</v>
      </c>
      <c r="P126" s="750">
        <f t="shared" si="38"/>
        <v>2</v>
      </c>
      <c r="Q126" s="750">
        <f t="shared" si="38"/>
        <v>2</v>
      </c>
      <c r="R126" s="750">
        <f t="shared" si="38"/>
        <v>2</v>
      </c>
      <c r="S126" s="750">
        <f t="shared" si="38"/>
        <v>2</v>
      </c>
      <c r="T126" s="750">
        <f t="shared" si="38"/>
        <v>2</v>
      </c>
      <c r="U126" s="750">
        <f t="shared" si="38"/>
        <v>2</v>
      </c>
      <c r="V126" s="750">
        <f t="shared" si="38"/>
        <v>2</v>
      </c>
      <c r="W126" s="750">
        <f t="shared" si="38"/>
        <v>2</v>
      </c>
      <c r="X126" s="750">
        <f t="shared" si="38"/>
        <v>2</v>
      </c>
      <c r="Y126" s="750">
        <f t="shared" si="38"/>
        <v>2</v>
      </c>
      <c r="Z126" s="750">
        <f t="shared" si="38"/>
        <v>2</v>
      </c>
      <c r="AA126" s="750">
        <f t="shared" si="38"/>
        <v>2</v>
      </c>
      <c r="AB126" s="750">
        <f t="shared" si="38"/>
        <v>2</v>
      </c>
      <c r="AC126" s="750">
        <f t="shared" si="38"/>
        <v>2</v>
      </c>
      <c r="AD126" s="750">
        <f t="shared" si="38"/>
        <v>2</v>
      </c>
      <c r="AE126" s="750">
        <f t="shared" si="38"/>
        <v>2</v>
      </c>
    </row>
    <row r="127" spans="1:33">
      <c r="A127" s="164" t="s">
        <v>9</v>
      </c>
      <c r="B127" s="164"/>
      <c r="C127" s="667"/>
      <c r="D127" s="667"/>
      <c r="E127" s="667"/>
      <c r="F127" s="667"/>
      <c r="G127" s="667"/>
      <c r="H127" s="667"/>
      <c r="I127" s="668"/>
      <c r="J127" s="667"/>
      <c r="K127" s="751">
        <f t="shared" ref="K127:AE127" si="39">COUNTIF(K120:K122,"&gt;0")</f>
        <v>0</v>
      </c>
      <c r="L127" s="752">
        <f t="shared" si="39"/>
        <v>0</v>
      </c>
      <c r="M127" s="752">
        <f t="shared" si="39"/>
        <v>3</v>
      </c>
      <c r="N127" s="752">
        <f t="shared" si="39"/>
        <v>3</v>
      </c>
      <c r="O127" s="752">
        <f t="shared" si="39"/>
        <v>3</v>
      </c>
      <c r="P127" s="752">
        <f t="shared" si="39"/>
        <v>3</v>
      </c>
      <c r="Q127" s="752">
        <f t="shared" si="39"/>
        <v>3</v>
      </c>
      <c r="R127" s="752">
        <f t="shared" si="39"/>
        <v>3</v>
      </c>
      <c r="S127" s="752">
        <f t="shared" si="39"/>
        <v>3</v>
      </c>
      <c r="T127" s="752">
        <f t="shared" si="39"/>
        <v>3</v>
      </c>
      <c r="U127" s="752">
        <f t="shared" si="39"/>
        <v>3</v>
      </c>
      <c r="V127" s="752">
        <f t="shared" si="39"/>
        <v>3</v>
      </c>
      <c r="W127" s="752">
        <f t="shared" si="39"/>
        <v>3</v>
      </c>
      <c r="X127" s="752">
        <f t="shared" si="39"/>
        <v>3</v>
      </c>
      <c r="Y127" s="752">
        <f t="shared" si="39"/>
        <v>3</v>
      </c>
      <c r="Z127" s="752">
        <f t="shared" si="39"/>
        <v>3</v>
      </c>
      <c r="AA127" s="752">
        <f t="shared" si="39"/>
        <v>3</v>
      </c>
      <c r="AB127" s="752">
        <f t="shared" si="39"/>
        <v>3</v>
      </c>
      <c r="AC127" s="752">
        <f t="shared" si="39"/>
        <v>3</v>
      </c>
      <c r="AD127" s="752">
        <f t="shared" si="39"/>
        <v>3</v>
      </c>
      <c r="AE127" s="752">
        <f t="shared" si="39"/>
        <v>3</v>
      </c>
    </row>
    <row r="128" spans="1:33">
      <c r="A128" s="37"/>
      <c r="B128" s="37"/>
      <c r="C128" s="57"/>
      <c r="E128" s="57"/>
      <c r="F128" s="57"/>
      <c r="G128" s="57"/>
      <c r="H128" s="57"/>
      <c r="I128" s="43"/>
      <c r="J128" s="42"/>
      <c r="K128" s="683"/>
      <c r="L128" s="316"/>
      <c r="M128" s="316"/>
      <c r="N128" s="316"/>
      <c r="O128" s="316"/>
      <c r="P128" s="316"/>
      <c r="Q128" s="316"/>
      <c r="R128" s="316"/>
      <c r="S128" s="316"/>
      <c r="T128" s="316"/>
      <c r="U128" s="316"/>
      <c r="V128" s="316"/>
      <c r="W128" s="316"/>
      <c r="X128" s="316"/>
      <c r="Y128" s="316"/>
      <c r="Z128" s="316"/>
      <c r="AA128" s="316"/>
      <c r="AB128" s="316"/>
      <c r="AC128" s="316"/>
      <c r="AD128" s="316"/>
      <c r="AE128" s="316"/>
    </row>
    <row r="129" spans="1:33" s="55" customFormat="1">
      <c r="A129" s="190" t="s">
        <v>60</v>
      </c>
      <c r="B129" s="191"/>
      <c r="C129" s="192"/>
      <c r="D129" s="193"/>
      <c r="E129" s="194"/>
      <c r="F129" s="194"/>
      <c r="G129" s="192"/>
      <c r="H129" s="192"/>
      <c r="I129" s="195">
        <v>0.2</v>
      </c>
      <c r="J129" s="196"/>
      <c r="K129" s="683">
        <v>0</v>
      </c>
      <c r="L129" s="665">
        <f>$I$129*L123</f>
        <v>0</v>
      </c>
      <c r="M129" s="665">
        <f t="shared" ref="M129:AE129" si="40">$I$129*M123</f>
        <v>9095</v>
      </c>
      <c r="N129" s="665">
        <f t="shared" si="40"/>
        <v>9462.4380000000001</v>
      </c>
      <c r="O129" s="665">
        <f t="shared" si="40"/>
        <v>9651.6867600000005</v>
      </c>
      <c r="P129" s="665">
        <f t="shared" si="40"/>
        <v>9844.7204951999993</v>
      </c>
      <c r="Q129" s="665">
        <f t="shared" si="40"/>
        <v>10041.614905104001</v>
      </c>
      <c r="R129" s="665">
        <f t="shared" si="40"/>
        <v>10242.44720320608</v>
      </c>
      <c r="S129" s="665">
        <f t="shared" si="40"/>
        <v>10447.296147270201</v>
      </c>
      <c r="T129" s="665">
        <f t="shared" si="40"/>
        <v>10656.242070215607</v>
      </c>
      <c r="U129" s="665">
        <f t="shared" si="40"/>
        <v>10869.36691161992</v>
      </c>
      <c r="V129" s="665">
        <f t="shared" si="40"/>
        <v>11086.754249852318</v>
      </c>
      <c r="W129" s="665">
        <f t="shared" si="40"/>
        <v>11308.489334849364</v>
      </c>
      <c r="X129" s="665">
        <f t="shared" si="40"/>
        <v>11534.659121546354</v>
      </c>
      <c r="Y129" s="665">
        <f t="shared" si="40"/>
        <v>11765.352303977279</v>
      </c>
      <c r="Z129" s="665">
        <f t="shared" si="40"/>
        <v>12000.659350056825</v>
      </c>
      <c r="AA129" s="665">
        <f t="shared" si="40"/>
        <v>12240.672537057961</v>
      </c>
      <c r="AB129" s="665">
        <f t="shared" si="40"/>
        <v>12485.48598779912</v>
      </c>
      <c r="AC129" s="665">
        <f t="shared" si="40"/>
        <v>12735.195707555104</v>
      </c>
      <c r="AD129" s="665">
        <f t="shared" si="40"/>
        <v>12989.899621706207</v>
      </c>
      <c r="AE129" s="665">
        <f t="shared" si="40"/>
        <v>13249.697614140328</v>
      </c>
    </row>
    <row r="130" spans="1:33">
      <c r="A130" s="190"/>
      <c r="B130" s="191"/>
      <c r="C130" s="192"/>
      <c r="D130" s="193"/>
      <c r="E130" s="194"/>
      <c r="F130" s="194"/>
      <c r="G130" s="192"/>
      <c r="H130" s="192"/>
      <c r="I130" s="195"/>
      <c r="J130" s="196"/>
      <c r="K130" s="685"/>
      <c r="L130" s="665"/>
      <c r="M130" s="665"/>
      <c r="N130" s="665"/>
      <c r="O130" s="665"/>
      <c r="P130" s="665"/>
      <c r="Q130" s="665"/>
      <c r="R130" s="665"/>
      <c r="S130" s="665"/>
      <c r="T130" s="665"/>
      <c r="U130" s="665"/>
      <c r="V130" s="665"/>
      <c r="W130" s="665"/>
      <c r="X130" s="665"/>
      <c r="Y130" s="665"/>
      <c r="Z130" s="665"/>
      <c r="AA130" s="665"/>
      <c r="AB130" s="665"/>
      <c r="AC130" s="665"/>
      <c r="AD130" s="665"/>
      <c r="AE130" s="665"/>
    </row>
    <row r="131" spans="1:33">
      <c r="A131" s="164" t="s">
        <v>61</v>
      </c>
      <c r="B131" s="164"/>
      <c r="C131" s="75"/>
      <c r="D131" s="173"/>
      <c r="E131" s="75"/>
      <c r="F131" s="75"/>
      <c r="G131" s="75"/>
      <c r="H131" s="75"/>
      <c r="I131" s="174"/>
      <c r="J131" s="175"/>
      <c r="K131" s="685">
        <v>0</v>
      </c>
      <c r="L131" s="669">
        <f>SUM(L123,L129)</f>
        <v>0</v>
      </c>
      <c r="M131" s="669">
        <f t="shared" ref="M131:AE131" si="41">SUM(M123,M129)</f>
        <v>54570</v>
      </c>
      <c r="N131" s="669">
        <f t="shared" si="41"/>
        <v>56774.628000000004</v>
      </c>
      <c r="O131" s="669">
        <f t="shared" si="41"/>
        <v>57910.120559999996</v>
      </c>
      <c r="P131" s="669">
        <f t="shared" si="41"/>
        <v>59068.322971199988</v>
      </c>
      <c r="Q131" s="669">
        <f t="shared" si="41"/>
        <v>60249.689430623999</v>
      </c>
      <c r="R131" s="669">
        <f t="shared" si="41"/>
        <v>61454.683219236475</v>
      </c>
      <c r="S131" s="669">
        <f t="shared" si="41"/>
        <v>62683.776883621205</v>
      </c>
      <c r="T131" s="669">
        <f t="shared" si="41"/>
        <v>63937.452421293638</v>
      </c>
      <c r="U131" s="669">
        <f t="shared" si="41"/>
        <v>65216.201469719512</v>
      </c>
      <c r="V131" s="669">
        <f t="shared" si="41"/>
        <v>66520.525499113894</v>
      </c>
      <c r="W131" s="669">
        <f t="shared" si="41"/>
        <v>67850.936009096185</v>
      </c>
      <c r="X131" s="669">
        <f t="shared" si="41"/>
        <v>69207.954729278121</v>
      </c>
      <c r="Y131" s="669">
        <f t="shared" si="41"/>
        <v>70592.113823863678</v>
      </c>
      <c r="Z131" s="669">
        <f t="shared" si="41"/>
        <v>72003.956100340947</v>
      </c>
      <c r="AA131" s="669">
        <f t="shared" si="41"/>
        <v>73444.035222347768</v>
      </c>
      <c r="AB131" s="669">
        <f t="shared" si="41"/>
        <v>74912.915926794725</v>
      </c>
      <c r="AC131" s="669">
        <f t="shared" si="41"/>
        <v>76411.174245330621</v>
      </c>
      <c r="AD131" s="669">
        <f t="shared" si="41"/>
        <v>77939.397730237237</v>
      </c>
      <c r="AE131" s="669">
        <f t="shared" si="41"/>
        <v>79498.18568484197</v>
      </c>
    </row>
    <row r="132" spans="1:33">
      <c r="A132" s="183"/>
      <c r="B132" s="184"/>
      <c r="C132" s="185"/>
      <c r="D132" s="186"/>
      <c r="E132" s="185"/>
      <c r="F132" s="185"/>
      <c r="G132" s="185"/>
      <c r="H132" s="185"/>
      <c r="I132" s="187"/>
      <c r="J132" s="188"/>
      <c r="K132" s="683"/>
      <c r="L132" s="320"/>
      <c r="M132" s="320"/>
      <c r="N132" s="320"/>
      <c r="O132" s="320"/>
      <c r="P132" s="320"/>
      <c r="Q132" s="320"/>
      <c r="R132" s="320"/>
      <c r="S132" s="320"/>
      <c r="T132" s="320"/>
      <c r="U132" s="320"/>
      <c r="V132" s="320"/>
      <c r="W132" s="320"/>
      <c r="X132" s="320"/>
      <c r="Y132" s="320"/>
      <c r="Z132" s="320"/>
      <c r="AA132" s="320"/>
      <c r="AB132" s="320"/>
      <c r="AC132" s="320"/>
      <c r="AD132" s="320"/>
      <c r="AE132" s="320"/>
    </row>
    <row r="133" spans="1:33">
      <c r="A133" s="39" t="s">
        <v>4</v>
      </c>
      <c r="B133" s="39"/>
      <c r="C133" s="111"/>
      <c r="D133" s="112"/>
      <c r="E133" s="111"/>
      <c r="F133" s="111"/>
      <c r="G133" s="111"/>
      <c r="H133" s="111"/>
      <c r="I133" s="40"/>
      <c r="J133" s="113"/>
      <c r="K133" s="688"/>
      <c r="L133" s="321"/>
      <c r="M133" s="321"/>
      <c r="N133" s="321"/>
      <c r="O133" s="321"/>
      <c r="P133" s="321"/>
      <c r="Q133" s="321"/>
      <c r="R133" s="321"/>
      <c r="S133" s="321"/>
      <c r="T133" s="321"/>
      <c r="U133" s="321"/>
      <c r="V133" s="321"/>
      <c r="W133" s="321"/>
      <c r="X133" s="321"/>
      <c r="Y133" s="321"/>
      <c r="Z133" s="321"/>
      <c r="AA133" s="321"/>
      <c r="AB133" s="321"/>
      <c r="AC133" s="321"/>
      <c r="AD133" s="321"/>
      <c r="AE133" s="321"/>
    </row>
    <row r="134" spans="1:33">
      <c r="A134" s="41" t="s">
        <v>13</v>
      </c>
      <c r="B134" s="41"/>
      <c r="C134" s="105"/>
      <c r="D134" s="106"/>
      <c r="E134" s="37"/>
      <c r="F134" s="37"/>
      <c r="G134" s="37"/>
      <c r="H134" s="37"/>
      <c r="I134" s="41"/>
      <c r="J134" s="37"/>
      <c r="K134" s="683"/>
      <c r="L134" s="200"/>
      <c r="M134" s="200"/>
      <c r="N134" s="200"/>
      <c r="O134" s="200"/>
      <c r="P134" s="200"/>
      <c r="Q134" s="200"/>
      <c r="R134" s="200"/>
      <c r="S134" s="200"/>
      <c r="T134" s="200"/>
      <c r="U134" s="201"/>
      <c r="V134" s="323"/>
      <c r="W134" s="200"/>
      <c r="X134" s="200"/>
      <c r="Y134" s="200"/>
      <c r="Z134" s="200"/>
      <c r="AA134" s="200"/>
      <c r="AB134" s="200"/>
      <c r="AC134" s="200"/>
      <c r="AD134" s="200"/>
      <c r="AE134" s="201"/>
    </row>
    <row r="135" spans="1:33">
      <c r="A135" s="33" t="s">
        <v>65</v>
      </c>
      <c r="B135" s="735" t="s">
        <v>12</v>
      </c>
      <c r="C135" s="663">
        <v>65000</v>
      </c>
      <c r="D135" s="736">
        <f>C135/2080</f>
        <v>31.25</v>
      </c>
      <c r="E135" s="663">
        <v>0</v>
      </c>
      <c r="F135" s="663">
        <f>C135*$F$13</f>
        <v>26000</v>
      </c>
      <c r="G135" s="663">
        <f>SUM(C135,E135:F135)</f>
        <v>91000</v>
      </c>
      <c r="H135" s="736">
        <f>G135/2080*8</f>
        <v>350</v>
      </c>
      <c r="I135" s="764"/>
      <c r="J135" s="765"/>
      <c r="K135" s="683">
        <v>0</v>
      </c>
      <c r="L135" s="665">
        <v>0</v>
      </c>
      <c r="M135" s="665">
        <f>$H$135*M32*0.25</f>
        <v>18725</v>
      </c>
      <c r="N135" s="665">
        <f t="shared" ref="N135:AE135" si="42">$M$135*L11</f>
        <v>19099.5</v>
      </c>
      <c r="O135" s="665">
        <f t="shared" si="42"/>
        <v>19481.490000000002</v>
      </c>
      <c r="P135" s="665">
        <f t="shared" si="42"/>
        <v>19871.1198</v>
      </c>
      <c r="Q135" s="665">
        <f t="shared" si="42"/>
        <v>20268.542195999999</v>
      </c>
      <c r="R135" s="665">
        <f t="shared" si="42"/>
        <v>20673.91303992</v>
      </c>
      <c r="S135" s="665">
        <f t="shared" si="42"/>
        <v>21087.391300718402</v>
      </c>
      <c r="T135" s="665">
        <f t="shared" si="42"/>
        <v>21509.139126732767</v>
      </c>
      <c r="U135" s="665">
        <f t="shared" si="42"/>
        <v>21939.321909267426</v>
      </c>
      <c r="V135" s="665">
        <f t="shared" si="42"/>
        <v>22378.108347452773</v>
      </c>
      <c r="W135" s="665">
        <f t="shared" si="42"/>
        <v>22825.670514401831</v>
      </c>
      <c r="X135" s="665">
        <f t="shared" si="42"/>
        <v>23282.183924689867</v>
      </c>
      <c r="Y135" s="665">
        <f t="shared" si="42"/>
        <v>23747.827603183665</v>
      </c>
      <c r="Z135" s="665">
        <f t="shared" si="42"/>
        <v>24222.784155247336</v>
      </c>
      <c r="AA135" s="665">
        <f t="shared" si="42"/>
        <v>24707.239838352285</v>
      </c>
      <c r="AB135" s="665">
        <f t="shared" si="42"/>
        <v>25201.384635119332</v>
      </c>
      <c r="AC135" s="665">
        <f t="shared" si="42"/>
        <v>25705.412327821719</v>
      </c>
      <c r="AD135" s="665">
        <f t="shared" si="42"/>
        <v>26219.520574378155</v>
      </c>
      <c r="AE135" s="665">
        <f t="shared" si="42"/>
        <v>26743.910985865718</v>
      </c>
    </row>
    <row r="136" spans="1:33">
      <c r="A136" s="37" t="s">
        <v>62</v>
      </c>
      <c r="B136" s="735" t="s">
        <v>12</v>
      </c>
      <c r="C136" s="663">
        <v>85000</v>
      </c>
      <c r="D136" s="736">
        <f>C136/2080</f>
        <v>40.865384615384613</v>
      </c>
      <c r="E136" s="663">
        <f>C136*$L$15</f>
        <v>0</v>
      </c>
      <c r="F136" s="663">
        <f t="shared" ref="F136:F139" si="43">C136*$F$13</f>
        <v>34000</v>
      </c>
      <c r="G136" s="663">
        <f t="shared" ref="G136:G139" si="44">SUM(C136,E136:F136)</f>
        <v>119000</v>
      </c>
      <c r="H136" s="736">
        <f>G136/2080*8</f>
        <v>457.69230769230768</v>
      </c>
      <c r="I136" s="764"/>
      <c r="J136" s="765"/>
      <c r="K136" s="683">
        <v>0</v>
      </c>
      <c r="L136" s="665">
        <v>0</v>
      </c>
      <c r="M136" s="665">
        <f>$H$136*M32*0.1</f>
        <v>9794.6153846153848</v>
      </c>
      <c r="N136" s="665">
        <f t="shared" ref="N136:AE136" si="45">$M$136*L11</f>
        <v>9990.5076923076922</v>
      </c>
      <c r="O136" s="665">
        <f t="shared" si="45"/>
        <v>10190.317846153846</v>
      </c>
      <c r="P136" s="665">
        <f t="shared" si="45"/>
        <v>10394.124203076923</v>
      </c>
      <c r="Q136" s="665">
        <f t="shared" si="45"/>
        <v>10602.006687138461</v>
      </c>
      <c r="R136" s="665">
        <f t="shared" si="45"/>
        <v>10814.046820881231</v>
      </c>
      <c r="S136" s="665">
        <f t="shared" si="45"/>
        <v>11030.327757298855</v>
      </c>
      <c r="T136" s="665">
        <f t="shared" si="45"/>
        <v>11250.934312444833</v>
      </c>
      <c r="U136" s="665">
        <f t="shared" si="45"/>
        <v>11475.95299869373</v>
      </c>
      <c r="V136" s="665">
        <f t="shared" si="45"/>
        <v>11705.472058667605</v>
      </c>
      <c r="W136" s="665">
        <f t="shared" si="45"/>
        <v>11939.581499840959</v>
      </c>
      <c r="X136" s="665">
        <f t="shared" si="45"/>
        <v>12178.373129837777</v>
      </c>
      <c r="Y136" s="665">
        <f t="shared" si="45"/>
        <v>12421.940592434532</v>
      </c>
      <c r="Z136" s="665">
        <f t="shared" si="45"/>
        <v>12670.379404283221</v>
      </c>
      <c r="AA136" s="665">
        <f t="shared" si="45"/>
        <v>12923.786992368889</v>
      </c>
      <c r="AB136" s="665">
        <f t="shared" si="45"/>
        <v>13182.262732216266</v>
      </c>
      <c r="AC136" s="665">
        <f t="shared" si="45"/>
        <v>13445.907986860591</v>
      </c>
      <c r="AD136" s="665">
        <f t="shared" si="45"/>
        <v>13714.826146597805</v>
      </c>
      <c r="AE136" s="665">
        <f t="shared" si="45"/>
        <v>13989.122669529761</v>
      </c>
    </row>
    <row r="137" spans="1:33">
      <c r="A137" s="37" t="s">
        <v>419</v>
      </c>
      <c r="B137" s="735" t="s">
        <v>12</v>
      </c>
      <c r="C137" s="663">
        <v>75000</v>
      </c>
      <c r="D137" s="736">
        <f>C137/2080</f>
        <v>36.057692307692307</v>
      </c>
      <c r="E137" s="663">
        <f>C137*$L$15</f>
        <v>0</v>
      </c>
      <c r="F137" s="663">
        <f t="shared" si="43"/>
        <v>30000</v>
      </c>
      <c r="G137" s="663">
        <f t="shared" si="44"/>
        <v>105000</v>
      </c>
      <c r="H137" s="736">
        <f>G137/2080*8</f>
        <v>403.84615384615387</v>
      </c>
      <c r="I137" s="764"/>
      <c r="J137" s="765"/>
      <c r="K137" s="683">
        <v>0</v>
      </c>
      <c r="L137" s="665">
        <v>0</v>
      </c>
      <c r="M137" s="665">
        <f>$H$137*M32*0.1</f>
        <v>8642.3076923076933</v>
      </c>
      <c r="N137" s="665">
        <f t="shared" ref="N137:AE137" si="46">$M$137*L11</f>
        <v>8815.1538461538476</v>
      </c>
      <c r="O137" s="665">
        <f t="shared" si="46"/>
        <v>8991.4569230769248</v>
      </c>
      <c r="P137" s="665">
        <f t="shared" si="46"/>
        <v>9171.2860615384616</v>
      </c>
      <c r="Q137" s="665">
        <f t="shared" si="46"/>
        <v>9354.7117827692309</v>
      </c>
      <c r="R137" s="665">
        <f t="shared" si="46"/>
        <v>9541.8060184246169</v>
      </c>
      <c r="S137" s="665">
        <f t="shared" si="46"/>
        <v>9732.6421387931096</v>
      </c>
      <c r="T137" s="665">
        <f t="shared" si="46"/>
        <v>9927.2949815689717</v>
      </c>
      <c r="U137" s="665">
        <f t="shared" si="46"/>
        <v>10125.840881200351</v>
      </c>
      <c r="V137" s="665">
        <f t="shared" si="46"/>
        <v>10328.357698824359</v>
      </c>
      <c r="W137" s="665">
        <f t="shared" si="46"/>
        <v>10534.924852800847</v>
      </c>
      <c r="X137" s="665">
        <f t="shared" si="46"/>
        <v>10745.623349856864</v>
      </c>
      <c r="Y137" s="665">
        <f t="shared" si="46"/>
        <v>10960.535816854001</v>
      </c>
      <c r="Z137" s="665">
        <f t="shared" si="46"/>
        <v>11179.746533191079</v>
      </c>
      <c r="AA137" s="665">
        <f t="shared" si="46"/>
        <v>11403.341463854902</v>
      </c>
      <c r="AB137" s="665">
        <f t="shared" si="46"/>
        <v>11631.408293132001</v>
      </c>
      <c r="AC137" s="665">
        <f t="shared" si="46"/>
        <v>11864.03645899464</v>
      </c>
      <c r="AD137" s="665">
        <f t="shared" si="46"/>
        <v>12101.317188174535</v>
      </c>
      <c r="AE137" s="665">
        <f t="shared" si="46"/>
        <v>12343.343531938026</v>
      </c>
    </row>
    <row r="138" spans="1:33">
      <c r="A138" s="37" t="s">
        <v>63</v>
      </c>
      <c r="B138" s="735" t="s">
        <v>15</v>
      </c>
      <c r="C138" s="663">
        <v>15000</v>
      </c>
      <c r="D138" s="736">
        <f t="shared" ref="D138:D139" si="47">C138/2080</f>
        <v>7.2115384615384617</v>
      </c>
      <c r="E138" s="663">
        <f>C138*$L$15</f>
        <v>0</v>
      </c>
      <c r="F138" s="663">
        <f t="shared" si="43"/>
        <v>6000</v>
      </c>
      <c r="G138" s="663">
        <f t="shared" si="44"/>
        <v>21000</v>
      </c>
      <c r="H138" s="736">
        <f t="shared" ref="H138:H139" si="48">G138/2080*8</f>
        <v>80.769230769230774</v>
      </c>
      <c r="I138" s="764"/>
      <c r="J138" s="765"/>
      <c r="K138" s="683">
        <v>0</v>
      </c>
      <c r="L138" s="665">
        <v>0</v>
      </c>
      <c r="M138" s="665">
        <f>($H$138*M32)*0.5</f>
        <v>8642.3076923076933</v>
      </c>
      <c r="N138" s="665">
        <f t="shared" ref="N138:AE138" si="49">$M$138*L11</f>
        <v>8815.1538461538476</v>
      </c>
      <c r="O138" s="665">
        <f t="shared" si="49"/>
        <v>8991.4569230769248</v>
      </c>
      <c r="P138" s="665">
        <f t="shared" si="49"/>
        <v>9171.2860615384616</v>
      </c>
      <c r="Q138" s="665">
        <f t="shared" si="49"/>
        <v>9354.7117827692309</v>
      </c>
      <c r="R138" s="665">
        <f t="shared" si="49"/>
        <v>9541.8060184246169</v>
      </c>
      <c r="S138" s="665">
        <f t="shared" si="49"/>
        <v>9732.6421387931096</v>
      </c>
      <c r="T138" s="665">
        <f t="shared" si="49"/>
        <v>9927.2949815689717</v>
      </c>
      <c r="U138" s="665">
        <f t="shared" si="49"/>
        <v>10125.840881200351</v>
      </c>
      <c r="V138" s="665">
        <f t="shared" si="49"/>
        <v>10328.357698824359</v>
      </c>
      <c r="W138" s="665">
        <f t="shared" si="49"/>
        <v>10534.924852800847</v>
      </c>
      <c r="X138" s="665">
        <f t="shared" si="49"/>
        <v>10745.623349856864</v>
      </c>
      <c r="Y138" s="665">
        <f t="shared" si="49"/>
        <v>10960.535816854001</v>
      </c>
      <c r="Z138" s="665">
        <f t="shared" si="49"/>
        <v>11179.746533191079</v>
      </c>
      <c r="AA138" s="665">
        <f t="shared" si="49"/>
        <v>11403.341463854902</v>
      </c>
      <c r="AB138" s="665">
        <f t="shared" si="49"/>
        <v>11631.408293132001</v>
      </c>
      <c r="AC138" s="665">
        <f t="shared" si="49"/>
        <v>11864.03645899464</v>
      </c>
      <c r="AD138" s="665">
        <f t="shared" si="49"/>
        <v>12101.317188174535</v>
      </c>
      <c r="AE138" s="665">
        <f t="shared" si="49"/>
        <v>12343.343531938026</v>
      </c>
    </row>
    <row r="139" spans="1:33">
      <c r="A139" s="745" t="s">
        <v>63</v>
      </c>
      <c r="B139" s="738" t="s">
        <v>15</v>
      </c>
      <c r="C139" s="739">
        <v>15000</v>
      </c>
      <c r="D139" s="740">
        <f t="shared" si="47"/>
        <v>7.2115384615384617</v>
      </c>
      <c r="E139" s="739">
        <f>C139*$L$15</f>
        <v>0</v>
      </c>
      <c r="F139" s="739">
        <f t="shared" si="43"/>
        <v>6000</v>
      </c>
      <c r="G139" s="739">
        <f t="shared" si="44"/>
        <v>21000</v>
      </c>
      <c r="H139" s="740">
        <f t="shared" si="48"/>
        <v>80.769230769230774</v>
      </c>
      <c r="I139" s="766"/>
      <c r="J139" s="767"/>
      <c r="K139" s="741">
        <v>0</v>
      </c>
      <c r="L139" s="742">
        <v>0</v>
      </c>
      <c r="M139" s="742">
        <f>($H$139*M32)*0.5</f>
        <v>8642.3076923076933</v>
      </c>
      <c r="N139" s="742">
        <f t="shared" ref="N139:AE139" si="50">$M$139*L11</f>
        <v>8815.1538461538476</v>
      </c>
      <c r="O139" s="742">
        <f t="shared" si="50"/>
        <v>8991.4569230769248</v>
      </c>
      <c r="P139" s="742">
        <f t="shared" si="50"/>
        <v>9171.2860615384616</v>
      </c>
      <c r="Q139" s="742">
        <f t="shared" si="50"/>
        <v>9354.7117827692309</v>
      </c>
      <c r="R139" s="742">
        <f t="shared" si="50"/>
        <v>9541.8060184246169</v>
      </c>
      <c r="S139" s="742">
        <f t="shared" si="50"/>
        <v>9732.6421387931096</v>
      </c>
      <c r="T139" s="742">
        <f t="shared" si="50"/>
        <v>9927.2949815689717</v>
      </c>
      <c r="U139" s="742">
        <f t="shared" si="50"/>
        <v>10125.840881200351</v>
      </c>
      <c r="V139" s="742">
        <f t="shared" si="50"/>
        <v>10328.357698824359</v>
      </c>
      <c r="W139" s="742">
        <f t="shared" si="50"/>
        <v>10534.924852800847</v>
      </c>
      <c r="X139" s="742">
        <f t="shared" si="50"/>
        <v>10745.623349856864</v>
      </c>
      <c r="Y139" s="742">
        <f t="shared" si="50"/>
        <v>10960.535816854001</v>
      </c>
      <c r="Z139" s="742">
        <f t="shared" si="50"/>
        <v>11179.746533191079</v>
      </c>
      <c r="AA139" s="742">
        <f t="shared" si="50"/>
        <v>11403.341463854902</v>
      </c>
      <c r="AB139" s="742">
        <f t="shared" si="50"/>
        <v>11631.408293132001</v>
      </c>
      <c r="AC139" s="742">
        <f t="shared" si="50"/>
        <v>11864.03645899464</v>
      </c>
      <c r="AD139" s="742">
        <f t="shared" si="50"/>
        <v>12101.317188174535</v>
      </c>
      <c r="AE139" s="742">
        <f t="shared" si="50"/>
        <v>12343.343531938026</v>
      </c>
    </row>
    <row r="140" spans="1:33" s="56" customFormat="1" ht="14.25">
      <c r="A140" s="164" t="s">
        <v>415</v>
      </c>
      <c r="B140" s="164"/>
      <c r="C140" s="667">
        <f>SUM(C135:C139)</f>
        <v>255000</v>
      </c>
      <c r="D140" s="667"/>
      <c r="E140" s="667">
        <f>SUM(E135:E139)</f>
        <v>0</v>
      </c>
      <c r="F140" s="667">
        <f>SUM(F135:F139)</f>
        <v>102000</v>
      </c>
      <c r="G140" s="667">
        <f>SUM(G135:G139)</f>
        <v>357000</v>
      </c>
      <c r="H140" s="667">
        <f>SUM(H135:H139)</f>
        <v>1373.0769230769229</v>
      </c>
      <c r="I140" s="768"/>
      <c r="J140" s="769"/>
      <c r="K140" s="685">
        <f>SUMIF($B135:$B139,"FT",K135:K139)</f>
        <v>0</v>
      </c>
      <c r="L140" s="669">
        <f>SUMIF($B135:$B139,"FT",L135:L139)</f>
        <v>0</v>
      </c>
      <c r="M140" s="669">
        <f>SUM(M135:M139)</f>
        <v>54446.538461538468</v>
      </c>
      <c r="N140" s="669">
        <f t="shared" ref="N140:AE140" si="51">SUM(N135:N139)</f>
        <v>55535.469230769231</v>
      </c>
      <c r="O140" s="669">
        <f t="shared" si="51"/>
        <v>56646.178615384626</v>
      </c>
      <c r="P140" s="669">
        <f t="shared" si="51"/>
        <v>57779.102187692311</v>
      </c>
      <c r="Q140" s="669">
        <f t="shared" si="51"/>
        <v>58934.684231446139</v>
      </c>
      <c r="R140" s="669">
        <f t="shared" si="51"/>
        <v>60113.377916075071</v>
      </c>
      <c r="S140" s="669">
        <f t="shared" si="51"/>
        <v>61315.645474396588</v>
      </c>
      <c r="T140" s="669">
        <f t="shared" si="51"/>
        <v>62541.958383884514</v>
      </c>
      <c r="U140" s="669">
        <f t="shared" si="51"/>
        <v>63792.797551562195</v>
      </c>
      <c r="V140" s="669">
        <f t="shared" si="51"/>
        <v>65068.653502593457</v>
      </c>
      <c r="W140" s="669">
        <f t="shared" si="51"/>
        <v>66370.026572645322</v>
      </c>
      <c r="X140" s="669">
        <f t="shared" si="51"/>
        <v>67697.427104098228</v>
      </c>
      <c r="Y140" s="669">
        <f t="shared" si="51"/>
        <v>69051.375646180197</v>
      </c>
      <c r="Z140" s="669">
        <f t="shared" si="51"/>
        <v>70432.403159103793</v>
      </c>
      <c r="AA140" s="669">
        <f t="shared" si="51"/>
        <v>71841.051222285882</v>
      </c>
      <c r="AB140" s="669">
        <f t="shared" si="51"/>
        <v>73277.872246731597</v>
      </c>
      <c r="AC140" s="669">
        <f t="shared" si="51"/>
        <v>74743.429691666228</v>
      </c>
      <c r="AD140" s="669">
        <f t="shared" si="51"/>
        <v>76238.298285499564</v>
      </c>
      <c r="AE140" s="669">
        <f t="shared" si="51"/>
        <v>77763.064251209551</v>
      </c>
    </row>
    <row r="141" spans="1:33">
      <c r="A141" s="37"/>
      <c r="B141" s="37"/>
      <c r="C141" s="663"/>
      <c r="D141" s="663"/>
      <c r="E141" s="663"/>
      <c r="F141" s="663"/>
      <c r="G141" s="663"/>
      <c r="H141" s="663"/>
      <c r="I141" s="107"/>
      <c r="J141" s="108"/>
      <c r="K141" s="683"/>
      <c r="L141" s="666"/>
      <c r="M141" s="666"/>
      <c r="N141" s="666"/>
      <c r="O141" s="666"/>
      <c r="P141" s="666"/>
      <c r="Q141" s="666"/>
      <c r="R141" s="666"/>
      <c r="S141" s="666"/>
      <c r="T141" s="666"/>
      <c r="U141" s="666"/>
      <c r="V141" s="666"/>
      <c r="W141" s="666"/>
      <c r="X141" s="666"/>
      <c r="Y141" s="666"/>
      <c r="Z141" s="666"/>
      <c r="AA141" s="666"/>
      <c r="AB141" s="666"/>
      <c r="AC141" s="666"/>
      <c r="AD141" s="666"/>
      <c r="AE141" s="666"/>
    </row>
    <row r="142" spans="1:33">
      <c r="A142" s="37" t="s">
        <v>11</v>
      </c>
      <c r="B142" s="37"/>
      <c r="C142" s="57"/>
      <c r="E142" s="57"/>
      <c r="F142" s="57"/>
      <c r="G142" s="57"/>
      <c r="H142" s="57"/>
      <c r="I142" s="43"/>
      <c r="J142" s="42"/>
      <c r="K142" s="770">
        <f>COUNTIF(K135:K139,"&gt;100")</f>
        <v>0</v>
      </c>
      <c r="L142" s="771">
        <f>COUNTIF(L135:L137,"&gt;100")</f>
        <v>0</v>
      </c>
      <c r="M142" s="771">
        <f t="shared" ref="M142:AE142" si="52">COUNTIF(M135:M137,"&gt;100")</f>
        <v>3</v>
      </c>
      <c r="N142" s="771">
        <f t="shared" si="52"/>
        <v>3</v>
      </c>
      <c r="O142" s="771">
        <f t="shared" si="52"/>
        <v>3</v>
      </c>
      <c r="P142" s="771">
        <f t="shared" si="52"/>
        <v>3</v>
      </c>
      <c r="Q142" s="771">
        <f t="shared" si="52"/>
        <v>3</v>
      </c>
      <c r="R142" s="771">
        <f t="shared" si="52"/>
        <v>3</v>
      </c>
      <c r="S142" s="771">
        <f t="shared" si="52"/>
        <v>3</v>
      </c>
      <c r="T142" s="771">
        <f t="shared" si="52"/>
        <v>3</v>
      </c>
      <c r="U142" s="771">
        <f t="shared" si="52"/>
        <v>3</v>
      </c>
      <c r="V142" s="771">
        <f t="shared" si="52"/>
        <v>3</v>
      </c>
      <c r="W142" s="771">
        <f t="shared" si="52"/>
        <v>3</v>
      </c>
      <c r="X142" s="771">
        <f t="shared" si="52"/>
        <v>3</v>
      </c>
      <c r="Y142" s="771">
        <f t="shared" si="52"/>
        <v>3</v>
      </c>
      <c r="Z142" s="771">
        <f t="shared" si="52"/>
        <v>3</v>
      </c>
      <c r="AA142" s="771">
        <f t="shared" si="52"/>
        <v>3</v>
      </c>
      <c r="AB142" s="771">
        <f t="shared" si="52"/>
        <v>3</v>
      </c>
      <c r="AC142" s="771">
        <f t="shared" si="52"/>
        <v>3</v>
      </c>
      <c r="AD142" s="771">
        <f t="shared" si="52"/>
        <v>3</v>
      </c>
      <c r="AE142" s="771">
        <f t="shared" si="52"/>
        <v>3</v>
      </c>
      <c r="AF142" s="772"/>
      <c r="AG142" s="772"/>
    </row>
    <row r="143" spans="1:33">
      <c r="A143" s="745" t="s">
        <v>10</v>
      </c>
      <c r="B143" s="745"/>
      <c r="C143" s="746"/>
      <c r="D143" s="116"/>
      <c r="E143" s="746"/>
      <c r="F143" s="746"/>
      <c r="G143" s="746"/>
      <c r="H143" s="746"/>
      <c r="I143" s="747"/>
      <c r="J143" s="748"/>
      <c r="K143" s="773">
        <v>0</v>
      </c>
      <c r="L143" s="774">
        <f>COUNTIF(L138:L139,"&gt;100")</f>
        <v>0</v>
      </c>
      <c r="M143" s="774">
        <f t="shared" ref="M143:AE143" si="53">COUNTIF(M138:M139,"&gt;100")</f>
        <v>2</v>
      </c>
      <c r="N143" s="774">
        <f t="shared" si="53"/>
        <v>2</v>
      </c>
      <c r="O143" s="774">
        <f t="shared" si="53"/>
        <v>2</v>
      </c>
      <c r="P143" s="774">
        <f t="shared" si="53"/>
        <v>2</v>
      </c>
      <c r="Q143" s="774">
        <f t="shared" si="53"/>
        <v>2</v>
      </c>
      <c r="R143" s="774">
        <f t="shared" si="53"/>
        <v>2</v>
      </c>
      <c r="S143" s="774">
        <f t="shared" si="53"/>
        <v>2</v>
      </c>
      <c r="T143" s="774">
        <f t="shared" si="53"/>
        <v>2</v>
      </c>
      <c r="U143" s="774">
        <f t="shared" si="53"/>
        <v>2</v>
      </c>
      <c r="V143" s="774">
        <f t="shared" si="53"/>
        <v>2</v>
      </c>
      <c r="W143" s="774">
        <f t="shared" si="53"/>
        <v>2</v>
      </c>
      <c r="X143" s="774">
        <f t="shared" si="53"/>
        <v>2</v>
      </c>
      <c r="Y143" s="774">
        <f t="shared" si="53"/>
        <v>2</v>
      </c>
      <c r="Z143" s="774">
        <f t="shared" si="53"/>
        <v>2</v>
      </c>
      <c r="AA143" s="774">
        <f t="shared" si="53"/>
        <v>2</v>
      </c>
      <c r="AB143" s="774">
        <f t="shared" si="53"/>
        <v>2</v>
      </c>
      <c r="AC143" s="774">
        <f t="shared" si="53"/>
        <v>2</v>
      </c>
      <c r="AD143" s="774">
        <f t="shared" si="53"/>
        <v>2</v>
      </c>
      <c r="AE143" s="774">
        <f t="shared" si="53"/>
        <v>2</v>
      </c>
      <c r="AF143" s="772"/>
      <c r="AG143" s="772"/>
    </row>
    <row r="144" spans="1:33" s="56" customFormat="1" ht="14.25">
      <c r="A144" s="164" t="s">
        <v>9</v>
      </c>
      <c r="B144" s="164"/>
      <c r="C144" s="75"/>
      <c r="D144" s="173"/>
      <c r="E144" s="75"/>
      <c r="F144" s="75"/>
      <c r="G144" s="75"/>
      <c r="H144" s="75"/>
      <c r="I144" s="174"/>
      <c r="J144" s="181"/>
      <c r="K144" s="775">
        <v>0</v>
      </c>
      <c r="L144" s="776">
        <f>SUM(L142:L143)</f>
        <v>0</v>
      </c>
      <c r="M144" s="776">
        <f t="shared" ref="M144:AE144" si="54">COUNTIF(M135:M139,"&gt;0")</f>
        <v>5</v>
      </c>
      <c r="N144" s="776">
        <f t="shared" si="54"/>
        <v>5</v>
      </c>
      <c r="O144" s="776">
        <f t="shared" si="54"/>
        <v>5</v>
      </c>
      <c r="P144" s="776">
        <f t="shared" si="54"/>
        <v>5</v>
      </c>
      <c r="Q144" s="776">
        <f t="shared" si="54"/>
        <v>5</v>
      </c>
      <c r="R144" s="776">
        <f t="shared" si="54"/>
        <v>5</v>
      </c>
      <c r="S144" s="776">
        <f t="shared" si="54"/>
        <v>5</v>
      </c>
      <c r="T144" s="776">
        <f t="shared" si="54"/>
        <v>5</v>
      </c>
      <c r="U144" s="776">
        <f t="shared" si="54"/>
        <v>5</v>
      </c>
      <c r="V144" s="776">
        <f t="shared" si="54"/>
        <v>5</v>
      </c>
      <c r="W144" s="776">
        <f t="shared" si="54"/>
        <v>5</v>
      </c>
      <c r="X144" s="776">
        <f t="shared" si="54"/>
        <v>5</v>
      </c>
      <c r="Y144" s="776">
        <f t="shared" si="54"/>
        <v>5</v>
      </c>
      <c r="Z144" s="776">
        <f t="shared" si="54"/>
        <v>5</v>
      </c>
      <c r="AA144" s="776">
        <f t="shared" si="54"/>
        <v>5</v>
      </c>
      <c r="AB144" s="776">
        <f t="shared" si="54"/>
        <v>5</v>
      </c>
      <c r="AC144" s="776">
        <f t="shared" si="54"/>
        <v>5</v>
      </c>
      <c r="AD144" s="776">
        <f t="shared" si="54"/>
        <v>5</v>
      </c>
      <c r="AE144" s="776">
        <f t="shared" si="54"/>
        <v>5</v>
      </c>
      <c r="AF144" s="723"/>
      <c r="AG144" s="723"/>
    </row>
    <row r="145" spans="1:33">
      <c r="B145" s="37"/>
      <c r="C145" s="57"/>
      <c r="E145" s="57"/>
      <c r="F145" s="57"/>
      <c r="G145" s="57"/>
      <c r="H145" s="57"/>
      <c r="I145" s="43"/>
      <c r="J145" s="42"/>
      <c r="K145" s="683"/>
      <c r="L145" s="316"/>
      <c r="M145" s="316"/>
      <c r="N145" s="316"/>
      <c r="O145" s="316"/>
      <c r="P145" s="316"/>
      <c r="Q145" s="316"/>
      <c r="R145" s="316"/>
      <c r="S145" s="316"/>
      <c r="T145" s="316"/>
      <c r="U145" s="316"/>
      <c r="V145" s="316"/>
      <c r="W145" s="316"/>
      <c r="X145" s="316"/>
      <c r="Y145" s="316"/>
      <c r="Z145" s="316"/>
      <c r="AA145" s="316"/>
      <c r="AB145" s="316"/>
      <c r="AC145" s="316"/>
      <c r="AD145" s="316"/>
      <c r="AE145" s="316"/>
    </row>
    <row r="146" spans="1:33">
      <c r="A146" s="33" t="s">
        <v>60</v>
      </c>
      <c r="B146" s="191"/>
      <c r="C146" s="192"/>
      <c r="D146" s="193"/>
      <c r="E146" s="194"/>
      <c r="F146" s="194"/>
      <c r="G146" s="192"/>
      <c r="H146" s="192"/>
      <c r="I146" s="195">
        <v>0.2</v>
      </c>
      <c r="J146" s="196"/>
      <c r="K146" s="689">
        <v>0</v>
      </c>
      <c r="L146" s="665">
        <f t="shared" ref="L146:AE146" si="55">L140*$I$146</f>
        <v>0</v>
      </c>
      <c r="M146" s="665">
        <f t="shared" si="55"/>
        <v>10889.307692307695</v>
      </c>
      <c r="N146" s="665">
        <f t="shared" si="55"/>
        <v>11107.093846153846</v>
      </c>
      <c r="O146" s="665">
        <f t="shared" si="55"/>
        <v>11329.235723076927</v>
      </c>
      <c r="P146" s="665">
        <f t="shared" si="55"/>
        <v>11555.820437538463</v>
      </c>
      <c r="Q146" s="665">
        <f t="shared" si="55"/>
        <v>11786.936846289229</v>
      </c>
      <c r="R146" s="665">
        <f t="shared" si="55"/>
        <v>12022.675583215016</v>
      </c>
      <c r="S146" s="665">
        <f t="shared" si="55"/>
        <v>12263.129094879318</v>
      </c>
      <c r="T146" s="665">
        <f t="shared" si="55"/>
        <v>12508.391676776904</v>
      </c>
      <c r="U146" s="665">
        <f t="shared" si="55"/>
        <v>12758.55951031244</v>
      </c>
      <c r="V146" s="665">
        <f t="shared" si="55"/>
        <v>13013.730700518692</v>
      </c>
      <c r="W146" s="665">
        <f t="shared" si="55"/>
        <v>13274.005314529066</v>
      </c>
      <c r="X146" s="665">
        <f t="shared" si="55"/>
        <v>13539.485420819647</v>
      </c>
      <c r="Y146" s="665">
        <f t="shared" si="55"/>
        <v>13810.275129236041</v>
      </c>
      <c r="Z146" s="665">
        <f t="shared" si="55"/>
        <v>14086.480631820759</v>
      </c>
      <c r="AA146" s="665">
        <f t="shared" si="55"/>
        <v>14368.210244457177</v>
      </c>
      <c r="AB146" s="665">
        <f t="shared" si="55"/>
        <v>14655.574449346321</v>
      </c>
      <c r="AC146" s="665">
        <f t="shared" si="55"/>
        <v>14948.685938333247</v>
      </c>
      <c r="AD146" s="665">
        <f t="shared" si="55"/>
        <v>15247.659657099914</v>
      </c>
      <c r="AE146" s="665">
        <f t="shared" si="55"/>
        <v>15552.612850241911</v>
      </c>
    </row>
    <row r="147" spans="1:33">
      <c r="B147" s="191"/>
      <c r="C147" s="192"/>
      <c r="D147" s="193"/>
      <c r="E147" s="194"/>
      <c r="F147" s="194"/>
      <c r="G147" s="192"/>
      <c r="H147" s="192"/>
      <c r="I147" s="195"/>
      <c r="J147" s="196"/>
      <c r="K147" s="689"/>
      <c r="L147" s="665"/>
      <c r="M147" s="665"/>
      <c r="N147" s="665"/>
      <c r="O147" s="665"/>
      <c r="P147" s="665"/>
      <c r="Q147" s="665"/>
      <c r="R147" s="665"/>
      <c r="S147" s="665"/>
      <c r="T147" s="665"/>
      <c r="U147" s="665"/>
      <c r="V147" s="665"/>
      <c r="W147" s="665"/>
      <c r="X147" s="665"/>
      <c r="Y147" s="665"/>
      <c r="Z147" s="665"/>
      <c r="AA147" s="665"/>
      <c r="AB147" s="665"/>
      <c r="AC147" s="665"/>
      <c r="AD147" s="665"/>
      <c r="AE147" s="665"/>
    </row>
    <row r="148" spans="1:33" s="197" customFormat="1" ht="14.25">
      <c r="A148" s="197" t="s">
        <v>68</v>
      </c>
      <c r="D148" s="198"/>
      <c r="K148" s="690"/>
      <c r="L148" s="677"/>
      <c r="M148" s="677"/>
      <c r="N148" s="677"/>
      <c r="O148" s="677"/>
      <c r="P148" s="677"/>
      <c r="Q148" s="677"/>
      <c r="R148" s="677"/>
      <c r="S148" s="677"/>
      <c r="T148" s="677"/>
      <c r="U148" s="677"/>
      <c r="V148" s="677"/>
      <c r="W148" s="677"/>
      <c r="X148" s="677"/>
      <c r="Y148" s="677"/>
      <c r="Z148" s="677"/>
      <c r="AA148" s="677"/>
      <c r="AB148" s="677"/>
      <c r="AC148" s="677"/>
      <c r="AD148" s="677"/>
      <c r="AE148" s="677"/>
    </row>
    <row r="149" spans="1:33">
      <c r="A149" s="37" t="s">
        <v>423</v>
      </c>
      <c r="B149" s="37"/>
      <c r="C149" s="110"/>
      <c r="D149" s="106"/>
      <c r="E149" s="57"/>
      <c r="F149" s="57"/>
      <c r="G149" s="57"/>
      <c r="H149" s="57"/>
      <c r="I149" s="49"/>
      <c r="J149" s="44"/>
      <c r="K149" s="683">
        <f>COUNTIF(K$115:K$122,"&gt;0")*$J149*R$9</f>
        <v>0</v>
      </c>
      <c r="L149" s="666">
        <v>0</v>
      </c>
      <c r="M149" s="666">
        <v>10000</v>
      </c>
      <c r="N149" s="666">
        <f t="shared" ref="N149:AE149" si="56">$M$149*L11</f>
        <v>10200</v>
      </c>
      <c r="O149" s="666">
        <f t="shared" si="56"/>
        <v>10404</v>
      </c>
      <c r="P149" s="666">
        <f t="shared" si="56"/>
        <v>10612.08</v>
      </c>
      <c r="Q149" s="666">
        <f t="shared" si="56"/>
        <v>10824.321599999999</v>
      </c>
      <c r="R149" s="666">
        <f t="shared" si="56"/>
        <v>11040.808032000001</v>
      </c>
      <c r="S149" s="666">
        <f t="shared" si="56"/>
        <v>11261.62419264</v>
      </c>
      <c r="T149" s="666">
        <f t="shared" si="56"/>
        <v>11486.8566764928</v>
      </c>
      <c r="U149" s="666">
        <f t="shared" si="56"/>
        <v>11716.593810022658</v>
      </c>
      <c r="V149" s="666">
        <f t="shared" si="56"/>
        <v>11950.92568622311</v>
      </c>
      <c r="W149" s="666">
        <f t="shared" si="56"/>
        <v>12189.944199947573</v>
      </c>
      <c r="X149" s="666">
        <f t="shared" si="56"/>
        <v>12433.743083946525</v>
      </c>
      <c r="Y149" s="666">
        <f t="shared" si="56"/>
        <v>12682.417945625455</v>
      </c>
      <c r="Z149" s="666">
        <f t="shared" si="56"/>
        <v>12936.066304537962</v>
      </c>
      <c r="AA149" s="666">
        <f t="shared" si="56"/>
        <v>13194.787630628723</v>
      </c>
      <c r="AB149" s="666">
        <f t="shared" si="56"/>
        <v>13458.683383241299</v>
      </c>
      <c r="AC149" s="666">
        <f t="shared" si="56"/>
        <v>13727.857050906125</v>
      </c>
      <c r="AD149" s="666">
        <f t="shared" si="56"/>
        <v>14002.414191924248</v>
      </c>
      <c r="AE149" s="666">
        <f t="shared" si="56"/>
        <v>14282.462475762733</v>
      </c>
    </row>
    <row r="150" spans="1:33">
      <c r="A150" s="37" t="s">
        <v>67</v>
      </c>
      <c r="B150" s="37"/>
      <c r="C150" s="110"/>
      <c r="D150" s="106"/>
      <c r="E150" s="57"/>
      <c r="F150" s="57"/>
      <c r="G150" s="57"/>
      <c r="H150" s="57"/>
      <c r="I150" s="51"/>
      <c r="J150" s="44"/>
      <c r="K150" s="683">
        <v>0</v>
      </c>
      <c r="L150" s="666">
        <v>0</v>
      </c>
      <c r="M150" s="666">
        <v>10000</v>
      </c>
      <c r="N150" s="666">
        <f t="shared" ref="N150:AE150" si="57">$M$150*L11</f>
        <v>10200</v>
      </c>
      <c r="O150" s="666">
        <f t="shared" si="57"/>
        <v>10404</v>
      </c>
      <c r="P150" s="666">
        <f t="shared" si="57"/>
        <v>10612.08</v>
      </c>
      <c r="Q150" s="666">
        <f t="shared" si="57"/>
        <v>10824.321599999999</v>
      </c>
      <c r="R150" s="666">
        <f t="shared" si="57"/>
        <v>11040.808032000001</v>
      </c>
      <c r="S150" s="666">
        <f t="shared" si="57"/>
        <v>11261.62419264</v>
      </c>
      <c r="T150" s="666">
        <f t="shared" si="57"/>
        <v>11486.8566764928</v>
      </c>
      <c r="U150" s="666">
        <f t="shared" si="57"/>
        <v>11716.593810022658</v>
      </c>
      <c r="V150" s="666">
        <f t="shared" si="57"/>
        <v>11950.92568622311</v>
      </c>
      <c r="W150" s="666">
        <f t="shared" si="57"/>
        <v>12189.944199947573</v>
      </c>
      <c r="X150" s="666">
        <f t="shared" si="57"/>
        <v>12433.743083946525</v>
      </c>
      <c r="Y150" s="666">
        <f t="shared" si="57"/>
        <v>12682.417945625455</v>
      </c>
      <c r="Z150" s="666">
        <f t="shared" si="57"/>
        <v>12936.066304537962</v>
      </c>
      <c r="AA150" s="666">
        <f t="shared" si="57"/>
        <v>13194.787630628723</v>
      </c>
      <c r="AB150" s="666">
        <f t="shared" si="57"/>
        <v>13458.683383241299</v>
      </c>
      <c r="AC150" s="666">
        <f t="shared" si="57"/>
        <v>13727.857050906125</v>
      </c>
      <c r="AD150" s="666">
        <f t="shared" si="57"/>
        <v>14002.414191924248</v>
      </c>
      <c r="AE150" s="666">
        <f t="shared" si="57"/>
        <v>14282.462475762733</v>
      </c>
    </row>
    <row r="151" spans="1:33">
      <c r="A151" s="180" t="s">
        <v>2</v>
      </c>
      <c r="B151" s="777"/>
      <c r="C151" s="778"/>
      <c r="D151" s="779"/>
      <c r="E151" s="746"/>
      <c r="F151" s="746"/>
      <c r="G151" s="778"/>
      <c r="H151" s="778"/>
      <c r="I151" s="780"/>
      <c r="J151" s="781"/>
      <c r="K151" s="741">
        <v>0</v>
      </c>
      <c r="L151" s="742">
        <v>0</v>
      </c>
      <c r="M151" s="742">
        <v>0</v>
      </c>
      <c r="N151" s="742">
        <v>0</v>
      </c>
      <c r="O151" s="742">
        <v>0</v>
      </c>
      <c r="P151" s="742">
        <v>0</v>
      </c>
      <c r="Q151" s="742">
        <v>0</v>
      </c>
      <c r="R151" s="742">
        <v>0</v>
      </c>
      <c r="S151" s="742">
        <v>0</v>
      </c>
      <c r="T151" s="742">
        <v>0</v>
      </c>
      <c r="U151" s="742">
        <v>0</v>
      </c>
      <c r="V151" s="742">
        <v>0</v>
      </c>
      <c r="W151" s="742">
        <v>0</v>
      </c>
      <c r="X151" s="742">
        <v>0</v>
      </c>
      <c r="Y151" s="742">
        <v>0</v>
      </c>
      <c r="Z151" s="742">
        <v>0</v>
      </c>
      <c r="AA151" s="742">
        <v>0</v>
      </c>
      <c r="AB151" s="742">
        <v>0</v>
      </c>
      <c r="AC151" s="742">
        <v>0</v>
      </c>
      <c r="AD151" s="742">
        <v>0</v>
      </c>
      <c r="AE151" s="742">
        <v>0</v>
      </c>
    </row>
    <row r="152" spans="1:33" s="56" customFormat="1" ht="14.25">
      <c r="A152" s="164" t="s">
        <v>78</v>
      </c>
      <c r="B152" s="164"/>
      <c r="C152" s="75"/>
      <c r="D152" s="173"/>
      <c r="E152" s="75"/>
      <c r="F152" s="75"/>
      <c r="G152" s="75"/>
      <c r="H152" s="75"/>
      <c r="I152" s="174"/>
      <c r="J152" s="175"/>
      <c r="K152" s="685">
        <v>0</v>
      </c>
      <c r="L152" s="669">
        <f t="shared" ref="L152:AE152" si="58">SUM(L149:L151)</f>
        <v>0</v>
      </c>
      <c r="M152" s="669">
        <f t="shared" si="58"/>
        <v>20000</v>
      </c>
      <c r="N152" s="669">
        <f t="shared" si="58"/>
        <v>20400</v>
      </c>
      <c r="O152" s="669">
        <f t="shared" si="58"/>
        <v>20808</v>
      </c>
      <c r="P152" s="669">
        <f t="shared" si="58"/>
        <v>21224.16</v>
      </c>
      <c r="Q152" s="669">
        <f t="shared" si="58"/>
        <v>21648.643199999999</v>
      </c>
      <c r="R152" s="669">
        <f t="shared" si="58"/>
        <v>22081.616064000002</v>
      </c>
      <c r="S152" s="669">
        <f t="shared" si="58"/>
        <v>22523.24838528</v>
      </c>
      <c r="T152" s="669">
        <f t="shared" si="58"/>
        <v>22973.7133529856</v>
      </c>
      <c r="U152" s="669">
        <f t="shared" si="58"/>
        <v>23433.187620045315</v>
      </c>
      <c r="V152" s="669">
        <f t="shared" si="58"/>
        <v>23901.851372446221</v>
      </c>
      <c r="W152" s="669">
        <f t="shared" si="58"/>
        <v>24379.888399895146</v>
      </c>
      <c r="X152" s="669">
        <f t="shared" si="58"/>
        <v>24867.48616789305</v>
      </c>
      <c r="Y152" s="669">
        <f t="shared" si="58"/>
        <v>25364.83589125091</v>
      </c>
      <c r="Z152" s="669">
        <f t="shared" si="58"/>
        <v>25872.132609075925</v>
      </c>
      <c r="AA152" s="669">
        <f t="shared" si="58"/>
        <v>26389.575261257447</v>
      </c>
      <c r="AB152" s="669">
        <f t="shared" si="58"/>
        <v>26917.366766482599</v>
      </c>
      <c r="AC152" s="669">
        <f t="shared" si="58"/>
        <v>27455.714101812249</v>
      </c>
      <c r="AD152" s="669">
        <f t="shared" si="58"/>
        <v>28004.828383848497</v>
      </c>
      <c r="AE152" s="669">
        <f t="shared" si="58"/>
        <v>28564.924951525467</v>
      </c>
    </row>
    <row r="153" spans="1:33" s="56" customFormat="1" ht="14.25">
      <c r="A153" s="164"/>
      <c r="B153" s="164"/>
      <c r="C153" s="75"/>
      <c r="D153" s="173"/>
      <c r="E153" s="75"/>
      <c r="F153" s="75"/>
      <c r="G153" s="75"/>
      <c r="H153" s="75"/>
      <c r="I153" s="174"/>
      <c r="J153" s="175"/>
      <c r="K153" s="685"/>
      <c r="L153" s="669"/>
      <c r="M153" s="669"/>
      <c r="N153" s="669"/>
      <c r="O153" s="669"/>
      <c r="P153" s="669"/>
      <c r="Q153" s="669"/>
      <c r="R153" s="669"/>
      <c r="S153" s="669"/>
      <c r="T153" s="669"/>
      <c r="U153" s="669"/>
      <c r="V153" s="669"/>
      <c r="W153" s="669"/>
      <c r="X153" s="669"/>
      <c r="Y153" s="669"/>
      <c r="Z153" s="669"/>
      <c r="AA153" s="669"/>
      <c r="AB153" s="669"/>
      <c r="AC153" s="669"/>
      <c r="AD153" s="669"/>
      <c r="AE153" s="669"/>
    </row>
    <row r="154" spans="1:33" s="56" customFormat="1" ht="14.25">
      <c r="A154" s="164" t="s">
        <v>66</v>
      </c>
      <c r="B154" s="164"/>
      <c r="C154" s="75"/>
      <c r="D154" s="173"/>
      <c r="E154" s="75"/>
      <c r="F154" s="75"/>
      <c r="G154" s="75"/>
      <c r="H154" s="75"/>
      <c r="I154" s="174"/>
      <c r="J154" s="175"/>
      <c r="K154" s="685">
        <v>0</v>
      </c>
      <c r="L154" s="669">
        <f>SUM(L140,L152)</f>
        <v>0</v>
      </c>
      <c r="M154" s="669">
        <f>SUM(M140,M146,M152)</f>
        <v>85335.846153846156</v>
      </c>
      <c r="N154" s="669">
        <f t="shared" ref="N154:AE154" si="59">SUM(N140,N146,N152)</f>
        <v>87042.563076923077</v>
      </c>
      <c r="O154" s="669">
        <f t="shared" si="59"/>
        <v>88783.41433846156</v>
      </c>
      <c r="P154" s="669">
        <f t="shared" si="59"/>
        <v>90559.082625230774</v>
      </c>
      <c r="Q154" s="669">
        <f t="shared" si="59"/>
        <v>92370.264277735376</v>
      </c>
      <c r="R154" s="669">
        <f t="shared" si="59"/>
        <v>94217.669563290081</v>
      </c>
      <c r="S154" s="669">
        <f t="shared" si="59"/>
        <v>96102.022954555898</v>
      </c>
      <c r="T154" s="669">
        <f t="shared" si="59"/>
        <v>98024.063413647003</v>
      </c>
      <c r="U154" s="669">
        <f t="shared" si="59"/>
        <v>99984.544681919942</v>
      </c>
      <c r="V154" s="669">
        <f t="shared" si="59"/>
        <v>101984.23557555837</v>
      </c>
      <c r="W154" s="669">
        <f t="shared" si="59"/>
        <v>104023.92028706953</v>
      </c>
      <c r="X154" s="669">
        <f t="shared" si="59"/>
        <v>106104.39869281092</v>
      </c>
      <c r="Y154" s="669">
        <f t="shared" si="59"/>
        <v>108226.48666666714</v>
      </c>
      <c r="Z154" s="669">
        <f t="shared" si="59"/>
        <v>110391.01640000047</v>
      </c>
      <c r="AA154" s="669">
        <f t="shared" si="59"/>
        <v>112598.8367280005</v>
      </c>
      <c r="AB154" s="669">
        <f t="shared" si="59"/>
        <v>114850.8134625605</v>
      </c>
      <c r="AC154" s="669">
        <f t="shared" si="59"/>
        <v>117147.82973181173</v>
      </c>
      <c r="AD154" s="669">
        <f t="shared" si="59"/>
        <v>119490.78632644797</v>
      </c>
      <c r="AE154" s="669">
        <f t="shared" si="59"/>
        <v>121880.60205297693</v>
      </c>
    </row>
    <row r="155" spans="1:33" s="56" customFormat="1" ht="14.25">
      <c r="A155" s="164"/>
      <c r="B155" s="164"/>
      <c r="C155" s="75"/>
      <c r="D155" s="173"/>
      <c r="E155" s="75"/>
      <c r="F155" s="75"/>
      <c r="G155" s="75"/>
      <c r="H155" s="75"/>
      <c r="I155" s="174"/>
      <c r="J155" s="175"/>
      <c r="K155" s="685"/>
      <c r="L155" s="669"/>
      <c r="M155" s="669"/>
      <c r="N155" s="669"/>
      <c r="O155" s="669"/>
      <c r="P155" s="669"/>
      <c r="Q155" s="669"/>
      <c r="R155" s="669"/>
      <c r="S155" s="669"/>
      <c r="T155" s="669"/>
      <c r="U155" s="669"/>
      <c r="V155" s="669"/>
      <c r="W155" s="669"/>
      <c r="X155" s="669"/>
      <c r="Y155" s="669"/>
      <c r="Z155" s="669"/>
      <c r="AA155" s="669"/>
      <c r="AB155" s="669"/>
      <c r="AC155" s="669"/>
      <c r="AD155" s="669"/>
      <c r="AE155" s="669"/>
    </row>
    <row r="156" spans="1:33">
      <c r="A156" s="47" t="s">
        <v>7</v>
      </c>
      <c r="B156" s="47" t="s">
        <v>7</v>
      </c>
      <c r="C156" s="78" t="s">
        <v>7</v>
      </c>
      <c r="D156" s="100"/>
      <c r="E156" s="78" t="s">
        <v>7</v>
      </c>
      <c r="F156" s="78"/>
      <c r="G156" s="78" t="s">
        <v>7</v>
      </c>
      <c r="H156" s="78"/>
      <c r="I156" s="52" t="s">
        <v>7</v>
      </c>
      <c r="J156" s="114"/>
      <c r="K156" s="673"/>
      <c r="L156" s="672"/>
      <c r="M156" s="672"/>
      <c r="N156" s="672"/>
      <c r="O156" s="672"/>
      <c r="P156" s="672"/>
      <c r="Q156" s="672"/>
      <c r="R156" s="672"/>
      <c r="S156" s="672"/>
      <c r="T156" s="672"/>
      <c r="U156" s="672"/>
      <c r="V156" s="672"/>
      <c r="W156" s="672"/>
      <c r="X156" s="672"/>
      <c r="Y156" s="672"/>
      <c r="Z156" s="672"/>
      <c r="AA156" s="672"/>
      <c r="AB156" s="672"/>
      <c r="AC156" s="672"/>
      <c r="AD156" s="672"/>
      <c r="AE156" s="672"/>
    </row>
    <row r="157" spans="1:33">
      <c r="A157" s="47"/>
      <c r="B157" s="47"/>
      <c r="C157" s="78"/>
      <c r="D157" s="100"/>
      <c r="E157" s="78"/>
      <c r="F157" s="78"/>
      <c r="G157" s="78"/>
      <c r="H157" s="78"/>
      <c r="I157" s="52"/>
      <c r="J157" s="114"/>
      <c r="K157" s="664"/>
      <c r="L157" s="666"/>
      <c r="M157" s="666"/>
      <c r="N157" s="666"/>
      <c r="O157" s="666"/>
      <c r="P157" s="666"/>
      <c r="Q157" s="666"/>
      <c r="R157" s="666"/>
      <c r="S157" s="666"/>
      <c r="T157" s="666"/>
      <c r="U157" s="666"/>
      <c r="V157" s="666"/>
      <c r="W157" s="666"/>
      <c r="X157" s="666"/>
      <c r="Y157" s="666"/>
      <c r="Z157" s="666"/>
      <c r="AA157" s="666"/>
      <c r="AB157" s="666"/>
      <c r="AC157" s="666"/>
      <c r="AD157" s="666"/>
      <c r="AE157" s="666"/>
    </row>
    <row r="158" spans="1:33" s="56" customFormat="1" ht="14.25">
      <c r="A158" s="203" t="s">
        <v>79</v>
      </c>
      <c r="B158" s="203"/>
      <c r="C158" s="204"/>
      <c r="D158" s="205"/>
      <c r="E158" s="204"/>
      <c r="F158" s="204"/>
      <c r="G158" s="204"/>
      <c r="H158" s="204"/>
      <c r="I158" s="206"/>
      <c r="J158" s="207"/>
      <c r="K158" s="675">
        <v>0</v>
      </c>
      <c r="L158" s="676">
        <f t="shared" ref="L158:AE158" si="60">SUM(L131,L154)</f>
        <v>0</v>
      </c>
      <c r="M158" s="676">
        <f t="shared" si="60"/>
        <v>139905.84615384616</v>
      </c>
      <c r="N158" s="676">
        <f t="shared" si="60"/>
        <v>143817.19107692307</v>
      </c>
      <c r="O158" s="676">
        <f t="shared" si="60"/>
        <v>146693.53489846154</v>
      </c>
      <c r="P158" s="676">
        <f t="shared" si="60"/>
        <v>149627.40559643076</v>
      </c>
      <c r="Q158" s="676">
        <f t="shared" si="60"/>
        <v>152619.95370835939</v>
      </c>
      <c r="R158" s="676">
        <f t="shared" si="60"/>
        <v>155672.35278252655</v>
      </c>
      <c r="S158" s="676">
        <f t="shared" si="60"/>
        <v>158785.7998381771</v>
      </c>
      <c r="T158" s="676">
        <f t="shared" si="60"/>
        <v>161961.51583494066</v>
      </c>
      <c r="U158" s="676">
        <f t="shared" si="60"/>
        <v>165200.74615163944</v>
      </c>
      <c r="V158" s="676">
        <f t="shared" si="60"/>
        <v>168504.76107467228</v>
      </c>
      <c r="W158" s="676">
        <f t="shared" si="60"/>
        <v>171874.85629616573</v>
      </c>
      <c r="X158" s="676">
        <f t="shared" si="60"/>
        <v>175312.35342208904</v>
      </c>
      <c r="Y158" s="676">
        <f t="shared" si="60"/>
        <v>178818.60049053084</v>
      </c>
      <c r="Z158" s="676">
        <f t="shared" si="60"/>
        <v>182394.97250034142</v>
      </c>
      <c r="AA158" s="676">
        <f t="shared" si="60"/>
        <v>186042.87195034826</v>
      </c>
      <c r="AB158" s="676">
        <f t="shared" si="60"/>
        <v>189763.72938935523</v>
      </c>
      <c r="AC158" s="676">
        <f t="shared" si="60"/>
        <v>193559.00397714233</v>
      </c>
      <c r="AD158" s="676">
        <f t="shared" si="60"/>
        <v>197430.18405668519</v>
      </c>
      <c r="AE158" s="676">
        <f t="shared" si="60"/>
        <v>201378.7877378189</v>
      </c>
      <c r="AG158" s="199"/>
    </row>
    <row r="159" spans="1:33">
      <c r="K159" s="664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</row>
    <row r="160" spans="1:33">
      <c r="A160" s="47" t="s">
        <v>7</v>
      </c>
      <c r="B160" s="47" t="s">
        <v>7</v>
      </c>
      <c r="C160" s="78" t="s">
        <v>7</v>
      </c>
      <c r="D160" s="100"/>
      <c r="E160" s="78" t="s">
        <v>7</v>
      </c>
      <c r="F160" s="78"/>
      <c r="G160" s="78" t="s">
        <v>7</v>
      </c>
      <c r="H160" s="78"/>
      <c r="I160" s="52" t="s">
        <v>7</v>
      </c>
      <c r="J160" s="114"/>
      <c r="K160" s="673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</row>
    <row r="161" spans="1:33">
      <c r="K161" s="664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G161" s="199"/>
    </row>
    <row r="162" spans="1:33" s="56" customFormat="1" ht="14.25">
      <c r="A162" s="208" t="s">
        <v>115</v>
      </c>
      <c r="B162" s="208"/>
      <c r="C162" s="208"/>
      <c r="D162" s="202"/>
      <c r="E162" s="208"/>
      <c r="F162" s="208"/>
      <c r="G162" s="208"/>
      <c r="H162" s="208"/>
      <c r="I162" s="208"/>
      <c r="J162" s="208"/>
      <c r="K162" s="678">
        <f>SUM(K152,K112)</f>
        <v>0</v>
      </c>
      <c r="L162" s="678">
        <f t="shared" ref="L162:AE162" si="61">SUM(L112,L158)</f>
        <v>357416.66666666669</v>
      </c>
      <c r="M162" s="678">
        <f t="shared" si="61"/>
        <v>872654.34615384613</v>
      </c>
      <c r="N162" s="678">
        <f t="shared" si="61"/>
        <v>891230.86107692309</v>
      </c>
      <c r="O162" s="678">
        <f t="shared" si="61"/>
        <v>909055.47829846153</v>
      </c>
      <c r="P162" s="678">
        <f t="shared" si="61"/>
        <v>927236.58786443074</v>
      </c>
      <c r="Q162" s="678">
        <f t="shared" si="61"/>
        <v>974125.19841691933</v>
      </c>
      <c r="R162" s="678">
        <f t="shared" si="61"/>
        <v>989070.78359488968</v>
      </c>
      <c r="S162" s="678">
        <f t="shared" si="61"/>
        <v>1008852.1992667874</v>
      </c>
      <c r="T162" s="678">
        <f t="shared" si="61"/>
        <v>1029029.2432521235</v>
      </c>
      <c r="U162" s="678">
        <f t="shared" si="61"/>
        <v>1049609.8281171659</v>
      </c>
      <c r="V162" s="678">
        <f t="shared" si="61"/>
        <v>1074992.5274695121</v>
      </c>
      <c r="W162" s="678">
        <f t="shared" si="61"/>
        <v>1092014.0651730993</v>
      </c>
      <c r="X162" s="678">
        <f t="shared" si="61"/>
        <v>1113854.3464765614</v>
      </c>
      <c r="Y162" s="678">
        <f t="shared" si="61"/>
        <v>1136131.4334060927</v>
      </c>
      <c r="Z162" s="678">
        <f t="shared" si="61"/>
        <v>1158854.0620742145</v>
      </c>
      <c r="AA162" s="678">
        <f t="shared" si="61"/>
        <v>1186358.2091465369</v>
      </c>
      <c r="AB162" s="678">
        <f t="shared" si="61"/>
        <v>1205671.7661820129</v>
      </c>
      <c r="AC162" s="678">
        <f t="shared" si="61"/>
        <v>1229785.2015056531</v>
      </c>
      <c r="AD162" s="678">
        <f t="shared" si="61"/>
        <v>1254380.9055357664</v>
      </c>
      <c r="AE162" s="678">
        <f t="shared" si="61"/>
        <v>1279468.5236464818</v>
      </c>
      <c r="AG162" s="199"/>
    </row>
    <row r="163" spans="1:33">
      <c r="K163" s="664"/>
      <c r="L163" s="666"/>
      <c r="M163" s="666"/>
      <c r="N163" s="666"/>
      <c r="O163" s="666"/>
      <c r="P163" s="666"/>
      <c r="Q163" s="666"/>
      <c r="R163" s="666"/>
      <c r="S163" s="666"/>
      <c r="T163" s="666"/>
      <c r="U163" s="666"/>
      <c r="V163" s="666"/>
      <c r="W163" s="666"/>
      <c r="X163" s="666"/>
      <c r="Y163" s="666"/>
      <c r="Z163" s="666"/>
      <c r="AA163" s="666"/>
      <c r="AB163" s="666"/>
      <c r="AC163" s="666"/>
      <c r="AD163" s="666"/>
      <c r="AE163" s="666"/>
      <c r="AG163" s="199"/>
    </row>
    <row r="164" spans="1:33">
      <c r="A164" s="251"/>
      <c r="B164" s="251"/>
      <c r="C164" s="251"/>
      <c r="D164" s="259"/>
      <c r="E164" s="251"/>
      <c r="F164" s="251"/>
      <c r="G164" s="251"/>
      <c r="H164" s="251"/>
      <c r="I164" s="251"/>
      <c r="J164" s="251"/>
      <c r="K164" s="679"/>
      <c r="L164" s="680"/>
      <c r="M164" s="680"/>
      <c r="N164" s="680"/>
      <c r="O164" s="680"/>
      <c r="P164" s="680"/>
      <c r="Q164" s="680"/>
      <c r="R164" s="680"/>
      <c r="S164" s="680"/>
      <c r="T164" s="680"/>
      <c r="U164" s="680"/>
      <c r="V164" s="680"/>
      <c r="W164" s="680"/>
      <c r="X164" s="680"/>
      <c r="Y164" s="680"/>
      <c r="Z164" s="680"/>
      <c r="AA164" s="680"/>
      <c r="AB164" s="680"/>
      <c r="AC164" s="680"/>
      <c r="AD164" s="680"/>
      <c r="AE164" s="680"/>
      <c r="AG164" s="199"/>
    </row>
    <row r="165" spans="1:33">
      <c r="K165" s="664"/>
      <c r="L165" s="666"/>
      <c r="M165" s="666"/>
      <c r="N165" s="666"/>
      <c r="O165" s="666"/>
      <c r="P165" s="666"/>
      <c r="Q165" s="666"/>
      <c r="R165" s="666"/>
      <c r="S165" s="666"/>
      <c r="T165" s="666"/>
      <c r="U165" s="666"/>
      <c r="V165" s="666"/>
      <c r="W165" s="666"/>
      <c r="X165" s="666"/>
      <c r="Y165" s="666"/>
      <c r="Z165" s="666"/>
      <c r="AA165" s="666"/>
      <c r="AB165" s="666"/>
      <c r="AC165" s="666"/>
      <c r="AD165" s="666"/>
      <c r="AE165" s="666"/>
      <c r="AG165" s="199"/>
    </row>
    <row r="166" spans="1:33">
      <c r="A166" s="249" t="s">
        <v>84</v>
      </c>
      <c r="B166" s="281"/>
      <c r="C166" s="281"/>
      <c r="D166" s="177"/>
      <c r="E166" s="281"/>
      <c r="F166" s="281"/>
      <c r="G166" s="281"/>
      <c r="H166" s="281"/>
      <c r="I166" s="281"/>
      <c r="J166" s="281"/>
      <c r="K166" s="681"/>
      <c r="L166" s="682"/>
      <c r="M166" s="682"/>
      <c r="N166" s="682"/>
      <c r="O166" s="682"/>
      <c r="P166" s="682"/>
      <c r="Q166" s="682"/>
      <c r="R166" s="682"/>
      <c r="S166" s="682"/>
      <c r="T166" s="682"/>
      <c r="U166" s="682"/>
      <c r="V166" s="682"/>
      <c r="W166" s="682"/>
      <c r="X166" s="682"/>
      <c r="Y166" s="682"/>
      <c r="Z166" s="682"/>
      <c r="AA166" s="682"/>
      <c r="AB166" s="682"/>
      <c r="AC166" s="682"/>
      <c r="AD166" s="682"/>
      <c r="AE166" s="682"/>
      <c r="AG166" s="199"/>
    </row>
    <row r="167" spans="1:33" s="252" customFormat="1">
      <c r="A167" s="257"/>
      <c r="D167" s="186"/>
      <c r="K167" s="664"/>
      <c r="L167" s="671"/>
      <c r="M167" s="671"/>
      <c r="N167" s="671"/>
      <c r="O167" s="671"/>
      <c r="P167" s="671"/>
      <c r="Q167" s="671"/>
      <c r="R167" s="671"/>
      <c r="S167" s="671"/>
      <c r="T167" s="671"/>
      <c r="U167" s="671"/>
      <c r="V167" s="671"/>
      <c r="W167" s="671"/>
      <c r="X167" s="671"/>
      <c r="Y167" s="671"/>
      <c r="Z167" s="671"/>
      <c r="AA167" s="671"/>
      <c r="AB167" s="671"/>
      <c r="AC167" s="671"/>
      <c r="AD167" s="671"/>
      <c r="AE167" s="671"/>
      <c r="AG167" s="363"/>
    </row>
    <row r="168" spans="1:33">
      <c r="A168" s="96" t="str">
        <f>'OPEX - Concept B2 - Carnival'!A168</f>
        <v>Investment (cash)</v>
      </c>
      <c r="B168" s="96"/>
      <c r="C168" s="96"/>
      <c r="D168" s="96"/>
      <c r="E168" s="96"/>
      <c r="F168" s="96"/>
      <c r="G168" s="96"/>
      <c r="H168" s="96"/>
      <c r="I168" s="96"/>
      <c r="J168" s="96"/>
      <c r="K168" s="883"/>
      <c r="L168" s="663"/>
      <c r="M168" s="663"/>
      <c r="N168" s="663"/>
      <c r="O168" s="663"/>
      <c r="P168" s="663"/>
      <c r="Q168" s="663"/>
      <c r="R168" s="663"/>
      <c r="S168" s="663"/>
      <c r="T168" s="663"/>
      <c r="U168" s="663"/>
      <c r="V168" s="663"/>
      <c r="W168" s="663"/>
      <c r="X168" s="663"/>
      <c r="Y168" s="663"/>
      <c r="Z168" s="663"/>
      <c r="AA168" s="663"/>
      <c r="AB168" s="663"/>
      <c r="AC168" s="663"/>
      <c r="AD168" s="663"/>
      <c r="AE168" s="663"/>
      <c r="AG168" s="199"/>
    </row>
    <row r="169" spans="1:33">
      <c r="A169" s="96" t="str">
        <f>'OPEX - Concept B2 - Carnival'!A169</f>
        <v xml:space="preserve">     Site Maintenance</v>
      </c>
      <c r="B169" s="96"/>
      <c r="C169" s="96"/>
      <c r="D169" s="96"/>
      <c r="E169" s="96"/>
      <c r="F169" s="96"/>
      <c r="G169" s="96"/>
      <c r="H169" s="96"/>
      <c r="I169" s="96"/>
      <c r="J169" s="96"/>
      <c r="K169" s="883">
        <f>'OPEX - Concept B2 - Carnival'!K169</f>
        <v>0</v>
      </c>
      <c r="L169" s="663">
        <f>'OPEX - Concept B2 - Carnival'!L169</f>
        <v>0</v>
      </c>
      <c r="M169" s="663">
        <f>'OPEX - Concept B2 - Carnival'!M169</f>
        <v>49995</v>
      </c>
      <c r="N169" s="663">
        <f>'OPEX - Concept B2 - Carnival'!N169</f>
        <v>50994.9</v>
      </c>
      <c r="O169" s="663">
        <f>'OPEX - Concept B2 - Carnival'!O169</f>
        <v>52014.798000000003</v>
      </c>
      <c r="P169" s="663">
        <f>'OPEX - Concept B2 - Carnival'!P169</f>
        <v>53055.093959999998</v>
      </c>
      <c r="Q169" s="663">
        <f>'OPEX - Concept B2 - Carnival'!Q169</f>
        <v>54116.195839200002</v>
      </c>
      <c r="R169" s="663">
        <f>'OPEX - Concept B2 - Carnival'!R169</f>
        <v>55198.519755984002</v>
      </c>
      <c r="S169" s="663">
        <f>'OPEX - Concept B2 - Carnival'!S169</f>
        <v>56302.490151103681</v>
      </c>
      <c r="T169" s="663">
        <f>'OPEX - Concept B2 - Carnival'!T169</f>
        <v>57428.539954125758</v>
      </c>
      <c r="U169" s="663">
        <f>'OPEX - Concept B2 - Carnival'!U169</f>
        <v>58577.110753208275</v>
      </c>
      <c r="V169" s="663">
        <f>'OPEX - Concept B2 - Carnival'!V169</f>
        <v>59748.652968272443</v>
      </c>
      <c r="W169" s="663">
        <f>'OPEX - Concept B2 - Carnival'!W169</f>
        <v>60943.626027637896</v>
      </c>
      <c r="X169" s="663">
        <f>'OPEX - Concept B2 - Carnival'!X169</f>
        <v>62162.498548190648</v>
      </c>
      <c r="Y169" s="663">
        <f>'OPEX - Concept B2 - Carnival'!Y169</f>
        <v>63405.748519154462</v>
      </c>
      <c r="Z169" s="663">
        <f>'OPEX - Concept B2 - Carnival'!Z169</f>
        <v>64673.863489537544</v>
      </c>
      <c r="AA169" s="663">
        <f>'OPEX - Concept B2 - Carnival'!AA169</f>
        <v>65967.340759328305</v>
      </c>
      <c r="AB169" s="663">
        <f>'OPEX - Concept B2 - Carnival'!AB169</f>
        <v>67286.687574514872</v>
      </c>
      <c r="AC169" s="663">
        <f>'OPEX - Concept B2 - Carnival'!AC169</f>
        <v>68632.421326005177</v>
      </c>
      <c r="AD169" s="663">
        <f>'OPEX - Concept B2 - Carnival'!AD169</f>
        <v>70005.069752525276</v>
      </c>
      <c r="AE169" s="663">
        <f>'OPEX - Concept B2 - Carnival'!AE169</f>
        <v>71405.171147575791</v>
      </c>
      <c r="AG169" s="199"/>
    </row>
    <row r="170" spans="1:33" s="162" customFormat="1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883"/>
      <c r="L170" s="663"/>
      <c r="M170" s="663"/>
      <c r="N170" s="663"/>
      <c r="O170" s="663"/>
      <c r="P170" s="663"/>
      <c r="Q170" s="663"/>
      <c r="R170" s="663"/>
      <c r="S170" s="663"/>
      <c r="T170" s="663"/>
      <c r="U170" s="663"/>
      <c r="V170" s="663"/>
      <c r="W170" s="663"/>
      <c r="X170" s="663"/>
      <c r="Y170" s="663"/>
      <c r="Z170" s="663"/>
      <c r="AA170" s="663"/>
      <c r="AB170" s="663"/>
      <c r="AC170" s="663"/>
      <c r="AD170" s="663"/>
      <c r="AE170" s="663"/>
      <c r="AG170" s="786"/>
    </row>
    <row r="171" spans="1:33" s="162" customFormat="1">
      <c r="A171" s="96" t="str">
        <f>'OPEX - Concept B2 - Carnival'!A171</f>
        <v>Debt Service (Site Demolition, Design, Development/Preparation &amp; Shuttles)</v>
      </c>
      <c r="B171" s="96"/>
      <c r="C171" s="96"/>
      <c r="D171" s="96"/>
      <c r="E171" s="96"/>
      <c r="F171" s="96"/>
      <c r="G171" s="96"/>
      <c r="H171" s="96"/>
      <c r="I171" s="96"/>
      <c r="J171" s="96"/>
      <c r="K171" s="883">
        <f>'OPEX - Concept B2 - Carnival'!K171</f>
        <v>0</v>
      </c>
      <c r="L171" s="663">
        <f>'OPEX - Concept B2 - Carnival'!L171</f>
        <v>591295.19999999995</v>
      </c>
      <c r="M171" s="663">
        <f>'OPEX - Concept B2 - Carnival'!M171</f>
        <v>591295.19999999995</v>
      </c>
      <c r="N171" s="663">
        <f>'OPEX - Concept B2 - Carnival'!N171</f>
        <v>591295.19999999995</v>
      </c>
      <c r="O171" s="663">
        <f>'OPEX - Concept B2 - Carnival'!O171</f>
        <v>591295.19999999995</v>
      </c>
      <c r="P171" s="663">
        <f>'OPEX - Concept B2 - Carnival'!P171</f>
        <v>591295.19999999995</v>
      </c>
      <c r="Q171" s="663">
        <f>'OPEX - Concept B2 - Carnival'!Q171</f>
        <v>591295.19999999995</v>
      </c>
      <c r="R171" s="663">
        <f>'OPEX - Concept B2 - Carnival'!R171</f>
        <v>591295.19999999995</v>
      </c>
      <c r="S171" s="663">
        <f>'OPEX - Concept B2 - Carnival'!S171</f>
        <v>591295.19999999995</v>
      </c>
      <c r="T171" s="663">
        <f>'OPEX - Concept B2 - Carnival'!T171</f>
        <v>591295.19999999995</v>
      </c>
      <c r="U171" s="663">
        <f>'OPEX - Concept B2 - Carnival'!U171</f>
        <v>591295.19999999995</v>
      </c>
      <c r="V171" s="663">
        <f>'OPEX - Concept B2 - Carnival'!V171</f>
        <v>591295.19999999995</v>
      </c>
      <c r="W171" s="663">
        <f>'OPEX - Concept B2 - Carnival'!W171</f>
        <v>591295.19999999995</v>
      </c>
      <c r="X171" s="663">
        <f>'OPEX - Concept B2 - Carnival'!X171</f>
        <v>591295.19999999995</v>
      </c>
      <c r="Y171" s="663">
        <f>'OPEX - Concept B2 - Carnival'!Y171</f>
        <v>591295.19999999995</v>
      </c>
      <c r="Z171" s="663">
        <f>'OPEX - Concept B2 - Carnival'!Z171</f>
        <v>591295.19999999995</v>
      </c>
      <c r="AA171" s="663">
        <f>'OPEX - Concept B2 - Carnival'!AA171</f>
        <v>591295.19999999995</v>
      </c>
      <c r="AB171" s="663">
        <f>'OPEX - Concept B2 - Carnival'!AB171</f>
        <v>591295.19999999995</v>
      </c>
      <c r="AC171" s="663">
        <f>'OPEX - Concept B2 - Carnival'!AC171</f>
        <v>591295.19999999995</v>
      </c>
      <c r="AD171" s="663">
        <f>'OPEX - Concept B2 - Carnival'!AD171</f>
        <v>591295.19999999995</v>
      </c>
      <c r="AE171" s="663">
        <f>'OPEX - Concept B2 - Carnival'!AE171</f>
        <v>591295.19999999995</v>
      </c>
    </row>
    <row r="172" spans="1:33" s="702" customFormat="1">
      <c r="A172" s="341" t="s">
        <v>315</v>
      </c>
      <c r="B172" s="701"/>
      <c r="C172" s="703"/>
      <c r="D172" s="704"/>
      <c r="E172" s="705"/>
      <c r="F172" s="705"/>
      <c r="G172" s="705"/>
      <c r="H172" s="705"/>
      <c r="I172" s="706"/>
      <c r="J172" s="707"/>
      <c r="K172" s="699">
        <v>0</v>
      </c>
      <c r="L172" s="700">
        <v>0</v>
      </c>
      <c r="M172" s="700">
        <v>0</v>
      </c>
      <c r="N172" s="700">
        <v>0</v>
      </c>
      <c r="O172" s="700">
        <v>0</v>
      </c>
      <c r="P172" s="700">
        <v>0</v>
      </c>
      <c r="Q172" s="700">
        <v>0</v>
      </c>
      <c r="R172" s="700">
        <v>0</v>
      </c>
      <c r="S172" s="700">
        <v>0</v>
      </c>
      <c r="T172" s="700">
        <v>0</v>
      </c>
      <c r="U172" s="700">
        <v>0</v>
      </c>
      <c r="V172" s="700">
        <v>0</v>
      </c>
      <c r="W172" s="700">
        <v>0</v>
      </c>
      <c r="X172" s="700">
        <v>0</v>
      </c>
      <c r="Y172" s="700">
        <v>0</v>
      </c>
      <c r="Z172" s="700">
        <v>0</v>
      </c>
      <c r="AA172" s="700">
        <v>0</v>
      </c>
      <c r="AB172" s="700">
        <v>0</v>
      </c>
      <c r="AC172" s="700">
        <v>0</v>
      </c>
      <c r="AD172" s="700">
        <v>0</v>
      </c>
      <c r="AE172" s="700">
        <v>0</v>
      </c>
      <c r="AG172" s="708"/>
    </row>
    <row r="173" spans="1:33">
      <c r="A173" s="180" t="s">
        <v>316</v>
      </c>
      <c r="B173" s="180"/>
      <c r="C173" s="180"/>
      <c r="D173" s="116"/>
      <c r="E173" s="180"/>
      <c r="F173" s="180"/>
      <c r="G173" s="180"/>
      <c r="H173" s="180"/>
      <c r="I173" s="180"/>
      <c r="J173" s="180"/>
      <c r="K173" s="505">
        <v>0</v>
      </c>
      <c r="L173" s="506">
        <v>246000</v>
      </c>
      <c r="M173" s="506">
        <v>246000</v>
      </c>
      <c r="N173" s="506">
        <v>246000</v>
      </c>
      <c r="O173" s="506">
        <v>246000</v>
      </c>
      <c r="P173" s="506">
        <v>246000</v>
      </c>
      <c r="Q173" s="506">
        <v>246000</v>
      </c>
      <c r="R173" s="506">
        <v>246000</v>
      </c>
      <c r="S173" s="506">
        <v>246000</v>
      </c>
      <c r="T173" s="506">
        <v>246000</v>
      </c>
      <c r="U173" s="506">
        <v>246000</v>
      </c>
      <c r="V173" s="506">
        <v>246000</v>
      </c>
      <c r="W173" s="506">
        <v>246000</v>
      </c>
      <c r="X173" s="506">
        <v>246000</v>
      </c>
      <c r="Y173" s="506">
        <v>246000</v>
      </c>
      <c r="Z173" s="506">
        <v>246000</v>
      </c>
      <c r="AA173" s="506">
        <v>246000</v>
      </c>
      <c r="AB173" s="506">
        <v>246000</v>
      </c>
      <c r="AC173" s="506">
        <v>246000</v>
      </c>
      <c r="AD173" s="506">
        <v>246000</v>
      </c>
      <c r="AE173" s="506">
        <v>246000</v>
      </c>
      <c r="AG173" s="199"/>
    </row>
    <row r="174" spans="1:33" s="56" customFormat="1" ht="14.25">
      <c r="A174" s="56" t="s">
        <v>134</v>
      </c>
      <c r="D174" s="173"/>
      <c r="K174" s="524">
        <f t="shared" ref="K174:AE174" si="62">SUM(K168:K173)</f>
        <v>0</v>
      </c>
      <c r="L174" s="525">
        <f t="shared" si="62"/>
        <v>837295.2</v>
      </c>
      <c r="M174" s="525">
        <f t="shared" si="62"/>
        <v>887290.2</v>
      </c>
      <c r="N174" s="525">
        <f t="shared" si="62"/>
        <v>888290.1</v>
      </c>
      <c r="O174" s="525">
        <f t="shared" si="62"/>
        <v>889309.99799999991</v>
      </c>
      <c r="P174" s="525">
        <f t="shared" si="62"/>
        <v>890350.29395999992</v>
      </c>
      <c r="Q174" s="525">
        <f t="shared" si="62"/>
        <v>891411.39583920001</v>
      </c>
      <c r="R174" s="525">
        <f t="shared" si="62"/>
        <v>892493.71975598391</v>
      </c>
      <c r="S174" s="525">
        <f t="shared" si="62"/>
        <v>893597.69015110366</v>
      </c>
      <c r="T174" s="525">
        <f t="shared" si="62"/>
        <v>894723.73995412572</v>
      </c>
      <c r="U174" s="525">
        <f t="shared" si="62"/>
        <v>895872.31075320824</v>
      </c>
      <c r="V174" s="525">
        <f t="shared" si="62"/>
        <v>897043.8529682724</v>
      </c>
      <c r="W174" s="525">
        <f t="shared" si="62"/>
        <v>898238.82602763781</v>
      </c>
      <c r="X174" s="525">
        <f t="shared" si="62"/>
        <v>899457.69854819064</v>
      </c>
      <c r="Y174" s="525">
        <f t="shared" si="62"/>
        <v>900700.94851915445</v>
      </c>
      <c r="Z174" s="525">
        <f t="shared" si="62"/>
        <v>901969.06348953745</v>
      </c>
      <c r="AA174" s="525">
        <f t="shared" si="62"/>
        <v>903262.54075932829</v>
      </c>
      <c r="AB174" s="525">
        <f t="shared" si="62"/>
        <v>904581.88757451484</v>
      </c>
      <c r="AC174" s="525">
        <f t="shared" si="62"/>
        <v>905927.62132600509</v>
      </c>
      <c r="AD174" s="525">
        <f t="shared" si="62"/>
        <v>907300.26975252526</v>
      </c>
      <c r="AE174" s="525">
        <f t="shared" si="62"/>
        <v>908700.37114757579</v>
      </c>
      <c r="AG174" s="199"/>
    </row>
    <row r="175" spans="1:33">
      <c r="K175" s="683"/>
      <c r="L175" s="666"/>
      <c r="M175" s="666"/>
      <c r="N175" s="666"/>
      <c r="O175" s="666"/>
      <c r="P175" s="666"/>
      <c r="Q175" s="666"/>
      <c r="R175" s="666"/>
      <c r="S175" s="666"/>
      <c r="T175" s="666"/>
      <c r="U175" s="666"/>
      <c r="V175" s="666"/>
      <c r="W175" s="666"/>
      <c r="X175" s="666"/>
      <c r="Y175" s="666"/>
      <c r="Z175" s="666"/>
      <c r="AA175" s="666"/>
      <c r="AB175" s="666"/>
      <c r="AC175" s="666"/>
      <c r="AD175" s="666"/>
      <c r="AE175" s="666"/>
      <c r="AG175" s="199"/>
    </row>
    <row r="176" spans="1:33" s="56" customFormat="1" ht="14.25">
      <c r="A176" s="208" t="s">
        <v>86</v>
      </c>
      <c r="B176" s="718">
        <f>SUM(L176:AE176)</f>
        <v>17887817.728526361</v>
      </c>
      <c r="C176" s="208"/>
      <c r="D176" s="202"/>
      <c r="E176" s="208"/>
      <c r="F176" s="208"/>
      <c r="G176" s="208"/>
      <c r="H176" s="208"/>
      <c r="I176" s="208"/>
      <c r="J176" s="208"/>
      <c r="K176" s="678">
        <f>SUM(K169:K171)</f>
        <v>0</v>
      </c>
      <c r="L176" s="678">
        <f>L174</f>
        <v>837295.2</v>
      </c>
      <c r="M176" s="678">
        <f t="shared" ref="M176:AE176" si="63">M174</f>
        <v>887290.2</v>
      </c>
      <c r="N176" s="678">
        <f t="shared" si="63"/>
        <v>888290.1</v>
      </c>
      <c r="O176" s="678">
        <f t="shared" si="63"/>
        <v>889309.99799999991</v>
      </c>
      <c r="P176" s="678">
        <f t="shared" si="63"/>
        <v>890350.29395999992</v>
      </c>
      <c r="Q176" s="678">
        <f t="shared" si="63"/>
        <v>891411.39583920001</v>
      </c>
      <c r="R176" s="678">
        <f t="shared" si="63"/>
        <v>892493.71975598391</v>
      </c>
      <c r="S176" s="678">
        <f t="shared" si="63"/>
        <v>893597.69015110366</v>
      </c>
      <c r="T176" s="678">
        <f t="shared" si="63"/>
        <v>894723.73995412572</v>
      </c>
      <c r="U176" s="678">
        <f t="shared" si="63"/>
        <v>895872.31075320824</v>
      </c>
      <c r="V176" s="678">
        <f t="shared" si="63"/>
        <v>897043.8529682724</v>
      </c>
      <c r="W176" s="678">
        <f t="shared" si="63"/>
        <v>898238.82602763781</v>
      </c>
      <c r="X176" s="678">
        <f t="shared" si="63"/>
        <v>899457.69854819064</v>
      </c>
      <c r="Y176" s="678">
        <f t="shared" si="63"/>
        <v>900700.94851915445</v>
      </c>
      <c r="Z176" s="678">
        <f t="shared" si="63"/>
        <v>901969.06348953745</v>
      </c>
      <c r="AA176" s="678">
        <f t="shared" si="63"/>
        <v>903262.54075932829</v>
      </c>
      <c r="AB176" s="678">
        <f t="shared" si="63"/>
        <v>904581.88757451484</v>
      </c>
      <c r="AC176" s="678">
        <f t="shared" si="63"/>
        <v>905927.62132600509</v>
      </c>
      <c r="AD176" s="678">
        <f t="shared" si="63"/>
        <v>907300.26975252526</v>
      </c>
      <c r="AE176" s="678">
        <f t="shared" si="63"/>
        <v>908700.37114757579</v>
      </c>
      <c r="AG176" s="199"/>
    </row>
    <row r="177" spans="1:31">
      <c r="K177" s="662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1"/>
      <c r="Y177" s="201"/>
      <c r="Z177" s="201"/>
      <c r="AA177" s="201"/>
      <c r="AB177" s="201"/>
      <c r="AC177" s="201"/>
      <c r="AD177" s="201"/>
      <c r="AE177" s="201"/>
    </row>
    <row r="178" spans="1:31">
      <c r="A178" s="251"/>
      <c r="B178" s="251"/>
      <c r="C178" s="251"/>
      <c r="D178" s="259"/>
      <c r="E178" s="251"/>
      <c r="F178" s="251"/>
      <c r="G178" s="251"/>
      <c r="H178" s="251"/>
      <c r="I178" s="251"/>
      <c r="J178" s="251"/>
      <c r="K178" s="324"/>
      <c r="L178" s="325"/>
      <c r="M178" s="325"/>
      <c r="N178" s="325"/>
      <c r="O178" s="325"/>
      <c r="P178" s="325"/>
      <c r="Q178" s="325"/>
      <c r="R178" s="325"/>
      <c r="S178" s="325"/>
      <c r="T178" s="325"/>
      <c r="U178" s="325"/>
      <c r="V178" s="325"/>
      <c r="W178" s="325"/>
      <c r="X178" s="325"/>
      <c r="Y178" s="325"/>
      <c r="Z178" s="325"/>
      <c r="AA178" s="325"/>
      <c r="AB178" s="325"/>
      <c r="AC178" s="325"/>
      <c r="AD178" s="325"/>
      <c r="AE178" s="325"/>
    </row>
    <row r="179" spans="1:31">
      <c r="K179" s="322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1"/>
      <c r="Y179" s="201"/>
      <c r="Z179" s="201"/>
      <c r="AA179" s="201"/>
      <c r="AB179" s="201"/>
      <c r="AC179" s="201"/>
      <c r="AD179" s="201"/>
      <c r="AE179" s="201"/>
    </row>
    <row r="180" spans="1:31">
      <c r="A180"/>
      <c r="K180" s="322"/>
      <c r="L180" s="201"/>
      <c r="M180" s="201"/>
      <c r="N180" s="201"/>
      <c r="O180" s="201"/>
      <c r="P180" s="201"/>
      <c r="Q180" s="960"/>
      <c r="R180" s="201"/>
      <c r="S180" s="201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</row>
    <row r="181" spans="1:31">
      <c r="A181"/>
      <c r="K181" s="322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</row>
    <row r="182" spans="1:31">
      <c r="K182" s="322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  <c r="AA182" s="201"/>
      <c r="AB182" s="201"/>
      <c r="AC182" s="201"/>
      <c r="AD182" s="201"/>
      <c r="AE182" s="201"/>
    </row>
    <row r="183" spans="1:31">
      <c r="K183" s="322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</row>
    <row r="184" spans="1:31">
      <c r="K184" s="322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  <c r="AA184" s="201"/>
      <c r="AB184" s="201"/>
      <c r="AC184" s="201"/>
      <c r="AD184" s="201"/>
      <c r="AE184" s="201"/>
    </row>
    <row r="185" spans="1:31">
      <c r="K185" s="322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</row>
    <row r="186" spans="1:31">
      <c r="K186" s="322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</row>
    <row r="187" spans="1:31">
      <c r="K187" s="322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</row>
    <row r="188" spans="1:31">
      <c r="K188" s="322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</row>
    <row r="189" spans="1:31">
      <c r="K189" s="322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</row>
    <row r="190" spans="1:31">
      <c r="K190" s="322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</row>
    <row r="191" spans="1:31">
      <c r="K191" s="322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</row>
    <row r="192" spans="1:31">
      <c r="K192" s="322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</row>
    <row r="193" spans="11:31">
      <c r="K193" s="322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201"/>
      <c r="AE193" s="201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FD193"/>
  <sheetViews>
    <sheetView topLeftCell="A82" zoomScale="70" zoomScaleNormal="70" workbookViewId="0">
      <selection activeCell="G105" sqref="G105"/>
    </sheetView>
  </sheetViews>
  <sheetFormatPr defaultColWidth="9" defaultRowHeight="16.5"/>
  <cols>
    <col min="1" max="1" width="45.625" style="33" customWidth="1"/>
    <col min="2" max="2" width="18.375" style="33" bestFit="1" customWidth="1"/>
    <col min="3" max="3" width="18.125" style="33" bestFit="1" customWidth="1"/>
    <col min="4" max="4" width="16.25" style="109" bestFit="1" customWidth="1"/>
    <col min="5" max="5" width="13.125" style="33" bestFit="1" customWidth="1"/>
    <col min="6" max="6" width="20.5" style="33" bestFit="1" customWidth="1"/>
    <col min="7" max="7" width="20.25" style="33" bestFit="1" customWidth="1"/>
    <col min="8" max="8" width="21.75" style="33" bestFit="1" customWidth="1"/>
    <col min="9" max="9" width="12.125" style="33" bestFit="1" customWidth="1"/>
    <col min="10" max="10" width="13.875" style="33" bestFit="1" customWidth="1"/>
    <col min="11" max="11" width="7.75" style="166" bestFit="1" customWidth="1"/>
    <col min="12" max="18" width="15.875" style="33" bestFit="1" customWidth="1"/>
    <col min="19" max="22" width="17.5" style="33" bestFit="1" customWidth="1"/>
    <col min="23" max="23" width="17.125" style="33" bestFit="1" customWidth="1"/>
    <col min="24" max="24" width="16.75" style="33" bestFit="1" customWidth="1"/>
    <col min="25" max="25" width="16.375" style="33" bestFit="1" customWidth="1"/>
    <col min="26" max="28" width="17.125" style="33" bestFit="1" customWidth="1"/>
    <col min="29" max="31" width="17.5" style="33" bestFit="1" customWidth="1"/>
    <col min="32" max="32" width="22.625" style="33" bestFit="1" customWidth="1"/>
    <col min="33" max="33" width="12.625" style="33" bestFit="1" customWidth="1"/>
    <col min="34" max="16384" width="9" style="33"/>
  </cols>
  <sheetData>
    <row r="1" spans="1:31" ht="18.75" thickBot="1">
      <c r="A1" s="11" t="str">
        <f>Intro!A1</f>
        <v>Town of Bar Harbor</v>
      </c>
      <c r="B1" s="13"/>
      <c r="C1" s="13"/>
      <c r="D1" s="99"/>
      <c r="E1" s="14"/>
      <c r="F1" s="14"/>
      <c r="G1" s="34"/>
      <c r="H1" s="34"/>
      <c r="I1" s="34"/>
      <c r="J1" s="34"/>
      <c r="K1" s="16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</row>
    <row r="2" spans="1:31" ht="17.25" thickBot="1">
      <c r="A2" s="380" t="str">
        <f>Intro!A2</f>
        <v>Ferry Property Business Plan</v>
      </c>
      <c r="B2" s="13"/>
      <c r="C2" s="13"/>
      <c r="D2" s="99"/>
      <c r="E2" s="14"/>
      <c r="F2" s="14"/>
      <c r="G2" s="34"/>
      <c r="H2" s="34"/>
      <c r="I2" s="34"/>
      <c r="J2" s="34"/>
      <c r="K2" s="16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</row>
    <row r="3" spans="1:31" s="392" customFormat="1" ht="14.25" thickBot="1">
      <c r="A3" s="384" t="str">
        <f>Intro!A3</f>
        <v>05.23.2018</v>
      </c>
      <c r="B3" s="2"/>
      <c r="C3" s="382"/>
      <c r="D3" s="393"/>
      <c r="E3" s="385"/>
      <c r="F3" s="385"/>
      <c r="G3" s="389"/>
      <c r="H3" s="389"/>
      <c r="I3" s="389"/>
      <c r="J3" s="389"/>
      <c r="K3" s="390"/>
      <c r="L3" s="391"/>
      <c r="M3" s="391"/>
      <c r="N3" s="391"/>
      <c r="O3" s="391"/>
      <c r="P3" s="391"/>
      <c r="Q3" s="391"/>
      <c r="R3" s="391"/>
      <c r="S3" s="391"/>
      <c r="T3" s="391"/>
      <c r="U3" s="391"/>
      <c r="V3" s="391"/>
      <c r="W3" s="391"/>
      <c r="X3" s="391"/>
      <c r="Y3" s="391"/>
      <c r="Z3" s="391"/>
      <c r="AA3" s="391"/>
      <c r="AB3" s="391"/>
      <c r="AC3" s="391"/>
      <c r="AD3" s="391"/>
      <c r="AE3" s="391"/>
    </row>
    <row r="4" spans="1:31" s="392" customFormat="1" ht="13.5">
      <c r="A4" s="384" t="str">
        <f ca="1">Intro!A4</f>
        <v>Town of Bar Harbor</v>
      </c>
      <c r="B4" s="382"/>
      <c r="C4" s="382"/>
      <c r="D4" s="393"/>
      <c r="E4" s="383">
        <f ca="1">NOW()</f>
        <v>43242.835659143515</v>
      </c>
      <c r="F4" s="383"/>
      <c r="G4" s="389"/>
      <c r="H4" s="389"/>
      <c r="I4" s="389"/>
      <c r="J4" s="389"/>
      <c r="K4" s="390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  <c r="W4" s="391"/>
      <c r="X4" s="391"/>
      <c r="Y4" s="391"/>
      <c r="Z4" s="391"/>
      <c r="AA4" s="391"/>
      <c r="AB4" s="391"/>
      <c r="AC4" s="391"/>
      <c r="AD4" s="391"/>
      <c r="AE4" s="391"/>
    </row>
    <row r="5" spans="1:31">
      <c r="A5" s="231" t="s">
        <v>342</v>
      </c>
      <c r="B5" s="231"/>
      <c r="C5" s="232"/>
      <c r="D5" s="233"/>
      <c r="E5" s="232"/>
      <c r="F5" s="232"/>
      <c r="G5" s="234"/>
      <c r="H5" s="234"/>
      <c r="I5" s="234"/>
      <c r="J5" s="234"/>
      <c r="K5" s="235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1:31">
      <c r="A6" s="237"/>
      <c r="B6" s="237"/>
      <c r="C6" s="237"/>
      <c r="D6" s="238"/>
      <c r="E6" s="237"/>
      <c r="F6" s="237"/>
      <c r="G6" s="237"/>
      <c r="H6" s="237"/>
      <c r="I6" s="237"/>
      <c r="J6" s="237"/>
      <c r="K6" s="659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</row>
    <row r="7" spans="1:31" ht="48.75" customHeight="1">
      <c r="A7" s="239"/>
      <c r="B7" s="240" t="s">
        <v>45</v>
      </c>
      <c r="C7" s="241" t="s">
        <v>46</v>
      </c>
      <c r="D7" s="242" t="s">
        <v>47</v>
      </c>
      <c r="E7" s="240" t="s">
        <v>21</v>
      </c>
      <c r="F7" s="240" t="s">
        <v>48</v>
      </c>
      <c r="G7" s="240" t="s">
        <v>49</v>
      </c>
      <c r="H7" s="240" t="s">
        <v>59</v>
      </c>
      <c r="I7" s="240" t="s">
        <v>22</v>
      </c>
      <c r="J7" s="240" t="s">
        <v>50</v>
      </c>
      <c r="K7" s="243">
        <v>2018</v>
      </c>
      <c r="L7" s="243">
        <v>2019</v>
      </c>
      <c r="M7" s="243">
        <v>2020</v>
      </c>
      <c r="N7" s="243">
        <v>2021</v>
      </c>
      <c r="O7" s="243">
        <v>2022</v>
      </c>
      <c r="P7" s="243">
        <v>2023</v>
      </c>
      <c r="Q7" s="243">
        <v>2024</v>
      </c>
      <c r="R7" s="243">
        <v>2025</v>
      </c>
      <c r="S7" s="243">
        <v>2026</v>
      </c>
      <c r="T7" s="243">
        <v>2027</v>
      </c>
      <c r="U7" s="243">
        <v>2028</v>
      </c>
      <c r="V7" s="243">
        <v>2029</v>
      </c>
      <c r="W7" s="243">
        <v>2030</v>
      </c>
      <c r="X7" s="243">
        <v>2031</v>
      </c>
      <c r="Y7" s="243">
        <v>2032</v>
      </c>
      <c r="Z7" s="243">
        <v>2033</v>
      </c>
      <c r="AA7" s="243">
        <v>2034</v>
      </c>
      <c r="AB7" s="243">
        <v>2035</v>
      </c>
      <c r="AC7" s="243">
        <v>2036</v>
      </c>
      <c r="AD7" s="243">
        <v>2037</v>
      </c>
      <c r="AE7" s="243">
        <v>2038</v>
      </c>
    </row>
    <row r="8" spans="1:31" s="18" customFormat="1" ht="17.25" thickBot="1">
      <c r="K8" s="488"/>
    </row>
    <row r="9" spans="1:31" s="18" customFormat="1" ht="17.25" thickBot="1">
      <c r="A9" s="117" t="s">
        <v>381</v>
      </c>
      <c r="B9" s="484" t="str">
        <f>'P&amp;L - Concept B2 - ALL'!B9</f>
        <v>Scenario 6 - All</v>
      </c>
      <c r="K9" s="489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  <c r="Y9" s="327"/>
      <c r="Z9" s="327"/>
      <c r="AA9" s="327"/>
      <c r="AB9" s="327"/>
      <c r="AC9" s="327"/>
      <c r="AD9" s="327"/>
      <c r="AE9" s="327"/>
    </row>
    <row r="10" spans="1:31" s="18" customFormat="1">
      <c r="A10" s="649"/>
      <c r="B10" s="372"/>
      <c r="K10" s="489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  <c r="Y10" s="327"/>
      <c r="Z10" s="327"/>
      <c r="AA10" s="327"/>
      <c r="AB10" s="327"/>
      <c r="AC10" s="327"/>
      <c r="AD10" s="327"/>
      <c r="AE10" s="327"/>
    </row>
    <row r="11" spans="1:31">
      <c r="A11" s="38" t="s">
        <v>52</v>
      </c>
      <c r="B11" s="38"/>
      <c r="C11" s="38"/>
      <c r="D11" s="101"/>
      <c r="E11" s="38"/>
      <c r="F11" s="38"/>
      <c r="G11" s="37"/>
      <c r="H11" s="37"/>
      <c r="I11" s="38"/>
      <c r="J11" s="37"/>
      <c r="K11" s="784">
        <f>'OPEX - Concept A1'!K11</f>
        <v>0</v>
      </c>
      <c r="L11" s="311">
        <f>'BH Tariffs'!D52</f>
        <v>1.02</v>
      </c>
      <c r="M11" s="311">
        <f>'BH Tariffs'!E52</f>
        <v>1.0404</v>
      </c>
      <c r="N11" s="311">
        <f>'BH Tariffs'!F52</f>
        <v>1.0612079999999999</v>
      </c>
      <c r="O11" s="311">
        <f>'BH Tariffs'!G52</f>
        <v>1.08243216</v>
      </c>
      <c r="P11" s="311">
        <f>'BH Tariffs'!H52</f>
        <v>1.1040808032</v>
      </c>
      <c r="Q11" s="311">
        <f>'BH Tariffs'!I52</f>
        <v>1.1261624192640001</v>
      </c>
      <c r="R11" s="311">
        <f>'BH Tariffs'!J52</f>
        <v>1.14868566764928</v>
      </c>
      <c r="S11" s="311">
        <f>'BH Tariffs'!K52</f>
        <v>1.1716593810022657</v>
      </c>
      <c r="T11" s="311">
        <f>'BH Tariffs'!L52</f>
        <v>1.1950925686223111</v>
      </c>
      <c r="U11" s="311">
        <f>'BH Tariffs'!M52</f>
        <v>1.2189944199947573</v>
      </c>
      <c r="V11" s="311">
        <f>'BH Tariffs'!N52</f>
        <v>1.2433743083946525</v>
      </c>
      <c r="W11" s="311">
        <f>'BH Tariffs'!O52</f>
        <v>1.2682417945625455</v>
      </c>
      <c r="X11" s="311">
        <f>'BH Tariffs'!P52</f>
        <v>1.2936066304537963</v>
      </c>
      <c r="Y11" s="311">
        <f>'BH Tariffs'!Q52</f>
        <v>1.3194787630628724</v>
      </c>
      <c r="Z11" s="311">
        <f>'BH Tariffs'!R52</f>
        <v>1.3458683383241299</v>
      </c>
      <c r="AA11" s="311">
        <f>'BH Tariffs'!S52</f>
        <v>1.3727857050906125</v>
      </c>
      <c r="AB11" s="311">
        <f>'BH Tariffs'!T52</f>
        <v>1.4002414191924248</v>
      </c>
      <c r="AC11" s="311">
        <f>'BH Tariffs'!U52</f>
        <v>1.4282462475762734</v>
      </c>
      <c r="AD11" s="311">
        <f>'BH Tariffs'!V52</f>
        <v>1.4568111725277988</v>
      </c>
      <c r="AE11" s="311">
        <f>'BH Tariffs'!W52</f>
        <v>1.4859473959783549</v>
      </c>
    </row>
    <row r="12" spans="1:31">
      <c r="A12" s="38" t="s">
        <v>58</v>
      </c>
      <c r="B12" s="38"/>
      <c r="C12" s="37"/>
      <c r="D12" s="76"/>
      <c r="E12" s="79">
        <v>0.2</v>
      </c>
      <c r="F12" s="172"/>
      <c r="G12" s="36"/>
      <c r="H12" s="36"/>
      <c r="I12" s="38"/>
      <c r="J12" s="36"/>
      <c r="K12" s="661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200"/>
      <c r="AC12" s="200"/>
      <c r="AD12" s="200"/>
      <c r="AE12" s="200"/>
    </row>
    <row r="13" spans="1:31">
      <c r="A13" s="38" t="s">
        <v>51</v>
      </c>
      <c r="B13" s="38"/>
      <c r="C13" s="37"/>
      <c r="D13" s="76"/>
      <c r="E13" s="79"/>
      <c r="F13" s="79">
        <v>0.4</v>
      </c>
      <c r="G13" s="36"/>
      <c r="H13" s="36"/>
      <c r="I13" s="38"/>
      <c r="J13" s="36"/>
      <c r="K13" s="661"/>
      <c r="L13" s="200"/>
      <c r="M13" s="200"/>
      <c r="N13" s="200"/>
      <c r="O13" s="200"/>
      <c r="P13" s="200"/>
      <c r="Q13" s="200"/>
      <c r="R13" s="200"/>
      <c r="S13" s="200"/>
      <c r="T13" s="200"/>
      <c r="U13" s="200"/>
      <c r="V13" s="200"/>
      <c r="W13" s="200"/>
      <c r="X13" s="200"/>
      <c r="Y13" s="200"/>
      <c r="Z13" s="200"/>
      <c r="AA13" s="200"/>
      <c r="AB13" s="200"/>
      <c r="AC13" s="200"/>
      <c r="AD13" s="200"/>
      <c r="AE13" s="200"/>
    </row>
    <row r="14" spans="1:31" s="18" customFormat="1">
      <c r="A14" s="649"/>
      <c r="B14" s="372"/>
      <c r="K14" s="489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7"/>
      <c r="X14" s="327"/>
      <c r="Y14" s="327"/>
      <c r="Z14" s="327"/>
      <c r="AA14" s="327"/>
      <c r="AB14" s="327"/>
      <c r="AC14" s="327"/>
      <c r="AD14" s="327"/>
      <c r="AE14" s="327"/>
    </row>
    <row r="15" spans="1:31" s="18" customFormat="1">
      <c r="K15" s="489"/>
      <c r="L15" s="327"/>
      <c r="M15" s="327"/>
      <c r="N15" s="327"/>
      <c r="O15" s="327"/>
      <c r="P15" s="327"/>
      <c r="Q15" s="327"/>
      <c r="R15" s="327"/>
      <c r="S15" s="327"/>
      <c r="T15" s="327"/>
      <c r="U15" s="327"/>
      <c r="V15" s="327"/>
      <c r="W15" s="327"/>
      <c r="X15" s="327"/>
      <c r="Y15" s="327"/>
      <c r="Z15" s="327"/>
      <c r="AA15" s="327"/>
      <c r="AB15" s="327"/>
      <c r="AC15" s="327"/>
      <c r="AD15" s="327"/>
      <c r="AE15" s="327"/>
    </row>
    <row r="16" spans="1:31" s="582" customFormat="1" ht="14.25">
      <c r="A16" s="582" t="s">
        <v>83</v>
      </c>
      <c r="K16" s="490"/>
      <c r="L16" s="785"/>
      <c r="M16" s="785"/>
      <c r="N16" s="785"/>
      <c r="O16" s="785"/>
      <c r="P16" s="785"/>
      <c r="Q16" s="785"/>
      <c r="R16" s="785"/>
      <c r="S16" s="785"/>
      <c r="T16" s="785"/>
      <c r="U16" s="785"/>
      <c r="V16" s="785"/>
      <c r="W16" s="785"/>
      <c r="X16" s="785"/>
      <c r="Y16" s="785"/>
      <c r="Z16" s="785"/>
      <c r="AA16" s="785"/>
      <c r="AB16" s="785"/>
      <c r="AC16" s="785"/>
      <c r="AD16" s="785"/>
      <c r="AE16" s="785"/>
    </row>
    <row r="17" spans="1:31" s="96" customFormat="1">
      <c r="A17" s="53" t="str">
        <f>'Cruise Projections'!A67</f>
        <v>Passengers</v>
      </c>
      <c r="B17" s="487"/>
      <c r="C17" s="487"/>
      <c r="K17" s="486">
        <f>'P&amp;L - Concept B2 - ALL'!D12</f>
        <v>0</v>
      </c>
      <c r="L17" s="313">
        <f>'P&amp;L - Concept B2 - ALL'!E12</f>
        <v>0</v>
      </c>
      <c r="M17" s="313">
        <f>'P&amp;L - Concept B2 - ALL'!F12</f>
        <v>261573</v>
      </c>
      <c r="N17" s="313">
        <f>'P&amp;L - Concept B2 - ALL'!G12</f>
        <v>261573</v>
      </c>
      <c r="O17" s="313">
        <f>'P&amp;L - Concept B2 - ALL'!H12</f>
        <v>261573</v>
      </c>
      <c r="P17" s="313">
        <f>'P&amp;L - Concept B2 - ALL'!I12</f>
        <v>261573</v>
      </c>
      <c r="Q17" s="313">
        <f>'P&amp;L - Concept B2 - ALL'!J12</f>
        <v>261573</v>
      </c>
      <c r="R17" s="313">
        <f>'P&amp;L - Concept B2 - ALL'!K12</f>
        <v>261573</v>
      </c>
      <c r="S17" s="313">
        <f>'P&amp;L - Concept B2 - ALL'!L12</f>
        <v>261573</v>
      </c>
      <c r="T17" s="313">
        <f>'P&amp;L - Concept B2 - ALL'!M12</f>
        <v>261573</v>
      </c>
      <c r="U17" s="313">
        <f>'P&amp;L - Concept B2 - ALL'!N12</f>
        <v>261573</v>
      </c>
      <c r="V17" s="313">
        <f>'P&amp;L - Concept B2 - ALL'!O12</f>
        <v>261573</v>
      </c>
      <c r="W17" s="313">
        <f>'P&amp;L - Concept B2 - ALL'!P12</f>
        <v>261573</v>
      </c>
      <c r="X17" s="313">
        <f>'P&amp;L - Concept B2 - ALL'!Q12</f>
        <v>261573</v>
      </c>
      <c r="Y17" s="313">
        <f>'P&amp;L - Concept B2 - ALL'!R12</f>
        <v>261573</v>
      </c>
      <c r="Z17" s="313">
        <f>'P&amp;L - Concept B2 - ALL'!S12</f>
        <v>261573</v>
      </c>
      <c r="AA17" s="313">
        <f>'P&amp;L - Concept B2 - ALL'!T12</f>
        <v>261573</v>
      </c>
      <c r="AB17" s="313">
        <f>'P&amp;L - Concept B2 - ALL'!U12</f>
        <v>261573</v>
      </c>
      <c r="AC17" s="313">
        <f>'P&amp;L - Concept B2 - ALL'!V12</f>
        <v>261573</v>
      </c>
      <c r="AD17" s="313">
        <f>'P&amp;L - Concept B2 - ALL'!W12</f>
        <v>261573</v>
      </c>
      <c r="AE17" s="313">
        <f>'P&amp;L - Concept B2 - ALL'!X12</f>
        <v>261573</v>
      </c>
    </row>
    <row r="18" spans="1:31" s="96" customFormat="1">
      <c r="A18" s="53" t="str">
        <f>'Cruise Projections'!A68</f>
        <v>Calls</v>
      </c>
      <c r="B18" s="487"/>
      <c r="C18" s="487"/>
      <c r="K18" s="486">
        <f>'P&amp;L - Concept B2 - ALL'!D13</f>
        <v>0</v>
      </c>
      <c r="L18" s="313">
        <f>'P&amp;L - Concept B2 - ALL'!E13</f>
        <v>0</v>
      </c>
      <c r="M18" s="313">
        <f>'P&amp;L - Concept B2 - ALL'!F13</f>
        <v>172</v>
      </c>
      <c r="N18" s="313">
        <f>'P&amp;L - Concept B2 - ALL'!G13</f>
        <v>172</v>
      </c>
      <c r="O18" s="313">
        <f>'P&amp;L - Concept B2 - ALL'!H13</f>
        <v>172</v>
      </c>
      <c r="P18" s="313">
        <f>'P&amp;L - Concept B2 - ALL'!I13</f>
        <v>172</v>
      </c>
      <c r="Q18" s="313">
        <f>'P&amp;L - Concept B2 - ALL'!J13</f>
        <v>172</v>
      </c>
      <c r="R18" s="313">
        <f>'P&amp;L - Concept B2 - ALL'!K13</f>
        <v>172</v>
      </c>
      <c r="S18" s="313">
        <f>'P&amp;L - Concept B2 - ALL'!L13</f>
        <v>172</v>
      </c>
      <c r="T18" s="313">
        <f>'P&amp;L - Concept B2 - ALL'!M13</f>
        <v>172</v>
      </c>
      <c r="U18" s="313">
        <f>'P&amp;L - Concept B2 - ALL'!N13</f>
        <v>172</v>
      </c>
      <c r="V18" s="313">
        <f>'P&amp;L - Concept B2 - ALL'!O13</f>
        <v>172</v>
      </c>
      <c r="W18" s="313">
        <f>'P&amp;L - Concept B2 - ALL'!P13</f>
        <v>172</v>
      </c>
      <c r="X18" s="313">
        <f>'P&amp;L - Concept B2 - ALL'!Q13</f>
        <v>172</v>
      </c>
      <c r="Y18" s="313">
        <f>'P&amp;L - Concept B2 - ALL'!R13</f>
        <v>172</v>
      </c>
      <c r="Z18" s="313">
        <f>'P&amp;L - Concept B2 - ALL'!S13</f>
        <v>172</v>
      </c>
      <c r="AA18" s="313">
        <f>'P&amp;L - Concept B2 - ALL'!T13</f>
        <v>172</v>
      </c>
      <c r="AB18" s="313">
        <f>'P&amp;L - Concept B2 - ALL'!U13</f>
        <v>172</v>
      </c>
      <c r="AC18" s="313">
        <f>'P&amp;L - Concept B2 - ALL'!V13</f>
        <v>172</v>
      </c>
      <c r="AD18" s="313">
        <f>'P&amp;L - Concept B2 - ALL'!W13</f>
        <v>172</v>
      </c>
      <c r="AE18" s="313">
        <f>'P&amp;L - Concept B2 - ALL'!X13</f>
        <v>172</v>
      </c>
    </row>
    <row r="19" spans="1:31" s="96" customFormat="1">
      <c r="A19" s="53" t="str">
        <f>'Cruise Projections'!A69</f>
        <v>Passengers per Call</v>
      </c>
      <c r="B19" s="487"/>
      <c r="C19" s="487"/>
      <c r="K19" s="486">
        <f>'P&amp;L - Concept B2 - ALL'!D14</f>
        <v>0</v>
      </c>
      <c r="L19" s="313">
        <f>'P&amp;L - Concept B2 - ALL'!E14</f>
        <v>0</v>
      </c>
      <c r="M19" s="313">
        <f>'P&amp;L - Concept B2 - ALL'!F14</f>
        <v>1520.7732558139535</v>
      </c>
      <c r="N19" s="313">
        <f>'P&amp;L - Concept B2 - ALL'!G14</f>
        <v>1520.7732558139535</v>
      </c>
      <c r="O19" s="313">
        <f>'P&amp;L - Concept B2 - ALL'!H14</f>
        <v>1520.7732558139535</v>
      </c>
      <c r="P19" s="313">
        <f>'P&amp;L - Concept B2 - ALL'!I14</f>
        <v>1520.7732558139535</v>
      </c>
      <c r="Q19" s="313">
        <f>'P&amp;L - Concept B2 - ALL'!J14</f>
        <v>1520.7732558139535</v>
      </c>
      <c r="R19" s="313">
        <f>'P&amp;L - Concept B2 - ALL'!K14</f>
        <v>1520.7732558139535</v>
      </c>
      <c r="S19" s="313">
        <f>'P&amp;L - Concept B2 - ALL'!L14</f>
        <v>1520.7732558139535</v>
      </c>
      <c r="T19" s="313">
        <f>'P&amp;L - Concept B2 - ALL'!M14</f>
        <v>1520.7732558139535</v>
      </c>
      <c r="U19" s="313">
        <f>'P&amp;L - Concept B2 - ALL'!N14</f>
        <v>1520.7732558139535</v>
      </c>
      <c r="V19" s="313">
        <f>'P&amp;L - Concept B2 - ALL'!O14</f>
        <v>1520.7732558139535</v>
      </c>
      <c r="W19" s="313">
        <f>'P&amp;L - Concept B2 - ALL'!P14</f>
        <v>1520.7732558139535</v>
      </c>
      <c r="X19" s="313">
        <f>'P&amp;L - Concept B2 - ALL'!Q14</f>
        <v>1520.7732558139535</v>
      </c>
      <c r="Y19" s="313">
        <f>'P&amp;L - Concept B2 - ALL'!R14</f>
        <v>1520.7732558139535</v>
      </c>
      <c r="Z19" s="313">
        <f>'P&amp;L - Concept B2 - ALL'!S14</f>
        <v>1520.7732558139535</v>
      </c>
      <c r="AA19" s="313">
        <f>'P&amp;L - Concept B2 - ALL'!T14</f>
        <v>1520.7732558139535</v>
      </c>
      <c r="AB19" s="313">
        <f>'P&amp;L - Concept B2 - ALL'!U14</f>
        <v>1520.7732558139535</v>
      </c>
      <c r="AC19" s="313">
        <f>'P&amp;L - Concept B2 - ALL'!V14</f>
        <v>1520.7732558139535</v>
      </c>
      <c r="AD19" s="313">
        <f>'P&amp;L - Concept B2 - ALL'!W14</f>
        <v>1520.7732558139535</v>
      </c>
      <c r="AE19" s="313">
        <f>'P&amp;L - Concept B2 - ALL'!X14</f>
        <v>1520.7732558139535</v>
      </c>
    </row>
    <row r="20" spans="1:31" s="96" customFormat="1">
      <c r="A20" s="54" t="s">
        <v>313</v>
      </c>
      <c r="B20" s="487"/>
      <c r="C20" s="487"/>
      <c r="K20" s="486">
        <f>'P&amp;L - Concept B2 - ALL'!D15</f>
        <v>0</v>
      </c>
      <c r="L20" s="313">
        <f>'P&amp;L - Concept B2 - ALL'!E15</f>
        <v>0</v>
      </c>
      <c r="M20" s="313">
        <f>'P&amp;L - Concept B2 - ALL'!F15</f>
        <v>4120</v>
      </c>
      <c r="N20" s="313">
        <f>'P&amp;L - Concept B2 - ALL'!G15</f>
        <v>4120</v>
      </c>
      <c r="O20" s="313">
        <f>'P&amp;L - Concept B2 - ALL'!H15</f>
        <v>4120</v>
      </c>
      <c r="P20" s="313">
        <f>'P&amp;L - Concept B2 - ALL'!I15</f>
        <v>4120</v>
      </c>
      <c r="Q20" s="313">
        <f>'P&amp;L - Concept B2 - ALL'!J15</f>
        <v>4120</v>
      </c>
      <c r="R20" s="313">
        <f>'P&amp;L - Concept B2 - ALL'!K15</f>
        <v>4120</v>
      </c>
      <c r="S20" s="313">
        <f>'P&amp;L - Concept B2 - ALL'!L15</f>
        <v>4120</v>
      </c>
      <c r="T20" s="313">
        <f>'P&amp;L - Concept B2 - ALL'!M15</f>
        <v>4120</v>
      </c>
      <c r="U20" s="313">
        <f>'P&amp;L - Concept B2 - ALL'!N15</f>
        <v>4120</v>
      </c>
      <c r="V20" s="313">
        <f>'P&amp;L - Concept B2 - ALL'!O15</f>
        <v>4120</v>
      </c>
      <c r="W20" s="313">
        <f>'P&amp;L - Concept B2 - ALL'!P15</f>
        <v>4120</v>
      </c>
      <c r="X20" s="313">
        <f>'P&amp;L - Concept B2 - ALL'!Q15</f>
        <v>4120</v>
      </c>
      <c r="Y20" s="313">
        <f>'P&amp;L - Concept B2 - ALL'!R15</f>
        <v>4120</v>
      </c>
      <c r="Z20" s="313">
        <f>'P&amp;L - Concept B2 - ALL'!S15</f>
        <v>4120</v>
      </c>
      <c r="AA20" s="313">
        <f>'P&amp;L - Concept B2 - ALL'!T15</f>
        <v>4120</v>
      </c>
      <c r="AB20" s="313">
        <f>'P&amp;L - Concept B2 - ALL'!U15</f>
        <v>4120</v>
      </c>
      <c r="AC20" s="313">
        <f>'P&amp;L - Concept B2 - ALL'!V15</f>
        <v>4120</v>
      </c>
      <c r="AD20" s="313">
        <f>'P&amp;L - Concept B2 - ALL'!W15</f>
        <v>4120</v>
      </c>
      <c r="AE20" s="313">
        <f>'P&amp;L - Concept B2 - ALL'!X15</f>
        <v>4120</v>
      </c>
    </row>
    <row r="21" spans="1:31" s="18" customFormat="1">
      <c r="A21" s="54"/>
      <c r="B21" s="21"/>
      <c r="C21" s="21"/>
      <c r="K21" s="486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  <c r="Y21" s="313"/>
      <c r="Z21" s="313"/>
      <c r="AA21" s="313"/>
      <c r="AB21" s="313"/>
      <c r="AC21" s="313"/>
      <c r="AD21" s="313"/>
      <c r="AE21" s="313"/>
    </row>
    <row r="22" spans="1:31" s="547" customFormat="1">
      <c r="A22" s="549" t="s">
        <v>163</v>
      </c>
      <c r="B22" s="550"/>
      <c r="C22" s="550"/>
      <c r="K22" s="610"/>
      <c r="L22" s="555"/>
      <c r="M22" s="555"/>
      <c r="N22" s="555"/>
      <c r="O22" s="555"/>
      <c r="P22" s="555"/>
      <c r="Q22" s="555"/>
      <c r="R22" s="555"/>
      <c r="S22" s="555"/>
      <c r="T22" s="555"/>
      <c r="U22" s="555"/>
      <c r="V22" s="555"/>
      <c r="W22" s="555"/>
      <c r="X22" s="555"/>
      <c r="Y22" s="555"/>
      <c r="Z22" s="555"/>
      <c r="AA22" s="555"/>
      <c r="AB22" s="555"/>
      <c r="AC22" s="555"/>
      <c r="AD22" s="555"/>
      <c r="AE22" s="555"/>
    </row>
    <row r="23" spans="1:31" s="341" customFormat="1">
      <c r="A23" s="552" t="str">
        <f>'International Ferry Projections'!A11</f>
        <v>Passengers</v>
      </c>
      <c r="B23" s="553"/>
      <c r="C23" s="553"/>
      <c r="K23" s="554">
        <f>'P&amp;L - Concept B2 - ALL'!D18</f>
        <v>0</v>
      </c>
      <c r="L23" s="555">
        <f>'P&amp;L - Concept B2 - ALL'!E18</f>
        <v>60000</v>
      </c>
      <c r="M23" s="555">
        <f>'P&amp;L - Concept B2 - ALL'!F18</f>
        <v>70000</v>
      </c>
      <c r="N23" s="555">
        <f>'P&amp;L - Concept B2 - ALL'!G18</f>
        <v>80000</v>
      </c>
      <c r="O23" s="555">
        <f>'P&amp;L - Concept B2 - ALL'!H18</f>
        <v>80000</v>
      </c>
      <c r="P23" s="555">
        <f>'P&amp;L - Concept B2 - ALL'!I18</f>
        <v>80000</v>
      </c>
      <c r="Q23" s="555">
        <f>'P&amp;L - Concept B2 - ALL'!J18</f>
        <v>80000</v>
      </c>
      <c r="R23" s="555">
        <f>'P&amp;L - Concept B2 - ALL'!K18</f>
        <v>80000</v>
      </c>
      <c r="S23" s="555">
        <f>'P&amp;L - Concept B2 - ALL'!L18</f>
        <v>80000</v>
      </c>
      <c r="T23" s="555">
        <f>'P&amp;L - Concept B2 - ALL'!M18</f>
        <v>80000</v>
      </c>
      <c r="U23" s="555">
        <f>'P&amp;L - Concept B2 - ALL'!N18</f>
        <v>80000</v>
      </c>
      <c r="V23" s="555">
        <f>'P&amp;L - Concept B2 - ALL'!O18</f>
        <v>80000</v>
      </c>
      <c r="W23" s="555">
        <f>'P&amp;L - Concept B2 - ALL'!P18</f>
        <v>80000</v>
      </c>
      <c r="X23" s="555">
        <f>'P&amp;L - Concept B2 - ALL'!Q18</f>
        <v>80000</v>
      </c>
      <c r="Y23" s="555">
        <f>'P&amp;L - Concept B2 - ALL'!R18</f>
        <v>80000</v>
      </c>
      <c r="Z23" s="555">
        <f>'P&amp;L - Concept B2 - ALL'!S18</f>
        <v>80000</v>
      </c>
      <c r="AA23" s="555">
        <f>'P&amp;L - Concept B2 - ALL'!T18</f>
        <v>80000</v>
      </c>
      <c r="AB23" s="555">
        <f>'P&amp;L - Concept B2 - ALL'!U18</f>
        <v>80000</v>
      </c>
      <c r="AC23" s="555">
        <f>'P&amp;L - Concept B2 - ALL'!V18</f>
        <v>80000</v>
      </c>
      <c r="AD23" s="555">
        <f>'P&amp;L - Concept B2 - ALL'!W18</f>
        <v>80000</v>
      </c>
      <c r="AE23" s="555">
        <f>'P&amp;L - Concept B2 - ALL'!X18</f>
        <v>80000</v>
      </c>
    </row>
    <row r="24" spans="1:31" s="341" customFormat="1">
      <c r="A24" s="552" t="str">
        <f>'International Ferry Projections'!A12</f>
        <v>Cars</v>
      </c>
      <c r="B24" s="553"/>
      <c r="C24" s="553"/>
      <c r="K24" s="554">
        <f>'P&amp;L - Concept B2 - ALL'!D19</f>
        <v>0</v>
      </c>
      <c r="L24" s="555">
        <f>'P&amp;L - Concept B2 - ALL'!E19</f>
        <v>24000</v>
      </c>
      <c r="M24" s="555">
        <f>'P&amp;L - Concept B2 - ALL'!F19</f>
        <v>28000</v>
      </c>
      <c r="N24" s="555">
        <f>'P&amp;L - Concept B2 - ALL'!G19</f>
        <v>32000</v>
      </c>
      <c r="O24" s="555">
        <f>'P&amp;L - Concept B2 - ALL'!H19</f>
        <v>32000</v>
      </c>
      <c r="P24" s="555">
        <f>'P&amp;L - Concept B2 - ALL'!I19</f>
        <v>32000</v>
      </c>
      <c r="Q24" s="555">
        <f>'P&amp;L - Concept B2 - ALL'!J19</f>
        <v>32000</v>
      </c>
      <c r="R24" s="555">
        <f>'P&amp;L - Concept B2 - ALL'!K19</f>
        <v>32000</v>
      </c>
      <c r="S24" s="555">
        <f>'P&amp;L - Concept B2 - ALL'!L19</f>
        <v>32000</v>
      </c>
      <c r="T24" s="555">
        <f>'P&amp;L - Concept B2 - ALL'!M19</f>
        <v>32000</v>
      </c>
      <c r="U24" s="555">
        <f>'P&amp;L - Concept B2 - ALL'!N19</f>
        <v>32000</v>
      </c>
      <c r="V24" s="555">
        <f>'P&amp;L - Concept B2 - ALL'!O19</f>
        <v>32000</v>
      </c>
      <c r="W24" s="555">
        <f>'P&amp;L - Concept B2 - ALL'!P19</f>
        <v>32000</v>
      </c>
      <c r="X24" s="555">
        <f>'P&amp;L - Concept B2 - ALL'!Q19</f>
        <v>32000</v>
      </c>
      <c r="Y24" s="555">
        <f>'P&amp;L - Concept B2 - ALL'!R19</f>
        <v>32000</v>
      </c>
      <c r="Z24" s="555">
        <f>'P&amp;L - Concept B2 - ALL'!S19</f>
        <v>32000</v>
      </c>
      <c r="AA24" s="555">
        <f>'P&amp;L - Concept B2 - ALL'!T19</f>
        <v>32000</v>
      </c>
      <c r="AB24" s="555">
        <f>'P&amp;L - Concept B2 - ALL'!U19</f>
        <v>32000</v>
      </c>
      <c r="AC24" s="555">
        <f>'P&amp;L - Concept B2 - ALL'!V19</f>
        <v>32000</v>
      </c>
      <c r="AD24" s="555">
        <f>'P&amp;L - Concept B2 - ALL'!W19</f>
        <v>32000</v>
      </c>
      <c r="AE24" s="555">
        <f>'P&amp;L - Concept B2 - ALL'!X19</f>
        <v>32000</v>
      </c>
    </row>
    <row r="25" spans="1:31" s="341" customFormat="1">
      <c r="A25" s="552" t="str">
        <f>'International Ferry Projections'!A13</f>
        <v>Buses</v>
      </c>
      <c r="B25" s="553"/>
      <c r="C25" s="553"/>
      <c r="K25" s="554">
        <f>'P&amp;L - Concept B2 - ALL'!D20</f>
        <v>0</v>
      </c>
      <c r="L25" s="555">
        <f>'P&amp;L - Concept B2 - ALL'!E20</f>
        <v>40</v>
      </c>
      <c r="M25" s="555">
        <f>'P&amp;L - Concept B2 - ALL'!F20</f>
        <v>50</v>
      </c>
      <c r="N25" s="555">
        <f>'P&amp;L - Concept B2 - ALL'!G20</f>
        <v>60</v>
      </c>
      <c r="O25" s="555">
        <f>'P&amp;L - Concept B2 - ALL'!H20</f>
        <v>60</v>
      </c>
      <c r="P25" s="555">
        <f>'P&amp;L - Concept B2 - ALL'!I20</f>
        <v>60</v>
      </c>
      <c r="Q25" s="555">
        <f>'P&amp;L - Concept B2 - ALL'!J20</f>
        <v>60</v>
      </c>
      <c r="R25" s="555">
        <f>'P&amp;L - Concept B2 - ALL'!K20</f>
        <v>60</v>
      </c>
      <c r="S25" s="555">
        <f>'P&amp;L - Concept B2 - ALL'!L20</f>
        <v>60</v>
      </c>
      <c r="T25" s="555">
        <f>'P&amp;L - Concept B2 - ALL'!M20</f>
        <v>60</v>
      </c>
      <c r="U25" s="555">
        <f>'P&amp;L - Concept B2 - ALL'!N20</f>
        <v>60</v>
      </c>
      <c r="V25" s="555">
        <f>'P&amp;L - Concept B2 - ALL'!O20</f>
        <v>60</v>
      </c>
      <c r="W25" s="555">
        <f>'P&amp;L - Concept B2 - ALL'!P20</f>
        <v>60</v>
      </c>
      <c r="X25" s="555">
        <f>'P&amp;L - Concept B2 - ALL'!Q20</f>
        <v>60</v>
      </c>
      <c r="Y25" s="555">
        <f>'P&amp;L - Concept B2 - ALL'!R20</f>
        <v>60</v>
      </c>
      <c r="Z25" s="555">
        <f>'P&amp;L - Concept B2 - ALL'!S20</f>
        <v>60</v>
      </c>
      <c r="AA25" s="555">
        <f>'P&amp;L - Concept B2 - ALL'!T20</f>
        <v>60</v>
      </c>
      <c r="AB25" s="555">
        <f>'P&amp;L - Concept B2 - ALL'!U20</f>
        <v>60</v>
      </c>
      <c r="AC25" s="555">
        <f>'P&amp;L - Concept B2 - ALL'!V20</f>
        <v>60</v>
      </c>
      <c r="AD25" s="555">
        <f>'P&amp;L - Concept B2 - ALL'!W20</f>
        <v>60</v>
      </c>
      <c r="AE25" s="555">
        <f>'P&amp;L - Concept B2 - ALL'!X20</f>
        <v>60</v>
      </c>
    </row>
    <row r="26" spans="1:31" s="18" customFormat="1">
      <c r="A26" s="54"/>
      <c r="B26" s="21"/>
      <c r="C26" s="21"/>
      <c r="K26" s="486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</row>
    <row r="27" spans="1:31" s="582" customFormat="1">
      <c r="A27" s="293" t="str">
        <f>'BH Tariffs'!A30</f>
        <v>Local Ferry</v>
      </c>
      <c r="B27" s="581"/>
      <c r="C27" s="581"/>
      <c r="K27" s="486"/>
      <c r="L27" s="313"/>
      <c r="M27" s="313"/>
      <c r="N27" s="313"/>
      <c r="O27" s="313"/>
      <c r="P27" s="313"/>
      <c r="Q27" s="313"/>
      <c r="R27" s="313"/>
      <c r="S27" s="313"/>
      <c r="T27" s="313"/>
      <c r="U27" s="313"/>
      <c r="V27" s="313"/>
      <c r="W27" s="313"/>
      <c r="X27" s="313"/>
      <c r="Y27" s="313"/>
      <c r="Z27" s="313"/>
      <c r="AA27" s="313"/>
      <c r="AB27" s="313"/>
      <c r="AC27" s="313"/>
      <c r="AD27" s="313"/>
      <c r="AE27" s="313"/>
    </row>
    <row r="28" spans="1:31" s="96" customFormat="1">
      <c r="A28" s="54" t="str">
        <f>'BH Tariffs'!A31</f>
        <v>Dock Rent (6 Months Only)</v>
      </c>
      <c r="B28" s="487"/>
      <c r="C28" s="487"/>
      <c r="K28" s="486">
        <f>'P&amp;L - Concept B2 - ALL'!D23</f>
        <v>0</v>
      </c>
      <c r="L28" s="313" t="str">
        <f>'P&amp;L - Concept B2 - ALL'!E23</f>
        <v>see Tariff</v>
      </c>
      <c r="M28" s="313" t="str">
        <f>'P&amp;L - Concept B2 - ALL'!F23</f>
        <v>see Tariff</v>
      </c>
      <c r="N28" s="313" t="str">
        <f>'P&amp;L - Concept B2 - ALL'!G23</f>
        <v>see Tariff</v>
      </c>
      <c r="O28" s="313" t="str">
        <f>'P&amp;L - Concept B2 - ALL'!H23</f>
        <v>see Tariff</v>
      </c>
      <c r="P28" s="313" t="str">
        <f>'P&amp;L - Concept B2 - ALL'!I23</f>
        <v>see Tariff</v>
      </c>
      <c r="Q28" s="313" t="str">
        <f>'P&amp;L - Concept B2 - ALL'!J23</f>
        <v>see Tariff</v>
      </c>
      <c r="R28" s="313" t="str">
        <f>'P&amp;L - Concept B2 - ALL'!K23</f>
        <v>see Tariff</v>
      </c>
      <c r="S28" s="313" t="str">
        <f>'P&amp;L - Concept B2 - ALL'!L23</f>
        <v>see Tariff</v>
      </c>
      <c r="T28" s="313" t="str">
        <f>'P&amp;L - Concept B2 - ALL'!M23</f>
        <v>see Tariff</v>
      </c>
      <c r="U28" s="313" t="str">
        <f>'P&amp;L - Concept B2 - ALL'!N23</f>
        <v>see Tariff</v>
      </c>
      <c r="V28" s="313" t="str">
        <f>'P&amp;L - Concept B2 - ALL'!O23</f>
        <v>see Tariff</v>
      </c>
      <c r="W28" s="313" t="str">
        <f>'P&amp;L - Concept B2 - ALL'!P23</f>
        <v>see Tariff</v>
      </c>
      <c r="X28" s="313" t="str">
        <f>'P&amp;L - Concept B2 - ALL'!Q23</f>
        <v>see Tariff</v>
      </c>
      <c r="Y28" s="313" t="str">
        <f>'P&amp;L - Concept B2 - ALL'!R23</f>
        <v>see Tariff</v>
      </c>
      <c r="Z28" s="313" t="str">
        <f>'P&amp;L - Concept B2 - ALL'!S23</f>
        <v>see Tariff</v>
      </c>
      <c r="AA28" s="313" t="str">
        <f>'P&amp;L - Concept B2 - ALL'!T23</f>
        <v>see Tariff</v>
      </c>
      <c r="AB28" s="313" t="str">
        <f>'P&amp;L - Concept B2 - ALL'!U23</f>
        <v>see Tariff</v>
      </c>
      <c r="AC28" s="313" t="str">
        <f>'P&amp;L - Concept B2 - ALL'!V23</f>
        <v>see Tariff</v>
      </c>
      <c r="AD28" s="313" t="str">
        <f>'P&amp;L - Concept B2 - ALL'!W23</f>
        <v>see Tariff</v>
      </c>
      <c r="AE28" s="313" t="str">
        <f>'P&amp;L - Concept B2 - ALL'!X23</f>
        <v>see Tariff</v>
      </c>
    </row>
    <row r="29" spans="1:31" s="341" customFormat="1">
      <c r="A29" s="552"/>
      <c r="B29" s="553"/>
      <c r="C29" s="553"/>
      <c r="K29" s="554"/>
      <c r="L29" s="313"/>
      <c r="M29" s="313"/>
      <c r="N29" s="313"/>
      <c r="O29" s="313"/>
      <c r="P29" s="313"/>
      <c r="Q29" s="313"/>
      <c r="R29" s="313"/>
      <c r="S29" s="313"/>
      <c r="T29" s="313"/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</row>
    <row r="30" spans="1:31" s="96" customFormat="1">
      <c r="A30" s="559" t="s">
        <v>227</v>
      </c>
      <c r="B30" s="487"/>
      <c r="C30" s="487"/>
      <c r="K30" s="486"/>
      <c r="L30" s="313"/>
      <c r="M30" s="313"/>
      <c r="N30" s="313"/>
      <c r="O30" s="313"/>
      <c r="P30" s="313"/>
      <c r="Q30" s="313"/>
      <c r="R30" s="313"/>
      <c r="S30" s="313"/>
      <c r="T30" s="313"/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</row>
    <row r="31" spans="1:31" s="96" customFormat="1">
      <c r="A31" s="559"/>
      <c r="B31" s="487"/>
      <c r="C31" s="487"/>
      <c r="K31" s="486"/>
      <c r="L31" s="313"/>
      <c r="M31" s="313"/>
      <c r="N31" s="313"/>
      <c r="O31" s="313"/>
      <c r="P31" s="313"/>
      <c r="Q31" s="313"/>
      <c r="R31" s="313"/>
      <c r="S31" s="313"/>
      <c r="T31" s="313"/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</row>
    <row r="32" spans="1:31" s="96" customFormat="1">
      <c r="A32" s="54" t="s">
        <v>420</v>
      </c>
      <c r="B32" s="487"/>
      <c r="C32" s="487"/>
      <c r="K32" s="486">
        <f>'P&amp;L - Concept B2 - ALL'!D27</f>
        <v>0</v>
      </c>
      <c r="L32" s="313">
        <f>'P&amp;L - Concept B2 - ALL'!E27</f>
        <v>0</v>
      </c>
      <c r="M32" s="313">
        <f>'P&amp;L - Concept B2 - ALL'!F27</f>
        <v>214</v>
      </c>
      <c r="N32" s="313">
        <f>'P&amp;L - Concept B2 - ALL'!G27</f>
        <v>214</v>
      </c>
      <c r="O32" s="313">
        <f>'P&amp;L - Concept B2 - ALL'!H27</f>
        <v>214</v>
      </c>
      <c r="P32" s="313">
        <f>'P&amp;L - Concept B2 - ALL'!I27</f>
        <v>214</v>
      </c>
      <c r="Q32" s="313">
        <f>'P&amp;L - Concept B2 - ALL'!J27</f>
        <v>214</v>
      </c>
      <c r="R32" s="313">
        <f>'P&amp;L - Concept B2 - ALL'!K27</f>
        <v>214</v>
      </c>
      <c r="S32" s="313">
        <f>'P&amp;L - Concept B2 - ALL'!L27</f>
        <v>214</v>
      </c>
      <c r="T32" s="313">
        <f>'P&amp;L - Concept B2 - ALL'!M27</f>
        <v>214</v>
      </c>
      <c r="U32" s="313">
        <f>'P&amp;L - Concept B2 - ALL'!N27</f>
        <v>214</v>
      </c>
      <c r="V32" s="313">
        <f>'P&amp;L - Concept B2 - ALL'!O27</f>
        <v>214</v>
      </c>
      <c r="W32" s="313">
        <f>'P&amp;L - Concept B2 - ALL'!P27</f>
        <v>214</v>
      </c>
      <c r="X32" s="313">
        <f>'P&amp;L - Concept B2 - ALL'!Q27</f>
        <v>214</v>
      </c>
      <c r="Y32" s="313">
        <f>'P&amp;L - Concept B2 - ALL'!R27</f>
        <v>214</v>
      </c>
      <c r="Z32" s="313">
        <f>'P&amp;L - Concept B2 - ALL'!S27</f>
        <v>214</v>
      </c>
      <c r="AA32" s="313">
        <f>'P&amp;L - Concept B2 - ALL'!T27</f>
        <v>214</v>
      </c>
      <c r="AB32" s="313">
        <f>'P&amp;L - Concept B2 - ALL'!U27</f>
        <v>214</v>
      </c>
      <c r="AC32" s="313">
        <f>'P&amp;L - Concept B2 - ALL'!V27</f>
        <v>214</v>
      </c>
      <c r="AD32" s="313">
        <f>'P&amp;L - Concept B2 - ALL'!W27</f>
        <v>214</v>
      </c>
      <c r="AE32" s="313">
        <f>'P&amp;L - Concept B2 - ALL'!X27</f>
        <v>214</v>
      </c>
    </row>
    <row r="33" spans="1:31" s="96" customFormat="1">
      <c r="A33" s="54" t="s">
        <v>205</v>
      </c>
      <c r="B33" s="487"/>
      <c r="C33" s="487"/>
      <c r="K33" s="486">
        <f>'P&amp;L - Concept B2 - ALL'!D28</f>
        <v>0</v>
      </c>
      <c r="L33" s="313">
        <f>'P&amp;L - Concept B2 - ALL'!E28</f>
        <v>0</v>
      </c>
      <c r="M33" s="313">
        <f>'P&amp;L - Concept B2 - ALL'!F28</f>
        <v>106</v>
      </c>
      <c r="N33" s="313">
        <f>'P&amp;L - Concept B2 - ALL'!G28</f>
        <v>106</v>
      </c>
      <c r="O33" s="313">
        <f>'P&amp;L - Concept B2 - ALL'!H28</f>
        <v>106</v>
      </c>
      <c r="P33" s="313">
        <f>'P&amp;L - Concept B2 - ALL'!I28</f>
        <v>106</v>
      </c>
      <c r="Q33" s="313">
        <f>'P&amp;L - Concept B2 - ALL'!J28</f>
        <v>106</v>
      </c>
      <c r="R33" s="313">
        <f>'P&amp;L - Concept B2 - ALL'!K28</f>
        <v>106</v>
      </c>
      <c r="S33" s="313">
        <f>'P&amp;L - Concept B2 - ALL'!L28</f>
        <v>106</v>
      </c>
      <c r="T33" s="313">
        <f>'P&amp;L - Concept B2 - ALL'!M28</f>
        <v>106</v>
      </c>
      <c r="U33" s="313">
        <f>'P&amp;L - Concept B2 - ALL'!N28</f>
        <v>106</v>
      </c>
      <c r="V33" s="313">
        <f>'P&amp;L - Concept B2 - ALL'!O28</f>
        <v>106</v>
      </c>
      <c r="W33" s="313">
        <f>'P&amp;L - Concept B2 - ALL'!P28</f>
        <v>106</v>
      </c>
      <c r="X33" s="313">
        <f>'P&amp;L - Concept B2 - ALL'!Q28</f>
        <v>106</v>
      </c>
      <c r="Y33" s="313">
        <f>'P&amp;L - Concept B2 - ALL'!R28</f>
        <v>106</v>
      </c>
      <c r="Z33" s="313">
        <f>'P&amp;L - Concept B2 - ALL'!S28</f>
        <v>106</v>
      </c>
      <c r="AA33" s="313">
        <f>'P&amp;L - Concept B2 - ALL'!T28</f>
        <v>106</v>
      </c>
      <c r="AB33" s="313">
        <f>'P&amp;L - Concept B2 - ALL'!U28</f>
        <v>106</v>
      </c>
      <c r="AC33" s="313">
        <f>'P&amp;L - Concept B2 - ALL'!V28</f>
        <v>106</v>
      </c>
      <c r="AD33" s="313">
        <f>'P&amp;L - Concept B2 - ALL'!W28</f>
        <v>106</v>
      </c>
      <c r="AE33" s="313">
        <f>'P&amp;L - Concept B2 - ALL'!X28</f>
        <v>106</v>
      </c>
    </row>
    <row r="34" spans="1:31" s="341" customFormat="1">
      <c r="A34" s="552" t="s">
        <v>219</v>
      </c>
      <c r="B34" s="553"/>
      <c r="C34" s="553"/>
      <c r="K34" s="554">
        <f>'P&amp;L - Concept B2 - ALL'!D29</f>
        <v>0</v>
      </c>
      <c r="L34" s="555">
        <f>'P&amp;L - Concept B2 - ALL'!E29</f>
        <v>150</v>
      </c>
      <c r="M34" s="555">
        <f>'P&amp;L - Concept B2 - ALL'!F29</f>
        <v>150</v>
      </c>
      <c r="N34" s="555">
        <f>'P&amp;L - Concept B2 - ALL'!G29</f>
        <v>150</v>
      </c>
      <c r="O34" s="555">
        <f>'P&amp;L - Concept B2 - ALL'!H29</f>
        <v>150</v>
      </c>
      <c r="P34" s="555">
        <f>'P&amp;L - Concept B2 - ALL'!I29</f>
        <v>150</v>
      </c>
      <c r="Q34" s="555">
        <f>'P&amp;L - Concept B2 - ALL'!J29</f>
        <v>150</v>
      </c>
      <c r="R34" s="555">
        <f>'P&amp;L - Concept B2 - ALL'!K29</f>
        <v>150</v>
      </c>
      <c r="S34" s="555">
        <f>'P&amp;L - Concept B2 - ALL'!L29</f>
        <v>150</v>
      </c>
      <c r="T34" s="555">
        <f>'P&amp;L - Concept B2 - ALL'!M29</f>
        <v>150</v>
      </c>
      <c r="U34" s="555">
        <f>'P&amp;L - Concept B2 - ALL'!N29</f>
        <v>150</v>
      </c>
      <c r="V34" s="555">
        <f>'P&amp;L - Concept B2 - ALL'!O29</f>
        <v>150</v>
      </c>
      <c r="W34" s="555">
        <f>'P&amp;L - Concept B2 - ALL'!P29</f>
        <v>150</v>
      </c>
      <c r="X34" s="555">
        <f>'P&amp;L - Concept B2 - ALL'!Q29</f>
        <v>150</v>
      </c>
      <c r="Y34" s="555">
        <f>'P&amp;L - Concept B2 - ALL'!R29</f>
        <v>150</v>
      </c>
      <c r="Z34" s="555">
        <f>'P&amp;L - Concept B2 - ALL'!S29</f>
        <v>150</v>
      </c>
      <c r="AA34" s="555">
        <f>'P&amp;L - Concept B2 - ALL'!T29</f>
        <v>150</v>
      </c>
      <c r="AB34" s="555">
        <f>'P&amp;L - Concept B2 - ALL'!U29</f>
        <v>150</v>
      </c>
      <c r="AC34" s="555">
        <f>'P&amp;L - Concept B2 - ALL'!V29</f>
        <v>150</v>
      </c>
      <c r="AD34" s="555">
        <f>'P&amp;L - Concept B2 - ALL'!W29</f>
        <v>150</v>
      </c>
      <c r="AE34" s="555">
        <f>'P&amp;L - Concept B2 - ALL'!X29</f>
        <v>150</v>
      </c>
    </row>
    <row r="35" spans="1:31" s="341" customFormat="1">
      <c r="A35" s="552" t="s">
        <v>220</v>
      </c>
      <c r="B35" s="553"/>
      <c r="C35" s="553"/>
      <c r="K35" s="554">
        <f>'P&amp;L - Concept B2 - ALL'!D30</f>
        <v>0</v>
      </c>
      <c r="L35" s="788">
        <v>0</v>
      </c>
      <c r="M35" s="788">
        <v>0</v>
      </c>
      <c r="N35" s="788">
        <v>0</v>
      </c>
      <c r="O35" s="788">
        <v>0</v>
      </c>
      <c r="P35" s="788">
        <v>0</v>
      </c>
      <c r="Q35" s="788">
        <v>0</v>
      </c>
      <c r="R35" s="788">
        <v>0</v>
      </c>
      <c r="S35" s="788">
        <v>0</v>
      </c>
      <c r="T35" s="788">
        <v>0</v>
      </c>
      <c r="U35" s="788">
        <v>0</v>
      </c>
      <c r="V35" s="788">
        <v>0</v>
      </c>
      <c r="W35" s="788">
        <v>0</v>
      </c>
      <c r="X35" s="788">
        <v>0</v>
      </c>
      <c r="Y35" s="788">
        <v>0</v>
      </c>
      <c r="Z35" s="788">
        <v>0</v>
      </c>
      <c r="AA35" s="788">
        <v>0</v>
      </c>
      <c r="AB35" s="788">
        <v>0</v>
      </c>
      <c r="AC35" s="788">
        <v>0</v>
      </c>
      <c r="AD35" s="788">
        <v>0</v>
      </c>
      <c r="AE35" s="788">
        <v>0</v>
      </c>
    </row>
    <row r="36" spans="1:31" s="96" customFormat="1">
      <c r="A36" s="54" t="s">
        <v>226</v>
      </c>
      <c r="B36" s="487"/>
      <c r="C36" s="487"/>
      <c r="K36" s="486">
        <f>'P&amp;L - Concept B2 - ALL'!D31</f>
        <v>0</v>
      </c>
      <c r="L36" s="313">
        <f>'P&amp;L - Concept B2 - ALL'!E31</f>
        <v>0</v>
      </c>
      <c r="M36" s="313">
        <f>'P&amp;L - Concept B2 - ALL'!F31</f>
        <v>125</v>
      </c>
      <c r="N36" s="313">
        <f>'P&amp;L - Concept B2 - ALL'!G31</f>
        <v>125</v>
      </c>
      <c r="O36" s="313">
        <f>'P&amp;L - Concept B2 - ALL'!H31</f>
        <v>125</v>
      </c>
      <c r="P36" s="313">
        <f>'P&amp;L - Concept B2 - ALL'!I31</f>
        <v>125</v>
      </c>
      <c r="Q36" s="313">
        <f>'P&amp;L - Concept B2 - ALL'!J31</f>
        <v>125</v>
      </c>
      <c r="R36" s="313">
        <f>'P&amp;L - Concept B2 - ALL'!K31</f>
        <v>125</v>
      </c>
      <c r="S36" s="313">
        <f>'P&amp;L - Concept B2 - ALL'!L31</f>
        <v>125</v>
      </c>
      <c r="T36" s="313">
        <f>'P&amp;L - Concept B2 - ALL'!M31</f>
        <v>125</v>
      </c>
      <c r="U36" s="313">
        <f>'P&amp;L - Concept B2 - ALL'!N31</f>
        <v>125</v>
      </c>
      <c r="V36" s="313">
        <f>'P&amp;L - Concept B2 - ALL'!O31</f>
        <v>125</v>
      </c>
      <c r="W36" s="313">
        <f>'P&amp;L - Concept B2 - ALL'!P31</f>
        <v>125</v>
      </c>
      <c r="X36" s="313">
        <f>'P&amp;L - Concept B2 - ALL'!Q31</f>
        <v>125</v>
      </c>
      <c r="Y36" s="313">
        <f>'P&amp;L - Concept B2 - ALL'!R31</f>
        <v>125</v>
      </c>
      <c r="Z36" s="313">
        <f>'P&amp;L - Concept B2 - ALL'!S31</f>
        <v>125</v>
      </c>
      <c r="AA36" s="313">
        <f>'P&amp;L - Concept B2 - ALL'!T31</f>
        <v>125</v>
      </c>
      <c r="AB36" s="313">
        <f>'P&amp;L - Concept B2 - ALL'!U31</f>
        <v>125</v>
      </c>
      <c r="AC36" s="313">
        <f>'P&amp;L - Concept B2 - ALL'!V31</f>
        <v>125</v>
      </c>
      <c r="AD36" s="313">
        <f>'P&amp;L - Concept B2 - ALL'!W31</f>
        <v>125</v>
      </c>
      <c r="AE36" s="313">
        <f>'P&amp;L - Concept B2 - ALL'!X31</f>
        <v>125</v>
      </c>
    </row>
    <row r="37" spans="1:31" s="18" customFormat="1">
      <c r="A37" s="54"/>
      <c r="B37" s="21"/>
      <c r="C37" s="21"/>
      <c r="K37" s="486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</row>
    <row r="38" spans="1:31" s="96" customFormat="1">
      <c r="A38" s="54" t="s">
        <v>206</v>
      </c>
      <c r="B38" s="487"/>
      <c r="C38" s="487"/>
      <c r="K38" s="486">
        <f>'P&amp;L - Concept B2 - ALL'!D33</f>
        <v>0</v>
      </c>
      <c r="L38" s="313">
        <f>'P&amp;L - Concept B2 - ALL'!E33</f>
        <v>0</v>
      </c>
      <c r="M38" s="313">
        <f>'P&amp;L - Concept B2 - ALL'!F33</f>
        <v>2467.6698113207549</v>
      </c>
      <c r="N38" s="313">
        <f>'P&amp;L - Concept B2 - ALL'!G33</f>
        <v>2467.6698113207549</v>
      </c>
      <c r="O38" s="313">
        <f>'P&amp;L - Concept B2 - ALL'!H33</f>
        <v>2467.6698113207549</v>
      </c>
      <c r="P38" s="313">
        <f>'P&amp;L - Concept B2 - ALL'!I33</f>
        <v>2467.6698113207549</v>
      </c>
      <c r="Q38" s="313">
        <f>'P&amp;L - Concept B2 - ALL'!J33</f>
        <v>2467.6698113207549</v>
      </c>
      <c r="R38" s="313">
        <f>'P&amp;L - Concept B2 - ALL'!K33</f>
        <v>2467.6698113207549</v>
      </c>
      <c r="S38" s="313">
        <f>'P&amp;L - Concept B2 - ALL'!L33</f>
        <v>2467.6698113207549</v>
      </c>
      <c r="T38" s="313">
        <f>'P&amp;L - Concept B2 - ALL'!M33</f>
        <v>2467.6698113207549</v>
      </c>
      <c r="U38" s="313">
        <f>'P&amp;L - Concept B2 - ALL'!N33</f>
        <v>2467.6698113207549</v>
      </c>
      <c r="V38" s="313">
        <f>'P&amp;L - Concept B2 - ALL'!O33</f>
        <v>2467.6698113207549</v>
      </c>
      <c r="W38" s="313">
        <f>'P&amp;L - Concept B2 - ALL'!P33</f>
        <v>2467.6698113207549</v>
      </c>
      <c r="X38" s="313">
        <f>'P&amp;L - Concept B2 - ALL'!Q33</f>
        <v>2467.6698113207549</v>
      </c>
      <c r="Y38" s="313">
        <f>'P&amp;L - Concept B2 - ALL'!R33</f>
        <v>2467.6698113207549</v>
      </c>
      <c r="Z38" s="313">
        <f>'P&amp;L - Concept B2 - ALL'!S33</f>
        <v>2467.6698113207549</v>
      </c>
      <c r="AA38" s="313">
        <f>'P&amp;L - Concept B2 - ALL'!T33</f>
        <v>2467.6698113207549</v>
      </c>
      <c r="AB38" s="313">
        <f>'P&amp;L - Concept B2 - ALL'!U33</f>
        <v>2467.6698113207549</v>
      </c>
      <c r="AC38" s="313">
        <f>'P&amp;L - Concept B2 - ALL'!V33</f>
        <v>2467.6698113207549</v>
      </c>
      <c r="AD38" s="313">
        <f>'P&amp;L - Concept B2 - ALL'!W33</f>
        <v>2467.6698113207549</v>
      </c>
      <c r="AE38" s="313">
        <f>'P&amp;L - Concept B2 - ALL'!X33</f>
        <v>2467.6698113207549</v>
      </c>
    </row>
    <row r="39" spans="1:31" s="96" customFormat="1">
      <c r="A39" s="54" t="s">
        <v>207</v>
      </c>
      <c r="B39" s="487"/>
      <c r="C39" s="487"/>
      <c r="K39" s="486">
        <f>'P&amp;L - Concept B2 - ALL'!D34</f>
        <v>0</v>
      </c>
      <c r="L39" s="313">
        <f>'P&amp;L - Concept B2 - ALL'!E34</f>
        <v>0</v>
      </c>
      <c r="M39" s="313">
        <f>'P&amp;L - Concept B2 - ALL'!F34</f>
        <v>5500</v>
      </c>
      <c r="N39" s="313">
        <f>'P&amp;L - Concept B2 - ALL'!G34</f>
        <v>5500</v>
      </c>
      <c r="O39" s="313">
        <f>'P&amp;L - Concept B2 - ALL'!H34</f>
        <v>5500</v>
      </c>
      <c r="P39" s="313">
        <f>'P&amp;L - Concept B2 - ALL'!I34</f>
        <v>5500</v>
      </c>
      <c r="Q39" s="313">
        <f>'P&amp;L - Concept B2 - ALL'!J34</f>
        <v>5500</v>
      </c>
      <c r="R39" s="313">
        <f>'P&amp;L - Concept B2 - ALL'!K34</f>
        <v>5500</v>
      </c>
      <c r="S39" s="313">
        <f>'P&amp;L - Concept B2 - ALL'!L34</f>
        <v>5500</v>
      </c>
      <c r="T39" s="313">
        <f>'P&amp;L - Concept B2 - ALL'!M34</f>
        <v>5500</v>
      </c>
      <c r="U39" s="313">
        <f>'P&amp;L - Concept B2 - ALL'!N34</f>
        <v>5500</v>
      </c>
      <c r="V39" s="313">
        <f>'P&amp;L - Concept B2 - ALL'!O34</f>
        <v>5500</v>
      </c>
      <c r="W39" s="313">
        <f>'P&amp;L - Concept B2 - ALL'!P34</f>
        <v>5500</v>
      </c>
      <c r="X39" s="313">
        <f>'P&amp;L - Concept B2 - ALL'!Q34</f>
        <v>5500</v>
      </c>
      <c r="Y39" s="313">
        <f>'P&amp;L - Concept B2 - ALL'!R34</f>
        <v>5500</v>
      </c>
      <c r="Z39" s="313">
        <f>'P&amp;L - Concept B2 - ALL'!S34</f>
        <v>5500</v>
      </c>
      <c r="AA39" s="313">
        <f>'P&amp;L - Concept B2 - ALL'!T34</f>
        <v>5500</v>
      </c>
      <c r="AB39" s="313">
        <f>'P&amp;L - Concept B2 - ALL'!U34</f>
        <v>5500</v>
      </c>
      <c r="AC39" s="313">
        <f>'P&amp;L - Concept B2 - ALL'!V34</f>
        <v>5500</v>
      </c>
      <c r="AD39" s="313">
        <f>'P&amp;L - Concept B2 - ALL'!W34</f>
        <v>5500</v>
      </c>
      <c r="AE39" s="313">
        <f>'P&amp;L - Concept B2 - ALL'!X34</f>
        <v>5500</v>
      </c>
    </row>
    <row r="40" spans="1:31" s="341" customFormat="1">
      <c r="A40" s="552" t="s">
        <v>221</v>
      </c>
      <c r="B40" s="553"/>
      <c r="C40" s="553"/>
      <c r="K40" s="554">
        <f>'P&amp;L - Concept B2 - ALL'!D35</f>
        <v>0</v>
      </c>
      <c r="L40" s="555">
        <f>'P&amp;L - Concept B2 - ALL'!E35</f>
        <v>400</v>
      </c>
      <c r="M40" s="555">
        <f>'P&amp;L - Concept B2 - ALL'!F35</f>
        <v>466.66666666666669</v>
      </c>
      <c r="N40" s="555">
        <f>'P&amp;L - Concept B2 - ALL'!G35</f>
        <v>533.33333333333337</v>
      </c>
      <c r="O40" s="555">
        <f>'P&amp;L - Concept B2 - ALL'!H35</f>
        <v>533.33333333333337</v>
      </c>
      <c r="P40" s="555">
        <f>'P&amp;L - Concept B2 - ALL'!I35</f>
        <v>533.33333333333337</v>
      </c>
      <c r="Q40" s="555">
        <f>'P&amp;L - Concept B2 - ALL'!J35</f>
        <v>533.33333333333337</v>
      </c>
      <c r="R40" s="555">
        <f>'P&amp;L - Concept B2 - ALL'!K35</f>
        <v>533.33333333333337</v>
      </c>
      <c r="S40" s="555">
        <f>'P&amp;L - Concept B2 - ALL'!L35</f>
        <v>533.33333333333337</v>
      </c>
      <c r="T40" s="555">
        <f>'P&amp;L - Concept B2 - ALL'!M35</f>
        <v>533.33333333333337</v>
      </c>
      <c r="U40" s="555">
        <f>'P&amp;L - Concept B2 - ALL'!N35</f>
        <v>533.33333333333337</v>
      </c>
      <c r="V40" s="555">
        <f>'P&amp;L - Concept B2 - ALL'!O35</f>
        <v>533.33333333333337</v>
      </c>
      <c r="W40" s="555">
        <f>'P&amp;L - Concept B2 - ALL'!P35</f>
        <v>533.33333333333337</v>
      </c>
      <c r="X40" s="555">
        <f>'P&amp;L - Concept B2 - ALL'!Q35</f>
        <v>533.33333333333337</v>
      </c>
      <c r="Y40" s="555">
        <f>'P&amp;L - Concept B2 - ALL'!R35</f>
        <v>533.33333333333337</v>
      </c>
      <c r="Z40" s="555">
        <f>'P&amp;L - Concept B2 - ALL'!S35</f>
        <v>533.33333333333337</v>
      </c>
      <c r="AA40" s="555">
        <f>'P&amp;L - Concept B2 - ALL'!T35</f>
        <v>533.33333333333337</v>
      </c>
      <c r="AB40" s="555">
        <f>'P&amp;L - Concept B2 - ALL'!U35</f>
        <v>533.33333333333337</v>
      </c>
      <c r="AC40" s="555">
        <f>'P&amp;L - Concept B2 - ALL'!V35</f>
        <v>533.33333333333337</v>
      </c>
      <c r="AD40" s="555">
        <f>'P&amp;L - Concept B2 - ALL'!W35</f>
        <v>533.33333333333337</v>
      </c>
      <c r="AE40" s="555">
        <f>'P&amp;L - Concept B2 - ALL'!X35</f>
        <v>533.33333333333337</v>
      </c>
    </row>
    <row r="41" spans="1:31" s="341" customFormat="1">
      <c r="A41" s="552" t="s">
        <v>222</v>
      </c>
      <c r="B41" s="553"/>
      <c r="C41" s="553"/>
      <c r="K41" s="554">
        <f>'P&amp;L - Concept B2 - ALL'!D36</f>
        <v>0</v>
      </c>
      <c r="L41" s="555">
        <f>'P&amp;L - Concept B2 - ALL'!E36</f>
        <v>800</v>
      </c>
      <c r="M41" s="555">
        <f>'P&amp;L - Concept B2 - ALL'!F36</f>
        <v>800</v>
      </c>
      <c r="N41" s="555">
        <f>'P&amp;L - Concept B2 - ALL'!G36</f>
        <v>800</v>
      </c>
      <c r="O41" s="555">
        <f>'P&amp;L - Concept B2 - ALL'!H36</f>
        <v>800</v>
      </c>
      <c r="P41" s="555">
        <f>'P&amp;L - Concept B2 - ALL'!I36</f>
        <v>800</v>
      </c>
      <c r="Q41" s="555">
        <f>'P&amp;L - Concept B2 - ALL'!J36</f>
        <v>800</v>
      </c>
      <c r="R41" s="555">
        <f>'P&amp;L - Concept B2 - ALL'!K36</f>
        <v>800</v>
      </c>
      <c r="S41" s="555">
        <f>'P&amp;L - Concept B2 - ALL'!L36</f>
        <v>800</v>
      </c>
      <c r="T41" s="555">
        <f>'P&amp;L - Concept B2 - ALL'!M36</f>
        <v>800</v>
      </c>
      <c r="U41" s="555">
        <f>'P&amp;L - Concept B2 - ALL'!N36</f>
        <v>800</v>
      </c>
      <c r="V41" s="555">
        <f>'P&amp;L - Concept B2 - ALL'!O36</f>
        <v>800</v>
      </c>
      <c r="W41" s="555">
        <f>'P&amp;L - Concept B2 - ALL'!P36</f>
        <v>800</v>
      </c>
      <c r="X41" s="555">
        <f>'P&amp;L - Concept B2 - ALL'!Q36</f>
        <v>800</v>
      </c>
      <c r="Y41" s="555">
        <f>'P&amp;L - Concept B2 - ALL'!R36</f>
        <v>800</v>
      </c>
      <c r="Z41" s="555">
        <f>'P&amp;L - Concept B2 - ALL'!S36</f>
        <v>800</v>
      </c>
      <c r="AA41" s="555">
        <f>'P&amp;L - Concept B2 - ALL'!T36</f>
        <v>800</v>
      </c>
      <c r="AB41" s="555">
        <f>'P&amp;L - Concept B2 - ALL'!U36</f>
        <v>800</v>
      </c>
      <c r="AC41" s="555">
        <f>'P&amp;L - Concept B2 - ALL'!V36</f>
        <v>800</v>
      </c>
      <c r="AD41" s="555">
        <f>'P&amp;L - Concept B2 - ALL'!W36</f>
        <v>800</v>
      </c>
      <c r="AE41" s="555">
        <f>'P&amp;L - Concept B2 - ALL'!X36</f>
        <v>800</v>
      </c>
    </row>
    <row r="42" spans="1:31" s="341" customFormat="1">
      <c r="A42" s="552" t="s">
        <v>208</v>
      </c>
      <c r="B42" s="553"/>
      <c r="C42" s="553"/>
      <c r="K42" s="554">
        <f>'P&amp;L - Concept B2 - ALL'!D37</f>
        <v>0</v>
      </c>
      <c r="L42" s="555">
        <f>'P&amp;L - Concept B2 - ALL'!E37</f>
        <v>800</v>
      </c>
      <c r="M42" s="555">
        <f>'P&amp;L - Concept B2 - ALL'!F37</f>
        <v>6300</v>
      </c>
      <c r="N42" s="555">
        <f>'P&amp;L - Concept B2 - ALL'!G37</f>
        <v>6300</v>
      </c>
      <c r="O42" s="555">
        <f>'P&amp;L - Concept B2 - ALL'!H37</f>
        <v>6300</v>
      </c>
      <c r="P42" s="555">
        <f>'P&amp;L - Concept B2 - ALL'!I37</f>
        <v>6300</v>
      </c>
      <c r="Q42" s="555">
        <f>'P&amp;L - Concept B2 - ALL'!J37</f>
        <v>6300</v>
      </c>
      <c r="R42" s="555">
        <f>'P&amp;L - Concept B2 - ALL'!K37</f>
        <v>6300</v>
      </c>
      <c r="S42" s="555">
        <f>'P&amp;L - Concept B2 - ALL'!L37</f>
        <v>6300</v>
      </c>
      <c r="T42" s="555">
        <f>'P&amp;L - Concept B2 - ALL'!M37</f>
        <v>6300</v>
      </c>
      <c r="U42" s="555">
        <f>'P&amp;L - Concept B2 - ALL'!N37</f>
        <v>6300</v>
      </c>
      <c r="V42" s="555">
        <f>'P&amp;L - Concept B2 - ALL'!O37</f>
        <v>6300</v>
      </c>
      <c r="W42" s="555">
        <f>'P&amp;L - Concept B2 - ALL'!P37</f>
        <v>6300</v>
      </c>
      <c r="X42" s="555">
        <f>'P&amp;L - Concept B2 - ALL'!Q37</f>
        <v>6300</v>
      </c>
      <c r="Y42" s="555">
        <f>'P&amp;L - Concept B2 - ALL'!R37</f>
        <v>6300</v>
      </c>
      <c r="Z42" s="555">
        <f>'P&amp;L - Concept B2 - ALL'!S37</f>
        <v>6300</v>
      </c>
      <c r="AA42" s="555">
        <f>'P&amp;L - Concept B2 - ALL'!T37</f>
        <v>6300</v>
      </c>
      <c r="AB42" s="555">
        <f>'P&amp;L - Concept B2 - ALL'!U37</f>
        <v>6300</v>
      </c>
      <c r="AC42" s="555">
        <f>'P&amp;L - Concept B2 - ALL'!V37</f>
        <v>6300</v>
      </c>
      <c r="AD42" s="555">
        <f>'P&amp;L - Concept B2 - ALL'!W37</f>
        <v>6300</v>
      </c>
      <c r="AE42" s="555">
        <f>'P&amp;L - Concept B2 - ALL'!X37</f>
        <v>6300</v>
      </c>
    </row>
    <row r="43" spans="1:31" s="18" customFormat="1">
      <c r="A43" s="54"/>
      <c r="B43" s="21"/>
      <c r="C43" s="21"/>
      <c r="K43" s="486"/>
      <c r="L43" s="313"/>
      <c r="M43" s="313"/>
      <c r="N43" s="313"/>
      <c r="O43" s="313"/>
      <c r="P43" s="313"/>
      <c r="Q43" s="313"/>
      <c r="R43" s="313"/>
      <c r="S43" s="313"/>
      <c r="T43" s="313"/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</row>
    <row r="44" spans="1:31" s="341" customFormat="1">
      <c r="A44" s="552" t="s">
        <v>223</v>
      </c>
      <c r="B44" s="557"/>
      <c r="C44" s="557"/>
      <c r="K44" s="554">
        <f>'P&amp;L - Concept B2 - ALL'!D39</f>
        <v>0</v>
      </c>
      <c r="L44" s="313">
        <f>'P&amp;L - Concept B2 - ALL'!E39</f>
        <v>160.26666666666668</v>
      </c>
      <c r="M44" s="313">
        <f>'P&amp;L - Concept B2 - ALL'!F39</f>
        <v>187</v>
      </c>
      <c r="N44" s="313">
        <f>'P&amp;L - Concept B2 - ALL'!G39</f>
        <v>213.73333333333332</v>
      </c>
      <c r="O44" s="313">
        <f>'P&amp;L - Concept B2 - ALL'!H39</f>
        <v>213.73333333333332</v>
      </c>
      <c r="P44" s="313">
        <f>'P&amp;L - Concept B2 - ALL'!I39</f>
        <v>213.73333333333332</v>
      </c>
      <c r="Q44" s="313">
        <f>'P&amp;L - Concept B2 - ALL'!J39</f>
        <v>213.73333333333332</v>
      </c>
      <c r="R44" s="313">
        <f>'P&amp;L - Concept B2 - ALL'!K39</f>
        <v>213.73333333333332</v>
      </c>
      <c r="S44" s="313">
        <f>'P&amp;L - Concept B2 - ALL'!L39</f>
        <v>213.73333333333332</v>
      </c>
      <c r="T44" s="313">
        <f>'P&amp;L - Concept B2 - ALL'!M39</f>
        <v>213.73333333333332</v>
      </c>
      <c r="U44" s="313">
        <f>'P&amp;L - Concept B2 - ALL'!N39</f>
        <v>213.73333333333332</v>
      </c>
      <c r="V44" s="313">
        <f>'P&amp;L - Concept B2 - ALL'!O39</f>
        <v>213.73333333333332</v>
      </c>
      <c r="W44" s="313">
        <f>'P&amp;L - Concept B2 - ALL'!P39</f>
        <v>213.73333333333332</v>
      </c>
      <c r="X44" s="313">
        <f>'P&amp;L - Concept B2 - ALL'!Q39</f>
        <v>213.73333333333332</v>
      </c>
      <c r="Y44" s="313">
        <f>'P&amp;L - Concept B2 - ALL'!R39</f>
        <v>213.73333333333332</v>
      </c>
      <c r="Z44" s="313">
        <f>'P&amp;L - Concept B2 - ALL'!S39</f>
        <v>213.73333333333332</v>
      </c>
      <c r="AA44" s="313">
        <f>'P&amp;L - Concept B2 - ALL'!T39</f>
        <v>213.73333333333332</v>
      </c>
      <c r="AB44" s="313">
        <f>'P&amp;L - Concept B2 - ALL'!U39</f>
        <v>213.73333333333332</v>
      </c>
      <c r="AC44" s="313">
        <f>'P&amp;L - Concept B2 - ALL'!V39</f>
        <v>213.73333333333332</v>
      </c>
      <c r="AD44" s="313">
        <f>'P&amp;L - Concept B2 - ALL'!W39</f>
        <v>213.73333333333332</v>
      </c>
      <c r="AE44" s="313">
        <f>'P&amp;L - Concept B2 - ALL'!X39</f>
        <v>213.73333333333332</v>
      </c>
    </row>
    <row r="45" spans="1:31" s="18" customFormat="1">
      <c r="A45" s="54"/>
      <c r="B45" s="74"/>
      <c r="C45" s="74"/>
      <c r="K45" s="492"/>
      <c r="L45" s="313"/>
      <c r="M45" s="313"/>
      <c r="N45" s="313"/>
      <c r="O45" s="313"/>
      <c r="P45" s="313"/>
      <c r="Q45" s="313"/>
      <c r="R45" s="313"/>
      <c r="S45" s="313"/>
      <c r="T45" s="313"/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</row>
    <row r="46" spans="1:31" s="18" customFormat="1">
      <c r="A46" s="293" t="s">
        <v>26</v>
      </c>
      <c r="B46" s="74"/>
      <c r="C46" s="74"/>
      <c r="K46" s="492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</row>
    <row r="47" spans="1:31" s="18" customFormat="1">
      <c r="A47" s="54" t="s">
        <v>264</v>
      </c>
      <c r="B47" s="277"/>
      <c r="C47" s="74"/>
      <c r="K47" s="486">
        <f>'P&amp;L - Concept B2 - ALL'!D42</f>
        <v>0</v>
      </c>
      <c r="L47" s="313">
        <f>'P&amp;L - Concept B2 - ALL'!E42</f>
        <v>1381.6770833333335</v>
      </c>
      <c r="M47" s="313">
        <f>'P&amp;L - Concept B2 - ALL'!F42</f>
        <v>2763.354166666667</v>
      </c>
      <c r="N47" s="313">
        <f>'P&amp;L - Concept B2 - ALL'!G42</f>
        <v>2763.354166666667</v>
      </c>
      <c r="O47" s="313">
        <f>'P&amp;L - Concept B2 - ALL'!H42</f>
        <v>2763.354166666667</v>
      </c>
      <c r="P47" s="313">
        <f>'P&amp;L - Concept B2 - ALL'!I42</f>
        <v>2763.354166666667</v>
      </c>
      <c r="Q47" s="313">
        <f>'P&amp;L - Concept B2 - ALL'!J42</f>
        <v>2763.354166666667</v>
      </c>
      <c r="R47" s="313">
        <f>'P&amp;L - Concept B2 - ALL'!K42</f>
        <v>2763.354166666667</v>
      </c>
      <c r="S47" s="313">
        <f>'P&amp;L - Concept B2 - ALL'!L42</f>
        <v>2763.354166666667</v>
      </c>
      <c r="T47" s="313">
        <f>'P&amp;L - Concept B2 - ALL'!M42</f>
        <v>2763.354166666667</v>
      </c>
      <c r="U47" s="313">
        <f>'P&amp;L - Concept B2 - ALL'!N42</f>
        <v>2763.354166666667</v>
      </c>
      <c r="V47" s="313">
        <f>'P&amp;L - Concept B2 - ALL'!O42</f>
        <v>2763.354166666667</v>
      </c>
      <c r="W47" s="313">
        <f>'P&amp;L - Concept B2 - ALL'!P42</f>
        <v>2763.354166666667</v>
      </c>
      <c r="X47" s="313">
        <f>'P&amp;L - Concept B2 - ALL'!Q42</f>
        <v>2763.354166666667</v>
      </c>
      <c r="Y47" s="313">
        <f>'P&amp;L - Concept B2 - ALL'!R42</f>
        <v>2763.354166666667</v>
      </c>
      <c r="Z47" s="313">
        <f>'P&amp;L - Concept B2 - ALL'!S42</f>
        <v>2763.354166666667</v>
      </c>
      <c r="AA47" s="313">
        <f>'P&amp;L - Concept B2 - ALL'!T42</f>
        <v>2763.354166666667</v>
      </c>
      <c r="AB47" s="313">
        <f>'P&amp;L - Concept B2 - ALL'!U42</f>
        <v>2763.354166666667</v>
      </c>
      <c r="AC47" s="313">
        <f>'P&amp;L - Concept B2 - ALL'!V42</f>
        <v>2763.354166666667</v>
      </c>
      <c r="AD47" s="313">
        <f>'P&amp;L - Concept B2 - ALL'!W42</f>
        <v>2763.354166666667</v>
      </c>
      <c r="AE47" s="313">
        <f>'P&amp;L - Concept B2 - ALL'!X42</f>
        <v>2763.354166666667</v>
      </c>
    </row>
    <row r="48" spans="1:31" s="18" customFormat="1">
      <c r="A48" s="54" t="s">
        <v>267</v>
      </c>
      <c r="B48" s="277"/>
      <c r="C48" s="74"/>
      <c r="K48" s="486">
        <f>'P&amp;L - Concept B2 - ALL'!D43</f>
        <v>0</v>
      </c>
      <c r="L48" s="313">
        <f>'P&amp;L - Concept B2 - ALL'!E43</f>
        <v>14009.916666666664</v>
      </c>
      <c r="M48" s="313">
        <f>'P&amp;L - Concept B2 - ALL'!F43</f>
        <v>28019.833333333328</v>
      </c>
      <c r="N48" s="313">
        <f>'P&amp;L - Concept B2 - ALL'!G43</f>
        <v>28019.833333333328</v>
      </c>
      <c r="O48" s="313">
        <f>'P&amp;L - Concept B2 - ALL'!H43</f>
        <v>28019.833333333328</v>
      </c>
      <c r="P48" s="313">
        <f>'P&amp;L - Concept B2 - ALL'!I43</f>
        <v>28019.833333333328</v>
      </c>
      <c r="Q48" s="313">
        <f>'P&amp;L - Concept B2 - ALL'!J43</f>
        <v>28019.833333333328</v>
      </c>
      <c r="R48" s="313">
        <f>'P&amp;L - Concept B2 - ALL'!K43</f>
        <v>28019.833333333328</v>
      </c>
      <c r="S48" s="313">
        <f>'P&amp;L - Concept B2 - ALL'!L43</f>
        <v>28019.833333333328</v>
      </c>
      <c r="T48" s="313">
        <f>'P&amp;L - Concept B2 - ALL'!M43</f>
        <v>28019.833333333328</v>
      </c>
      <c r="U48" s="313">
        <f>'P&amp;L - Concept B2 - ALL'!N43</f>
        <v>28019.833333333328</v>
      </c>
      <c r="V48" s="313">
        <f>'P&amp;L - Concept B2 - ALL'!O43</f>
        <v>28019.833333333328</v>
      </c>
      <c r="W48" s="313">
        <f>'P&amp;L - Concept B2 - ALL'!P43</f>
        <v>28019.833333333328</v>
      </c>
      <c r="X48" s="313">
        <f>'P&amp;L - Concept B2 - ALL'!Q43</f>
        <v>28019.833333333328</v>
      </c>
      <c r="Y48" s="313">
        <f>'P&amp;L - Concept B2 - ALL'!R43</f>
        <v>28019.833333333328</v>
      </c>
      <c r="Z48" s="313">
        <f>'P&amp;L - Concept B2 - ALL'!S43</f>
        <v>28019.833333333328</v>
      </c>
      <c r="AA48" s="313">
        <f>'P&amp;L - Concept B2 - ALL'!T43</f>
        <v>28019.833333333328</v>
      </c>
      <c r="AB48" s="313">
        <f>'P&amp;L - Concept B2 - ALL'!U43</f>
        <v>28019.833333333328</v>
      </c>
      <c r="AC48" s="313">
        <f>'P&amp;L - Concept B2 - ALL'!V43</f>
        <v>28019.833333333328</v>
      </c>
      <c r="AD48" s="313">
        <f>'P&amp;L - Concept B2 - ALL'!W43</f>
        <v>28019.833333333328</v>
      </c>
      <c r="AE48" s="313">
        <f>'P&amp;L - Concept B2 - ALL'!X43</f>
        <v>28019.833333333328</v>
      </c>
    </row>
    <row r="49" spans="1:32 16384:16384" s="96" customFormat="1">
      <c r="A49" s="54" t="s">
        <v>274</v>
      </c>
      <c r="B49" s="435"/>
      <c r="C49" s="583"/>
      <c r="K49" s="486">
        <f>'P&amp;L - Concept B2 - ALL'!D44</f>
        <v>0</v>
      </c>
      <c r="L49" s="313">
        <f>'P&amp;L - Concept B2 - ALL'!E44</f>
        <v>15391.593749999998</v>
      </c>
      <c r="M49" s="313">
        <f>'P&amp;L - Concept B2 - ALL'!F44</f>
        <v>30783.187499999996</v>
      </c>
      <c r="N49" s="313">
        <f>'P&amp;L - Concept B2 - ALL'!G44</f>
        <v>30783.187499999996</v>
      </c>
      <c r="O49" s="313">
        <f>'P&amp;L - Concept B2 - ALL'!H44</f>
        <v>30783.187499999996</v>
      </c>
      <c r="P49" s="313">
        <f>'P&amp;L - Concept B2 - ALL'!I44</f>
        <v>30783.187499999996</v>
      </c>
      <c r="Q49" s="313">
        <f>'P&amp;L - Concept B2 - ALL'!J44</f>
        <v>30783.187499999996</v>
      </c>
      <c r="R49" s="313">
        <f>'P&amp;L - Concept B2 - ALL'!K44</f>
        <v>30783.187499999996</v>
      </c>
      <c r="S49" s="313">
        <f>'P&amp;L - Concept B2 - ALL'!L44</f>
        <v>30783.187499999996</v>
      </c>
      <c r="T49" s="313">
        <f>'P&amp;L - Concept B2 - ALL'!M44</f>
        <v>30783.187499999996</v>
      </c>
      <c r="U49" s="313">
        <f>'P&amp;L - Concept B2 - ALL'!N44</f>
        <v>30783.187499999996</v>
      </c>
      <c r="V49" s="313">
        <f>'P&amp;L - Concept B2 - ALL'!O44</f>
        <v>30783.187499999996</v>
      </c>
      <c r="W49" s="313">
        <f>'P&amp;L - Concept B2 - ALL'!P44</f>
        <v>30783.187499999996</v>
      </c>
      <c r="X49" s="313">
        <f>'P&amp;L - Concept B2 - ALL'!Q44</f>
        <v>30783.187499999996</v>
      </c>
      <c r="Y49" s="313">
        <f>'P&amp;L - Concept B2 - ALL'!R44</f>
        <v>30783.187499999996</v>
      </c>
      <c r="Z49" s="313">
        <f>'P&amp;L - Concept B2 - ALL'!S44</f>
        <v>30783.187499999996</v>
      </c>
      <c r="AA49" s="313">
        <f>'P&amp;L - Concept B2 - ALL'!T44</f>
        <v>30783.187499999996</v>
      </c>
      <c r="AB49" s="313">
        <f>'P&amp;L - Concept B2 - ALL'!U44</f>
        <v>30783.187499999996</v>
      </c>
      <c r="AC49" s="313">
        <f>'P&amp;L - Concept B2 - ALL'!V44</f>
        <v>30783.187499999996</v>
      </c>
      <c r="AD49" s="313">
        <f>'P&amp;L - Concept B2 - ALL'!W44</f>
        <v>30783.187499999996</v>
      </c>
      <c r="AE49" s="313">
        <f>'P&amp;L - Concept B2 - ALL'!X44</f>
        <v>30783.187499999996</v>
      </c>
    </row>
    <row r="50" spans="1:32 16384:16384" s="18" customFormat="1">
      <c r="A50" s="54"/>
      <c r="B50" s="277"/>
      <c r="C50" s="74"/>
      <c r="K50" s="499"/>
      <c r="L50" s="313"/>
      <c r="M50" s="313"/>
      <c r="N50" s="313"/>
      <c r="O50" s="313"/>
      <c r="P50" s="313"/>
      <c r="Q50" s="313"/>
      <c r="R50" s="313"/>
      <c r="S50" s="313"/>
      <c r="T50" s="313"/>
      <c r="U50" s="313"/>
      <c r="V50" s="313"/>
      <c r="W50" s="313"/>
      <c r="X50" s="313"/>
      <c r="Y50" s="313"/>
      <c r="Z50" s="313"/>
      <c r="AA50" s="313"/>
      <c r="AB50" s="313"/>
      <c r="AC50" s="313"/>
      <c r="AD50" s="313"/>
      <c r="AE50" s="313"/>
    </row>
    <row r="51" spans="1:32 16384:16384" s="341" customFormat="1">
      <c r="A51" s="552" t="s">
        <v>224</v>
      </c>
      <c r="B51" s="556"/>
      <c r="C51" s="557"/>
      <c r="K51" s="554">
        <f>'P&amp;L - Concept B2 - ALL'!D46</f>
        <v>0</v>
      </c>
      <c r="L51" s="558">
        <f>'P&amp;L - Concept B2 - ALL'!E46</f>
        <v>3</v>
      </c>
      <c r="M51" s="558">
        <f>'P&amp;L - Concept B2 - ALL'!F46</f>
        <v>3</v>
      </c>
      <c r="N51" s="558">
        <f>'P&amp;L - Concept B2 - ALL'!G46</f>
        <v>3</v>
      </c>
      <c r="O51" s="558">
        <f>'P&amp;L - Concept B2 - ALL'!H46</f>
        <v>3</v>
      </c>
      <c r="P51" s="558">
        <f>'P&amp;L - Concept B2 - ALL'!I46</f>
        <v>3</v>
      </c>
      <c r="Q51" s="558">
        <f>'P&amp;L - Concept B2 - ALL'!J46</f>
        <v>3</v>
      </c>
      <c r="R51" s="558">
        <f>'P&amp;L - Concept B2 - ALL'!K46</f>
        <v>3</v>
      </c>
      <c r="S51" s="558">
        <f>'P&amp;L - Concept B2 - ALL'!L46</f>
        <v>3</v>
      </c>
      <c r="T51" s="558">
        <f>'P&amp;L - Concept B2 - ALL'!M46</f>
        <v>3</v>
      </c>
      <c r="U51" s="558">
        <f>'P&amp;L - Concept B2 - ALL'!N46</f>
        <v>3</v>
      </c>
      <c r="V51" s="558">
        <f>'P&amp;L - Concept B2 - ALL'!O46</f>
        <v>3</v>
      </c>
      <c r="W51" s="558">
        <f>'P&amp;L - Concept B2 - ALL'!P46</f>
        <v>3</v>
      </c>
      <c r="X51" s="558">
        <f>'P&amp;L - Concept B2 - ALL'!Q46</f>
        <v>3</v>
      </c>
      <c r="Y51" s="558">
        <f>'P&amp;L - Concept B2 - ALL'!R46</f>
        <v>3</v>
      </c>
      <c r="Z51" s="558">
        <f>'P&amp;L - Concept B2 - ALL'!S46</f>
        <v>3</v>
      </c>
      <c r="AA51" s="558">
        <f>'P&amp;L - Concept B2 - ALL'!T46</f>
        <v>3</v>
      </c>
      <c r="AB51" s="558">
        <f>'P&amp;L - Concept B2 - ALL'!U46</f>
        <v>3</v>
      </c>
      <c r="AC51" s="558">
        <f>'P&amp;L - Concept B2 - ALL'!V46</f>
        <v>3</v>
      </c>
      <c r="AD51" s="558">
        <f>'P&amp;L - Concept B2 - ALL'!W46</f>
        <v>3</v>
      </c>
      <c r="AE51" s="558">
        <f>'P&amp;L - Concept B2 - ALL'!X46</f>
        <v>3</v>
      </c>
    </row>
    <row r="52" spans="1:32 16384:16384" s="96" customFormat="1">
      <c r="A52" s="54" t="s">
        <v>225</v>
      </c>
      <c r="B52" s="435"/>
      <c r="C52" s="583"/>
      <c r="K52" s="486">
        <f>'P&amp;L - Concept B2 - ALL'!D47</f>
        <v>0</v>
      </c>
      <c r="L52" s="496">
        <f>'P&amp;L - Concept B2 - ALL'!E47</f>
        <v>1</v>
      </c>
      <c r="M52" s="496">
        <f>'P&amp;L - Concept B2 - ALL'!F47</f>
        <v>1</v>
      </c>
      <c r="N52" s="496">
        <f>'P&amp;L - Concept B2 - ALL'!G47</f>
        <v>1</v>
      </c>
      <c r="O52" s="496">
        <f>'P&amp;L - Concept B2 - ALL'!H47</f>
        <v>1</v>
      </c>
      <c r="P52" s="496">
        <f>'P&amp;L - Concept B2 - ALL'!I47</f>
        <v>1</v>
      </c>
      <c r="Q52" s="496">
        <f>'P&amp;L - Concept B2 - ALL'!J47</f>
        <v>1</v>
      </c>
      <c r="R52" s="496">
        <f>'P&amp;L - Concept B2 - ALL'!K47</f>
        <v>1</v>
      </c>
      <c r="S52" s="496">
        <f>'P&amp;L - Concept B2 - ALL'!L47</f>
        <v>1</v>
      </c>
      <c r="T52" s="496">
        <f>'P&amp;L - Concept B2 - ALL'!M47</f>
        <v>1</v>
      </c>
      <c r="U52" s="496">
        <f>'P&amp;L - Concept B2 - ALL'!N47</f>
        <v>1</v>
      </c>
      <c r="V52" s="496">
        <f>'P&amp;L - Concept B2 - ALL'!O47</f>
        <v>1</v>
      </c>
      <c r="W52" s="496">
        <f>'P&amp;L - Concept B2 - ALL'!P47</f>
        <v>1</v>
      </c>
      <c r="X52" s="496">
        <f>'P&amp;L - Concept B2 - ALL'!Q47</f>
        <v>1</v>
      </c>
      <c r="Y52" s="496">
        <f>'P&amp;L - Concept B2 - ALL'!R47</f>
        <v>1</v>
      </c>
      <c r="Z52" s="496">
        <f>'P&amp;L - Concept B2 - ALL'!S47</f>
        <v>1</v>
      </c>
      <c r="AA52" s="496">
        <f>'P&amp;L - Concept B2 - ALL'!T47</f>
        <v>1</v>
      </c>
      <c r="AB52" s="496">
        <f>'P&amp;L - Concept B2 - ALL'!U47</f>
        <v>1</v>
      </c>
      <c r="AC52" s="496">
        <f>'P&amp;L - Concept B2 - ALL'!V47</f>
        <v>1</v>
      </c>
      <c r="AD52" s="496">
        <f>'P&amp;L - Concept B2 - ALL'!W47</f>
        <v>1</v>
      </c>
      <c r="AE52" s="496">
        <f>'P&amp;L - Concept B2 - ALL'!X47</f>
        <v>1</v>
      </c>
    </row>
    <row r="53" spans="1:32 16384:16384" s="18" customFormat="1">
      <c r="A53" s="54" t="s">
        <v>209</v>
      </c>
      <c r="B53" s="277"/>
      <c r="C53" s="74"/>
      <c r="K53" s="486">
        <f>'P&amp;L - Concept B2 - ALL'!D48</f>
        <v>0</v>
      </c>
      <c r="L53" s="496">
        <f>'P&amp;L - Concept B2 - ALL'!E48</f>
        <v>0.5</v>
      </c>
      <c r="M53" s="496">
        <f>'P&amp;L - Concept B2 - ALL'!F48</f>
        <v>0.5</v>
      </c>
      <c r="N53" s="496">
        <f>'P&amp;L - Concept B2 - ALL'!G48</f>
        <v>0.5</v>
      </c>
      <c r="O53" s="496">
        <f>'P&amp;L - Concept B2 - ALL'!H48</f>
        <v>0.5</v>
      </c>
      <c r="P53" s="496">
        <f>'P&amp;L - Concept B2 - ALL'!I48</f>
        <v>0.5</v>
      </c>
      <c r="Q53" s="496">
        <f>'P&amp;L - Concept B2 - ALL'!J48</f>
        <v>0.5</v>
      </c>
      <c r="R53" s="496">
        <f>'P&amp;L - Concept B2 - ALL'!K48</f>
        <v>0.5</v>
      </c>
      <c r="S53" s="496">
        <f>'P&amp;L - Concept B2 - ALL'!L48</f>
        <v>0.5</v>
      </c>
      <c r="T53" s="496">
        <f>'P&amp;L - Concept B2 - ALL'!M48</f>
        <v>0.5</v>
      </c>
      <c r="U53" s="496">
        <f>'P&amp;L - Concept B2 - ALL'!N48</f>
        <v>0.5</v>
      </c>
      <c r="V53" s="496">
        <f>'P&amp;L - Concept B2 - ALL'!O48</f>
        <v>0.5</v>
      </c>
      <c r="W53" s="496">
        <f>'P&amp;L - Concept B2 - ALL'!P48</f>
        <v>0.5</v>
      </c>
      <c r="X53" s="496">
        <f>'P&amp;L - Concept B2 - ALL'!Q48</f>
        <v>0.5</v>
      </c>
      <c r="Y53" s="496">
        <f>'P&amp;L - Concept B2 - ALL'!R48</f>
        <v>0.5</v>
      </c>
      <c r="Z53" s="496">
        <f>'P&amp;L - Concept B2 - ALL'!S48</f>
        <v>0.5</v>
      </c>
      <c r="AA53" s="496">
        <f>'P&amp;L - Concept B2 - ALL'!T48</f>
        <v>0.5</v>
      </c>
      <c r="AB53" s="496">
        <f>'P&amp;L - Concept B2 - ALL'!U48</f>
        <v>0.5</v>
      </c>
      <c r="AC53" s="496">
        <f>'P&amp;L - Concept B2 - ALL'!V48</f>
        <v>0.5</v>
      </c>
      <c r="AD53" s="496">
        <f>'P&amp;L - Concept B2 - ALL'!W48</f>
        <v>0.5</v>
      </c>
      <c r="AE53" s="496">
        <f>'P&amp;L - Concept B2 - ALL'!X48</f>
        <v>0.5</v>
      </c>
    </row>
    <row r="54" spans="1:32 16384:16384" s="18" customFormat="1">
      <c r="A54" s="54" t="s">
        <v>289</v>
      </c>
      <c r="B54" s="277"/>
      <c r="C54" s="74"/>
      <c r="K54" s="486">
        <f>'P&amp;L - Concept B2 - ALL'!D49</f>
        <v>0</v>
      </c>
      <c r="L54" s="496">
        <f>'P&amp;L - Concept B2 - ALL'!E49</f>
        <v>0.75</v>
      </c>
      <c r="M54" s="496">
        <f>'P&amp;L - Concept B2 - ALL'!F49</f>
        <v>0.75</v>
      </c>
      <c r="N54" s="496">
        <f>'P&amp;L - Concept B2 - ALL'!G49</f>
        <v>0.75</v>
      </c>
      <c r="O54" s="496">
        <f>'P&amp;L - Concept B2 - ALL'!H49</f>
        <v>0.75</v>
      </c>
      <c r="P54" s="496">
        <f>'P&amp;L - Concept B2 - ALL'!I49</f>
        <v>0.75</v>
      </c>
      <c r="Q54" s="496">
        <f>'P&amp;L - Concept B2 - ALL'!J49</f>
        <v>0.75</v>
      </c>
      <c r="R54" s="496">
        <f>'P&amp;L - Concept B2 - ALL'!K49</f>
        <v>0.75</v>
      </c>
      <c r="S54" s="496">
        <f>'P&amp;L - Concept B2 - ALL'!L49</f>
        <v>0.75</v>
      </c>
      <c r="T54" s="496">
        <f>'P&amp;L - Concept B2 - ALL'!M49</f>
        <v>0.75</v>
      </c>
      <c r="U54" s="496">
        <f>'P&amp;L - Concept B2 - ALL'!N49</f>
        <v>0.75</v>
      </c>
      <c r="V54" s="496">
        <f>'P&amp;L - Concept B2 - ALL'!O49</f>
        <v>0.75</v>
      </c>
      <c r="W54" s="496">
        <f>'P&amp;L - Concept B2 - ALL'!P49</f>
        <v>0.75</v>
      </c>
      <c r="X54" s="496">
        <f>'P&amp;L - Concept B2 - ALL'!Q49</f>
        <v>0.75</v>
      </c>
      <c r="Y54" s="496">
        <f>'P&amp;L - Concept B2 - ALL'!R49</f>
        <v>0.75</v>
      </c>
      <c r="Z54" s="496">
        <f>'P&amp;L - Concept B2 - ALL'!S49</f>
        <v>0.75</v>
      </c>
      <c r="AA54" s="496">
        <f>'P&amp;L - Concept B2 - ALL'!T49</f>
        <v>0.75</v>
      </c>
      <c r="AB54" s="496">
        <f>'P&amp;L - Concept B2 - ALL'!U49</f>
        <v>0.75</v>
      </c>
      <c r="AC54" s="496">
        <f>'P&amp;L - Concept B2 - ALL'!V49</f>
        <v>0.75</v>
      </c>
      <c r="AD54" s="496">
        <f>'P&amp;L - Concept B2 - ALL'!W49</f>
        <v>0.75</v>
      </c>
      <c r="AE54" s="496">
        <f>'P&amp;L - Concept B2 - ALL'!X49</f>
        <v>0.75</v>
      </c>
      <c r="XFD54" s="570">
        <f>SUM(K54:XFC54)</f>
        <v>15</v>
      </c>
    </row>
    <row r="55" spans="1:32 16384:16384" s="18" customFormat="1">
      <c r="A55" s="54"/>
      <c r="B55" s="277"/>
      <c r="C55" s="74"/>
      <c r="K55" s="486"/>
      <c r="L55" s="313"/>
      <c r="M55" s="313"/>
      <c r="N55" s="313"/>
      <c r="O55" s="313"/>
      <c r="P55" s="313"/>
      <c r="Q55" s="313"/>
      <c r="R55" s="313"/>
      <c r="S55" s="313"/>
      <c r="T55" s="313"/>
      <c r="U55" s="313"/>
      <c r="V55" s="313"/>
      <c r="W55" s="313"/>
      <c r="X55" s="313"/>
      <c r="Y55" s="313"/>
      <c r="Z55" s="313"/>
      <c r="AA55" s="313"/>
      <c r="AB55" s="313"/>
      <c r="AC55" s="313"/>
      <c r="AD55" s="313"/>
      <c r="AE55" s="313"/>
      <c r="XFD55" s="570"/>
    </row>
    <row r="56" spans="1:32 16384:16384" s="18" customFormat="1">
      <c r="A56" s="54" t="s">
        <v>312</v>
      </c>
      <c r="B56" s="277"/>
      <c r="C56" s="74"/>
      <c r="K56" s="486">
        <f>'P&amp;L - Concept B2 - ALL'!D51</f>
        <v>0</v>
      </c>
      <c r="L56" s="313">
        <f>'P&amp;L - Concept B2 - ALL'!E51</f>
        <v>3595</v>
      </c>
      <c r="M56" s="313">
        <f>'P&amp;L - Concept B2 - ALL'!F51</f>
        <v>7190</v>
      </c>
      <c r="N56" s="313">
        <f>'P&amp;L - Concept B2 - ALL'!G51</f>
        <v>7190</v>
      </c>
      <c r="O56" s="313">
        <f>'P&amp;L - Concept B2 - ALL'!H51</f>
        <v>7190</v>
      </c>
      <c r="P56" s="313">
        <f>'P&amp;L - Concept B2 - ALL'!I51</f>
        <v>7190</v>
      </c>
      <c r="Q56" s="313">
        <f>'P&amp;L - Concept B2 - ALL'!J51</f>
        <v>7190</v>
      </c>
      <c r="R56" s="313">
        <f>'P&amp;L - Concept B2 - ALL'!K51</f>
        <v>7190</v>
      </c>
      <c r="S56" s="313">
        <f>'P&amp;L - Concept B2 - ALL'!L51</f>
        <v>7190</v>
      </c>
      <c r="T56" s="313">
        <f>'P&amp;L - Concept B2 - ALL'!M51</f>
        <v>7190</v>
      </c>
      <c r="U56" s="313">
        <f>'P&amp;L - Concept B2 - ALL'!N51</f>
        <v>7190</v>
      </c>
      <c r="V56" s="313">
        <f>'P&amp;L - Concept B2 - ALL'!O51</f>
        <v>7190</v>
      </c>
      <c r="W56" s="313">
        <f>'P&amp;L - Concept B2 - ALL'!P51</f>
        <v>7190</v>
      </c>
      <c r="X56" s="313">
        <f>'P&amp;L - Concept B2 - ALL'!Q51</f>
        <v>7190</v>
      </c>
      <c r="Y56" s="313">
        <f>'P&amp;L - Concept B2 - ALL'!R51</f>
        <v>7190</v>
      </c>
      <c r="Z56" s="313">
        <f>'P&amp;L - Concept B2 - ALL'!S51</f>
        <v>7190</v>
      </c>
      <c r="AA56" s="313">
        <f>'P&amp;L - Concept B2 - ALL'!T51</f>
        <v>7190</v>
      </c>
      <c r="AB56" s="313">
        <f>'P&amp;L - Concept B2 - ALL'!U51</f>
        <v>7190</v>
      </c>
      <c r="AC56" s="313">
        <f>'P&amp;L - Concept B2 - ALL'!V51</f>
        <v>7190</v>
      </c>
      <c r="AD56" s="313">
        <f>'P&amp;L - Concept B2 - ALL'!W51</f>
        <v>7190</v>
      </c>
      <c r="AE56" s="313">
        <f>'P&amp;L - Concept B2 - ALL'!X51</f>
        <v>7190</v>
      </c>
      <c r="XFD56" s="570"/>
    </row>
    <row r="57" spans="1:32 16384:16384" s="18" customFormat="1">
      <c r="A57" s="54"/>
      <c r="B57" s="277"/>
      <c r="C57" s="74"/>
      <c r="K57" s="486"/>
      <c r="L57" s="313"/>
      <c r="M57" s="313"/>
      <c r="N57" s="313"/>
      <c r="O57" s="313"/>
      <c r="P57" s="313"/>
      <c r="Q57" s="313"/>
      <c r="R57" s="313"/>
      <c r="S57" s="313"/>
      <c r="T57" s="313"/>
      <c r="U57" s="313"/>
      <c r="V57" s="313"/>
      <c r="W57" s="313"/>
      <c r="X57" s="313"/>
      <c r="Y57" s="313"/>
      <c r="Z57" s="313"/>
      <c r="AA57" s="313"/>
      <c r="AB57" s="313"/>
      <c r="AC57" s="313"/>
      <c r="AD57" s="313"/>
      <c r="AE57" s="313"/>
    </row>
    <row r="58" spans="1:32 16384:16384" s="612" customFormat="1">
      <c r="A58" s="613" t="s">
        <v>292</v>
      </c>
      <c r="B58" s="614"/>
      <c r="C58" s="615"/>
      <c r="D58" s="717"/>
      <c r="E58" s="717"/>
      <c r="F58" s="717"/>
      <c r="G58" s="717"/>
      <c r="H58" s="717"/>
      <c r="I58" s="717"/>
      <c r="J58" s="717"/>
      <c r="K58" s="616">
        <f>'P&amp;L - Concept B2 - ALL'!D53</f>
        <v>0</v>
      </c>
      <c r="L58" s="616">
        <f>'P&amp;L - Concept B2 - ALL'!E53</f>
        <v>0</v>
      </c>
      <c r="M58" s="616">
        <f>'P&amp;L - Concept B2 - ALL'!F53</f>
        <v>0</v>
      </c>
      <c r="N58" s="616">
        <f>'P&amp;L - Concept B2 - ALL'!G53</f>
        <v>100000</v>
      </c>
      <c r="O58" s="616">
        <f>'P&amp;L - Concept B2 - ALL'!H53</f>
        <v>100000</v>
      </c>
      <c r="P58" s="616">
        <f>'P&amp;L - Concept B2 - ALL'!I53</f>
        <v>100000</v>
      </c>
      <c r="Q58" s="616">
        <f>'P&amp;L - Concept B2 - ALL'!J53</f>
        <v>100000</v>
      </c>
      <c r="R58" s="616">
        <f>'P&amp;L - Concept B2 - ALL'!K53</f>
        <v>100000</v>
      </c>
      <c r="S58" s="616">
        <f>'P&amp;L - Concept B2 - ALL'!L53</f>
        <v>100000</v>
      </c>
      <c r="T58" s="616">
        <f>'P&amp;L - Concept B2 - ALL'!M53</f>
        <v>100000</v>
      </c>
      <c r="U58" s="616">
        <f>'P&amp;L - Concept B2 - ALL'!N53</f>
        <v>100000</v>
      </c>
      <c r="V58" s="616">
        <f>'P&amp;L - Concept B2 - ALL'!O53</f>
        <v>100000</v>
      </c>
      <c r="W58" s="616">
        <f>'P&amp;L - Concept B2 - ALL'!P53</f>
        <v>100000</v>
      </c>
      <c r="X58" s="616">
        <f>'P&amp;L - Concept B2 - ALL'!Q53</f>
        <v>100000</v>
      </c>
      <c r="Y58" s="616">
        <f>'P&amp;L - Concept B2 - ALL'!R53</f>
        <v>100000</v>
      </c>
      <c r="Z58" s="616">
        <f>'P&amp;L - Concept B2 - ALL'!S53</f>
        <v>100000</v>
      </c>
      <c r="AA58" s="616">
        <f>'P&amp;L - Concept B2 - ALL'!T53</f>
        <v>100000</v>
      </c>
      <c r="AB58" s="616">
        <f>'P&amp;L - Concept B2 - ALL'!U53</f>
        <v>100000</v>
      </c>
      <c r="AC58" s="616">
        <f>'P&amp;L - Concept B2 - ALL'!V53</f>
        <v>100000</v>
      </c>
      <c r="AD58" s="616">
        <f>'P&amp;L - Concept B2 - ALL'!W53</f>
        <v>100000</v>
      </c>
      <c r="AE58" s="787">
        <f>'P&amp;L - Concept B2 - ALL'!X53</f>
        <v>100000</v>
      </c>
    </row>
    <row r="59" spans="1:32 16384:16384" s="18" customFormat="1">
      <c r="A59" s="54"/>
      <c r="B59" s="277"/>
      <c r="C59" s="74"/>
      <c r="K59" s="486"/>
      <c r="L59" s="313"/>
      <c r="M59" s="313"/>
      <c r="N59" s="313"/>
      <c r="O59" s="313"/>
      <c r="P59" s="313"/>
      <c r="Q59" s="313"/>
      <c r="R59" s="313"/>
      <c r="S59" s="313"/>
      <c r="T59" s="313"/>
      <c r="U59" s="313"/>
      <c r="V59" s="313"/>
      <c r="W59" s="313"/>
      <c r="X59" s="313"/>
      <c r="Y59" s="313"/>
      <c r="Z59" s="313"/>
      <c r="AA59" s="313"/>
      <c r="AB59" s="313"/>
      <c r="AC59" s="313"/>
      <c r="AD59" s="313"/>
      <c r="AE59" s="313"/>
    </row>
    <row r="60" spans="1:32 16384:16384" s="582" customFormat="1">
      <c r="A60" s="293" t="str">
        <f>'BH Tariffs'!A33</f>
        <v>Recreational/Commercial Marina</v>
      </c>
      <c r="B60" s="584"/>
      <c r="C60" s="585"/>
      <c r="K60" s="486"/>
      <c r="L60" s="313"/>
      <c r="M60" s="313"/>
      <c r="N60" s="313"/>
      <c r="O60" s="313"/>
      <c r="P60" s="313"/>
      <c r="Q60" s="313"/>
      <c r="R60" s="313"/>
      <c r="S60" s="313"/>
      <c r="T60" s="313"/>
      <c r="U60" s="313"/>
      <c r="V60" s="313"/>
      <c r="W60" s="313"/>
      <c r="X60" s="313"/>
      <c r="Y60" s="313"/>
      <c r="Z60" s="313"/>
      <c r="AA60" s="313"/>
      <c r="AB60" s="313"/>
      <c r="AC60" s="313"/>
      <c r="AD60" s="313"/>
      <c r="AE60" s="313"/>
    </row>
    <row r="61" spans="1:32 16384:16384" s="96" customFormat="1">
      <c r="A61" s="54" t="s">
        <v>291</v>
      </c>
      <c r="B61" s="435"/>
      <c r="C61" s="583"/>
      <c r="K61" s="486">
        <f>'P&amp;L - Concept B2 - ALL'!D56</f>
        <v>0</v>
      </c>
      <c r="L61" s="313">
        <f>'P&amp;L - Concept B2 - ALL'!E56</f>
        <v>0</v>
      </c>
      <c r="M61" s="313">
        <f>'P&amp;L - Concept B2 - ALL'!F56</f>
        <v>12</v>
      </c>
      <c r="N61" s="313">
        <f>'P&amp;L - Concept B2 - ALL'!G56</f>
        <v>12</v>
      </c>
      <c r="O61" s="313">
        <f>'P&amp;L - Concept B2 - ALL'!H56</f>
        <v>12</v>
      </c>
      <c r="P61" s="313">
        <f>'P&amp;L - Concept B2 - ALL'!I56</f>
        <v>12</v>
      </c>
      <c r="Q61" s="313">
        <f>'P&amp;L - Concept B2 - ALL'!J56</f>
        <v>12</v>
      </c>
      <c r="R61" s="313">
        <f>'P&amp;L - Concept B2 - ALL'!K56</f>
        <v>12</v>
      </c>
      <c r="S61" s="313">
        <f>'P&amp;L - Concept B2 - ALL'!L56</f>
        <v>12</v>
      </c>
      <c r="T61" s="313">
        <f>'P&amp;L - Concept B2 - ALL'!M56</f>
        <v>12</v>
      </c>
      <c r="U61" s="313">
        <f>'P&amp;L - Concept B2 - ALL'!N56</f>
        <v>12</v>
      </c>
      <c r="V61" s="313">
        <f>'P&amp;L - Concept B2 - ALL'!O56</f>
        <v>12</v>
      </c>
      <c r="W61" s="313">
        <f>'P&amp;L - Concept B2 - ALL'!P56</f>
        <v>12</v>
      </c>
      <c r="X61" s="313">
        <f>'P&amp;L - Concept B2 - ALL'!Q56</f>
        <v>12</v>
      </c>
      <c r="Y61" s="313">
        <f>'P&amp;L - Concept B2 - ALL'!R56</f>
        <v>12</v>
      </c>
      <c r="Z61" s="313">
        <f>'P&amp;L - Concept B2 - ALL'!S56</f>
        <v>12</v>
      </c>
      <c r="AA61" s="313">
        <f>'P&amp;L - Concept B2 - ALL'!T56</f>
        <v>12</v>
      </c>
      <c r="AB61" s="313">
        <f>'P&amp;L - Concept B2 - ALL'!U56</f>
        <v>12</v>
      </c>
      <c r="AC61" s="313">
        <f>'P&amp;L - Concept B2 - ALL'!V56</f>
        <v>12</v>
      </c>
      <c r="AD61" s="313">
        <f>'P&amp;L - Concept B2 - ALL'!W56</f>
        <v>12</v>
      </c>
      <c r="AE61" s="313">
        <f>'P&amp;L - Concept B2 - ALL'!X56</f>
        <v>12</v>
      </c>
    </row>
    <row r="62" spans="1:32 16384:16384" s="96" customFormat="1">
      <c r="A62" s="54" t="s">
        <v>293</v>
      </c>
      <c r="B62" s="435"/>
      <c r="C62" s="583"/>
      <c r="K62" s="486">
        <f>'P&amp;L - Concept B2 - ALL'!D57</f>
        <v>0</v>
      </c>
      <c r="L62" s="313">
        <f>'P&amp;L - Concept B2 - ALL'!E57</f>
        <v>0</v>
      </c>
      <c r="M62" s="313">
        <f>'P&amp;L - Concept B2 - ALL'!F57</f>
        <v>9557.1731249999993</v>
      </c>
      <c r="N62" s="313">
        <f>'P&amp;L - Concept B2 - ALL'!G57</f>
        <v>9557.1731249999993</v>
      </c>
      <c r="O62" s="313">
        <f>'P&amp;L - Concept B2 - ALL'!H57</f>
        <v>9557.1731249999993</v>
      </c>
      <c r="P62" s="313">
        <f>'P&amp;L - Concept B2 - ALL'!I57</f>
        <v>9557.1731249999993</v>
      </c>
      <c r="Q62" s="313">
        <f>'P&amp;L - Concept B2 - ALL'!J57</f>
        <v>9557.1731249999993</v>
      </c>
      <c r="R62" s="313">
        <f>'P&amp;L - Concept B2 - ALL'!K57</f>
        <v>9557.1731249999993</v>
      </c>
      <c r="S62" s="313">
        <f>'P&amp;L - Concept B2 - ALL'!L57</f>
        <v>9557.1731249999993</v>
      </c>
      <c r="T62" s="313">
        <f>'P&amp;L - Concept B2 - ALL'!M57</f>
        <v>9557.1731249999993</v>
      </c>
      <c r="U62" s="313">
        <f>'P&amp;L - Concept B2 - ALL'!N57</f>
        <v>9557.1731249999993</v>
      </c>
      <c r="V62" s="313">
        <f>'P&amp;L - Concept B2 - ALL'!O57</f>
        <v>9557.1731249999993</v>
      </c>
      <c r="W62" s="313">
        <f>'P&amp;L - Concept B2 - ALL'!P57</f>
        <v>9557.1731249999993</v>
      </c>
      <c r="X62" s="313">
        <f>'P&amp;L - Concept B2 - ALL'!Q57</f>
        <v>9557.1731249999993</v>
      </c>
      <c r="Y62" s="313">
        <f>'P&amp;L - Concept B2 - ALL'!R57</f>
        <v>9557.1731249999993</v>
      </c>
      <c r="Z62" s="313">
        <f>'P&amp;L - Concept B2 - ALL'!S57</f>
        <v>9557.1731249999993</v>
      </c>
      <c r="AA62" s="313">
        <f>'P&amp;L - Concept B2 - ALL'!T57</f>
        <v>9557.1731249999993</v>
      </c>
      <c r="AB62" s="313">
        <f>'P&amp;L - Concept B2 - ALL'!U57</f>
        <v>9557.1731249999993</v>
      </c>
      <c r="AC62" s="313">
        <f>'P&amp;L - Concept B2 - ALL'!V57</f>
        <v>9557.1731249999993</v>
      </c>
      <c r="AD62" s="313">
        <f>'P&amp;L - Concept B2 - ALL'!W57</f>
        <v>9557.1731249999993</v>
      </c>
      <c r="AE62" s="313">
        <f>'P&amp;L - Concept B2 - ALL'!X57</f>
        <v>9557.1731249999993</v>
      </c>
    </row>
    <row r="63" spans="1:32 16384:16384" s="96" customFormat="1">
      <c r="A63" s="54" t="s">
        <v>294</v>
      </c>
      <c r="B63" s="435"/>
      <c r="C63" s="583"/>
      <c r="K63" s="486">
        <f>'P&amp;L - Concept B2 - ALL'!D58</f>
        <v>0</v>
      </c>
      <c r="L63" s="313">
        <f>'P&amp;L - Concept B2 - ALL'!E58</f>
        <v>0</v>
      </c>
      <c r="M63" s="313">
        <f>'P&amp;L - Concept B2 - ALL'!F58</f>
        <v>359.1</v>
      </c>
      <c r="N63" s="313">
        <f>'P&amp;L - Concept B2 - ALL'!G58</f>
        <v>359.1</v>
      </c>
      <c r="O63" s="313">
        <f>'P&amp;L - Concept B2 - ALL'!H58</f>
        <v>359.1</v>
      </c>
      <c r="P63" s="313">
        <f>'P&amp;L - Concept B2 - ALL'!I58</f>
        <v>359.1</v>
      </c>
      <c r="Q63" s="313">
        <f>'P&amp;L - Concept B2 - ALL'!J58</f>
        <v>359.1</v>
      </c>
      <c r="R63" s="313">
        <f>'P&amp;L - Concept B2 - ALL'!K58</f>
        <v>359.1</v>
      </c>
      <c r="S63" s="313">
        <f>'P&amp;L - Concept B2 - ALL'!L58</f>
        <v>359.1</v>
      </c>
      <c r="T63" s="313">
        <f>'P&amp;L - Concept B2 - ALL'!M58</f>
        <v>359.1</v>
      </c>
      <c r="U63" s="313">
        <f>'P&amp;L - Concept B2 - ALL'!N58</f>
        <v>359.1</v>
      </c>
      <c r="V63" s="313">
        <f>'P&amp;L - Concept B2 - ALL'!O58</f>
        <v>359.1</v>
      </c>
      <c r="W63" s="313">
        <f>'P&amp;L - Concept B2 - ALL'!P58</f>
        <v>359.1</v>
      </c>
      <c r="X63" s="313">
        <f>'P&amp;L - Concept B2 - ALL'!Q58</f>
        <v>359.1</v>
      </c>
      <c r="Y63" s="313">
        <f>'P&amp;L - Concept B2 - ALL'!R58</f>
        <v>359.1</v>
      </c>
      <c r="Z63" s="313">
        <f>'P&amp;L - Concept B2 - ALL'!S58</f>
        <v>359.1</v>
      </c>
      <c r="AA63" s="313">
        <f>'P&amp;L - Concept B2 - ALL'!T58</f>
        <v>359.1</v>
      </c>
      <c r="AB63" s="313">
        <f>'P&amp;L - Concept B2 - ALL'!U58</f>
        <v>359.1</v>
      </c>
      <c r="AC63" s="313">
        <f>'P&amp;L - Concept B2 - ALL'!V58</f>
        <v>359.1</v>
      </c>
      <c r="AD63" s="313">
        <f>'P&amp;L - Concept B2 - ALL'!W58</f>
        <v>359.1</v>
      </c>
      <c r="AE63" s="313">
        <f>'P&amp;L - Concept B2 - ALL'!X58</f>
        <v>359.1</v>
      </c>
    </row>
    <row r="64" spans="1:32 16384:16384" s="167" customFormat="1">
      <c r="A64" s="497" t="s">
        <v>170</v>
      </c>
      <c r="B64" s="450"/>
      <c r="C64" s="498"/>
      <c r="K64" s="499">
        <f>'P&amp;L - Concept B2 - ALL'!D59</f>
        <v>0</v>
      </c>
      <c r="L64" s="500">
        <f>'P&amp;L - Concept B2 - ALL'!E59</f>
        <v>0</v>
      </c>
      <c r="M64" s="500">
        <f>'P&amp;L - Concept B2 - ALL'!F59</f>
        <v>0</v>
      </c>
      <c r="N64" s="500">
        <f>'P&amp;L - Concept B2 - ALL'!G59</f>
        <v>0</v>
      </c>
      <c r="O64" s="500">
        <f>'P&amp;L - Concept B2 - ALL'!H59</f>
        <v>0</v>
      </c>
      <c r="P64" s="500">
        <f>'P&amp;L - Concept B2 - ALL'!I59</f>
        <v>0</v>
      </c>
      <c r="Q64" s="500">
        <f>'P&amp;L - Concept B2 - ALL'!J59</f>
        <v>0</v>
      </c>
      <c r="R64" s="500">
        <f>'P&amp;L - Concept B2 - ALL'!K59</f>
        <v>0</v>
      </c>
      <c r="S64" s="500">
        <f>'P&amp;L - Concept B2 - ALL'!L59</f>
        <v>0</v>
      </c>
      <c r="T64" s="500">
        <f>'P&amp;L - Concept B2 - ALL'!M59</f>
        <v>0</v>
      </c>
      <c r="U64" s="500">
        <f>'P&amp;L - Concept B2 - ALL'!N59</f>
        <v>0</v>
      </c>
      <c r="V64" s="500">
        <f>'P&amp;L - Concept B2 - ALL'!O59</f>
        <v>0</v>
      </c>
      <c r="W64" s="500">
        <f>'P&amp;L - Concept B2 - ALL'!P59</f>
        <v>0</v>
      </c>
      <c r="X64" s="500">
        <f>'P&amp;L - Concept B2 - ALL'!Q59</f>
        <v>0</v>
      </c>
      <c r="Y64" s="500">
        <f>'P&amp;L - Concept B2 - ALL'!R59</f>
        <v>0</v>
      </c>
      <c r="Z64" s="500">
        <f>'P&amp;L - Concept B2 - ALL'!S59</f>
        <v>0</v>
      </c>
      <c r="AA64" s="500">
        <f>'P&amp;L - Concept B2 - ALL'!T59</f>
        <v>0</v>
      </c>
      <c r="AB64" s="500">
        <f>'P&amp;L - Concept B2 - ALL'!U59</f>
        <v>0</v>
      </c>
      <c r="AC64" s="500">
        <f>'P&amp;L - Concept B2 - ALL'!V59</f>
        <v>0</v>
      </c>
      <c r="AD64" s="500">
        <f>'P&amp;L - Concept B2 - ALL'!W59</f>
        <v>0</v>
      </c>
      <c r="AE64" s="500">
        <f>'P&amp;L - Concept B2 - ALL'!X59</f>
        <v>0</v>
      </c>
      <c r="AF64" s="167" t="str">
        <f>'P&amp;L - Concept B2 - ALL'!Y59</f>
        <v>cost recovery assumed</v>
      </c>
    </row>
    <row r="65" spans="1:32" s="167" customFormat="1">
      <c r="A65" s="497" t="s">
        <v>16</v>
      </c>
      <c r="B65" s="450"/>
      <c r="C65" s="498"/>
      <c r="K65" s="499">
        <f>'P&amp;L - Concept B2 - ALL'!D60</f>
        <v>0</v>
      </c>
      <c r="L65" s="500">
        <f>'P&amp;L - Concept B2 - ALL'!E60</f>
        <v>0</v>
      </c>
      <c r="M65" s="500">
        <f>'P&amp;L - Concept B2 - ALL'!F60</f>
        <v>0</v>
      </c>
      <c r="N65" s="500">
        <f>'P&amp;L - Concept B2 - ALL'!G60</f>
        <v>0</v>
      </c>
      <c r="O65" s="500">
        <f>'P&amp;L - Concept B2 - ALL'!H60</f>
        <v>0</v>
      </c>
      <c r="P65" s="500">
        <f>'P&amp;L - Concept B2 - ALL'!I60</f>
        <v>0</v>
      </c>
      <c r="Q65" s="500">
        <f>'P&amp;L - Concept B2 - ALL'!J60</f>
        <v>0</v>
      </c>
      <c r="R65" s="500">
        <f>'P&amp;L - Concept B2 - ALL'!K60</f>
        <v>0</v>
      </c>
      <c r="S65" s="500">
        <f>'P&amp;L - Concept B2 - ALL'!L60</f>
        <v>0</v>
      </c>
      <c r="T65" s="500">
        <f>'P&amp;L - Concept B2 - ALL'!M60</f>
        <v>0</v>
      </c>
      <c r="U65" s="500">
        <f>'P&amp;L - Concept B2 - ALL'!N60</f>
        <v>0</v>
      </c>
      <c r="V65" s="500">
        <f>'P&amp;L - Concept B2 - ALL'!O60</f>
        <v>0</v>
      </c>
      <c r="W65" s="500">
        <f>'P&amp;L - Concept B2 - ALL'!P60</f>
        <v>0</v>
      </c>
      <c r="X65" s="500">
        <f>'P&amp;L - Concept B2 - ALL'!Q60</f>
        <v>0</v>
      </c>
      <c r="Y65" s="500">
        <f>'P&amp;L - Concept B2 - ALL'!R60</f>
        <v>0</v>
      </c>
      <c r="Z65" s="500">
        <f>'P&amp;L - Concept B2 - ALL'!S60</f>
        <v>0</v>
      </c>
      <c r="AA65" s="500">
        <f>'P&amp;L - Concept B2 - ALL'!T60</f>
        <v>0</v>
      </c>
      <c r="AB65" s="500">
        <f>'P&amp;L - Concept B2 - ALL'!U60</f>
        <v>0</v>
      </c>
      <c r="AC65" s="500">
        <f>'P&amp;L - Concept B2 - ALL'!V60</f>
        <v>0</v>
      </c>
      <c r="AD65" s="500">
        <f>'P&amp;L - Concept B2 - ALL'!W60</f>
        <v>0</v>
      </c>
      <c r="AE65" s="500">
        <f>'P&amp;L - Concept B2 - ALL'!X60</f>
        <v>0</v>
      </c>
      <c r="AF65" s="167" t="str">
        <f>'P&amp;L - Concept B2 - ALL'!Y60</f>
        <v>cost recovery assumed</v>
      </c>
    </row>
    <row r="66" spans="1:32" s="18" customFormat="1">
      <c r="A66" s="54"/>
      <c r="B66" s="277"/>
      <c r="C66" s="74"/>
      <c r="K66" s="492"/>
      <c r="L66" s="313"/>
      <c r="M66" s="313"/>
      <c r="N66" s="313"/>
      <c r="O66" s="313"/>
      <c r="P66" s="313"/>
      <c r="Q66" s="313"/>
      <c r="R66" s="313"/>
      <c r="S66" s="313"/>
      <c r="T66" s="313"/>
      <c r="U66" s="313"/>
      <c r="V66" s="313"/>
      <c r="W66" s="313"/>
      <c r="X66" s="313"/>
      <c r="Y66" s="313"/>
      <c r="Z66" s="313"/>
      <c r="AA66" s="313"/>
      <c r="AB66" s="313"/>
      <c r="AC66" s="313"/>
      <c r="AD66" s="313"/>
      <c r="AE66" s="313"/>
    </row>
    <row r="67" spans="1:32" s="18" customFormat="1">
      <c r="A67" s="293" t="s">
        <v>2</v>
      </c>
      <c r="B67" s="277"/>
      <c r="C67" s="74"/>
      <c r="K67" s="492"/>
      <c r="L67" s="313"/>
      <c r="M67" s="313"/>
      <c r="N67" s="313"/>
      <c r="O67" s="313"/>
      <c r="P67" s="313"/>
      <c r="Q67" s="313"/>
      <c r="R67" s="313"/>
      <c r="S67" s="313"/>
      <c r="T67" s="313"/>
      <c r="U67" s="313"/>
      <c r="V67" s="313"/>
      <c r="W67" s="313"/>
      <c r="X67" s="313"/>
      <c r="Y67" s="313"/>
      <c r="Z67" s="313"/>
      <c r="AA67" s="313"/>
      <c r="AB67" s="313"/>
      <c r="AC67" s="313"/>
      <c r="AD67" s="313"/>
      <c r="AE67" s="313"/>
    </row>
    <row r="68" spans="1:32" s="96" customFormat="1">
      <c r="A68" s="54" t="s">
        <v>290</v>
      </c>
      <c r="B68" s="435">
        <v>500</v>
      </c>
      <c r="C68" s="487"/>
      <c r="K68" s="486">
        <f>'P&amp;L - Concept B2 - ALL'!D63</f>
        <v>0</v>
      </c>
      <c r="L68" s="313">
        <f>'P&amp;L - Concept B2 - ALL'!E63</f>
        <v>0</v>
      </c>
      <c r="M68" s="313">
        <f>'P&amp;L - Concept B2 - ALL'!F63</f>
        <v>0</v>
      </c>
      <c r="N68" s="313">
        <f>'P&amp;L - Concept B2 - ALL'!G63</f>
        <v>500</v>
      </c>
      <c r="O68" s="313">
        <f>'P&amp;L - Concept B2 - ALL'!H63</f>
        <v>500</v>
      </c>
      <c r="P68" s="313">
        <f>'P&amp;L - Concept B2 - ALL'!I63</f>
        <v>500</v>
      </c>
      <c r="Q68" s="313">
        <f>'P&amp;L - Concept B2 - ALL'!J63</f>
        <v>500</v>
      </c>
      <c r="R68" s="313">
        <f>'P&amp;L - Concept B2 - ALL'!K63</f>
        <v>500</v>
      </c>
      <c r="S68" s="313">
        <f>'P&amp;L - Concept B2 - ALL'!L63</f>
        <v>500</v>
      </c>
      <c r="T68" s="313">
        <f>'P&amp;L - Concept B2 - ALL'!M63</f>
        <v>500</v>
      </c>
      <c r="U68" s="313">
        <f>'P&amp;L - Concept B2 - ALL'!N63</f>
        <v>500</v>
      </c>
      <c r="V68" s="313">
        <f>'P&amp;L - Concept B2 - ALL'!O63</f>
        <v>500</v>
      </c>
      <c r="W68" s="313">
        <f>'P&amp;L - Concept B2 - ALL'!P63</f>
        <v>500</v>
      </c>
      <c r="X68" s="313">
        <f>'P&amp;L - Concept B2 - ALL'!Q63</f>
        <v>500</v>
      </c>
      <c r="Y68" s="313">
        <f>'P&amp;L - Concept B2 - ALL'!R63</f>
        <v>500</v>
      </c>
      <c r="Z68" s="313">
        <f>'P&amp;L - Concept B2 - ALL'!S63</f>
        <v>500</v>
      </c>
      <c r="AA68" s="313">
        <f>'P&amp;L - Concept B2 - ALL'!T63</f>
        <v>500</v>
      </c>
      <c r="AB68" s="313">
        <f>'P&amp;L - Concept B2 - ALL'!U63</f>
        <v>500</v>
      </c>
      <c r="AC68" s="313">
        <f>'P&amp;L - Concept B2 - ALL'!V63</f>
        <v>500</v>
      </c>
      <c r="AD68" s="313">
        <f>'P&amp;L - Concept B2 - ALL'!W63</f>
        <v>500</v>
      </c>
      <c r="AE68" s="313">
        <f>'P&amp;L - Concept B2 - ALL'!X63</f>
        <v>500</v>
      </c>
    </row>
    <row r="69" spans="1:32" s="96" customFormat="1">
      <c r="A69" s="54" t="s">
        <v>210</v>
      </c>
      <c r="B69" s="487"/>
      <c r="C69" s="487"/>
      <c r="K69" s="486">
        <f>'P&amp;L - Concept B2 - ALL'!D65</f>
        <v>0</v>
      </c>
      <c r="L69" s="313">
        <f>'P&amp;L - Concept B2 - ALL'!E65</f>
        <v>0</v>
      </c>
      <c r="M69" s="313">
        <f>'P&amp;L - Concept B2 - ALL'!F65</f>
        <v>1</v>
      </c>
      <c r="N69" s="313">
        <f>'P&amp;L - Concept B2 - ALL'!G65</f>
        <v>2</v>
      </c>
      <c r="O69" s="313">
        <f>'P&amp;L - Concept B2 - ALL'!H65</f>
        <v>2</v>
      </c>
      <c r="P69" s="313">
        <f>'P&amp;L - Concept B2 - ALL'!I65</f>
        <v>2</v>
      </c>
      <c r="Q69" s="313">
        <f>'P&amp;L - Concept B2 - ALL'!J65</f>
        <v>3</v>
      </c>
      <c r="R69" s="313">
        <f>'P&amp;L - Concept B2 - ALL'!K65</f>
        <v>3</v>
      </c>
      <c r="S69" s="313">
        <f>'P&amp;L - Concept B2 - ALL'!L65</f>
        <v>3</v>
      </c>
      <c r="T69" s="313">
        <f>'P&amp;L - Concept B2 - ALL'!M65</f>
        <v>3</v>
      </c>
      <c r="U69" s="313">
        <f>'P&amp;L - Concept B2 - ALL'!N65</f>
        <v>3</v>
      </c>
      <c r="V69" s="313">
        <f>'P&amp;L - Concept B2 - ALL'!O65</f>
        <v>4</v>
      </c>
      <c r="W69" s="313">
        <f>'P&amp;L - Concept B2 - ALL'!P65</f>
        <v>4</v>
      </c>
      <c r="X69" s="313">
        <f>'P&amp;L - Concept B2 - ALL'!Q65</f>
        <v>4</v>
      </c>
      <c r="Y69" s="313">
        <f>'P&amp;L - Concept B2 - ALL'!R65</f>
        <v>4</v>
      </c>
      <c r="Z69" s="313">
        <f>'P&amp;L - Concept B2 - ALL'!S65</f>
        <v>4</v>
      </c>
      <c r="AA69" s="313">
        <f>'P&amp;L - Concept B2 - ALL'!T65</f>
        <v>5</v>
      </c>
      <c r="AB69" s="313">
        <f>'P&amp;L - Concept B2 - ALL'!U65</f>
        <v>5</v>
      </c>
      <c r="AC69" s="313">
        <f>'P&amp;L - Concept B2 - ALL'!V65</f>
        <v>5</v>
      </c>
      <c r="AD69" s="313">
        <f>'P&amp;L - Concept B2 - ALL'!W65</f>
        <v>5</v>
      </c>
      <c r="AE69" s="313">
        <f>'P&amp;L - Concept B2 - ALL'!X65</f>
        <v>5</v>
      </c>
    </row>
    <row r="70" spans="1:32" s="96" customFormat="1">
      <c r="A70" s="96" t="s">
        <v>211</v>
      </c>
      <c r="K70" s="486">
        <f>'P&amp;L - Concept B2 - ALL'!D66</f>
        <v>0</v>
      </c>
      <c r="L70" s="313">
        <f>'P&amp;L - Concept B2 - ALL'!E66</f>
        <v>0</v>
      </c>
      <c r="M70" s="313">
        <f>'P&amp;L - Concept B2 - ALL'!F66</f>
        <v>3</v>
      </c>
      <c r="N70" s="313">
        <f>'P&amp;L - Concept B2 - ALL'!G66</f>
        <v>3</v>
      </c>
      <c r="O70" s="313">
        <f>'P&amp;L - Concept B2 - ALL'!H66</f>
        <v>3</v>
      </c>
      <c r="P70" s="313">
        <f>'P&amp;L - Concept B2 - ALL'!I66</f>
        <v>3</v>
      </c>
      <c r="Q70" s="313">
        <f>'P&amp;L - Concept B2 - ALL'!J66</f>
        <v>3</v>
      </c>
      <c r="R70" s="313">
        <f>'P&amp;L - Concept B2 - ALL'!K66</f>
        <v>3</v>
      </c>
      <c r="S70" s="313">
        <f>'P&amp;L - Concept B2 - ALL'!L66</f>
        <v>3</v>
      </c>
      <c r="T70" s="313">
        <f>'P&amp;L - Concept B2 - ALL'!M66</f>
        <v>3</v>
      </c>
      <c r="U70" s="313">
        <f>'P&amp;L - Concept B2 - ALL'!N66</f>
        <v>3</v>
      </c>
      <c r="V70" s="313">
        <f>'P&amp;L - Concept B2 - ALL'!O66</f>
        <v>3</v>
      </c>
      <c r="W70" s="313">
        <f>'P&amp;L - Concept B2 - ALL'!P66</f>
        <v>3</v>
      </c>
      <c r="X70" s="313">
        <f>'P&amp;L - Concept B2 - ALL'!Q66</f>
        <v>3</v>
      </c>
      <c r="Y70" s="313">
        <f>'P&amp;L - Concept B2 - ALL'!R66</f>
        <v>3</v>
      </c>
      <c r="Z70" s="313">
        <f>'P&amp;L - Concept B2 - ALL'!S66</f>
        <v>3</v>
      </c>
      <c r="AA70" s="313">
        <f>'P&amp;L - Concept B2 - ALL'!T66</f>
        <v>3</v>
      </c>
      <c r="AB70" s="313">
        <f>'P&amp;L - Concept B2 - ALL'!U66</f>
        <v>3</v>
      </c>
      <c r="AC70" s="313">
        <f>'P&amp;L - Concept B2 - ALL'!V66</f>
        <v>3</v>
      </c>
      <c r="AD70" s="313">
        <f>'P&amp;L - Concept B2 - ALL'!W66</f>
        <v>3</v>
      </c>
      <c r="AE70" s="313">
        <f>'P&amp;L - Concept B2 - ALL'!X66</f>
        <v>3</v>
      </c>
    </row>
    <row r="71" spans="1:32" s="96" customFormat="1">
      <c r="K71" s="486"/>
      <c r="L71" s="435"/>
      <c r="M71" s="435"/>
      <c r="N71" s="435"/>
      <c r="O71" s="435"/>
      <c r="P71" s="435"/>
      <c r="Q71" s="435"/>
      <c r="R71" s="435"/>
      <c r="S71" s="435"/>
      <c r="T71" s="435"/>
      <c r="U71" s="435"/>
      <c r="V71" s="435"/>
      <c r="W71" s="435"/>
      <c r="X71" s="435"/>
      <c r="Y71" s="435"/>
      <c r="Z71" s="435"/>
      <c r="AA71" s="435"/>
      <c r="AB71" s="435"/>
      <c r="AC71" s="435"/>
      <c r="AD71" s="435"/>
      <c r="AE71" s="435"/>
    </row>
    <row r="72" spans="1:32" s="18" customFormat="1">
      <c r="A72" s="28"/>
      <c r="K72" s="486"/>
      <c r="L72" s="331"/>
      <c r="M72" s="333"/>
      <c r="N72" s="331"/>
      <c r="O72" s="331"/>
      <c r="P72" s="331"/>
      <c r="Q72" s="331"/>
      <c r="R72" s="331"/>
      <c r="S72" s="331"/>
      <c r="T72" s="331"/>
      <c r="U72" s="331"/>
      <c r="V72" s="331"/>
      <c r="W72" s="331"/>
      <c r="X72" s="331"/>
      <c r="Y72" s="331"/>
      <c r="Z72" s="331"/>
      <c r="AA72" s="331"/>
      <c r="AB72" s="331"/>
      <c r="AC72" s="331"/>
      <c r="AD72" s="331"/>
      <c r="AE72" s="331"/>
    </row>
    <row r="73" spans="1:32">
      <c r="A73" s="168" t="s">
        <v>131</v>
      </c>
      <c r="B73" s="168"/>
      <c r="C73" s="169"/>
      <c r="D73" s="170"/>
      <c r="E73" s="171"/>
      <c r="F73" s="171"/>
      <c r="G73" s="171"/>
      <c r="H73" s="171"/>
      <c r="I73" s="168"/>
      <c r="J73" s="171"/>
      <c r="K73" s="681"/>
      <c r="L73" s="314"/>
      <c r="M73" s="314"/>
      <c r="N73" s="314"/>
      <c r="O73" s="314"/>
      <c r="P73" s="314"/>
      <c r="Q73" s="314"/>
      <c r="R73" s="314"/>
      <c r="S73" s="314"/>
      <c r="T73" s="314"/>
      <c r="U73" s="314"/>
      <c r="V73" s="314"/>
      <c r="W73" s="314"/>
      <c r="X73" s="314"/>
      <c r="Y73" s="314"/>
      <c r="Z73" s="314"/>
      <c r="AA73" s="314"/>
      <c r="AB73" s="314"/>
      <c r="AC73" s="314"/>
      <c r="AD73" s="314"/>
      <c r="AE73" s="314"/>
    </row>
    <row r="74" spans="1:32" s="252" customFormat="1">
      <c r="A74" s="183"/>
      <c r="B74" s="183"/>
      <c r="C74" s="364"/>
      <c r="D74" s="365"/>
      <c r="E74" s="184"/>
      <c r="F74" s="184"/>
      <c r="G74" s="184"/>
      <c r="H74" s="184"/>
      <c r="I74" s="183"/>
      <c r="J74" s="184"/>
      <c r="K74" s="664"/>
      <c r="L74" s="366"/>
      <c r="M74" s="366"/>
      <c r="N74" s="366"/>
      <c r="O74" s="366"/>
      <c r="P74" s="366"/>
      <c r="Q74" s="366"/>
      <c r="R74" s="366"/>
      <c r="S74" s="366"/>
      <c r="T74" s="366"/>
      <c r="U74" s="366"/>
      <c r="V74" s="366"/>
      <c r="W74" s="366"/>
      <c r="X74" s="366"/>
      <c r="Y74" s="366"/>
      <c r="Z74" s="366"/>
      <c r="AA74" s="366"/>
      <c r="AB74" s="366"/>
      <c r="AC74" s="366"/>
      <c r="AD74" s="366"/>
      <c r="AE74" s="366"/>
    </row>
    <row r="75" spans="1:32">
      <c r="A75" s="41" t="s">
        <v>13</v>
      </c>
      <c r="B75" s="41"/>
      <c r="C75" s="105"/>
      <c r="D75" s="106"/>
      <c r="E75" s="37"/>
      <c r="F75" s="37"/>
      <c r="G75" s="37"/>
      <c r="H75" s="37"/>
      <c r="I75" s="41"/>
      <c r="J75" s="37"/>
      <c r="K75" s="683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</row>
    <row r="76" spans="1:32">
      <c r="A76" s="96" t="s">
        <v>418</v>
      </c>
      <c r="B76" s="735" t="s">
        <v>12</v>
      </c>
      <c r="C76" s="663">
        <v>75000</v>
      </c>
      <c r="D76" s="736">
        <f t="shared" ref="D76:D78" si="0">C76/2080</f>
        <v>36.057692307692307</v>
      </c>
      <c r="E76" s="663">
        <v>0</v>
      </c>
      <c r="F76" s="663">
        <f>(C76*$F$13)</f>
        <v>30000</v>
      </c>
      <c r="G76" s="663">
        <f>SUM(C76,E76:F76)</f>
        <v>105000</v>
      </c>
      <c r="H76" s="663"/>
      <c r="I76" s="736"/>
      <c r="J76" s="663"/>
      <c r="K76" s="683">
        <v>0</v>
      </c>
      <c r="L76" s="665">
        <v>0</v>
      </c>
      <c r="M76" s="666">
        <f>G76</f>
        <v>105000</v>
      </c>
      <c r="N76" s="666">
        <f>($G$76*L11)</f>
        <v>107100</v>
      </c>
      <c r="O76" s="666">
        <f t="shared" ref="O76:AE76" si="1">($G$76*M11)</f>
        <v>109242</v>
      </c>
      <c r="P76" s="666">
        <f t="shared" si="1"/>
        <v>111426.84</v>
      </c>
      <c r="Q76" s="666">
        <f t="shared" si="1"/>
        <v>113655.3768</v>
      </c>
      <c r="R76" s="666">
        <f t="shared" si="1"/>
        <v>115928.48433600001</v>
      </c>
      <c r="S76" s="666">
        <f t="shared" si="1"/>
        <v>118247.05402272001</v>
      </c>
      <c r="T76" s="666">
        <f t="shared" si="1"/>
        <v>120611.9951031744</v>
      </c>
      <c r="U76" s="666">
        <f t="shared" si="1"/>
        <v>123024.2350052379</v>
      </c>
      <c r="V76" s="666">
        <f t="shared" si="1"/>
        <v>125484.71970534266</v>
      </c>
      <c r="W76" s="666">
        <f t="shared" si="1"/>
        <v>127994.41409944952</v>
      </c>
      <c r="X76" s="666">
        <f t="shared" si="1"/>
        <v>130554.30238143851</v>
      </c>
      <c r="Y76" s="666">
        <f t="shared" si="1"/>
        <v>133165.38842906727</v>
      </c>
      <c r="Z76" s="666">
        <f t="shared" si="1"/>
        <v>135828.69619764862</v>
      </c>
      <c r="AA76" s="666">
        <f t="shared" si="1"/>
        <v>138545.27012160158</v>
      </c>
      <c r="AB76" s="666">
        <f t="shared" si="1"/>
        <v>141316.17552403364</v>
      </c>
      <c r="AC76" s="666">
        <f t="shared" si="1"/>
        <v>144142.4990345143</v>
      </c>
      <c r="AD76" s="666">
        <f t="shared" si="1"/>
        <v>147025.34901520461</v>
      </c>
      <c r="AE76" s="666">
        <f t="shared" si="1"/>
        <v>149965.8559955087</v>
      </c>
    </row>
    <row r="77" spans="1:32">
      <c r="A77" s="96" t="s">
        <v>417</v>
      </c>
      <c r="B77" s="735" t="s">
        <v>12</v>
      </c>
      <c r="C77" s="663">
        <v>35000</v>
      </c>
      <c r="D77" s="736">
        <f t="shared" si="0"/>
        <v>16.826923076923077</v>
      </c>
      <c r="E77" s="663">
        <v>0</v>
      </c>
      <c r="F77" s="663">
        <f t="shared" ref="F77:F78" si="2">(C77*$F$13)</f>
        <v>14000</v>
      </c>
      <c r="G77" s="663">
        <f t="shared" ref="G77:G78" si="3">SUM(C77,E77:F77)</f>
        <v>49000</v>
      </c>
      <c r="H77" s="663"/>
      <c r="I77" s="736"/>
      <c r="J77" s="663"/>
      <c r="K77" s="683">
        <v>0</v>
      </c>
      <c r="L77" s="665">
        <f>G77*0.25</f>
        <v>12250</v>
      </c>
      <c r="M77" s="666">
        <f>G77*0.5</f>
        <v>24500</v>
      </c>
      <c r="N77" s="666">
        <f>($G$77*0.5*L11)</f>
        <v>24990</v>
      </c>
      <c r="O77" s="666">
        <f t="shared" ref="O77:AE77" si="4">($G$77*0.5*M11)</f>
        <v>25489.8</v>
      </c>
      <c r="P77" s="666">
        <f t="shared" si="4"/>
        <v>25999.595999999998</v>
      </c>
      <c r="Q77" s="666">
        <f t="shared" si="4"/>
        <v>26519.587919999998</v>
      </c>
      <c r="R77" s="666">
        <f t="shared" si="4"/>
        <v>27049.979678399999</v>
      </c>
      <c r="S77" s="666">
        <f t="shared" si="4"/>
        <v>27590.979271968001</v>
      </c>
      <c r="T77" s="666">
        <f t="shared" si="4"/>
        <v>28142.798857407361</v>
      </c>
      <c r="U77" s="666">
        <f t="shared" si="4"/>
        <v>28705.654834555509</v>
      </c>
      <c r="V77" s="666">
        <f t="shared" si="4"/>
        <v>29279.767931246621</v>
      </c>
      <c r="W77" s="666">
        <f t="shared" si="4"/>
        <v>29865.363289871555</v>
      </c>
      <c r="X77" s="666">
        <f t="shared" si="4"/>
        <v>30462.670555668985</v>
      </c>
      <c r="Y77" s="666">
        <f t="shared" si="4"/>
        <v>31071.923966782364</v>
      </c>
      <c r="Z77" s="666">
        <f t="shared" si="4"/>
        <v>31693.362446118008</v>
      </c>
      <c r="AA77" s="666">
        <f t="shared" si="4"/>
        <v>32327.229695040372</v>
      </c>
      <c r="AB77" s="666">
        <f t="shared" si="4"/>
        <v>32973.774288941182</v>
      </c>
      <c r="AC77" s="666">
        <f t="shared" si="4"/>
        <v>33633.249774720003</v>
      </c>
      <c r="AD77" s="666">
        <f t="shared" si="4"/>
        <v>34305.914770214411</v>
      </c>
      <c r="AE77" s="666">
        <f t="shared" si="4"/>
        <v>34992.0330656187</v>
      </c>
    </row>
    <row r="78" spans="1:32">
      <c r="A78" s="737" t="s">
        <v>422</v>
      </c>
      <c r="B78" s="738" t="s">
        <v>15</v>
      </c>
      <c r="C78" s="739">
        <v>15000</v>
      </c>
      <c r="D78" s="740">
        <f t="shared" si="0"/>
        <v>7.2115384615384617</v>
      </c>
      <c r="E78" s="739">
        <f>C78*$L$15</f>
        <v>0</v>
      </c>
      <c r="F78" s="739">
        <f t="shared" si="2"/>
        <v>6000</v>
      </c>
      <c r="G78" s="739">
        <f t="shared" si="3"/>
        <v>21000</v>
      </c>
      <c r="H78" s="739"/>
      <c r="I78" s="740"/>
      <c r="J78" s="739"/>
      <c r="K78" s="741">
        <v>0</v>
      </c>
      <c r="L78" s="742">
        <v>0</v>
      </c>
      <c r="M78" s="742">
        <f t="shared" ref="M78" si="5">G78</f>
        <v>21000</v>
      </c>
      <c r="N78" s="742">
        <f>($G$78*L11)</f>
        <v>21420</v>
      </c>
      <c r="O78" s="742">
        <f t="shared" ref="O78:AE78" si="6">($G$78*M11)</f>
        <v>21848.400000000001</v>
      </c>
      <c r="P78" s="742">
        <f t="shared" si="6"/>
        <v>22285.367999999999</v>
      </c>
      <c r="Q78" s="742">
        <f t="shared" si="6"/>
        <v>22731.075359999999</v>
      </c>
      <c r="R78" s="742">
        <f t="shared" si="6"/>
        <v>23185.6968672</v>
      </c>
      <c r="S78" s="742">
        <f t="shared" si="6"/>
        <v>23649.410804544001</v>
      </c>
      <c r="T78" s="742">
        <f t="shared" si="6"/>
        <v>24122.399020634883</v>
      </c>
      <c r="U78" s="742">
        <f t="shared" si="6"/>
        <v>24604.847001047579</v>
      </c>
      <c r="V78" s="742">
        <f t="shared" si="6"/>
        <v>25096.943941068534</v>
      </c>
      <c r="W78" s="742">
        <f t="shared" si="6"/>
        <v>25598.882819889903</v>
      </c>
      <c r="X78" s="742">
        <f t="shared" si="6"/>
        <v>26110.8604762877</v>
      </c>
      <c r="Y78" s="742">
        <f t="shared" si="6"/>
        <v>26633.077685813456</v>
      </c>
      <c r="Z78" s="742">
        <f t="shared" si="6"/>
        <v>27165.739239529721</v>
      </c>
      <c r="AA78" s="742">
        <f t="shared" si="6"/>
        <v>27709.054024320321</v>
      </c>
      <c r="AB78" s="742">
        <f t="shared" si="6"/>
        <v>28263.235104806728</v>
      </c>
      <c r="AC78" s="742">
        <f t="shared" si="6"/>
        <v>28828.499806902862</v>
      </c>
      <c r="AD78" s="742">
        <f t="shared" si="6"/>
        <v>29405.069803040922</v>
      </c>
      <c r="AE78" s="742">
        <f t="shared" si="6"/>
        <v>29993.17119910174</v>
      </c>
    </row>
    <row r="79" spans="1:32" s="56" customFormat="1" ht="14.25">
      <c r="A79" s="164" t="s">
        <v>416</v>
      </c>
      <c r="B79" s="164"/>
      <c r="C79" s="667">
        <f>SUM(C76:C78)</f>
        <v>125000</v>
      </c>
      <c r="D79" s="667"/>
      <c r="E79" s="667">
        <f>SUM(E76:E78)</f>
        <v>0</v>
      </c>
      <c r="F79" s="667">
        <f>SUM(F76:F78)</f>
        <v>50000</v>
      </c>
      <c r="G79" s="667">
        <f>SUM(G76:G78)</f>
        <v>175000</v>
      </c>
      <c r="H79" s="667"/>
      <c r="I79" s="668"/>
      <c r="J79" s="667"/>
      <c r="K79" s="685">
        <f>SUMIF($B76:$B78,"FT",K76:K78)</f>
        <v>0</v>
      </c>
      <c r="L79" s="669">
        <f t="shared" ref="L79:AE79" si="7">SUM(L76:L78)</f>
        <v>12250</v>
      </c>
      <c r="M79" s="669">
        <f t="shared" si="7"/>
        <v>150500</v>
      </c>
      <c r="N79" s="669">
        <f t="shared" si="7"/>
        <v>153510</v>
      </c>
      <c r="O79" s="669">
        <f t="shared" si="7"/>
        <v>156580.19999999998</v>
      </c>
      <c r="P79" s="669">
        <f t="shared" si="7"/>
        <v>159711.80399999997</v>
      </c>
      <c r="Q79" s="669">
        <f t="shared" si="7"/>
        <v>162906.04007999998</v>
      </c>
      <c r="R79" s="669">
        <f t="shared" si="7"/>
        <v>166164.16088159999</v>
      </c>
      <c r="S79" s="669">
        <f t="shared" si="7"/>
        <v>169487.444099232</v>
      </c>
      <c r="T79" s="669">
        <f t="shared" si="7"/>
        <v>172877.19298121665</v>
      </c>
      <c r="U79" s="669">
        <f t="shared" si="7"/>
        <v>176334.73684084098</v>
      </c>
      <c r="V79" s="669">
        <f t="shared" si="7"/>
        <v>179861.43157765782</v>
      </c>
      <c r="W79" s="669">
        <f t="shared" si="7"/>
        <v>183458.66020921097</v>
      </c>
      <c r="X79" s="669">
        <f t="shared" si="7"/>
        <v>187127.83341339519</v>
      </c>
      <c r="Y79" s="669">
        <f t="shared" si="7"/>
        <v>190870.39008166309</v>
      </c>
      <c r="Z79" s="669">
        <f t="shared" si="7"/>
        <v>194687.79788329633</v>
      </c>
      <c r="AA79" s="669">
        <f t="shared" si="7"/>
        <v>198581.5538409623</v>
      </c>
      <c r="AB79" s="669">
        <f t="shared" si="7"/>
        <v>202553.18491778153</v>
      </c>
      <c r="AC79" s="669">
        <f t="shared" si="7"/>
        <v>206604.24861613716</v>
      </c>
      <c r="AD79" s="669">
        <f t="shared" si="7"/>
        <v>210736.33358845994</v>
      </c>
      <c r="AE79" s="669">
        <f t="shared" si="7"/>
        <v>214951.06026022913</v>
      </c>
    </row>
    <row r="80" spans="1:32" s="56" customFormat="1" ht="14.25">
      <c r="A80" s="164"/>
      <c r="B80" s="164"/>
      <c r="C80" s="667"/>
      <c r="D80" s="667"/>
      <c r="E80" s="667"/>
      <c r="F80" s="667"/>
      <c r="G80" s="667"/>
      <c r="H80" s="667"/>
      <c r="I80" s="668"/>
      <c r="J80" s="667"/>
      <c r="K80" s="685"/>
      <c r="L80" s="669"/>
      <c r="M80" s="669"/>
      <c r="N80" s="669"/>
      <c r="O80" s="669"/>
      <c r="P80" s="669"/>
      <c r="Q80" s="669"/>
      <c r="R80" s="669"/>
      <c r="S80" s="669"/>
      <c r="T80" s="669"/>
      <c r="U80" s="669"/>
      <c r="V80" s="669"/>
      <c r="W80" s="669"/>
      <c r="X80" s="669"/>
      <c r="Y80" s="669"/>
      <c r="Z80" s="669"/>
      <c r="AA80" s="669"/>
      <c r="AB80" s="669"/>
      <c r="AC80" s="669"/>
      <c r="AD80" s="669"/>
      <c r="AE80" s="669"/>
    </row>
    <row r="81" spans="1:35">
      <c r="A81" s="37" t="s">
        <v>411</v>
      </c>
      <c r="B81" s="37"/>
      <c r="C81" s="57"/>
      <c r="E81" s="57"/>
      <c r="F81" s="57"/>
      <c r="G81" s="57"/>
      <c r="H81" s="57"/>
      <c r="I81" s="43"/>
      <c r="J81" s="42"/>
      <c r="K81" s="743">
        <f>COUNTIF(K76:K78,"&gt;100")</f>
        <v>0</v>
      </c>
      <c r="L81" s="496">
        <f t="shared" ref="L81:AE81" si="8">COUNTIF(L76:L77,"&gt;100")</f>
        <v>1</v>
      </c>
      <c r="M81" s="496">
        <f t="shared" si="8"/>
        <v>2</v>
      </c>
      <c r="N81" s="496">
        <f t="shared" si="8"/>
        <v>2</v>
      </c>
      <c r="O81" s="496">
        <f t="shared" si="8"/>
        <v>2</v>
      </c>
      <c r="P81" s="496">
        <f t="shared" si="8"/>
        <v>2</v>
      </c>
      <c r="Q81" s="496">
        <f t="shared" si="8"/>
        <v>2</v>
      </c>
      <c r="R81" s="496">
        <f t="shared" si="8"/>
        <v>2</v>
      </c>
      <c r="S81" s="496">
        <f t="shared" si="8"/>
        <v>2</v>
      </c>
      <c r="T81" s="496">
        <f t="shared" si="8"/>
        <v>2</v>
      </c>
      <c r="U81" s="496">
        <f t="shared" si="8"/>
        <v>2</v>
      </c>
      <c r="V81" s="496">
        <f t="shared" si="8"/>
        <v>2</v>
      </c>
      <c r="W81" s="496">
        <f t="shared" si="8"/>
        <v>2</v>
      </c>
      <c r="X81" s="496">
        <f t="shared" si="8"/>
        <v>2</v>
      </c>
      <c r="Y81" s="496">
        <f t="shared" si="8"/>
        <v>2</v>
      </c>
      <c r="Z81" s="496">
        <f t="shared" si="8"/>
        <v>2</v>
      </c>
      <c r="AA81" s="496">
        <f t="shared" si="8"/>
        <v>2</v>
      </c>
      <c r="AB81" s="496">
        <f t="shared" si="8"/>
        <v>2</v>
      </c>
      <c r="AC81" s="496">
        <f t="shared" si="8"/>
        <v>2</v>
      </c>
      <c r="AD81" s="496">
        <f t="shared" si="8"/>
        <v>2</v>
      </c>
      <c r="AE81" s="496">
        <f t="shared" si="8"/>
        <v>2</v>
      </c>
      <c r="AF81" s="744"/>
    </row>
    <row r="82" spans="1:35">
      <c r="A82" s="745" t="s">
        <v>412</v>
      </c>
      <c r="B82" s="745"/>
      <c r="C82" s="746"/>
      <c r="D82" s="116"/>
      <c r="E82" s="746"/>
      <c r="F82" s="746"/>
      <c r="G82" s="746"/>
      <c r="H82" s="746"/>
      <c r="I82" s="747"/>
      <c r="J82" s="748"/>
      <c r="K82" s="749">
        <f t="shared" ref="K82" si="9">K83-K81</f>
        <v>0</v>
      </c>
      <c r="L82" s="750">
        <f t="shared" ref="L82:AE82" si="10">COUNTIF(L78:L78,"&gt;100")</f>
        <v>0</v>
      </c>
      <c r="M82" s="750">
        <f t="shared" si="10"/>
        <v>1</v>
      </c>
      <c r="N82" s="750">
        <f t="shared" si="10"/>
        <v>1</v>
      </c>
      <c r="O82" s="750">
        <f t="shared" si="10"/>
        <v>1</v>
      </c>
      <c r="P82" s="750">
        <f t="shared" si="10"/>
        <v>1</v>
      </c>
      <c r="Q82" s="750">
        <f t="shared" si="10"/>
        <v>1</v>
      </c>
      <c r="R82" s="750">
        <f t="shared" si="10"/>
        <v>1</v>
      </c>
      <c r="S82" s="750">
        <f t="shared" si="10"/>
        <v>1</v>
      </c>
      <c r="T82" s="750">
        <f t="shared" si="10"/>
        <v>1</v>
      </c>
      <c r="U82" s="750">
        <f t="shared" si="10"/>
        <v>1</v>
      </c>
      <c r="V82" s="750">
        <f t="shared" si="10"/>
        <v>1</v>
      </c>
      <c r="W82" s="750">
        <f t="shared" si="10"/>
        <v>1</v>
      </c>
      <c r="X82" s="750">
        <f t="shared" si="10"/>
        <v>1</v>
      </c>
      <c r="Y82" s="750">
        <f t="shared" si="10"/>
        <v>1</v>
      </c>
      <c r="Z82" s="750">
        <f t="shared" si="10"/>
        <v>1</v>
      </c>
      <c r="AA82" s="750">
        <f t="shared" si="10"/>
        <v>1</v>
      </c>
      <c r="AB82" s="750">
        <f t="shared" si="10"/>
        <v>1</v>
      </c>
      <c r="AC82" s="750">
        <f t="shared" si="10"/>
        <v>1</v>
      </c>
      <c r="AD82" s="750">
        <f t="shared" si="10"/>
        <v>1</v>
      </c>
      <c r="AE82" s="750">
        <f t="shared" si="10"/>
        <v>1</v>
      </c>
    </row>
    <row r="83" spans="1:35" s="56" customFormat="1" ht="14.25">
      <c r="A83" s="164" t="s">
        <v>413</v>
      </c>
      <c r="B83" s="164"/>
      <c r="C83" s="75"/>
      <c r="D83" s="173"/>
      <c r="E83" s="75"/>
      <c r="F83" s="75"/>
      <c r="G83" s="75"/>
      <c r="H83" s="75"/>
      <c r="I83" s="174"/>
      <c r="J83" s="181"/>
      <c r="K83" s="751">
        <f>COUNTIF(K76:K78,"&gt;0")</f>
        <v>0</v>
      </c>
      <c r="L83" s="752">
        <f>SUM(L81:L82)</f>
        <v>1</v>
      </c>
      <c r="M83" s="752">
        <f t="shared" ref="M83:AE83" si="11">SUM(M81:M82)</f>
        <v>3</v>
      </c>
      <c r="N83" s="752">
        <f t="shared" si="11"/>
        <v>3</v>
      </c>
      <c r="O83" s="752">
        <f t="shared" si="11"/>
        <v>3</v>
      </c>
      <c r="P83" s="752">
        <f t="shared" si="11"/>
        <v>3</v>
      </c>
      <c r="Q83" s="752">
        <f t="shared" si="11"/>
        <v>3</v>
      </c>
      <c r="R83" s="752">
        <f t="shared" si="11"/>
        <v>3</v>
      </c>
      <c r="S83" s="752">
        <f t="shared" si="11"/>
        <v>3</v>
      </c>
      <c r="T83" s="752">
        <f t="shared" si="11"/>
        <v>3</v>
      </c>
      <c r="U83" s="752">
        <f t="shared" si="11"/>
        <v>3</v>
      </c>
      <c r="V83" s="752">
        <f t="shared" si="11"/>
        <v>3</v>
      </c>
      <c r="W83" s="752">
        <f t="shared" si="11"/>
        <v>3</v>
      </c>
      <c r="X83" s="752">
        <f t="shared" si="11"/>
        <v>3</v>
      </c>
      <c r="Y83" s="752">
        <f t="shared" si="11"/>
        <v>3</v>
      </c>
      <c r="Z83" s="752">
        <f t="shared" si="11"/>
        <v>3</v>
      </c>
      <c r="AA83" s="752">
        <f t="shared" si="11"/>
        <v>3</v>
      </c>
      <c r="AB83" s="752">
        <f t="shared" si="11"/>
        <v>3</v>
      </c>
      <c r="AC83" s="752">
        <f t="shared" si="11"/>
        <v>3</v>
      </c>
      <c r="AD83" s="752">
        <f t="shared" si="11"/>
        <v>3</v>
      </c>
      <c r="AE83" s="752">
        <f t="shared" si="11"/>
        <v>3</v>
      </c>
    </row>
    <row r="84" spans="1:35" s="56" customFormat="1" ht="14.25">
      <c r="A84" s="164"/>
      <c r="B84" s="164"/>
      <c r="C84" s="75"/>
      <c r="D84" s="173"/>
      <c r="E84" s="75"/>
      <c r="F84" s="75"/>
      <c r="G84" s="75"/>
      <c r="H84" s="75"/>
      <c r="I84" s="174"/>
      <c r="J84" s="181"/>
      <c r="K84" s="685"/>
      <c r="L84" s="315"/>
      <c r="M84" s="315"/>
      <c r="N84" s="315"/>
      <c r="O84" s="315"/>
      <c r="P84" s="315"/>
      <c r="Q84" s="315"/>
      <c r="R84" s="315"/>
      <c r="S84" s="315"/>
      <c r="T84" s="315"/>
      <c r="U84" s="315"/>
      <c r="V84" s="315"/>
      <c r="W84" s="315"/>
      <c r="X84" s="315"/>
      <c r="Y84" s="315"/>
      <c r="Z84" s="315"/>
      <c r="AA84" s="315"/>
      <c r="AB84" s="315"/>
      <c r="AC84" s="315"/>
      <c r="AD84" s="315"/>
      <c r="AE84" s="315"/>
    </row>
    <row r="85" spans="1:35">
      <c r="A85" s="48" t="s">
        <v>68</v>
      </c>
      <c r="B85" s="48"/>
      <c r="C85" s="77"/>
      <c r="D85" s="76"/>
      <c r="E85" s="57"/>
      <c r="F85" s="57"/>
      <c r="G85" s="77"/>
      <c r="H85" s="77"/>
      <c r="I85" s="50"/>
      <c r="J85" s="49"/>
      <c r="K85" s="683"/>
      <c r="L85" s="316"/>
      <c r="M85" s="316"/>
      <c r="N85" s="316"/>
      <c r="O85" s="316"/>
      <c r="P85" s="316"/>
      <c r="Q85" s="316"/>
      <c r="R85" s="316"/>
      <c r="S85" s="316"/>
      <c r="T85" s="316"/>
      <c r="U85" s="316"/>
      <c r="V85" s="316"/>
      <c r="W85" s="316"/>
      <c r="X85" s="316"/>
      <c r="Y85" s="316"/>
      <c r="Z85" s="316"/>
      <c r="AA85" s="316"/>
      <c r="AB85" s="316"/>
      <c r="AC85" s="316"/>
      <c r="AD85" s="316"/>
      <c r="AE85" s="316"/>
    </row>
    <row r="86" spans="1:35" s="68" customFormat="1" ht="14.25">
      <c r="A86" s="214" t="s">
        <v>80</v>
      </c>
      <c r="B86" s="189"/>
      <c r="C86" s="209"/>
      <c r="D86" s="210"/>
      <c r="E86" s="211"/>
      <c r="F86" s="211"/>
      <c r="G86" s="209"/>
      <c r="H86" s="209"/>
      <c r="I86" s="213"/>
      <c r="J86" s="212"/>
      <c r="K86" s="686"/>
      <c r="L86" s="317"/>
      <c r="M86" s="317"/>
      <c r="N86" s="317"/>
      <c r="O86" s="317"/>
      <c r="P86" s="317"/>
      <c r="Q86" s="317"/>
      <c r="R86" s="317"/>
      <c r="S86" s="317"/>
      <c r="T86" s="317"/>
      <c r="U86" s="317"/>
      <c r="V86" s="317"/>
      <c r="W86" s="317"/>
      <c r="X86" s="317"/>
      <c r="Y86" s="317"/>
      <c r="Z86" s="317"/>
      <c r="AA86" s="317"/>
      <c r="AB86" s="317"/>
      <c r="AC86" s="317"/>
      <c r="AD86" s="317"/>
      <c r="AE86" s="317"/>
    </row>
    <row r="87" spans="1:35">
      <c r="A87" s="37" t="s">
        <v>41</v>
      </c>
      <c r="B87" s="37"/>
      <c r="C87" s="110"/>
      <c r="D87" s="106"/>
      <c r="E87" s="57"/>
      <c r="F87" s="57"/>
      <c r="G87" s="57"/>
      <c r="H87" s="57"/>
      <c r="I87" s="51"/>
      <c r="J87" s="663"/>
      <c r="K87" s="683">
        <f>K$83*$J87*R$9</f>
        <v>0</v>
      </c>
      <c r="L87" s="666">
        <v>25000</v>
      </c>
      <c r="M87" s="666">
        <f>$L$87*L11</f>
        <v>25500</v>
      </c>
      <c r="N87" s="666">
        <f t="shared" ref="N87:AE87" si="12">$L$87*M11</f>
        <v>26010</v>
      </c>
      <c r="O87" s="666">
        <f t="shared" si="12"/>
        <v>26530.199999999997</v>
      </c>
      <c r="P87" s="666">
        <f t="shared" si="12"/>
        <v>27060.804</v>
      </c>
      <c r="Q87" s="666">
        <f t="shared" si="12"/>
        <v>27602.020080000002</v>
      </c>
      <c r="R87" s="666">
        <f t="shared" si="12"/>
        <v>28154.060481600001</v>
      </c>
      <c r="S87" s="666">
        <f t="shared" si="12"/>
        <v>28717.141691232002</v>
      </c>
      <c r="T87" s="666">
        <f t="shared" si="12"/>
        <v>29291.484525056643</v>
      </c>
      <c r="U87" s="666">
        <f t="shared" si="12"/>
        <v>29877.314215557777</v>
      </c>
      <c r="V87" s="666">
        <f t="shared" si="12"/>
        <v>30474.860499868933</v>
      </c>
      <c r="W87" s="666">
        <f t="shared" si="12"/>
        <v>31084.357709866312</v>
      </c>
      <c r="X87" s="666">
        <f t="shared" si="12"/>
        <v>31706.044864063639</v>
      </c>
      <c r="Y87" s="666">
        <f t="shared" si="12"/>
        <v>32340.165761344906</v>
      </c>
      <c r="Z87" s="666">
        <f t="shared" si="12"/>
        <v>32986.969076571811</v>
      </c>
      <c r="AA87" s="666">
        <f t="shared" si="12"/>
        <v>33646.708458103247</v>
      </c>
      <c r="AB87" s="666">
        <f t="shared" si="12"/>
        <v>34319.642627265312</v>
      </c>
      <c r="AC87" s="666">
        <f t="shared" si="12"/>
        <v>35006.03547981062</v>
      </c>
      <c r="AD87" s="666">
        <f t="shared" si="12"/>
        <v>35706.156189406836</v>
      </c>
      <c r="AE87" s="666">
        <f t="shared" si="12"/>
        <v>36420.279313194973</v>
      </c>
    </row>
    <row r="88" spans="1:35">
      <c r="A88" s="37" t="s">
        <v>424</v>
      </c>
      <c r="B88" s="37"/>
      <c r="C88" s="110"/>
      <c r="D88" s="106"/>
      <c r="E88" s="57"/>
      <c r="F88" s="57"/>
      <c r="G88" s="57"/>
      <c r="H88" s="57"/>
      <c r="I88" s="51"/>
      <c r="J88" s="663"/>
      <c r="K88" s="683">
        <f>K$83*$J88*R$9</f>
        <v>0</v>
      </c>
      <c r="L88" s="666">
        <v>10000</v>
      </c>
      <c r="M88" s="666">
        <v>500</v>
      </c>
      <c r="N88" s="666">
        <f>$M$88*M11</f>
        <v>520.20000000000005</v>
      </c>
      <c r="O88" s="666">
        <f>$M$88*N11</f>
        <v>530.60399999999993</v>
      </c>
      <c r="P88" s="666">
        <f>$M$88*O11</f>
        <v>541.21608000000003</v>
      </c>
      <c r="Q88" s="666">
        <v>5000</v>
      </c>
      <c r="R88" s="666">
        <f>$M$88*Q11</f>
        <v>563.08120963200008</v>
      </c>
      <c r="S88" s="666">
        <f>$M$88*R11</f>
        <v>574.34283382464002</v>
      </c>
      <c r="T88" s="666">
        <f>$M$88*S11</f>
        <v>585.82969050113286</v>
      </c>
      <c r="U88" s="666">
        <f>$M$88*T11</f>
        <v>597.54628431115555</v>
      </c>
      <c r="V88" s="666">
        <v>5000</v>
      </c>
      <c r="W88" s="666">
        <f>$M$88*V11</f>
        <v>621.68715419732621</v>
      </c>
      <c r="X88" s="666">
        <f>$M$88*W11</f>
        <v>634.12089728127273</v>
      </c>
      <c r="Y88" s="666">
        <f>$M$88*X11</f>
        <v>646.80331522689812</v>
      </c>
      <c r="Z88" s="666">
        <f>$M$88*Y11</f>
        <v>659.73938153143615</v>
      </c>
      <c r="AA88" s="666">
        <v>5000</v>
      </c>
      <c r="AB88" s="666">
        <f>$M$88*AA11</f>
        <v>686.39285254530625</v>
      </c>
      <c r="AC88" s="666">
        <f>$M$88*AB11</f>
        <v>700.12070959621246</v>
      </c>
      <c r="AD88" s="666">
        <f>$M$88*AC11</f>
        <v>714.1231237881367</v>
      </c>
      <c r="AE88" s="666">
        <f>$M$88*AD11</f>
        <v>728.40558626389941</v>
      </c>
    </row>
    <row r="89" spans="1:35">
      <c r="A89" s="37" t="s">
        <v>42</v>
      </c>
      <c r="B89" s="37"/>
      <c r="C89" s="110"/>
      <c r="D89" s="106"/>
      <c r="E89" s="57"/>
      <c r="F89" s="57"/>
      <c r="G89" s="57"/>
      <c r="H89" s="57"/>
      <c r="I89" s="51"/>
      <c r="J89" s="663"/>
      <c r="K89" s="683">
        <f>K$83*$J89*R$9</f>
        <v>0</v>
      </c>
      <c r="L89" s="666">
        <v>50000</v>
      </c>
      <c r="M89" s="666">
        <f t="shared" ref="M89:AE89" si="13">($L$89*L11)</f>
        <v>51000</v>
      </c>
      <c r="N89" s="666">
        <f t="shared" si="13"/>
        <v>52020</v>
      </c>
      <c r="O89" s="666">
        <f t="shared" si="13"/>
        <v>53060.399999999994</v>
      </c>
      <c r="P89" s="666">
        <f t="shared" si="13"/>
        <v>54121.608</v>
      </c>
      <c r="Q89" s="666">
        <f t="shared" si="13"/>
        <v>55204.040160000004</v>
      </c>
      <c r="R89" s="666">
        <f t="shared" si="13"/>
        <v>56308.120963200003</v>
      </c>
      <c r="S89" s="666">
        <f t="shared" si="13"/>
        <v>57434.283382464004</v>
      </c>
      <c r="T89" s="666">
        <f t="shared" si="13"/>
        <v>58582.969050113286</v>
      </c>
      <c r="U89" s="666">
        <f t="shared" si="13"/>
        <v>59754.628431115554</v>
      </c>
      <c r="V89" s="666">
        <f t="shared" si="13"/>
        <v>60949.720999737867</v>
      </c>
      <c r="W89" s="666">
        <f t="shared" si="13"/>
        <v>62168.715419732624</v>
      </c>
      <c r="X89" s="666">
        <f t="shared" si="13"/>
        <v>63412.089728127277</v>
      </c>
      <c r="Y89" s="666">
        <f t="shared" si="13"/>
        <v>64680.331522689812</v>
      </c>
      <c r="Z89" s="666">
        <f t="shared" si="13"/>
        <v>65973.938153143623</v>
      </c>
      <c r="AA89" s="666">
        <f t="shared" si="13"/>
        <v>67293.416916206494</v>
      </c>
      <c r="AB89" s="666">
        <f t="shared" si="13"/>
        <v>68639.285254530623</v>
      </c>
      <c r="AC89" s="666">
        <f t="shared" si="13"/>
        <v>70012.07095962124</v>
      </c>
      <c r="AD89" s="666">
        <f t="shared" si="13"/>
        <v>71412.312378813673</v>
      </c>
      <c r="AE89" s="666">
        <f t="shared" si="13"/>
        <v>72840.558626389946</v>
      </c>
    </row>
    <row r="90" spans="1:35">
      <c r="A90" s="37" t="s">
        <v>43</v>
      </c>
      <c r="B90" s="37"/>
      <c r="C90" s="110"/>
      <c r="D90" s="106"/>
      <c r="E90" s="57"/>
      <c r="F90" s="57"/>
      <c r="G90" s="57"/>
      <c r="H90" s="57"/>
      <c r="I90" s="51" t="s">
        <v>8</v>
      </c>
      <c r="J90" s="663">
        <v>500</v>
      </c>
      <c r="K90" s="683">
        <v>0</v>
      </c>
      <c r="L90" s="666">
        <f>J90*L83</f>
        <v>500</v>
      </c>
      <c r="M90" s="666">
        <f t="shared" ref="M90:AE90" si="14">$J$90*M83*L11</f>
        <v>1530</v>
      </c>
      <c r="N90" s="666">
        <f t="shared" si="14"/>
        <v>1560.6</v>
      </c>
      <c r="O90" s="666">
        <f t="shared" si="14"/>
        <v>1591.8119999999999</v>
      </c>
      <c r="P90" s="666">
        <f t="shared" si="14"/>
        <v>1623.64824</v>
      </c>
      <c r="Q90" s="666">
        <f t="shared" si="14"/>
        <v>1656.1212048</v>
      </c>
      <c r="R90" s="666">
        <f t="shared" si="14"/>
        <v>1689.243628896</v>
      </c>
      <c r="S90" s="666">
        <f t="shared" si="14"/>
        <v>1723.02850147392</v>
      </c>
      <c r="T90" s="666">
        <f t="shared" si="14"/>
        <v>1757.4890715033987</v>
      </c>
      <c r="U90" s="666">
        <f t="shared" si="14"/>
        <v>1792.6388529334665</v>
      </c>
      <c r="V90" s="666">
        <f t="shared" si="14"/>
        <v>1828.491629992136</v>
      </c>
      <c r="W90" s="666">
        <f t="shared" si="14"/>
        <v>1865.0614625919786</v>
      </c>
      <c r="X90" s="666">
        <f t="shared" si="14"/>
        <v>1902.3626918438183</v>
      </c>
      <c r="Y90" s="666">
        <f t="shared" si="14"/>
        <v>1940.4099456806944</v>
      </c>
      <c r="Z90" s="666">
        <f t="shared" si="14"/>
        <v>1979.2181445943086</v>
      </c>
      <c r="AA90" s="666">
        <f t="shared" si="14"/>
        <v>2018.8025074861948</v>
      </c>
      <c r="AB90" s="666">
        <f t="shared" si="14"/>
        <v>2059.1785576359189</v>
      </c>
      <c r="AC90" s="666">
        <f t="shared" si="14"/>
        <v>2100.3621287886372</v>
      </c>
      <c r="AD90" s="666">
        <f t="shared" si="14"/>
        <v>2142.3693713644102</v>
      </c>
      <c r="AE90" s="666">
        <f t="shared" si="14"/>
        <v>2185.2167587916983</v>
      </c>
    </row>
    <row r="91" spans="1:35">
      <c r="A91" s="37" t="s">
        <v>44</v>
      </c>
      <c r="B91" s="37"/>
      <c r="C91" s="110"/>
      <c r="D91" s="106"/>
      <c r="E91" s="57"/>
      <c r="F91" s="57"/>
      <c r="G91" s="57"/>
      <c r="H91" s="57"/>
      <c r="I91" s="51" t="s">
        <v>8</v>
      </c>
      <c r="J91" s="663">
        <v>250</v>
      </c>
      <c r="K91" s="683">
        <v>0</v>
      </c>
      <c r="L91" s="666">
        <f>J91*L83</f>
        <v>250</v>
      </c>
      <c r="M91" s="666">
        <f t="shared" ref="M91:AE91" si="15">$J$91*M83*L11</f>
        <v>765</v>
      </c>
      <c r="N91" s="666">
        <f t="shared" si="15"/>
        <v>780.3</v>
      </c>
      <c r="O91" s="666">
        <f t="shared" si="15"/>
        <v>795.90599999999995</v>
      </c>
      <c r="P91" s="666">
        <f t="shared" si="15"/>
        <v>811.82411999999999</v>
      </c>
      <c r="Q91" s="666">
        <f t="shared" si="15"/>
        <v>828.06060239999999</v>
      </c>
      <c r="R91" s="666">
        <f t="shared" si="15"/>
        <v>844.62181444800001</v>
      </c>
      <c r="S91" s="666">
        <f t="shared" si="15"/>
        <v>861.51425073695998</v>
      </c>
      <c r="T91" s="666">
        <f t="shared" si="15"/>
        <v>878.74453575169935</v>
      </c>
      <c r="U91" s="666">
        <f t="shared" si="15"/>
        <v>896.31942646673326</v>
      </c>
      <c r="V91" s="666">
        <f t="shared" si="15"/>
        <v>914.24581499606802</v>
      </c>
      <c r="W91" s="666">
        <f t="shared" si="15"/>
        <v>932.53073129598931</v>
      </c>
      <c r="X91" s="666">
        <f t="shared" si="15"/>
        <v>951.18134592190916</v>
      </c>
      <c r="Y91" s="666">
        <f t="shared" si="15"/>
        <v>970.20497284034718</v>
      </c>
      <c r="Z91" s="666">
        <f t="shared" si="15"/>
        <v>989.60907229715428</v>
      </c>
      <c r="AA91" s="666">
        <f t="shared" si="15"/>
        <v>1009.4012537430974</v>
      </c>
      <c r="AB91" s="666">
        <f t="shared" si="15"/>
        <v>1029.5892788179594</v>
      </c>
      <c r="AC91" s="666">
        <f t="shared" si="15"/>
        <v>1050.1810643943186</v>
      </c>
      <c r="AD91" s="666">
        <f t="shared" si="15"/>
        <v>1071.1846856822051</v>
      </c>
      <c r="AE91" s="666">
        <f t="shared" si="15"/>
        <v>1092.6083793958492</v>
      </c>
      <c r="AF91" s="44"/>
    </row>
    <row r="92" spans="1:35">
      <c r="A92" s="745" t="s">
        <v>2</v>
      </c>
      <c r="B92" s="745"/>
      <c r="C92" s="753"/>
      <c r="D92" s="754"/>
      <c r="E92" s="746"/>
      <c r="F92" s="746"/>
      <c r="G92" s="746"/>
      <c r="H92" s="746"/>
      <c r="I92" s="755"/>
      <c r="J92" s="739"/>
      <c r="K92" s="741">
        <v>0</v>
      </c>
      <c r="L92" s="742">
        <v>1000</v>
      </c>
      <c r="M92" s="742">
        <f t="shared" ref="M92:AE92" si="16">($L$92*L11)</f>
        <v>1020</v>
      </c>
      <c r="N92" s="742">
        <f t="shared" si="16"/>
        <v>1040.4000000000001</v>
      </c>
      <c r="O92" s="742">
        <f t="shared" si="16"/>
        <v>1061.2079999999999</v>
      </c>
      <c r="P92" s="742">
        <f t="shared" si="16"/>
        <v>1082.4321600000001</v>
      </c>
      <c r="Q92" s="742">
        <f t="shared" si="16"/>
        <v>1104.0808032</v>
      </c>
      <c r="R92" s="742">
        <f t="shared" si="16"/>
        <v>1126.1624192640002</v>
      </c>
      <c r="S92" s="742">
        <f t="shared" si="16"/>
        <v>1148.68566764928</v>
      </c>
      <c r="T92" s="742">
        <f t="shared" si="16"/>
        <v>1171.6593810022657</v>
      </c>
      <c r="U92" s="742">
        <f t="shared" si="16"/>
        <v>1195.0925686223111</v>
      </c>
      <c r="V92" s="742">
        <f t="shared" si="16"/>
        <v>1218.9944199947574</v>
      </c>
      <c r="W92" s="742">
        <f t="shared" si="16"/>
        <v>1243.3743083946524</v>
      </c>
      <c r="X92" s="742">
        <f t="shared" si="16"/>
        <v>1268.2417945625455</v>
      </c>
      <c r="Y92" s="742">
        <f t="shared" si="16"/>
        <v>1293.6066304537962</v>
      </c>
      <c r="Z92" s="742">
        <f t="shared" si="16"/>
        <v>1319.4787630628723</v>
      </c>
      <c r="AA92" s="742">
        <f t="shared" si="16"/>
        <v>1345.8683383241298</v>
      </c>
      <c r="AB92" s="742">
        <f t="shared" si="16"/>
        <v>1372.7857050906125</v>
      </c>
      <c r="AC92" s="742">
        <f t="shared" si="16"/>
        <v>1400.2414191924249</v>
      </c>
      <c r="AD92" s="742">
        <f t="shared" si="16"/>
        <v>1428.2462475762734</v>
      </c>
      <c r="AE92" s="742">
        <f t="shared" si="16"/>
        <v>1456.8111725277988</v>
      </c>
    </row>
    <row r="93" spans="1:35" s="56" customFormat="1" ht="14.25">
      <c r="A93" s="164" t="s">
        <v>409</v>
      </c>
      <c r="B93" s="215"/>
      <c r="C93" s="216"/>
      <c r="D93" s="217"/>
      <c r="E93" s="218"/>
      <c r="F93" s="218"/>
      <c r="G93" s="218"/>
      <c r="H93" s="218"/>
      <c r="I93" s="219"/>
      <c r="J93" s="756"/>
      <c r="K93" s="687">
        <f>SUM(K87:K92)</f>
        <v>0</v>
      </c>
      <c r="L93" s="757">
        <f>SUM(L87:L92)</f>
        <v>86750</v>
      </c>
      <c r="M93" s="757">
        <f t="shared" ref="M93:AE93" si="17">SUM(M87:M92)</f>
        <v>80315</v>
      </c>
      <c r="N93" s="757">
        <f t="shared" si="17"/>
        <v>81931.5</v>
      </c>
      <c r="O93" s="757">
        <f t="shared" si="17"/>
        <v>83570.13</v>
      </c>
      <c r="P93" s="757">
        <f t="shared" si="17"/>
        <v>85241.532599999991</v>
      </c>
      <c r="Q93" s="757">
        <f t="shared" si="17"/>
        <v>91394.322850400014</v>
      </c>
      <c r="R93" s="757">
        <f t="shared" si="17"/>
        <v>88685.290517040004</v>
      </c>
      <c r="S93" s="757">
        <f t="shared" si="17"/>
        <v>90458.996327380795</v>
      </c>
      <c r="T93" s="757">
        <f t="shared" si="17"/>
        <v>92268.176253928425</v>
      </c>
      <c r="U93" s="757">
        <f t="shared" si="17"/>
        <v>94113.539779006998</v>
      </c>
      <c r="V93" s="757">
        <f t="shared" si="17"/>
        <v>100386.31336458978</v>
      </c>
      <c r="W93" s="757">
        <f t="shared" si="17"/>
        <v>97915.726786078885</v>
      </c>
      <c r="X93" s="757">
        <f t="shared" si="17"/>
        <v>99874.041321800469</v>
      </c>
      <c r="Y93" s="757">
        <f t="shared" si="17"/>
        <v>101871.52214823647</v>
      </c>
      <c r="Z93" s="757">
        <f t="shared" si="17"/>
        <v>103908.9525912012</v>
      </c>
      <c r="AA93" s="757">
        <f t="shared" si="17"/>
        <v>110314.19747386317</v>
      </c>
      <c r="AB93" s="757">
        <f t="shared" si="17"/>
        <v>108106.87427588576</v>
      </c>
      <c r="AC93" s="757">
        <f t="shared" si="17"/>
        <v>110269.01176140344</v>
      </c>
      <c r="AD93" s="757">
        <f t="shared" si="17"/>
        <v>112474.39199663154</v>
      </c>
      <c r="AE93" s="757">
        <f t="shared" si="17"/>
        <v>114723.87983656416</v>
      </c>
    </row>
    <row r="94" spans="1:35" s="56" customFormat="1" ht="14.25">
      <c r="A94" s="164"/>
      <c r="B94" s="215"/>
      <c r="C94" s="216"/>
      <c r="D94" s="217"/>
      <c r="E94" s="218"/>
      <c r="F94" s="218"/>
      <c r="G94" s="218"/>
      <c r="H94" s="218"/>
      <c r="I94" s="219"/>
      <c r="J94" s="220"/>
      <c r="K94" s="687"/>
      <c r="L94" s="318"/>
      <c r="M94" s="318"/>
      <c r="N94" s="318"/>
      <c r="O94" s="318"/>
      <c r="P94" s="318"/>
      <c r="Q94" s="318"/>
      <c r="R94" s="318"/>
      <c r="S94" s="318"/>
      <c r="T94" s="318"/>
      <c r="U94" s="318"/>
      <c r="V94" s="318"/>
      <c r="W94" s="318"/>
      <c r="X94" s="318"/>
      <c r="Y94" s="318"/>
      <c r="Z94" s="318"/>
      <c r="AA94" s="318"/>
      <c r="AB94" s="318"/>
      <c r="AC94" s="318"/>
      <c r="AD94" s="318"/>
      <c r="AE94" s="318"/>
    </row>
    <row r="95" spans="1:35" s="56" customFormat="1" ht="14.25">
      <c r="A95" s="720" t="s">
        <v>26</v>
      </c>
      <c r="B95" s="215"/>
      <c r="C95" s="218"/>
      <c r="D95" s="721"/>
      <c r="E95" s="218"/>
      <c r="F95" s="218"/>
      <c r="G95" s="218"/>
      <c r="H95" s="218"/>
      <c r="I95" s="722"/>
      <c r="J95" s="220"/>
      <c r="K95" s="687"/>
      <c r="L95" s="318"/>
      <c r="M95" s="318"/>
      <c r="N95" s="318"/>
      <c r="O95" s="318"/>
      <c r="P95" s="318"/>
      <c r="Q95" s="318"/>
      <c r="R95" s="318"/>
      <c r="S95" s="318"/>
      <c r="T95" s="318"/>
      <c r="U95" s="318"/>
      <c r="V95" s="318"/>
      <c r="W95" s="318"/>
      <c r="X95" s="318"/>
      <c r="Y95" s="318"/>
      <c r="Z95" s="318"/>
      <c r="AA95" s="318"/>
      <c r="AB95" s="318"/>
      <c r="AC95" s="318"/>
      <c r="AD95" s="318"/>
      <c r="AE95" s="318"/>
      <c r="AF95" s="723"/>
      <c r="AG95" s="723"/>
      <c r="AH95" s="723"/>
      <c r="AI95" s="723"/>
    </row>
    <row r="96" spans="1:35">
      <c r="A96" s="190" t="s">
        <v>41</v>
      </c>
      <c r="B96" s="190"/>
      <c r="C96" s="194"/>
      <c r="D96" s="758"/>
      <c r="E96" s="194"/>
      <c r="F96" s="194"/>
      <c r="G96" s="759"/>
      <c r="H96" s="759"/>
      <c r="I96" s="760"/>
      <c r="J96" s="761"/>
      <c r="K96" s="689">
        <v>0</v>
      </c>
      <c r="L96" s="665">
        <v>1000</v>
      </c>
      <c r="M96" s="665">
        <f>$L$96*L11</f>
        <v>1020</v>
      </c>
      <c r="N96" s="665">
        <f t="shared" ref="N96:P96" si="18">$L$96*M11</f>
        <v>1040.4000000000001</v>
      </c>
      <c r="O96" s="665">
        <f t="shared" si="18"/>
        <v>1061.2079999999999</v>
      </c>
      <c r="P96" s="665">
        <f t="shared" si="18"/>
        <v>1082.4321600000001</v>
      </c>
      <c r="Q96" s="665">
        <v>25000</v>
      </c>
      <c r="R96" s="665">
        <f>$Q$96*L11</f>
        <v>25500</v>
      </c>
      <c r="S96" s="665">
        <f t="shared" ref="S96:AE96" si="19">$Q$96*M11</f>
        <v>26010</v>
      </c>
      <c r="T96" s="665">
        <f t="shared" si="19"/>
        <v>26530.199999999997</v>
      </c>
      <c r="U96" s="665">
        <f t="shared" si="19"/>
        <v>27060.804</v>
      </c>
      <c r="V96" s="665">
        <f t="shared" si="19"/>
        <v>27602.020080000002</v>
      </c>
      <c r="W96" s="665">
        <f t="shared" si="19"/>
        <v>28154.060481600001</v>
      </c>
      <c r="X96" s="665">
        <f t="shared" si="19"/>
        <v>28717.141691232002</v>
      </c>
      <c r="Y96" s="665">
        <f t="shared" si="19"/>
        <v>29291.484525056643</v>
      </c>
      <c r="Z96" s="665">
        <f t="shared" si="19"/>
        <v>29877.314215557777</v>
      </c>
      <c r="AA96" s="665">
        <f t="shared" si="19"/>
        <v>30474.860499868933</v>
      </c>
      <c r="AB96" s="665">
        <f t="shared" si="19"/>
        <v>31084.357709866312</v>
      </c>
      <c r="AC96" s="665">
        <f t="shared" si="19"/>
        <v>31706.044864063639</v>
      </c>
      <c r="AD96" s="665">
        <f t="shared" si="19"/>
        <v>32340.165761344906</v>
      </c>
      <c r="AE96" s="665">
        <f t="shared" si="19"/>
        <v>32986.969076571811</v>
      </c>
      <c r="AF96" s="55"/>
      <c r="AG96" s="55"/>
      <c r="AH96" s="55"/>
      <c r="AI96" s="55"/>
    </row>
    <row r="97" spans="1:33">
      <c r="A97" s="745" t="s">
        <v>302</v>
      </c>
      <c r="B97" s="745"/>
      <c r="C97" s="746"/>
      <c r="D97" s="116"/>
      <c r="E97" s="746"/>
      <c r="F97" s="746"/>
      <c r="G97" s="753"/>
      <c r="H97" s="753"/>
      <c r="I97" s="755"/>
      <c r="J97" s="762"/>
      <c r="K97" s="741">
        <v>0</v>
      </c>
      <c r="L97" s="742">
        <f>'Shuttle Projections'!C28/2</f>
        <v>233675</v>
      </c>
      <c r="M97" s="742">
        <f>'Shuttle Projections'!D28</f>
        <v>476697</v>
      </c>
      <c r="N97" s="742">
        <f>'Shuttle Projections'!E28</f>
        <v>486230.94000000006</v>
      </c>
      <c r="O97" s="742">
        <f>'Shuttle Projections'!F28</f>
        <v>495955.55879999994</v>
      </c>
      <c r="P97" s="742">
        <f>'Shuttle Projections'!G28</f>
        <v>505874.66997599998</v>
      </c>
      <c r="Q97" s="742">
        <f>'Shuttle Projections'!H28</f>
        <v>515992.16337552003</v>
      </c>
      <c r="R97" s="742">
        <f>'Shuttle Projections'!I28</f>
        <v>526312.00664303044</v>
      </c>
      <c r="S97" s="742">
        <f>'Shuttle Projections'!J28</f>
        <v>536838.24677589093</v>
      </c>
      <c r="T97" s="742">
        <f>'Shuttle Projections'!K28</f>
        <v>547575.01171140897</v>
      </c>
      <c r="U97" s="742">
        <f>'Shuttle Projections'!L28</f>
        <v>558526.51194563706</v>
      </c>
      <c r="V97" s="742">
        <f>'Shuttle Projections'!M28</f>
        <v>569697.04218454985</v>
      </c>
      <c r="W97" s="742">
        <f>'Shuttle Projections'!N28</f>
        <v>581090.98302824085</v>
      </c>
      <c r="X97" s="742">
        <f>'Shuttle Projections'!O28</f>
        <v>592712.80268880562</v>
      </c>
      <c r="Y97" s="742">
        <f>'Shuttle Projections'!P28</f>
        <v>604567.05874258175</v>
      </c>
      <c r="Z97" s="742">
        <f>'Shuttle Projections'!Q28</f>
        <v>616658.39991743339</v>
      </c>
      <c r="AA97" s="742">
        <f>'Shuttle Projections'!R28</f>
        <v>628991.5679157821</v>
      </c>
      <c r="AB97" s="742">
        <f>'Shuttle Projections'!S28</f>
        <v>641571.39927409776</v>
      </c>
      <c r="AC97" s="742">
        <f>'Shuttle Projections'!T28</f>
        <v>654402.82725957979</v>
      </c>
      <c r="AD97" s="742">
        <f>'Shuttle Projections'!U28</f>
        <v>667490.88380477135</v>
      </c>
      <c r="AE97" s="742">
        <f>'Shuttle Projections'!V28</f>
        <v>680840.70148086676</v>
      </c>
    </row>
    <row r="98" spans="1:33" s="56" customFormat="1" ht="14.25">
      <c r="A98" s="164" t="s">
        <v>410</v>
      </c>
      <c r="B98" s="164"/>
      <c r="C98" s="75"/>
      <c r="D98" s="173"/>
      <c r="E98" s="75"/>
      <c r="F98" s="75"/>
      <c r="G98" s="75"/>
      <c r="H98" s="75"/>
      <c r="I98" s="174"/>
      <c r="J98" s="175"/>
      <c r="K98" s="685">
        <v>0</v>
      </c>
      <c r="L98" s="669">
        <f>SUM(L96:L97)</f>
        <v>234675</v>
      </c>
      <c r="M98" s="669">
        <f t="shared" ref="M98:AE98" si="20">SUM(M96:M97)</f>
        <v>477717</v>
      </c>
      <c r="N98" s="669">
        <f t="shared" si="20"/>
        <v>487271.34000000008</v>
      </c>
      <c r="O98" s="669">
        <f t="shared" si="20"/>
        <v>497016.76679999992</v>
      </c>
      <c r="P98" s="669">
        <f t="shared" si="20"/>
        <v>506957.102136</v>
      </c>
      <c r="Q98" s="669">
        <f t="shared" si="20"/>
        <v>540992.16337552003</v>
      </c>
      <c r="R98" s="669">
        <f t="shared" si="20"/>
        <v>551812.00664303044</v>
      </c>
      <c r="S98" s="669">
        <f t="shared" si="20"/>
        <v>562848.24677589093</v>
      </c>
      <c r="T98" s="669">
        <f t="shared" si="20"/>
        <v>574105.21171140892</v>
      </c>
      <c r="U98" s="669">
        <f t="shared" si="20"/>
        <v>585587.31594563706</v>
      </c>
      <c r="V98" s="669">
        <f t="shared" si="20"/>
        <v>597299.0622645499</v>
      </c>
      <c r="W98" s="669">
        <f t="shared" si="20"/>
        <v>609245.04350984085</v>
      </c>
      <c r="X98" s="669">
        <f t="shared" si="20"/>
        <v>621429.9443800376</v>
      </c>
      <c r="Y98" s="669">
        <f t="shared" si="20"/>
        <v>633858.54326763842</v>
      </c>
      <c r="Z98" s="669">
        <f t="shared" si="20"/>
        <v>646535.71413299115</v>
      </c>
      <c r="AA98" s="669">
        <f t="shared" si="20"/>
        <v>659466.42841565108</v>
      </c>
      <c r="AB98" s="669">
        <f t="shared" si="20"/>
        <v>672655.75698396412</v>
      </c>
      <c r="AC98" s="669">
        <f t="shared" si="20"/>
        <v>686108.87212364341</v>
      </c>
      <c r="AD98" s="669">
        <f t="shared" si="20"/>
        <v>699831.0495661163</v>
      </c>
      <c r="AE98" s="669">
        <f t="shared" si="20"/>
        <v>713827.67055743863</v>
      </c>
    </row>
    <row r="99" spans="1:33" s="56" customFormat="1" ht="14.25">
      <c r="A99" s="164"/>
      <c r="B99" s="164"/>
      <c r="C99" s="75"/>
      <c r="D99" s="173"/>
      <c r="E99" s="75"/>
      <c r="F99" s="75"/>
      <c r="G99" s="75"/>
      <c r="H99" s="75"/>
      <c r="I99" s="174"/>
      <c r="J99" s="175"/>
      <c r="K99" s="685"/>
      <c r="L99" s="669"/>
      <c r="M99" s="669"/>
      <c r="N99" s="669"/>
      <c r="O99" s="669"/>
      <c r="P99" s="669"/>
      <c r="Q99" s="669"/>
      <c r="R99" s="669"/>
      <c r="S99" s="669"/>
      <c r="T99" s="669"/>
      <c r="U99" s="669"/>
      <c r="V99" s="669"/>
      <c r="W99" s="669"/>
      <c r="X99" s="669"/>
      <c r="Y99" s="669"/>
      <c r="Z99" s="669"/>
      <c r="AA99" s="669"/>
      <c r="AB99" s="669"/>
      <c r="AC99" s="669"/>
      <c r="AD99" s="669"/>
      <c r="AE99" s="669"/>
    </row>
    <row r="100" spans="1:33" s="56" customFormat="1" ht="14.25">
      <c r="A100" s="164" t="s">
        <v>78</v>
      </c>
      <c r="B100" s="164"/>
      <c r="C100" s="75"/>
      <c r="D100" s="173"/>
      <c r="E100" s="75"/>
      <c r="F100" s="75"/>
      <c r="G100" s="75"/>
      <c r="H100" s="75"/>
      <c r="I100" s="174"/>
      <c r="J100" s="175"/>
      <c r="K100" s="685">
        <v>0</v>
      </c>
      <c r="L100" s="669">
        <f>SUM(L93,L98)</f>
        <v>321425</v>
      </c>
      <c r="M100" s="669">
        <f t="shared" ref="M100:AE100" si="21">SUM(M93,M98)</f>
        <v>558032</v>
      </c>
      <c r="N100" s="669">
        <f t="shared" si="21"/>
        <v>569202.84000000008</v>
      </c>
      <c r="O100" s="669">
        <f t="shared" si="21"/>
        <v>580586.89679999999</v>
      </c>
      <c r="P100" s="669">
        <f t="shared" si="21"/>
        <v>592198.63473599998</v>
      </c>
      <c r="Q100" s="669">
        <f t="shared" si="21"/>
        <v>632386.48622592003</v>
      </c>
      <c r="R100" s="669">
        <f t="shared" si="21"/>
        <v>640497.29716007039</v>
      </c>
      <c r="S100" s="669">
        <f t="shared" si="21"/>
        <v>653307.2431032717</v>
      </c>
      <c r="T100" s="669">
        <f t="shared" si="21"/>
        <v>666373.38796533737</v>
      </c>
      <c r="U100" s="669">
        <f t="shared" si="21"/>
        <v>679700.85572464403</v>
      </c>
      <c r="V100" s="669">
        <f t="shared" si="21"/>
        <v>697685.37562913971</v>
      </c>
      <c r="W100" s="669">
        <f t="shared" si="21"/>
        <v>707160.77029591973</v>
      </c>
      <c r="X100" s="669">
        <f t="shared" si="21"/>
        <v>721303.98570183804</v>
      </c>
      <c r="Y100" s="669">
        <f t="shared" si="21"/>
        <v>735730.06541587494</v>
      </c>
      <c r="Z100" s="669">
        <f t="shared" si="21"/>
        <v>750444.66672419233</v>
      </c>
      <c r="AA100" s="669">
        <f t="shared" si="21"/>
        <v>769780.62588951422</v>
      </c>
      <c r="AB100" s="669">
        <f t="shared" si="21"/>
        <v>780762.63125984988</v>
      </c>
      <c r="AC100" s="669">
        <f t="shared" si="21"/>
        <v>796377.88388504682</v>
      </c>
      <c r="AD100" s="669">
        <f t="shared" si="21"/>
        <v>812305.44156274782</v>
      </c>
      <c r="AE100" s="669">
        <f t="shared" si="21"/>
        <v>828551.55039400281</v>
      </c>
    </row>
    <row r="101" spans="1:33">
      <c r="A101" s="47"/>
      <c r="B101" s="47"/>
      <c r="C101" s="78"/>
      <c r="D101" s="100"/>
      <c r="E101" s="78"/>
      <c r="F101" s="78"/>
      <c r="G101" s="78"/>
      <c r="H101" s="78"/>
      <c r="I101" s="52"/>
      <c r="J101" s="114"/>
      <c r="K101" s="683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</row>
    <row r="102" spans="1:33">
      <c r="A102" s="168" t="s">
        <v>25</v>
      </c>
      <c r="B102" s="168"/>
      <c r="C102" s="176"/>
      <c r="D102" s="177"/>
      <c r="E102" s="176"/>
      <c r="F102" s="176"/>
      <c r="G102" s="176"/>
      <c r="H102" s="176"/>
      <c r="I102" s="178"/>
      <c r="J102" s="179"/>
      <c r="K102" s="682"/>
      <c r="L102" s="319"/>
      <c r="M102" s="319"/>
      <c r="N102" s="319"/>
      <c r="O102" s="319"/>
      <c r="P102" s="319"/>
      <c r="Q102" s="319"/>
      <c r="R102" s="319"/>
      <c r="S102" s="319"/>
      <c r="T102" s="319"/>
      <c r="U102" s="319"/>
      <c r="V102" s="319"/>
      <c r="W102" s="319"/>
      <c r="X102" s="319"/>
      <c r="Y102" s="319"/>
      <c r="Z102" s="319"/>
      <c r="AA102" s="319"/>
      <c r="AB102" s="319"/>
      <c r="AC102" s="319"/>
      <c r="AD102" s="319"/>
      <c r="AE102" s="319"/>
    </row>
    <row r="103" spans="1:33" s="252" customFormat="1">
      <c r="A103" s="183"/>
      <c r="B103" s="183"/>
      <c r="C103" s="185"/>
      <c r="D103" s="186"/>
      <c r="E103" s="185"/>
      <c r="F103" s="185"/>
      <c r="G103" s="185"/>
      <c r="H103" s="185"/>
      <c r="I103" s="302"/>
      <c r="J103" s="188"/>
      <c r="K103" s="683"/>
      <c r="L103" s="320"/>
      <c r="M103" s="320"/>
      <c r="N103" s="320"/>
      <c r="O103" s="320"/>
      <c r="P103" s="320"/>
      <c r="Q103" s="320"/>
      <c r="R103" s="320"/>
      <c r="S103" s="320"/>
      <c r="T103" s="320"/>
      <c r="U103" s="320"/>
      <c r="V103" s="320"/>
      <c r="W103" s="320"/>
      <c r="X103" s="320"/>
      <c r="Y103" s="320"/>
      <c r="Z103" s="320"/>
      <c r="AA103" s="320"/>
      <c r="AB103" s="320"/>
      <c r="AC103" s="320"/>
      <c r="AD103" s="320"/>
      <c r="AE103" s="320"/>
    </row>
    <row r="104" spans="1:33">
      <c r="A104" s="37" t="s">
        <v>425</v>
      </c>
      <c r="B104" s="37"/>
      <c r="C104" s="57"/>
      <c r="E104" s="57"/>
      <c r="F104" s="57"/>
      <c r="G104" s="57"/>
      <c r="H104" s="998"/>
      <c r="I104" s="51" t="s">
        <v>532</v>
      </c>
      <c r="J104" s="624">
        <f>((6350/6)*7)+((6500/6)*7)</f>
        <v>14991.666666666666</v>
      </c>
      <c r="K104" s="683">
        <v>0</v>
      </c>
      <c r="L104" s="671">
        <f>J104</f>
        <v>14991.666666666666</v>
      </c>
      <c r="M104" s="671">
        <f>$L$104*L11</f>
        <v>15291.5</v>
      </c>
      <c r="N104" s="671">
        <f t="shared" ref="N104:AE104" si="22">$L$104*M11</f>
        <v>15597.33</v>
      </c>
      <c r="O104" s="671">
        <f t="shared" si="22"/>
        <v>15909.276599999997</v>
      </c>
      <c r="P104" s="671">
        <f t="shared" si="22"/>
        <v>16227.462131999999</v>
      </c>
      <c r="Q104" s="671">
        <f t="shared" si="22"/>
        <v>16552.011374639998</v>
      </c>
      <c r="R104" s="671">
        <f t="shared" si="22"/>
        <v>16883.0516021328</v>
      </c>
      <c r="S104" s="671">
        <f t="shared" si="22"/>
        <v>17220.712634175456</v>
      </c>
      <c r="T104" s="671">
        <f t="shared" si="22"/>
        <v>17565.126886858965</v>
      </c>
      <c r="U104" s="671">
        <f t="shared" si="22"/>
        <v>17916.429424596146</v>
      </c>
      <c r="V104" s="671">
        <f t="shared" si="22"/>
        <v>18274.758013088071</v>
      </c>
      <c r="W104" s="671">
        <f t="shared" si="22"/>
        <v>18640.253173349829</v>
      </c>
      <c r="X104" s="671">
        <f t="shared" si="22"/>
        <v>19013.058236816825</v>
      </c>
      <c r="Y104" s="671">
        <f t="shared" si="22"/>
        <v>19393.319401553163</v>
      </c>
      <c r="Z104" s="671">
        <f t="shared" si="22"/>
        <v>19781.185789584226</v>
      </c>
      <c r="AA104" s="671">
        <f t="shared" si="22"/>
        <v>20176.809505375913</v>
      </c>
      <c r="AB104" s="671">
        <f t="shared" si="22"/>
        <v>20580.345695483433</v>
      </c>
      <c r="AC104" s="671">
        <f t="shared" si="22"/>
        <v>20991.952609393102</v>
      </c>
      <c r="AD104" s="671">
        <f t="shared" si="22"/>
        <v>21411.791661580963</v>
      </c>
      <c r="AE104" s="671">
        <f t="shared" si="22"/>
        <v>21840.027494812584</v>
      </c>
    </row>
    <row r="105" spans="1:33">
      <c r="A105" s="37" t="s">
        <v>16</v>
      </c>
      <c r="B105" s="37"/>
      <c r="C105" s="57"/>
      <c r="E105" s="57"/>
      <c r="F105" s="57"/>
      <c r="G105" s="57"/>
      <c r="H105" s="998"/>
      <c r="I105" s="51" t="s">
        <v>17</v>
      </c>
      <c r="J105" s="624">
        <f>1250</f>
        <v>1250</v>
      </c>
      <c r="K105" s="683">
        <v>0</v>
      </c>
      <c r="L105" s="671">
        <f>J105*7</f>
        <v>8750</v>
      </c>
      <c r="M105" s="671">
        <f>$L$105*L11</f>
        <v>8925</v>
      </c>
      <c r="N105" s="671">
        <f t="shared" ref="N105:AE105" si="23">$L$105*M11</f>
        <v>9103.5</v>
      </c>
      <c r="O105" s="671">
        <f t="shared" si="23"/>
        <v>9285.57</v>
      </c>
      <c r="P105" s="671">
        <f t="shared" si="23"/>
        <v>9471.2813999999998</v>
      </c>
      <c r="Q105" s="671">
        <f t="shared" si="23"/>
        <v>9660.7070280000007</v>
      </c>
      <c r="R105" s="671">
        <f t="shared" si="23"/>
        <v>9853.9211685600003</v>
      </c>
      <c r="S105" s="671">
        <f t="shared" si="23"/>
        <v>10050.9995919312</v>
      </c>
      <c r="T105" s="671">
        <f t="shared" si="23"/>
        <v>10252.019583769825</v>
      </c>
      <c r="U105" s="671">
        <f t="shared" si="23"/>
        <v>10457.059975445221</v>
      </c>
      <c r="V105" s="671">
        <f t="shared" si="23"/>
        <v>10666.201174954127</v>
      </c>
      <c r="W105" s="671">
        <f t="shared" si="23"/>
        <v>10879.52519845321</v>
      </c>
      <c r="X105" s="671">
        <f t="shared" si="23"/>
        <v>11097.115702422274</v>
      </c>
      <c r="Y105" s="671">
        <f t="shared" si="23"/>
        <v>11319.058016470717</v>
      </c>
      <c r="Z105" s="671">
        <f t="shared" si="23"/>
        <v>11545.439176800133</v>
      </c>
      <c r="AA105" s="671">
        <f t="shared" si="23"/>
        <v>11776.347960336136</v>
      </c>
      <c r="AB105" s="671">
        <f t="shared" si="23"/>
        <v>12011.874919542859</v>
      </c>
      <c r="AC105" s="671">
        <f t="shared" si="23"/>
        <v>12252.112417933717</v>
      </c>
      <c r="AD105" s="671">
        <f t="shared" si="23"/>
        <v>12497.154666292392</v>
      </c>
      <c r="AE105" s="671">
        <f t="shared" si="23"/>
        <v>12747.09775961824</v>
      </c>
    </row>
    <row r="106" spans="1:33" s="702" customFormat="1">
      <c r="A106" s="701" t="s">
        <v>53</v>
      </c>
      <c r="B106" s="701"/>
      <c r="C106" s="705"/>
      <c r="D106" s="984"/>
      <c r="E106" s="705"/>
      <c r="F106" s="705"/>
      <c r="G106" s="705"/>
      <c r="H106" s="985"/>
      <c r="I106" s="706" t="s">
        <v>17</v>
      </c>
      <c r="J106" s="986">
        <v>0</v>
      </c>
      <c r="K106" s="987">
        <v>0</v>
      </c>
      <c r="L106" s="988">
        <f t="shared" ref="L106:L107" si="24">J106*12</f>
        <v>0</v>
      </c>
      <c r="M106" s="988">
        <f t="shared" ref="M106:AB107" si="25">L106*1.03</f>
        <v>0</v>
      </c>
      <c r="N106" s="988">
        <f t="shared" si="25"/>
        <v>0</v>
      </c>
      <c r="O106" s="988">
        <f t="shared" si="25"/>
        <v>0</v>
      </c>
      <c r="P106" s="988">
        <f t="shared" si="25"/>
        <v>0</v>
      </c>
      <c r="Q106" s="988">
        <f t="shared" si="25"/>
        <v>0</v>
      </c>
      <c r="R106" s="988">
        <f t="shared" si="25"/>
        <v>0</v>
      </c>
      <c r="S106" s="988">
        <f t="shared" si="25"/>
        <v>0</v>
      </c>
      <c r="T106" s="988">
        <f t="shared" si="25"/>
        <v>0</v>
      </c>
      <c r="U106" s="988">
        <f t="shared" si="25"/>
        <v>0</v>
      </c>
      <c r="V106" s="988">
        <f t="shared" si="25"/>
        <v>0</v>
      </c>
      <c r="W106" s="988">
        <f t="shared" si="25"/>
        <v>0</v>
      </c>
      <c r="X106" s="988">
        <f t="shared" si="25"/>
        <v>0</v>
      </c>
      <c r="Y106" s="988">
        <f t="shared" si="25"/>
        <v>0</v>
      </c>
      <c r="Z106" s="988">
        <f t="shared" si="25"/>
        <v>0</v>
      </c>
      <c r="AA106" s="988">
        <f t="shared" si="25"/>
        <v>0</v>
      </c>
      <c r="AB106" s="988">
        <f t="shared" si="25"/>
        <v>0</v>
      </c>
      <c r="AC106" s="988">
        <f t="shared" ref="AC106:AE107" si="26">AB106*1.03</f>
        <v>0</v>
      </c>
      <c r="AD106" s="988">
        <f t="shared" si="26"/>
        <v>0</v>
      </c>
      <c r="AE106" s="988">
        <f t="shared" si="26"/>
        <v>0</v>
      </c>
    </row>
    <row r="107" spans="1:33" s="702" customFormat="1">
      <c r="A107" s="989" t="s">
        <v>54</v>
      </c>
      <c r="B107" s="990"/>
      <c r="C107" s="991"/>
      <c r="D107" s="992"/>
      <c r="E107" s="991"/>
      <c r="F107" s="991"/>
      <c r="G107" s="991"/>
      <c r="H107" s="993"/>
      <c r="I107" s="994" t="s">
        <v>17</v>
      </c>
      <c r="J107" s="995">
        <v>0</v>
      </c>
      <c r="K107" s="996">
        <v>0</v>
      </c>
      <c r="L107" s="997">
        <f t="shared" si="24"/>
        <v>0</v>
      </c>
      <c r="M107" s="997">
        <f t="shared" si="25"/>
        <v>0</v>
      </c>
      <c r="N107" s="997">
        <f t="shared" si="25"/>
        <v>0</v>
      </c>
      <c r="O107" s="997">
        <f t="shared" si="25"/>
        <v>0</v>
      </c>
      <c r="P107" s="997">
        <f t="shared" si="25"/>
        <v>0</v>
      </c>
      <c r="Q107" s="997">
        <f t="shared" si="25"/>
        <v>0</v>
      </c>
      <c r="R107" s="997">
        <f t="shared" si="25"/>
        <v>0</v>
      </c>
      <c r="S107" s="997">
        <f t="shared" si="25"/>
        <v>0</v>
      </c>
      <c r="T107" s="997">
        <f t="shared" si="25"/>
        <v>0</v>
      </c>
      <c r="U107" s="997">
        <f t="shared" si="25"/>
        <v>0</v>
      </c>
      <c r="V107" s="997">
        <f t="shared" si="25"/>
        <v>0</v>
      </c>
      <c r="W107" s="997">
        <f t="shared" si="25"/>
        <v>0</v>
      </c>
      <c r="X107" s="997">
        <f t="shared" si="25"/>
        <v>0</v>
      </c>
      <c r="Y107" s="997">
        <f t="shared" si="25"/>
        <v>0</v>
      </c>
      <c r="Z107" s="997">
        <f t="shared" si="25"/>
        <v>0</v>
      </c>
      <c r="AA107" s="997">
        <f t="shared" si="25"/>
        <v>0</v>
      </c>
      <c r="AB107" s="997">
        <f t="shared" si="25"/>
        <v>0</v>
      </c>
      <c r="AC107" s="997">
        <f t="shared" si="26"/>
        <v>0</v>
      </c>
      <c r="AD107" s="997">
        <f t="shared" si="26"/>
        <v>0</v>
      </c>
      <c r="AE107" s="997">
        <f t="shared" si="26"/>
        <v>0</v>
      </c>
    </row>
    <row r="108" spans="1:33" s="56" customFormat="1" ht="14.25">
      <c r="A108" s="56" t="s">
        <v>55</v>
      </c>
      <c r="B108" s="164"/>
      <c r="C108" s="75"/>
      <c r="D108" s="173"/>
      <c r="E108" s="75"/>
      <c r="F108" s="75"/>
      <c r="G108" s="75"/>
      <c r="H108" s="75"/>
      <c r="I108" s="999"/>
      <c r="J108" s="1000"/>
      <c r="K108" s="685">
        <v>0</v>
      </c>
      <c r="L108" s="1001">
        <f>SUM(L104:L107)</f>
        <v>23741.666666666664</v>
      </c>
      <c r="M108" s="1001">
        <f t="shared" ref="M108:AE108" si="27">SUM(M104:M107)</f>
        <v>24216.5</v>
      </c>
      <c r="N108" s="1001">
        <f t="shared" si="27"/>
        <v>24700.83</v>
      </c>
      <c r="O108" s="1001">
        <f t="shared" si="27"/>
        <v>25194.846599999997</v>
      </c>
      <c r="P108" s="1001">
        <f t="shared" si="27"/>
        <v>25698.743532</v>
      </c>
      <c r="Q108" s="1001">
        <f t="shared" si="27"/>
        <v>26212.718402639999</v>
      </c>
      <c r="R108" s="1001">
        <f t="shared" si="27"/>
        <v>26736.972770692802</v>
      </c>
      <c r="S108" s="1001">
        <f t="shared" si="27"/>
        <v>27271.712226106654</v>
      </c>
      <c r="T108" s="1001">
        <f t="shared" si="27"/>
        <v>27817.146470628788</v>
      </c>
      <c r="U108" s="1001">
        <f t="shared" si="27"/>
        <v>28373.48940004137</v>
      </c>
      <c r="V108" s="1001">
        <f t="shared" si="27"/>
        <v>28940.959188042198</v>
      </c>
      <c r="W108" s="1001">
        <f t="shared" si="27"/>
        <v>29519.77837180304</v>
      </c>
      <c r="X108" s="1001">
        <f t="shared" si="27"/>
        <v>30110.173939239099</v>
      </c>
      <c r="Y108" s="1001">
        <f t="shared" si="27"/>
        <v>30712.37741802388</v>
      </c>
      <c r="Z108" s="1001">
        <f t="shared" si="27"/>
        <v>31326.624966384359</v>
      </c>
      <c r="AA108" s="1001">
        <f t="shared" si="27"/>
        <v>31953.157465712051</v>
      </c>
      <c r="AB108" s="1001">
        <f t="shared" si="27"/>
        <v>32592.220615026294</v>
      </c>
      <c r="AC108" s="1001">
        <f t="shared" si="27"/>
        <v>33244.065027326818</v>
      </c>
      <c r="AD108" s="1001">
        <f t="shared" si="27"/>
        <v>33908.946327873353</v>
      </c>
      <c r="AE108" s="1001">
        <f t="shared" si="27"/>
        <v>34587.125254430823</v>
      </c>
    </row>
    <row r="109" spans="1:33">
      <c r="A109" s="56"/>
      <c r="B109" s="37"/>
      <c r="C109" s="57"/>
      <c r="E109" s="57"/>
      <c r="F109" s="57"/>
      <c r="G109" s="57"/>
      <c r="H109" s="57"/>
      <c r="I109" s="51"/>
      <c r="J109" s="624"/>
      <c r="K109" s="683"/>
      <c r="L109" s="666"/>
      <c r="M109" s="666"/>
      <c r="N109" s="666"/>
      <c r="O109" s="666"/>
      <c r="P109" s="666"/>
      <c r="Q109" s="666"/>
      <c r="R109" s="666"/>
      <c r="S109" s="666"/>
      <c r="T109" s="666"/>
      <c r="U109" s="666"/>
      <c r="V109" s="666"/>
      <c r="W109" s="666"/>
      <c r="X109" s="666"/>
      <c r="Y109" s="666"/>
      <c r="Z109" s="666"/>
      <c r="AA109" s="666"/>
      <c r="AB109" s="666"/>
      <c r="AC109" s="666"/>
      <c r="AD109" s="666"/>
      <c r="AE109" s="666"/>
    </row>
    <row r="110" spans="1:33">
      <c r="A110" s="47" t="s">
        <v>7</v>
      </c>
      <c r="B110" s="47" t="s">
        <v>7</v>
      </c>
      <c r="C110" s="78" t="s">
        <v>7</v>
      </c>
      <c r="D110" s="100"/>
      <c r="E110" s="78" t="s">
        <v>7</v>
      </c>
      <c r="F110" s="78"/>
      <c r="G110" s="78" t="s">
        <v>7</v>
      </c>
      <c r="H110" s="78"/>
      <c r="I110" s="52" t="s">
        <v>7</v>
      </c>
      <c r="J110" s="672"/>
      <c r="K110" s="673"/>
      <c r="L110" s="672"/>
      <c r="M110" s="672"/>
      <c r="N110" s="672"/>
      <c r="O110" s="672"/>
      <c r="P110" s="672"/>
      <c r="Q110" s="672"/>
      <c r="R110" s="672"/>
      <c r="S110" s="672"/>
      <c r="T110" s="672"/>
      <c r="U110" s="672"/>
      <c r="V110" s="672"/>
      <c r="W110" s="672"/>
      <c r="X110" s="672"/>
      <c r="Y110" s="672"/>
      <c r="Z110" s="672"/>
      <c r="AA110" s="672"/>
      <c r="AB110" s="672"/>
      <c r="AC110" s="672"/>
      <c r="AD110" s="672"/>
      <c r="AE110" s="672"/>
    </row>
    <row r="111" spans="1:33">
      <c r="A111" s="47"/>
      <c r="B111" s="47"/>
      <c r="C111" s="78"/>
      <c r="D111" s="100"/>
      <c r="E111" s="78"/>
      <c r="F111" s="78"/>
      <c r="G111" s="78"/>
      <c r="H111" s="78"/>
      <c r="I111" s="52"/>
      <c r="J111" s="672"/>
      <c r="K111" s="683"/>
      <c r="L111" s="666"/>
      <c r="M111" s="666"/>
      <c r="N111" s="666"/>
      <c r="O111" s="666"/>
      <c r="P111" s="666"/>
      <c r="Q111" s="666"/>
      <c r="R111" s="666"/>
      <c r="S111" s="666"/>
      <c r="T111" s="666"/>
      <c r="U111" s="666"/>
      <c r="V111" s="666"/>
      <c r="W111" s="666"/>
      <c r="X111" s="666"/>
      <c r="Y111" s="666"/>
      <c r="Z111" s="666"/>
      <c r="AA111" s="666"/>
      <c r="AB111" s="666"/>
      <c r="AC111" s="666"/>
      <c r="AD111" s="666"/>
      <c r="AE111" s="666"/>
    </row>
    <row r="112" spans="1:33" s="56" customFormat="1" ht="14.25">
      <c r="A112" s="203" t="s">
        <v>303</v>
      </c>
      <c r="B112" s="203"/>
      <c r="C112" s="204"/>
      <c r="D112" s="205"/>
      <c r="E112" s="204"/>
      <c r="F112" s="204"/>
      <c r="G112" s="204"/>
      <c r="H112" s="204"/>
      <c r="I112" s="206"/>
      <c r="J112" s="674"/>
      <c r="K112" s="676">
        <f>SUM(K79,K100,K108)</f>
        <v>0</v>
      </c>
      <c r="L112" s="676">
        <f>SUM(L79,L100,L108)</f>
        <v>357416.66666666669</v>
      </c>
      <c r="M112" s="676">
        <f t="shared" ref="M112:AE112" si="28">SUM(M79,M100,M108)</f>
        <v>732748.5</v>
      </c>
      <c r="N112" s="676">
        <f t="shared" si="28"/>
        <v>747413.67</v>
      </c>
      <c r="O112" s="676">
        <f t="shared" si="28"/>
        <v>762361.94339999999</v>
      </c>
      <c r="P112" s="676">
        <f t="shared" si="28"/>
        <v>777609.18226799998</v>
      </c>
      <c r="Q112" s="676">
        <f t="shared" si="28"/>
        <v>821505.24470855994</v>
      </c>
      <c r="R112" s="676">
        <f t="shared" si="28"/>
        <v>833398.43081236316</v>
      </c>
      <c r="S112" s="676">
        <f t="shared" si="28"/>
        <v>850066.39942861034</v>
      </c>
      <c r="T112" s="676">
        <f t="shared" si="28"/>
        <v>867067.72741718276</v>
      </c>
      <c r="U112" s="676">
        <f t="shared" si="28"/>
        <v>884409.08196552645</v>
      </c>
      <c r="V112" s="676">
        <f t="shared" si="28"/>
        <v>906487.76639483974</v>
      </c>
      <c r="W112" s="676">
        <f t="shared" si="28"/>
        <v>920139.20887693367</v>
      </c>
      <c r="X112" s="676">
        <f t="shared" si="28"/>
        <v>938541.99305447238</v>
      </c>
      <c r="Y112" s="676">
        <f t="shared" si="28"/>
        <v>957312.83291556186</v>
      </c>
      <c r="Z112" s="676">
        <f t="shared" si="28"/>
        <v>976459.08957387297</v>
      </c>
      <c r="AA112" s="676">
        <f t="shared" si="28"/>
        <v>1000315.3371961886</v>
      </c>
      <c r="AB112" s="676">
        <f t="shared" si="28"/>
        <v>1015908.0367926577</v>
      </c>
      <c r="AC112" s="676">
        <f t="shared" si="28"/>
        <v>1036226.1975285108</v>
      </c>
      <c r="AD112" s="676">
        <f t="shared" si="28"/>
        <v>1056950.7214790811</v>
      </c>
      <c r="AE112" s="676">
        <f t="shared" si="28"/>
        <v>1078089.7359086629</v>
      </c>
      <c r="AG112" s="199"/>
    </row>
    <row r="113" spans="1:33">
      <c r="A113" s="37"/>
      <c r="B113" s="37"/>
      <c r="C113" s="57"/>
      <c r="E113" s="110"/>
      <c r="F113" s="110"/>
      <c r="G113" s="57"/>
      <c r="H113" s="57"/>
      <c r="I113" s="43"/>
      <c r="J113" s="44"/>
      <c r="K113" s="683"/>
      <c r="L113" s="115"/>
      <c r="M113" s="115"/>
      <c r="N113" s="115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5"/>
      <c r="Z113" s="115"/>
      <c r="AA113" s="115"/>
      <c r="AB113" s="115"/>
      <c r="AC113" s="115"/>
      <c r="AD113" s="115"/>
      <c r="AE113" s="115"/>
      <c r="AG113" s="199"/>
    </row>
    <row r="114" spans="1:33">
      <c r="A114" s="47" t="s">
        <v>7</v>
      </c>
      <c r="B114" s="47" t="s">
        <v>7</v>
      </c>
      <c r="C114" s="78" t="s">
        <v>7</v>
      </c>
      <c r="D114" s="100"/>
      <c r="E114" s="78" t="s">
        <v>7</v>
      </c>
      <c r="F114" s="78"/>
      <c r="G114" s="78" t="s">
        <v>7</v>
      </c>
      <c r="H114" s="78"/>
      <c r="I114" s="52" t="s">
        <v>7</v>
      </c>
      <c r="J114" s="114"/>
      <c r="K114" s="673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G114" s="199"/>
    </row>
    <row r="115" spans="1:33">
      <c r="A115" s="47"/>
      <c r="B115" s="47"/>
      <c r="C115" s="78"/>
      <c r="D115" s="100"/>
      <c r="E115" s="78"/>
      <c r="F115" s="78"/>
      <c r="G115" s="78"/>
      <c r="H115" s="78"/>
      <c r="I115" s="52"/>
      <c r="J115" s="114"/>
      <c r="K115" s="683"/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5"/>
      <c r="Z115" s="115"/>
      <c r="AA115" s="115"/>
      <c r="AB115" s="115"/>
      <c r="AC115" s="115"/>
      <c r="AD115" s="115"/>
      <c r="AE115" s="115"/>
      <c r="AG115" s="199"/>
    </row>
    <row r="116" spans="1:33">
      <c r="A116" s="168" t="s">
        <v>71</v>
      </c>
      <c r="B116" s="171"/>
      <c r="C116" s="176"/>
      <c r="D116" s="177"/>
      <c r="E116" s="176"/>
      <c r="F116" s="176"/>
      <c r="G116" s="176"/>
      <c r="H116" s="176"/>
      <c r="I116" s="182"/>
      <c r="J116" s="179"/>
      <c r="K116" s="682"/>
      <c r="L116" s="319"/>
      <c r="M116" s="319"/>
      <c r="N116" s="319"/>
      <c r="O116" s="319"/>
      <c r="P116" s="319"/>
      <c r="Q116" s="319"/>
      <c r="R116" s="319"/>
      <c r="S116" s="319"/>
      <c r="T116" s="319"/>
      <c r="U116" s="319"/>
      <c r="V116" s="319"/>
      <c r="W116" s="319"/>
      <c r="X116" s="319"/>
      <c r="Y116" s="319"/>
      <c r="Z116" s="319"/>
      <c r="AA116" s="319"/>
      <c r="AB116" s="319"/>
      <c r="AC116" s="319"/>
      <c r="AD116" s="319"/>
      <c r="AE116" s="319"/>
      <c r="AG116" s="199"/>
    </row>
    <row r="117" spans="1:33" s="252" customFormat="1">
      <c r="A117" s="183"/>
      <c r="B117" s="184"/>
      <c r="C117" s="185"/>
      <c r="D117" s="186"/>
      <c r="E117" s="185"/>
      <c r="F117" s="185"/>
      <c r="G117" s="185"/>
      <c r="H117" s="185"/>
      <c r="I117" s="187"/>
      <c r="J117" s="188"/>
      <c r="K117" s="683"/>
      <c r="L117" s="320"/>
      <c r="M117" s="320"/>
      <c r="N117" s="320"/>
      <c r="O117" s="320"/>
      <c r="P117" s="320"/>
      <c r="Q117" s="320"/>
      <c r="R117" s="320"/>
      <c r="S117" s="320"/>
      <c r="T117" s="320"/>
      <c r="U117" s="320"/>
      <c r="V117" s="320"/>
      <c r="W117" s="320"/>
      <c r="X117" s="320"/>
      <c r="Y117" s="320"/>
      <c r="Z117" s="320"/>
      <c r="AA117" s="320"/>
      <c r="AB117" s="320"/>
      <c r="AC117" s="320"/>
      <c r="AD117" s="320"/>
      <c r="AE117" s="320"/>
      <c r="AG117" s="363"/>
    </row>
    <row r="118" spans="1:33">
      <c r="A118" s="39" t="s">
        <v>0</v>
      </c>
      <c r="B118" s="39"/>
      <c r="C118" s="102"/>
      <c r="D118" s="103"/>
      <c r="E118" s="104"/>
      <c r="F118" s="104"/>
      <c r="G118" s="104"/>
      <c r="H118" s="104"/>
      <c r="I118" s="39"/>
      <c r="J118" s="104"/>
      <c r="K118" s="688"/>
      <c r="L118" s="335"/>
      <c r="M118" s="335"/>
      <c r="N118" s="335"/>
      <c r="O118" s="335"/>
      <c r="P118" s="335"/>
      <c r="Q118" s="335"/>
      <c r="R118" s="335"/>
      <c r="S118" s="335"/>
      <c r="T118" s="335"/>
      <c r="U118" s="335"/>
      <c r="V118" s="335"/>
      <c r="W118" s="335"/>
      <c r="X118" s="335"/>
      <c r="Y118" s="335"/>
      <c r="Z118" s="335"/>
      <c r="AA118" s="335"/>
      <c r="AB118" s="335"/>
      <c r="AC118" s="335"/>
      <c r="AD118" s="335"/>
      <c r="AE118" s="335"/>
    </row>
    <row r="119" spans="1:33">
      <c r="A119" s="41" t="s">
        <v>13</v>
      </c>
      <c r="B119" s="41"/>
      <c r="C119" s="105"/>
      <c r="D119" s="106"/>
      <c r="E119" s="37"/>
      <c r="F119" s="37"/>
      <c r="G119" s="37"/>
      <c r="H119" s="37"/>
      <c r="I119" s="41"/>
      <c r="J119" s="37"/>
      <c r="K119" s="683"/>
      <c r="L119" s="200"/>
      <c r="M119" s="200"/>
      <c r="N119" s="200"/>
      <c r="O119" s="200"/>
      <c r="P119" s="200"/>
      <c r="Q119" s="200"/>
      <c r="R119" s="200"/>
      <c r="S119" s="200"/>
      <c r="T119" s="200"/>
      <c r="U119" s="201"/>
      <c r="V119" s="323"/>
      <c r="W119" s="200"/>
      <c r="X119" s="200"/>
      <c r="Y119" s="200"/>
      <c r="Z119" s="200"/>
      <c r="AA119" s="200"/>
      <c r="AB119" s="200"/>
      <c r="AC119" s="200"/>
      <c r="AD119" s="200"/>
      <c r="AE119" s="201"/>
    </row>
    <row r="120" spans="1:33">
      <c r="A120" s="96" t="s">
        <v>56</v>
      </c>
      <c r="B120" s="735" t="s">
        <v>12</v>
      </c>
      <c r="C120" s="663">
        <v>55000</v>
      </c>
      <c r="D120" s="736">
        <f>C120/2080</f>
        <v>26.442307692307693</v>
      </c>
      <c r="E120" s="663">
        <v>0</v>
      </c>
      <c r="F120" s="663">
        <f>C120*$F$13</f>
        <v>22000</v>
      </c>
      <c r="G120" s="663">
        <f>SUM(C120,E120:F120)</f>
        <v>77000</v>
      </c>
      <c r="H120" s="736">
        <f>G120/2080*8</f>
        <v>296.15384615384613</v>
      </c>
      <c r="I120" s="736"/>
      <c r="J120" s="663"/>
      <c r="K120" s="683">
        <v>0</v>
      </c>
      <c r="L120" s="665">
        <v>0</v>
      </c>
      <c r="M120" s="665">
        <f>$H$120*M32*0.25</f>
        <v>15844.230769230768</v>
      </c>
      <c r="N120" s="665">
        <f t="shared" ref="N120:AE120" si="29">$M$120*M11</f>
        <v>16484.33769230769</v>
      </c>
      <c r="O120" s="665">
        <f t="shared" si="29"/>
        <v>16814.024446153842</v>
      </c>
      <c r="P120" s="665">
        <f t="shared" si="29"/>
        <v>17150.304935076922</v>
      </c>
      <c r="Q120" s="665">
        <f t="shared" si="29"/>
        <v>17493.31103377846</v>
      </c>
      <c r="R120" s="665">
        <f t="shared" si="29"/>
        <v>17843.177254454029</v>
      </c>
      <c r="S120" s="665">
        <f t="shared" si="29"/>
        <v>18200.040799543109</v>
      </c>
      <c r="T120" s="665">
        <f t="shared" si="29"/>
        <v>18564.041615533974</v>
      </c>
      <c r="U120" s="665">
        <f t="shared" si="29"/>
        <v>18935.322447844654</v>
      </c>
      <c r="V120" s="665">
        <f t="shared" si="29"/>
        <v>19314.028896801548</v>
      </c>
      <c r="W120" s="665">
        <f t="shared" si="29"/>
        <v>19700.30947473758</v>
      </c>
      <c r="X120" s="665">
        <f t="shared" si="29"/>
        <v>20094.31566423233</v>
      </c>
      <c r="Y120" s="665">
        <f t="shared" si="29"/>
        <v>20496.201977516976</v>
      </c>
      <c r="Z120" s="665">
        <f t="shared" si="29"/>
        <v>20906.126017067316</v>
      </c>
      <c r="AA120" s="665">
        <f t="shared" si="29"/>
        <v>21324.248537408665</v>
      </c>
      <c r="AB120" s="665">
        <f t="shared" si="29"/>
        <v>21750.733508156838</v>
      </c>
      <c r="AC120" s="665">
        <f t="shared" si="29"/>
        <v>22185.748178319976</v>
      </c>
      <c r="AD120" s="665">
        <f t="shared" si="29"/>
        <v>22629.463141886376</v>
      </c>
      <c r="AE120" s="665">
        <f t="shared" si="29"/>
        <v>23082.052404724102</v>
      </c>
    </row>
    <row r="121" spans="1:33">
      <c r="A121" s="96" t="s">
        <v>57</v>
      </c>
      <c r="B121" s="735" t="s">
        <v>15</v>
      </c>
      <c r="C121" s="663">
        <v>15000</v>
      </c>
      <c r="D121" s="736">
        <f>C121/2080</f>
        <v>7.2115384615384617</v>
      </c>
      <c r="E121" s="663">
        <f>C121*E12</f>
        <v>3000</v>
      </c>
      <c r="F121" s="663">
        <f t="shared" ref="F121:F122" si="30">C121*$F$13</f>
        <v>6000</v>
      </c>
      <c r="G121" s="663">
        <f t="shared" ref="G121:G122" si="31">SUM(C121,E121:F121)</f>
        <v>24000</v>
      </c>
      <c r="H121" s="736">
        <f>G121/2080*12</f>
        <v>138.46153846153845</v>
      </c>
      <c r="I121" s="736"/>
      <c r="J121" s="663"/>
      <c r="K121" s="683">
        <v>0</v>
      </c>
      <c r="L121" s="665">
        <v>0</v>
      </c>
      <c r="M121" s="665">
        <f>$H$121*M32*0.5</f>
        <v>14815.384615384615</v>
      </c>
      <c r="N121" s="665">
        <f t="shared" ref="N121:AE121" si="32">$M$121*M11</f>
        <v>15413.926153846154</v>
      </c>
      <c r="O121" s="665">
        <f t="shared" si="32"/>
        <v>15722.204676923076</v>
      </c>
      <c r="P121" s="665">
        <f t="shared" si="32"/>
        <v>16036.648770461537</v>
      </c>
      <c r="Q121" s="665">
        <f t="shared" si="32"/>
        <v>16357.381745870769</v>
      </c>
      <c r="R121" s="665">
        <f t="shared" si="32"/>
        <v>16684.529380788186</v>
      </c>
      <c r="S121" s="665">
        <f t="shared" si="32"/>
        <v>17018.219968403948</v>
      </c>
      <c r="T121" s="665">
        <f t="shared" si="32"/>
        <v>17358.58436777203</v>
      </c>
      <c r="U121" s="665">
        <f t="shared" si="32"/>
        <v>17705.756055127469</v>
      </c>
      <c r="V121" s="665">
        <f t="shared" si="32"/>
        <v>18059.871176230019</v>
      </c>
      <c r="W121" s="665">
        <f t="shared" si="32"/>
        <v>18421.068599754621</v>
      </c>
      <c r="X121" s="665">
        <f t="shared" si="32"/>
        <v>18789.489971749714</v>
      </c>
      <c r="Y121" s="665">
        <f t="shared" si="32"/>
        <v>19165.279771184705</v>
      </c>
      <c r="Z121" s="665">
        <f t="shared" si="32"/>
        <v>19548.5853666084</v>
      </c>
      <c r="AA121" s="665">
        <f t="shared" si="32"/>
        <v>19939.55707394057</v>
      </c>
      <c r="AB121" s="665">
        <f t="shared" si="32"/>
        <v>20338.348215419381</v>
      </c>
      <c r="AC121" s="665">
        <f t="shared" si="32"/>
        <v>20745.115179727771</v>
      </c>
      <c r="AD121" s="665">
        <f t="shared" si="32"/>
        <v>21160.017483322328</v>
      </c>
      <c r="AE121" s="665">
        <f t="shared" si="32"/>
        <v>21583.217832988772</v>
      </c>
    </row>
    <row r="122" spans="1:33">
      <c r="A122" s="737" t="s">
        <v>57</v>
      </c>
      <c r="B122" s="738" t="s">
        <v>15</v>
      </c>
      <c r="C122" s="739">
        <v>15000</v>
      </c>
      <c r="D122" s="740">
        <f>C122/2080</f>
        <v>7.2115384615384617</v>
      </c>
      <c r="E122" s="739">
        <f>C122*$E$12</f>
        <v>3000</v>
      </c>
      <c r="F122" s="739">
        <f t="shared" si="30"/>
        <v>6000</v>
      </c>
      <c r="G122" s="739">
        <f t="shared" si="31"/>
        <v>24000</v>
      </c>
      <c r="H122" s="740">
        <f t="shared" ref="H122" si="33">G122/2080*12</f>
        <v>138.46153846153845</v>
      </c>
      <c r="I122" s="740"/>
      <c r="J122" s="739"/>
      <c r="K122" s="741">
        <v>0</v>
      </c>
      <c r="L122" s="742">
        <v>0</v>
      </c>
      <c r="M122" s="742">
        <f>$H$122*M32*0.5</f>
        <v>14815.384615384615</v>
      </c>
      <c r="N122" s="742">
        <f t="shared" ref="N122:AE122" si="34">$M$122*M11</f>
        <v>15413.926153846154</v>
      </c>
      <c r="O122" s="742">
        <f t="shared" si="34"/>
        <v>15722.204676923076</v>
      </c>
      <c r="P122" s="742">
        <f t="shared" si="34"/>
        <v>16036.648770461537</v>
      </c>
      <c r="Q122" s="742">
        <f t="shared" si="34"/>
        <v>16357.381745870769</v>
      </c>
      <c r="R122" s="742">
        <f t="shared" si="34"/>
        <v>16684.529380788186</v>
      </c>
      <c r="S122" s="742">
        <f t="shared" si="34"/>
        <v>17018.219968403948</v>
      </c>
      <c r="T122" s="742">
        <f t="shared" si="34"/>
        <v>17358.58436777203</v>
      </c>
      <c r="U122" s="742">
        <f t="shared" si="34"/>
        <v>17705.756055127469</v>
      </c>
      <c r="V122" s="742">
        <f t="shared" si="34"/>
        <v>18059.871176230019</v>
      </c>
      <c r="W122" s="742">
        <f t="shared" si="34"/>
        <v>18421.068599754621</v>
      </c>
      <c r="X122" s="742">
        <f t="shared" si="34"/>
        <v>18789.489971749714</v>
      </c>
      <c r="Y122" s="742">
        <f t="shared" si="34"/>
        <v>19165.279771184705</v>
      </c>
      <c r="Z122" s="742">
        <f t="shared" si="34"/>
        <v>19548.5853666084</v>
      </c>
      <c r="AA122" s="742">
        <f t="shared" si="34"/>
        <v>19939.55707394057</v>
      </c>
      <c r="AB122" s="742">
        <f t="shared" si="34"/>
        <v>20338.348215419381</v>
      </c>
      <c r="AC122" s="742">
        <f t="shared" si="34"/>
        <v>20745.115179727771</v>
      </c>
      <c r="AD122" s="742">
        <f t="shared" si="34"/>
        <v>21160.017483322328</v>
      </c>
      <c r="AE122" s="742">
        <f t="shared" si="34"/>
        <v>21583.217832988772</v>
      </c>
    </row>
    <row r="123" spans="1:33">
      <c r="A123" s="164" t="s">
        <v>414</v>
      </c>
      <c r="B123" s="164"/>
      <c r="C123" s="667">
        <f>SUM(C120:C122)</f>
        <v>85000</v>
      </c>
      <c r="D123" s="667"/>
      <c r="E123" s="667">
        <f>SUM(E120:E122)</f>
        <v>6000</v>
      </c>
      <c r="F123" s="667">
        <f>SUM(F120:F122)</f>
        <v>34000</v>
      </c>
      <c r="G123" s="667">
        <f>SUM(G120:G122)</f>
        <v>125000</v>
      </c>
      <c r="H123" s="667">
        <f>SUM(H120:H122)</f>
        <v>573.07692307692309</v>
      </c>
      <c r="I123" s="668"/>
      <c r="J123" s="667"/>
      <c r="K123" s="685">
        <f>SUMIF($B120:$B122,"FT",K120:K122)</f>
        <v>0</v>
      </c>
      <c r="L123" s="669">
        <f>SUM(L120:L122)</f>
        <v>0</v>
      </c>
      <c r="M123" s="669">
        <f t="shared" ref="M123:AE123" si="35">SUM(M120:M122)</f>
        <v>45475</v>
      </c>
      <c r="N123" s="669">
        <f t="shared" si="35"/>
        <v>47312.19</v>
      </c>
      <c r="O123" s="669">
        <f t="shared" si="35"/>
        <v>48258.433799999999</v>
      </c>
      <c r="P123" s="669">
        <f t="shared" si="35"/>
        <v>49223.602475999993</v>
      </c>
      <c r="Q123" s="669">
        <f t="shared" si="35"/>
        <v>50208.074525520002</v>
      </c>
      <c r="R123" s="669">
        <f t="shared" si="35"/>
        <v>51212.236016030394</v>
      </c>
      <c r="S123" s="669">
        <f t="shared" si="35"/>
        <v>52236.480736351004</v>
      </c>
      <c r="T123" s="669">
        <f t="shared" si="35"/>
        <v>53281.210351078029</v>
      </c>
      <c r="U123" s="669">
        <f t="shared" si="35"/>
        <v>54346.834558099596</v>
      </c>
      <c r="V123" s="669">
        <f t="shared" si="35"/>
        <v>55433.771249261583</v>
      </c>
      <c r="W123" s="669">
        <f t="shared" si="35"/>
        <v>56542.446674246821</v>
      </c>
      <c r="X123" s="669">
        <f t="shared" si="35"/>
        <v>57673.295607731765</v>
      </c>
      <c r="Y123" s="669">
        <f t="shared" si="35"/>
        <v>58826.761519886393</v>
      </c>
      <c r="Z123" s="669">
        <f t="shared" si="35"/>
        <v>60003.29675028412</v>
      </c>
      <c r="AA123" s="669">
        <f t="shared" si="35"/>
        <v>61203.362685289801</v>
      </c>
      <c r="AB123" s="669">
        <f t="shared" si="35"/>
        <v>62427.4299389956</v>
      </c>
      <c r="AC123" s="669">
        <f t="shared" si="35"/>
        <v>63675.978537775518</v>
      </c>
      <c r="AD123" s="669">
        <f t="shared" si="35"/>
        <v>64949.498108531028</v>
      </c>
      <c r="AE123" s="669">
        <f t="shared" si="35"/>
        <v>66248.488070701642</v>
      </c>
    </row>
    <row r="124" spans="1:33">
      <c r="A124" s="37"/>
      <c r="B124" s="37"/>
      <c r="C124" s="663"/>
      <c r="D124" s="663"/>
      <c r="E124" s="663"/>
      <c r="F124" s="663"/>
      <c r="G124" s="663"/>
      <c r="H124" s="663"/>
      <c r="I124" s="670"/>
      <c r="J124" s="663"/>
      <c r="K124" s="683"/>
      <c r="L124" s="666"/>
      <c r="M124" s="666"/>
      <c r="N124" s="666"/>
      <c r="O124" s="666"/>
      <c r="P124" s="666"/>
      <c r="Q124" s="666"/>
      <c r="R124" s="666"/>
      <c r="S124" s="666"/>
      <c r="T124" s="666"/>
      <c r="U124" s="666"/>
      <c r="V124" s="666"/>
      <c r="W124" s="666"/>
      <c r="X124" s="666"/>
      <c r="Y124" s="666"/>
      <c r="Z124" s="666"/>
      <c r="AA124" s="666"/>
      <c r="AB124" s="666"/>
      <c r="AC124" s="666"/>
      <c r="AD124" s="666"/>
      <c r="AE124" s="666"/>
    </row>
    <row r="125" spans="1:33">
      <c r="A125" s="37" t="s">
        <v>11</v>
      </c>
      <c r="B125" s="37"/>
      <c r="C125" s="663"/>
      <c r="D125" s="663"/>
      <c r="E125" s="663"/>
      <c r="F125" s="663"/>
      <c r="G125" s="663"/>
      <c r="H125" s="663"/>
      <c r="I125" s="670"/>
      <c r="J125" s="663"/>
      <c r="K125" s="743">
        <f>COUNTIF(K120:K122,"&gt;100")</f>
        <v>0</v>
      </c>
      <c r="L125" s="496">
        <f>COUNTIF(L120,"&gt;100")</f>
        <v>0</v>
      </c>
      <c r="M125" s="496">
        <f t="shared" ref="M125:AE125" si="36">COUNTIF(M120,"&gt;100")</f>
        <v>1</v>
      </c>
      <c r="N125" s="496">
        <f t="shared" si="36"/>
        <v>1</v>
      </c>
      <c r="O125" s="496">
        <f t="shared" si="36"/>
        <v>1</v>
      </c>
      <c r="P125" s="496">
        <f t="shared" si="36"/>
        <v>1</v>
      </c>
      <c r="Q125" s="496">
        <f t="shared" si="36"/>
        <v>1</v>
      </c>
      <c r="R125" s="496">
        <f t="shared" si="36"/>
        <v>1</v>
      </c>
      <c r="S125" s="496">
        <f t="shared" si="36"/>
        <v>1</v>
      </c>
      <c r="T125" s="496">
        <f t="shared" si="36"/>
        <v>1</v>
      </c>
      <c r="U125" s="496">
        <f t="shared" si="36"/>
        <v>1</v>
      </c>
      <c r="V125" s="496">
        <f t="shared" si="36"/>
        <v>1</v>
      </c>
      <c r="W125" s="496">
        <f t="shared" si="36"/>
        <v>1</v>
      </c>
      <c r="X125" s="496">
        <f t="shared" si="36"/>
        <v>1</v>
      </c>
      <c r="Y125" s="496">
        <f t="shared" si="36"/>
        <v>1</v>
      </c>
      <c r="Z125" s="496">
        <f t="shared" si="36"/>
        <v>1</v>
      </c>
      <c r="AA125" s="496">
        <f t="shared" si="36"/>
        <v>1</v>
      </c>
      <c r="AB125" s="496">
        <f t="shared" si="36"/>
        <v>1</v>
      </c>
      <c r="AC125" s="496">
        <f t="shared" si="36"/>
        <v>1</v>
      </c>
      <c r="AD125" s="496">
        <f t="shared" si="36"/>
        <v>1</v>
      </c>
      <c r="AE125" s="496">
        <f t="shared" si="36"/>
        <v>1</v>
      </c>
    </row>
    <row r="126" spans="1:33">
      <c r="A126" s="745" t="s">
        <v>10</v>
      </c>
      <c r="B126" s="745"/>
      <c r="C126" s="739"/>
      <c r="D126" s="739"/>
      <c r="E126" s="739"/>
      <c r="F126" s="739"/>
      <c r="G126" s="739"/>
      <c r="H126" s="739"/>
      <c r="I126" s="763"/>
      <c r="J126" s="739"/>
      <c r="K126" s="749">
        <f t="shared" ref="K126" si="37">K127-K125</f>
        <v>0</v>
      </c>
      <c r="L126" s="750">
        <f>COUNTIF(L121:L122,"&gt;100")</f>
        <v>0</v>
      </c>
      <c r="M126" s="750">
        <f t="shared" ref="M126:AE126" si="38">COUNTIF(M121:M122,"&gt;100")</f>
        <v>2</v>
      </c>
      <c r="N126" s="750">
        <f t="shared" si="38"/>
        <v>2</v>
      </c>
      <c r="O126" s="750">
        <f t="shared" si="38"/>
        <v>2</v>
      </c>
      <c r="P126" s="750">
        <f t="shared" si="38"/>
        <v>2</v>
      </c>
      <c r="Q126" s="750">
        <f t="shared" si="38"/>
        <v>2</v>
      </c>
      <c r="R126" s="750">
        <f t="shared" si="38"/>
        <v>2</v>
      </c>
      <c r="S126" s="750">
        <f t="shared" si="38"/>
        <v>2</v>
      </c>
      <c r="T126" s="750">
        <f t="shared" si="38"/>
        <v>2</v>
      </c>
      <c r="U126" s="750">
        <f t="shared" si="38"/>
        <v>2</v>
      </c>
      <c r="V126" s="750">
        <f t="shared" si="38"/>
        <v>2</v>
      </c>
      <c r="W126" s="750">
        <f t="shared" si="38"/>
        <v>2</v>
      </c>
      <c r="X126" s="750">
        <f t="shared" si="38"/>
        <v>2</v>
      </c>
      <c r="Y126" s="750">
        <f t="shared" si="38"/>
        <v>2</v>
      </c>
      <c r="Z126" s="750">
        <f t="shared" si="38"/>
        <v>2</v>
      </c>
      <c r="AA126" s="750">
        <f t="shared" si="38"/>
        <v>2</v>
      </c>
      <c r="AB126" s="750">
        <f t="shared" si="38"/>
        <v>2</v>
      </c>
      <c r="AC126" s="750">
        <f t="shared" si="38"/>
        <v>2</v>
      </c>
      <c r="AD126" s="750">
        <f t="shared" si="38"/>
        <v>2</v>
      </c>
      <c r="AE126" s="750">
        <f t="shared" si="38"/>
        <v>2</v>
      </c>
    </row>
    <row r="127" spans="1:33">
      <c r="A127" s="164" t="s">
        <v>9</v>
      </c>
      <c r="B127" s="164"/>
      <c r="C127" s="667"/>
      <c r="D127" s="667"/>
      <c r="E127" s="667"/>
      <c r="F127" s="667"/>
      <c r="G127" s="667"/>
      <c r="H127" s="667"/>
      <c r="I127" s="668"/>
      <c r="J127" s="667"/>
      <c r="K127" s="751">
        <f t="shared" ref="K127:AE127" si="39">COUNTIF(K120:K122,"&gt;0")</f>
        <v>0</v>
      </c>
      <c r="L127" s="752">
        <f t="shared" si="39"/>
        <v>0</v>
      </c>
      <c r="M127" s="752">
        <f t="shared" si="39"/>
        <v>3</v>
      </c>
      <c r="N127" s="752">
        <f t="shared" si="39"/>
        <v>3</v>
      </c>
      <c r="O127" s="752">
        <f t="shared" si="39"/>
        <v>3</v>
      </c>
      <c r="P127" s="752">
        <f t="shared" si="39"/>
        <v>3</v>
      </c>
      <c r="Q127" s="752">
        <f t="shared" si="39"/>
        <v>3</v>
      </c>
      <c r="R127" s="752">
        <f t="shared" si="39"/>
        <v>3</v>
      </c>
      <c r="S127" s="752">
        <f t="shared" si="39"/>
        <v>3</v>
      </c>
      <c r="T127" s="752">
        <f t="shared" si="39"/>
        <v>3</v>
      </c>
      <c r="U127" s="752">
        <f t="shared" si="39"/>
        <v>3</v>
      </c>
      <c r="V127" s="752">
        <f t="shared" si="39"/>
        <v>3</v>
      </c>
      <c r="W127" s="752">
        <f t="shared" si="39"/>
        <v>3</v>
      </c>
      <c r="X127" s="752">
        <f t="shared" si="39"/>
        <v>3</v>
      </c>
      <c r="Y127" s="752">
        <f t="shared" si="39"/>
        <v>3</v>
      </c>
      <c r="Z127" s="752">
        <f t="shared" si="39"/>
        <v>3</v>
      </c>
      <c r="AA127" s="752">
        <f t="shared" si="39"/>
        <v>3</v>
      </c>
      <c r="AB127" s="752">
        <f t="shared" si="39"/>
        <v>3</v>
      </c>
      <c r="AC127" s="752">
        <f t="shared" si="39"/>
        <v>3</v>
      </c>
      <c r="AD127" s="752">
        <f t="shared" si="39"/>
        <v>3</v>
      </c>
      <c r="AE127" s="752">
        <f t="shared" si="39"/>
        <v>3</v>
      </c>
    </row>
    <row r="128" spans="1:33">
      <c r="A128" s="37"/>
      <c r="B128" s="37"/>
      <c r="C128" s="57"/>
      <c r="E128" s="57"/>
      <c r="F128" s="57"/>
      <c r="G128" s="57"/>
      <c r="H128" s="57"/>
      <c r="I128" s="43"/>
      <c r="J128" s="42"/>
      <c r="K128" s="683"/>
      <c r="L128" s="316"/>
      <c r="M128" s="316"/>
      <c r="N128" s="316"/>
      <c r="O128" s="316"/>
      <c r="P128" s="316"/>
      <c r="Q128" s="316"/>
      <c r="R128" s="316"/>
      <c r="S128" s="316"/>
      <c r="T128" s="316"/>
      <c r="U128" s="316"/>
      <c r="V128" s="316"/>
      <c r="W128" s="316"/>
      <c r="X128" s="316"/>
      <c r="Y128" s="316"/>
      <c r="Z128" s="316"/>
      <c r="AA128" s="316"/>
      <c r="AB128" s="316"/>
      <c r="AC128" s="316"/>
      <c r="AD128" s="316"/>
      <c r="AE128" s="316"/>
    </row>
    <row r="129" spans="1:33" s="55" customFormat="1">
      <c r="A129" s="190" t="s">
        <v>60</v>
      </c>
      <c r="B129" s="191"/>
      <c r="C129" s="192"/>
      <c r="D129" s="193"/>
      <c r="E129" s="194"/>
      <c r="F129" s="194"/>
      <c r="G129" s="192"/>
      <c r="H129" s="192"/>
      <c r="I129" s="195">
        <v>0.2</v>
      </c>
      <c r="J129" s="196"/>
      <c r="K129" s="683">
        <v>0</v>
      </c>
      <c r="L129" s="665">
        <f>$I$129*L123</f>
        <v>0</v>
      </c>
      <c r="M129" s="665">
        <f t="shared" ref="M129:AE129" si="40">$I$129*M123</f>
        <v>9095</v>
      </c>
      <c r="N129" s="665">
        <f t="shared" si="40"/>
        <v>9462.4380000000001</v>
      </c>
      <c r="O129" s="665">
        <f t="shared" si="40"/>
        <v>9651.6867600000005</v>
      </c>
      <c r="P129" s="665">
        <f t="shared" si="40"/>
        <v>9844.7204951999993</v>
      </c>
      <c r="Q129" s="665">
        <f t="shared" si="40"/>
        <v>10041.614905104001</v>
      </c>
      <c r="R129" s="665">
        <f t="shared" si="40"/>
        <v>10242.44720320608</v>
      </c>
      <c r="S129" s="665">
        <f t="shared" si="40"/>
        <v>10447.296147270201</v>
      </c>
      <c r="T129" s="665">
        <f t="shared" si="40"/>
        <v>10656.242070215607</v>
      </c>
      <c r="U129" s="665">
        <f t="shared" si="40"/>
        <v>10869.36691161992</v>
      </c>
      <c r="V129" s="665">
        <f t="shared" si="40"/>
        <v>11086.754249852318</v>
      </c>
      <c r="W129" s="665">
        <f t="shared" si="40"/>
        <v>11308.489334849364</v>
      </c>
      <c r="X129" s="665">
        <f t="shared" si="40"/>
        <v>11534.659121546354</v>
      </c>
      <c r="Y129" s="665">
        <f t="shared" si="40"/>
        <v>11765.352303977279</v>
      </c>
      <c r="Z129" s="665">
        <f t="shared" si="40"/>
        <v>12000.659350056825</v>
      </c>
      <c r="AA129" s="665">
        <f t="shared" si="40"/>
        <v>12240.672537057961</v>
      </c>
      <c r="AB129" s="665">
        <f t="shared" si="40"/>
        <v>12485.48598779912</v>
      </c>
      <c r="AC129" s="665">
        <f t="shared" si="40"/>
        <v>12735.195707555104</v>
      </c>
      <c r="AD129" s="665">
        <f t="shared" si="40"/>
        <v>12989.899621706207</v>
      </c>
      <c r="AE129" s="665">
        <f t="shared" si="40"/>
        <v>13249.697614140328</v>
      </c>
    </row>
    <row r="130" spans="1:33">
      <c r="A130" s="190"/>
      <c r="B130" s="191"/>
      <c r="C130" s="192"/>
      <c r="D130" s="193"/>
      <c r="E130" s="194"/>
      <c r="F130" s="194"/>
      <c r="G130" s="192"/>
      <c r="H130" s="192"/>
      <c r="I130" s="195"/>
      <c r="J130" s="196"/>
      <c r="K130" s="685"/>
      <c r="L130" s="665"/>
      <c r="M130" s="665"/>
      <c r="N130" s="665"/>
      <c r="O130" s="665"/>
      <c r="P130" s="665"/>
      <c r="Q130" s="665"/>
      <c r="R130" s="665"/>
      <c r="S130" s="665"/>
      <c r="T130" s="665"/>
      <c r="U130" s="665"/>
      <c r="V130" s="665"/>
      <c r="W130" s="665"/>
      <c r="X130" s="665"/>
      <c r="Y130" s="665"/>
      <c r="Z130" s="665"/>
      <c r="AA130" s="665"/>
      <c r="AB130" s="665"/>
      <c r="AC130" s="665"/>
      <c r="AD130" s="665"/>
      <c r="AE130" s="665"/>
    </row>
    <row r="131" spans="1:33">
      <c r="A131" s="164" t="s">
        <v>61</v>
      </c>
      <c r="B131" s="164"/>
      <c r="C131" s="75"/>
      <c r="D131" s="173"/>
      <c r="E131" s="75"/>
      <c r="F131" s="75"/>
      <c r="G131" s="75"/>
      <c r="H131" s="75"/>
      <c r="I131" s="174"/>
      <c r="J131" s="175"/>
      <c r="K131" s="685">
        <v>0</v>
      </c>
      <c r="L131" s="669">
        <f>SUM(L123,L129)</f>
        <v>0</v>
      </c>
      <c r="M131" s="669">
        <f t="shared" ref="M131:AE131" si="41">SUM(M123,M129)</f>
        <v>54570</v>
      </c>
      <c r="N131" s="669">
        <f t="shared" si="41"/>
        <v>56774.628000000004</v>
      </c>
      <c r="O131" s="669">
        <f t="shared" si="41"/>
        <v>57910.120559999996</v>
      </c>
      <c r="P131" s="669">
        <f t="shared" si="41"/>
        <v>59068.322971199988</v>
      </c>
      <c r="Q131" s="669">
        <f t="shared" si="41"/>
        <v>60249.689430623999</v>
      </c>
      <c r="R131" s="669">
        <f t="shared" si="41"/>
        <v>61454.683219236475</v>
      </c>
      <c r="S131" s="669">
        <f t="shared" si="41"/>
        <v>62683.776883621205</v>
      </c>
      <c r="T131" s="669">
        <f t="shared" si="41"/>
        <v>63937.452421293638</v>
      </c>
      <c r="U131" s="669">
        <f t="shared" si="41"/>
        <v>65216.201469719512</v>
      </c>
      <c r="V131" s="669">
        <f t="shared" si="41"/>
        <v>66520.525499113894</v>
      </c>
      <c r="W131" s="669">
        <f t="shared" si="41"/>
        <v>67850.936009096185</v>
      </c>
      <c r="X131" s="669">
        <f t="shared" si="41"/>
        <v>69207.954729278121</v>
      </c>
      <c r="Y131" s="669">
        <f t="shared" si="41"/>
        <v>70592.113823863678</v>
      </c>
      <c r="Z131" s="669">
        <f t="shared" si="41"/>
        <v>72003.956100340947</v>
      </c>
      <c r="AA131" s="669">
        <f t="shared" si="41"/>
        <v>73444.035222347768</v>
      </c>
      <c r="AB131" s="669">
        <f t="shared" si="41"/>
        <v>74912.915926794725</v>
      </c>
      <c r="AC131" s="669">
        <f t="shared" si="41"/>
        <v>76411.174245330621</v>
      </c>
      <c r="AD131" s="669">
        <f t="shared" si="41"/>
        <v>77939.397730237237</v>
      </c>
      <c r="AE131" s="669">
        <f t="shared" si="41"/>
        <v>79498.18568484197</v>
      </c>
    </row>
    <row r="132" spans="1:33">
      <c r="A132" s="183"/>
      <c r="B132" s="184"/>
      <c r="C132" s="185"/>
      <c r="D132" s="186"/>
      <c r="E132" s="185"/>
      <c r="F132" s="185"/>
      <c r="G132" s="185"/>
      <c r="H132" s="185"/>
      <c r="I132" s="187"/>
      <c r="J132" s="188"/>
      <c r="K132" s="683"/>
      <c r="L132" s="320"/>
      <c r="M132" s="320"/>
      <c r="N132" s="320"/>
      <c r="O132" s="320"/>
      <c r="P132" s="320"/>
      <c r="Q132" s="320"/>
      <c r="R132" s="320"/>
      <c r="S132" s="320"/>
      <c r="T132" s="320"/>
      <c r="U132" s="320"/>
      <c r="V132" s="320"/>
      <c r="W132" s="320"/>
      <c r="X132" s="320"/>
      <c r="Y132" s="320"/>
      <c r="Z132" s="320"/>
      <c r="AA132" s="320"/>
      <c r="AB132" s="320"/>
      <c r="AC132" s="320"/>
      <c r="AD132" s="320"/>
      <c r="AE132" s="320"/>
    </row>
    <row r="133" spans="1:33">
      <c r="A133" s="39" t="s">
        <v>4</v>
      </c>
      <c r="B133" s="39"/>
      <c r="C133" s="111"/>
      <c r="D133" s="112"/>
      <c r="E133" s="111"/>
      <c r="F133" s="111"/>
      <c r="G133" s="111"/>
      <c r="H133" s="111"/>
      <c r="I133" s="40"/>
      <c r="J133" s="113"/>
      <c r="K133" s="688"/>
      <c r="L133" s="321"/>
      <c r="M133" s="321"/>
      <c r="N133" s="321"/>
      <c r="O133" s="321"/>
      <c r="P133" s="321"/>
      <c r="Q133" s="321"/>
      <c r="R133" s="321"/>
      <c r="S133" s="321"/>
      <c r="T133" s="321"/>
      <c r="U133" s="321"/>
      <c r="V133" s="321"/>
      <c r="W133" s="321"/>
      <c r="X133" s="321"/>
      <c r="Y133" s="321"/>
      <c r="Z133" s="321"/>
      <c r="AA133" s="321"/>
      <c r="AB133" s="321"/>
      <c r="AC133" s="321"/>
      <c r="AD133" s="321"/>
      <c r="AE133" s="321"/>
    </row>
    <row r="134" spans="1:33">
      <c r="A134" s="41" t="s">
        <v>13</v>
      </c>
      <c r="B134" s="41"/>
      <c r="C134" s="105"/>
      <c r="D134" s="106"/>
      <c r="E134" s="37"/>
      <c r="F134" s="37"/>
      <c r="G134" s="37"/>
      <c r="H134" s="37"/>
      <c r="I134" s="41"/>
      <c r="J134" s="37"/>
      <c r="K134" s="683"/>
      <c r="L134" s="200"/>
      <c r="M134" s="200"/>
      <c r="N134" s="200"/>
      <c r="O134" s="200"/>
      <c r="P134" s="200"/>
      <c r="Q134" s="200"/>
      <c r="R134" s="200"/>
      <c r="S134" s="200"/>
      <c r="T134" s="200"/>
      <c r="U134" s="201"/>
      <c r="V134" s="323"/>
      <c r="W134" s="200"/>
      <c r="X134" s="200"/>
      <c r="Y134" s="200"/>
      <c r="Z134" s="200"/>
      <c r="AA134" s="200"/>
      <c r="AB134" s="200"/>
      <c r="AC134" s="200"/>
      <c r="AD134" s="200"/>
      <c r="AE134" s="201"/>
    </row>
    <row r="135" spans="1:33">
      <c r="A135" s="33" t="s">
        <v>65</v>
      </c>
      <c r="B135" s="735" t="s">
        <v>12</v>
      </c>
      <c r="C135" s="663">
        <v>65000</v>
      </c>
      <c r="D135" s="736">
        <f>C135/2080</f>
        <v>31.25</v>
      </c>
      <c r="E135" s="663">
        <v>0</v>
      </c>
      <c r="F135" s="663">
        <f>C135*$F$13</f>
        <v>26000</v>
      </c>
      <c r="G135" s="663">
        <f>SUM(C135,E135:F135)</f>
        <v>91000</v>
      </c>
      <c r="H135" s="736">
        <f>G135/2080*8</f>
        <v>350</v>
      </c>
      <c r="I135" s="764"/>
      <c r="J135" s="765"/>
      <c r="K135" s="683">
        <v>0</v>
      </c>
      <c r="L135" s="665">
        <v>0</v>
      </c>
      <c r="M135" s="665">
        <f>$H$135*M32*0.25</f>
        <v>18725</v>
      </c>
      <c r="N135" s="665">
        <f t="shared" ref="N135:AE135" si="42">$M$135*L11</f>
        <v>19099.5</v>
      </c>
      <c r="O135" s="665">
        <f t="shared" si="42"/>
        <v>19481.490000000002</v>
      </c>
      <c r="P135" s="665">
        <f t="shared" si="42"/>
        <v>19871.1198</v>
      </c>
      <c r="Q135" s="665">
        <f t="shared" si="42"/>
        <v>20268.542195999999</v>
      </c>
      <c r="R135" s="665">
        <f t="shared" si="42"/>
        <v>20673.91303992</v>
      </c>
      <c r="S135" s="665">
        <f t="shared" si="42"/>
        <v>21087.391300718402</v>
      </c>
      <c r="T135" s="665">
        <f t="shared" si="42"/>
        <v>21509.139126732767</v>
      </c>
      <c r="U135" s="665">
        <f t="shared" si="42"/>
        <v>21939.321909267426</v>
      </c>
      <c r="V135" s="665">
        <f t="shared" si="42"/>
        <v>22378.108347452773</v>
      </c>
      <c r="W135" s="665">
        <f t="shared" si="42"/>
        <v>22825.670514401831</v>
      </c>
      <c r="X135" s="665">
        <f t="shared" si="42"/>
        <v>23282.183924689867</v>
      </c>
      <c r="Y135" s="665">
        <f t="shared" si="42"/>
        <v>23747.827603183665</v>
      </c>
      <c r="Z135" s="665">
        <f t="shared" si="42"/>
        <v>24222.784155247336</v>
      </c>
      <c r="AA135" s="665">
        <f t="shared" si="42"/>
        <v>24707.239838352285</v>
      </c>
      <c r="AB135" s="665">
        <f t="shared" si="42"/>
        <v>25201.384635119332</v>
      </c>
      <c r="AC135" s="665">
        <f t="shared" si="42"/>
        <v>25705.412327821719</v>
      </c>
      <c r="AD135" s="665">
        <f t="shared" si="42"/>
        <v>26219.520574378155</v>
      </c>
      <c r="AE135" s="665">
        <f t="shared" si="42"/>
        <v>26743.910985865718</v>
      </c>
    </row>
    <row r="136" spans="1:33">
      <c r="A136" s="37" t="s">
        <v>62</v>
      </c>
      <c r="B136" s="735" t="s">
        <v>12</v>
      </c>
      <c r="C136" s="663">
        <v>85000</v>
      </c>
      <c r="D136" s="736">
        <f>C136/2080</f>
        <v>40.865384615384613</v>
      </c>
      <c r="E136" s="663">
        <f>C136*$L$15</f>
        <v>0</v>
      </c>
      <c r="F136" s="663">
        <f t="shared" ref="F136:F139" si="43">C136*$F$13</f>
        <v>34000</v>
      </c>
      <c r="G136" s="663">
        <f t="shared" ref="G136:G139" si="44">SUM(C136,E136:F136)</f>
        <v>119000</v>
      </c>
      <c r="H136" s="736">
        <f>G136/2080*8</f>
        <v>457.69230769230768</v>
      </c>
      <c r="I136" s="764"/>
      <c r="J136" s="765"/>
      <c r="K136" s="683">
        <v>0</v>
      </c>
      <c r="L136" s="665">
        <v>0</v>
      </c>
      <c r="M136" s="665">
        <f>$H$136*M32*0.1</f>
        <v>9794.6153846153848</v>
      </c>
      <c r="N136" s="665">
        <f t="shared" ref="N136:AE136" si="45">$M$136*L11</f>
        <v>9990.5076923076922</v>
      </c>
      <c r="O136" s="665">
        <f t="shared" si="45"/>
        <v>10190.317846153846</v>
      </c>
      <c r="P136" s="665">
        <f t="shared" si="45"/>
        <v>10394.124203076923</v>
      </c>
      <c r="Q136" s="665">
        <f t="shared" si="45"/>
        <v>10602.006687138461</v>
      </c>
      <c r="R136" s="665">
        <f t="shared" si="45"/>
        <v>10814.046820881231</v>
      </c>
      <c r="S136" s="665">
        <f t="shared" si="45"/>
        <v>11030.327757298855</v>
      </c>
      <c r="T136" s="665">
        <f t="shared" si="45"/>
        <v>11250.934312444833</v>
      </c>
      <c r="U136" s="665">
        <f t="shared" si="45"/>
        <v>11475.95299869373</v>
      </c>
      <c r="V136" s="665">
        <f t="shared" si="45"/>
        <v>11705.472058667605</v>
      </c>
      <c r="W136" s="665">
        <f t="shared" si="45"/>
        <v>11939.581499840959</v>
      </c>
      <c r="X136" s="665">
        <f t="shared" si="45"/>
        <v>12178.373129837777</v>
      </c>
      <c r="Y136" s="665">
        <f t="shared" si="45"/>
        <v>12421.940592434532</v>
      </c>
      <c r="Z136" s="665">
        <f t="shared" si="45"/>
        <v>12670.379404283221</v>
      </c>
      <c r="AA136" s="665">
        <f t="shared" si="45"/>
        <v>12923.786992368889</v>
      </c>
      <c r="AB136" s="665">
        <f t="shared" si="45"/>
        <v>13182.262732216266</v>
      </c>
      <c r="AC136" s="665">
        <f t="shared" si="45"/>
        <v>13445.907986860591</v>
      </c>
      <c r="AD136" s="665">
        <f t="shared" si="45"/>
        <v>13714.826146597805</v>
      </c>
      <c r="AE136" s="665">
        <f t="shared" si="45"/>
        <v>13989.122669529761</v>
      </c>
    </row>
    <row r="137" spans="1:33">
      <c r="A137" s="37" t="s">
        <v>419</v>
      </c>
      <c r="B137" s="735" t="s">
        <v>12</v>
      </c>
      <c r="C137" s="663">
        <v>75000</v>
      </c>
      <c r="D137" s="736">
        <f>C137/2080</f>
        <v>36.057692307692307</v>
      </c>
      <c r="E137" s="663">
        <f>C137*$L$15</f>
        <v>0</v>
      </c>
      <c r="F137" s="663">
        <f t="shared" si="43"/>
        <v>30000</v>
      </c>
      <c r="G137" s="663">
        <f t="shared" si="44"/>
        <v>105000</v>
      </c>
      <c r="H137" s="736">
        <f>G137/2080*8</f>
        <v>403.84615384615387</v>
      </c>
      <c r="I137" s="764"/>
      <c r="J137" s="765"/>
      <c r="K137" s="683">
        <v>0</v>
      </c>
      <c r="L137" s="665">
        <v>0</v>
      </c>
      <c r="M137" s="665">
        <f>$H$137*M32*0.1</f>
        <v>8642.3076923076933</v>
      </c>
      <c r="N137" s="665">
        <f t="shared" ref="N137:AE137" si="46">$M$137*L11</f>
        <v>8815.1538461538476</v>
      </c>
      <c r="O137" s="665">
        <f t="shared" si="46"/>
        <v>8991.4569230769248</v>
      </c>
      <c r="P137" s="665">
        <f t="shared" si="46"/>
        <v>9171.2860615384616</v>
      </c>
      <c r="Q137" s="665">
        <f t="shared" si="46"/>
        <v>9354.7117827692309</v>
      </c>
      <c r="R137" s="665">
        <f t="shared" si="46"/>
        <v>9541.8060184246169</v>
      </c>
      <c r="S137" s="665">
        <f t="shared" si="46"/>
        <v>9732.6421387931096</v>
      </c>
      <c r="T137" s="665">
        <f t="shared" si="46"/>
        <v>9927.2949815689717</v>
      </c>
      <c r="U137" s="665">
        <f t="shared" si="46"/>
        <v>10125.840881200351</v>
      </c>
      <c r="V137" s="665">
        <f t="shared" si="46"/>
        <v>10328.357698824359</v>
      </c>
      <c r="W137" s="665">
        <f t="shared" si="46"/>
        <v>10534.924852800847</v>
      </c>
      <c r="X137" s="665">
        <f t="shared" si="46"/>
        <v>10745.623349856864</v>
      </c>
      <c r="Y137" s="665">
        <f t="shared" si="46"/>
        <v>10960.535816854001</v>
      </c>
      <c r="Z137" s="665">
        <f t="shared" si="46"/>
        <v>11179.746533191079</v>
      </c>
      <c r="AA137" s="665">
        <f t="shared" si="46"/>
        <v>11403.341463854902</v>
      </c>
      <c r="AB137" s="665">
        <f t="shared" si="46"/>
        <v>11631.408293132001</v>
      </c>
      <c r="AC137" s="665">
        <f t="shared" si="46"/>
        <v>11864.03645899464</v>
      </c>
      <c r="AD137" s="665">
        <f t="shared" si="46"/>
        <v>12101.317188174535</v>
      </c>
      <c r="AE137" s="665">
        <f t="shared" si="46"/>
        <v>12343.343531938026</v>
      </c>
    </row>
    <row r="138" spans="1:33">
      <c r="A138" s="37" t="s">
        <v>63</v>
      </c>
      <c r="B138" s="735" t="s">
        <v>15</v>
      </c>
      <c r="C138" s="663">
        <v>15000</v>
      </c>
      <c r="D138" s="736">
        <f t="shared" ref="D138:D139" si="47">C138/2080</f>
        <v>7.2115384615384617</v>
      </c>
      <c r="E138" s="663">
        <f>C138*$L$15</f>
        <v>0</v>
      </c>
      <c r="F138" s="663">
        <f t="shared" si="43"/>
        <v>6000</v>
      </c>
      <c r="G138" s="663">
        <f t="shared" si="44"/>
        <v>21000</v>
      </c>
      <c r="H138" s="736">
        <f t="shared" ref="H138:H139" si="48">G138/2080*8</f>
        <v>80.769230769230774</v>
      </c>
      <c r="I138" s="764"/>
      <c r="J138" s="765"/>
      <c r="K138" s="683">
        <v>0</v>
      </c>
      <c r="L138" s="665">
        <v>0</v>
      </c>
      <c r="M138" s="665">
        <f>($H$138*M32)*0.5</f>
        <v>8642.3076923076933</v>
      </c>
      <c r="N138" s="665">
        <f t="shared" ref="N138:AE138" si="49">$M$138*L11</f>
        <v>8815.1538461538476</v>
      </c>
      <c r="O138" s="665">
        <f t="shared" si="49"/>
        <v>8991.4569230769248</v>
      </c>
      <c r="P138" s="665">
        <f t="shared" si="49"/>
        <v>9171.2860615384616</v>
      </c>
      <c r="Q138" s="665">
        <f t="shared" si="49"/>
        <v>9354.7117827692309</v>
      </c>
      <c r="R138" s="665">
        <f t="shared" si="49"/>
        <v>9541.8060184246169</v>
      </c>
      <c r="S138" s="665">
        <f t="shared" si="49"/>
        <v>9732.6421387931096</v>
      </c>
      <c r="T138" s="665">
        <f t="shared" si="49"/>
        <v>9927.2949815689717</v>
      </c>
      <c r="U138" s="665">
        <f t="shared" si="49"/>
        <v>10125.840881200351</v>
      </c>
      <c r="V138" s="665">
        <f t="shared" si="49"/>
        <v>10328.357698824359</v>
      </c>
      <c r="W138" s="665">
        <f t="shared" si="49"/>
        <v>10534.924852800847</v>
      </c>
      <c r="X138" s="665">
        <f t="shared" si="49"/>
        <v>10745.623349856864</v>
      </c>
      <c r="Y138" s="665">
        <f t="shared" si="49"/>
        <v>10960.535816854001</v>
      </c>
      <c r="Z138" s="665">
        <f t="shared" si="49"/>
        <v>11179.746533191079</v>
      </c>
      <c r="AA138" s="665">
        <f t="shared" si="49"/>
        <v>11403.341463854902</v>
      </c>
      <c r="AB138" s="665">
        <f t="shared" si="49"/>
        <v>11631.408293132001</v>
      </c>
      <c r="AC138" s="665">
        <f t="shared" si="49"/>
        <v>11864.03645899464</v>
      </c>
      <c r="AD138" s="665">
        <f t="shared" si="49"/>
        <v>12101.317188174535</v>
      </c>
      <c r="AE138" s="665">
        <f t="shared" si="49"/>
        <v>12343.343531938026</v>
      </c>
    </row>
    <row r="139" spans="1:33">
      <c r="A139" s="745" t="s">
        <v>63</v>
      </c>
      <c r="B139" s="738" t="s">
        <v>15</v>
      </c>
      <c r="C139" s="739">
        <v>15000</v>
      </c>
      <c r="D139" s="740">
        <f t="shared" si="47"/>
        <v>7.2115384615384617</v>
      </c>
      <c r="E139" s="739">
        <f>C139*$L$15</f>
        <v>0</v>
      </c>
      <c r="F139" s="739">
        <f t="shared" si="43"/>
        <v>6000</v>
      </c>
      <c r="G139" s="739">
        <f t="shared" si="44"/>
        <v>21000</v>
      </c>
      <c r="H139" s="740">
        <f t="shared" si="48"/>
        <v>80.769230769230774</v>
      </c>
      <c r="I139" s="766"/>
      <c r="J139" s="767"/>
      <c r="K139" s="741">
        <v>0</v>
      </c>
      <c r="L139" s="742">
        <v>0</v>
      </c>
      <c r="M139" s="742">
        <f>($H$139*M32)*0.5</f>
        <v>8642.3076923076933</v>
      </c>
      <c r="N139" s="742">
        <f t="shared" ref="N139:AE139" si="50">$M$139*L11</f>
        <v>8815.1538461538476</v>
      </c>
      <c r="O139" s="742">
        <f t="shared" si="50"/>
        <v>8991.4569230769248</v>
      </c>
      <c r="P139" s="742">
        <f t="shared" si="50"/>
        <v>9171.2860615384616</v>
      </c>
      <c r="Q139" s="742">
        <f t="shared" si="50"/>
        <v>9354.7117827692309</v>
      </c>
      <c r="R139" s="742">
        <f t="shared" si="50"/>
        <v>9541.8060184246169</v>
      </c>
      <c r="S139" s="742">
        <f t="shared" si="50"/>
        <v>9732.6421387931096</v>
      </c>
      <c r="T139" s="742">
        <f t="shared" si="50"/>
        <v>9927.2949815689717</v>
      </c>
      <c r="U139" s="742">
        <f t="shared" si="50"/>
        <v>10125.840881200351</v>
      </c>
      <c r="V139" s="742">
        <f t="shared" si="50"/>
        <v>10328.357698824359</v>
      </c>
      <c r="W139" s="742">
        <f t="shared" si="50"/>
        <v>10534.924852800847</v>
      </c>
      <c r="X139" s="742">
        <f t="shared" si="50"/>
        <v>10745.623349856864</v>
      </c>
      <c r="Y139" s="742">
        <f t="shared" si="50"/>
        <v>10960.535816854001</v>
      </c>
      <c r="Z139" s="742">
        <f t="shared" si="50"/>
        <v>11179.746533191079</v>
      </c>
      <c r="AA139" s="742">
        <f t="shared" si="50"/>
        <v>11403.341463854902</v>
      </c>
      <c r="AB139" s="742">
        <f t="shared" si="50"/>
        <v>11631.408293132001</v>
      </c>
      <c r="AC139" s="742">
        <f t="shared" si="50"/>
        <v>11864.03645899464</v>
      </c>
      <c r="AD139" s="742">
        <f t="shared" si="50"/>
        <v>12101.317188174535</v>
      </c>
      <c r="AE139" s="742">
        <f t="shared" si="50"/>
        <v>12343.343531938026</v>
      </c>
    </row>
    <row r="140" spans="1:33" s="56" customFormat="1" ht="14.25">
      <c r="A140" s="164" t="s">
        <v>415</v>
      </c>
      <c r="B140" s="164"/>
      <c r="C140" s="667">
        <f>SUM(C135:C139)</f>
        <v>255000</v>
      </c>
      <c r="D140" s="667"/>
      <c r="E140" s="667">
        <f>SUM(E135:E139)</f>
        <v>0</v>
      </c>
      <c r="F140" s="667">
        <f>SUM(F135:F139)</f>
        <v>102000</v>
      </c>
      <c r="G140" s="667">
        <f>SUM(G135:G139)</f>
        <v>357000</v>
      </c>
      <c r="H140" s="667">
        <f>SUM(H135:H139)</f>
        <v>1373.0769230769229</v>
      </c>
      <c r="I140" s="768"/>
      <c r="J140" s="769"/>
      <c r="K140" s="685">
        <f>SUMIF($B135:$B139,"FT",K135:K139)</f>
        <v>0</v>
      </c>
      <c r="L140" s="669">
        <f>SUMIF($B135:$B139,"FT",L135:L139)</f>
        <v>0</v>
      </c>
      <c r="M140" s="669">
        <f>SUM(M135:M139)</f>
        <v>54446.538461538468</v>
      </c>
      <c r="N140" s="669">
        <f t="shared" ref="N140:AE140" si="51">SUM(N135:N139)</f>
        <v>55535.469230769231</v>
      </c>
      <c r="O140" s="669">
        <f t="shared" si="51"/>
        <v>56646.178615384626</v>
      </c>
      <c r="P140" s="669">
        <f t="shared" si="51"/>
        <v>57779.102187692311</v>
      </c>
      <c r="Q140" s="669">
        <f t="shared" si="51"/>
        <v>58934.684231446139</v>
      </c>
      <c r="R140" s="669">
        <f t="shared" si="51"/>
        <v>60113.377916075071</v>
      </c>
      <c r="S140" s="669">
        <f t="shared" si="51"/>
        <v>61315.645474396588</v>
      </c>
      <c r="T140" s="669">
        <f t="shared" si="51"/>
        <v>62541.958383884514</v>
      </c>
      <c r="U140" s="669">
        <f t="shared" si="51"/>
        <v>63792.797551562195</v>
      </c>
      <c r="V140" s="669">
        <f t="shared" si="51"/>
        <v>65068.653502593457</v>
      </c>
      <c r="W140" s="669">
        <f t="shared" si="51"/>
        <v>66370.026572645322</v>
      </c>
      <c r="X140" s="669">
        <f t="shared" si="51"/>
        <v>67697.427104098228</v>
      </c>
      <c r="Y140" s="669">
        <f t="shared" si="51"/>
        <v>69051.375646180197</v>
      </c>
      <c r="Z140" s="669">
        <f t="shared" si="51"/>
        <v>70432.403159103793</v>
      </c>
      <c r="AA140" s="669">
        <f t="shared" si="51"/>
        <v>71841.051222285882</v>
      </c>
      <c r="AB140" s="669">
        <f t="shared" si="51"/>
        <v>73277.872246731597</v>
      </c>
      <c r="AC140" s="669">
        <f t="shared" si="51"/>
        <v>74743.429691666228</v>
      </c>
      <c r="AD140" s="669">
        <f t="shared" si="51"/>
        <v>76238.298285499564</v>
      </c>
      <c r="AE140" s="669">
        <f t="shared" si="51"/>
        <v>77763.064251209551</v>
      </c>
    </row>
    <row r="141" spans="1:33">
      <c r="A141" s="37"/>
      <c r="B141" s="37"/>
      <c r="C141" s="663"/>
      <c r="D141" s="663"/>
      <c r="E141" s="663"/>
      <c r="F141" s="663"/>
      <c r="G141" s="663"/>
      <c r="H141" s="663"/>
      <c r="I141" s="107"/>
      <c r="J141" s="108"/>
      <c r="K141" s="683"/>
      <c r="L141" s="666"/>
      <c r="M141" s="666"/>
      <c r="N141" s="666"/>
      <c r="O141" s="666"/>
      <c r="P141" s="666"/>
      <c r="Q141" s="666"/>
      <c r="R141" s="666"/>
      <c r="S141" s="666"/>
      <c r="T141" s="666"/>
      <c r="U141" s="666"/>
      <c r="V141" s="666"/>
      <c r="W141" s="666"/>
      <c r="X141" s="666"/>
      <c r="Y141" s="666"/>
      <c r="Z141" s="666"/>
      <c r="AA141" s="666"/>
      <c r="AB141" s="666"/>
      <c r="AC141" s="666"/>
      <c r="AD141" s="666"/>
      <c r="AE141" s="666"/>
    </row>
    <row r="142" spans="1:33">
      <c r="A142" s="37" t="s">
        <v>11</v>
      </c>
      <c r="B142" s="37"/>
      <c r="C142" s="57"/>
      <c r="E142" s="57"/>
      <c r="F142" s="57"/>
      <c r="G142" s="57"/>
      <c r="H142" s="57"/>
      <c r="I142" s="43"/>
      <c r="J142" s="42"/>
      <c r="K142" s="770">
        <f>COUNTIF(K135:K139,"&gt;100")</f>
        <v>0</v>
      </c>
      <c r="L142" s="771">
        <f>COUNTIF(L135:L137,"&gt;100")</f>
        <v>0</v>
      </c>
      <c r="M142" s="771">
        <f t="shared" ref="M142:AE142" si="52">COUNTIF(M135:M137,"&gt;100")</f>
        <v>3</v>
      </c>
      <c r="N142" s="771">
        <f t="shared" si="52"/>
        <v>3</v>
      </c>
      <c r="O142" s="771">
        <f t="shared" si="52"/>
        <v>3</v>
      </c>
      <c r="P142" s="771">
        <f t="shared" si="52"/>
        <v>3</v>
      </c>
      <c r="Q142" s="771">
        <f t="shared" si="52"/>
        <v>3</v>
      </c>
      <c r="R142" s="771">
        <f t="shared" si="52"/>
        <v>3</v>
      </c>
      <c r="S142" s="771">
        <f t="shared" si="52"/>
        <v>3</v>
      </c>
      <c r="T142" s="771">
        <f t="shared" si="52"/>
        <v>3</v>
      </c>
      <c r="U142" s="771">
        <f t="shared" si="52"/>
        <v>3</v>
      </c>
      <c r="V142" s="771">
        <f t="shared" si="52"/>
        <v>3</v>
      </c>
      <c r="W142" s="771">
        <f t="shared" si="52"/>
        <v>3</v>
      </c>
      <c r="X142" s="771">
        <f t="shared" si="52"/>
        <v>3</v>
      </c>
      <c r="Y142" s="771">
        <f t="shared" si="52"/>
        <v>3</v>
      </c>
      <c r="Z142" s="771">
        <f t="shared" si="52"/>
        <v>3</v>
      </c>
      <c r="AA142" s="771">
        <f t="shared" si="52"/>
        <v>3</v>
      </c>
      <c r="AB142" s="771">
        <f t="shared" si="52"/>
        <v>3</v>
      </c>
      <c r="AC142" s="771">
        <f t="shared" si="52"/>
        <v>3</v>
      </c>
      <c r="AD142" s="771">
        <f t="shared" si="52"/>
        <v>3</v>
      </c>
      <c r="AE142" s="771">
        <f t="shared" si="52"/>
        <v>3</v>
      </c>
      <c r="AF142" s="772"/>
      <c r="AG142" s="772"/>
    </row>
    <row r="143" spans="1:33">
      <c r="A143" s="745" t="s">
        <v>10</v>
      </c>
      <c r="B143" s="745"/>
      <c r="C143" s="746"/>
      <c r="D143" s="116"/>
      <c r="E143" s="746"/>
      <c r="F143" s="746"/>
      <c r="G143" s="746"/>
      <c r="H143" s="746"/>
      <c r="I143" s="747"/>
      <c r="J143" s="748"/>
      <c r="K143" s="773">
        <v>0</v>
      </c>
      <c r="L143" s="774">
        <f>COUNTIF(L138:L139,"&gt;100")</f>
        <v>0</v>
      </c>
      <c r="M143" s="774">
        <f t="shared" ref="M143:AE143" si="53">COUNTIF(M138:M139,"&gt;100")</f>
        <v>2</v>
      </c>
      <c r="N143" s="774">
        <f t="shared" si="53"/>
        <v>2</v>
      </c>
      <c r="O143" s="774">
        <f t="shared" si="53"/>
        <v>2</v>
      </c>
      <c r="P143" s="774">
        <f t="shared" si="53"/>
        <v>2</v>
      </c>
      <c r="Q143" s="774">
        <f t="shared" si="53"/>
        <v>2</v>
      </c>
      <c r="R143" s="774">
        <f t="shared" si="53"/>
        <v>2</v>
      </c>
      <c r="S143" s="774">
        <f t="shared" si="53"/>
        <v>2</v>
      </c>
      <c r="T143" s="774">
        <f t="shared" si="53"/>
        <v>2</v>
      </c>
      <c r="U143" s="774">
        <f t="shared" si="53"/>
        <v>2</v>
      </c>
      <c r="V143" s="774">
        <f t="shared" si="53"/>
        <v>2</v>
      </c>
      <c r="W143" s="774">
        <f t="shared" si="53"/>
        <v>2</v>
      </c>
      <c r="X143" s="774">
        <f t="shared" si="53"/>
        <v>2</v>
      </c>
      <c r="Y143" s="774">
        <f t="shared" si="53"/>
        <v>2</v>
      </c>
      <c r="Z143" s="774">
        <f t="shared" si="53"/>
        <v>2</v>
      </c>
      <c r="AA143" s="774">
        <f t="shared" si="53"/>
        <v>2</v>
      </c>
      <c r="AB143" s="774">
        <f t="shared" si="53"/>
        <v>2</v>
      </c>
      <c r="AC143" s="774">
        <f t="shared" si="53"/>
        <v>2</v>
      </c>
      <c r="AD143" s="774">
        <f t="shared" si="53"/>
        <v>2</v>
      </c>
      <c r="AE143" s="774">
        <f t="shared" si="53"/>
        <v>2</v>
      </c>
      <c r="AF143" s="772"/>
      <c r="AG143" s="772"/>
    </row>
    <row r="144" spans="1:33" s="56" customFormat="1" ht="14.25">
      <c r="A144" s="164" t="s">
        <v>9</v>
      </c>
      <c r="B144" s="164"/>
      <c r="C144" s="75"/>
      <c r="D144" s="173"/>
      <c r="E144" s="75"/>
      <c r="F144" s="75"/>
      <c r="G144" s="75"/>
      <c r="H144" s="75"/>
      <c r="I144" s="174"/>
      <c r="J144" s="181"/>
      <c r="K144" s="775">
        <v>0</v>
      </c>
      <c r="L144" s="776">
        <f>SUM(L142:L143)</f>
        <v>0</v>
      </c>
      <c r="M144" s="776">
        <f t="shared" ref="M144:AE144" si="54">COUNTIF(M135:M139,"&gt;0")</f>
        <v>5</v>
      </c>
      <c r="N144" s="776">
        <f t="shared" si="54"/>
        <v>5</v>
      </c>
      <c r="O144" s="776">
        <f t="shared" si="54"/>
        <v>5</v>
      </c>
      <c r="P144" s="776">
        <f t="shared" si="54"/>
        <v>5</v>
      </c>
      <c r="Q144" s="776">
        <f t="shared" si="54"/>
        <v>5</v>
      </c>
      <c r="R144" s="776">
        <f t="shared" si="54"/>
        <v>5</v>
      </c>
      <c r="S144" s="776">
        <f t="shared" si="54"/>
        <v>5</v>
      </c>
      <c r="T144" s="776">
        <f t="shared" si="54"/>
        <v>5</v>
      </c>
      <c r="U144" s="776">
        <f t="shared" si="54"/>
        <v>5</v>
      </c>
      <c r="V144" s="776">
        <f t="shared" si="54"/>
        <v>5</v>
      </c>
      <c r="W144" s="776">
        <f t="shared" si="54"/>
        <v>5</v>
      </c>
      <c r="X144" s="776">
        <f t="shared" si="54"/>
        <v>5</v>
      </c>
      <c r="Y144" s="776">
        <f t="shared" si="54"/>
        <v>5</v>
      </c>
      <c r="Z144" s="776">
        <f t="shared" si="54"/>
        <v>5</v>
      </c>
      <c r="AA144" s="776">
        <f t="shared" si="54"/>
        <v>5</v>
      </c>
      <c r="AB144" s="776">
        <f t="shared" si="54"/>
        <v>5</v>
      </c>
      <c r="AC144" s="776">
        <f t="shared" si="54"/>
        <v>5</v>
      </c>
      <c r="AD144" s="776">
        <f t="shared" si="54"/>
        <v>5</v>
      </c>
      <c r="AE144" s="776">
        <f t="shared" si="54"/>
        <v>5</v>
      </c>
      <c r="AF144" s="723"/>
      <c r="AG144" s="723"/>
    </row>
    <row r="145" spans="1:33">
      <c r="B145" s="37"/>
      <c r="C145" s="57"/>
      <c r="E145" s="57"/>
      <c r="F145" s="57"/>
      <c r="G145" s="57"/>
      <c r="H145" s="57"/>
      <c r="I145" s="43"/>
      <c r="J145" s="42"/>
      <c r="K145" s="683"/>
      <c r="L145" s="316"/>
      <c r="M145" s="316"/>
      <c r="N145" s="316"/>
      <c r="O145" s="316"/>
      <c r="P145" s="316"/>
      <c r="Q145" s="316"/>
      <c r="R145" s="316"/>
      <c r="S145" s="316"/>
      <c r="T145" s="316"/>
      <c r="U145" s="316"/>
      <c r="V145" s="316"/>
      <c r="W145" s="316"/>
      <c r="X145" s="316"/>
      <c r="Y145" s="316"/>
      <c r="Z145" s="316"/>
      <c r="AA145" s="316"/>
      <c r="AB145" s="316"/>
      <c r="AC145" s="316"/>
      <c r="AD145" s="316"/>
      <c r="AE145" s="316"/>
    </row>
    <row r="146" spans="1:33">
      <c r="A146" s="33" t="s">
        <v>60</v>
      </c>
      <c r="B146" s="191"/>
      <c r="C146" s="192"/>
      <c r="D146" s="193"/>
      <c r="E146" s="194"/>
      <c r="F146" s="194"/>
      <c r="G146" s="192"/>
      <c r="H146" s="192"/>
      <c r="I146" s="195">
        <v>0.2</v>
      </c>
      <c r="J146" s="196"/>
      <c r="K146" s="689">
        <v>0</v>
      </c>
      <c r="L146" s="665">
        <f t="shared" ref="L146:AE146" si="55">L140*$I$146</f>
        <v>0</v>
      </c>
      <c r="M146" s="665">
        <f t="shared" si="55"/>
        <v>10889.307692307695</v>
      </c>
      <c r="N146" s="665">
        <f t="shared" si="55"/>
        <v>11107.093846153846</v>
      </c>
      <c r="O146" s="665">
        <f t="shared" si="55"/>
        <v>11329.235723076927</v>
      </c>
      <c r="P146" s="665">
        <f t="shared" si="55"/>
        <v>11555.820437538463</v>
      </c>
      <c r="Q146" s="665">
        <f t="shared" si="55"/>
        <v>11786.936846289229</v>
      </c>
      <c r="R146" s="665">
        <f t="shared" si="55"/>
        <v>12022.675583215016</v>
      </c>
      <c r="S146" s="665">
        <f t="shared" si="55"/>
        <v>12263.129094879318</v>
      </c>
      <c r="T146" s="665">
        <f t="shared" si="55"/>
        <v>12508.391676776904</v>
      </c>
      <c r="U146" s="665">
        <f t="shared" si="55"/>
        <v>12758.55951031244</v>
      </c>
      <c r="V146" s="665">
        <f t="shared" si="55"/>
        <v>13013.730700518692</v>
      </c>
      <c r="W146" s="665">
        <f t="shared" si="55"/>
        <v>13274.005314529066</v>
      </c>
      <c r="X146" s="665">
        <f t="shared" si="55"/>
        <v>13539.485420819647</v>
      </c>
      <c r="Y146" s="665">
        <f t="shared" si="55"/>
        <v>13810.275129236041</v>
      </c>
      <c r="Z146" s="665">
        <f t="shared" si="55"/>
        <v>14086.480631820759</v>
      </c>
      <c r="AA146" s="665">
        <f t="shared" si="55"/>
        <v>14368.210244457177</v>
      </c>
      <c r="AB146" s="665">
        <f t="shared" si="55"/>
        <v>14655.574449346321</v>
      </c>
      <c r="AC146" s="665">
        <f t="shared" si="55"/>
        <v>14948.685938333247</v>
      </c>
      <c r="AD146" s="665">
        <f t="shared" si="55"/>
        <v>15247.659657099914</v>
      </c>
      <c r="AE146" s="665">
        <f t="shared" si="55"/>
        <v>15552.612850241911</v>
      </c>
    </row>
    <row r="147" spans="1:33">
      <c r="B147" s="191"/>
      <c r="C147" s="192"/>
      <c r="D147" s="193"/>
      <c r="E147" s="194"/>
      <c r="F147" s="194"/>
      <c r="G147" s="192"/>
      <c r="H147" s="192"/>
      <c r="I147" s="195"/>
      <c r="J147" s="196"/>
      <c r="K147" s="689"/>
      <c r="L147" s="665"/>
      <c r="M147" s="665"/>
      <c r="N147" s="665"/>
      <c r="O147" s="665"/>
      <c r="P147" s="665"/>
      <c r="Q147" s="665"/>
      <c r="R147" s="665"/>
      <c r="S147" s="665"/>
      <c r="T147" s="665"/>
      <c r="U147" s="665"/>
      <c r="V147" s="665"/>
      <c r="W147" s="665"/>
      <c r="X147" s="665"/>
      <c r="Y147" s="665"/>
      <c r="Z147" s="665"/>
      <c r="AA147" s="665"/>
      <c r="AB147" s="665"/>
      <c r="AC147" s="665"/>
      <c r="AD147" s="665"/>
      <c r="AE147" s="665"/>
    </row>
    <row r="148" spans="1:33" s="197" customFormat="1" ht="14.25">
      <c r="A148" s="197" t="s">
        <v>68</v>
      </c>
      <c r="D148" s="198"/>
      <c r="K148" s="690"/>
      <c r="L148" s="677"/>
      <c r="M148" s="677"/>
      <c r="N148" s="677"/>
      <c r="O148" s="677"/>
      <c r="P148" s="677"/>
      <c r="Q148" s="677"/>
      <c r="R148" s="677"/>
      <c r="S148" s="677"/>
      <c r="T148" s="677"/>
      <c r="U148" s="677"/>
      <c r="V148" s="677"/>
      <c r="W148" s="677"/>
      <c r="X148" s="677"/>
      <c r="Y148" s="677"/>
      <c r="Z148" s="677"/>
      <c r="AA148" s="677"/>
      <c r="AB148" s="677"/>
      <c r="AC148" s="677"/>
      <c r="AD148" s="677"/>
      <c r="AE148" s="677"/>
    </row>
    <row r="149" spans="1:33">
      <c r="A149" s="37" t="s">
        <v>423</v>
      </c>
      <c r="B149" s="37"/>
      <c r="C149" s="110"/>
      <c r="D149" s="106"/>
      <c r="E149" s="57"/>
      <c r="F149" s="57"/>
      <c r="G149" s="57"/>
      <c r="H149" s="57"/>
      <c r="I149" s="49"/>
      <c r="J149" s="44"/>
      <c r="K149" s="683">
        <f>COUNTIF(K$115:K$122,"&gt;0")*$J149*R$9</f>
        <v>0</v>
      </c>
      <c r="L149" s="666">
        <v>0</v>
      </c>
      <c r="M149" s="666">
        <v>10000</v>
      </c>
      <c r="N149" s="666">
        <f t="shared" ref="N149:AE149" si="56">$M$149*L11</f>
        <v>10200</v>
      </c>
      <c r="O149" s="666">
        <f t="shared" si="56"/>
        <v>10404</v>
      </c>
      <c r="P149" s="666">
        <f t="shared" si="56"/>
        <v>10612.08</v>
      </c>
      <c r="Q149" s="666">
        <f t="shared" si="56"/>
        <v>10824.321599999999</v>
      </c>
      <c r="R149" s="666">
        <f t="shared" si="56"/>
        <v>11040.808032000001</v>
      </c>
      <c r="S149" s="666">
        <f t="shared" si="56"/>
        <v>11261.62419264</v>
      </c>
      <c r="T149" s="666">
        <f t="shared" si="56"/>
        <v>11486.8566764928</v>
      </c>
      <c r="U149" s="666">
        <f t="shared" si="56"/>
        <v>11716.593810022658</v>
      </c>
      <c r="V149" s="666">
        <f t="shared" si="56"/>
        <v>11950.92568622311</v>
      </c>
      <c r="W149" s="666">
        <f t="shared" si="56"/>
        <v>12189.944199947573</v>
      </c>
      <c r="X149" s="666">
        <f t="shared" si="56"/>
        <v>12433.743083946525</v>
      </c>
      <c r="Y149" s="666">
        <f t="shared" si="56"/>
        <v>12682.417945625455</v>
      </c>
      <c r="Z149" s="666">
        <f t="shared" si="56"/>
        <v>12936.066304537962</v>
      </c>
      <c r="AA149" s="666">
        <f t="shared" si="56"/>
        <v>13194.787630628723</v>
      </c>
      <c r="AB149" s="666">
        <f t="shared" si="56"/>
        <v>13458.683383241299</v>
      </c>
      <c r="AC149" s="666">
        <f t="shared" si="56"/>
        <v>13727.857050906125</v>
      </c>
      <c r="AD149" s="666">
        <f t="shared" si="56"/>
        <v>14002.414191924248</v>
      </c>
      <c r="AE149" s="666">
        <f t="shared" si="56"/>
        <v>14282.462475762733</v>
      </c>
    </row>
    <row r="150" spans="1:33">
      <c r="A150" s="37" t="s">
        <v>67</v>
      </c>
      <c r="B150" s="37"/>
      <c r="C150" s="110"/>
      <c r="D150" s="106"/>
      <c r="E150" s="57"/>
      <c r="F150" s="57"/>
      <c r="G150" s="57"/>
      <c r="H150" s="57"/>
      <c r="I150" s="51"/>
      <c r="J150" s="44"/>
      <c r="K150" s="683">
        <v>0</v>
      </c>
      <c r="L150" s="666">
        <v>0</v>
      </c>
      <c r="M150" s="666">
        <v>10000</v>
      </c>
      <c r="N150" s="666">
        <f t="shared" ref="N150:AE150" si="57">$M$150*L11</f>
        <v>10200</v>
      </c>
      <c r="O150" s="666">
        <f t="shared" si="57"/>
        <v>10404</v>
      </c>
      <c r="P150" s="666">
        <f t="shared" si="57"/>
        <v>10612.08</v>
      </c>
      <c r="Q150" s="666">
        <f t="shared" si="57"/>
        <v>10824.321599999999</v>
      </c>
      <c r="R150" s="666">
        <f t="shared" si="57"/>
        <v>11040.808032000001</v>
      </c>
      <c r="S150" s="666">
        <f t="shared" si="57"/>
        <v>11261.62419264</v>
      </c>
      <c r="T150" s="666">
        <f t="shared" si="57"/>
        <v>11486.8566764928</v>
      </c>
      <c r="U150" s="666">
        <f t="shared" si="57"/>
        <v>11716.593810022658</v>
      </c>
      <c r="V150" s="666">
        <f t="shared" si="57"/>
        <v>11950.92568622311</v>
      </c>
      <c r="W150" s="666">
        <f t="shared" si="57"/>
        <v>12189.944199947573</v>
      </c>
      <c r="X150" s="666">
        <f t="shared" si="57"/>
        <v>12433.743083946525</v>
      </c>
      <c r="Y150" s="666">
        <f t="shared" si="57"/>
        <v>12682.417945625455</v>
      </c>
      <c r="Z150" s="666">
        <f t="shared" si="57"/>
        <v>12936.066304537962</v>
      </c>
      <c r="AA150" s="666">
        <f t="shared" si="57"/>
        <v>13194.787630628723</v>
      </c>
      <c r="AB150" s="666">
        <f t="shared" si="57"/>
        <v>13458.683383241299</v>
      </c>
      <c r="AC150" s="666">
        <f t="shared" si="57"/>
        <v>13727.857050906125</v>
      </c>
      <c r="AD150" s="666">
        <f t="shared" si="57"/>
        <v>14002.414191924248</v>
      </c>
      <c r="AE150" s="666">
        <f t="shared" si="57"/>
        <v>14282.462475762733</v>
      </c>
    </row>
    <row r="151" spans="1:33">
      <c r="A151" s="180" t="s">
        <v>2</v>
      </c>
      <c r="B151" s="777"/>
      <c r="C151" s="778"/>
      <c r="D151" s="779"/>
      <c r="E151" s="746"/>
      <c r="F151" s="746"/>
      <c r="G151" s="778"/>
      <c r="H151" s="778"/>
      <c r="I151" s="780"/>
      <c r="J151" s="781"/>
      <c r="K151" s="741">
        <v>0</v>
      </c>
      <c r="L151" s="742">
        <v>0</v>
      </c>
      <c r="M151" s="742">
        <v>0</v>
      </c>
      <c r="N151" s="742">
        <v>0</v>
      </c>
      <c r="O151" s="742">
        <v>0</v>
      </c>
      <c r="P151" s="742">
        <v>0</v>
      </c>
      <c r="Q151" s="742">
        <v>0</v>
      </c>
      <c r="R151" s="742">
        <v>0</v>
      </c>
      <c r="S151" s="742">
        <v>0</v>
      </c>
      <c r="T151" s="742">
        <v>0</v>
      </c>
      <c r="U151" s="742">
        <v>0</v>
      </c>
      <c r="V151" s="742">
        <v>0</v>
      </c>
      <c r="W151" s="742">
        <v>0</v>
      </c>
      <c r="X151" s="742">
        <v>0</v>
      </c>
      <c r="Y151" s="742">
        <v>0</v>
      </c>
      <c r="Z151" s="742">
        <v>0</v>
      </c>
      <c r="AA151" s="742">
        <v>0</v>
      </c>
      <c r="AB151" s="742">
        <v>0</v>
      </c>
      <c r="AC151" s="742">
        <v>0</v>
      </c>
      <c r="AD151" s="742">
        <v>0</v>
      </c>
      <c r="AE151" s="742">
        <v>0</v>
      </c>
    </row>
    <row r="152" spans="1:33" s="56" customFormat="1" ht="14.25">
      <c r="A152" s="164" t="s">
        <v>78</v>
      </c>
      <c r="B152" s="164"/>
      <c r="C152" s="75"/>
      <c r="D152" s="173"/>
      <c r="E152" s="75"/>
      <c r="F152" s="75"/>
      <c r="G152" s="75"/>
      <c r="H152" s="75"/>
      <c r="I152" s="174"/>
      <c r="J152" s="175"/>
      <c r="K152" s="685">
        <v>0</v>
      </c>
      <c r="L152" s="669">
        <f t="shared" ref="L152:AE152" si="58">SUM(L149:L151)</f>
        <v>0</v>
      </c>
      <c r="M152" s="669">
        <f t="shared" si="58"/>
        <v>20000</v>
      </c>
      <c r="N152" s="669">
        <f t="shared" si="58"/>
        <v>20400</v>
      </c>
      <c r="O152" s="669">
        <f t="shared" si="58"/>
        <v>20808</v>
      </c>
      <c r="P152" s="669">
        <f t="shared" si="58"/>
        <v>21224.16</v>
      </c>
      <c r="Q152" s="669">
        <f t="shared" si="58"/>
        <v>21648.643199999999</v>
      </c>
      <c r="R152" s="669">
        <f t="shared" si="58"/>
        <v>22081.616064000002</v>
      </c>
      <c r="S152" s="669">
        <f t="shared" si="58"/>
        <v>22523.24838528</v>
      </c>
      <c r="T152" s="669">
        <f t="shared" si="58"/>
        <v>22973.7133529856</v>
      </c>
      <c r="U152" s="669">
        <f t="shared" si="58"/>
        <v>23433.187620045315</v>
      </c>
      <c r="V152" s="669">
        <f t="shared" si="58"/>
        <v>23901.851372446221</v>
      </c>
      <c r="W152" s="669">
        <f t="shared" si="58"/>
        <v>24379.888399895146</v>
      </c>
      <c r="X152" s="669">
        <f t="shared" si="58"/>
        <v>24867.48616789305</v>
      </c>
      <c r="Y152" s="669">
        <f t="shared" si="58"/>
        <v>25364.83589125091</v>
      </c>
      <c r="Z152" s="669">
        <f t="shared" si="58"/>
        <v>25872.132609075925</v>
      </c>
      <c r="AA152" s="669">
        <f t="shared" si="58"/>
        <v>26389.575261257447</v>
      </c>
      <c r="AB152" s="669">
        <f t="shared" si="58"/>
        <v>26917.366766482599</v>
      </c>
      <c r="AC152" s="669">
        <f t="shared" si="58"/>
        <v>27455.714101812249</v>
      </c>
      <c r="AD152" s="669">
        <f t="shared" si="58"/>
        <v>28004.828383848497</v>
      </c>
      <c r="AE152" s="669">
        <f t="shared" si="58"/>
        <v>28564.924951525467</v>
      </c>
    </row>
    <row r="153" spans="1:33" s="56" customFormat="1" ht="14.25">
      <c r="A153" s="164"/>
      <c r="B153" s="164"/>
      <c r="C153" s="75"/>
      <c r="D153" s="173"/>
      <c r="E153" s="75"/>
      <c r="F153" s="75"/>
      <c r="G153" s="75"/>
      <c r="H153" s="75"/>
      <c r="I153" s="174"/>
      <c r="J153" s="175"/>
      <c r="K153" s="685"/>
      <c r="L153" s="669"/>
      <c r="M153" s="669"/>
      <c r="N153" s="669"/>
      <c r="O153" s="669"/>
      <c r="P153" s="669"/>
      <c r="Q153" s="669"/>
      <c r="R153" s="669"/>
      <c r="S153" s="669"/>
      <c r="T153" s="669"/>
      <c r="U153" s="669"/>
      <c r="V153" s="669"/>
      <c r="W153" s="669"/>
      <c r="X153" s="669"/>
      <c r="Y153" s="669"/>
      <c r="Z153" s="669"/>
      <c r="AA153" s="669"/>
      <c r="AB153" s="669"/>
      <c r="AC153" s="669"/>
      <c r="AD153" s="669"/>
      <c r="AE153" s="669"/>
    </row>
    <row r="154" spans="1:33" s="56" customFormat="1" ht="14.25">
      <c r="A154" s="164" t="s">
        <v>66</v>
      </c>
      <c r="B154" s="164"/>
      <c r="C154" s="75"/>
      <c r="D154" s="173"/>
      <c r="E154" s="75"/>
      <c r="F154" s="75"/>
      <c r="G154" s="75"/>
      <c r="H154" s="75"/>
      <c r="I154" s="174"/>
      <c r="J154" s="175"/>
      <c r="K154" s="685">
        <v>0</v>
      </c>
      <c r="L154" s="669">
        <f>SUM(L140,L152)</f>
        <v>0</v>
      </c>
      <c r="M154" s="669">
        <f>SUM(M140,M146,M152)</f>
        <v>85335.846153846156</v>
      </c>
      <c r="N154" s="669">
        <f t="shared" ref="N154:AE154" si="59">SUM(N140,N146,N152)</f>
        <v>87042.563076923077</v>
      </c>
      <c r="O154" s="669">
        <f t="shared" si="59"/>
        <v>88783.41433846156</v>
      </c>
      <c r="P154" s="669">
        <f t="shared" si="59"/>
        <v>90559.082625230774</v>
      </c>
      <c r="Q154" s="669">
        <f t="shared" si="59"/>
        <v>92370.264277735376</v>
      </c>
      <c r="R154" s="669">
        <f t="shared" si="59"/>
        <v>94217.669563290081</v>
      </c>
      <c r="S154" s="669">
        <f t="shared" si="59"/>
        <v>96102.022954555898</v>
      </c>
      <c r="T154" s="669">
        <f t="shared" si="59"/>
        <v>98024.063413647003</v>
      </c>
      <c r="U154" s="669">
        <f t="shared" si="59"/>
        <v>99984.544681919942</v>
      </c>
      <c r="V154" s="669">
        <f t="shared" si="59"/>
        <v>101984.23557555837</v>
      </c>
      <c r="W154" s="669">
        <f t="shared" si="59"/>
        <v>104023.92028706953</v>
      </c>
      <c r="X154" s="669">
        <f t="shared" si="59"/>
        <v>106104.39869281092</v>
      </c>
      <c r="Y154" s="669">
        <f t="shared" si="59"/>
        <v>108226.48666666714</v>
      </c>
      <c r="Z154" s="669">
        <f t="shared" si="59"/>
        <v>110391.01640000047</v>
      </c>
      <c r="AA154" s="669">
        <f t="shared" si="59"/>
        <v>112598.8367280005</v>
      </c>
      <c r="AB154" s="669">
        <f t="shared" si="59"/>
        <v>114850.8134625605</v>
      </c>
      <c r="AC154" s="669">
        <f t="shared" si="59"/>
        <v>117147.82973181173</v>
      </c>
      <c r="AD154" s="669">
        <f t="shared" si="59"/>
        <v>119490.78632644797</v>
      </c>
      <c r="AE154" s="669">
        <f t="shared" si="59"/>
        <v>121880.60205297693</v>
      </c>
    </row>
    <row r="155" spans="1:33" s="56" customFormat="1" ht="14.25">
      <c r="A155" s="164"/>
      <c r="B155" s="164"/>
      <c r="C155" s="75"/>
      <c r="D155" s="173"/>
      <c r="E155" s="75"/>
      <c r="F155" s="75"/>
      <c r="G155" s="75"/>
      <c r="H155" s="75"/>
      <c r="I155" s="174"/>
      <c r="J155" s="175"/>
      <c r="K155" s="685"/>
      <c r="L155" s="669"/>
      <c r="M155" s="669"/>
      <c r="N155" s="669"/>
      <c r="O155" s="669"/>
      <c r="P155" s="669"/>
      <c r="Q155" s="669"/>
      <c r="R155" s="669"/>
      <c r="S155" s="669"/>
      <c r="T155" s="669"/>
      <c r="U155" s="669"/>
      <c r="V155" s="669"/>
      <c r="W155" s="669"/>
      <c r="X155" s="669"/>
      <c r="Y155" s="669"/>
      <c r="Z155" s="669"/>
      <c r="AA155" s="669"/>
      <c r="AB155" s="669"/>
      <c r="AC155" s="669"/>
      <c r="AD155" s="669"/>
      <c r="AE155" s="669"/>
    </row>
    <row r="156" spans="1:33">
      <c r="A156" s="47" t="s">
        <v>7</v>
      </c>
      <c r="B156" s="47" t="s">
        <v>7</v>
      </c>
      <c r="C156" s="78" t="s">
        <v>7</v>
      </c>
      <c r="D156" s="100"/>
      <c r="E156" s="78" t="s">
        <v>7</v>
      </c>
      <c r="F156" s="78"/>
      <c r="G156" s="78" t="s">
        <v>7</v>
      </c>
      <c r="H156" s="78"/>
      <c r="I156" s="52" t="s">
        <v>7</v>
      </c>
      <c r="J156" s="114"/>
      <c r="K156" s="673"/>
      <c r="L156" s="672"/>
      <c r="M156" s="672"/>
      <c r="N156" s="672"/>
      <c r="O156" s="672"/>
      <c r="P156" s="672"/>
      <c r="Q156" s="672"/>
      <c r="R156" s="672"/>
      <c r="S156" s="672"/>
      <c r="T156" s="672"/>
      <c r="U156" s="672"/>
      <c r="V156" s="672"/>
      <c r="W156" s="672"/>
      <c r="X156" s="672"/>
      <c r="Y156" s="672"/>
      <c r="Z156" s="672"/>
      <c r="AA156" s="672"/>
      <c r="AB156" s="672"/>
      <c r="AC156" s="672"/>
      <c r="AD156" s="672"/>
      <c r="AE156" s="672"/>
    </row>
    <row r="157" spans="1:33">
      <c r="A157" s="47"/>
      <c r="B157" s="47"/>
      <c r="C157" s="78"/>
      <c r="D157" s="100"/>
      <c r="E157" s="78"/>
      <c r="F157" s="78"/>
      <c r="G157" s="78"/>
      <c r="H157" s="78"/>
      <c r="I157" s="52"/>
      <c r="J157" s="114"/>
      <c r="K157" s="664"/>
      <c r="L157" s="666"/>
      <c r="M157" s="666"/>
      <c r="N157" s="666"/>
      <c r="O157" s="666"/>
      <c r="P157" s="666"/>
      <c r="Q157" s="666"/>
      <c r="R157" s="666"/>
      <c r="S157" s="666"/>
      <c r="T157" s="666"/>
      <c r="U157" s="666"/>
      <c r="V157" s="666"/>
      <c r="W157" s="666"/>
      <c r="X157" s="666"/>
      <c r="Y157" s="666"/>
      <c r="Z157" s="666"/>
      <c r="AA157" s="666"/>
      <c r="AB157" s="666"/>
      <c r="AC157" s="666"/>
      <c r="AD157" s="666"/>
      <c r="AE157" s="666"/>
    </row>
    <row r="158" spans="1:33" s="56" customFormat="1" ht="14.25">
      <c r="A158" s="203" t="s">
        <v>79</v>
      </c>
      <c r="B158" s="203"/>
      <c r="C158" s="204"/>
      <c r="D158" s="205"/>
      <c r="E158" s="204"/>
      <c r="F158" s="204"/>
      <c r="G158" s="204"/>
      <c r="H158" s="204"/>
      <c r="I158" s="206"/>
      <c r="J158" s="207"/>
      <c r="K158" s="675">
        <v>0</v>
      </c>
      <c r="L158" s="676">
        <f t="shared" ref="L158:AE158" si="60">SUM(L131,L154)</f>
        <v>0</v>
      </c>
      <c r="M158" s="676">
        <f t="shared" si="60"/>
        <v>139905.84615384616</v>
      </c>
      <c r="N158" s="676">
        <f t="shared" si="60"/>
        <v>143817.19107692307</v>
      </c>
      <c r="O158" s="676">
        <f t="shared" si="60"/>
        <v>146693.53489846154</v>
      </c>
      <c r="P158" s="676">
        <f t="shared" si="60"/>
        <v>149627.40559643076</v>
      </c>
      <c r="Q158" s="676">
        <f t="shared" si="60"/>
        <v>152619.95370835939</v>
      </c>
      <c r="R158" s="676">
        <f t="shared" si="60"/>
        <v>155672.35278252655</v>
      </c>
      <c r="S158" s="676">
        <f t="shared" si="60"/>
        <v>158785.7998381771</v>
      </c>
      <c r="T158" s="676">
        <f t="shared" si="60"/>
        <v>161961.51583494066</v>
      </c>
      <c r="U158" s="676">
        <f t="shared" si="60"/>
        <v>165200.74615163944</v>
      </c>
      <c r="V158" s="676">
        <f t="shared" si="60"/>
        <v>168504.76107467228</v>
      </c>
      <c r="W158" s="676">
        <f t="shared" si="60"/>
        <v>171874.85629616573</v>
      </c>
      <c r="X158" s="676">
        <f t="shared" si="60"/>
        <v>175312.35342208904</v>
      </c>
      <c r="Y158" s="676">
        <f t="shared" si="60"/>
        <v>178818.60049053084</v>
      </c>
      <c r="Z158" s="676">
        <f t="shared" si="60"/>
        <v>182394.97250034142</v>
      </c>
      <c r="AA158" s="676">
        <f t="shared" si="60"/>
        <v>186042.87195034826</v>
      </c>
      <c r="AB158" s="676">
        <f t="shared" si="60"/>
        <v>189763.72938935523</v>
      </c>
      <c r="AC158" s="676">
        <f t="shared" si="60"/>
        <v>193559.00397714233</v>
      </c>
      <c r="AD158" s="676">
        <f t="shared" si="60"/>
        <v>197430.18405668519</v>
      </c>
      <c r="AE158" s="676">
        <f t="shared" si="60"/>
        <v>201378.7877378189</v>
      </c>
      <c r="AG158" s="199"/>
    </row>
    <row r="159" spans="1:33">
      <c r="K159" s="664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</row>
    <row r="160" spans="1:33">
      <c r="A160" s="47" t="s">
        <v>7</v>
      </c>
      <c r="B160" s="47" t="s">
        <v>7</v>
      </c>
      <c r="C160" s="78" t="s">
        <v>7</v>
      </c>
      <c r="D160" s="100"/>
      <c r="E160" s="78" t="s">
        <v>7</v>
      </c>
      <c r="F160" s="78"/>
      <c r="G160" s="78" t="s">
        <v>7</v>
      </c>
      <c r="H160" s="78"/>
      <c r="I160" s="52" t="s">
        <v>7</v>
      </c>
      <c r="J160" s="114"/>
      <c r="K160" s="673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</row>
    <row r="161" spans="1:33">
      <c r="K161" s="664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G161" s="199"/>
    </row>
    <row r="162" spans="1:33" s="56" customFormat="1" ht="14.25">
      <c r="A162" s="208" t="s">
        <v>115</v>
      </c>
      <c r="B162" s="208"/>
      <c r="C162" s="208"/>
      <c r="D162" s="202"/>
      <c r="E162" s="208"/>
      <c r="F162" s="208"/>
      <c r="G162" s="208"/>
      <c r="H162" s="208"/>
      <c r="I162" s="208"/>
      <c r="J162" s="208"/>
      <c r="K162" s="678">
        <f>SUM(K152,K112)</f>
        <v>0</v>
      </c>
      <c r="L162" s="678">
        <f t="shared" ref="L162:AE162" si="61">SUM(L112,L158)</f>
        <v>357416.66666666669</v>
      </c>
      <c r="M162" s="678">
        <f t="shared" si="61"/>
        <v>872654.34615384613</v>
      </c>
      <c r="N162" s="678">
        <f t="shared" si="61"/>
        <v>891230.86107692309</v>
      </c>
      <c r="O162" s="678">
        <f t="shared" si="61"/>
        <v>909055.47829846153</v>
      </c>
      <c r="P162" s="678">
        <f t="shared" si="61"/>
        <v>927236.58786443074</v>
      </c>
      <c r="Q162" s="678">
        <f t="shared" si="61"/>
        <v>974125.19841691933</v>
      </c>
      <c r="R162" s="678">
        <f t="shared" si="61"/>
        <v>989070.78359488968</v>
      </c>
      <c r="S162" s="678">
        <f t="shared" si="61"/>
        <v>1008852.1992667874</v>
      </c>
      <c r="T162" s="678">
        <f t="shared" si="61"/>
        <v>1029029.2432521235</v>
      </c>
      <c r="U162" s="678">
        <f t="shared" si="61"/>
        <v>1049609.8281171659</v>
      </c>
      <c r="V162" s="678">
        <f t="shared" si="61"/>
        <v>1074992.5274695121</v>
      </c>
      <c r="W162" s="678">
        <f t="shared" si="61"/>
        <v>1092014.0651730993</v>
      </c>
      <c r="X162" s="678">
        <f t="shared" si="61"/>
        <v>1113854.3464765614</v>
      </c>
      <c r="Y162" s="678">
        <f t="shared" si="61"/>
        <v>1136131.4334060927</v>
      </c>
      <c r="Z162" s="678">
        <f t="shared" si="61"/>
        <v>1158854.0620742145</v>
      </c>
      <c r="AA162" s="678">
        <f t="shared" si="61"/>
        <v>1186358.2091465369</v>
      </c>
      <c r="AB162" s="678">
        <f t="shared" si="61"/>
        <v>1205671.7661820129</v>
      </c>
      <c r="AC162" s="678">
        <f t="shared" si="61"/>
        <v>1229785.2015056531</v>
      </c>
      <c r="AD162" s="678">
        <f t="shared" si="61"/>
        <v>1254380.9055357664</v>
      </c>
      <c r="AE162" s="678">
        <f t="shared" si="61"/>
        <v>1279468.5236464818</v>
      </c>
      <c r="AG162" s="199"/>
    </row>
    <row r="163" spans="1:33">
      <c r="K163" s="664"/>
      <c r="L163" s="666"/>
      <c r="M163" s="666"/>
      <c r="N163" s="666"/>
      <c r="O163" s="666"/>
      <c r="P163" s="666"/>
      <c r="Q163" s="666"/>
      <c r="R163" s="666"/>
      <c r="S163" s="666"/>
      <c r="T163" s="666"/>
      <c r="U163" s="666"/>
      <c r="V163" s="666"/>
      <c r="W163" s="666"/>
      <c r="X163" s="666"/>
      <c r="Y163" s="666"/>
      <c r="Z163" s="666"/>
      <c r="AA163" s="666"/>
      <c r="AB163" s="666"/>
      <c r="AC163" s="666"/>
      <c r="AD163" s="666"/>
      <c r="AE163" s="666"/>
      <c r="AG163" s="199"/>
    </row>
    <row r="164" spans="1:33">
      <c r="A164" s="251"/>
      <c r="B164" s="251"/>
      <c r="C164" s="251"/>
      <c r="D164" s="259"/>
      <c r="E164" s="251"/>
      <c r="F164" s="251"/>
      <c r="G164" s="251"/>
      <c r="H164" s="251"/>
      <c r="I164" s="251"/>
      <c r="J164" s="251"/>
      <c r="K164" s="679"/>
      <c r="L164" s="680"/>
      <c r="M164" s="680"/>
      <c r="N164" s="680"/>
      <c r="O164" s="680"/>
      <c r="P164" s="680"/>
      <c r="Q164" s="680"/>
      <c r="R164" s="680"/>
      <c r="S164" s="680"/>
      <c r="T164" s="680"/>
      <c r="U164" s="680"/>
      <c r="V164" s="680"/>
      <c r="W164" s="680"/>
      <c r="X164" s="680"/>
      <c r="Y164" s="680"/>
      <c r="Z164" s="680"/>
      <c r="AA164" s="680"/>
      <c r="AB164" s="680"/>
      <c r="AC164" s="680"/>
      <c r="AD164" s="680"/>
      <c r="AE164" s="680"/>
      <c r="AG164" s="199"/>
    </row>
    <row r="165" spans="1:33">
      <c r="K165" s="664"/>
      <c r="L165" s="666"/>
      <c r="M165" s="666"/>
      <c r="N165" s="666"/>
      <c r="O165" s="666"/>
      <c r="P165" s="666"/>
      <c r="Q165" s="666"/>
      <c r="R165" s="666"/>
      <c r="S165" s="666"/>
      <c r="T165" s="666"/>
      <c r="U165" s="666"/>
      <c r="V165" s="666"/>
      <c r="W165" s="666"/>
      <c r="X165" s="666"/>
      <c r="Y165" s="666"/>
      <c r="Z165" s="666"/>
      <c r="AA165" s="666"/>
      <c r="AB165" s="666"/>
      <c r="AC165" s="666"/>
      <c r="AD165" s="666"/>
      <c r="AE165" s="666"/>
      <c r="AG165" s="199"/>
    </row>
    <row r="166" spans="1:33">
      <c r="A166" s="249" t="s">
        <v>84</v>
      </c>
      <c r="B166" s="281"/>
      <c r="C166" s="281"/>
      <c r="D166" s="177"/>
      <c r="E166" s="281"/>
      <c r="F166" s="281"/>
      <c r="G166" s="281"/>
      <c r="H166" s="281"/>
      <c r="I166" s="281"/>
      <c r="J166" s="281"/>
      <c r="K166" s="681"/>
      <c r="L166" s="682"/>
      <c r="M166" s="682"/>
      <c r="N166" s="682"/>
      <c r="O166" s="682"/>
      <c r="P166" s="682"/>
      <c r="Q166" s="682"/>
      <c r="R166" s="682"/>
      <c r="S166" s="682"/>
      <c r="T166" s="682"/>
      <c r="U166" s="682"/>
      <c r="V166" s="682"/>
      <c r="W166" s="682"/>
      <c r="X166" s="682"/>
      <c r="Y166" s="682"/>
      <c r="Z166" s="682"/>
      <c r="AA166" s="682"/>
      <c r="AB166" s="682"/>
      <c r="AC166" s="682"/>
      <c r="AD166" s="682"/>
      <c r="AE166" s="682"/>
      <c r="AG166" s="199"/>
    </row>
    <row r="167" spans="1:33" s="252" customFormat="1">
      <c r="A167" s="257"/>
      <c r="D167" s="186"/>
      <c r="K167" s="664"/>
      <c r="L167" s="671"/>
      <c r="M167" s="671"/>
      <c r="N167" s="671"/>
      <c r="O167" s="671"/>
      <c r="P167" s="671"/>
      <c r="Q167" s="671"/>
      <c r="R167" s="671"/>
      <c r="S167" s="671"/>
      <c r="T167" s="671"/>
      <c r="U167" s="671"/>
      <c r="V167" s="671"/>
      <c r="W167" s="671"/>
      <c r="X167" s="671"/>
      <c r="Y167" s="671"/>
      <c r="Z167" s="671"/>
      <c r="AA167" s="671"/>
      <c r="AB167" s="671"/>
      <c r="AC167" s="671"/>
      <c r="AD167" s="671"/>
      <c r="AE167" s="671"/>
      <c r="AG167" s="363"/>
    </row>
    <row r="168" spans="1:33">
      <c r="A168" s="96" t="str">
        <f>'OPEX - Concept B2 - Carnival'!A168</f>
        <v>Investment (cash)</v>
      </c>
      <c r="B168" s="96"/>
      <c r="C168" s="96"/>
      <c r="D168" s="96"/>
      <c r="E168" s="96"/>
      <c r="F168" s="96"/>
      <c r="G168" s="96"/>
      <c r="H168" s="96"/>
      <c r="I168" s="96"/>
      <c r="J168" s="96"/>
      <c r="K168" s="883"/>
      <c r="L168" s="663"/>
      <c r="M168" s="663"/>
      <c r="N168" s="663"/>
      <c r="O168" s="663"/>
      <c r="P168" s="663"/>
      <c r="Q168" s="663"/>
      <c r="R168" s="663"/>
      <c r="S168" s="663"/>
      <c r="T168" s="663"/>
      <c r="U168" s="663"/>
      <c r="V168" s="663"/>
      <c r="W168" s="663"/>
      <c r="X168" s="663"/>
      <c r="Y168" s="663"/>
      <c r="Z168" s="663"/>
      <c r="AA168" s="663"/>
      <c r="AB168" s="663"/>
      <c r="AC168" s="663"/>
      <c r="AD168" s="663"/>
      <c r="AE168" s="663"/>
      <c r="AG168" s="199"/>
    </row>
    <row r="169" spans="1:33">
      <c r="A169" s="96" t="str">
        <f>'OPEX - Concept B2 - Carnival'!A169</f>
        <v xml:space="preserve">     Site Maintenance</v>
      </c>
      <c r="B169" s="96"/>
      <c r="C169" s="96"/>
      <c r="D169" s="96"/>
      <c r="E169" s="96"/>
      <c r="F169" s="96"/>
      <c r="G169" s="96"/>
      <c r="H169" s="96"/>
      <c r="I169" s="96"/>
      <c r="J169" s="96"/>
      <c r="K169" s="883">
        <f>'OPEX - Concept B2 - Carnival'!K169</f>
        <v>0</v>
      </c>
      <c r="L169" s="663">
        <f>'OPEX - Concept B2 - Carnival'!L169</f>
        <v>0</v>
      </c>
      <c r="M169" s="663">
        <f>'OPEX - Concept B2 - Carnival'!M169</f>
        <v>49995</v>
      </c>
      <c r="N169" s="663">
        <f>'OPEX - Concept B2 - Carnival'!N169</f>
        <v>50994.9</v>
      </c>
      <c r="O169" s="663">
        <f>'OPEX - Concept B2 - Carnival'!O169</f>
        <v>52014.798000000003</v>
      </c>
      <c r="P169" s="663">
        <f>'OPEX - Concept B2 - Carnival'!P169</f>
        <v>53055.093959999998</v>
      </c>
      <c r="Q169" s="663">
        <f>'OPEX - Concept B2 - Carnival'!Q169</f>
        <v>54116.195839200002</v>
      </c>
      <c r="R169" s="663">
        <f>'OPEX - Concept B2 - Carnival'!R169</f>
        <v>55198.519755984002</v>
      </c>
      <c r="S169" s="663">
        <f>'OPEX - Concept B2 - Carnival'!S169</f>
        <v>56302.490151103681</v>
      </c>
      <c r="T169" s="663">
        <f>'OPEX - Concept B2 - Carnival'!T169</f>
        <v>57428.539954125758</v>
      </c>
      <c r="U169" s="663">
        <f>'OPEX - Concept B2 - Carnival'!U169</f>
        <v>58577.110753208275</v>
      </c>
      <c r="V169" s="663">
        <f>'OPEX - Concept B2 - Carnival'!V169</f>
        <v>59748.652968272443</v>
      </c>
      <c r="W169" s="663">
        <f>'OPEX - Concept B2 - Carnival'!W169</f>
        <v>60943.626027637896</v>
      </c>
      <c r="X169" s="663">
        <f>'OPEX - Concept B2 - Carnival'!X169</f>
        <v>62162.498548190648</v>
      </c>
      <c r="Y169" s="663">
        <f>'OPEX - Concept B2 - Carnival'!Y169</f>
        <v>63405.748519154462</v>
      </c>
      <c r="Z169" s="663">
        <f>'OPEX - Concept B2 - Carnival'!Z169</f>
        <v>64673.863489537544</v>
      </c>
      <c r="AA169" s="663">
        <f>'OPEX - Concept B2 - Carnival'!AA169</f>
        <v>65967.340759328305</v>
      </c>
      <c r="AB169" s="663">
        <f>'OPEX - Concept B2 - Carnival'!AB169</f>
        <v>67286.687574514872</v>
      </c>
      <c r="AC169" s="663">
        <f>'OPEX - Concept B2 - Carnival'!AC169</f>
        <v>68632.421326005177</v>
      </c>
      <c r="AD169" s="663">
        <f>'OPEX - Concept B2 - Carnival'!AD169</f>
        <v>70005.069752525276</v>
      </c>
      <c r="AE169" s="663">
        <f>'OPEX - Concept B2 - Carnival'!AE169</f>
        <v>71405.171147575791</v>
      </c>
      <c r="AG169" s="199"/>
    </row>
    <row r="170" spans="1:33" s="162" customFormat="1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883"/>
      <c r="L170" s="663"/>
      <c r="M170" s="663"/>
      <c r="N170" s="663"/>
      <c r="O170" s="663"/>
      <c r="P170" s="663"/>
      <c r="Q170" s="663"/>
      <c r="R170" s="663"/>
      <c r="S170" s="663"/>
      <c r="T170" s="663"/>
      <c r="U170" s="663"/>
      <c r="V170" s="663"/>
      <c r="W170" s="663"/>
      <c r="X170" s="663"/>
      <c r="Y170" s="663"/>
      <c r="Z170" s="663"/>
      <c r="AA170" s="663"/>
      <c r="AB170" s="663"/>
      <c r="AC170" s="663"/>
      <c r="AD170" s="663"/>
      <c r="AE170" s="663"/>
      <c r="AG170" s="786"/>
    </row>
    <row r="171" spans="1:33" s="162" customFormat="1">
      <c r="A171" s="96" t="str">
        <f>'OPEX - Concept B2 - Carnival'!A171</f>
        <v>Debt Service (Site Demolition, Design, Development/Preparation &amp; Shuttles)</v>
      </c>
      <c r="B171" s="96"/>
      <c r="C171" s="96"/>
      <c r="D171" s="96"/>
      <c r="E171" s="96"/>
      <c r="F171" s="96"/>
      <c r="G171" s="96"/>
      <c r="H171" s="96"/>
      <c r="I171" s="96"/>
      <c r="J171" s="96"/>
      <c r="K171" s="883">
        <f>'OPEX - Concept B2 - Carnival'!K171</f>
        <v>0</v>
      </c>
      <c r="L171" s="663">
        <f>'OPEX - Concept B2 - Carnival'!L171</f>
        <v>591295.19999999995</v>
      </c>
      <c r="M171" s="663">
        <f>'OPEX - Concept B2 - Carnival'!M171</f>
        <v>591295.19999999995</v>
      </c>
      <c r="N171" s="663">
        <f>'OPEX - Concept B2 - Carnival'!N171</f>
        <v>591295.19999999995</v>
      </c>
      <c r="O171" s="663">
        <f>'OPEX - Concept B2 - Carnival'!O171</f>
        <v>591295.19999999995</v>
      </c>
      <c r="P171" s="663">
        <f>'OPEX - Concept B2 - Carnival'!P171</f>
        <v>591295.19999999995</v>
      </c>
      <c r="Q171" s="663">
        <f>'OPEX - Concept B2 - Carnival'!Q171</f>
        <v>591295.19999999995</v>
      </c>
      <c r="R171" s="663">
        <f>'OPEX - Concept B2 - Carnival'!R171</f>
        <v>591295.19999999995</v>
      </c>
      <c r="S171" s="663">
        <f>'OPEX - Concept B2 - Carnival'!S171</f>
        <v>591295.19999999995</v>
      </c>
      <c r="T171" s="663">
        <f>'OPEX - Concept B2 - Carnival'!T171</f>
        <v>591295.19999999995</v>
      </c>
      <c r="U171" s="663">
        <f>'OPEX - Concept B2 - Carnival'!U171</f>
        <v>591295.19999999995</v>
      </c>
      <c r="V171" s="663">
        <f>'OPEX - Concept B2 - Carnival'!V171</f>
        <v>591295.19999999995</v>
      </c>
      <c r="W171" s="663">
        <f>'OPEX - Concept B2 - Carnival'!W171</f>
        <v>591295.19999999995</v>
      </c>
      <c r="X171" s="663">
        <f>'OPEX - Concept B2 - Carnival'!X171</f>
        <v>591295.19999999995</v>
      </c>
      <c r="Y171" s="663">
        <f>'OPEX - Concept B2 - Carnival'!Y171</f>
        <v>591295.19999999995</v>
      </c>
      <c r="Z171" s="663">
        <f>'OPEX - Concept B2 - Carnival'!Z171</f>
        <v>591295.19999999995</v>
      </c>
      <c r="AA171" s="663">
        <f>'OPEX - Concept B2 - Carnival'!AA171</f>
        <v>591295.19999999995</v>
      </c>
      <c r="AB171" s="663">
        <f>'OPEX - Concept B2 - Carnival'!AB171</f>
        <v>591295.19999999995</v>
      </c>
      <c r="AC171" s="663">
        <f>'OPEX - Concept B2 - Carnival'!AC171</f>
        <v>591295.19999999995</v>
      </c>
      <c r="AD171" s="663">
        <f>'OPEX - Concept B2 - Carnival'!AD171</f>
        <v>591295.19999999995</v>
      </c>
      <c r="AE171" s="663">
        <f>'OPEX - Concept B2 - Carnival'!AE171</f>
        <v>591295.19999999995</v>
      </c>
    </row>
    <row r="172" spans="1:33" s="702" customFormat="1">
      <c r="A172" s="341" t="s">
        <v>315</v>
      </c>
      <c r="B172" s="701"/>
      <c r="C172" s="703"/>
      <c r="D172" s="704"/>
      <c r="E172" s="705"/>
      <c r="F172" s="705"/>
      <c r="G172" s="705"/>
      <c r="H172" s="705"/>
      <c r="I172" s="706"/>
      <c r="J172" s="707"/>
      <c r="K172" s="699">
        <v>0</v>
      </c>
      <c r="L172" s="700">
        <v>0</v>
      </c>
      <c r="M172" s="700">
        <v>0</v>
      </c>
      <c r="N172" s="700">
        <v>0</v>
      </c>
      <c r="O172" s="700">
        <v>0</v>
      </c>
      <c r="P172" s="700">
        <v>0</v>
      </c>
      <c r="Q172" s="700">
        <v>0</v>
      </c>
      <c r="R172" s="700">
        <v>0</v>
      </c>
      <c r="S172" s="700">
        <v>0</v>
      </c>
      <c r="T172" s="700">
        <v>0</v>
      </c>
      <c r="U172" s="700">
        <v>0</v>
      </c>
      <c r="V172" s="700">
        <v>0</v>
      </c>
      <c r="W172" s="700">
        <v>0</v>
      </c>
      <c r="X172" s="700">
        <v>0</v>
      </c>
      <c r="Y172" s="700">
        <v>0</v>
      </c>
      <c r="Z172" s="700">
        <v>0</v>
      </c>
      <c r="AA172" s="700">
        <v>0</v>
      </c>
      <c r="AB172" s="700">
        <v>0</v>
      </c>
      <c r="AC172" s="700">
        <v>0</v>
      </c>
      <c r="AD172" s="700">
        <v>0</v>
      </c>
      <c r="AE172" s="700">
        <v>0</v>
      </c>
      <c r="AG172" s="708"/>
    </row>
    <row r="173" spans="1:33">
      <c r="A173" s="180" t="s">
        <v>316</v>
      </c>
      <c r="B173" s="180"/>
      <c r="C173" s="180"/>
      <c r="D173" s="116"/>
      <c r="E173" s="180"/>
      <c r="F173" s="180"/>
      <c r="G173" s="180"/>
      <c r="H173" s="180"/>
      <c r="I173" s="180"/>
      <c r="J173" s="180"/>
      <c r="K173" s="505">
        <v>0</v>
      </c>
      <c r="L173" s="506">
        <v>246000</v>
      </c>
      <c r="M173" s="506">
        <v>246000</v>
      </c>
      <c r="N173" s="506">
        <v>246000</v>
      </c>
      <c r="O173" s="506">
        <v>246000</v>
      </c>
      <c r="P173" s="506">
        <v>246000</v>
      </c>
      <c r="Q173" s="506">
        <v>246000</v>
      </c>
      <c r="R173" s="506">
        <v>246000</v>
      </c>
      <c r="S173" s="506">
        <v>246000</v>
      </c>
      <c r="T173" s="506">
        <v>246000</v>
      </c>
      <c r="U173" s="506">
        <v>246000</v>
      </c>
      <c r="V173" s="506">
        <v>246000</v>
      </c>
      <c r="W173" s="506">
        <v>246000</v>
      </c>
      <c r="X173" s="506">
        <v>246000</v>
      </c>
      <c r="Y173" s="506">
        <v>246000</v>
      </c>
      <c r="Z173" s="506">
        <v>246000</v>
      </c>
      <c r="AA173" s="506">
        <v>246000</v>
      </c>
      <c r="AB173" s="506">
        <v>246000</v>
      </c>
      <c r="AC173" s="506">
        <v>246000</v>
      </c>
      <c r="AD173" s="506">
        <v>246000</v>
      </c>
      <c r="AE173" s="506">
        <v>246000</v>
      </c>
      <c r="AG173" s="199"/>
    </row>
    <row r="174" spans="1:33" s="56" customFormat="1" ht="14.25">
      <c r="A174" s="56" t="s">
        <v>134</v>
      </c>
      <c r="D174" s="173"/>
      <c r="K174" s="524">
        <f t="shared" ref="K174:AE174" si="62">SUM(K168:K173)</f>
        <v>0</v>
      </c>
      <c r="L174" s="525">
        <f t="shared" si="62"/>
        <v>837295.2</v>
      </c>
      <c r="M174" s="525">
        <f t="shared" si="62"/>
        <v>887290.2</v>
      </c>
      <c r="N174" s="525">
        <f t="shared" si="62"/>
        <v>888290.1</v>
      </c>
      <c r="O174" s="525">
        <f t="shared" si="62"/>
        <v>889309.99799999991</v>
      </c>
      <c r="P174" s="525">
        <f t="shared" si="62"/>
        <v>890350.29395999992</v>
      </c>
      <c r="Q174" s="525">
        <f t="shared" si="62"/>
        <v>891411.39583920001</v>
      </c>
      <c r="R174" s="525">
        <f t="shared" si="62"/>
        <v>892493.71975598391</v>
      </c>
      <c r="S174" s="525">
        <f t="shared" si="62"/>
        <v>893597.69015110366</v>
      </c>
      <c r="T174" s="525">
        <f t="shared" si="62"/>
        <v>894723.73995412572</v>
      </c>
      <c r="U174" s="525">
        <f t="shared" si="62"/>
        <v>895872.31075320824</v>
      </c>
      <c r="V174" s="525">
        <f t="shared" si="62"/>
        <v>897043.8529682724</v>
      </c>
      <c r="W174" s="525">
        <f t="shared" si="62"/>
        <v>898238.82602763781</v>
      </c>
      <c r="X174" s="525">
        <f t="shared" si="62"/>
        <v>899457.69854819064</v>
      </c>
      <c r="Y174" s="525">
        <f t="shared" si="62"/>
        <v>900700.94851915445</v>
      </c>
      <c r="Z174" s="525">
        <f t="shared" si="62"/>
        <v>901969.06348953745</v>
      </c>
      <c r="AA174" s="525">
        <f t="shared" si="62"/>
        <v>903262.54075932829</v>
      </c>
      <c r="AB174" s="525">
        <f t="shared" si="62"/>
        <v>904581.88757451484</v>
      </c>
      <c r="AC174" s="525">
        <f t="shared" si="62"/>
        <v>905927.62132600509</v>
      </c>
      <c r="AD174" s="525">
        <f t="shared" si="62"/>
        <v>907300.26975252526</v>
      </c>
      <c r="AE174" s="525">
        <f t="shared" si="62"/>
        <v>908700.37114757579</v>
      </c>
      <c r="AG174" s="199"/>
    </row>
    <row r="175" spans="1:33">
      <c r="K175" s="683"/>
      <c r="L175" s="666"/>
      <c r="M175" s="666"/>
      <c r="N175" s="666"/>
      <c r="O175" s="666"/>
      <c r="P175" s="666"/>
      <c r="Q175" s="666"/>
      <c r="R175" s="666"/>
      <c r="S175" s="666"/>
      <c r="T175" s="666"/>
      <c r="U175" s="666"/>
      <c r="V175" s="666"/>
      <c r="W175" s="666"/>
      <c r="X175" s="666"/>
      <c r="Y175" s="666"/>
      <c r="Z175" s="666"/>
      <c r="AA175" s="666"/>
      <c r="AB175" s="666"/>
      <c r="AC175" s="666"/>
      <c r="AD175" s="666"/>
      <c r="AE175" s="666"/>
      <c r="AG175" s="199"/>
    </row>
    <row r="176" spans="1:33" s="56" customFormat="1" ht="14.25">
      <c r="A176" s="208" t="s">
        <v>86</v>
      </c>
      <c r="B176" s="718">
        <f>SUM(L176:AE176)</f>
        <v>17887817.728526361</v>
      </c>
      <c r="C176" s="208"/>
      <c r="D176" s="202"/>
      <c r="E176" s="208"/>
      <c r="F176" s="208"/>
      <c r="G176" s="208"/>
      <c r="H176" s="208"/>
      <c r="I176" s="208"/>
      <c r="J176" s="208"/>
      <c r="K176" s="678">
        <f>SUM(K169:K171)</f>
        <v>0</v>
      </c>
      <c r="L176" s="678">
        <f>L174</f>
        <v>837295.2</v>
      </c>
      <c r="M176" s="678">
        <f t="shared" ref="M176:AE176" si="63">M174</f>
        <v>887290.2</v>
      </c>
      <c r="N176" s="678">
        <f t="shared" si="63"/>
        <v>888290.1</v>
      </c>
      <c r="O176" s="678">
        <f t="shared" si="63"/>
        <v>889309.99799999991</v>
      </c>
      <c r="P176" s="678">
        <f t="shared" si="63"/>
        <v>890350.29395999992</v>
      </c>
      <c r="Q176" s="678">
        <f t="shared" si="63"/>
        <v>891411.39583920001</v>
      </c>
      <c r="R176" s="678">
        <f t="shared" si="63"/>
        <v>892493.71975598391</v>
      </c>
      <c r="S176" s="678">
        <f t="shared" si="63"/>
        <v>893597.69015110366</v>
      </c>
      <c r="T176" s="678">
        <f t="shared" si="63"/>
        <v>894723.73995412572</v>
      </c>
      <c r="U176" s="678">
        <f t="shared" si="63"/>
        <v>895872.31075320824</v>
      </c>
      <c r="V176" s="678">
        <f t="shared" si="63"/>
        <v>897043.8529682724</v>
      </c>
      <c r="W176" s="678">
        <f t="shared" si="63"/>
        <v>898238.82602763781</v>
      </c>
      <c r="X176" s="678">
        <f t="shared" si="63"/>
        <v>899457.69854819064</v>
      </c>
      <c r="Y176" s="678">
        <f t="shared" si="63"/>
        <v>900700.94851915445</v>
      </c>
      <c r="Z176" s="678">
        <f t="shared" si="63"/>
        <v>901969.06348953745</v>
      </c>
      <c r="AA176" s="678">
        <f t="shared" si="63"/>
        <v>903262.54075932829</v>
      </c>
      <c r="AB176" s="678">
        <f t="shared" si="63"/>
        <v>904581.88757451484</v>
      </c>
      <c r="AC176" s="678">
        <f t="shared" si="63"/>
        <v>905927.62132600509</v>
      </c>
      <c r="AD176" s="678">
        <f t="shared" si="63"/>
        <v>907300.26975252526</v>
      </c>
      <c r="AE176" s="678">
        <f t="shared" si="63"/>
        <v>908700.37114757579</v>
      </c>
      <c r="AG176" s="199"/>
    </row>
    <row r="177" spans="1:31">
      <c r="K177" s="662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1"/>
      <c r="Y177" s="201"/>
      <c r="Z177" s="201"/>
      <c r="AA177" s="201"/>
      <c r="AB177" s="201"/>
      <c r="AC177" s="201"/>
      <c r="AD177" s="201"/>
      <c r="AE177" s="201"/>
    </row>
    <row r="178" spans="1:31">
      <c r="A178" s="251"/>
      <c r="B178" s="251"/>
      <c r="C178" s="251"/>
      <c r="D178" s="259"/>
      <c r="E178" s="251"/>
      <c r="F178" s="251"/>
      <c r="G178" s="251"/>
      <c r="H178" s="251"/>
      <c r="I178" s="251"/>
      <c r="J178" s="251"/>
      <c r="K178" s="324"/>
      <c r="L178" s="325"/>
      <c r="M178" s="325"/>
      <c r="N178" s="325"/>
      <c r="O178" s="325"/>
      <c r="P178" s="325"/>
      <c r="Q178" s="325"/>
      <c r="R178" s="325"/>
      <c r="S178" s="325"/>
      <c r="T178" s="325"/>
      <c r="U178" s="325"/>
      <c r="V178" s="325"/>
      <c r="W178" s="325"/>
      <c r="X178" s="325"/>
      <c r="Y178" s="325"/>
      <c r="Z178" s="325"/>
      <c r="AA178" s="325"/>
      <c r="AB178" s="325"/>
      <c r="AC178" s="325"/>
      <c r="AD178" s="325"/>
      <c r="AE178" s="325"/>
    </row>
    <row r="179" spans="1:31">
      <c r="K179" s="322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1"/>
      <c r="Y179" s="201"/>
      <c r="Z179" s="201"/>
      <c r="AA179" s="201"/>
      <c r="AB179" s="201"/>
      <c r="AC179" s="201"/>
      <c r="AD179" s="201"/>
      <c r="AE179" s="201"/>
    </row>
    <row r="180" spans="1:31">
      <c r="A180"/>
      <c r="K180" s="322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</row>
    <row r="181" spans="1:31">
      <c r="A181"/>
      <c r="K181" s="322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</row>
    <row r="182" spans="1:31">
      <c r="K182" s="322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  <c r="AA182" s="201"/>
      <c r="AB182" s="201"/>
      <c r="AC182" s="201"/>
      <c r="AD182" s="201"/>
      <c r="AE182" s="201"/>
    </row>
    <row r="183" spans="1:31">
      <c r="K183" s="322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</row>
    <row r="184" spans="1:31">
      <c r="K184" s="322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  <c r="AA184" s="201"/>
      <c r="AB184" s="201"/>
      <c r="AC184" s="201"/>
      <c r="AD184" s="201"/>
      <c r="AE184" s="201"/>
    </row>
    <row r="185" spans="1:31">
      <c r="K185" s="322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</row>
    <row r="186" spans="1:31">
      <c r="K186" s="322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</row>
    <row r="187" spans="1:31">
      <c r="K187" s="322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</row>
    <row r="188" spans="1:31">
      <c r="K188" s="322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</row>
    <row r="189" spans="1:31">
      <c r="K189" s="322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</row>
    <row r="190" spans="1:31">
      <c r="K190" s="322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</row>
    <row r="191" spans="1:31">
      <c r="K191" s="322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</row>
    <row r="192" spans="1:31">
      <c r="K192" s="322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</row>
    <row r="193" spans="11:31">
      <c r="K193" s="322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201"/>
      <c r="AE193" s="201"/>
    </row>
  </sheetData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FD194"/>
  <sheetViews>
    <sheetView topLeftCell="A55" zoomScale="70" zoomScaleNormal="70" workbookViewId="0">
      <selection activeCell="P88" sqref="P88:AE88"/>
    </sheetView>
  </sheetViews>
  <sheetFormatPr defaultColWidth="9" defaultRowHeight="16.5"/>
  <cols>
    <col min="1" max="1" width="45.625" style="33" customWidth="1"/>
    <col min="2" max="2" width="51.25" style="33" bestFit="1" customWidth="1"/>
    <col min="3" max="3" width="18.125" style="33" bestFit="1" customWidth="1"/>
    <col min="4" max="4" width="16.25" style="109" bestFit="1" customWidth="1"/>
    <col min="5" max="5" width="13.125" style="33" bestFit="1" customWidth="1"/>
    <col min="6" max="6" width="20.5" style="33" bestFit="1" customWidth="1"/>
    <col min="7" max="7" width="20.25" style="33" bestFit="1" customWidth="1"/>
    <col min="8" max="8" width="26.75" style="33" bestFit="1" customWidth="1"/>
    <col min="9" max="9" width="12.125" style="33" bestFit="1" customWidth="1"/>
    <col min="10" max="10" width="13.875" style="33" bestFit="1" customWidth="1"/>
    <col min="11" max="11" width="7.75" style="166" bestFit="1" customWidth="1"/>
    <col min="12" max="12" width="17.5" style="33" bestFit="1" customWidth="1"/>
    <col min="13" max="13" width="16.75" style="33" bestFit="1" customWidth="1"/>
    <col min="14" max="15" width="17.125" style="33" bestFit="1" customWidth="1"/>
    <col min="16" max="16" width="16.75" style="33" bestFit="1" customWidth="1"/>
    <col min="17" max="18" width="17.125" style="33" bestFit="1" customWidth="1"/>
    <col min="19" max="19" width="17.5" style="33" bestFit="1" customWidth="1"/>
    <col min="20" max="20" width="16.75" style="33" bestFit="1" customWidth="1"/>
    <col min="21" max="23" width="17.125" style="33" bestFit="1" customWidth="1"/>
    <col min="24" max="24" width="17.5" style="33" bestFit="1" customWidth="1"/>
    <col min="25" max="25" width="17.125" style="33" bestFit="1" customWidth="1"/>
    <col min="26" max="26" width="17.5" style="33" bestFit="1" customWidth="1"/>
    <col min="27" max="27" width="17.125" style="33" bestFit="1" customWidth="1"/>
    <col min="28" max="29" width="17.5" style="33" bestFit="1" customWidth="1"/>
    <col min="30" max="30" width="17.125" style="33" bestFit="1" customWidth="1"/>
    <col min="31" max="31" width="17.5" style="33" bestFit="1" customWidth="1"/>
    <col min="32" max="32" width="22.625" style="33" bestFit="1" customWidth="1"/>
    <col min="33" max="33" width="12.625" style="33" bestFit="1" customWidth="1"/>
    <col min="34" max="16384" width="9" style="33"/>
  </cols>
  <sheetData>
    <row r="1" spans="1:31" ht="18.75" thickBot="1">
      <c r="A1" s="11" t="str">
        <f>Intro!A1</f>
        <v>Town of Bar Harbor</v>
      </c>
      <c r="B1" s="13"/>
      <c r="C1" s="13"/>
      <c r="D1" s="99"/>
      <c r="E1" s="14"/>
      <c r="F1" s="14"/>
      <c r="G1" s="34"/>
      <c r="H1" s="34"/>
      <c r="I1" s="34"/>
      <c r="J1" s="34"/>
      <c r="K1" s="16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</row>
    <row r="2" spans="1:31" ht="17.25" thickBot="1">
      <c r="A2" s="380" t="str">
        <f>Intro!A2</f>
        <v>Ferry Property Business Plan</v>
      </c>
      <c r="B2" s="13"/>
      <c r="C2" s="13"/>
      <c r="D2" s="99"/>
      <c r="E2" s="14"/>
      <c r="F2" s="14"/>
      <c r="G2" s="34"/>
      <c r="H2" s="34"/>
      <c r="I2" s="34"/>
      <c r="J2" s="34"/>
      <c r="K2" s="16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</row>
    <row r="3" spans="1:31" s="392" customFormat="1" ht="14.25" thickBot="1">
      <c r="A3" s="384" t="str">
        <f>Intro!A3</f>
        <v>05.23.2018</v>
      </c>
      <c r="B3" s="2"/>
      <c r="C3" s="382"/>
      <c r="D3" s="393"/>
      <c r="E3" s="385"/>
      <c r="F3" s="385"/>
      <c r="G3" s="389"/>
      <c r="H3" s="389"/>
      <c r="I3" s="389"/>
      <c r="J3" s="389"/>
      <c r="K3" s="390"/>
      <c r="L3" s="391"/>
      <c r="M3" s="391"/>
      <c r="N3" s="391"/>
      <c r="O3" s="391"/>
      <c r="P3" s="391"/>
      <c r="Q3" s="391"/>
      <c r="R3" s="391"/>
      <c r="S3" s="391"/>
      <c r="T3" s="391"/>
      <c r="U3" s="391"/>
      <c r="V3" s="391"/>
      <c r="W3" s="391"/>
      <c r="X3" s="391"/>
      <c r="Y3" s="391"/>
      <c r="Z3" s="391"/>
      <c r="AA3" s="391"/>
      <c r="AB3" s="391"/>
      <c r="AC3" s="391"/>
      <c r="AD3" s="391"/>
      <c r="AE3" s="391"/>
    </row>
    <row r="4" spans="1:31" s="392" customFormat="1" ht="13.5">
      <c r="A4" s="384" t="str">
        <f ca="1">Intro!A4</f>
        <v>Town of Bar Harbor</v>
      </c>
      <c r="B4" s="382"/>
      <c r="C4" s="382"/>
      <c r="D4" s="393"/>
      <c r="E4" s="383">
        <f ca="1">NOW()</f>
        <v>43242.835659143515</v>
      </c>
      <c r="F4" s="383"/>
      <c r="G4" s="389"/>
      <c r="H4" s="389"/>
      <c r="I4" s="389"/>
      <c r="J4" s="389"/>
      <c r="K4" s="390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  <c r="W4" s="391"/>
      <c r="X4" s="391"/>
      <c r="Y4" s="391"/>
      <c r="Z4" s="391"/>
      <c r="AA4" s="391"/>
      <c r="AB4" s="391"/>
      <c r="AC4" s="391"/>
      <c r="AD4" s="391"/>
      <c r="AE4" s="391"/>
    </row>
    <row r="5" spans="1:31">
      <c r="A5" s="231" t="s">
        <v>342</v>
      </c>
      <c r="B5" s="231"/>
      <c r="C5" s="232"/>
      <c r="D5" s="233"/>
      <c r="E5" s="232"/>
      <c r="F5" s="232"/>
      <c r="G5" s="234"/>
      <c r="H5" s="234"/>
      <c r="I5" s="234"/>
      <c r="J5" s="234"/>
      <c r="K5" s="235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1:31">
      <c r="A6" s="237"/>
      <c r="B6" s="237"/>
      <c r="C6" s="237"/>
      <c r="D6" s="238"/>
      <c r="E6" s="237"/>
      <c r="F6" s="237"/>
      <c r="G6" s="237"/>
      <c r="H6" s="237"/>
      <c r="I6" s="237"/>
      <c r="J6" s="237"/>
      <c r="K6" s="659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</row>
    <row r="7" spans="1:31" ht="48.75" customHeight="1">
      <c r="A7" s="239"/>
      <c r="B7" s="240" t="s">
        <v>45</v>
      </c>
      <c r="C7" s="241" t="s">
        <v>46</v>
      </c>
      <c r="D7" s="242" t="s">
        <v>47</v>
      </c>
      <c r="E7" s="240" t="s">
        <v>21</v>
      </c>
      <c r="F7" s="240" t="s">
        <v>48</v>
      </c>
      <c r="G7" s="240" t="s">
        <v>49</v>
      </c>
      <c r="H7" s="240" t="s">
        <v>59</v>
      </c>
      <c r="I7" s="240" t="s">
        <v>22</v>
      </c>
      <c r="J7" s="240" t="s">
        <v>50</v>
      </c>
      <c r="K7" s="243">
        <v>2018</v>
      </c>
      <c r="L7" s="243">
        <v>2019</v>
      </c>
      <c r="M7" s="243">
        <v>2020</v>
      </c>
      <c r="N7" s="243">
        <v>2021</v>
      </c>
      <c r="O7" s="243">
        <v>2022</v>
      </c>
      <c r="P7" s="243">
        <v>2023</v>
      </c>
      <c r="Q7" s="243">
        <v>2024</v>
      </c>
      <c r="R7" s="243">
        <v>2025</v>
      </c>
      <c r="S7" s="243">
        <v>2026</v>
      </c>
      <c r="T7" s="243">
        <v>2027</v>
      </c>
      <c r="U7" s="243">
        <v>2028</v>
      </c>
      <c r="V7" s="243">
        <v>2029</v>
      </c>
      <c r="W7" s="243">
        <v>2030</v>
      </c>
      <c r="X7" s="243">
        <v>2031</v>
      </c>
      <c r="Y7" s="243">
        <v>2032</v>
      </c>
      <c r="Z7" s="243">
        <v>2033</v>
      </c>
      <c r="AA7" s="243">
        <v>2034</v>
      </c>
      <c r="AB7" s="243">
        <v>2035</v>
      </c>
      <c r="AC7" s="243">
        <v>2036</v>
      </c>
      <c r="AD7" s="243">
        <v>2037</v>
      </c>
      <c r="AE7" s="243">
        <v>2038</v>
      </c>
    </row>
    <row r="8" spans="1:31" s="18" customFormat="1" ht="17.25" thickBot="1">
      <c r="K8" s="488"/>
    </row>
    <row r="9" spans="1:31" s="18" customFormat="1" ht="17.25" thickBot="1">
      <c r="A9" s="117" t="s">
        <v>381</v>
      </c>
      <c r="B9" s="484" t="str">
        <f>'P&amp;L - Concept B3 - Carnival'!B9</f>
        <v>Scenario 3 - Percent of 2018 Business - Carnival</v>
      </c>
      <c r="K9" s="489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  <c r="Y9" s="327"/>
      <c r="Z9" s="327"/>
      <c r="AA9" s="327"/>
      <c r="AB9" s="327"/>
      <c r="AC9" s="327"/>
      <c r="AD9" s="327"/>
      <c r="AE9" s="327"/>
    </row>
    <row r="10" spans="1:31" s="18" customFormat="1">
      <c r="A10" s="649"/>
      <c r="B10" s="372"/>
      <c r="K10" s="489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  <c r="Y10" s="327"/>
      <c r="Z10" s="327"/>
      <c r="AA10" s="327"/>
      <c r="AB10" s="327"/>
      <c r="AC10" s="327"/>
      <c r="AD10" s="327"/>
      <c r="AE10" s="327"/>
    </row>
    <row r="11" spans="1:31">
      <c r="A11" s="38" t="s">
        <v>52</v>
      </c>
      <c r="B11" s="38"/>
      <c r="C11" s="38"/>
      <c r="D11" s="101"/>
      <c r="E11" s="38"/>
      <c r="F11" s="38"/>
      <c r="G11" s="37"/>
      <c r="H11" s="37"/>
      <c r="I11" s="38"/>
      <c r="J11" s="37"/>
      <c r="K11" s="784">
        <f>'OPEX - Concept A1'!K11</f>
        <v>0</v>
      </c>
      <c r="L11" s="311">
        <f>'BH Tariffs'!D52</f>
        <v>1.02</v>
      </c>
      <c r="M11" s="311">
        <f>'BH Tariffs'!E52</f>
        <v>1.0404</v>
      </c>
      <c r="N11" s="311">
        <f>'BH Tariffs'!F52</f>
        <v>1.0612079999999999</v>
      </c>
      <c r="O11" s="311">
        <f>'BH Tariffs'!G52</f>
        <v>1.08243216</v>
      </c>
      <c r="P11" s="311">
        <f>'BH Tariffs'!H52</f>
        <v>1.1040808032</v>
      </c>
      <c r="Q11" s="311">
        <f>'BH Tariffs'!I52</f>
        <v>1.1261624192640001</v>
      </c>
      <c r="R11" s="311">
        <f>'BH Tariffs'!J52</f>
        <v>1.14868566764928</v>
      </c>
      <c r="S11" s="311">
        <f>'BH Tariffs'!K52</f>
        <v>1.1716593810022657</v>
      </c>
      <c r="T11" s="311">
        <f>'BH Tariffs'!L52</f>
        <v>1.1950925686223111</v>
      </c>
      <c r="U11" s="311">
        <f>'BH Tariffs'!M52</f>
        <v>1.2189944199947573</v>
      </c>
      <c r="V11" s="311">
        <f>'BH Tariffs'!N52</f>
        <v>1.2433743083946525</v>
      </c>
      <c r="W11" s="311">
        <f>'BH Tariffs'!O52</f>
        <v>1.2682417945625455</v>
      </c>
      <c r="X11" s="311">
        <f>'BH Tariffs'!P52</f>
        <v>1.2936066304537963</v>
      </c>
      <c r="Y11" s="311">
        <f>'BH Tariffs'!Q52</f>
        <v>1.3194787630628724</v>
      </c>
      <c r="Z11" s="311">
        <f>'BH Tariffs'!R52</f>
        <v>1.3458683383241299</v>
      </c>
      <c r="AA11" s="311">
        <f>'BH Tariffs'!S52</f>
        <v>1.3727857050906125</v>
      </c>
      <c r="AB11" s="311">
        <f>'BH Tariffs'!T52</f>
        <v>1.4002414191924248</v>
      </c>
      <c r="AC11" s="311">
        <f>'BH Tariffs'!U52</f>
        <v>1.4282462475762734</v>
      </c>
      <c r="AD11" s="311">
        <f>'BH Tariffs'!V52</f>
        <v>1.4568111725277988</v>
      </c>
      <c r="AE11" s="311">
        <f>'BH Tariffs'!W52</f>
        <v>1.4859473959783549</v>
      </c>
    </row>
    <row r="12" spans="1:31">
      <c r="A12" s="38" t="s">
        <v>58</v>
      </c>
      <c r="B12" s="38"/>
      <c r="C12" s="37"/>
      <c r="D12" s="76"/>
      <c r="E12" s="79">
        <v>0.2</v>
      </c>
      <c r="F12" s="172"/>
      <c r="G12" s="36"/>
      <c r="H12" s="36"/>
      <c r="I12" s="38"/>
      <c r="J12" s="36"/>
      <c r="K12" s="661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200"/>
      <c r="AC12" s="200"/>
      <c r="AD12" s="200"/>
      <c r="AE12" s="200"/>
    </row>
    <row r="13" spans="1:31">
      <c r="A13" s="38" t="s">
        <v>51</v>
      </c>
      <c r="B13" s="38"/>
      <c r="C13" s="37"/>
      <c r="D13" s="76"/>
      <c r="E13" s="79"/>
      <c r="F13" s="79">
        <v>0.4</v>
      </c>
      <c r="G13" s="36"/>
      <c r="H13" s="36"/>
      <c r="I13" s="38"/>
      <c r="J13" s="36"/>
      <c r="K13" s="661"/>
      <c r="L13" s="200"/>
      <c r="M13" s="200"/>
      <c r="N13" s="200"/>
      <c r="O13" s="200"/>
      <c r="P13" s="200"/>
      <c r="Q13" s="200"/>
      <c r="R13" s="200"/>
      <c r="S13" s="200"/>
      <c r="T13" s="200"/>
      <c r="U13" s="200"/>
      <c r="V13" s="200"/>
      <c r="W13" s="200"/>
      <c r="X13" s="200"/>
      <c r="Y13" s="200"/>
      <c r="Z13" s="200"/>
      <c r="AA13" s="200"/>
      <c r="AB13" s="200"/>
      <c r="AC13" s="200"/>
      <c r="AD13" s="200"/>
      <c r="AE13" s="200"/>
    </row>
    <row r="14" spans="1:31" s="18" customFormat="1">
      <c r="A14" s="649"/>
      <c r="B14" s="372"/>
      <c r="K14" s="489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7"/>
      <c r="X14" s="327"/>
      <c r="Y14" s="327"/>
      <c r="Z14" s="327"/>
      <c r="AA14" s="327"/>
      <c r="AB14" s="327"/>
      <c r="AC14" s="327"/>
      <c r="AD14" s="327"/>
      <c r="AE14" s="327"/>
    </row>
    <row r="15" spans="1:31" s="18" customFormat="1">
      <c r="K15" s="489"/>
      <c r="L15" s="327"/>
      <c r="M15" s="327"/>
      <c r="N15" s="327"/>
      <c r="O15" s="327"/>
      <c r="P15" s="327"/>
      <c r="Q15" s="327"/>
      <c r="R15" s="327"/>
      <c r="S15" s="327"/>
      <c r="T15" s="327"/>
      <c r="U15" s="327"/>
      <c r="V15" s="327"/>
      <c r="W15" s="327"/>
      <c r="X15" s="327"/>
      <c r="Y15" s="327"/>
      <c r="Z15" s="327"/>
      <c r="AA15" s="327"/>
      <c r="AB15" s="327"/>
      <c r="AC15" s="327"/>
      <c r="AD15" s="327"/>
      <c r="AE15" s="327"/>
    </row>
    <row r="16" spans="1:31" s="582" customFormat="1" ht="14.25">
      <c r="A16" s="582" t="s">
        <v>83</v>
      </c>
      <c r="K16" s="490"/>
      <c r="L16" s="785"/>
      <c r="M16" s="785"/>
      <c r="N16" s="785"/>
      <c r="O16" s="785"/>
      <c r="P16" s="785"/>
      <c r="Q16" s="785"/>
      <c r="R16" s="785"/>
      <c r="S16" s="785"/>
      <c r="T16" s="785"/>
      <c r="U16" s="785"/>
      <c r="V16" s="785"/>
      <c r="W16" s="785"/>
      <c r="X16" s="785"/>
      <c r="Y16" s="785"/>
      <c r="Z16" s="785"/>
      <c r="AA16" s="785"/>
      <c r="AB16" s="785"/>
      <c r="AC16" s="785"/>
      <c r="AD16" s="785"/>
      <c r="AE16" s="785"/>
    </row>
    <row r="17" spans="1:31" s="96" customFormat="1">
      <c r="A17" s="53" t="str">
        <f>'Cruise Projections'!A67</f>
        <v>Passengers</v>
      </c>
      <c r="B17" s="487"/>
      <c r="C17" s="487"/>
      <c r="K17" s="486">
        <f>'P&amp;L - Concept B3 - Carnival'!D12</f>
        <v>0</v>
      </c>
      <c r="L17" s="313">
        <f>'P&amp;L - Concept B3 - Carnival'!E12</f>
        <v>0</v>
      </c>
      <c r="M17" s="313">
        <f>'P&amp;L - Concept B3 - Carnival'!F12</f>
        <v>105331.33459735833</v>
      </c>
      <c r="N17" s="313">
        <f>'P&amp;L - Concept B3 - Carnival'!G12</f>
        <v>105331.33459735833</v>
      </c>
      <c r="O17" s="313">
        <f>'P&amp;L - Concept B3 - Carnival'!H12</f>
        <v>105331.33459735833</v>
      </c>
      <c r="P17" s="313">
        <f>'P&amp;L - Concept B3 - Carnival'!I12</f>
        <v>105331.33459735833</v>
      </c>
      <c r="Q17" s="313">
        <f>'P&amp;L - Concept B3 - Carnival'!J12</f>
        <v>105331.33459735833</v>
      </c>
      <c r="R17" s="313">
        <f>'P&amp;L - Concept B3 - Carnival'!K12</f>
        <v>105331.33459735833</v>
      </c>
      <c r="S17" s="313">
        <f>'P&amp;L - Concept B3 - Carnival'!L12</f>
        <v>105331.33459735833</v>
      </c>
      <c r="T17" s="313">
        <f>'P&amp;L - Concept B3 - Carnival'!M12</f>
        <v>105331.33459735833</v>
      </c>
      <c r="U17" s="313">
        <f>'P&amp;L - Concept B3 - Carnival'!N12</f>
        <v>105331.33459735833</v>
      </c>
      <c r="V17" s="313">
        <f>'P&amp;L - Concept B3 - Carnival'!O12</f>
        <v>105331.33459735833</v>
      </c>
      <c r="W17" s="313">
        <f>'P&amp;L - Concept B3 - Carnival'!P12</f>
        <v>105331.33459735833</v>
      </c>
      <c r="X17" s="313">
        <f>'P&amp;L - Concept B3 - Carnival'!Q12</f>
        <v>105331.33459735833</v>
      </c>
      <c r="Y17" s="313">
        <f>'P&amp;L - Concept B3 - Carnival'!R12</f>
        <v>105331.33459735833</v>
      </c>
      <c r="Z17" s="313">
        <f>'P&amp;L - Concept B3 - Carnival'!S12</f>
        <v>105331.33459735833</v>
      </c>
      <c r="AA17" s="313">
        <f>'P&amp;L - Concept B3 - Carnival'!T12</f>
        <v>105331.33459735833</v>
      </c>
      <c r="AB17" s="313">
        <f>'P&amp;L - Concept B3 - Carnival'!U12</f>
        <v>105331.33459735833</v>
      </c>
      <c r="AC17" s="313">
        <f>'P&amp;L - Concept B3 - Carnival'!V12</f>
        <v>105331.33459735833</v>
      </c>
      <c r="AD17" s="313">
        <f>'P&amp;L - Concept B3 - Carnival'!W12</f>
        <v>105331.33459735833</v>
      </c>
      <c r="AE17" s="313">
        <f>'P&amp;L - Concept B3 - Carnival'!X12</f>
        <v>105331.33459735833</v>
      </c>
    </row>
    <row r="18" spans="1:31" s="96" customFormat="1">
      <c r="A18" s="53" t="str">
        <f>'Cruise Projections'!A68</f>
        <v>Calls</v>
      </c>
      <c r="B18" s="487"/>
      <c r="C18" s="487"/>
      <c r="K18" s="486">
        <f>'P&amp;L - Concept B3 - Carnival'!D13</f>
        <v>0</v>
      </c>
      <c r="L18" s="313">
        <f>'P&amp;L - Concept B3 - Carnival'!E13</f>
        <v>0</v>
      </c>
      <c r="M18" s="313">
        <f>'P&amp;L - Concept B3 - Carnival'!F13</f>
        <v>60.199999999999996</v>
      </c>
      <c r="N18" s="313">
        <f>'P&amp;L - Concept B3 - Carnival'!G13</f>
        <v>60.199999999999996</v>
      </c>
      <c r="O18" s="313">
        <f>'P&amp;L - Concept B3 - Carnival'!H13</f>
        <v>60.199999999999996</v>
      </c>
      <c r="P18" s="313">
        <f>'P&amp;L - Concept B3 - Carnival'!I13</f>
        <v>60.199999999999996</v>
      </c>
      <c r="Q18" s="313">
        <f>'P&amp;L - Concept B3 - Carnival'!J13</f>
        <v>60.199999999999996</v>
      </c>
      <c r="R18" s="313">
        <f>'P&amp;L - Concept B3 - Carnival'!K13</f>
        <v>60.199999999999996</v>
      </c>
      <c r="S18" s="313">
        <f>'P&amp;L - Concept B3 - Carnival'!L13</f>
        <v>60.199999999999996</v>
      </c>
      <c r="T18" s="313">
        <f>'P&amp;L - Concept B3 - Carnival'!M13</f>
        <v>60.199999999999996</v>
      </c>
      <c r="U18" s="313">
        <f>'P&amp;L - Concept B3 - Carnival'!N13</f>
        <v>60.199999999999996</v>
      </c>
      <c r="V18" s="313">
        <f>'P&amp;L - Concept B3 - Carnival'!O13</f>
        <v>60.199999999999996</v>
      </c>
      <c r="W18" s="313">
        <f>'P&amp;L - Concept B3 - Carnival'!P13</f>
        <v>60.199999999999996</v>
      </c>
      <c r="X18" s="313">
        <f>'P&amp;L - Concept B3 - Carnival'!Q13</f>
        <v>60.199999999999996</v>
      </c>
      <c r="Y18" s="313">
        <f>'P&amp;L - Concept B3 - Carnival'!R13</f>
        <v>60.199999999999996</v>
      </c>
      <c r="Z18" s="313">
        <f>'P&amp;L - Concept B3 - Carnival'!S13</f>
        <v>60.199999999999996</v>
      </c>
      <c r="AA18" s="313">
        <f>'P&amp;L - Concept B3 - Carnival'!T13</f>
        <v>60.199999999999996</v>
      </c>
      <c r="AB18" s="313">
        <f>'P&amp;L - Concept B3 - Carnival'!U13</f>
        <v>60.199999999999996</v>
      </c>
      <c r="AC18" s="313">
        <f>'P&amp;L - Concept B3 - Carnival'!V13</f>
        <v>60.199999999999996</v>
      </c>
      <c r="AD18" s="313">
        <f>'P&amp;L - Concept B3 - Carnival'!W13</f>
        <v>60.199999999999996</v>
      </c>
      <c r="AE18" s="313">
        <f>'P&amp;L - Concept B3 - Carnival'!X13</f>
        <v>60.199999999999996</v>
      </c>
    </row>
    <row r="19" spans="1:31" s="96" customFormat="1">
      <c r="A19" s="53" t="str">
        <f>'Cruise Projections'!A69</f>
        <v>Passengers per Call</v>
      </c>
      <c r="B19" s="487"/>
      <c r="C19" s="487"/>
      <c r="K19" s="486">
        <f>'P&amp;L - Concept B3 - Carnival'!D14</f>
        <v>0</v>
      </c>
      <c r="L19" s="313">
        <f>'P&amp;L - Concept B3 - Carnival'!E14</f>
        <v>0</v>
      </c>
      <c r="M19" s="313">
        <f>'P&amp;L - Concept B3 - Carnival'!F14</f>
        <v>1749.6899434777133</v>
      </c>
      <c r="N19" s="313">
        <f>'P&amp;L - Concept B3 - Carnival'!G14</f>
        <v>1749.6899434777133</v>
      </c>
      <c r="O19" s="313">
        <f>'P&amp;L - Concept B3 - Carnival'!H14</f>
        <v>1749.6899434777133</v>
      </c>
      <c r="P19" s="313">
        <f>'P&amp;L - Concept B3 - Carnival'!I14</f>
        <v>1749.6899434777133</v>
      </c>
      <c r="Q19" s="313">
        <f>'P&amp;L - Concept B3 - Carnival'!J14</f>
        <v>1749.6899434777133</v>
      </c>
      <c r="R19" s="313">
        <f>'P&amp;L - Concept B3 - Carnival'!K14</f>
        <v>1749.6899434777133</v>
      </c>
      <c r="S19" s="313">
        <f>'P&amp;L - Concept B3 - Carnival'!L14</f>
        <v>1749.6899434777133</v>
      </c>
      <c r="T19" s="313">
        <f>'P&amp;L - Concept B3 - Carnival'!M14</f>
        <v>1749.6899434777133</v>
      </c>
      <c r="U19" s="313">
        <f>'P&amp;L - Concept B3 - Carnival'!N14</f>
        <v>1749.6899434777133</v>
      </c>
      <c r="V19" s="313">
        <f>'P&amp;L - Concept B3 - Carnival'!O14</f>
        <v>1749.6899434777133</v>
      </c>
      <c r="W19" s="313">
        <f>'P&amp;L - Concept B3 - Carnival'!P14</f>
        <v>1749.6899434777133</v>
      </c>
      <c r="X19" s="313">
        <f>'P&amp;L - Concept B3 - Carnival'!Q14</f>
        <v>1749.6899434777133</v>
      </c>
      <c r="Y19" s="313">
        <f>'P&amp;L - Concept B3 - Carnival'!R14</f>
        <v>1749.6899434777133</v>
      </c>
      <c r="Z19" s="313">
        <f>'P&amp;L - Concept B3 - Carnival'!S14</f>
        <v>1749.6899434777133</v>
      </c>
      <c r="AA19" s="313">
        <f>'P&amp;L - Concept B3 - Carnival'!T14</f>
        <v>1749.6899434777133</v>
      </c>
      <c r="AB19" s="313">
        <f>'P&amp;L - Concept B3 - Carnival'!U14</f>
        <v>1749.6899434777133</v>
      </c>
      <c r="AC19" s="313">
        <f>'P&amp;L - Concept B3 - Carnival'!V14</f>
        <v>1749.6899434777133</v>
      </c>
      <c r="AD19" s="313">
        <f>'P&amp;L - Concept B3 - Carnival'!W14</f>
        <v>1749.6899434777133</v>
      </c>
      <c r="AE19" s="313">
        <f>'P&amp;L - Concept B3 - Carnival'!X14</f>
        <v>1749.6899434777133</v>
      </c>
    </row>
    <row r="20" spans="1:31" s="96" customFormat="1">
      <c r="A20" s="54" t="s">
        <v>313</v>
      </c>
      <c r="B20" s="487"/>
      <c r="C20" s="487"/>
      <c r="K20" s="486">
        <f>'P&amp;L - Concept B3 - Carnival'!D15</f>
        <v>0</v>
      </c>
      <c r="L20" s="313">
        <f>'P&amp;L - Concept B3 - Carnival'!E15</f>
        <v>0</v>
      </c>
      <c r="M20" s="313">
        <f>'P&amp;L - Concept B3 - Carnival'!F15</f>
        <v>4120</v>
      </c>
      <c r="N20" s="313">
        <f>'P&amp;L - Concept B3 - Carnival'!G15</f>
        <v>4120</v>
      </c>
      <c r="O20" s="313">
        <f>'P&amp;L - Concept B3 - Carnival'!H15</f>
        <v>4120</v>
      </c>
      <c r="P20" s="313">
        <f>'P&amp;L - Concept B3 - Carnival'!I15</f>
        <v>4120</v>
      </c>
      <c r="Q20" s="313">
        <f>'P&amp;L - Concept B3 - Carnival'!J15</f>
        <v>4120</v>
      </c>
      <c r="R20" s="313">
        <f>'P&amp;L - Concept B3 - Carnival'!K15</f>
        <v>4120</v>
      </c>
      <c r="S20" s="313">
        <f>'P&amp;L - Concept B3 - Carnival'!L15</f>
        <v>4120</v>
      </c>
      <c r="T20" s="313">
        <f>'P&amp;L - Concept B3 - Carnival'!M15</f>
        <v>4120</v>
      </c>
      <c r="U20" s="313">
        <f>'P&amp;L - Concept B3 - Carnival'!N15</f>
        <v>4120</v>
      </c>
      <c r="V20" s="313">
        <f>'P&amp;L - Concept B3 - Carnival'!O15</f>
        <v>4120</v>
      </c>
      <c r="W20" s="313">
        <f>'P&amp;L - Concept B3 - Carnival'!P15</f>
        <v>4120</v>
      </c>
      <c r="X20" s="313">
        <f>'P&amp;L - Concept B3 - Carnival'!Q15</f>
        <v>4120</v>
      </c>
      <c r="Y20" s="313">
        <f>'P&amp;L - Concept B3 - Carnival'!R15</f>
        <v>4120</v>
      </c>
      <c r="Z20" s="313">
        <f>'P&amp;L - Concept B3 - Carnival'!S15</f>
        <v>4120</v>
      </c>
      <c r="AA20" s="313">
        <f>'P&amp;L - Concept B3 - Carnival'!T15</f>
        <v>4120</v>
      </c>
      <c r="AB20" s="313">
        <f>'P&amp;L - Concept B3 - Carnival'!U15</f>
        <v>4120</v>
      </c>
      <c r="AC20" s="313">
        <f>'P&amp;L - Concept B3 - Carnival'!V15</f>
        <v>4120</v>
      </c>
      <c r="AD20" s="313">
        <f>'P&amp;L - Concept B3 - Carnival'!W15</f>
        <v>4120</v>
      </c>
      <c r="AE20" s="313">
        <f>'P&amp;L - Concept B3 - Carnival'!X15</f>
        <v>4120</v>
      </c>
    </row>
    <row r="21" spans="1:31" s="18" customFormat="1">
      <c r="A21" s="54"/>
      <c r="B21" s="21"/>
      <c r="C21" s="21"/>
      <c r="K21" s="486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  <c r="Y21" s="313"/>
      <c r="Z21" s="313"/>
      <c r="AA21" s="313"/>
      <c r="AB21" s="313"/>
      <c r="AC21" s="313"/>
      <c r="AD21" s="313"/>
      <c r="AE21" s="313"/>
    </row>
    <row r="22" spans="1:31" s="547" customFormat="1">
      <c r="A22" s="549" t="s">
        <v>163</v>
      </c>
      <c r="B22" s="550"/>
      <c r="C22" s="550"/>
      <c r="K22" s="610"/>
      <c r="L22" s="555"/>
      <c r="M22" s="555"/>
      <c r="N22" s="555"/>
      <c r="O22" s="555"/>
      <c r="P22" s="555"/>
      <c r="Q22" s="555"/>
      <c r="R22" s="555"/>
      <c r="S22" s="555"/>
      <c r="T22" s="555"/>
      <c r="U22" s="555"/>
      <c r="V22" s="555"/>
      <c r="W22" s="555"/>
      <c r="X22" s="555"/>
      <c r="Y22" s="555"/>
      <c r="Z22" s="555"/>
      <c r="AA22" s="555"/>
      <c r="AB22" s="555"/>
      <c r="AC22" s="555"/>
      <c r="AD22" s="555"/>
      <c r="AE22" s="555"/>
    </row>
    <row r="23" spans="1:31" s="341" customFormat="1">
      <c r="A23" s="552" t="str">
        <f>'International Ferry Projections'!A11</f>
        <v>Passengers</v>
      </c>
      <c r="B23" s="553"/>
      <c r="C23" s="553"/>
      <c r="K23" s="554">
        <f>'P&amp;L - Concept B3 - Carnival'!D18</f>
        <v>0</v>
      </c>
      <c r="L23" s="555">
        <f>'P&amp;L - Concept B3 - Carnival'!E18</f>
        <v>60000</v>
      </c>
      <c r="M23" s="555">
        <f>'P&amp;L - Concept B3 - Carnival'!F18</f>
        <v>70000</v>
      </c>
      <c r="N23" s="555">
        <f>'P&amp;L - Concept B3 - Carnival'!G18</f>
        <v>80000</v>
      </c>
      <c r="O23" s="555">
        <f>'P&amp;L - Concept B3 - Carnival'!H18</f>
        <v>80000</v>
      </c>
      <c r="P23" s="555">
        <f>'P&amp;L - Concept B3 - Carnival'!I18</f>
        <v>80000</v>
      </c>
      <c r="Q23" s="555">
        <f>'P&amp;L - Concept B3 - Carnival'!J18</f>
        <v>80000</v>
      </c>
      <c r="R23" s="555">
        <f>'P&amp;L - Concept B3 - Carnival'!K18</f>
        <v>80000</v>
      </c>
      <c r="S23" s="555">
        <f>'P&amp;L - Concept B3 - Carnival'!L18</f>
        <v>80000</v>
      </c>
      <c r="T23" s="555">
        <f>'P&amp;L - Concept B3 - Carnival'!M18</f>
        <v>80000</v>
      </c>
      <c r="U23" s="555">
        <f>'P&amp;L - Concept B3 - Carnival'!N18</f>
        <v>80000</v>
      </c>
      <c r="V23" s="555">
        <f>'P&amp;L - Concept B3 - Carnival'!O18</f>
        <v>80000</v>
      </c>
      <c r="W23" s="555">
        <f>'P&amp;L - Concept B3 - Carnival'!P18</f>
        <v>80000</v>
      </c>
      <c r="X23" s="555">
        <f>'P&amp;L - Concept B3 - Carnival'!Q18</f>
        <v>80000</v>
      </c>
      <c r="Y23" s="555">
        <f>'P&amp;L - Concept B3 - Carnival'!R18</f>
        <v>80000</v>
      </c>
      <c r="Z23" s="555">
        <f>'P&amp;L - Concept B3 - Carnival'!S18</f>
        <v>80000</v>
      </c>
      <c r="AA23" s="555">
        <f>'P&amp;L - Concept B3 - Carnival'!T18</f>
        <v>80000</v>
      </c>
      <c r="AB23" s="555">
        <f>'P&amp;L - Concept B3 - Carnival'!U18</f>
        <v>80000</v>
      </c>
      <c r="AC23" s="555">
        <f>'P&amp;L - Concept B3 - Carnival'!V18</f>
        <v>80000</v>
      </c>
      <c r="AD23" s="555">
        <f>'P&amp;L - Concept B3 - Carnival'!W18</f>
        <v>80000</v>
      </c>
      <c r="AE23" s="555">
        <f>'P&amp;L - Concept B3 - Carnival'!X18</f>
        <v>80000</v>
      </c>
    </row>
    <row r="24" spans="1:31" s="341" customFormat="1">
      <c r="A24" s="552" t="str">
        <f>'International Ferry Projections'!A12</f>
        <v>Cars</v>
      </c>
      <c r="B24" s="553"/>
      <c r="C24" s="553"/>
      <c r="K24" s="554">
        <f>'P&amp;L - Concept B3 - Carnival'!D19</f>
        <v>0</v>
      </c>
      <c r="L24" s="555">
        <f>'P&amp;L - Concept B3 - Carnival'!E19</f>
        <v>24000</v>
      </c>
      <c r="M24" s="555">
        <f>'P&amp;L - Concept B3 - Carnival'!F19</f>
        <v>28000</v>
      </c>
      <c r="N24" s="555">
        <f>'P&amp;L - Concept B3 - Carnival'!G19</f>
        <v>32000</v>
      </c>
      <c r="O24" s="555">
        <f>'P&amp;L - Concept B3 - Carnival'!H19</f>
        <v>32000</v>
      </c>
      <c r="P24" s="555">
        <f>'P&amp;L - Concept B3 - Carnival'!I19</f>
        <v>32000</v>
      </c>
      <c r="Q24" s="555">
        <f>'P&amp;L - Concept B3 - Carnival'!J19</f>
        <v>32000</v>
      </c>
      <c r="R24" s="555">
        <f>'P&amp;L - Concept B3 - Carnival'!K19</f>
        <v>32000</v>
      </c>
      <c r="S24" s="555">
        <f>'P&amp;L - Concept B3 - Carnival'!L19</f>
        <v>32000</v>
      </c>
      <c r="T24" s="555">
        <f>'P&amp;L - Concept B3 - Carnival'!M19</f>
        <v>32000</v>
      </c>
      <c r="U24" s="555">
        <f>'P&amp;L - Concept B3 - Carnival'!N19</f>
        <v>32000</v>
      </c>
      <c r="V24" s="555">
        <f>'P&amp;L - Concept B3 - Carnival'!O19</f>
        <v>32000</v>
      </c>
      <c r="W24" s="555">
        <f>'P&amp;L - Concept B3 - Carnival'!P19</f>
        <v>32000</v>
      </c>
      <c r="X24" s="555">
        <f>'P&amp;L - Concept B3 - Carnival'!Q19</f>
        <v>32000</v>
      </c>
      <c r="Y24" s="555">
        <f>'P&amp;L - Concept B3 - Carnival'!R19</f>
        <v>32000</v>
      </c>
      <c r="Z24" s="555">
        <f>'P&amp;L - Concept B3 - Carnival'!S19</f>
        <v>32000</v>
      </c>
      <c r="AA24" s="555">
        <f>'P&amp;L - Concept B3 - Carnival'!T19</f>
        <v>32000</v>
      </c>
      <c r="AB24" s="555">
        <f>'P&amp;L - Concept B3 - Carnival'!U19</f>
        <v>32000</v>
      </c>
      <c r="AC24" s="555">
        <f>'P&amp;L - Concept B3 - Carnival'!V19</f>
        <v>32000</v>
      </c>
      <c r="AD24" s="555">
        <f>'P&amp;L - Concept B3 - Carnival'!W19</f>
        <v>32000</v>
      </c>
      <c r="AE24" s="555">
        <f>'P&amp;L - Concept B3 - Carnival'!X19</f>
        <v>32000</v>
      </c>
    </row>
    <row r="25" spans="1:31" s="341" customFormat="1">
      <c r="A25" s="552" t="str">
        <f>'International Ferry Projections'!A13</f>
        <v>Buses</v>
      </c>
      <c r="B25" s="553"/>
      <c r="C25" s="553"/>
      <c r="K25" s="554">
        <f>'P&amp;L - Concept B3 - Carnival'!D20</f>
        <v>0</v>
      </c>
      <c r="L25" s="555">
        <f>'P&amp;L - Concept B3 - Carnival'!E20</f>
        <v>40</v>
      </c>
      <c r="M25" s="555">
        <f>'P&amp;L - Concept B3 - Carnival'!F20</f>
        <v>50</v>
      </c>
      <c r="N25" s="555">
        <f>'P&amp;L - Concept B3 - Carnival'!G20</f>
        <v>60</v>
      </c>
      <c r="O25" s="555">
        <f>'P&amp;L - Concept B3 - Carnival'!H20</f>
        <v>60</v>
      </c>
      <c r="P25" s="555">
        <f>'P&amp;L - Concept B3 - Carnival'!I20</f>
        <v>60</v>
      </c>
      <c r="Q25" s="555">
        <f>'P&amp;L - Concept B3 - Carnival'!J20</f>
        <v>60</v>
      </c>
      <c r="R25" s="555">
        <f>'P&amp;L - Concept B3 - Carnival'!K20</f>
        <v>60</v>
      </c>
      <c r="S25" s="555">
        <f>'P&amp;L - Concept B3 - Carnival'!L20</f>
        <v>60</v>
      </c>
      <c r="T25" s="555">
        <f>'P&amp;L - Concept B3 - Carnival'!M20</f>
        <v>60</v>
      </c>
      <c r="U25" s="555">
        <f>'P&amp;L - Concept B3 - Carnival'!N20</f>
        <v>60</v>
      </c>
      <c r="V25" s="555">
        <f>'P&amp;L - Concept B3 - Carnival'!O20</f>
        <v>60</v>
      </c>
      <c r="W25" s="555">
        <f>'P&amp;L - Concept B3 - Carnival'!P20</f>
        <v>60</v>
      </c>
      <c r="X25" s="555">
        <f>'P&amp;L - Concept B3 - Carnival'!Q20</f>
        <v>60</v>
      </c>
      <c r="Y25" s="555">
        <f>'P&amp;L - Concept B3 - Carnival'!R20</f>
        <v>60</v>
      </c>
      <c r="Z25" s="555">
        <f>'P&amp;L - Concept B3 - Carnival'!S20</f>
        <v>60</v>
      </c>
      <c r="AA25" s="555">
        <f>'P&amp;L - Concept B3 - Carnival'!T20</f>
        <v>60</v>
      </c>
      <c r="AB25" s="555">
        <f>'P&amp;L - Concept B3 - Carnival'!U20</f>
        <v>60</v>
      </c>
      <c r="AC25" s="555">
        <f>'P&amp;L - Concept B3 - Carnival'!V20</f>
        <v>60</v>
      </c>
      <c r="AD25" s="555">
        <f>'P&amp;L - Concept B3 - Carnival'!W20</f>
        <v>60</v>
      </c>
      <c r="AE25" s="555">
        <f>'P&amp;L - Concept B3 - Carnival'!X20</f>
        <v>60</v>
      </c>
    </row>
    <row r="26" spans="1:31" s="18" customFormat="1">
      <c r="A26" s="54"/>
      <c r="B26" s="21"/>
      <c r="C26" s="21"/>
      <c r="K26" s="486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</row>
    <row r="27" spans="1:31" s="582" customFormat="1">
      <c r="A27" s="293" t="str">
        <f>'BH Tariffs'!A30</f>
        <v>Local Ferry</v>
      </c>
      <c r="B27" s="581"/>
      <c r="C27" s="581"/>
      <c r="K27" s="486"/>
      <c r="L27" s="313"/>
      <c r="M27" s="313"/>
      <c r="N27" s="313"/>
      <c r="O27" s="313"/>
      <c r="P27" s="313"/>
      <c r="Q27" s="313"/>
      <c r="R27" s="313"/>
      <c r="S27" s="313"/>
      <c r="T27" s="313"/>
      <c r="U27" s="313"/>
      <c r="V27" s="313"/>
      <c r="W27" s="313"/>
      <c r="X27" s="313"/>
      <c r="Y27" s="313"/>
      <c r="Z27" s="313"/>
      <c r="AA27" s="313"/>
      <c r="AB27" s="313"/>
      <c r="AC27" s="313"/>
      <c r="AD27" s="313"/>
      <c r="AE27" s="313"/>
    </row>
    <row r="28" spans="1:31" s="96" customFormat="1">
      <c r="A28" s="54" t="str">
        <f>'BH Tariffs'!A31</f>
        <v>Dock Rent (6 Months Only)</v>
      </c>
      <c r="B28" s="487"/>
      <c r="C28" s="487"/>
      <c r="K28" s="486">
        <f>'P&amp;L - Concept B3 - Carnival'!D23</f>
        <v>0</v>
      </c>
      <c r="L28" s="313" t="str">
        <f>'P&amp;L - Concept B3 - Carnival'!E23</f>
        <v>see Tariff</v>
      </c>
      <c r="M28" s="313" t="str">
        <f>'P&amp;L - Concept B3 - Carnival'!F23</f>
        <v>see Tariff</v>
      </c>
      <c r="N28" s="313" t="str">
        <f>'P&amp;L - Concept B3 - Carnival'!G23</f>
        <v>see Tariff</v>
      </c>
      <c r="O28" s="313" t="str">
        <f>'P&amp;L - Concept B3 - Carnival'!H23</f>
        <v>see Tariff</v>
      </c>
      <c r="P28" s="313" t="str">
        <f>'P&amp;L - Concept B3 - Carnival'!I23</f>
        <v>see Tariff</v>
      </c>
      <c r="Q28" s="313" t="str">
        <f>'P&amp;L - Concept B3 - Carnival'!J23</f>
        <v>see Tariff</v>
      </c>
      <c r="R28" s="313" t="str">
        <f>'P&amp;L - Concept B3 - Carnival'!K23</f>
        <v>see Tariff</v>
      </c>
      <c r="S28" s="313" t="str">
        <f>'P&amp;L - Concept B3 - Carnival'!L23</f>
        <v>see Tariff</v>
      </c>
      <c r="T28" s="313" t="str">
        <f>'P&amp;L - Concept B3 - Carnival'!M23</f>
        <v>see Tariff</v>
      </c>
      <c r="U28" s="313" t="str">
        <f>'P&amp;L - Concept B3 - Carnival'!N23</f>
        <v>see Tariff</v>
      </c>
      <c r="V28" s="313" t="str">
        <f>'P&amp;L - Concept B3 - Carnival'!O23</f>
        <v>see Tariff</v>
      </c>
      <c r="W28" s="313" t="str">
        <f>'P&amp;L - Concept B3 - Carnival'!P23</f>
        <v>see Tariff</v>
      </c>
      <c r="X28" s="313" t="str">
        <f>'P&amp;L - Concept B3 - Carnival'!Q23</f>
        <v>see Tariff</v>
      </c>
      <c r="Y28" s="313" t="str">
        <f>'P&amp;L - Concept B3 - Carnival'!R23</f>
        <v>see Tariff</v>
      </c>
      <c r="Z28" s="313" t="str">
        <f>'P&amp;L - Concept B3 - Carnival'!S23</f>
        <v>see Tariff</v>
      </c>
      <c r="AA28" s="313" t="str">
        <f>'P&amp;L - Concept B3 - Carnival'!T23</f>
        <v>see Tariff</v>
      </c>
      <c r="AB28" s="313" t="str">
        <f>'P&amp;L - Concept B3 - Carnival'!U23</f>
        <v>see Tariff</v>
      </c>
      <c r="AC28" s="313" t="str">
        <f>'P&amp;L - Concept B3 - Carnival'!V23</f>
        <v>see Tariff</v>
      </c>
      <c r="AD28" s="313" t="str">
        <f>'P&amp;L - Concept B3 - Carnival'!W23</f>
        <v>see Tariff</v>
      </c>
      <c r="AE28" s="313" t="str">
        <f>'P&amp;L - Concept B3 - Carnival'!X23</f>
        <v>see Tariff</v>
      </c>
    </row>
    <row r="29" spans="1:31" s="341" customFormat="1">
      <c r="A29" s="552"/>
      <c r="B29" s="553"/>
      <c r="C29" s="553"/>
      <c r="K29" s="554"/>
      <c r="L29" s="313"/>
      <c r="M29" s="313"/>
      <c r="N29" s="313"/>
      <c r="O29" s="313"/>
      <c r="P29" s="313"/>
      <c r="Q29" s="313"/>
      <c r="R29" s="313"/>
      <c r="S29" s="313"/>
      <c r="T29" s="313"/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</row>
    <row r="30" spans="1:31" s="96" customFormat="1">
      <c r="A30" s="559" t="s">
        <v>227</v>
      </c>
      <c r="B30" s="487"/>
      <c r="C30" s="487"/>
      <c r="K30" s="486"/>
      <c r="L30" s="313"/>
      <c r="M30" s="313"/>
      <c r="N30" s="313"/>
      <c r="O30" s="313"/>
      <c r="P30" s="313"/>
      <c r="Q30" s="313"/>
      <c r="R30" s="313"/>
      <c r="S30" s="313"/>
      <c r="T30" s="313"/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</row>
    <row r="31" spans="1:31" s="96" customFormat="1">
      <c r="A31" s="559"/>
      <c r="B31" s="487"/>
      <c r="C31" s="487"/>
      <c r="K31" s="486"/>
      <c r="L31" s="313"/>
      <c r="M31" s="313"/>
      <c r="N31" s="313"/>
      <c r="O31" s="313"/>
      <c r="P31" s="313"/>
      <c r="Q31" s="313"/>
      <c r="R31" s="313"/>
      <c r="S31" s="313"/>
      <c r="T31" s="313"/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</row>
    <row r="32" spans="1:31" s="96" customFormat="1">
      <c r="A32" s="54" t="s">
        <v>420</v>
      </c>
      <c r="B32" s="487"/>
      <c r="C32" s="487"/>
      <c r="K32" s="486">
        <f>'P&amp;L - Concept B3 - Carnival'!D27</f>
        <v>0</v>
      </c>
      <c r="L32" s="313">
        <f>'P&amp;L - Concept B3 - Carnival'!E27</f>
        <v>0</v>
      </c>
      <c r="M32" s="313">
        <f>'P&amp;L - Concept B3 - Carnival'!F27</f>
        <v>214</v>
      </c>
      <c r="N32" s="313">
        <f>'P&amp;L - Concept B3 - Carnival'!G27</f>
        <v>214</v>
      </c>
      <c r="O32" s="313">
        <f>'P&amp;L - Concept B3 - Carnival'!H27</f>
        <v>214</v>
      </c>
      <c r="P32" s="313">
        <f>'P&amp;L - Concept B3 - Carnival'!I27</f>
        <v>214</v>
      </c>
      <c r="Q32" s="313">
        <f>'P&amp;L - Concept B3 - Carnival'!J27</f>
        <v>214</v>
      </c>
      <c r="R32" s="313">
        <f>'P&amp;L - Concept B3 - Carnival'!K27</f>
        <v>214</v>
      </c>
      <c r="S32" s="313">
        <f>'P&amp;L - Concept B3 - Carnival'!L27</f>
        <v>214</v>
      </c>
      <c r="T32" s="313">
        <f>'P&amp;L - Concept B3 - Carnival'!M27</f>
        <v>214</v>
      </c>
      <c r="U32" s="313">
        <f>'P&amp;L - Concept B3 - Carnival'!N27</f>
        <v>214</v>
      </c>
      <c r="V32" s="313">
        <f>'P&amp;L - Concept B3 - Carnival'!O27</f>
        <v>214</v>
      </c>
      <c r="W32" s="313">
        <f>'P&amp;L - Concept B3 - Carnival'!P27</f>
        <v>214</v>
      </c>
      <c r="X32" s="313">
        <f>'P&amp;L - Concept B3 - Carnival'!Q27</f>
        <v>214</v>
      </c>
      <c r="Y32" s="313">
        <f>'P&amp;L - Concept B3 - Carnival'!R27</f>
        <v>214</v>
      </c>
      <c r="Z32" s="313">
        <f>'P&amp;L - Concept B3 - Carnival'!S27</f>
        <v>214</v>
      </c>
      <c r="AA32" s="313">
        <f>'P&amp;L - Concept B3 - Carnival'!T27</f>
        <v>214</v>
      </c>
      <c r="AB32" s="313">
        <f>'P&amp;L - Concept B3 - Carnival'!U27</f>
        <v>214</v>
      </c>
      <c r="AC32" s="313">
        <f>'P&amp;L - Concept B3 - Carnival'!V27</f>
        <v>214</v>
      </c>
      <c r="AD32" s="313">
        <f>'P&amp;L - Concept B3 - Carnival'!W27</f>
        <v>214</v>
      </c>
      <c r="AE32" s="313">
        <f>'P&amp;L - Concept B3 - Carnival'!X27</f>
        <v>214</v>
      </c>
    </row>
    <row r="33" spans="1:31" s="96" customFormat="1">
      <c r="A33" s="54" t="s">
        <v>205</v>
      </c>
      <c r="B33" s="487"/>
      <c r="C33" s="487"/>
      <c r="K33" s="486">
        <f>'P&amp;L - Concept B3 - Carnival'!D28</f>
        <v>0</v>
      </c>
      <c r="L33" s="313">
        <f>'P&amp;L - Concept B3 - Carnival'!E28</f>
        <v>0</v>
      </c>
      <c r="M33" s="313">
        <f>'P&amp;L - Concept B3 - Carnival'!F28</f>
        <v>60.199999999999996</v>
      </c>
      <c r="N33" s="313">
        <f>'P&amp;L - Concept B3 - Carnival'!G28</f>
        <v>60.199999999999996</v>
      </c>
      <c r="O33" s="313">
        <f>'P&amp;L - Concept B3 - Carnival'!H28</f>
        <v>60.199999999999996</v>
      </c>
      <c r="P33" s="313">
        <f>'P&amp;L - Concept B3 - Carnival'!I28</f>
        <v>60.199999999999996</v>
      </c>
      <c r="Q33" s="313">
        <f>'P&amp;L - Concept B3 - Carnival'!J28</f>
        <v>60.199999999999996</v>
      </c>
      <c r="R33" s="313">
        <f>'P&amp;L - Concept B3 - Carnival'!K28</f>
        <v>60.199999999999996</v>
      </c>
      <c r="S33" s="313">
        <f>'P&amp;L - Concept B3 - Carnival'!L28</f>
        <v>60.199999999999996</v>
      </c>
      <c r="T33" s="313">
        <f>'P&amp;L - Concept B3 - Carnival'!M28</f>
        <v>60.199999999999996</v>
      </c>
      <c r="U33" s="313">
        <f>'P&amp;L - Concept B3 - Carnival'!N28</f>
        <v>60.199999999999996</v>
      </c>
      <c r="V33" s="313">
        <f>'P&amp;L - Concept B3 - Carnival'!O28</f>
        <v>60.199999999999996</v>
      </c>
      <c r="W33" s="313">
        <f>'P&amp;L - Concept B3 - Carnival'!P28</f>
        <v>60.199999999999996</v>
      </c>
      <c r="X33" s="313">
        <f>'P&amp;L - Concept B3 - Carnival'!Q28</f>
        <v>60.199999999999996</v>
      </c>
      <c r="Y33" s="313">
        <f>'P&amp;L - Concept B3 - Carnival'!R28</f>
        <v>60.199999999999996</v>
      </c>
      <c r="Z33" s="313">
        <f>'P&amp;L - Concept B3 - Carnival'!S28</f>
        <v>60.199999999999996</v>
      </c>
      <c r="AA33" s="313">
        <f>'P&amp;L - Concept B3 - Carnival'!T28</f>
        <v>60.199999999999996</v>
      </c>
      <c r="AB33" s="313">
        <f>'P&amp;L - Concept B3 - Carnival'!U28</f>
        <v>60.199999999999996</v>
      </c>
      <c r="AC33" s="313">
        <f>'P&amp;L - Concept B3 - Carnival'!V28</f>
        <v>60.199999999999996</v>
      </c>
      <c r="AD33" s="313">
        <f>'P&amp;L - Concept B3 - Carnival'!W28</f>
        <v>60.199999999999996</v>
      </c>
      <c r="AE33" s="313">
        <f>'P&amp;L - Concept B3 - Carnival'!X28</f>
        <v>60.199999999999996</v>
      </c>
    </row>
    <row r="34" spans="1:31" s="341" customFormat="1">
      <c r="A34" s="552" t="s">
        <v>219</v>
      </c>
      <c r="B34" s="553"/>
      <c r="C34" s="553"/>
      <c r="K34" s="554">
        <f>'P&amp;L - Concept B3 - Carnival'!D29</f>
        <v>0</v>
      </c>
      <c r="L34" s="313">
        <f>'P&amp;L - Concept B3 - Carnival'!E29</f>
        <v>150</v>
      </c>
      <c r="M34" s="313">
        <f>'P&amp;L - Concept B3 - Carnival'!F29</f>
        <v>150</v>
      </c>
      <c r="N34" s="313">
        <f>'P&amp;L - Concept B3 - Carnival'!G29</f>
        <v>150</v>
      </c>
      <c r="O34" s="313">
        <f>'P&amp;L - Concept B3 - Carnival'!H29</f>
        <v>150</v>
      </c>
      <c r="P34" s="313">
        <f>'P&amp;L - Concept B3 - Carnival'!I29</f>
        <v>150</v>
      </c>
      <c r="Q34" s="313">
        <f>'P&amp;L - Concept B3 - Carnival'!J29</f>
        <v>150</v>
      </c>
      <c r="R34" s="313">
        <f>'P&amp;L - Concept B3 - Carnival'!K29</f>
        <v>150</v>
      </c>
      <c r="S34" s="313">
        <f>'P&amp;L - Concept B3 - Carnival'!L29</f>
        <v>150</v>
      </c>
      <c r="T34" s="313">
        <f>'P&amp;L - Concept B3 - Carnival'!M29</f>
        <v>150</v>
      </c>
      <c r="U34" s="313">
        <f>'P&amp;L - Concept B3 - Carnival'!N29</f>
        <v>150</v>
      </c>
      <c r="V34" s="313">
        <f>'P&amp;L - Concept B3 - Carnival'!O29</f>
        <v>150</v>
      </c>
      <c r="W34" s="313">
        <f>'P&amp;L - Concept B3 - Carnival'!P29</f>
        <v>150</v>
      </c>
      <c r="X34" s="313">
        <f>'P&amp;L - Concept B3 - Carnival'!Q29</f>
        <v>150</v>
      </c>
      <c r="Y34" s="313">
        <f>'P&amp;L - Concept B3 - Carnival'!R29</f>
        <v>150</v>
      </c>
      <c r="Z34" s="313">
        <f>'P&amp;L - Concept B3 - Carnival'!S29</f>
        <v>150</v>
      </c>
      <c r="AA34" s="313">
        <f>'P&amp;L - Concept B3 - Carnival'!T29</f>
        <v>150</v>
      </c>
      <c r="AB34" s="313">
        <f>'P&amp;L - Concept B3 - Carnival'!U29</f>
        <v>150</v>
      </c>
      <c r="AC34" s="313">
        <f>'P&amp;L - Concept B3 - Carnival'!V29</f>
        <v>150</v>
      </c>
      <c r="AD34" s="313">
        <f>'P&amp;L - Concept B3 - Carnival'!W29</f>
        <v>150</v>
      </c>
      <c r="AE34" s="313">
        <f>'P&amp;L - Concept B3 - Carnival'!X29</f>
        <v>150</v>
      </c>
    </row>
    <row r="35" spans="1:31" s="341" customFormat="1">
      <c r="A35" s="552" t="s">
        <v>220</v>
      </c>
      <c r="B35" s="553"/>
      <c r="C35" s="553"/>
      <c r="K35" s="554">
        <f>'P&amp;L - Concept B3 - Carnival'!D30</f>
        <v>0</v>
      </c>
      <c r="L35" s="788">
        <v>0</v>
      </c>
      <c r="M35" s="788">
        <v>0</v>
      </c>
      <c r="N35" s="788">
        <v>0</v>
      </c>
      <c r="O35" s="788">
        <v>0</v>
      </c>
      <c r="P35" s="788">
        <v>0</v>
      </c>
      <c r="Q35" s="788">
        <v>0</v>
      </c>
      <c r="R35" s="788">
        <v>0</v>
      </c>
      <c r="S35" s="788">
        <v>0</v>
      </c>
      <c r="T35" s="788">
        <v>0</v>
      </c>
      <c r="U35" s="788">
        <v>0</v>
      </c>
      <c r="V35" s="788">
        <v>0</v>
      </c>
      <c r="W35" s="788">
        <v>0</v>
      </c>
      <c r="X35" s="788">
        <v>0</v>
      </c>
      <c r="Y35" s="788">
        <v>0</v>
      </c>
      <c r="Z35" s="788">
        <v>0</v>
      </c>
      <c r="AA35" s="788">
        <v>0</v>
      </c>
      <c r="AB35" s="788">
        <v>0</v>
      </c>
      <c r="AC35" s="788">
        <v>0</v>
      </c>
      <c r="AD35" s="788">
        <v>0</v>
      </c>
      <c r="AE35" s="788">
        <v>0</v>
      </c>
    </row>
    <row r="36" spans="1:31" s="96" customFormat="1">
      <c r="A36" s="54" t="s">
        <v>226</v>
      </c>
      <c r="B36" s="487"/>
      <c r="C36" s="487"/>
      <c r="K36" s="486">
        <f>'P&amp;L - Concept B3 - Carnival'!D31</f>
        <v>0</v>
      </c>
      <c r="L36" s="313">
        <f>'P&amp;L - Concept B3 - Carnival'!E31</f>
        <v>0</v>
      </c>
      <c r="M36" s="313">
        <f>'P&amp;L - Concept B3 - Carnival'!F31</f>
        <v>125</v>
      </c>
      <c r="N36" s="313">
        <f>'P&amp;L - Concept B3 - Carnival'!G31</f>
        <v>125</v>
      </c>
      <c r="O36" s="313">
        <f>'P&amp;L - Concept B3 - Carnival'!H31</f>
        <v>125</v>
      </c>
      <c r="P36" s="313">
        <f>'P&amp;L - Concept B3 - Carnival'!I31</f>
        <v>125</v>
      </c>
      <c r="Q36" s="313">
        <f>'P&amp;L - Concept B3 - Carnival'!J31</f>
        <v>125</v>
      </c>
      <c r="R36" s="313">
        <f>'P&amp;L - Concept B3 - Carnival'!K31</f>
        <v>125</v>
      </c>
      <c r="S36" s="313">
        <f>'P&amp;L - Concept B3 - Carnival'!L31</f>
        <v>125</v>
      </c>
      <c r="T36" s="313">
        <f>'P&amp;L - Concept B3 - Carnival'!M31</f>
        <v>125</v>
      </c>
      <c r="U36" s="313">
        <f>'P&amp;L - Concept B3 - Carnival'!N31</f>
        <v>125</v>
      </c>
      <c r="V36" s="313">
        <f>'P&amp;L - Concept B3 - Carnival'!O31</f>
        <v>125</v>
      </c>
      <c r="W36" s="313">
        <f>'P&amp;L - Concept B3 - Carnival'!P31</f>
        <v>125</v>
      </c>
      <c r="X36" s="313">
        <f>'P&amp;L - Concept B3 - Carnival'!Q31</f>
        <v>125</v>
      </c>
      <c r="Y36" s="313">
        <f>'P&amp;L - Concept B3 - Carnival'!R31</f>
        <v>125</v>
      </c>
      <c r="Z36" s="313">
        <f>'P&amp;L - Concept B3 - Carnival'!S31</f>
        <v>125</v>
      </c>
      <c r="AA36" s="313">
        <f>'P&amp;L - Concept B3 - Carnival'!T31</f>
        <v>125</v>
      </c>
      <c r="AB36" s="313">
        <f>'P&amp;L - Concept B3 - Carnival'!U31</f>
        <v>125</v>
      </c>
      <c r="AC36" s="313">
        <f>'P&amp;L - Concept B3 - Carnival'!V31</f>
        <v>125</v>
      </c>
      <c r="AD36" s="313">
        <f>'P&amp;L - Concept B3 - Carnival'!W31</f>
        <v>125</v>
      </c>
      <c r="AE36" s="313">
        <f>'P&amp;L - Concept B3 - Carnival'!X31</f>
        <v>125</v>
      </c>
    </row>
    <row r="37" spans="1:31" s="18" customFormat="1">
      <c r="A37" s="54"/>
      <c r="B37" s="21"/>
      <c r="C37" s="21"/>
      <c r="K37" s="486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</row>
    <row r="38" spans="1:31" s="96" customFormat="1">
      <c r="A38" s="54" t="s">
        <v>206</v>
      </c>
      <c r="B38" s="487"/>
      <c r="C38" s="487"/>
      <c r="K38" s="486">
        <f>'P&amp;L - Concept B3 - Carnival'!D33</f>
        <v>0</v>
      </c>
      <c r="L38" s="313">
        <f>'P&amp;L - Concept B3 - Carnival'!E33</f>
        <v>0</v>
      </c>
      <c r="M38" s="313">
        <f>'P&amp;L - Concept B3 - Carnival'!F33</f>
        <v>1749.6899434777133</v>
      </c>
      <c r="N38" s="313">
        <f>'P&amp;L - Concept B3 - Carnival'!G33</f>
        <v>1749.6899434777133</v>
      </c>
      <c r="O38" s="313">
        <f>'P&amp;L - Concept B3 - Carnival'!H33</f>
        <v>1749.6899434777133</v>
      </c>
      <c r="P38" s="313">
        <f>'P&amp;L - Concept B3 - Carnival'!I33</f>
        <v>1749.6899434777133</v>
      </c>
      <c r="Q38" s="313">
        <f>'P&amp;L - Concept B3 - Carnival'!J33</f>
        <v>1749.6899434777133</v>
      </c>
      <c r="R38" s="313">
        <f>'P&amp;L - Concept B3 - Carnival'!K33</f>
        <v>1749.6899434777133</v>
      </c>
      <c r="S38" s="313">
        <f>'P&amp;L - Concept B3 - Carnival'!L33</f>
        <v>1749.6899434777133</v>
      </c>
      <c r="T38" s="313">
        <f>'P&amp;L - Concept B3 - Carnival'!M33</f>
        <v>1749.6899434777133</v>
      </c>
      <c r="U38" s="313">
        <f>'P&amp;L - Concept B3 - Carnival'!N33</f>
        <v>1749.6899434777133</v>
      </c>
      <c r="V38" s="313">
        <f>'P&amp;L - Concept B3 - Carnival'!O33</f>
        <v>1749.6899434777133</v>
      </c>
      <c r="W38" s="313">
        <f>'P&amp;L - Concept B3 - Carnival'!P33</f>
        <v>1749.6899434777133</v>
      </c>
      <c r="X38" s="313">
        <f>'P&amp;L - Concept B3 - Carnival'!Q33</f>
        <v>1749.6899434777133</v>
      </c>
      <c r="Y38" s="313">
        <f>'P&amp;L - Concept B3 - Carnival'!R33</f>
        <v>1749.6899434777133</v>
      </c>
      <c r="Z38" s="313">
        <f>'P&amp;L - Concept B3 - Carnival'!S33</f>
        <v>1749.6899434777133</v>
      </c>
      <c r="AA38" s="313">
        <f>'P&amp;L - Concept B3 - Carnival'!T33</f>
        <v>1749.6899434777133</v>
      </c>
      <c r="AB38" s="313">
        <f>'P&amp;L - Concept B3 - Carnival'!U33</f>
        <v>1749.6899434777133</v>
      </c>
      <c r="AC38" s="313">
        <f>'P&amp;L - Concept B3 - Carnival'!V33</f>
        <v>1749.6899434777133</v>
      </c>
      <c r="AD38" s="313">
        <f>'P&amp;L - Concept B3 - Carnival'!W33</f>
        <v>1749.6899434777133</v>
      </c>
      <c r="AE38" s="313">
        <f>'P&amp;L - Concept B3 - Carnival'!X33</f>
        <v>1749.6899434777133</v>
      </c>
    </row>
    <row r="39" spans="1:31" s="96" customFormat="1">
      <c r="A39" s="54" t="s">
        <v>207</v>
      </c>
      <c r="B39" s="487"/>
      <c r="C39" s="487"/>
      <c r="K39" s="486">
        <f>'P&amp;L - Concept B3 - Carnival'!D34</f>
        <v>0</v>
      </c>
      <c r="L39" s="313">
        <f>'P&amp;L - Concept B3 - Carnival'!E34</f>
        <v>0</v>
      </c>
      <c r="M39" s="313">
        <f>'P&amp;L - Concept B3 - Carnival'!F34</f>
        <v>5500</v>
      </c>
      <c r="N39" s="313">
        <f>'P&amp;L - Concept B3 - Carnival'!G34</f>
        <v>5500</v>
      </c>
      <c r="O39" s="313">
        <f>'P&amp;L - Concept B3 - Carnival'!H34</f>
        <v>5500</v>
      </c>
      <c r="P39" s="313">
        <f>'P&amp;L - Concept B3 - Carnival'!I34</f>
        <v>5500</v>
      </c>
      <c r="Q39" s="313">
        <f>'P&amp;L - Concept B3 - Carnival'!J34</f>
        <v>5500</v>
      </c>
      <c r="R39" s="313">
        <f>'P&amp;L - Concept B3 - Carnival'!K34</f>
        <v>5500</v>
      </c>
      <c r="S39" s="313">
        <f>'P&amp;L - Concept B3 - Carnival'!L34</f>
        <v>5500</v>
      </c>
      <c r="T39" s="313">
        <f>'P&amp;L - Concept B3 - Carnival'!M34</f>
        <v>5500</v>
      </c>
      <c r="U39" s="313">
        <f>'P&amp;L - Concept B3 - Carnival'!N34</f>
        <v>5500</v>
      </c>
      <c r="V39" s="313">
        <f>'P&amp;L - Concept B3 - Carnival'!O34</f>
        <v>5500</v>
      </c>
      <c r="W39" s="313">
        <f>'P&amp;L - Concept B3 - Carnival'!P34</f>
        <v>5500</v>
      </c>
      <c r="X39" s="313">
        <f>'P&amp;L - Concept B3 - Carnival'!Q34</f>
        <v>5500</v>
      </c>
      <c r="Y39" s="313">
        <f>'P&amp;L - Concept B3 - Carnival'!R34</f>
        <v>5500</v>
      </c>
      <c r="Z39" s="313">
        <f>'P&amp;L - Concept B3 - Carnival'!S34</f>
        <v>5500</v>
      </c>
      <c r="AA39" s="313">
        <f>'P&amp;L - Concept B3 - Carnival'!T34</f>
        <v>5500</v>
      </c>
      <c r="AB39" s="313">
        <f>'P&amp;L - Concept B3 - Carnival'!U34</f>
        <v>5500</v>
      </c>
      <c r="AC39" s="313">
        <f>'P&amp;L - Concept B3 - Carnival'!V34</f>
        <v>5500</v>
      </c>
      <c r="AD39" s="313">
        <f>'P&amp;L - Concept B3 - Carnival'!W34</f>
        <v>5500</v>
      </c>
      <c r="AE39" s="313">
        <f>'P&amp;L - Concept B3 - Carnival'!X34</f>
        <v>5500</v>
      </c>
    </row>
    <row r="40" spans="1:31" s="341" customFormat="1">
      <c r="A40" s="552" t="s">
        <v>221</v>
      </c>
      <c r="B40" s="553"/>
      <c r="C40" s="553"/>
      <c r="K40" s="554">
        <f>'P&amp;L - Concept B3 - Carnival'!D35</f>
        <v>0</v>
      </c>
      <c r="L40" s="555">
        <f>'P&amp;L - Concept B3 - Carnival'!E35</f>
        <v>400</v>
      </c>
      <c r="M40" s="555">
        <f>'P&amp;L - Concept B3 - Carnival'!F35</f>
        <v>466.66666666666669</v>
      </c>
      <c r="N40" s="555">
        <f>'P&amp;L - Concept B3 - Carnival'!G35</f>
        <v>533.33333333333337</v>
      </c>
      <c r="O40" s="555">
        <f>'P&amp;L - Concept B3 - Carnival'!H35</f>
        <v>533.33333333333337</v>
      </c>
      <c r="P40" s="555">
        <f>'P&amp;L - Concept B3 - Carnival'!I35</f>
        <v>533.33333333333337</v>
      </c>
      <c r="Q40" s="555">
        <f>'P&amp;L - Concept B3 - Carnival'!J35</f>
        <v>533.33333333333337</v>
      </c>
      <c r="R40" s="555">
        <f>'P&amp;L - Concept B3 - Carnival'!K35</f>
        <v>533.33333333333337</v>
      </c>
      <c r="S40" s="555">
        <f>'P&amp;L - Concept B3 - Carnival'!L35</f>
        <v>533.33333333333337</v>
      </c>
      <c r="T40" s="555">
        <f>'P&amp;L - Concept B3 - Carnival'!M35</f>
        <v>533.33333333333337</v>
      </c>
      <c r="U40" s="555">
        <f>'P&amp;L - Concept B3 - Carnival'!N35</f>
        <v>533.33333333333337</v>
      </c>
      <c r="V40" s="555">
        <f>'P&amp;L - Concept B3 - Carnival'!O35</f>
        <v>533.33333333333337</v>
      </c>
      <c r="W40" s="555">
        <f>'P&amp;L - Concept B3 - Carnival'!P35</f>
        <v>533.33333333333337</v>
      </c>
      <c r="X40" s="555">
        <f>'P&amp;L - Concept B3 - Carnival'!Q35</f>
        <v>533.33333333333337</v>
      </c>
      <c r="Y40" s="555">
        <f>'P&amp;L - Concept B3 - Carnival'!R35</f>
        <v>533.33333333333337</v>
      </c>
      <c r="Z40" s="555">
        <f>'P&amp;L - Concept B3 - Carnival'!S35</f>
        <v>533.33333333333337</v>
      </c>
      <c r="AA40" s="555">
        <f>'P&amp;L - Concept B3 - Carnival'!T35</f>
        <v>533.33333333333337</v>
      </c>
      <c r="AB40" s="555">
        <f>'P&amp;L - Concept B3 - Carnival'!U35</f>
        <v>533.33333333333337</v>
      </c>
      <c r="AC40" s="555">
        <f>'P&amp;L - Concept B3 - Carnival'!V35</f>
        <v>533.33333333333337</v>
      </c>
      <c r="AD40" s="555">
        <f>'P&amp;L - Concept B3 - Carnival'!W35</f>
        <v>533.33333333333337</v>
      </c>
      <c r="AE40" s="555">
        <f>'P&amp;L - Concept B3 - Carnival'!X35</f>
        <v>533.33333333333337</v>
      </c>
    </row>
    <row r="41" spans="1:31" s="341" customFormat="1">
      <c r="A41" s="552" t="s">
        <v>222</v>
      </c>
      <c r="B41" s="553"/>
      <c r="C41" s="553"/>
      <c r="K41" s="554">
        <f>'P&amp;L - Concept B3 - Carnival'!D36</f>
        <v>0</v>
      </c>
      <c r="L41" s="555">
        <f>'P&amp;L - Concept B3 - Carnival'!E36</f>
        <v>800</v>
      </c>
      <c r="M41" s="555">
        <f>'P&amp;L - Concept B3 - Carnival'!F36</f>
        <v>800</v>
      </c>
      <c r="N41" s="555">
        <f>'P&amp;L - Concept B3 - Carnival'!G36</f>
        <v>800</v>
      </c>
      <c r="O41" s="555">
        <f>'P&amp;L - Concept B3 - Carnival'!H36</f>
        <v>800</v>
      </c>
      <c r="P41" s="555">
        <f>'P&amp;L - Concept B3 - Carnival'!I36</f>
        <v>800</v>
      </c>
      <c r="Q41" s="555">
        <f>'P&amp;L - Concept B3 - Carnival'!J36</f>
        <v>800</v>
      </c>
      <c r="R41" s="555">
        <f>'P&amp;L - Concept B3 - Carnival'!K36</f>
        <v>800</v>
      </c>
      <c r="S41" s="555">
        <f>'P&amp;L - Concept B3 - Carnival'!L36</f>
        <v>800</v>
      </c>
      <c r="T41" s="555">
        <f>'P&amp;L - Concept B3 - Carnival'!M36</f>
        <v>800</v>
      </c>
      <c r="U41" s="555">
        <f>'P&amp;L - Concept B3 - Carnival'!N36</f>
        <v>800</v>
      </c>
      <c r="V41" s="555">
        <f>'P&amp;L - Concept B3 - Carnival'!O36</f>
        <v>800</v>
      </c>
      <c r="W41" s="555">
        <f>'P&amp;L - Concept B3 - Carnival'!P36</f>
        <v>800</v>
      </c>
      <c r="X41" s="555">
        <f>'P&amp;L - Concept B3 - Carnival'!Q36</f>
        <v>800</v>
      </c>
      <c r="Y41" s="555">
        <f>'P&amp;L - Concept B3 - Carnival'!R36</f>
        <v>800</v>
      </c>
      <c r="Z41" s="555">
        <f>'P&amp;L - Concept B3 - Carnival'!S36</f>
        <v>800</v>
      </c>
      <c r="AA41" s="555">
        <f>'P&amp;L - Concept B3 - Carnival'!T36</f>
        <v>800</v>
      </c>
      <c r="AB41" s="555">
        <f>'P&amp;L - Concept B3 - Carnival'!U36</f>
        <v>800</v>
      </c>
      <c r="AC41" s="555">
        <f>'P&amp;L - Concept B3 - Carnival'!V36</f>
        <v>800</v>
      </c>
      <c r="AD41" s="555">
        <f>'P&amp;L - Concept B3 - Carnival'!W36</f>
        <v>800</v>
      </c>
      <c r="AE41" s="555">
        <f>'P&amp;L - Concept B3 - Carnival'!X36</f>
        <v>800</v>
      </c>
    </row>
    <row r="42" spans="1:31" s="341" customFormat="1">
      <c r="A42" s="552" t="s">
        <v>208</v>
      </c>
      <c r="B42" s="553"/>
      <c r="C42" s="553"/>
      <c r="K42" s="554">
        <f>'P&amp;L - Concept B3 - Carnival'!D37</f>
        <v>0</v>
      </c>
      <c r="L42" s="555">
        <f>'P&amp;L - Concept B3 - Carnival'!E37</f>
        <v>800</v>
      </c>
      <c r="M42" s="555">
        <f>'P&amp;L - Concept B3 - Carnival'!F37</f>
        <v>6300</v>
      </c>
      <c r="N42" s="555">
        <f>'P&amp;L - Concept B3 - Carnival'!G37</f>
        <v>6300</v>
      </c>
      <c r="O42" s="555">
        <f>'P&amp;L - Concept B3 - Carnival'!H37</f>
        <v>6300</v>
      </c>
      <c r="P42" s="555">
        <f>'P&amp;L - Concept B3 - Carnival'!I37</f>
        <v>6300</v>
      </c>
      <c r="Q42" s="555">
        <f>'P&amp;L - Concept B3 - Carnival'!J37</f>
        <v>6300</v>
      </c>
      <c r="R42" s="555">
        <f>'P&amp;L - Concept B3 - Carnival'!K37</f>
        <v>6300</v>
      </c>
      <c r="S42" s="555">
        <f>'P&amp;L - Concept B3 - Carnival'!L37</f>
        <v>6300</v>
      </c>
      <c r="T42" s="555">
        <f>'P&amp;L - Concept B3 - Carnival'!M37</f>
        <v>6300</v>
      </c>
      <c r="U42" s="555">
        <f>'P&amp;L - Concept B3 - Carnival'!N37</f>
        <v>6300</v>
      </c>
      <c r="V42" s="555">
        <f>'P&amp;L - Concept B3 - Carnival'!O37</f>
        <v>6300</v>
      </c>
      <c r="W42" s="555">
        <f>'P&amp;L - Concept B3 - Carnival'!P37</f>
        <v>6300</v>
      </c>
      <c r="X42" s="555">
        <f>'P&amp;L - Concept B3 - Carnival'!Q37</f>
        <v>6300</v>
      </c>
      <c r="Y42" s="555">
        <f>'P&amp;L - Concept B3 - Carnival'!R37</f>
        <v>6300</v>
      </c>
      <c r="Z42" s="555">
        <f>'P&amp;L - Concept B3 - Carnival'!S37</f>
        <v>6300</v>
      </c>
      <c r="AA42" s="555">
        <f>'P&amp;L - Concept B3 - Carnival'!T37</f>
        <v>6300</v>
      </c>
      <c r="AB42" s="555">
        <f>'P&amp;L - Concept B3 - Carnival'!U37</f>
        <v>6300</v>
      </c>
      <c r="AC42" s="555">
        <f>'P&amp;L - Concept B3 - Carnival'!V37</f>
        <v>6300</v>
      </c>
      <c r="AD42" s="555">
        <f>'P&amp;L - Concept B3 - Carnival'!W37</f>
        <v>6300</v>
      </c>
      <c r="AE42" s="555">
        <f>'P&amp;L - Concept B3 - Carnival'!X37</f>
        <v>6300</v>
      </c>
    </row>
    <row r="43" spans="1:31" s="18" customFormat="1">
      <c r="A43" s="54"/>
      <c r="B43" s="21"/>
      <c r="C43" s="21"/>
      <c r="K43" s="486"/>
      <c r="L43" s="313"/>
      <c r="M43" s="313"/>
      <c r="N43" s="313"/>
      <c r="O43" s="313"/>
      <c r="P43" s="313"/>
      <c r="Q43" s="313"/>
      <c r="R43" s="313"/>
      <c r="S43" s="313"/>
      <c r="T43" s="313"/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</row>
    <row r="44" spans="1:31" s="341" customFormat="1">
      <c r="A44" s="552" t="s">
        <v>223</v>
      </c>
      <c r="B44" s="557"/>
      <c r="C44" s="557"/>
      <c r="K44" s="554">
        <f>'P&amp;L - Concept B3 - Carnival'!D39</f>
        <v>0</v>
      </c>
      <c r="L44" s="313">
        <f>'P&amp;L - Concept B3 - Carnival'!E39</f>
        <v>160.26666666666668</v>
      </c>
      <c r="M44" s="313">
        <f>'P&amp;L - Concept B3 - Carnival'!F39</f>
        <v>187</v>
      </c>
      <c r="N44" s="313">
        <f>'P&amp;L - Concept B3 - Carnival'!G39</f>
        <v>213.73333333333332</v>
      </c>
      <c r="O44" s="313">
        <f>'P&amp;L - Concept B3 - Carnival'!H39</f>
        <v>213.73333333333332</v>
      </c>
      <c r="P44" s="313">
        <f>'P&amp;L - Concept B3 - Carnival'!I39</f>
        <v>213.73333333333332</v>
      </c>
      <c r="Q44" s="313">
        <f>'P&amp;L - Concept B3 - Carnival'!J39</f>
        <v>213.73333333333332</v>
      </c>
      <c r="R44" s="313">
        <f>'P&amp;L - Concept B3 - Carnival'!K39</f>
        <v>213.73333333333332</v>
      </c>
      <c r="S44" s="313">
        <f>'P&amp;L - Concept B3 - Carnival'!L39</f>
        <v>213.73333333333332</v>
      </c>
      <c r="T44" s="313">
        <f>'P&amp;L - Concept B3 - Carnival'!M39</f>
        <v>213.73333333333332</v>
      </c>
      <c r="U44" s="313">
        <f>'P&amp;L - Concept B3 - Carnival'!N39</f>
        <v>213.73333333333332</v>
      </c>
      <c r="V44" s="313">
        <f>'P&amp;L - Concept B3 - Carnival'!O39</f>
        <v>213.73333333333332</v>
      </c>
      <c r="W44" s="313">
        <f>'P&amp;L - Concept B3 - Carnival'!P39</f>
        <v>213.73333333333332</v>
      </c>
      <c r="X44" s="313">
        <f>'P&amp;L - Concept B3 - Carnival'!Q39</f>
        <v>213.73333333333332</v>
      </c>
      <c r="Y44" s="313">
        <f>'P&amp;L - Concept B3 - Carnival'!R39</f>
        <v>213.73333333333332</v>
      </c>
      <c r="Z44" s="313">
        <f>'P&amp;L - Concept B3 - Carnival'!S39</f>
        <v>213.73333333333332</v>
      </c>
      <c r="AA44" s="313">
        <f>'P&amp;L - Concept B3 - Carnival'!T39</f>
        <v>213.73333333333332</v>
      </c>
      <c r="AB44" s="313">
        <f>'P&amp;L - Concept B3 - Carnival'!U39</f>
        <v>213.73333333333332</v>
      </c>
      <c r="AC44" s="313">
        <f>'P&amp;L - Concept B3 - Carnival'!V39</f>
        <v>213.73333333333332</v>
      </c>
      <c r="AD44" s="313">
        <f>'P&amp;L - Concept B3 - Carnival'!W39</f>
        <v>213.73333333333332</v>
      </c>
      <c r="AE44" s="313">
        <f>'P&amp;L - Concept B3 - Carnival'!X39</f>
        <v>213.73333333333332</v>
      </c>
    </row>
    <row r="45" spans="1:31" s="18" customFormat="1">
      <c r="A45" s="54"/>
      <c r="B45" s="74"/>
      <c r="C45" s="74"/>
      <c r="K45" s="492"/>
      <c r="L45" s="313"/>
      <c r="M45" s="313"/>
      <c r="N45" s="313"/>
      <c r="O45" s="313"/>
      <c r="P45" s="313"/>
      <c r="Q45" s="313"/>
      <c r="R45" s="313"/>
      <c r="S45" s="313"/>
      <c r="T45" s="313"/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</row>
    <row r="46" spans="1:31" s="18" customFormat="1">
      <c r="A46" s="293" t="s">
        <v>26</v>
      </c>
      <c r="B46" s="74"/>
      <c r="C46" s="74"/>
      <c r="K46" s="492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</row>
    <row r="47" spans="1:31" s="18" customFormat="1">
      <c r="A47" s="54" t="s">
        <v>264</v>
      </c>
      <c r="B47" s="277"/>
      <c r="C47" s="74"/>
      <c r="K47" s="486">
        <f>'P&amp;L - Concept B3 - Carnival'!D42</f>
        <v>0</v>
      </c>
      <c r="L47" s="313">
        <f>'P&amp;L - Concept B3 - Carnival'!E42</f>
        <v>1832.2239583333337</v>
      </c>
      <c r="M47" s="313">
        <f>'P&amp;L - Concept B3 - Carnival'!F42</f>
        <v>3664.4479166666674</v>
      </c>
      <c r="N47" s="313">
        <f>'P&amp;L - Concept B3 - Carnival'!G42</f>
        <v>3664.4479166666674</v>
      </c>
      <c r="O47" s="313">
        <f>'P&amp;L - Concept B3 - Carnival'!H42</f>
        <v>3664.4479166666674</v>
      </c>
      <c r="P47" s="313">
        <f>'P&amp;L - Concept B3 - Carnival'!I42</f>
        <v>3664.4479166666674</v>
      </c>
      <c r="Q47" s="313">
        <f>'P&amp;L - Concept B3 - Carnival'!J42</f>
        <v>3664.4479166666674</v>
      </c>
      <c r="R47" s="313">
        <f>'P&amp;L - Concept B3 - Carnival'!K42</f>
        <v>3664.4479166666674</v>
      </c>
      <c r="S47" s="313">
        <f>'P&amp;L - Concept B3 - Carnival'!L42</f>
        <v>3664.4479166666674</v>
      </c>
      <c r="T47" s="313">
        <f>'P&amp;L - Concept B3 - Carnival'!M42</f>
        <v>3664.4479166666674</v>
      </c>
      <c r="U47" s="313">
        <f>'P&amp;L - Concept B3 - Carnival'!N42</f>
        <v>3664.4479166666674</v>
      </c>
      <c r="V47" s="313">
        <f>'P&amp;L - Concept B3 - Carnival'!O42</f>
        <v>3664.4479166666674</v>
      </c>
      <c r="W47" s="313">
        <f>'P&amp;L - Concept B3 - Carnival'!P42</f>
        <v>3664.4479166666674</v>
      </c>
      <c r="X47" s="313">
        <f>'P&amp;L - Concept B3 - Carnival'!Q42</f>
        <v>3664.4479166666674</v>
      </c>
      <c r="Y47" s="313">
        <f>'P&amp;L - Concept B3 - Carnival'!R42</f>
        <v>3664.4479166666674</v>
      </c>
      <c r="Z47" s="313">
        <f>'P&amp;L - Concept B3 - Carnival'!S42</f>
        <v>3664.4479166666674</v>
      </c>
      <c r="AA47" s="313">
        <f>'P&amp;L - Concept B3 - Carnival'!T42</f>
        <v>3664.4479166666674</v>
      </c>
      <c r="AB47" s="313">
        <f>'P&amp;L - Concept B3 - Carnival'!U42</f>
        <v>3664.4479166666674</v>
      </c>
      <c r="AC47" s="313">
        <f>'P&amp;L - Concept B3 - Carnival'!V42</f>
        <v>3664.4479166666674</v>
      </c>
      <c r="AD47" s="313">
        <f>'P&amp;L - Concept B3 - Carnival'!W42</f>
        <v>3664.4479166666674</v>
      </c>
      <c r="AE47" s="313">
        <f>'P&amp;L - Concept B3 - Carnival'!X42</f>
        <v>3664.4479166666674</v>
      </c>
    </row>
    <row r="48" spans="1:31" s="18" customFormat="1">
      <c r="A48" s="54" t="s">
        <v>267</v>
      </c>
      <c r="B48" s="277"/>
      <c r="C48" s="74"/>
      <c r="K48" s="486">
        <f>'P&amp;L - Concept B3 - Carnival'!D43</f>
        <v>0</v>
      </c>
      <c r="L48" s="313">
        <f>'P&amp;L - Concept B3 - Carnival'!E43</f>
        <v>13371.166666666662</v>
      </c>
      <c r="M48" s="313">
        <f>'P&amp;L - Concept B3 - Carnival'!F43</f>
        <v>26742.333333333325</v>
      </c>
      <c r="N48" s="313">
        <f>'P&amp;L - Concept B3 - Carnival'!G43</f>
        <v>26742.333333333325</v>
      </c>
      <c r="O48" s="313">
        <f>'P&amp;L - Concept B3 - Carnival'!H43</f>
        <v>26742.333333333325</v>
      </c>
      <c r="P48" s="313">
        <f>'P&amp;L - Concept B3 - Carnival'!I43</f>
        <v>26742.333333333325</v>
      </c>
      <c r="Q48" s="313">
        <f>'P&amp;L - Concept B3 - Carnival'!J43</f>
        <v>26742.333333333325</v>
      </c>
      <c r="R48" s="313">
        <f>'P&amp;L - Concept B3 - Carnival'!K43</f>
        <v>26742.333333333325</v>
      </c>
      <c r="S48" s="313">
        <f>'P&amp;L - Concept B3 - Carnival'!L43</f>
        <v>26742.333333333325</v>
      </c>
      <c r="T48" s="313">
        <f>'P&amp;L - Concept B3 - Carnival'!M43</f>
        <v>26742.333333333325</v>
      </c>
      <c r="U48" s="313">
        <f>'P&amp;L - Concept B3 - Carnival'!N43</f>
        <v>26742.333333333325</v>
      </c>
      <c r="V48" s="313">
        <f>'P&amp;L - Concept B3 - Carnival'!O43</f>
        <v>26742.333333333325</v>
      </c>
      <c r="W48" s="313">
        <f>'P&amp;L - Concept B3 - Carnival'!P43</f>
        <v>26742.333333333325</v>
      </c>
      <c r="X48" s="313">
        <f>'P&amp;L - Concept B3 - Carnival'!Q43</f>
        <v>26742.333333333325</v>
      </c>
      <c r="Y48" s="313">
        <f>'P&amp;L - Concept B3 - Carnival'!R43</f>
        <v>26742.333333333325</v>
      </c>
      <c r="Z48" s="313">
        <f>'P&amp;L - Concept B3 - Carnival'!S43</f>
        <v>26742.333333333325</v>
      </c>
      <c r="AA48" s="313">
        <f>'P&amp;L - Concept B3 - Carnival'!T43</f>
        <v>26742.333333333325</v>
      </c>
      <c r="AB48" s="313">
        <f>'P&amp;L - Concept B3 - Carnival'!U43</f>
        <v>26742.333333333325</v>
      </c>
      <c r="AC48" s="313">
        <f>'P&amp;L - Concept B3 - Carnival'!V43</f>
        <v>26742.333333333325</v>
      </c>
      <c r="AD48" s="313">
        <f>'P&amp;L - Concept B3 - Carnival'!W43</f>
        <v>26742.333333333325</v>
      </c>
      <c r="AE48" s="313">
        <f>'P&amp;L - Concept B3 - Carnival'!X43</f>
        <v>26742.333333333325</v>
      </c>
    </row>
    <row r="49" spans="1:32 16384:16384" s="96" customFormat="1">
      <c r="A49" s="54" t="s">
        <v>274</v>
      </c>
      <c r="B49" s="435"/>
      <c r="C49" s="583"/>
      <c r="K49" s="486">
        <f>'P&amp;L - Concept B3 - Carnival'!D44</f>
        <v>0</v>
      </c>
      <c r="L49" s="313">
        <f>'P&amp;L - Concept B3 - Carnival'!E44</f>
        <v>15203.390624999996</v>
      </c>
      <c r="M49" s="313">
        <f>'P&amp;L - Concept B3 - Carnival'!F44</f>
        <v>30406.781249999993</v>
      </c>
      <c r="N49" s="313">
        <f>'P&amp;L - Concept B3 - Carnival'!G44</f>
        <v>30406.781249999993</v>
      </c>
      <c r="O49" s="313">
        <f>'P&amp;L - Concept B3 - Carnival'!H44</f>
        <v>30406.781249999993</v>
      </c>
      <c r="P49" s="313">
        <f>'P&amp;L - Concept B3 - Carnival'!I44</f>
        <v>30406.781249999993</v>
      </c>
      <c r="Q49" s="313">
        <f>'P&amp;L - Concept B3 - Carnival'!J44</f>
        <v>30406.781249999993</v>
      </c>
      <c r="R49" s="313">
        <f>'P&amp;L - Concept B3 - Carnival'!K44</f>
        <v>30406.781249999993</v>
      </c>
      <c r="S49" s="313">
        <f>'P&amp;L - Concept B3 - Carnival'!L44</f>
        <v>30406.781249999993</v>
      </c>
      <c r="T49" s="313">
        <f>'P&amp;L - Concept B3 - Carnival'!M44</f>
        <v>30406.781249999993</v>
      </c>
      <c r="U49" s="313">
        <f>'P&amp;L - Concept B3 - Carnival'!N44</f>
        <v>30406.781249999993</v>
      </c>
      <c r="V49" s="313">
        <f>'P&amp;L - Concept B3 - Carnival'!O44</f>
        <v>30406.781249999993</v>
      </c>
      <c r="W49" s="313">
        <f>'P&amp;L - Concept B3 - Carnival'!P44</f>
        <v>30406.781249999993</v>
      </c>
      <c r="X49" s="313">
        <f>'P&amp;L - Concept B3 - Carnival'!Q44</f>
        <v>30406.781249999993</v>
      </c>
      <c r="Y49" s="313">
        <f>'P&amp;L - Concept B3 - Carnival'!R44</f>
        <v>30406.781249999993</v>
      </c>
      <c r="Z49" s="313">
        <f>'P&amp;L - Concept B3 - Carnival'!S44</f>
        <v>30406.781249999993</v>
      </c>
      <c r="AA49" s="313">
        <f>'P&amp;L - Concept B3 - Carnival'!T44</f>
        <v>30406.781249999993</v>
      </c>
      <c r="AB49" s="313">
        <f>'P&amp;L - Concept B3 - Carnival'!U44</f>
        <v>30406.781249999993</v>
      </c>
      <c r="AC49" s="313">
        <f>'P&amp;L - Concept B3 - Carnival'!V44</f>
        <v>30406.781249999993</v>
      </c>
      <c r="AD49" s="313">
        <f>'P&amp;L - Concept B3 - Carnival'!W44</f>
        <v>30406.781249999993</v>
      </c>
      <c r="AE49" s="313">
        <f>'P&amp;L - Concept B3 - Carnival'!X44</f>
        <v>30406.781249999993</v>
      </c>
    </row>
    <row r="50" spans="1:32 16384:16384" s="18" customFormat="1">
      <c r="A50" s="54"/>
      <c r="B50" s="277"/>
      <c r="C50" s="74"/>
      <c r="K50" s="499"/>
      <c r="L50" s="313"/>
      <c r="M50" s="313"/>
      <c r="N50" s="313"/>
      <c r="O50" s="313"/>
      <c r="P50" s="313"/>
      <c r="Q50" s="313"/>
      <c r="R50" s="313"/>
      <c r="S50" s="313"/>
      <c r="T50" s="313"/>
      <c r="U50" s="313"/>
      <c r="V50" s="313"/>
      <c r="W50" s="313"/>
      <c r="X50" s="313"/>
      <c r="Y50" s="313"/>
      <c r="Z50" s="313"/>
      <c r="AA50" s="313"/>
      <c r="AB50" s="313"/>
      <c r="AC50" s="313"/>
      <c r="AD50" s="313"/>
      <c r="AE50" s="313"/>
    </row>
    <row r="51" spans="1:32 16384:16384" s="341" customFormat="1">
      <c r="A51" s="552" t="s">
        <v>224</v>
      </c>
      <c r="B51" s="556"/>
      <c r="C51" s="557"/>
      <c r="K51" s="554">
        <f>'P&amp;L - Concept B3 - Carnival'!D46</f>
        <v>0</v>
      </c>
      <c r="L51" s="558">
        <f>'P&amp;L - Concept B3 - Carnival'!E46</f>
        <v>3</v>
      </c>
      <c r="M51" s="558">
        <f>'P&amp;L - Concept B3 - Carnival'!F46</f>
        <v>3</v>
      </c>
      <c r="N51" s="558">
        <f>'P&amp;L - Concept B3 - Carnival'!G46</f>
        <v>3</v>
      </c>
      <c r="O51" s="558">
        <f>'P&amp;L - Concept B3 - Carnival'!H46</f>
        <v>3</v>
      </c>
      <c r="P51" s="558">
        <f>'P&amp;L - Concept B3 - Carnival'!I46</f>
        <v>3</v>
      </c>
      <c r="Q51" s="558">
        <f>'P&amp;L - Concept B3 - Carnival'!J46</f>
        <v>3</v>
      </c>
      <c r="R51" s="558">
        <f>'P&amp;L - Concept B3 - Carnival'!K46</f>
        <v>3</v>
      </c>
      <c r="S51" s="558">
        <f>'P&amp;L - Concept B3 - Carnival'!L46</f>
        <v>3</v>
      </c>
      <c r="T51" s="558">
        <f>'P&amp;L - Concept B3 - Carnival'!M46</f>
        <v>3</v>
      </c>
      <c r="U51" s="558">
        <f>'P&amp;L - Concept B3 - Carnival'!N46</f>
        <v>3</v>
      </c>
      <c r="V51" s="558">
        <f>'P&amp;L - Concept B3 - Carnival'!O46</f>
        <v>3</v>
      </c>
      <c r="W51" s="558">
        <f>'P&amp;L - Concept B3 - Carnival'!P46</f>
        <v>3</v>
      </c>
      <c r="X51" s="558">
        <f>'P&amp;L - Concept B3 - Carnival'!Q46</f>
        <v>3</v>
      </c>
      <c r="Y51" s="558">
        <f>'P&amp;L - Concept B3 - Carnival'!R46</f>
        <v>3</v>
      </c>
      <c r="Z51" s="558">
        <f>'P&amp;L - Concept B3 - Carnival'!S46</f>
        <v>3</v>
      </c>
      <c r="AA51" s="558">
        <f>'P&amp;L - Concept B3 - Carnival'!T46</f>
        <v>3</v>
      </c>
      <c r="AB51" s="558">
        <f>'P&amp;L - Concept B3 - Carnival'!U46</f>
        <v>3</v>
      </c>
      <c r="AC51" s="558">
        <f>'P&amp;L - Concept B3 - Carnival'!V46</f>
        <v>3</v>
      </c>
      <c r="AD51" s="558">
        <f>'P&amp;L - Concept B3 - Carnival'!W46</f>
        <v>3</v>
      </c>
      <c r="AE51" s="558">
        <f>'P&amp;L - Concept B3 - Carnival'!X46</f>
        <v>3</v>
      </c>
    </row>
    <row r="52" spans="1:32 16384:16384" s="96" customFormat="1">
      <c r="A52" s="54" t="s">
        <v>225</v>
      </c>
      <c r="B52" s="435"/>
      <c r="C52" s="583"/>
      <c r="K52" s="486">
        <f>'P&amp;L - Concept B3 - Carnival'!D47</f>
        <v>0</v>
      </c>
      <c r="L52" s="496">
        <f>'P&amp;L - Concept B3 - Carnival'!E47</f>
        <v>1</v>
      </c>
      <c r="M52" s="496">
        <f>'P&amp;L - Concept B3 - Carnival'!F47</f>
        <v>1</v>
      </c>
      <c r="N52" s="496">
        <f>'P&amp;L - Concept B3 - Carnival'!G47</f>
        <v>1</v>
      </c>
      <c r="O52" s="496">
        <f>'P&amp;L - Concept B3 - Carnival'!H47</f>
        <v>1</v>
      </c>
      <c r="P52" s="496">
        <f>'P&amp;L - Concept B3 - Carnival'!I47</f>
        <v>1</v>
      </c>
      <c r="Q52" s="496">
        <f>'P&amp;L - Concept B3 - Carnival'!J47</f>
        <v>1</v>
      </c>
      <c r="R52" s="496">
        <f>'P&amp;L - Concept B3 - Carnival'!K47</f>
        <v>1</v>
      </c>
      <c r="S52" s="496">
        <f>'P&amp;L - Concept B3 - Carnival'!L47</f>
        <v>1</v>
      </c>
      <c r="T52" s="496">
        <f>'P&amp;L - Concept B3 - Carnival'!M47</f>
        <v>1</v>
      </c>
      <c r="U52" s="496">
        <f>'P&amp;L - Concept B3 - Carnival'!N47</f>
        <v>1</v>
      </c>
      <c r="V52" s="496">
        <f>'P&amp;L - Concept B3 - Carnival'!O47</f>
        <v>1</v>
      </c>
      <c r="W52" s="496">
        <f>'P&amp;L - Concept B3 - Carnival'!P47</f>
        <v>1</v>
      </c>
      <c r="X52" s="496">
        <f>'P&amp;L - Concept B3 - Carnival'!Q47</f>
        <v>1</v>
      </c>
      <c r="Y52" s="496">
        <f>'P&amp;L - Concept B3 - Carnival'!R47</f>
        <v>1</v>
      </c>
      <c r="Z52" s="496">
        <f>'P&amp;L - Concept B3 - Carnival'!S47</f>
        <v>1</v>
      </c>
      <c r="AA52" s="496">
        <f>'P&amp;L - Concept B3 - Carnival'!T47</f>
        <v>1</v>
      </c>
      <c r="AB52" s="496">
        <f>'P&amp;L - Concept B3 - Carnival'!U47</f>
        <v>1</v>
      </c>
      <c r="AC52" s="496">
        <f>'P&amp;L - Concept B3 - Carnival'!V47</f>
        <v>1</v>
      </c>
      <c r="AD52" s="496">
        <f>'P&amp;L - Concept B3 - Carnival'!W47</f>
        <v>1</v>
      </c>
      <c r="AE52" s="496">
        <f>'P&amp;L - Concept B3 - Carnival'!X47</f>
        <v>1</v>
      </c>
    </row>
    <row r="53" spans="1:32 16384:16384" s="18" customFormat="1">
      <c r="A53" s="54" t="s">
        <v>209</v>
      </c>
      <c r="B53" s="277"/>
      <c r="C53" s="74"/>
      <c r="K53" s="486">
        <f>'P&amp;L - Concept B3 - Carnival'!D48</f>
        <v>0</v>
      </c>
      <c r="L53" s="496">
        <f>'P&amp;L - Concept B3 - Carnival'!E48</f>
        <v>0.5</v>
      </c>
      <c r="M53" s="496">
        <f>'P&amp;L - Concept B3 - Carnival'!F48</f>
        <v>0.5</v>
      </c>
      <c r="N53" s="496">
        <f>'P&amp;L - Concept B3 - Carnival'!G48</f>
        <v>0.5</v>
      </c>
      <c r="O53" s="496">
        <f>'P&amp;L - Concept B3 - Carnival'!H48</f>
        <v>0.5</v>
      </c>
      <c r="P53" s="496">
        <f>'P&amp;L - Concept B3 - Carnival'!I48</f>
        <v>0.5</v>
      </c>
      <c r="Q53" s="496">
        <f>'P&amp;L - Concept B3 - Carnival'!J48</f>
        <v>0.5</v>
      </c>
      <c r="R53" s="496">
        <f>'P&amp;L - Concept B3 - Carnival'!K48</f>
        <v>0.5</v>
      </c>
      <c r="S53" s="496">
        <f>'P&amp;L - Concept B3 - Carnival'!L48</f>
        <v>0.5</v>
      </c>
      <c r="T53" s="496">
        <f>'P&amp;L - Concept B3 - Carnival'!M48</f>
        <v>0.5</v>
      </c>
      <c r="U53" s="496">
        <f>'P&amp;L - Concept B3 - Carnival'!N48</f>
        <v>0.5</v>
      </c>
      <c r="V53" s="496">
        <f>'P&amp;L - Concept B3 - Carnival'!O48</f>
        <v>0.5</v>
      </c>
      <c r="W53" s="496">
        <f>'P&amp;L - Concept B3 - Carnival'!P48</f>
        <v>0.5</v>
      </c>
      <c r="X53" s="496">
        <f>'P&amp;L - Concept B3 - Carnival'!Q48</f>
        <v>0.5</v>
      </c>
      <c r="Y53" s="496">
        <f>'P&amp;L - Concept B3 - Carnival'!R48</f>
        <v>0.5</v>
      </c>
      <c r="Z53" s="496">
        <f>'P&amp;L - Concept B3 - Carnival'!S48</f>
        <v>0.5</v>
      </c>
      <c r="AA53" s="496">
        <f>'P&amp;L - Concept B3 - Carnival'!T48</f>
        <v>0.5</v>
      </c>
      <c r="AB53" s="496">
        <f>'P&amp;L - Concept B3 - Carnival'!U48</f>
        <v>0.5</v>
      </c>
      <c r="AC53" s="496">
        <f>'P&amp;L - Concept B3 - Carnival'!V48</f>
        <v>0.5</v>
      </c>
      <c r="AD53" s="496">
        <f>'P&amp;L - Concept B3 - Carnival'!W48</f>
        <v>0.5</v>
      </c>
      <c r="AE53" s="496">
        <f>'P&amp;L - Concept B3 - Carnival'!X48</f>
        <v>0.5</v>
      </c>
    </row>
    <row r="54" spans="1:32 16384:16384" s="18" customFormat="1">
      <c r="A54" s="54" t="s">
        <v>289</v>
      </c>
      <c r="B54" s="277"/>
      <c r="C54" s="74"/>
      <c r="K54" s="486">
        <f>'P&amp;L - Concept B3 - Carnival'!D49</f>
        <v>0</v>
      </c>
      <c r="L54" s="496">
        <f>'P&amp;L - Concept B3 - Carnival'!E49</f>
        <v>0.75</v>
      </c>
      <c r="M54" s="496">
        <f>'P&amp;L - Concept B3 - Carnival'!F49</f>
        <v>0.75</v>
      </c>
      <c r="N54" s="496">
        <f>'P&amp;L - Concept B3 - Carnival'!G49</f>
        <v>0.75</v>
      </c>
      <c r="O54" s="496">
        <f>'P&amp;L - Concept B3 - Carnival'!H49</f>
        <v>0.75</v>
      </c>
      <c r="P54" s="496">
        <f>'P&amp;L - Concept B3 - Carnival'!I49</f>
        <v>0.75</v>
      </c>
      <c r="Q54" s="496">
        <f>'P&amp;L - Concept B3 - Carnival'!J49</f>
        <v>0.75</v>
      </c>
      <c r="R54" s="496">
        <f>'P&amp;L - Concept B3 - Carnival'!K49</f>
        <v>0.75</v>
      </c>
      <c r="S54" s="496">
        <f>'P&amp;L - Concept B3 - Carnival'!L49</f>
        <v>0.75</v>
      </c>
      <c r="T54" s="496">
        <f>'P&amp;L - Concept B3 - Carnival'!M49</f>
        <v>0.75</v>
      </c>
      <c r="U54" s="496">
        <f>'P&amp;L - Concept B3 - Carnival'!N49</f>
        <v>0.75</v>
      </c>
      <c r="V54" s="496">
        <f>'P&amp;L - Concept B3 - Carnival'!O49</f>
        <v>0.75</v>
      </c>
      <c r="W54" s="496">
        <f>'P&amp;L - Concept B3 - Carnival'!P49</f>
        <v>0.75</v>
      </c>
      <c r="X54" s="496">
        <f>'P&amp;L - Concept B3 - Carnival'!Q49</f>
        <v>0.75</v>
      </c>
      <c r="Y54" s="496">
        <f>'P&amp;L - Concept B3 - Carnival'!R49</f>
        <v>0.75</v>
      </c>
      <c r="Z54" s="496">
        <f>'P&amp;L - Concept B3 - Carnival'!S49</f>
        <v>0.75</v>
      </c>
      <c r="AA54" s="496">
        <f>'P&amp;L - Concept B3 - Carnival'!T49</f>
        <v>0.75</v>
      </c>
      <c r="AB54" s="496">
        <f>'P&amp;L - Concept B3 - Carnival'!U49</f>
        <v>0.75</v>
      </c>
      <c r="AC54" s="496">
        <f>'P&amp;L - Concept B3 - Carnival'!V49</f>
        <v>0.75</v>
      </c>
      <c r="AD54" s="496">
        <f>'P&amp;L - Concept B3 - Carnival'!W49</f>
        <v>0.75</v>
      </c>
      <c r="AE54" s="496">
        <f>'P&amp;L - Concept B3 - Carnival'!X49</f>
        <v>0.75</v>
      </c>
      <c r="XFD54" s="570">
        <f>SUM(K54:XFC54)</f>
        <v>15</v>
      </c>
    </row>
    <row r="55" spans="1:32 16384:16384" s="18" customFormat="1">
      <c r="A55" s="54"/>
      <c r="B55" s="277"/>
      <c r="C55" s="74"/>
      <c r="K55" s="486"/>
      <c r="L55" s="313"/>
      <c r="M55" s="313"/>
      <c r="N55" s="313"/>
      <c r="O55" s="313"/>
      <c r="P55" s="313"/>
      <c r="Q55" s="313"/>
      <c r="R55" s="313"/>
      <c r="S55" s="313"/>
      <c r="T55" s="313"/>
      <c r="U55" s="313"/>
      <c r="V55" s="313"/>
      <c r="W55" s="313"/>
      <c r="X55" s="313"/>
      <c r="Y55" s="313"/>
      <c r="Z55" s="313"/>
      <c r="AA55" s="313"/>
      <c r="AB55" s="313"/>
      <c r="AC55" s="313"/>
      <c r="AD55" s="313"/>
      <c r="AE55" s="313"/>
      <c r="XFD55" s="570"/>
    </row>
    <row r="56" spans="1:32 16384:16384" s="18" customFormat="1">
      <c r="A56" s="54" t="s">
        <v>312</v>
      </c>
      <c r="B56" s="277"/>
      <c r="C56" s="74"/>
      <c r="K56" s="486">
        <f>'P&amp;L - Concept B3 - Carnival'!D51</f>
        <v>0</v>
      </c>
      <c r="L56" s="313">
        <f>'P&amp;L - Concept B3 - Carnival'!E51</f>
        <v>3595</v>
      </c>
      <c r="M56" s="313">
        <f>'P&amp;L - Concept B3 - Carnival'!F51</f>
        <v>7190</v>
      </c>
      <c r="N56" s="313">
        <f>'P&amp;L - Concept B3 - Carnival'!G51</f>
        <v>7190</v>
      </c>
      <c r="O56" s="313">
        <f>'P&amp;L - Concept B3 - Carnival'!H51</f>
        <v>7190</v>
      </c>
      <c r="P56" s="313">
        <f>'P&amp;L - Concept B3 - Carnival'!I51</f>
        <v>7190</v>
      </c>
      <c r="Q56" s="313">
        <f>'P&amp;L - Concept B3 - Carnival'!J51</f>
        <v>7190</v>
      </c>
      <c r="R56" s="313">
        <f>'P&amp;L - Concept B3 - Carnival'!K51</f>
        <v>7190</v>
      </c>
      <c r="S56" s="313">
        <f>'P&amp;L - Concept B3 - Carnival'!L51</f>
        <v>7190</v>
      </c>
      <c r="T56" s="313">
        <f>'P&amp;L - Concept B3 - Carnival'!M51</f>
        <v>7190</v>
      </c>
      <c r="U56" s="313">
        <f>'P&amp;L - Concept B3 - Carnival'!N51</f>
        <v>7190</v>
      </c>
      <c r="V56" s="313">
        <f>'P&amp;L - Concept B3 - Carnival'!O51</f>
        <v>7190</v>
      </c>
      <c r="W56" s="313">
        <f>'P&amp;L - Concept B3 - Carnival'!P51</f>
        <v>7190</v>
      </c>
      <c r="X56" s="313">
        <f>'P&amp;L - Concept B3 - Carnival'!Q51</f>
        <v>7190</v>
      </c>
      <c r="Y56" s="313">
        <f>'P&amp;L - Concept B3 - Carnival'!R51</f>
        <v>7190</v>
      </c>
      <c r="Z56" s="313">
        <f>'P&amp;L - Concept B3 - Carnival'!S51</f>
        <v>7190</v>
      </c>
      <c r="AA56" s="313">
        <f>'P&amp;L - Concept B3 - Carnival'!T51</f>
        <v>7190</v>
      </c>
      <c r="AB56" s="313">
        <f>'P&amp;L - Concept B3 - Carnival'!U51</f>
        <v>7190</v>
      </c>
      <c r="AC56" s="313">
        <f>'P&amp;L - Concept B3 - Carnival'!V51</f>
        <v>7190</v>
      </c>
      <c r="AD56" s="313">
        <f>'P&amp;L - Concept B3 - Carnival'!W51</f>
        <v>7190</v>
      </c>
      <c r="AE56" s="313">
        <f>'P&amp;L - Concept B3 - Carnival'!X51</f>
        <v>7190</v>
      </c>
      <c r="XFD56" s="570"/>
    </row>
    <row r="57" spans="1:32 16384:16384" s="18" customFormat="1">
      <c r="A57" s="54"/>
      <c r="B57" s="277"/>
      <c r="C57" s="74"/>
      <c r="K57" s="486"/>
      <c r="L57" s="313"/>
      <c r="M57" s="313"/>
      <c r="N57" s="313"/>
      <c r="O57" s="313"/>
      <c r="P57" s="313"/>
      <c r="Q57" s="313"/>
      <c r="R57" s="313"/>
      <c r="S57" s="313"/>
      <c r="T57" s="313"/>
      <c r="U57" s="313"/>
      <c r="V57" s="313"/>
      <c r="W57" s="313"/>
      <c r="X57" s="313"/>
      <c r="Y57" s="313"/>
      <c r="Z57" s="313"/>
      <c r="AA57" s="313"/>
      <c r="AB57" s="313"/>
      <c r="AC57" s="313"/>
      <c r="AD57" s="313"/>
      <c r="AE57" s="313"/>
    </row>
    <row r="58" spans="1:32 16384:16384" s="612" customFormat="1">
      <c r="A58" s="613" t="s">
        <v>292</v>
      </c>
      <c r="B58" s="614"/>
      <c r="C58" s="615"/>
      <c r="D58" s="717"/>
      <c r="E58" s="717"/>
      <c r="F58" s="717"/>
      <c r="G58" s="717"/>
      <c r="H58" s="717"/>
      <c r="I58" s="717"/>
      <c r="J58" s="717"/>
      <c r="K58" s="616">
        <f>'P&amp;L - Concept B3 - Carnival'!D53</f>
        <v>0</v>
      </c>
      <c r="L58" s="616">
        <f>'P&amp;L - Concept B3 - Carnival'!E53</f>
        <v>0</v>
      </c>
      <c r="M58" s="616">
        <f>'P&amp;L - Concept B3 - Carnival'!F53</f>
        <v>0</v>
      </c>
      <c r="N58" s="616">
        <f>'P&amp;L - Concept B3 - Carnival'!G53</f>
        <v>100000</v>
      </c>
      <c r="O58" s="616">
        <f>'P&amp;L - Concept B3 - Carnival'!H53</f>
        <v>100000</v>
      </c>
      <c r="P58" s="616">
        <f>'P&amp;L - Concept B3 - Carnival'!I53</f>
        <v>100000</v>
      </c>
      <c r="Q58" s="616">
        <f>'P&amp;L - Concept B3 - Carnival'!J53</f>
        <v>100000</v>
      </c>
      <c r="R58" s="616">
        <f>'P&amp;L - Concept B3 - Carnival'!K53</f>
        <v>100000</v>
      </c>
      <c r="S58" s="616">
        <f>'P&amp;L - Concept B3 - Carnival'!L53</f>
        <v>100000</v>
      </c>
      <c r="T58" s="616">
        <f>'P&amp;L - Concept B3 - Carnival'!M53</f>
        <v>100000</v>
      </c>
      <c r="U58" s="616">
        <f>'P&amp;L - Concept B3 - Carnival'!N53</f>
        <v>100000</v>
      </c>
      <c r="V58" s="616">
        <f>'P&amp;L - Concept B3 - Carnival'!O53</f>
        <v>100000</v>
      </c>
      <c r="W58" s="616">
        <f>'P&amp;L - Concept B3 - Carnival'!P53</f>
        <v>100000</v>
      </c>
      <c r="X58" s="616">
        <f>'P&amp;L - Concept B3 - Carnival'!Q53</f>
        <v>100000</v>
      </c>
      <c r="Y58" s="616">
        <f>'P&amp;L - Concept B3 - Carnival'!R53</f>
        <v>100000</v>
      </c>
      <c r="Z58" s="616">
        <f>'P&amp;L - Concept B3 - Carnival'!S53</f>
        <v>100000</v>
      </c>
      <c r="AA58" s="616">
        <f>'P&amp;L - Concept B3 - Carnival'!T53</f>
        <v>100000</v>
      </c>
      <c r="AB58" s="616">
        <f>'P&amp;L - Concept B3 - Carnival'!U53</f>
        <v>100000</v>
      </c>
      <c r="AC58" s="616">
        <f>'P&amp;L - Concept B3 - Carnival'!V53</f>
        <v>100000</v>
      </c>
      <c r="AD58" s="616">
        <f>'P&amp;L - Concept B3 - Carnival'!W53</f>
        <v>100000</v>
      </c>
      <c r="AE58" s="787">
        <f>'P&amp;L - Concept B3 - Carnival'!X53</f>
        <v>100000</v>
      </c>
    </row>
    <row r="59" spans="1:32 16384:16384" s="18" customFormat="1">
      <c r="A59" s="54"/>
      <c r="B59" s="277"/>
      <c r="C59" s="74"/>
      <c r="K59" s="486">
        <f>'P&amp;L - Concept B3 - Carnival'!D54</f>
        <v>0</v>
      </c>
      <c r="L59" s="313">
        <f>'P&amp;L - Concept B3 - Carnival'!E54</f>
        <v>0</v>
      </c>
      <c r="M59" s="313">
        <f>'P&amp;L - Concept B3 - Carnival'!F54</f>
        <v>0</v>
      </c>
      <c r="N59" s="313">
        <f>'P&amp;L - Concept B3 - Carnival'!G54</f>
        <v>0</v>
      </c>
      <c r="O59" s="313">
        <f>'P&amp;L - Concept B3 - Carnival'!H54</f>
        <v>0</v>
      </c>
      <c r="P59" s="313">
        <f>'P&amp;L - Concept B3 - Carnival'!I54</f>
        <v>0</v>
      </c>
      <c r="Q59" s="313">
        <f>'P&amp;L - Concept B3 - Carnival'!J54</f>
        <v>0</v>
      </c>
      <c r="R59" s="313">
        <f>'P&amp;L - Concept B3 - Carnival'!K54</f>
        <v>0</v>
      </c>
      <c r="S59" s="313">
        <f>'P&amp;L - Concept B3 - Carnival'!L54</f>
        <v>0</v>
      </c>
      <c r="T59" s="313">
        <f>'P&amp;L - Concept B3 - Carnival'!M54</f>
        <v>0</v>
      </c>
      <c r="U59" s="313">
        <f>'P&amp;L - Concept B3 - Carnival'!N54</f>
        <v>0</v>
      </c>
      <c r="V59" s="313">
        <f>'P&amp;L - Concept B3 - Carnival'!O54</f>
        <v>0</v>
      </c>
      <c r="W59" s="313">
        <f>'P&amp;L - Concept B3 - Carnival'!P54</f>
        <v>0</v>
      </c>
      <c r="X59" s="313">
        <f>'P&amp;L - Concept B3 - Carnival'!Q54</f>
        <v>0</v>
      </c>
      <c r="Y59" s="313">
        <f>'P&amp;L - Concept B3 - Carnival'!R54</f>
        <v>0</v>
      </c>
      <c r="Z59" s="313">
        <f>'P&amp;L - Concept B3 - Carnival'!S54</f>
        <v>0</v>
      </c>
      <c r="AA59" s="313">
        <f>'P&amp;L - Concept B3 - Carnival'!T54</f>
        <v>0</v>
      </c>
      <c r="AB59" s="313">
        <f>'P&amp;L - Concept B3 - Carnival'!U54</f>
        <v>0</v>
      </c>
      <c r="AC59" s="313">
        <f>'P&amp;L - Concept B3 - Carnival'!V54</f>
        <v>0</v>
      </c>
      <c r="AD59" s="313">
        <f>'P&amp;L - Concept B3 - Carnival'!W54</f>
        <v>0</v>
      </c>
      <c r="AE59" s="313">
        <f>'P&amp;L - Concept B3 - Carnival'!X54</f>
        <v>0</v>
      </c>
    </row>
    <row r="60" spans="1:32 16384:16384" s="582" customFormat="1">
      <c r="A60" s="293" t="str">
        <f>'BH Tariffs'!A33</f>
        <v>Recreational/Commercial Marina</v>
      </c>
      <c r="B60" s="584"/>
      <c r="C60" s="585"/>
      <c r="K60" s="486">
        <f>'P&amp;L - Concept B3 - Carnival'!D55</f>
        <v>0</v>
      </c>
      <c r="L60" s="313">
        <f>'P&amp;L - Concept B3 - Carnival'!E55</f>
        <v>0</v>
      </c>
      <c r="M60" s="313">
        <f>'P&amp;L - Concept B3 - Carnival'!F55</f>
        <v>0</v>
      </c>
      <c r="N60" s="313">
        <f>'P&amp;L - Concept B3 - Carnival'!G55</f>
        <v>0</v>
      </c>
      <c r="O60" s="313">
        <f>'P&amp;L - Concept B3 - Carnival'!H55</f>
        <v>0</v>
      </c>
      <c r="P60" s="313">
        <f>'P&amp;L - Concept B3 - Carnival'!I55</f>
        <v>0</v>
      </c>
      <c r="Q60" s="313">
        <f>'P&amp;L - Concept B3 - Carnival'!J55</f>
        <v>0</v>
      </c>
      <c r="R60" s="313">
        <f>'P&amp;L - Concept B3 - Carnival'!K55</f>
        <v>0</v>
      </c>
      <c r="S60" s="313">
        <f>'P&amp;L - Concept B3 - Carnival'!L55</f>
        <v>0</v>
      </c>
      <c r="T60" s="313">
        <f>'P&amp;L - Concept B3 - Carnival'!M55</f>
        <v>0</v>
      </c>
      <c r="U60" s="313">
        <f>'P&amp;L - Concept B3 - Carnival'!N55</f>
        <v>0</v>
      </c>
      <c r="V60" s="313">
        <f>'P&amp;L - Concept B3 - Carnival'!O55</f>
        <v>0</v>
      </c>
      <c r="W60" s="313">
        <f>'P&amp;L - Concept B3 - Carnival'!P55</f>
        <v>0</v>
      </c>
      <c r="X60" s="313">
        <f>'P&amp;L - Concept B3 - Carnival'!Q55</f>
        <v>0</v>
      </c>
      <c r="Y60" s="313">
        <f>'P&amp;L - Concept B3 - Carnival'!R55</f>
        <v>0</v>
      </c>
      <c r="Z60" s="313">
        <f>'P&amp;L - Concept B3 - Carnival'!S55</f>
        <v>0</v>
      </c>
      <c r="AA60" s="313">
        <f>'P&amp;L - Concept B3 - Carnival'!T55</f>
        <v>0</v>
      </c>
      <c r="AB60" s="313">
        <f>'P&amp;L - Concept B3 - Carnival'!U55</f>
        <v>0</v>
      </c>
      <c r="AC60" s="313">
        <f>'P&amp;L - Concept B3 - Carnival'!V55</f>
        <v>0</v>
      </c>
      <c r="AD60" s="313">
        <f>'P&amp;L - Concept B3 - Carnival'!W55</f>
        <v>0</v>
      </c>
      <c r="AE60" s="313">
        <f>'P&amp;L - Concept B3 - Carnival'!X55</f>
        <v>0</v>
      </c>
    </row>
    <row r="61" spans="1:32 16384:16384" s="96" customFormat="1">
      <c r="A61" s="54" t="s">
        <v>291</v>
      </c>
      <c r="B61" s="435"/>
      <c r="C61" s="583"/>
      <c r="K61" s="486">
        <f>'P&amp;L - Concept B3 - Carnival'!D56</f>
        <v>0</v>
      </c>
      <c r="L61" s="313">
        <f>'P&amp;L - Concept B3 - Carnival'!E56</f>
        <v>0</v>
      </c>
      <c r="M61" s="313">
        <f>'P&amp;L - Concept B3 - Carnival'!F56</f>
        <v>42</v>
      </c>
      <c r="N61" s="313">
        <f>'P&amp;L - Concept B3 - Carnival'!G56</f>
        <v>42</v>
      </c>
      <c r="O61" s="313">
        <f>'P&amp;L - Concept B3 - Carnival'!H56</f>
        <v>42</v>
      </c>
      <c r="P61" s="313">
        <f>'P&amp;L - Concept B3 - Carnival'!I56</f>
        <v>42</v>
      </c>
      <c r="Q61" s="313">
        <f>'P&amp;L - Concept B3 - Carnival'!J56</f>
        <v>42</v>
      </c>
      <c r="R61" s="313">
        <f>'P&amp;L - Concept B3 - Carnival'!K56</f>
        <v>42</v>
      </c>
      <c r="S61" s="313">
        <f>'P&amp;L - Concept B3 - Carnival'!L56</f>
        <v>42</v>
      </c>
      <c r="T61" s="313">
        <f>'P&amp;L - Concept B3 - Carnival'!M56</f>
        <v>42</v>
      </c>
      <c r="U61" s="313">
        <f>'P&amp;L - Concept B3 - Carnival'!N56</f>
        <v>42</v>
      </c>
      <c r="V61" s="313">
        <f>'P&amp;L - Concept B3 - Carnival'!O56</f>
        <v>42</v>
      </c>
      <c r="W61" s="313">
        <f>'P&amp;L - Concept B3 - Carnival'!P56</f>
        <v>42</v>
      </c>
      <c r="X61" s="313">
        <f>'P&amp;L - Concept B3 - Carnival'!Q56</f>
        <v>42</v>
      </c>
      <c r="Y61" s="313">
        <f>'P&amp;L - Concept B3 - Carnival'!R56</f>
        <v>42</v>
      </c>
      <c r="Z61" s="313">
        <f>'P&amp;L - Concept B3 - Carnival'!S56</f>
        <v>42</v>
      </c>
      <c r="AA61" s="313">
        <f>'P&amp;L - Concept B3 - Carnival'!T56</f>
        <v>42</v>
      </c>
      <c r="AB61" s="313">
        <f>'P&amp;L - Concept B3 - Carnival'!U56</f>
        <v>42</v>
      </c>
      <c r="AC61" s="313">
        <f>'P&amp;L - Concept B3 - Carnival'!V56</f>
        <v>42</v>
      </c>
      <c r="AD61" s="313">
        <f>'P&amp;L - Concept B3 - Carnival'!W56</f>
        <v>42</v>
      </c>
      <c r="AE61" s="313">
        <f>'P&amp;L - Concept B3 - Carnival'!X56</f>
        <v>42</v>
      </c>
    </row>
    <row r="62" spans="1:32 16384:16384" s="96" customFormat="1">
      <c r="A62" s="54" t="s">
        <v>293</v>
      </c>
      <c r="B62" s="435"/>
      <c r="C62" s="583"/>
      <c r="K62" s="486">
        <f>'P&amp;L - Concept B3 - Carnival'!D57</f>
        <v>0</v>
      </c>
      <c r="L62" s="313">
        <f>'P&amp;L - Concept B3 - Carnival'!E57</f>
        <v>0</v>
      </c>
      <c r="M62" s="313">
        <f>'P&amp;L - Concept B3 - Carnival'!F57</f>
        <v>39290.600625000006</v>
      </c>
      <c r="N62" s="313">
        <f>'P&amp;L - Concept B3 - Carnival'!G57</f>
        <v>39290.600625000006</v>
      </c>
      <c r="O62" s="313">
        <f>'P&amp;L - Concept B3 - Carnival'!H57</f>
        <v>39290.600625000006</v>
      </c>
      <c r="P62" s="313">
        <f>'P&amp;L - Concept B3 - Carnival'!I57</f>
        <v>39290.600625000006</v>
      </c>
      <c r="Q62" s="313">
        <f>'P&amp;L - Concept B3 - Carnival'!J57</f>
        <v>39290.600625000006</v>
      </c>
      <c r="R62" s="313">
        <f>'P&amp;L - Concept B3 - Carnival'!K57</f>
        <v>39290.600625000006</v>
      </c>
      <c r="S62" s="313">
        <f>'P&amp;L - Concept B3 - Carnival'!L57</f>
        <v>39290.600625000006</v>
      </c>
      <c r="T62" s="313">
        <f>'P&amp;L - Concept B3 - Carnival'!M57</f>
        <v>39290.600625000006</v>
      </c>
      <c r="U62" s="313">
        <f>'P&amp;L - Concept B3 - Carnival'!N57</f>
        <v>39290.600625000006</v>
      </c>
      <c r="V62" s="313">
        <f>'P&amp;L - Concept B3 - Carnival'!O57</f>
        <v>39290.600625000006</v>
      </c>
      <c r="W62" s="313">
        <f>'P&amp;L - Concept B3 - Carnival'!P57</f>
        <v>39290.600625000006</v>
      </c>
      <c r="X62" s="313">
        <f>'P&amp;L - Concept B3 - Carnival'!Q57</f>
        <v>39290.600625000006</v>
      </c>
      <c r="Y62" s="313">
        <f>'P&amp;L - Concept B3 - Carnival'!R57</f>
        <v>39290.600625000006</v>
      </c>
      <c r="Z62" s="313">
        <f>'P&amp;L - Concept B3 - Carnival'!S57</f>
        <v>39290.600625000006</v>
      </c>
      <c r="AA62" s="313">
        <f>'P&amp;L - Concept B3 - Carnival'!T57</f>
        <v>39290.600625000006</v>
      </c>
      <c r="AB62" s="313">
        <f>'P&amp;L - Concept B3 - Carnival'!U57</f>
        <v>39290.600625000006</v>
      </c>
      <c r="AC62" s="313">
        <f>'P&amp;L - Concept B3 - Carnival'!V57</f>
        <v>39290.600625000006</v>
      </c>
      <c r="AD62" s="313">
        <f>'P&amp;L - Concept B3 - Carnival'!W57</f>
        <v>39290.600625000006</v>
      </c>
      <c r="AE62" s="313">
        <f>'P&amp;L - Concept B3 - Carnival'!X57</f>
        <v>39290.600625000006</v>
      </c>
    </row>
    <row r="63" spans="1:32 16384:16384" s="96" customFormat="1">
      <c r="A63" s="54" t="s">
        <v>294</v>
      </c>
      <c r="B63" s="435"/>
      <c r="C63" s="583"/>
      <c r="K63" s="486">
        <f>'P&amp;L - Concept B3 - Carnival'!D58</f>
        <v>0</v>
      </c>
      <c r="L63" s="313">
        <f>'P&amp;L - Concept B3 - Carnival'!E58</f>
        <v>0</v>
      </c>
      <c r="M63" s="313">
        <f>'P&amp;L - Concept B3 - Carnival'!F58</f>
        <v>1476.3000000000002</v>
      </c>
      <c r="N63" s="313">
        <f>'P&amp;L - Concept B3 - Carnival'!G58</f>
        <v>1476.3000000000002</v>
      </c>
      <c r="O63" s="313">
        <f>'P&amp;L - Concept B3 - Carnival'!H58</f>
        <v>1476.3000000000002</v>
      </c>
      <c r="P63" s="313">
        <f>'P&amp;L - Concept B3 - Carnival'!I58</f>
        <v>1476.3000000000002</v>
      </c>
      <c r="Q63" s="313">
        <f>'P&amp;L - Concept B3 - Carnival'!J58</f>
        <v>1476.3000000000002</v>
      </c>
      <c r="R63" s="313">
        <f>'P&amp;L - Concept B3 - Carnival'!K58</f>
        <v>1476.3000000000002</v>
      </c>
      <c r="S63" s="313">
        <f>'P&amp;L - Concept B3 - Carnival'!L58</f>
        <v>1476.3000000000002</v>
      </c>
      <c r="T63" s="313">
        <f>'P&amp;L - Concept B3 - Carnival'!M58</f>
        <v>1476.3000000000002</v>
      </c>
      <c r="U63" s="313">
        <f>'P&amp;L - Concept B3 - Carnival'!N58</f>
        <v>1476.3000000000002</v>
      </c>
      <c r="V63" s="313">
        <f>'P&amp;L - Concept B3 - Carnival'!O58</f>
        <v>1476.3000000000002</v>
      </c>
      <c r="W63" s="313">
        <f>'P&amp;L - Concept B3 - Carnival'!P58</f>
        <v>1476.3000000000002</v>
      </c>
      <c r="X63" s="313">
        <f>'P&amp;L - Concept B3 - Carnival'!Q58</f>
        <v>1476.3000000000002</v>
      </c>
      <c r="Y63" s="313">
        <f>'P&amp;L - Concept B3 - Carnival'!R58</f>
        <v>1476.3000000000002</v>
      </c>
      <c r="Z63" s="313">
        <f>'P&amp;L - Concept B3 - Carnival'!S58</f>
        <v>1476.3000000000002</v>
      </c>
      <c r="AA63" s="313">
        <f>'P&amp;L - Concept B3 - Carnival'!T58</f>
        <v>1476.3000000000002</v>
      </c>
      <c r="AB63" s="313">
        <f>'P&amp;L - Concept B3 - Carnival'!U58</f>
        <v>1476.3000000000002</v>
      </c>
      <c r="AC63" s="313">
        <f>'P&amp;L - Concept B3 - Carnival'!V58</f>
        <v>1476.3000000000002</v>
      </c>
      <c r="AD63" s="313">
        <f>'P&amp;L - Concept B3 - Carnival'!W58</f>
        <v>1476.3000000000002</v>
      </c>
      <c r="AE63" s="313">
        <f>'P&amp;L - Concept B3 - Carnival'!X58</f>
        <v>1476.3000000000002</v>
      </c>
    </row>
    <row r="64" spans="1:32 16384:16384" s="167" customFormat="1">
      <c r="A64" s="497" t="s">
        <v>170</v>
      </c>
      <c r="B64" s="450"/>
      <c r="C64" s="498"/>
      <c r="K64" s="499">
        <f>'P&amp;L - Concept B3 - Carnival'!D59</f>
        <v>0</v>
      </c>
      <c r="L64" s="500">
        <f>'P&amp;L - Concept B3 - Carnival'!E59</f>
        <v>0</v>
      </c>
      <c r="M64" s="500">
        <f>'P&amp;L - Concept B3 - Carnival'!F59</f>
        <v>0</v>
      </c>
      <c r="N64" s="500">
        <f>'P&amp;L - Concept B3 - Carnival'!G59</f>
        <v>0</v>
      </c>
      <c r="O64" s="500">
        <f>'P&amp;L - Concept B3 - Carnival'!H59</f>
        <v>0</v>
      </c>
      <c r="P64" s="500">
        <f>'P&amp;L - Concept B3 - Carnival'!I59</f>
        <v>0</v>
      </c>
      <c r="Q64" s="500">
        <f>'P&amp;L - Concept B3 - Carnival'!J59</f>
        <v>0</v>
      </c>
      <c r="R64" s="500">
        <f>'P&amp;L - Concept B3 - Carnival'!K59</f>
        <v>0</v>
      </c>
      <c r="S64" s="500">
        <f>'P&amp;L - Concept B3 - Carnival'!L59</f>
        <v>0</v>
      </c>
      <c r="T64" s="500">
        <f>'P&amp;L - Concept B3 - Carnival'!M59</f>
        <v>0</v>
      </c>
      <c r="U64" s="500">
        <f>'P&amp;L - Concept B3 - Carnival'!N59</f>
        <v>0</v>
      </c>
      <c r="V64" s="500">
        <f>'P&amp;L - Concept B3 - Carnival'!O59</f>
        <v>0</v>
      </c>
      <c r="W64" s="500">
        <f>'P&amp;L - Concept B3 - Carnival'!P59</f>
        <v>0</v>
      </c>
      <c r="X64" s="500">
        <f>'P&amp;L - Concept B3 - Carnival'!Q59</f>
        <v>0</v>
      </c>
      <c r="Y64" s="500">
        <f>'P&amp;L - Concept B3 - Carnival'!R59</f>
        <v>0</v>
      </c>
      <c r="Z64" s="500">
        <f>'P&amp;L - Concept B3 - Carnival'!S59</f>
        <v>0</v>
      </c>
      <c r="AA64" s="500">
        <f>'P&amp;L - Concept B3 - Carnival'!T59</f>
        <v>0</v>
      </c>
      <c r="AB64" s="500">
        <f>'P&amp;L - Concept B3 - Carnival'!U59</f>
        <v>0</v>
      </c>
      <c r="AC64" s="500">
        <f>'P&amp;L - Concept B3 - Carnival'!V59</f>
        <v>0</v>
      </c>
      <c r="AD64" s="500">
        <f>'P&amp;L - Concept B3 - Carnival'!W59</f>
        <v>0</v>
      </c>
      <c r="AE64" s="500">
        <f>'P&amp;L - Concept B3 - Carnival'!X59</f>
        <v>0</v>
      </c>
      <c r="AF64" s="167" t="str">
        <f>'P&amp;L - Concept B3 - Carnival'!Y59</f>
        <v>cost recovery assumed</v>
      </c>
    </row>
    <row r="65" spans="1:32" s="167" customFormat="1">
      <c r="A65" s="497" t="s">
        <v>16</v>
      </c>
      <c r="B65" s="450"/>
      <c r="C65" s="498"/>
      <c r="K65" s="499">
        <f>'P&amp;L - Concept B3 - Carnival'!D60</f>
        <v>0</v>
      </c>
      <c r="L65" s="500">
        <f>'P&amp;L - Concept B3 - Carnival'!E60</f>
        <v>0</v>
      </c>
      <c r="M65" s="500">
        <f>'P&amp;L - Concept B3 - Carnival'!F60</f>
        <v>0</v>
      </c>
      <c r="N65" s="500">
        <f>'P&amp;L - Concept B3 - Carnival'!G60</f>
        <v>0</v>
      </c>
      <c r="O65" s="500">
        <f>'P&amp;L - Concept B3 - Carnival'!H60</f>
        <v>0</v>
      </c>
      <c r="P65" s="500">
        <f>'P&amp;L - Concept B3 - Carnival'!I60</f>
        <v>0</v>
      </c>
      <c r="Q65" s="500">
        <f>'P&amp;L - Concept B3 - Carnival'!J60</f>
        <v>0</v>
      </c>
      <c r="R65" s="500">
        <f>'P&amp;L - Concept B3 - Carnival'!K60</f>
        <v>0</v>
      </c>
      <c r="S65" s="500">
        <f>'P&amp;L - Concept B3 - Carnival'!L60</f>
        <v>0</v>
      </c>
      <c r="T65" s="500">
        <f>'P&amp;L - Concept B3 - Carnival'!M60</f>
        <v>0</v>
      </c>
      <c r="U65" s="500">
        <f>'P&amp;L - Concept B3 - Carnival'!N60</f>
        <v>0</v>
      </c>
      <c r="V65" s="500">
        <f>'P&amp;L - Concept B3 - Carnival'!O60</f>
        <v>0</v>
      </c>
      <c r="W65" s="500">
        <f>'P&amp;L - Concept B3 - Carnival'!P60</f>
        <v>0</v>
      </c>
      <c r="X65" s="500">
        <f>'P&amp;L - Concept B3 - Carnival'!Q60</f>
        <v>0</v>
      </c>
      <c r="Y65" s="500">
        <f>'P&amp;L - Concept B3 - Carnival'!R60</f>
        <v>0</v>
      </c>
      <c r="Z65" s="500">
        <f>'P&amp;L - Concept B3 - Carnival'!S60</f>
        <v>0</v>
      </c>
      <c r="AA65" s="500">
        <f>'P&amp;L - Concept B3 - Carnival'!T60</f>
        <v>0</v>
      </c>
      <c r="AB65" s="500">
        <f>'P&amp;L - Concept B3 - Carnival'!U60</f>
        <v>0</v>
      </c>
      <c r="AC65" s="500">
        <f>'P&amp;L - Concept B3 - Carnival'!V60</f>
        <v>0</v>
      </c>
      <c r="AD65" s="500">
        <f>'P&amp;L - Concept B3 - Carnival'!W60</f>
        <v>0</v>
      </c>
      <c r="AE65" s="500">
        <f>'P&amp;L - Concept B3 - Carnival'!X60</f>
        <v>0</v>
      </c>
      <c r="AF65" s="167" t="str">
        <f>'P&amp;L - Concept B3 - Carnival'!Y60</f>
        <v>cost recovery assumed</v>
      </c>
    </row>
    <row r="66" spans="1:32" s="18" customFormat="1">
      <c r="A66" s="54"/>
      <c r="B66" s="277"/>
      <c r="C66" s="74"/>
      <c r="K66" s="492"/>
      <c r="L66" s="313"/>
      <c r="M66" s="313"/>
      <c r="N66" s="313"/>
      <c r="O66" s="313"/>
      <c r="P66" s="313"/>
      <c r="Q66" s="313"/>
      <c r="R66" s="313"/>
      <c r="S66" s="313"/>
      <c r="T66" s="313"/>
      <c r="U66" s="313"/>
      <c r="V66" s="313"/>
      <c r="W66" s="313"/>
      <c r="X66" s="313"/>
      <c r="Y66" s="313"/>
      <c r="Z66" s="313"/>
      <c r="AA66" s="313"/>
      <c r="AB66" s="313"/>
      <c r="AC66" s="313"/>
      <c r="AD66" s="313"/>
      <c r="AE66" s="313"/>
    </row>
    <row r="67" spans="1:32" s="18" customFormat="1">
      <c r="A67" s="293" t="s">
        <v>2</v>
      </c>
      <c r="B67" s="277"/>
      <c r="C67" s="74"/>
      <c r="K67" s="492"/>
      <c r="L67" s="313"/>
      <c r="M67" s="313"/>
      <c r="N67" s="313"/>
      <c r="O67" s="313"/>
      <c r="P67" s="313"/>
      <c r="Q67" s="313"/>
      <c r="R67" s="313"/>
      <c r="S67" s="313"/>
      <c r="T67" s="313"/>
      <c r="U67" s="313"/>
      <c r="V67" s="313"/>
      <c r="W67" s="313"/>
      <c r="X67" s="313"/>
      <c r="Y67" s="313"/>
      <c r="Z67" s="313"/>
      <c r="AA67" s="313"/>
      <c r="AB67" s="313"/>
      <c r="AC67" s="313"/>
      <c r="AD67" s="313"/>
      <c r="AE67" s="313"/>
    </row>
    <row r="68" spans="1:32" s="96" customFormat="1">
      <c r="A68" s="54" t="s">
        <v>290</v>
      </c>
      <c r="B68" s="435">
        <v>500</v>
      </c>
      <c r="C68" s="487"/>
      <c r="K68" s="486">
        <f>'P&amp;L - Concept B3 - Carnival'!D63</f>
        <v>0</v>
      </c>
      <c r="L68" s="313">
        <f>'P&amp;L - Concept B3 - Carnival'!E63</f>
        <v>0</v>
      </c>
      <c r="M68" s="313">
        <f>'P&amp;L - Concept B3 - Carnival'!F63</f>
        <v>0</v>
      </c>
      <c r="N68" s="313">
        <f>'P&amp;L - Concept B3 - Carnival'!G63</f>
        <v>500</v>
      </c>
      <c r="O68" s="313">
        <f>'P&amp;L - Concept B3 - Carnival'!H63</f>
        <v>500</v>
      </c>
      <c r="P68" s="313">
        <f>'P&amp;L - Concept B3 - Carnival'!I63</f>
        <v>500</v>
      </c>
      <c r="Q68" s="313">
        <f>'P&amp;L - Concept B3 - Carnival'!J63</f>
        <v>500</v>
      </c>
      <c r="R68" s="313">
        <f>'P&amp;L - Concept B3 - Carnival'!K63</f>
        <v>500</v>
      </c>
      <c r="S68" s="313">
        <f>'P&amp;L - Concept B3 - Carnival'!L63</f>
        <v>500</v>
      </c>
      <c r="T68" s="313">
        <f>'P&amp;L - Concept B3 - Carnival'!M63</f>
        <v>500</v>
      </c>
      <c r="U68" s="313">
        <f>'P&amp;L - Concept B3 - Carnival'!N63</f>
        <v>500</v>
      </c>
      <c r="V68" s="313">
        <f>'P&amp;L - Concept B3 - Carnival'!O63</f>
        <v>500</v>
      </c>
      <c r="W68" s="313">
        <f>'P&amp;L - Concept B3 - Carnival'!P63</f>
        <v>500</v>
      </c>
      <c r="X68" s="313">
        <f>'P&amp;L - Concept B3 - Carnival'!Q63</f>
        <v>500</v>
      </c>
      <c r="Y68" s="313">
        <f>'P&amp;L - Concept B3 - Carnival'!R63</f>
        <v>500</v>
      </c>
      <c r="Z68" s="313">
        <f>'P&amp;L - Concept B3 - Carnival'!S63</f>
        <v>500</v>
      </c>
      <c r="AA68" s="313">
        <f>'P&amp;L - Concept B3 - Carnival'!T63</f>
        <v>500</v>
      </c>
      <c r="AB68" s="313">
        <f>'P&amp;L - Concept B3 - Carnival'!U63</f>
        <v>500</v>
      </c>
      <c r="AC68" s="313">
        <f>'P&amp;L - Concept B3 - Carnival'!V63</f>
        <v>500</v>
      </c>
      <c r="AD68" s="313">
        <f>'P&amp;L - Concept B3 - Carnival'!W63</f>
        <v>500</v>
      </c>
      <c r="AE68" s="313">
        <f>'P&amp;L - Concept B3 - Carnival'!X63</f>
        <v>500</v>
      </c>
    </row>
    <row r="69" spans="1:32" s="96" customFormat="1">
      <c r="A69" s="54" t="s">
        <v>210</v>
      </c>
      <c r="B69" s="487"/>
      <c r="C69" s="487"/>
      <c r="K69" s="486">
        <f>'P&amp;L - Concept B3 - Carnival'!D65</f>
        <v>0</v>
      </c>
      <c r="L69" s="313">
        <f>'P&amp;L - Concept B3 - Carnival'!E65</f>
        <v>0</v>
      </c>
      <c r="M69" s="313">
        <f>'P&amp;L - Concept B3 - Carnival'!F65</f>
        <v>1</v>
      </c>
      <c r="N69" s="313">
        <f>'P&amp;L - Concept B3 - Carnival'!G65</f>
        <v>2</v>
      </c>
      <c r="O69" s="313">
        <f>'P&amp;L - Concept B3 - Carnival'!H65</f>
        <v>2</v>
      </c>
      <c r="P69" s="313">
        <f>'P&amp;L - Concept B3 - Carnival'!I65</f>
        <v>2</v>
      </c>
      <c r="Q69" s="313">
        <f>'P&amp;L - Concept B3 - Carnival'!J65</f>
        <v>3</v>
      </c>
      <c r="R69" s="313">
        <f>'P&amp;L - Concept B3 - Carnival'!K65</f>
        <v>3</v>
      </c>
      <c r="S69" s="313">
        <f>'P&amp;L - Concept B3 - Carnival'!L65</f>
        <v>3</v>
      </c>
      <c r="T69" s="313">
        <f>'P&amp;L - Concept B3 - Carnival'!M65</f>
        <v>3</v>
      </c>
      <c r="U69" s="313">
        <f>'P&amp;L - Concept B3 - Carnival'!N65</f>
        <v>3</v>
      </c>
      <c r="V69" s="313">
        <f>'P&amp;L - Concept B3 - Carnival'!O65</f>
        <v>4</v>
      </c>
      <c r="W69" s="313">
        <f>'P&amp;L - Concept B3 - Carnival'!P65</f>
        <v>4</v>
      </c>
      <c r="X69" s="313">
        <f>'P&amp;L - Concept B3 - Carnival'!Q65</f>
        <v>4</v>
      </c>
      <c r="Y69" s="313">
        <f>'P&amp;L - Concept B3 - Carnival'!R65</f>
        <v>4</v>
      </c>
      <c r="Z69" s="313">
        <f>'P&amp;L - Concept B3 - Carnival'!S65</f>
        <v>4</v>
      </c>
      <c r="AA69" s="313">
        <f>'P&amp;L - Concept B3 - Carnival'!T65</f>
        <v>5</v>
      </c>
      <c r="AB69" s="313">
        <f>'P&amp;L - Concept B3 - Carnival'!U65</f>
        <v>5</v>
      </c>
      <c r="AC69" s="313">
        <f>'P&amp;L - Concept B3 - Carnival'!V65</f>
        <v>5</v>
      </c>
      <c r="AD69" s="313">
        <f>'P&amp;L - Concept B3 - Carnival'!W65</f>
        <v>5</v>
      </c>
      <c r="AE69" s="313">
        <f>'P&amp;L - Concept B3 - Carnival'!X65</f>
        <v>5</v>
      </c>
    </row>
    <row r="70" spans="1:32" s="96" customFormat="1">
      <c r="A70" s="96" t="s">
        <v>211</v>
      </c>
      <c r="K70" s="486">
        <f>'P&amp;L - Concept B3 - Carnival'!D66</f>
        <v>0</v>
      </c>
      <c r="L70" s="313">
        <f>'P&amp;L - Concept B3 - Carnival'!E66</f>
        <v>0</v>
      </c>
      <c r="M70" s="313">
        <f>'P&amp;L - Concept B3 - Carnival'!F66</f>
        <v>3</v>
      </c>
      <c r="N70" s="313">
        <f>'P&amp;L - Concept B3 - Carnival'!G66</f>
        <v>3</v>
      </c>
      <c r="O70" s="313">
        <f>'P&amp;L - Concept B3 - Carnival'!H66</f>
        <v>3</v>
      </c>
      <c r="P70" s="313">
        <f>'P&amp;L - Concept B3 - Carnival'!I66</f>
        <v>3</v>
      </c>
      <c r="Q70" s="313">
        <f>'P&amp;L - Concept B3 - Carnival'!J66</f>
        <v>3</v>
      </c>
      <c r="R70" s="313">
        <f>'P&amp;L - Concept B3 - Carnival'!K66</f>
        <v>3</v>
      </c>
      <c r="S70" s="313">
        <f>'P&amp;L - Concept B3 - Carnival'!L66</f>
        <v>3</v>
      </c>
      <c r="T70" s="313">
        <f>'P&amp;L - Concept B3 - Carnival'!M66</f>
        <v>3</v>
      </c>
      <c r="U70" s="313">
        <f>'P&amp;L - Concept B3 - Carnival'!N66</f>
        <v>3</v>
      </c>
      <c r="V70" s="313">
        <f>'P&amp;L - Concept B3 - Carnival'!O66</f>
        <v>3</v>
      </c>
      <c r="W70" s="313">
        <f>'P&amp;L - Concept B3 - Carnival'!P66</f>
        <v>3</v>
      </c>
      <c r="X70" s="313">
        <f>'P&amp;L - Concept B3 - Carnival'!Q66</f>
        <v>3</v>
      </c>
      <c r="Y70" s="313">
        <f>'P&amp;L - Concept B3 - Carnival'!R66</f>
        <v>3</v>
      </c>
      <c r="Z70" s="313">
        <f>'P&amp;L - Concept B3 - Carnival'!S66</f>
        <v>3</v>
      </c>
      <c r="AA70" s="313">
        <f>'P&amp;L - Concept B3 - Carnival'!T66</f>
        <v>3</v>
      </c>
      <c r="AB70" s="313">
        <f>'P&amp;L - Concept B3 - Carnival'!U66</f>
        <v>3</v>
      </c>
      <c r="AC70" s="313">
        <f>'P&amp;L - Concept B3 - Carnival'!V66</f>
        <v>3</v>
      </c>
      <c r="AD70" s="313">
        <f>'P&amp;L - Concept B3 - Carnival'!W66</f>
        <v>3</v>
      </c>
      <c r="AE70" s="313">
        <f>'P&amp;L - Concept B3 - Carnival'!X66</f>
        <v>3</v>
      </c>
    </row>
    <row r="71" spans="1:32" s="96" customFormat="1">
      <c r="K71" s="486"/>
      <c r="L71" s="435"/>
      <c r="M71" s="435"/>
      <c r="N71" s="435"/>
      <c r="O71" s="435"/>
      <c r="P71" s="435"/>
      <c r="Q71" s="435"/>
      <c r="R71" s="435"/>
      <c r="S71" s="435"/>
      <c r="T71" s="435"/>
      <c r="U71" s="435"/>
      <c r="V71" s="435"/>
      <c r="W71" s="435"/>
      <c r="X71" s="435"/>
      <c r="Y71" s="435"/>
      <c r="Z71" s="435"/>
      <c r="AA71" s="435"/>
      <c r="AB71" s="435"/>
      <c r="AC71" s="435"/>
      <c r="AD71" s="435"/>
      <c r="AE71" s="435"/>
    </row>
    <row r="72" spans="1:32" s="18" customFormat="1">
      <c r="A72" s="28"/>
      <c r="K72" s="486"/>
      <c r="L72" s="331"/>
      <c r="M72" s="333"/>
      <c r="N72" s="331"/>
      <c r="O72" s="331"/>
      <c r="P72" s="331"/>
      <c r="Q72" s="331"/>
      <c r="R72" s="331"/>
      <c r="S72" s="331"/>
      <c r="T72" s="331"/>
      <c r="U72" s="331"/>
      <c r="V72" s="331"/>
      <c r="W72" s="331"/>
      <c r="X72" s="331"/>
      <c r="Y72" s="331"/>
      <c r="Z72" s="331"/>
      <c r="AA72" s="331"/>
      <c r="AB72" s="331"/>
      <c r="AC72" s="331"/>
      <c r="AD72" s="331"/>
      <c r="AE72" s="331"/>
    </row>
    <row r="73" spans="1:32">
      <c r="A73" s="168" t="s">
        <v>131</v>
      </c>
      <c r="B73" s="168"/>
      <c r="C73" s="169"/>
      <c r="D73" s="170"/>
      <c r="E73" s="171"/>
      <c r="F73" s="171"/>
      <c r="G73" s="171"/>
      <c r="H73" s="171"/>
      <c r="I73" s="168"/>
      <c r="J73" s="171"/>
      <c r="K73" s="681"/>
      <c r="L73" s="314"/>
      <c r="M73" s="314"/>
      <c r="N73" s="314"/>
      <c r="O73" s="314"/>
      <c r="P73" s="314"/>
      <c r="Q73" s="314"/>
      <c r="R73" s="314"/>
      <c r="S73" s="314"/>
      <c r="T73" s="314"/>
      <c r="U73" s="314"/>
      <c r="V73" s="314"/>
      <c r="W73" s="314"/>
      <c r="X73" s="314"/>
      <c r="Y73" s="314"/>
      <c r="Z73" s="314"/>
      <c r="AA73" s="314"/>
      <c r="AB73" s="314"/>
      <c r="AC73" s="314"/>
      <c r="AD73" s="314"/>
      <c r="AE73" s="314"/>
    </row>
    <row r="74" spans="1:32" s="252" customFormat="1">
      <c r="A74" s="183"/>
      <c r="B74" s="183"/>
      <c r="C74" s="364"/>
      <c r="D74" s="365"/>
      <c r="E74" s="184"/>
      <c r="F74" s="184"/>
      <c r="G74" s="184"/>
      <c r="H74" s="184"/>
      <c r="I74" s="183"/>
      <c r="J74" s="184"/>
      <c r="K74" s="664"/>
      <c r="L74" s="366"/>
      <c r="M74" s="366"/>
      <c r="N74" s="366"/>
      <c r="O74" s="366"/>
      <c r="P74" s="366"/>
      <c r="Q74" s="366"/>
      <c r="R74" s="366"/>
      <c r="S74" s="366"/>
      <c r="T74" s="366"/>
      <c r="U74" s="366"/>
      <c r="V74" s="366"/>
      <c r="W74" s="366"/>
      <c r="X74" s="366"/>
      <c r="Y74" s="366"/>
      <c r="Z74" s="366"/>
      <c r="AA74" s="366"/>
      <c r="AB74" s="366"/>
      <c r="AC74" s="366"/>
      <c r="AD74" s="366"/>
      <c r="AE74" s="366"/>
    </row>
    <row r="75" spans="1:32">
      <c r="A75" s="41" t="s">
        <v>13</v>
      </c>
      <c r="B75" s="41"/>
      <c r="C75" s="105"/>
      <c r="D75" s="106"/>
      <c r="E75" s="37"/>
      <c r="F75" s="37"/>
      <c r="G75" s="37"/>
      <c r="H75" s="37"/>
      <c r="I75" s="41"/>
      <c r="J75" s="37"/>
      <c r="K75" s="683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</row>
    <row r="76" spans="1:32">
      <c r="A76" s="96" t="s">
        <v>418</v>
      </c>
      <c r="B76" s="735" t="s">
        <v>12</v>
      </c>
      <c r="C76" s="663">
        <v>75000</v>
      </c>
      <c r="D76" s="736">
        <f t="shared" ref="D76:D79" si="0">C76/2080</f>
        <v>36.057692307692307</v>
      </c>
      <c r="E76" s="663">
        <v>0</v>
      </c>
      <c r="F76" s="663">
        <f>(C76*$F$13)</f>
        <v>30000</v>
      </c>
      <c r="G76" s="663">
        <f>SUM(C76,E76:F76)</f>
        <v>105000</v>
      </c>
      <c r="H76" s="663"/>
      <c r="I76" s="736"/>
      <c r="J76" s="663"/>
      <c r="K76" s="683">
        <v>0</v>
      </c>
      <c r="L76" s="665">
        <v>0</v>
      </c>
      <c r="M76" s="666">
        <f>G76</f>
        <v>105000</v>
      </c>
      <c r="N76" s="666">
        <f>($G$76*L11)</f>
        <v>107100</v>
      </c>
      <c r="O76" s="666">
        <f t="shared" ref="O76:AE76" si="1">($G$76*M11)</f>
        <v>109242</v>
      </c>
      <c r="P76" s="666">
        <f t="shared" si="1"/>
        <v>111426.84</v>
      </c>
      <c r="Q76" s="666">
        <f t="shared" si="1"/>
        <v>113655.3768</v>
      </c>
      <c r="R76" s="666">
        <f t="shared" si="1"/>
        <v>115928.48433600001</v>
      </c>
      <c r="S76" s="666">
        <f t="shared" si="1"/>
        <v>118247.05402272001</v>
      </c>
      <c r="T76" s="666">
        <f t="shared" si="1"/>
        <v>120611.9951031744</v>
      </c>
      <c r="U76" s="666">
        <f t="shared" si="1"/>
        <v>123024.2350052379</v>
      </c>
      <c r="V76" s="666">
        <f t="shared" si="1"/>
        <v>125484.71970534266</v>
      </c>
      <c r="W76" s="666">
        <f t="shared" si="1"/>
        <v>127994.41409944952</v>
      </c>
      <c r="X76" s="666">
        <f t="shared" si="1"/>
        <v>130554.30238143851</v>
      </c>
      <c r="Y76" s="666">
        <f t="shared" si="1"/>
        <v>133165.38842906727</v>
      </c>
      <c r="Z76" s="666">
        <f t="shared" si="1"/>
        <v>135828.69619764862</v>
      </c>
      <c r="AA76" s="666">
        <f t="shared" si="1"/>
        <v>138545.27012160158</v>
      </c>
      <c r="AB76" s="666">
        <f t="shared" si="1"/>
        <v>141316.17552403364</v>
      </c>
      <c r="AC76" s="666">
        <f t="shared" si="1"/>
        <v>144142.4990345143</v>
      </c>
      <c r="AD76" s="666">
        <f t="shared" si="1"/>
        <v>147025.34901520461</v>
      </c>
      <c r="AE76" s="666">
        <f t="shared" si="1"/>
        <v>149965.8559955087</v>
      </c>
    </row>
    <row r="77" spans="1:32">
      <c r="A77" s="96" t="s">
        <v>417</v>
      </c>
      <c r="B77" s="735" t="s">
        <v>12</v>
      </c>
      <c r="C77" s="663">
        <v>35000</v>
      </c>
      <c r="D77" s="736">
        <f t="shared" si="0"/>
        <v>16.826923076923077</v>
      </c>
      <c r="E77" s="663">
        <v>0</v>
      </c>
      <c r="F77" s="663">
        <f t="shared" ref="F77:F79" si="2">(C77*$F$13)</f>
        <v>14000</v>
      </c>
      <c r="G77" s="663">
        <f t="shared" ref="G77:G79" si="3">SUM(C77,E77:F77)</f>
        <v>49000</v>
      </c>
      <c r="H77" s="663"/>
      <c r="I77" s="736"/>
      <c r="J77" s="663"/>
      <c r="K77" s="683">
        <v>0</v>
      </c>
      <c r="L77" s="665">
        <f>G77*0.25</f>
        <v>12250</v>
      </c>
      <c r="M77" s="666">
        <f>G77*0.5</f>
        <v>24500</v>
      </c>
      <c r="N77" s="666">
        <f>($G$77*0.5*L11)</f>
        <v>24990</v>
      </c>
      <c r="O77" s="666">
        <f t="shared" ref="O77:AE77" si="4">($G$77*0.5*M11)</f>
        <v>25489.8</v>
      </c>
      <c r="P77" s="666">
        <f t="shared" si="4"/>
        <v>25999.595999999998</v>
      </c>
      <c r="Q77" s="666">
        <f t="shared" si="4"/>
        <v>26519.587919999998</v>
      </c>
      <c r="R77" s="666">
        <f t="shared" si="4"/>
        <v>27049.979678399999</v>
      </c>
      <c r="S77" s="666">
        <f t="shared" si="4"/>
        <v>27590.979271968001</v>
      </c>
      <c r="T77" s="666">
        <f t="shared" si="4"/>
        <v>28142.798857407361</v>
      </c>
      <c r="U77" s="666">
        <f t="shared" si="4"/>
        <v>28705.654834555509</v>
      </c>
      <c r="V77" s="666">
        <f t="shared" si="4"/>
        <v>29279.767931246621</v>
      </c>
      <c r="W77" s="666">
        <f t="shared" si="4"/>
        <v>29865.363289871555</v>
      </c>
      <c r="X77" s="666">
        <f t="shared" si="4"/>
        <v>30462.670555668985</v>
      </c>
      <c r="Y77" s="666">
        <f t="shared" si="4"/>
        <v>31071.923966782364</v>
      </c>
      <c r="Z77" s="666">
        <f t="shared" si="4"/>
        <v>31693.362446118008</v>
      </c>
      <c r="AA77" s="666">
        <f t="shared" si="4"/>
        <v>32327.229695040372</v>
      </c>
      <c r="AB77" s="666">
        <f t="shared" si="4"/>
        <v>32973.774288941182</v>
      </c>
      <c r="AC77" s="666">
        <f t="shared" si="4"/>
        <v>33633.249774720003</v>
      </c>
      <c r="AD77" s="666">
        <f t="shared" si="4"/>
        <v>34305.914770214411</v>
      </c>
      <c r="AE77" s="666">
        <f t="shared" si="4"/>
        <v>34992.0330656187</v>
      </c>
    </row>
    <row r="78" spans="1:32">
      <c r="A78" s="96" t="s">
        <v>422</v>
      </c>
      <c r="B78" s="735" t="s">
        <v>15</v>
      </c>
      <c r="C78" s="663">
        <v>15000</v>
      </c>
      <c r="D78" s="736">
        <f t="shared" si="0"/>
        <v>7.2115384615384617</v>
      </c>
      <c r="E78" s="663">
        <f>C78*$L$15</f>
        <v>0</v>
      </c>
      <c r="F78" s="663">
        <f t="shared" si="2"/>
        <v>6000</v>
      </c>
      <c r="G78" s="663">
        <f t="shared" si="3"/>
        <v>21000</v>
      </c>
      <c r="H78" s="663"/>
      <c r="I78" s="736"/>
      <c r="J78" s="663"/>
      <c r="K78" s="683">
        <v>0</v>
      </c>
      <c r="L78" s="665">
        <v>0</v>
      </c>
      <c r="M78" s="666">
        <f t="shared" ref="M78" si="5">G78</f>
        <v>21000</v>
      </c>
      <c r="N78" s="666">
        <f>($G$78*L11)</f>
        <v>21420</v>
      </c>
      <c r="O78" s="666">
        <f t="shared" ref="O78:AE78" si="6">($G$78*M11)</f>
        <v>21848.400000000001</v>
      </c>
      <c r="P78" s="666">
        <f t="shared" si="6"/>
        <v>22285.367999999999</v>
      </c>
      <c r="Q78" s="666">
        <f t="shared" si="6"/>
        <v>22731.075359999999</v>
      </c>
      <c r="R78" s="666">
        <f t="shared" si="6"/>
        <v>23185.6968672</v>
      </c>
      <c r="S78" s="666">
        <f t="shared" si="6"/>
        <v>23649.410804544001</v>
      </c>
      <c r="T78" s="666">
        <f t="shared" si="6"/>
        <v>24122.399020634883</v>
      </c>
      <c r="U78" s="666">
        <f t="shared" si="6"/>
        <v>24604.847001047579</v>
      </c>
      <c r="V78" s="666">
        <f t="shared" si="6"/>
        <v>25096.943941068534</v>
      </c>
      <c r="W78" s="666">
        <f t="shared" si="6"/>
        <v>25598.882819889903</v>
      </c>
      <c r="X78" s="666">
        <f t="shared" si="6"/>
        <v>26110.8604762877</v>
      </c>
      <c r="Y78" s="666">
        <f t="shared" si="6"/>
        <v>26633.077685813456</v>
      </c>
      <c r="Z78" s="666">
        <f t="shared" si="6"/>
        <v>27165.739239529721</v>
      </c>
      <c r="AA78" s="666">
        <f t="shared" si="6"/>
        <v>27709.054024320321</v>
      </c>
      <c r="AB78" s="666">
        <f t="shared" si="6"/>
        <v>28263.235104806728</v>
      </c>
      <c r="AC78" s="666">
        <f t="shared" si="6"/>
        <v>28828.499806902862</v>
      </c>
      <c r="AD78" s="666">
        <f t="shared" si="6"/>
        <v>29405.069803040922</v>
      </c>
      <c r="AE78" s="666">
        <f t="shared" si="6"/>
        <v>29993.17119910174</v>
      </c>
    </row>
    <row r="79" spans="1:32">
      <c r="A79" s="737" t="s">
        <v>422</v>
      </c>
      <c r="B79" s="738" t="s">
        <v>15</v>
      </c>
      <c r="C79" s="739">
        <v>15000</v>
      </c>
      <c r="D79" s="740">
        <f t="shared" si="0"/>
        <v>7.2115384615384617</v>
      </c>
      <c r="E79" s="739">
        <f>C79*$L$15</f>
        <v>0</v>
      </c>
      <c r="F79" s="739">
        <f t="shared" si="2"/>
        <v>6000</v>
      </c>
      <c r="G79" s="739">
        <f t="shared" si="3"/>
        <v>21000</v>
      </c>
      <c r="H79" s="739"/>
      <c r="I79" s="740"/>
      <c r="J79" s="739"/>
      <c r="K79" s="741">
        <v>0</v>
      </c>
      <c r="L79" s="742">
        <v>0</v>
      </c>
      <c r="M79" s="742">
        <f t="shared" ref="M79" si="7">G79</f>
        <v>21000</v>
      </c>
      <c r="N79" s="742">
        <f>($G$79*L11)</f>
        <v>21420</v>
      </c>
      <c r="O79" s="742">
        <f t="shared" ref="O79:AE79" si="8">($G$79*M11)</f>
        <v>21848.400000000001</v>
      </c>
      <c r="P79" s="742">
        <f t="shared" si="8"/>
        <v>22285.367999999999</v>
      </c>
      <c r="Q79" s="742">
        <f t="shared" si="8"/>
        <v>22731.075359999999</v>
      </c>
      <c r="R79" s="742">
        <f t="shared" si="8"/>
        <v>23185.6968672</v>
      </c>
      <c r="S79" s="742">
        <f t="shared" si="8"/>
        <v>23649.410804544001</v>
      </c>
      <c r="T79" s="742">
        <f t="shared" si="8"/>
        <v>24122.399020634883</v>
      </c>
      <c r="U79" s="742">
        <f t="shared" si="8"/>
        <v>24604.847001047579</v>
      </c>
      <c r="V79" s="742">
        <f t="shared" si="8"/>
        <v>25096.943941068534</v>
      </c>
      <c r="W79" s="742">
        <f t="shared" si="8"/>
        <v>25598.882819889903</v>
      </c>
      <c r="X79" s="742">
        <f t="shared" si="8"/>
        <v>26110.8604762877</v>
      </c>
      <c r="Y79" s="742">
        <f t="shared" si="8"/>
        <v>26633.077685813456</v>
      </c>
      <c r="Z79" s="742">
        <f t="shared" si="8"/>
        <v>27165.739239529721</v>
      </c>
      <c r="AA79" s="742">
        <f t="shared" si="8"/>
        <v>27709.054024320321</v>
      </c>
      <c r="AB79" s="742">
        <f t="shared" si="8"/>
        <v>28263.235104806728</v>
      </c>
      <c r="AC79" s="742">
        <f t="shared" si="8"/>
        <v>28828.499806902862</v>
      </c>
      <c r="AD79" s="742">
        <f t="shared" si="8"/>
        <v>29405.069803040922</v>
      </c>
      <c r="AE79" s="742">
        <f t="shared" si="8"/>
        <v>29993.17119910174</v>
      </c>
    </row>
    <row r="80" spans="1:32" s="56" customFormat="1" ht="14.25">
      <c r="A80" s="164" t="s">
        <v>416</v>
      </c>
      <c r="B80" s="164"/>
      <c r="C80" s="667">
        <f>SUM(C76:C79)</f>
        <v>140000</v>
      </c>
      <c r="D80" s="667"/>
      <c r="E80" s="667">
        <f>SUM(E76:E79)</f>
        <v>0</v>
      </c>
      <c r="F80" s="667">
        <f>SUM(F76:F79)</f>
        <v>56000</v>
      </c>
      <c r="G80" s="667">
        <f>SUM(G76:G79)</f>
        <v>196000</v>
      </c>
      <c r="H80" s="667"/>
      <c r="I80" s="668"/>
      <c r="J80" s="667"/>
      <c r="K80" s="685">
        <f>SUMIF($B76:$B79,"FT",K76:K79)</f>
        <v>0</v>
      </c>
      <c r="L80" s="669">
        <f t="shared" ref="L80:AE80" si="9">SUM(L76:L79)</f>
        <v>12250</v>
      </c>
      <c r="M80" s="669">
        <f t="shared" si="9"/>
        <v>171500</v>
      </c>
      <c r="N80" s="669">
        <f t="shared" si="9"/>
        <v>174930</v>
      </c>
      <c r="O80" s="669">
        <f t="shared" si="9"/>
        <v>178428.59999999998</v>
      </c>
      <c r="P80" s="669">
        <f t="shared" si="9"/>
        <v>181997.17199999996</v>
      </c>
      <c r="Q80" s="669">
        <f t="shared" si="9"/>
        <v>185637.11543999997</v>
      </c>
      <c r="R80" s="669">
        <f t="shared" si="9"/>
        <v>189349.85774879999</v>
      </c>
      <c r="S80" s="669">
        <f t="shared" si="9"/>
        <v>193136.85490377599</v>
      </c>
      <c r="T80" s="669">
        <f t="shared" si="9"/>
        <v>196999.59200185153</v>
      </c>
      <c r="U80" s="669">
        <f t="shared" si="9"/>
        <v>200939.58384188855</v>
      </c>
      <c r="V80" s="669">
        <f t="shared" si="9"/>
        <v>204958.37551872636</v>
      </c>
      <c r="W80" s="669">
        <f t="shared" si="9"/>
        <v>209057.54302910087</v>
      </c>
      <c r="X80" s="669">
        <f t="shared" si="9"/>
        <v>213238.69388968288</v>
      </c>
      <c r="Y80" s="669">
        <f t="shared" si="9"/>
        <v>217503.46776747654</v>
      </c>
      <c r="Z80" s="669">
        <f t="shared" si="9"/>
        <v>221853.53712282603</v>
      </c>
      <c r="AA80" s="669">
        <f t="shared" si="9"/>
        <v>226290.60786528263</v>
      </c>
      <c r="AB80" s="669">
        <f t="shared" si="9"/>
        <v>230816.42002258825</v>
      </c>
      <c r="AC80" s="669">
        <f t="shared" si="9"/>
        <v>235432.74842304003</v>
      </c>
      <c r="AD80" s="669">
        <f t="shared" si="9"/>
        <v>240141.40339150085</v>
      </c>
      <c r="AE80" s="669">
        <f t="shared" si="9"/>
        <v>244944.23145933088</v>
      </c>
    </row>
    <row r="81" spans="1:35" s="56" customFormat="1" ht="14.25">
      <c r="A81" s="164"/>
      <c r="B81" s="164"/>
      <c r="C81" s="667"/>
      <c r="D81" s="667"/>
      <c r="E81" s="667"/>
      <c r="F81" s="667"/>
      <c r="G81" s="667"/>
      <c r="H81" s="667"/>
      <c r="I81" s="668"/>
      <c r="J81" s="667"/>
      <c r="K81" s="685"/>
      <c r="L81" s="669"/>
      <c r="M81" s="669"/>
      <c r="N81" s="669"/>
      <c r="O81" s="669"/>
      <c r="P81" s="669"/>
      <c r="Q81" s="669"/>
      <c r="R81" s="669"/>
      <c r="S81" s="669"/>
      <c r="T81" s="669"/>
      <c r="U81" s="669"/>
      <c r="V81" s="669"/>
      <c r="W81" s="669"/>
      <c r="X81" s="669"/>
      <c r="Y81" s="669"/>
      <c r="Z81" s="669"/>
      <c r="AA81" s="669"/>
      <c r="AB81" s="669"/>
      <c r="AC81" s="669"/>
      <c r="AD81" s="669"/>
      <c r="AE81" s="669"/>
    </row>
    <row r="82" spans="1:35">
      <c r="A82" s="37" t="s">
        <v>411</v>
      </c>
      <c r="B82" s="37"/>
      <c r="C82" s="57"/>
      <c r="E82" s="57"/>
      <c r="F82" s="57"/>
      <c r="G82" s="57"/>
      <c r="H82" s="57"/>
      <c r="I82" s="43"/>
      <c r="J82" s="42"/>
      <c r="K82" s="743">
        <f>COUNTIF(K76:K79,"&gt;100")</f>
        <v>0</v>
      </c>
      <c r="L82" s="496">
        <f t="shared" ref="L82:AE82" si="10">COUNTIF(L76:L77,"&gt;100")</f>
        <v>1</v>
      </c>
      <c r="M82" s="496">
        <f t="shared" si="10"/>
        <v>2</v>
      </c>
      <c r="N82" s="496">
        <f t="shared" si="10"/>
        <v>2</v>
      </c>
      <c r="O82" s="496">
        <f t="shared" si="10"/>
        <v>2</v>
      </c>
      <c r="P82" s="496">
        <f t="shared" si="10"/>
        <v>2</v>
      </c>
      <c r="Q82" s="496">
        <f t="shared" si="10"/>
        <v>2</v>
      </c>
      <c r="R82" s="496">
        <f t="shared" si="10"/>
        <v>2</v>
      </c>
      <c r="S82" s="496">
        <f t="shared" si="10"/>
        <v>2</v>
      </c>
      <c r="T82" s="496">
        <f t="shared" si="10"/>
        <v>2</v>
      </c>
      <c r="U82" s="496">
        <f t="shared" si="10"/>
        <v>2</v>
      </c>
      <c r="V82" s="496">
        <f t="shared" si="10"/>
        <v>2</v>
      </c>
      <c r="W82" s="496">
        <f t="shared" si="10"/>
        <v>2</v>
      </c>
      <c r="X82" s="496">
        <f t="shared" si="10"/>
        <v>2</v>
      </c>
      <c r="Y82" s="496">
        <f t="shared" si="10"/>
        <v>2</v>
      </c>
      <c r="Z82" s="496">
        <f t="shared" si="10"/>
        <v>2</v>
      </c>
      <c r="AA82" s="496">
        <f t="shared" si="10"/>
        <v>2</v>
      </c>
      <c r="AB82" s="496">
        <f t="shared" si="10"/>
        <v>2</v>
      </c>
      <c r="AC82" s="496">
        <f t="shared" si="10"/>
        <v>2</v>
      </c>
      <c r="AD82" s="496">
        <f t="shared" si="10"/>
        <v>2</v>
      </c>
      <c r="AE82" s="496">
        <f t="shared" si="10"/>
        <v>2</v>
      </c>
      <c r="AF82" s="744"/>
    </row>
    <row r="83" spans="1:35">
      <c r="A83" s="745" t="s">
        <v>412</v>
      </c>
      <c r="B83" s="745"/>
      <c r="C83" s="746"/>
      <c r="D83" s="116"/>
      <c r="E83" s="746"/>
      <c r="F83" s="746"/>
      <c r="G83" s="746"/>
      <c r="H83" s="746"/>
      <c r="I83" s="747"/>
      <c r="J83" s="748"/>
      <c r="K83" s="749">
        <f t="shared" ref="K83" si="11">K84-K82</f>
        <v>0</v>
      </c>
      <c r="L83" s="750">
        <f t="shared" ref="L83:AE83" si="12">COUNTIF(L78:L79,"&gt;100")</f>
        <v>0</v>
      </c>
      <c r="M83" s="750">
        <f t="shared" si="12"/>
        <v>2</v>
      </c>
      <c r="N83" s="750">
        <f t="shared" si="12"/>
        <v>2</v>
      </c>
      <c r="O83" s="750">
        <f t="shared" si="12"/>
        <v>2</v>
      </c>
      <c r="P83" s="750">
        <f t="shared" si="12"/>
        <v>2</v>
      </c>
      <c r="Q83" s="750">
        <f t="shared" si="12"/>
        <v>2</v>
      </c>
      <c r="R83" s="750">
        <f t="shared" si="12"/>
        <v>2</v>
      </c>
      <c r="S83" s="750">
        <f t="shared" si="12"/>
        <v>2</v>
      </c>
      <c r="T83" s="750">
        <f t="shared" si="12"/>
        <v>2</v>
      </c>
      <c r="U83" s="750">
        <f t="shared" si="12"/>
        <v>2</v>
      </c>
      <c r="V83" s="750">
        <f t="shared" si="12"/>
        <v>2</v>
      </c>
      <c r="W83" s="750">
        <f t="shared" si="12"/>
        <v>2</v>
      </c>
      <c r="X83" s="750">
        <f t="shared" si="12"/>
        <v>2</v>
      </c>
      <c r="Y83" s="750">
        <f t="shared" si="12"/>
        <v>2</v>
      </c>
      <c r="Z83" s="750">
        <f t="shared" si="12"/>
        <v>2</v>
      </c>
      <c r="AA83" s="750">
        <f t="shared" si="12"/>
        <v>2</v>
      </c>
      <c r="AB83" s="750">
        <f t="shared" si="12"/>
        <v>2</v>
      </c>
      <c r="AC83" s="750">
        <f t="shared" si="12"/>
        <v>2</v>
      </c>
      <c r="AD83" s="750">
        <f t="shared" si="12"/>
        <v>2</v>
      </c>
      <c r="AE83" s="750">
        <f t="shared" si="12"/>
        <v>2</v>
      </c>
    </row>
    <row r="84" spans="1:35" s="56" customFormat="1" ht="14.25">
      <c r="A84" s="164" t="s">
        <v>413</v>
      </c>
      <c r="B84" s="164"/>
      <c r="C84" s="75"/>
      <c r="D84" s="173"/>
      <c r="E84" s="75"/>
      <c r="F84" s="75"/>
      <c r="G84" s="75"/>
      <c r="H84" s="75"/>
      <c r="I84" s="174"/>
      <c r="J84" s="181"/>
      <c r="K84" s="751">
        <f>COUNTIF(K76:K79,"&gt;0")</f>
        <v>0</v>
      </c>
      <c r="L84" s="752">
        <f>SUM(L82:L83)</f>
        <v>1</v>
      </c>
      <c r="M84" s="752">
        <f t="shared" ref="M84:AE84" si="13">SUM(M82:M83)</f>
        <v>4</v>
      </c>
      <c r="N84" s="752">
        <f t="shared" si="13"/>
        <v>4</v>
      </c>
      <c r="O84" s="752">
        <f t="shared" si="13"/>
        <v>4</v>
      </c>
      <c r="P84" s="752">
        <f t="shared" si="13"/>
        <v>4</v>
      </c>
      <c r="Q84" s="752">
        <f t="shared" si="13"/>
        <v>4</v>
      </c>
      <c r="R84" s="752">
        <f t="shared" si="13"/>
        <v>4</v>
      </c>
      <c r="S84" s="752">
        <f t="shared" si="13"/>
        <v>4</v>
      </c>
      <c r="T84" s="752">
        <f t="shared" si="13"/>
        <v>4</v>
      </c>
      <c r="U84" s="752">
        <f t="shared" si="13"/>
        <v>4</v>
      </c>
      <c r="V84" s="752">
        <f t="shared" si="13"/>
        <v>4</v>
      </c>
      <c r="W84" s="752">
        <f t="shared" si="13"/>
        <v>4</v>
      </c>
      <c r="X84" s="752">
        <f t="shared" si="13"/>
        <v>4</v>
      </c>
      <c r="Y84" s="752">
        <f t="shared" si="13"/>
        <v>4</v>
      </c>
      <c r="Z84" s="752">
        <f t="shared" si="13"/>
        <v>4</v>
      </c>
      <c r="AA84" s="752">
        <f t="shared" si="13"/>
        <v>4</v>
      </c>
      <c r="AB84" s="752">
        <f t="shared" si="13"/>
        <v>4</v>
      </c>
      <c r="AC84" s="752">
        <f t="shared" si="13"/>
        <v>4</v>
      </c>
      <c r="AD84" s="752">
        <f t="shared" si="13"/>
        <v>4</v>
      </c>
      <c r="AE84" s="752">
        <f t="shared" si="13"/>
        <v>4</v>
      </c>
    </row>
    <row r="85" spans="1:35" s="56" customFormat="1" ht="14.25">
      <c r="A85" s="164"/>
      <c r="B85" s="164"/>
      <c r="C85" s="75"/>
      <c r="D85" s="173"/>
      <c r="E85" s="75"/>
      <c r="F85" s="75"/>
      <c r="G85" s="75"/>
      <c r="H85" s="75"/>
      <c r="I85" s="174"/>
      <c r="J85" s="181"/>
      <c r="K85" s="685"/>
      <c r="L85" s="315"/>
      <c r="M85" s="315"/>
      <c r="N85" s="315"/>
      <c r="O85" s="315"/>
      <c r="P85" s="315"/>
      <c r="Q85" s="315"/>
      <c r="R85" s="315"/>
      <c r="S85" s="315"/>
      <c r="T85" s="315"/>
      <c r="U85" s="315"/>
      <c r="V85" s="315"/>
      <c r="W85" s="315"/>
      <c r="X85" s="315"/>
      <c r="Y85" s="315"/>
      <c r="Z85" s="315"/>
      <c r="AA85" s="315"/>
      <c r="AB85" s="315"/>
      <c r="AC85" s="315"/>
      <c r="AD85" s="315"/>
      <c r="AE85" s="315"/>
    </row>
    <row r="86" spans="1:35">
      <c r="A86" s="48" t="s">
        <v>68</v>
      </c>
      <c r="B86" s="48"/>
      <c r="C86" s="77"/>
      <c r="D86" s="76"/>
      <c r="E86" s="57"/>
      <c r="F86" s="57"/>
      <c r="G86" s="77"/>
      <c r="H86" s="77"/>
      <c r="I86" s="50"/>
      <c r="J86" s="49"/>
      <c r="K86" s="683"/>
      <c r="L86" s="316"/>
      <c r="M86" s="316"/>
      <c r="N86" s="316"/>
      <c r="O86" s="316"/>
      <c r="P86" s="316"/>
      <c r="Q86" s="316"/>
      <c r="R86" s="316"/>
      <c r="S86" s="316"/>
      <c r="T86" s="316"/>
      <c r="U86" s="316"/>
      <c r="V86" s="316"/>
      <c r="W86" s="316"/>
      <c r="X86" s="316"/>
      <c r="Y86" s="316"/>
      <c r="Z86" s="316"/>
      <c r="AA86" s="316"/>
      <c r="AB86" s="316"/>
      <c r="AC86" s="316"/>
      <c r="AD86" s="316"/>
      <c r="AE86" s="316"/>
    </row>
    <row r="87" spans="1:35" s="68" customFormat="1" ht="14.25">
      <c r="A87" s="214" t="s">
        <v>80</v>
      </c>
      <c r="B87" s="189"/>
      <c r="C87" s="209"/>
      <c r="D87" s="210"/>
      <c r="E87" s="211"/>
      <c r="F87" s="211"/>
      <c r="G87" s="209"/>
      <c r="H87" s="209"/>
      <c r="I87" s="213"/>
      <c r="J87" s="212"/>
      <c r="K87" s="686"/>
      <c r="L87" s="317"/>
      <c r="M87" s="317"/>
      <c r="N87" s="317"/>
      <c r="O87" s="317"/>
      <c r="P87" s="317"/>
      <c r="Q87" s="317"/>
      <c r="R87" s="317"/>
      <c r="S87" s="317"/>
      <c r="T87" s="317"/>
      <c r="U87" s="317"/>
      <c r="V87" s="317"/>
      <c r="W87" s="317"/>
      <c r="X87" s="317"/>
      <c r="Y87" s="317"/>
      <c r="Z87" s="317"/>
      <c r="AA87" s="317"/>
      <c r="AB87" s="317"/>
      <c r="AC87" s="317"/>
      <c r="AD87" s="317"/>
      <c r="AE87" s="317"/>
    </row>
    <row r="88" spans="1:35">
      <c r="A88" s="37" t="s">
        <v>41</v>
      </c>
      <c r="B88" s="37"/>
      <c r="C88" s="110"/>
      <c r="D88" s="106"/>
      <c r="E88" s="57"/>
      <c r="F88" s="57"/>
      <c r="G88" s="57"/>
      <c r="H88" s="57"/>
      <c r="I88" s="51"/>
      <c r="J88" s="663"/>
      <c r="K88" s="683">
        <f>K$84*$J88*R$9</f>
        <v>0</v>
      </c>
      <c r="L88" s="666">
        <v>25000</v>
      </c>
      <c r="M88" s="666">
        <f>$L$88*L11</f>
        <v>25500</v>
      </c>
      <c r="N88" s="666">
        <f t="shared" ref="N88:P88" si="14">$L$88*M11</f>
        <v>26010</v>
      </c>
      <c r="O88" s="666">
        <f t="shared" si="14"/>
        <v>26530.199999999997</v>
      </c>
      <c r="P88" s="666">
        <f t="shared" si="14"/>
        <v>27060.804</v>
      </c>
      <c r="Q88" s="666">
        <f t="shared" ref="Q88" si="15">$L$88*P11</f>
        <v>27602.020080000002</v>
      </c>
      <c r="R88" s="666">
        <f t="shared" ref="R88" si="16">$L$88*Q11</f>
        <v>28154.060481600001</v>
      </c>
      <c r="S88" s="666">
        <f t="shared" ref="S88" si="17">$L$88*R11</f>
        <v>28717.141691232002</v>
      </c>
      <c r="T88" s="666">
        <f t="shared" ref="T88" si="18">$L$88*S11</f>
        <v>29291.484525056643</v>
      </c>
      <c r="U88" s="666">
        <f t="shared" ref="U88" si="19">$L$88*T11</f>
        <v>29877.314215557777</v>
      </c>
      <c r="V88" s="666">
        <f t="shared" ref="V88" si="20">$L$88*U11</f>
        <v>30474.860499868933</v>
      </c>
      <c r="W88" s="666">
        <f t="shared" ref="W88" si="21">$L$88*V11</f>
        <v>31084.357709866312</v>
      </c>
      <c r="X88" s="666">
        <f t="shared" ref="X88" si="22">$L$88*W11</f>
        <v>31706.044864063639</v>
      </c>
      <c r="Y88" s="666">
        <f t="shared" ref="Y88" si="23">$L$88*X11</f>
        <v>32340.165761344906</v>
      </c>
      <c r="Z88" s="666">
        <f t="shared" ref="Z88" si="24">$L$88*Y11</f>
        <v>32986.969076571811</v>
      </c>
      <c r="AA88" s="666">
        <f t="shared" ref="AA88" si="25">$L$88*Z11</f>
        <v>33646.708458103247</v>
      </c>
      <c r="AB88" s="666">
        <f t="shared" ref="AB88" si="26">$L$88*AA11</f>
        <v>34319.642627265312</v>
      </c>
      <c r="AC88" s="666">
        <f t="shared" ref="AC88" si="27">$L$88*AB11</f>
        <v>35006.03547981062</v>
      </c>
      <c r="AD88" s="666">
        <f t="shared" ref="AD88" si="28">$L$88*AC11</f>
        <v>35706.156189406836</v>
      </c>
      <c r="AE88" s="666">
        <f t="shared" ref="AE88" si="29">$L$88*AD11</f>
        <v>36420.279313194973</v>
      </c>
    </row>
    <row r="89" spans="1:35">
      <c r="A89" s="37" t="s">
        <v>424</v>
      </c>
      <c r="B89" s="37"/>
      <c r="C89" s="110"/>
      <c r="D89" s="106"/>
      <c r="E89" s="57"/>
      <c r="F89" s="57"/>
      <c r="G89" s="57"/>
      <c r="H89" s="57"/>
      <c r="I89" s="51"/>
      <c r="J89" s="663"/>
      <c r="K89" s="683">
        <f>K$84*$J89*R$9</f>
        <v>0</v>
      </c>
      <c r="L89" s="666">
        <v>10000</v>
      </c>
      <c r="M89" s="666">
        <v>500</v>
      </c>
      <c r="N89" s="666">
        <f>$M$89*M11</f>
        <v>520.20000000000005</v>
      </c>
      <c r="O89" s="666">
        <f>$M$89*N11</f>
        <v>530.60399999999993</v>
      </c>
      <c r="P89" s="666">
        <f>$M$89*O11</f>
        <v>541.21608000000003</v>
      </c>
      <c r="Q89" s="666">
        <v>5000</v>
      </c>
      <c r="R89" s="666">
        <f>$M$89*Q11</f>
        <v>563.08120963200008</v>
      </c>
      <c r="S89" s="666">
        <f>$M$89*R11</f>
        <v>574.34283382464002</v>
      </c>
      <c r="T89" s="666">
        <f>$M$89*S11</f>
        <v>585.82969050113286</v>
      </c>
      <c r="U89" s="666">
        <f>$M$89*T11</f>
        <v>597.54628431115555</v>
      </c>
      <c r="V89" s="666">
        <v>5000</v>
      </c>
      <c r="W89" s="666">
        <f>$M$89*V11</f>
        <v>621.68715419732621</v>
      </c>
      <c r="X89" s="666">
        <f>$M$89*W11</f>
        <v>634.12089728127273</v>
      </c>
      <c r="Y89" s="666">
        <f>$M$89*X11</f>
        <v>646.80331522689812</v>
      </c>
      <c r="Z89" s="666">
        <f>$M$89*Y11</f>
        <v>659.73938153143615</v>
      </c>
      <c r="AA89" s="666">
        <v>5000</v>
      </c>
      <c r="AB89" s="666">
        <f>$M$89*AA11</f>
        <v>686.39285254530625</v>
      </c>
      <c r="AC89" s="666">
        <f>$M$89*AB11</f>
        <v>700.12070959621246</v>
      </c>
      <c r="AD89" s="666">
        <f>$M$89*AC11</f>
        <v>714.1231237881367</v>
      </c>
      <c r="AE89" s="666">
        <f>$M$89*AD11</f>
        <v>728.40558626389941</v>
      </c>
    </row>
    <row r="90" spans="1:35">
      <c r="A90" s="37" t="s">
        <v>42</v>
      </c>
      <c r="B90" s="37"/>
      <c r="C90" s="110"/>
      <c r="D90" s="106"/>
      <c r="E90" s="57"/>
      <c r="F90" s="57"/>
      <c r="G90" s="57"/>
      <c r="H90" s="57"/>
      <c r="I90" s="51"/>
      <c r="J90" s="663"/>
      <c r="K90" s="683">
        <f>K$84*$J90*R$9</f>
        <v>0</v>
      </c>
      <c r="L90" s="666">
        <v>50000</v>
      </c>
      <c r="M90" s="666">
        <f t="shared" ref="M90:AE90" si="30">($L$90*L11)</f>
        <v>51000</v>
      </c>
      <c r="N90" s="666">
        <f t="shared" si="30"/>
        <v>52020</v>
      </c>
      <c r="O90" s="666">
        <f t="shared" si="30"/>
        <v>53060.399999999994</v>
      </c>
      <c r="P90" s="666">
        <f t="shared" si="30"/>
        <v>54121.608</v>
      </c>
      <c r="Q90" s="666">
        <f t="shared" si="30"/>
        <v>55204.040160000004</v>
      </c>
      <c r="R90" s="666">
        <f t="shared" si="30"/>
        <v>56308.120963200003</v>
      </c>
      <c r="S90" s="666">
        <f t="shared" si="30"/>
        <v>57434.283382464004</v>
      </c>
      <c r="T90" s="666">
        <f t="shared" si="30"/>
        <v>58582.969050113286</v>
      </c>
      <c r="U90" s="666">
        <f t="shared" si="30"/>
        <v>59754.628431115554</v>
      </c>
      <c r="V90" s="666">
        <f t="shared" si="30"/>
        <v>60949.720999737867</v>
      </c>
      <c r="W90" s="666">
        <f t="shared" si="30"/>
        <v>62168.715419732624</v>
      </c>
      <c r="X90" s="666">
        <f t="shared" si="30"/>
        <v>63412.089728127277</v>
      </c>
      <c r="Y90" s="666">
        <f t="shared" si="30"/>
        <v>64680.331522689812</v>
      </c>
      <c r="Z90" s="666">
        <f t="shared" si="30"/>
        <v>65973.938153143623</v>
      </c>
      <c r="AA90" s="666">
        <f t="shared" si="30"/>
        <v>67293.416916206494</v>
      </c>
      <c r="AB90" s="666">
        <f t="shared" si="30"/>
        <v>68639.285254530623</v>
      </c>
      <c r="AC90" s="666">
        <f t="shared" si="30"/>
        <v>70012.07095962124</v>
      </c>
      <c r="AD90" s="666">
        <f t="shared" si="30"/>
        <v>71412.312378813673</v>
      </c>
      <c r="AE90" s="666">
        <f t="shared" si="30"/>
        <v>72840.558626389946</v>
      </c>
    </row>
    <row r="91" spans="1:35">
      <c r="A91" s="37" t="s">
        <v>43</v>
      </c>
      <c r="B91" s="37"/>
      <c r="C91" s="110"/>
      <c r="D91" s="106"/>
      <c r="E91" s="57"/>
      <c r="F91" s="57"/>
      <c r="G91" s="57"/>
      <c r="H91" s="57"/>
      <c r="I91" s="51" t="s">
        <v>8</v>
      </c>
      <c r="J91" s="663">
        <v>500</v>
      </c>
      <c r="K91" s="683">
        <v>0</v>
      </c>
      <c r="L91" s="666">
        <f>J91*L84</f>
        <v>500</v>
      </c>
      <c r="M91" s="666">
        <f t="shared" ref="M91:AE91" si="31">$J$91*M84*L11</f>
        <v>2040</v>
      </c>
      <c r="N91" s="666">
        <f t="shared" si="31"/>
        <v>2080.8000000000002</v>
      </c>
      <c r="O91" s="666">
        <f t="shared" si="31"/>
        <v>2122.4159999999997</v>
      </c>
      <c r="P91" s="666">
        <f t="shared" si="31"/>
        <v>2164.8643200000001</v>
      </c>
      <c r="Q91" s="666">
        <f t="shared" si="31"/>
        <v>2208.1616064</v>
      </c>
      <c r="R91" s="666">
        <f t="shared" si="31"/>
        <v>2252.3248385280003</v>
      </c>
      <c r="S91" s="666">
        <f t="shared" si="31"/>
        <v>2297.3713352985601</v>
      </c>
      <c r="T91" s="666">
        <f t="shared" si="31"/>
        <v>2343.3187620045314</v>
      </c>
      <c r="U91" s="666">
        <f t="shared" si="31"/>
        <v>2390.1851372446222</v>
      </c>
      <c r="V91" s="666">
        <f t="shared" si="31"/>
        <v>2437.9888399895149</v>
      </c>
      <c r="W91" s="666">
        <f t="shared" si="31"/>
        <v>2486.7486167893048</v>
      </c>
      <c r="X91" s="666">
        <f t="shared" si="31"/>
        <v>2536.4835891250909</v>
      </c>
      <c r="Y91" s="666">
        <f t="shared" si="31"/>
        <v>2587.2132609075925</v>
      </c>
      <c r="Z91" s="666">
        <f t="shared" si="31"/>
        <v>2638.9575261257446</v>
      </c>
      <c r="AA91" s="666">
        <f t="shared" si="31"/>
        <v>2691.7366766482596</v>
      </c>
      <c r="AB91" s="666">
        <f t="shared" si="31"/>
        <v>2745.571410181225</v>
      </c>
      <c r="AC91" s="666">
        <f t="shared" si="31"/>
        <v>2800.4828383848499</v>
      </c>
      <c r="AD91" s="666">
        <f t="shared" si="31"/>
        <v>2856.4924951525468</v>
      </c>
      <c r="AE91" s="666">
        <f t="shared" si="31"/>
        <v>2913.6223450555976</v>
      </c>
    </row>
    <row r="92" spans="1:35">
      <c r="A92" s="37" t="s">
        <v>44</v>
      </c>
      <c r="B92" s="37"/>
      <c r="C92" s="110"/>
      <c r="D92" s="106"/>
      <c r="E92" s="57"/>
      <c r="F92" s="57"/>
      <c r="G92" s="57"/>
      <c r="H92" s="57"/>
      <c r="I92" s="51" t="s">
        <v>8</v>
      </c>
      <c r="J92" s="663">
        <v>250</v>
      </c>
      <c r="K92" s="683">
        <v>0</v>
      </c>
      <c r="L92" s="666">
        <f>J92*L84</f>
        <v>250</v>
      </c>
      <c r="M92" s="666">
        <f t="shared" ref="M92:AE92" si="32">$J$92*M84*L11</f>
        <v>1020</v>
      </c>
      <c r="N92" s="666">
        <f t="shared" si="32"/>
        <v>1040.4000000000001</v>
      </c>
      <c r="O92" s="666">
        <f t="shared" si="32"/>
        <v>1061.2079999999999</v>
      </c>
      <c r="P92" s="666">
        <f t="shared" si="32"/>
        <v>1082.4321600000001</v>
      </c>
      <c r="Q92" s="666">
        <f t="shared" si="32"/>
        <v>1104.0808032</v>
      </c>
      <c r="R92" s="666">
        <f t="shared" si="32"/>
        <v>1126.1624192640002</v>
      </c>
      <c r="S92" s="666">
        <f t="shared" si="32"/>
        <v>1148.68566764928</v>
      </c>
      <c r="T92" s="666">
        <f t="shared" si="32"/>
        <v>1171.6593810022657</v>
      </c>
      <c r="U92" s="666">
        <f t="shared" si="32"/>
        <v>1195.0925686223111</v>
      </c>
      <c r="V92" s="666">
        <f t="shared" si="32"/>
        <v>1218.9944199947574</v>
      </c>
      <c r="W92" s="666">
        <f t="shared" si="32"/>
        <v>1243.3743083946524</v>
      </c>
      <c r="X92" s="666">
        <f t="shared" si="32"/>
        <v>1268.2417945625455</v>
      </c>
      <c r="Y92" s="666">
        <f t="shared" si="32"/>
        <v>1293.6066304537962</v>
      </c>
      <c r="Z92" s="666">
        <f t="shared" si="32"/>
        <v>1319.4787630628723</v>
      </c>
      <c r="AA92" s="666">
        <f t="shared" si="32"/>
        <v>1345.8683383241298</v>
      </c>
      <c r="AB92" s="666">
        <f t="shared" si="32"/>
        <v>1372.7857050906125</v>
      </c>
      <c r="AC92" s="666">
        <f t="shared" si="32"/>
        <v>1400.2414191924249</v>
      </c>
      <c r="AD92" s="666">
        <f t="shared" si="32"/>
        <v>1428.2462475762734</v>
      </c>
      <c r="AE92" s="666">
        <f t="shared" si="32"/>
        <v>1456.8111725277988</v>
      </c>
      <c r="AF92" s="44"/>
    </row>
    <row r="93" spans="1:35">
      <c r="A93" s="745" t="s">
        <v>2</v>
      </c>
      <c r="B93" s="745"/>
      <c r="C93" s="753"/>
      <c r="D93" s="754"/>
      <c r="E93" s="746"/>
      <c r="F93" s="746"/>
      <c r="G93" s="746"/>
      <c r="H93" s="746"/>
      <c r="I93" s="755"/>
      <c r="J93" s="739"/>
      <c r="K93" s="741">
        <v>0</v>
      </c>
      <c r="L93" s="742">
        <v>1000</v>
      </c>
      <c r="M93" s="742">
        <f t="shared" ref="M93:AE93" si="33">($L$93*L11)</f>
        <v>1020</v>
      </c>
      <c r="N93" s="742">
        <f t="shared" si="33"/>
        <v>1040.4000000000001</v>
      </c>
      <c r="O93" s="742">
        <f t="shared" si="33"/>
        <v>1061.2079999999999</v>
      </c>
      <c r="P93" s="742">
        <f t="shared" si="33"/>
        <v>1082.4321600000001</v>
      </c>
      <c r="Q93" s="742">
        <f t="shared" si="33"/>
        <v>1104.0808032</v>
      </c>
      <c r="R93" s="742">
        <f t="shared" si="33"/>
        <v>1126.1624192640002</v>
      </c>
      <c r="S93" s="742">
        <f t="shared" si="33"/>
        <v>1148.68566764928</v>
      </c>
      <c r="T93" s="742">
        <f t="shared" si="33"/>
        <v>1171.6593810022657</v>
      </c>
      <c r="U93" s="742">
        <f t="shared" si="33"/>
        <v>1195.0925686223111</v>
      </c>
      <c r="V93" s="742">
        <f t="shared" si="33"/>
        <v>1218.9944199947574</v>
      </c>
      <c r="W93" s="742">
        <f t="shared" si="33"/>
        <v>1243.3743083946524</v>
      </c>
      <c r="X93" s="742">
        <f t="shared" si="33"/>
        <v>1268.2417945625455</v>
      </c>
      <c r="Y93" s="742">
        <f t="shared" si="33"/>
        <v>1293.6066304537962</v>
      </c>
      <c r="Z93" s="742">
        <f t="shared" si="33"/>
        <v>1319.4787630628723</v>
      </c>
      <c r="AA93" s="742">
        <f t="shared" si="33"/>
        <v>1345.8683383241298</v>
      </c>
      <c r="AB93" s="742">
        <f t="shared" si="33"/>
        <v>1372.7857050906125</v>
      </c>
      <c r="AC93" s="742">
        <f t="shared" si="33"/>
        <v>1400.2414191924249</v>
      </c>
      <c r="AD93" s="742">
        <f t="shared" si="33"/>
        <v>1428.2462475762734</v>
      </c>
      <c r="AE93" s="742">
        <f t="shared" si="33"/>
        <v>1456.8111725277988</v>
      </c>
    </row>
    <row r="94" spans="1:35" s="56" customFormat="1" ht="14.25">
      <c r="A94" s="164" t="s">
        <v>409</v>
      </c>
      <c r="B94" s="215"/>
      <c r="C94" s="216"/>
      <c r="D94" s="217"/>
      <c r="E94" s="218"/>
      <c r="F94" s="218"/>
      <c r="G94" s="218"/>
      <c r="H94" s="218"/>
      <c r="I94" s="219"/>
      <c r="J94" s="756"/>
      <c r="K94" s="687">
        <f>SUM(K88:K93)</f>
        <v>0</v>
      </c>
      <c r="L94" s="757">
        <f>SUM(L88:L93)</f>
        <v>86750</v>
      </c>
      <c r="M94" s="757">
        <f t="shared" ref="M94:AE94" si="34">SUM(M88:M93)</f>
        <v>81080</v>
      </c>
      <c r="N94" s="757">
        <f t="shared" si="34"/>
        <v>82711.799999999988</v>
      </c>
      <c r="O94" s="757">
        <f t="shared" si="34"/>
        <v>84366.035999999993</v>
      </c>
      <c r="P94" s="757">
        <f t="shared" si="34"/>
        <v>86053.356719999982</v>
      </c>
      <c r="Q94" s="757">
        <f t="shared" si="34"/>
        <v>92222.383452800015</v>
      </c>
      <c r="R94" s="757">
        <f t="shared" si="34"/>
        <v>89529.912331488013</v>
      </c>
      <c r="S94" s="757">
        <f t="shared" si="34"/>
        <v>91320.510578117755</v>
      </c>
      <c r="T94" s="757">
        <f t="shared" si="34"/>
        <v>93146.920789680124</v>
      </c>
      <c r="U94" s="757">
        <f t="shared" si="34"/>
        <v>95009.859205473724</v>
      </c>
      <c r="V94" s="757">
        <f t="shared" si="34"/>
        <v>101300.55917958585</v>
      </c>
      <c r="W94" s="757">
        <f t="shared" si="34"/>
        <v>98848.257517374863</v>
      </c>
      <c r="X94" s="757">
        <f t="shared" si="34"/>
        <v>100825.22266772237</v>
      </c>
      <c r="Y94" s="757">
        <f t="shared" si="34"/>
        <v>102841.72712107681</v>
      </c>
      <c r="Z94" s="757">
        <f t="shared" si="34"/>
        <v>104898.56166349835</v>
      </c>
      <c r="AA94" s="757">
        <f t="shared" si="34"/>
        <v>111323.59872760627</v>
      </c>
      <c r="AB94" s="757">
        <f t="shared" si="34"/>
        <v>109136.4635547037</v>
      </c>
      <c r="AC94" s="757">
        <f t="shared" si="34"/>
        <v>111319.19282579776</v>
      </c>
      <c r="AD94" s="757">
        <f t="shared" si="34"/>
        <v>113545.57668231374</v>
      </c>
      <c r="AE94" s="757">
        <f t="shared" si="34"/>
        <v>115816.48821596001</v>
      </c>
    </row>
    <row r="95" spans="1:35" s="56" customFormat="1" ht="14.25">
      <c r="A95" s="164"/>
      <c r="B95" s="215"/>
      <c r="C95" s="216"/>
      <c r="D95" s="217"/>
      <c r="E95" s="218"/>
      <c r="F95" s="218"/>
      <c r="G95" s="218"/>
      <c r="H95" s="218"/>
      <c r="I95" s="219"/>
      <c r="J95" s="220"/>
      <c r="K95" s="687"/>
      <c r="L95" s="318"/>
      <c r="M95" s="318"/>
      <c r="N95" s="318"/>
      <c r="O95" s="318"/>
      <c r="P95" s="318"/>
      <c r="Q95" s="318"/>
      <c r="R95" s="318"/>
      <c r="S95" s="318"/>
      <c r="T95" s="318"/>
      <c r="U95" s="318"/>
      <c r="V95" s="318"/>
      <c r="W95" s="318"/>
      <c r="X95" s="318"/>
      <c r="Y95" s="318"/>
      <c r="Z95" s="318"/>
      <c r="AA95" s="318"/>
      <c r="AB95" s="318"/>
      <c r="AC95" s="318"/>
      <c r="AD95" s="318"/>
      <c r="AE95" s="318"/>
    </row>
    <row r="96" spans="1:35" s="56" customFormat="1" ht="14.25">
      <c r="A96" s="720" t="s">
        <v>26</v>
      </c>
      <c r="B96" s="215"/>
      <c r="C96" s="218"/>
      <c r="D96" s="721"/>
      <c r="E96" s="218"/>
      <c r="F96" s="218"/>
      <c r="G96" s="218"/>
      <c r="H96" s="218"/>
      <c r="I96" s="722"/>
      <c r="J96" s="220"/>
      <c r="K96" s="687"/>
      <c r="L96" s="318"/>
      <c r="M96" s="318"/>
      <c r="N96" s="318"/>
      <c r="O96" s="318"/>
      <c r="P96" s="318"/>
      <c r="Q96" s="318"/>
      <c r="R96" s="318"/>
      <c r="S96" s="318"/>
      <c r="T96" s="318"/>
      <c r="U96" s="318"/>
      <c r="V96" s="318"/>
      <c r="W96" s="318"/>
      <c r="X96" s="318"/>
      <c r="Y96" s="318"/>
      <c r="Z96" s="318"/>
      <c r="AA96" s="318"/>
      <c r="AB96" s="318"/>
      <c r="AC96" s="318"/>
      <c r="AD96" s="318"/>
      <c r="AE96" s="318"/>
      <c r="AF96" s="723"/>
      <c r="AG96" s="723"/>
      <c r="AH96" s="723"/>
      <c r="AI96" s="723"/>
    </row>
    <row r="97" spans="1:35">
      <c r="A97" s="190" t="s">
        <v>41</v>
      </c>
      <c r="B97" s="190"/>
      <c r="C97" s="194"/>
      <c r="D97" s="758"/>
      <c r="E97" s="194"/>
      <c r="F97" s="194"/>
      <c r="G97" s="759"/>
      <c r="H97" s="759"/>
      <c r="I97" s="760"/>
      <c r="J97" s="761"/>
      <c r="K97" s="689">
        <v>0</v>
      </c>
      <c r="L97" s="665">
        <v>1000</v>
      </c>
      <c r="M97" s="665">
        <f>$L$97*L11</f>
        <v>1020</v>
      </c>
      <c r="N97" s="665">
        <f t="shared" ref="N97:P97" si="35">$L$97*M11</f>
        <v>1040.4000000000001</v>
      </c>
      <c r="O97" s="665">
        <f t="shared" si="35"/>
        <v>1061.2079999999999</v>
      </c>
      <c r="P97" s="665">
        <f t="shared" si="35"/>
        <v>1082.4321600000001</v>
      </c>
      <c r="Q97" s="665">
        <v>25000</v>
      </c>
      <c r="R97" s="665">
        <f>$Q$97*L11</f>
        <v>25500</v>
      </c>
      <c r="S97" s="665">
        <f t="shared" ref="S97:AE97" si="36">$Q$97*M11</f>
        <v>26010</v>
      </c>
      <c r="T97" s="665">
        <f t="shared" si="36"/>
        <v>26530.199999999997</v>
      </c>
      <c r="U97" s="665">
        <f t="shared" si="36"/>
        <v>27060.804</v>
      </c>
      <c r="V97" s="665">
        <f t="shared" si="36"/>
        <v>27602.020080000002</v>
      </c>
      <c r="W97" s="665">
        <f t="shared" si="36"/>
        <v>28154.060481600001</v>
      </c>
      <c r="X97" s="665">
        <f t="shared" si="36"/>
        <v>28717.141691232002</v>
      </c>
      <c r="Y97" s="665">
        <f t="shared" si="36"/>
        <v>29291.484525056643</v>
      </c>
      <c r="Z97" s="665">
        <f t="shared" si="36"/>
        <v>29877.314215557777</v>
      </c>
      <c r="AA97" s="665">
        <f t="shared" si="36"/>
        <v>30474.860499868933</v>
      </c>
      <c r="AB97" s="665">
        <f t="shared" si="36"/>
        <v>31084.357709866312</v>
      </c>
      <c r="AC97" s="665">
        <f t="shared" si="36"/>
        <v>31706.044864063639</v>
      </c>
      <c r="AD97" s="665">
        <f t="shared" si="36"/>
        <v>32340.165761344906</v>
      </c>
      <c r="AE97" s="665">
        <f t="shared" si="36"/>
        <v>32986.969076571811</v>
      </c>
      <c r="AF97" s="55"/>
      <c r="AG97" s="55"/>
      <c r="AH97" s="55"/>
      <c r="AI97" s="55"/>
    </row>
    <row r="98" spans="1:35">
      <c r="A98" s="745" t="s">
        <v>302</v>
      </c>
      <c r="B98" s="745"/>
      <c r="C98" s="746"/>
      <c r="D98" s="116"/>
      <c r="E98" s="746"/>
      <c r="F98" s="746"/>
      <c r="G98" s="753"/>
      <c r="H98" s="753"/>
      <c r="I98" s="755"/>
      <c r="J98" s="762"/>
      <c r="K98" s="741">
        <v>0</v>
      </c>
      <c r="L98" s="742">
        <f>'Shuttle Projections'!C28/2</f>
        <v>233675</v>
      </c>
      <c r="M98" s="742">
        <f>'Shuttle Projections'!D28</f>
        <v>476697</v>
      </c>
      <c r="N98" s="742">
        <f>'Shuttle Projections'!E28</f>
        <v>486230.94000000006</v>
      </c>
      <c r="O98" s="742">
        <f>'Shuttle Projections'!F28</f>
        <v>495955.55879999994</v>
      </c>
      <c r="P98" s="742">
        <f>'Shuttle Projections'!G28</f>
        <v>505874.66997599998</v>
      </c>
      <c r="Q98" s="742">
        <f>'Shuttle Projections'!H28</f>
        <v>515992.16337552003</v>
      </c>
      <c r="R98" s="742">
        <f>'Shuttle Projections'!I28</f>
        <v>526312.00664303044</v>
      </c>
      <c r="S98" s="742">
        <f>'Shuttle Projections'!J28</f>
        <v>536838.24677589093</v>
      </c>
      <c r="T98" s="742">
        <f>'Shuttle Projections'!K28</f>
        <v>547575.01171140897</v>
      </c>
      <c r="U98" s="742">
        <f>'Shuttle Projections'!L28</f>
        <v>558526.51194563706</v>
      </c>
      <c r="V98" s="742">
        <f>'Shuttle Projections'!M28</f>
        <v>569697.04218454985</v>
      </c>
      <c r="W98" s="742">
        <f>'Shuttle Projections'!N28</f>
        <v>581090.98302824085</v>
      </c>
      <c r="X98" s="742">
        <f>'Shuttle Projections'!O28</f>
        <v>592712.80268880562</v>
      </c>
      <c r="Y98" s="742">
        <f>'Shuttle Projections'!P28</f>
        <v>604567.05874258175</v>
      </c>
      <c r="Z98" s="742">
        <f>'Shuttle Projections'!Q28</f>
        <v>616658.39991743339</v>
      </c>
      <c r="AA98" s="742">
        <f>'Shuttle Projections'!R28</f>
        <v>628991.5679157821</v>
      </c>
      <c r="AB98" s="742">
        <f>'Shuttle Projections'!S28</f>
        <v>641571.39927409776</v>
      </c>
      <c r="AC98" s="742">
        <f>'Shuttle Projections'!T28</f>
        <v>654402.82725957979</v>
      </c>
      <c r="AD98" s="742">
        <f>'Shuttle Projections'!U28</f>
        <v>667490.88380477135</v>
      </c>
      <c r="AE98" s="742">
        <f>'Shuttle Projections'!V28</f>
        <v>680840.70148086676</v>
      </c>
    </row>
    <row r="99" spans="1:35" s="56" customFormat="1" ht="14.25">
      <c r="A99" s="164" t="s">
        <v>410</v>
      </c>
      <c r="B99" s="164"/>
      <c r="C99" s="75"/>
      <c r="D99" s="173"/>
      <c r="E99" s="75"/>
      <c r="F99" s="75"/>
      <c r="G99" s="75"/>
      <c r="H99" s="75"/>
      <c r="I99" s="174"/>
      <c r="J99" s="175"/>
      <c r="K99" s="685">
        <v>0</v>
      </c>
      <c r="L99" s="669">
        <f>SUM(L97:L98)</f>
        <v>234675</v>
      </c>
      <c r="M99" s="669">
        <f t="shared" ref="M99:AE99" si="37">SUM(M97:M98)</f>
        <v>477717</v>
      </c>
      <c r="N99" s="669">
        <f t="shared" si="37"/>
        <v>487271.34000000008</v>
      </c>
      <c r="O99" s="669">
        <f t="shared" si="37"/>
        <v>497016.76679999992</v>
      </c>
      <c r="P99" s="669">
        <f t="shared" si="37"/>
        <v>506957.102136</v>
      </c>
      <c r="Q99" s="669">
        <f t="shared" si="37"/>
        <v>540992.16337552003</v>
      </c>
      <c r="R99" s="669">
        <f t="shared" si="37"/>
        <v>551812.00664303044</v>
      </c>
      <c r="S99" s="669">
        <f t="shared" si="37"/>
        <v>562848.24677589093</v>
      </c>
      <c r="T99" s="669">
        <f t="shared" si="37"/>
        <v>574105.21171140892</v>
      </c>
      <c r="U99" s="669">
        <f t="shared" si="37"/>
        <v>585587.31594563706</v>
      </c>
      <c r="V99" s="669">
        <f t="shared" si="37"/>
        <v>597299.0622645499</v>
      </c>
      <c r="W99" s="669">
        <f t="shared" si="37"/>
        <v>609245.04350984085</v>
      </c>
      <c r="X99" s="669">
        <f t="shared" si="37"/>
        <v>621429.9443800376</v>
      </c>
      <c r="Y99" s="669">
        <f t="shared" si="37"/>
        <v>633858.54326763842</v>
      </c>
      <c r="Z99" s="669">
        <f t="shared" si="37"/>
        <v>646535.71413299115</v>
      </c>
      <c r="AA99" s="669">
        <f t="shared" si="37"/>
        <v>659466.42841565108</v>
      </c>
      <c r="AB99" s="669">
        <f t="shared" si="37"/>
        <v>672655.75698396412</v>
      </c>
      <c r="AC99" s="669">
        <f t="shared" si="37"/>
        <v>686108.87212364341</v>
      </c>
      <c r="AD99" s="669">
        <f t="shared" si="37"/>
        <v>699831.0495661163</v>
      </c>
      <c r="AE99" s="669">
        <f t="shared" si="37"/>
        <v>713827.67055743863</v>
      </c>
    </row>
    <row r="100" spans="1:35" s="56" customFormat="1" ht="14.25">
      <c r="A100" s="164"/>
      <c r="B100" s="164"/>
      <c r="C100" s="75"/>
      <c r="D100" s="173"/>
      <c r="E100" s="75"/>
      <c r="F100" s="75"/>
      <c r="G100" s="75"/>
      <c r="H100" s="75"/>
      <c r="I100" s="174"/>
      <c r="J100" s="175"/>
      <c r="K100" s="685"/>
      <c r="L100" s="669"/>
      <c r="M100" s="669"/>
      <c r="N100" s="669"/>
      <c r="O100" s="669"/>
      <c r="P100" s="669"/>
      <c r="Q100" s="669"/>
      <c r="R100" s="669"/>
      <c r="S100" s="669"/>
      <c r="T100" s="669"/>
      <c r="U100" s="669"/>
      <c r="V100" s="669"/>
      <c r="W100" s="669"/>
      <c r="X100" s="669"/>
      <c r="Y100" s="669"/>
      <c r="Z100" s="669"/>
      <c r="AA100" s="669"/>
      <c r="AB100" s="669"/>
      <c r="AC100" s="669"/>
      <c r="AD100" s="669"/>
      <c r="AE100" s="669"/>
    </row>
    <row r="101" spans="1:35" s="56" customFormat="1" ht="14.25">
      <c r="A101" s="164" t="s">
        <v>78</v>
      </c>
      <c r="B101" s="164"/>
      <c r="C101" s="75"/>
      <c r="D101" s="173"/>
      <c r="E101" s="75"/>
      <c r="F101" s="75"/>
      <c r="G101" s="75"/>
      <c r="H101" s="75"/>
      <c r="I101" s="174"/>
      <c r="J101" s="175"/>
      <c r="K101" s="685">
        <v>0</v>
      </c>
      <c r="L101" s="669">
        <f>SUM(L94,L99)</f>
        <v>321425</v>
      </c>
      <c r="M101" s="669">
        <f t="shared" ref="M101:AE101" si="38">SUM(M94,M99)</f>
        <v>558797</v>
      </c>
      <c r="N101" s="669">
        <f t="shared" si="38"/>
        <v>569983.14000000013</v>
      </c>
      <c r="O101" s="669">
        <f t="shared" si="38"/>
        <v>581382.80279999995</v>
      </c>
      <c r="P101" s="669">
        <f t="shared" si="38"/>
        <v>593010.45885599998</v>
      </c>
      <c r="Q101" s="669">
        <f t="shared" si="38"/>
        <v>633214.54682832002</v>
      </c>
      <c r="R101" s="669">
        <f t="shared" si="38"/>
        <v>641341.91897451843</v>
      </c>
      <c r="S101" s="669">
        <f t="shared" si="38"/>
        <v>654168.75735400873</v>
      </c>
      <c r="T101" s="669">
        <f t="shared" si="38"/>
        <v>667252.13250108901</v>
      </c>
      <c r="U101" s="669">
        <f t="shared" si="38"/>
        <v>680597.17515111074</v>
      </c>
      <c r="V101" s="669">
        <f t="shared" si="38"/>
        <v>698599.62144413579</v>
      </c>
      <c r="W101" s="669">
        <f t="shared" si="38"/>
        <v>708093.30102721567</v>
      </c>
      <c r="X101" s="669">
        <f t="shared" si="38"/>
        <v>722255.16704775998</v>
      </c>
      <c r="Y101" s="669">
        <f t="shared" si="38"/>
        <v>736700.2703887152</v>
      </c>
      <c r="Z101" s="669">
        <f t="shared" si="38"/>
        <v>751434.27579648956</v>
      </c>
      <c r="AA101" s="669">
        <f t="shared" si="38"/>
        <v>770790.02714325732</v>
      </c>
      <c r="AB101" s="669">
        <f t="shared" si="38"/>
        <v>781792.22053866787</v>
      </c>
      <c r="AC101" s="669">
        <f t="shared" si="38"/>
        <v>797428.06494944112</v>
      </c>
      <c r="AD101" s="669">
        <f t="shared" si="38"/>
        <v>813376.62624843</v>
      </c>
      <c r="AE101" s="669">
        <f t="shared" si="38"/>
        <v>829644.15877339861</v>
      </c>
    </row>
    <row r="102" spans="1:35">
      <c r="A102" s="47"/>
      <c r="B102" s="47"/>
      <c r="C102" s="78"/>
      <c r="D102" s="100"/>
      <c r="E102" s="78"/>
      <c r="F102" s="78"/>
      <c r="G102" s="78"/>
      <c r="H102" s="78"/>
      <c r="I102" s="52"/>
      <c r="J102" s="114"/>
      <c r="K102" s="683"/>
      <c r="L102" s="115"/>
      <c r="M102" s="115"/>
      <c r="N102" s="115"/>
      <c r="O102" s="115"/>
      <c r="P102" s="115"/>
      <c r="Q102" s="115"/>
      <c r="R102" s="115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</row>
    <row r="103" spans="1:35">
      <c r="A103" s="168" t="s">
        <v>25</v>
      </c>
      <c r="B103" s="168"/>
      <c r="C103" s="176"/>
      <c r="D103" s="177"/>
      <c r="E103" s="176"/>
      <c r="F103" s="176"/>
      <c r="G103" s="176"/>
      <c r="H103" s="176"/>
      <c r="I103" s="178"/>
      <c r="J103" s="179"/>
      <c r="K103" s="682"/>
      <c r="L103" s="319"/>
      <c r="M103" s="319"/>
      <c r="N103" s="319"/>
      <c r="O103" s="319"/>
      <c r="P103" s="319"/>
      <c r="Q103" s="319"/>
      <c r="R103" s="319"/>
      <c r="S103" s="319"/>
      <c r="T103" s="319"/>
      <c r="U103" s="319"/>
      <c r="V103" s="319"/>
      <c r="W103" s="319"/>
      <c r="X103" s="319"/>
      <c r="Y103" s="319"/>
      <c r="Z103" s="319"/>
      <c r="AA103" s="319"/>
      <c r="AB103" s="319"/>
      <c r="AC103" s="319"/>
      <c r="AD103" s="319"/>
      <c r="AE103" s="319"/>
    </row>
    <row r="104" spans="1:35" s="252" customFormat="1">
      <c r="A104" s="183"/>
      <c r="B104" s="183"/>
      <c r="C104" s="185"/>
      <c r="D104" s="186"/>
      <c r="E104" s="185"/>
      <c r="F104" s="185"/>
      <c r="G104" s="185"/>
      <c r="H104" s="185"/>
      <c r="I104" s="302"/>
      <c r="J104" s="188"/>
      <c r="K104" s="683"/>
      <c r="L104" s="320"/>
      <c r="M104" s="320"/>
      <c r="N104" s="320"/>
      <c r="O104" s="320"/>
      <c r="P104" s="320"/>
      <c r="Q104" s="320"/>
      <c r="R104" s="320"/>
      <c r="S104" s="320"/>
      <c r="T104" s="320"/>
      <c r="U104" s="320"/>
      <c r="V104" s="320"/>
      <c r="W104" s="320"/>
      <c r="X104" s="320"/>
      <c r="Y104" s="320"/>
      <c r="Z104" s="320"/>
      <c r="AA104" s="320"/>
      <c r="AB104" s="320"/>
      <c r="AC104" s="320"/>
      <c r="AD104" s="320"/>
      <c r="AE104" s="320"/>
    </row>
    <row r="105" spans="1:35">
      <c r="A105" s="37" t="s">
        <v>425</v>
      </c>
      <c r="B105" s="37"/>
      <c r="C105" s="57"/>
      <c r="E105" s="57"/>
      <c r="F105" s="57"/>
      <c r="G105" s="57"/>
      <c r="H105" s="998"/>
      <c r="I105" s="51" t="s">
        <v>532</v>
      </c>
      <c r="J105" s="624">
        <f>((6350/6)*7)+((6500/6)*7)</f>
        <v>14991.666666666666</v>
      </c>
      <c r="K105" s="683">
        <v>0</v>
      </c>
      <c r="L105" s="671">
        <f>J105</f>
        <v>14991.666666666666</v>
      </c>
      <c r="M105" s="671">
        <f>$L$105*L11</f>
        <v>15291.5</v>
      </c>
      <c r="N105" s="671">
        <f t="shared" ref="N105:AE105" si="39">$L$105*M11</f>
        <v>15597.33</v>
      </c>
      <c r="O105" s="671">
        <f t="shared" si="39"/>
        <v>15909.276599999997</v>
      </c>
      <c r="P105" s="671">
        <f t="shared" si="39"/>
        <v>16227.462131999999</v>
      </c>
      <c r="Q105" s="671">
        <f t="shared" si="39"/>
        <v>16552.011374639998</v>
      </c>
      <c r="R105" s="671">
        <f t="shared" si="39"/>
        <v>16883.0516021328</v>
      </c>
      <c r="S105" s="671">
        <f t="shared" si="39"/>
        <v>17220.712634175456</v>
      </c>
      <c r="T105" s="671">
        <f t="shared" si="39"/>
        <v>17565.126886858965</v>
      </c>
      <c r="U105" s="671">
        <f t="shared" si="39"/>
        <v>17916.429424596146</v>
      </c>
      <c r="V105" s="671">
        <f t="shared" si="39"/>
        <v>18274.758013088071</v>
      </c>
      <c r="W105" s="671">
        <f t="shared" si="39"/>
        <v>18640.253173349829</v>
      </c>
      <c r="X105" s="671">
        <f t="shared" si="39"/>
        <v>19013.058236816825</v>
      </c>
      <c r="Y105" s="671">
        <f t="shared" si="39"/>
        <v>19393.319401553163</v>
      </c>
      <c r="Z105" s="671">
        <f t="shared" si="39"/>
        <v>19781.185789584226</v>
      </c>
      <c r="AA105" s="671">
        <f t="shared" si="39"/>
        <v>20176.809505375913</v>
      </c>
      <c r="AB105" s="671">
        <f t="shared" si="39"/>
        <v>20580.345695483433</v>
      </c>
      <c r="AC105" s="671">
        <f t="shared" si="39"/>
        <v>20991.952609393102</v>
      </c>
      <c r="AD105" s="671">
        <f t="shared" si="39"/>
        <v>21411.791661580963</v>
      </c>
      <c r="AE105" s="671">
        <f t="shared" si="39"/>
        <v>21840.027494812584</v>
      </c>
    </row>
    <row r="106" spans="1:35">
      <c r="A106" s="37" t="s">
        <v>16</v>
      </c>
      <c r="B106" s="37"/>
      <c r="C106" s="57"/>
      <c r="E106" s="57"/>
      <c r="F106" s="57"/>
      <c r="G106" s="57"/>
      <c r="H106" s="998"/>
      <c r="I106" s="51" t="s">
        <v>17</v>
      </c>
      <c r="J106" s="624">
        <f>1250</f>
        <v>1250</v>
      </c>
      <c r="K106" s="683">
        <v>0</v>
      </c>
      <c r="L106" s="671">
        <f>J106*7</f>
        <v>8750</v>
      </c>
      <c r="M106" s="671">
        <f>$L$106*L11</f>
        <v>8925</v>
      </c>
      <c r="N106" s="671">
        <f t="shared" ref="N106:AE106" si="40">$L$106*M11</f>
        <v>9103.5</v>
      </c>
      <c r="O106" s="671">
        <f t="shared" si="40"/>
        <v>9285.57</v>
      </c>
      <c r="P106" s="671">
        <f t="shared" si="40"/>
        <v>9471.2813999999998</v>
      </c>
      <c r="Q106" s="671">
        <f t="shared" si="40"/>
        <v>9660.7070280000007</v>
      </c>
      <c r="R106" s="671">
        <f t="shared" si="40"/>
        <v>9853.9211685600003</v>
      </c>
      <c r="S106" s="671">
        <f t="shared" si="40"/>
        <v>10050.9995919312</v>
      </c>
      <c r="T106" s="671">
        <f t="shared" si="40"/>
        <v>10252.019583769825</v>
      </c>
      <c r="U106" s="671">
        <f t="shared" si="40"/>
        <v>10457.059975445221</v>
      </c>
      <c r="V106" s="671">
        <f t="shared" si="40"/>
        <v>10666.201174954127</v>
      </c>
      <c r="W106" s="671">
        <f t="shared" si="40"/>
        <v>10879.52519845321</v>
      </c>
      <c r="X106" s="671">
        <f t="shared" si="40"/>
        <v>11097.115702422274</v>
      </c>
      <c r="Y106" s="671">
        <f t="shared" si="40"/>
        <v>11319.058016470717</v>
      </c>
      <c r="Z106" s="671">
        <f t="shared" si="40"/>
        <v>11545.439176800133</v>
      </c>
      <c r="AA106" s="671">
        <f t="shared" si="40"/>
        <v>11776.347960336136</v>
      </c>
      <c r="AB106" s="671">
        <f t="shared" si="40"/>
        <v>12011.874919542859</v>
      </c>
      <c r="AC106" s="671">
        <f t="shared" si="40"/>
        <v>12252.112417933717</v>
      </c>
      <c r="AD106" s="671">
        <f t="shared" si="40"/>
        <v>12497.154666292392</v>
      </c>
      <c r="AE106" s="671">
        <f t="shared" si="40"/>
        <v>12747.09775961824</v>
      </c>
    </row>
    <row r="107" spans="1:35" s="702" customFormat="1">
      <c r="A107" s="701" t="s">
        <v>53</v>
      </c>
      <c r="B107" s="701"/>
      <c r="C107" s="705"/>
      <c r="D107" s="984"/>
      <c r="E107" s="705"/>
      <c r="F107" s="705"/>
      <c r="G107" s="705"/>
      <c r="H107" s="985"/>
      <c r="I107" s="706" t="s">
        <v>17</v>
      </c>
      <c r="J107" s="986">
        <v>0</v>
      </c>
      <c r="K107" s="987">
        <v>0</v>
      </c>
      <c r="L107" s="988">
        <f t="shared" ref="L107:L108" si="41">J107*12</f>
        <v>0</v>
      </c>
      <c r="M107" s="988">
        <f t="shared" ref="M107:M108" si="42">L107*1.03</f>
        <v>0</v>
      </c>
      <c r="N107" s="988">
        <f t="shared" ref="N107:N108" si="43">M107*1.03</f>
        <v>0</v>
      </c>
      <c r="O107" s="988">
        <f t="shared" ref="O107:O108" si="44">N107*1.03</f>
        <v>0</v>
      </c>
      <c r="P107" s="988">
        <f t="shared" ref="P107:P108" si="45">O107*1.03</f>
        <v>0</v>
      </c>
      <c r="Q107" s="988">
        <f t="shared" ref="Q107:Q108" si="46">P107*1.03</f>
        <v>0</v>
      </c>
      <c r="R107" s="988">
        <f t="shared" ref="R107:R108" si="47">Q107*1.03</f>
        <v>0</v>
      </c>
      <c r="S107" s="988">
        <f t="shared" ref="S107:S108" si="48">R107*1.03</f>
        <v>0</v>
      </c>
      <c r="T107" s="988">
        <f t="shared" ref="T107:T108" si="49">S107*1.03</f>
        <v>0</v>
      </c>
      <c r="U107" s="988">
        <f t="shared" ref="U107:U108" si="50">T107*1.03</f>
        <v>0</v>
      </c>
      <c r="V107" s="988">
        <f t="shared" ref="V107:V108" si="51">U107*1.03</f>
        <v>0</v>
      </c>
      <c r="W107" s="988">
        <f t="shared" ref="W107:W108" si="52">V107*1.03</f>
        <v>0</v>
      </c>
      <c r="X107" s="988">
        <f t="shared" ref="X107:X108" si="53">W107*1.03</f>
        <v>0</v>
      </c>
      <c r="Y107" s="988">
        <f t="shared" ref="Y107:Y108" si="54">X107*1.03</f>
        <v>0</v>
      </c>
      <c r="Z107" s="988">
        <f t="shared" ref="Z107:Z108" si="55">Y107*1.03</f>
        <v>0</v>
      </c>
      <c r="AA107" s="988">
        <f t="shared" ref="AA107:AA108" si="56">Z107*1.03</f>
        <v>0</v>
      </c>
      <c r="AB107" s="988">
        <f t="shared" ref="AB107:AB108" si="57">AA107*1.03</f>
        <v>0</v>
      </c>
      <c r="AC107" s="988">
        <f t="shared" ref="AC107:AC108" si="58">AB107*1.03</f>
        <v>0</v>
      </c>
      <c r="AD107" s="988">
        <f t="shared" ref="AD107:AD108" si="59">AC107*1.03</f>
        <v>0</v>
      </c>
      <c r="AE107" s="988">
        <f t="shared" ref="AE107:AE108" si="60">AD107*1.03</f>
        <v>0</v>
      </c>
    </row>
    <row r="108" spans="1:35" s="702" customFormat="1">
      <c r="A108" s="989" t="s">
        <v>54</v>
      </c>
      <c r="B108" s="990"/>
      <c r="C108" s="991"/>
      <c r="D108" s="992"/>
      <c r="E108" s="991"/>
      <c r="F108" s="991"/>
      <c r="G108" s="991"/>
      <c r="H108" s="993"/>
      <c r="I108" s="994" t="s">
        <v>17</v>
      </c>
      <c r="J108" s="995">
        <v>0</v>
      </c>
      <c r="K108" s="996">
        <v>0</v>
      </c>
      <c r="L108" s="997">
        <f t="shared" si="41"/>
        <v>0</v>
      </c>
      <c r="M108" s="997">
        <f t="shared" si="42"/>
        <v>0</v>
      </c>
      <c r="N108" s="997">
        <f t="shared" si="43"/>
        <v>0</v>
      </c>
      <c r="O108" s="997">
        <f t="shared" si="44"/>
        <v>0</v>
      </c>
      <c r="P108" s="997">
        <f t="shared" si="45"/>
        <v>0</v>
      </c>
      <c r="Q108" s="997">
        <f t="shared" si="46"/>
        <v>0</v>
      </c>
      <c r="R108" s="997">
        <f t="shared" si="47"/>
        <v>0</v>
      </c>
      <c r="S108" s="997">
        <f t="shared" si="48"/>
        <v>0</v>
      </c>
      <c r="T108" s="997">
        <f t="shared" si="49"/>
        <v>0</v>
      </c>
      <c r="U108" s="997">
        <f t="shared" si="50"/>
        <v>0</v>
      </c>
      <c r="V108" s="997">
        <f t="shared" si="51"/>
        <v>0</v>
      </c>
      <c r="W108" s="997">
        <f t="shared" si="52"/>
        <v>0</v>
      </c>
      <c r="X108" s="997">
        <f t="shared" si="53"/>
        <v>0</v>
      </c>
      <c r="Y108" s="997">
        <f t="shared" si="54"/>
        <v>0</v>
      </c>
      <c r="Z108" s="997">
        <f t="shared" si="55"/>
        <v>0</v>
      </c>
      <c r="AA108" s="997">
        <f t="shared" si="56"/>
        <v>0</v>
      </c>
      <c r="AB108" s="997">
        <f t="shared" si="57"/>
        <v>0</v>
      </c>
      <c r="AC108" s="997">
        <f t="shared" si="58"/>
        <v>0</v>
      </c>
      <c r="AD108" s="997">
        <f t="shared" si="59"/>
        <v>0</v>
      </c>
      <c r="AE108" s="997">
        <f t="shared" si="60"/>
        <v>0</v>
      </c>
    </row>
    <row r="109" spans="1:35" s="56" customFormat="1" ht="14.25">
      <c r="A109" s="56" t="s">
        <v>55</v>
      </c>
      <c r="B109" s="164"/>
      <c r="C109" s="75"/>
      <c r="D109" s="173"/>
      <c r="E109" s="75"/>
      <c r="F109" s="75"/>
      <c r="G109" s="75"/>
      <c r="H109" s="75"/>
      <c r="I109" s="999"/>
      <c r="J109" s="1000"/>
      <c r="K109" s="685">
        <v>0</v>
      </c>
      <c r="L109" s="1001">
        <f>SUM(L105:L108)</f>
        <v>23741.666666666664</v>
      </c>
      <c r="M109" s="1001">
        <f t="shared" ref="M109" si="61">SUM(M105:M108)</f>
        <v>24216.5</v>
      </c>
      <c r="N109" s="1001">
        <f t="shared" ref="N109" si="62">SUM(N105:N108)</f>
        <v>24700.83</v>
      </c>
      <c r="O109" s="1001">
        <f t="shared" ref="O109" si="63">SUM(O105:O108)</f>
        <v>25194.846599999997</v>
      </c>
      <c r="P109" s="1001">
        <f t="shared" ref="P109" si="64">SUM(P105:P108)</f>
        <v>25698.743532</v>
      </c>
      <c r="Q109" s="1001">
        <f t="shared" ref="Q109" si="65">SUM(Q105:Q108)</f>
        <v>26212.718402639999</v>
      </c>
      <c r="R109" s="1001">
        <f t="shared" ref="R109" si="66">SUM(R105:R108)</f>
        <v>26736.972770692802</v>
      </c>
      <c r="S109" s="1001">
        <f t="shared" ref="S109" si="67">SUM(S105:S108)</f>
        <v>27271.712226106654</v>
      </c>
      <c r="T109" s="1001">
        <f t="shared" ref="T109" si="68">SUM(T105:T108)</f>
        <v>27817.146470628788</v>
      </c>
      <c r="U109" s="1001">
        <f t="shared" ref="U109" si="69">SUM(U105:U108)</f>
        <v>28373.48940004137</v>
      </c>
      <c r="V109" s="1001">
        <f t="shared" ref="V109" si="70">SUM(V105:V108)</f>
        <v>28940.959188042198</v>
      </c>
      <c r="W109" s="1001">
        <f t="shared" ref="W109" si="71">SUM(W105:W108)</f>
        <v>29519.77837180304</v>
      </c>
      <c r="X109" s="1001">
        <f t="shared" ref="X109" si="72">SUM(X105:X108)</f>
        <v>30110.173939239099</v>
      </c>
      <c r="Y109" s="1001">
        <f t="shared" ref="Y109" si="73">SUM(Y105:Y108)</f>
        <v>30712.37741802388</v>
      </c>
      <c r="Z109" s="1001">
        <f t="shared" ref="Z109" si="74">SUM(Z105:Z108)</f>
        <v>31326.624966384359</v>
      </c>
      <c r="AA109" s="1001">
        <f t="shared" ref="AA109" si="75">SUM(AA105:AA108)</f>
        <v>31953.157465712051</v>
      </c>
      <c r="AB109" s="1001">
        <f t="shared" ref="AB109" si="76">SUM(AB105:AB108)</f>
        <v>32592.220615026294</v>
      </c>
      <c r="AC109" s="1001">
        <f t="shared" ref="AC109" si="77">SUM(AC105:AC108)</f>
        <v>33244.065027326818</v>
      </c>
      <c r="AD109" s="1001">
        <f t="shared" ref="AD109" si="78">SUM(AD105:AD108)</f>
        <v>33908.946327873353</v>
      </c>
      <c r="AE109" s="1001">
        <f t="shared" ref="AE109" si="79">SUM(AE105:AE108)</f>
        <v>34587.125254430823</v>
      </c>
    </row>
    <row r="110" spans="1:35">
      <c r="A110" s="56"/>
      <c r="B110" s="37"/>
      <c r="C110" s="57"/>
      <c r="E110" s="57"/>
      <c r="F110" s="57"/>
      <c r="G110" s="57"/>
      <c r="H110" s="57"/>
      <c r="I110" s="51"/>
      <c r="J110" s="624"/>
      <c r="K110" s="683"/>
      <c r="L110" s="666"/>
      <c r="M110" s="666"/>
      <c r="N110" s="666"/>
      <c r="O110" s="666"/>
      <c r="P110" s="666"/>
      <c r="Q110" s="666"/>
      <c r="R110" s="666"/>
      <c r="S110" s="666"/>
      <c r="T110" s="666"/>
      <c r="U110" s="666"/>
      <c r="V110" s="666"/>
      <c r="W110" s="666"/>
      <c r="X110" s="666"/>
      <c r="Y110" s="666"/>
      <c r="Z110" s="666"/>
      <c r="AA110" s="666"/>
      <c r="AB110" s="666"/>
      <c r="AC110" s="666"/>
      <c r="AD110" s="666"/>
      <c r="AE110" s="666"/>
    </row>
    <row r="111" spans="1:35">
      <c r="A111" s="47" t="s">
        <v>7</v>
      </c>
      <c r="B111" s="47" t="s">
        <v>7</v>
      </c>
      <c r="C111" s="78" t="s">
        <v>7</v>
      </c>
      <c r="D111" s="100"/>
      <c r="E111" s="78" t="s">
        <v>7</v>
      </c>
      <c r="F111" s="78"/>
      <c r="G111" s="78" t="s">
        <v>7</v>
      </c>
      <c r="H111" s="78"/>
      <c r="I111" s="52" t="s">
        <v>7</v>
      </c>
      <c r="J111" s="672"/>
      <c r="K111" s="673"/>
      <c r="L111" s="672"/>
      <c r="M111" s="672"/>
      <c r="N111" s="672"/>
      <c r="O111" s="672"/>
      <c r="P111" s="672"/>
      <c r="Q111" s="672"/>
      <c r="R111" s="672"/>
      <c r="S111" s="672"/>
      <c r="T111" s="672"/>
      <c r="U111" s="672"/>
      <c r="V111" s="672"/>
      <c r="W111" s="672"/>
      <c r="X111" s="672"/>
      <c r="Y111" s="672"/>
      <c r="Z111" s="672"/>
      <c r="AA111" s="672"/>
      <c r="AB111" s="672"/>
      <c r="AC111" s="672"/>
      <c r="AD111" s="672"/>
      <c r="AE111" s="672"/>
    </row>
    <row r="112" spans="1:35">
      <c r="A112" s="47"/>
      <c r="B112" s="47"/>
      <c r="C112" s="78"/>
      <c r="D112" s="100"/>
      <c r="E112" s="78"/>
      <c r="F112" s="78"/>
      <c r="G112" s="78"/>
      <c r="H112" s="78"/>
      <c r="I112" s="52"/>
      <c r="J112" s="672"/>
      <c r="K112" s="683"/>
      <c r="L112" s="666"/>
      <c r="M112" s="666"/>
      <c r="N112" s="666"/>
      <c r="O112" s="666"/>
      <c r="P112" s="666"/>
      <c r="Q112" s="666"/>
      <c r="R112" s="666"/>
      <c r="S112" s="666"/>
      <c r="T112" s="666"/>
      <c r="U112" s="666"/>
      <c r="V112" s="666"/>
      <c r="W112" s="666"/>
      <c r="X112" s="666"/>
      <c r="Y112" s="666"/>
      <c r="Z112" s="666"/>
      <c r="AA112" s="666"/>
      <c r="AB112" s="666"/>
      <c r="AC112" s="666"/>
      <c r="AD112" s="666"/>
      <c r="AE112" s="666"/>
    </row>
    <row r="113" spans="1:33" s="56" customFormat="1" ht="14.25">
      <c r="A113" s="203" t="s">
        <v>303</v>
      </c>
      <c r="B113" s="203"/>
      <c r="C113" s="204"/>
      <c r="D113" s="205"/>
      <c r="E113" s="204"/>
      <c r="F113" s="204"/>
      <c r="G113" s="204"/>
      <c r="H113" s="204"/>
      <c r="I113" s="206"/>
      <c r="J113" s="674"/>
      <c r="K113" s="676">
        <f>SUM(K80,K101,K109)</f>
        <v>0</v>
      </c>
      <c r="L113" s="676">
        <f>SUM(L80,L101,L109)</f>
        <v>357416.66666666669</v>
      </c>
      <c r="M113" s="676">
        <f t="shared" ref="M113:AE113" si="80">SUM(M80,M101,M109)</f>
        <v>754513.5</v>
      </c>
      <c r="N113" s="676">
        <f t="shared" si="80"/>
        <v>769613.97000000009</v>
      </c>
      <c r="O113" s="676">
        <f t="shared" si="80"/>
        <v>785006.24939999997</v>
      </c>
      <c r="P113" s="676">
        <f t="shared" si="80"/>
        <v>800706.37438799988</v>
      </c>
      <c r="Q113" s="676">
        <f t="shared" si="80"/>
        <v>845064.38067095994</v>
      </c>
      <c r="R113" s="676">
        <f t="shared" si="80"/>
        <v>857428.74949401116</v>
      </c>
      <c r="S113" s="676">
        <f t="shared" si="80"/>
        <v>874577.32448389137</v>
      </c>
      <c r="T113" s="676">
        <f t="shared" si="80"/>
        <v>892068.87097356934</v>
      </c>
      <c r="U113" s="676">
        <f t="shared" si="80"/>
        <v>909910.24839304073</v>
      </c>
      <c r="V113" s="676">
        <f t="shared" si="80"/>
        <v>932498.9561509043</v>
      </c>
      <c r="W113" s="676">
        <f t="shared" si="80"/>
        <v>946670.62242811953</v>
      </c>
      <c r="X113" s="676">
        <f t="shared" si="80"/>
        <v>965604.03487668198</v>
      </c>
      <c r="Y113" s="676">
        <f t="shared" si="80"/>
        <v>984916.11557421566</v>
      </c>
      <c r="Z113" s="676">
        <f t="shared" si="80"/>
        <v>1004614.4378857</v>
      </c>
      <c r="AA113" s="676">
        <f t="shared" si="80"/>
        <v>1029033.7924742521</v>
      </c>
      <c r="AB113" s="676">
        <f t="shared" si="80"/>
        <v>1045200.8611762824</v>
      </c>
      <c r="AC113" s="676">
        <f t="shared" si="80"/>
        <v>1066104.878399808</v>
      </c>
      <c r="AD113" s="676">
        <f t="shared" si="80"/>
        <v>1087426.9759678042</v>
      </c>
      <c r="AE113" s="676">
        <f t="shared" si="80"/>
        <v>1109175.5154871603</v>
      </c>
      <c r="AG113" s="199"/>
    </row>
    <row r="114" spans="1:33">
      <c r="A114" s="37"/>
      <c r="B114" s="37"/>
      <c r="C114" s="57"/>
      <c r="E114" s="110"/>
      <c r="F114" s="110"/>
      <c r="G114" s="57"/>
      <c r="H114" s="57"/>
      <c r="I114" s="43"/>
      <c r="J114" s="44"/>
      <c r="K114" s="683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5"/>
      <c r="Z114" s="115"/>
      <c r="AA114" s="115"/>
      <c r="AB114" s="115"/>
      <c r="AC114" s="115"/>
      <c r="AD114" s="115"/>
      <c r="AE114" s="115"/>
      <c r="AG114" s="199"/>
    </row>
    <row r="115" spans="1:33">
      <c r="A115" s="47" t="s">
        <v>7</v>
      </c>
      <c r="B115" s="47" t="s">
        <v>7</v>
      </c>
      <c r="C115" s="78" t="s">
        <v>7</v>
      </c>
      <c r="D115" s="100"/>
      <c r="E115" s="78" t="s">
        <v>7</v>
      </c>
      <c r="F115" s="78"/>
      <c r="G115" s="78" t="s">
        <v>7</v>
      </c>
      <c r="H115" s="78"/>
      <c r="I115" s="52" t="s">
        <v>7</v>
      </c>
      <c r="J115" s="114"/>
      <c r="K115" s="673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G115" s="199"/>
    </row>
    <row r="116" spans="1:33">
      <c r="A116" s="47"/>
      <c r="B116" s="47"/>
      <c r="C116" s="78"/>
      <c r="D116" s="100"/>
      <c r="E116" s="78"/>
      <c r="F116" s="78"/>
      <c r="G116" s="78"/>
      <c r="H116" s="78"/>
      <c r="I116" s="52"/>
      <c r="J116" s="114"/>
      <c r="K116" s="683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5"/>
      <c r="Z116" s="115"/>
      <c r="AA116" s="115"/>
      <c r="AB116" s="115"/>
      <c r="AC116" s="115"/>
      <c r="AD116" s="115"/>
      <c r="AE116" s="115"/>
      <c r="AG116" s="199"/>
    </row>
    <row r="117" spans="1:33">
      <c r="A117" s="168" t="s">
        <v>71</v>
      </c>
      <c r="B117" s="171"/>
      <c r="C117" s="176"/>
      <c r="D117" s="177"/>
      <c r="E117" s="176"/>
      <c r="F117" s="176"/>
      <c r="G117" s="176"/>
      <c r="H117" s="176"/>
      <c r="I117" s="182"/>
      <c r="J117" s="179"/>
      <c r="K117" s="682"/>
      <c r="L117" s="319"/>
      <c r="M117" s="319"/>
      <c r="N117" s="319"/>
      <c r="O117" s="319"/>
      <c r="P117" s="319"/>
      <c r="Q117" s="319"/>
      <c r="R117" s="319"/>
      <c r="S117" s="319"/>
      <c r="T117" s="319"/>
      <c r="U117" s="319"/>
      <c r="V117" s="319"/>
      <c r="W117" s="319"/>
      <c r="X117" s="319"/>
      <c r="Y117" s="319"/>
      <c r="Z117" s="319"/>
      <c r="AA117" s="319"/>
      <c r="AB117" s="319"/>
      <c r="AC117" s="319"/>
      <c r="AD117" s="319"/>
      <c r="AE117" s="319"/>
      <c r="AG117" s="199"/>
    </row>
    <row r="118" spans="1:33" s="252" customFormat="1">
      <c r="A118" s="183"/>
      <c r="B118" s="184"/>
      <c r="C118" s="185"/>
      <c r="D118" s="186"/>
      <c r="E118" s="185"/>
      <c r="F118" s="185"/>
      <c r="G118" s="185"/>
      <c r="H118" s="185"/>
      <c r="I118" s="187"/>
      <c r="J118" s="188"/>
      <c r="K118" s="683"/>
      <c r="L118" s="320"/>
      <c r="M118" s="320"/>
      <c r="N118" s="320"/>
      <c r="O118" s="320"/>
      <c r="P118" s="320"/>
      <c r="Q118" s="320"/>
      <c r="R118" s="320"/>
      <c r="S118" s="320"/>
      <c r="T118" s="320"/>
      <c r="U118" s="320"/>
      <c r="V118" s="320"/>
      <c r="W118" s="320"/>
      <c r="X118" s="320"/>
      <c r="Y118" s="320"/>
      <c r="Z118" s="320"/>
      <c r="AA118" s="320"/>
      <c r="AB118" s="320"/>
      <c r="AC118" s="320"/>
      <c r="AD118" s="320"/>
      <c r="AE118" s="320"/>
      <c r="AG118" s="363"/>
    </row>
    <row r="119" spans="1:33">
      <c r="A119" s="39" t="s">
        <v>0</v>
      </c>
      <c r="B119" s="39"/>
      <c r="C119" s="102"/>
      <c r="D119" s="103"/>
      <c r="E119" s="104"/>
      <c r="F119" s="104"/>
      <c r="G119" s="104"/>
      <c r="H119" s="104"/>
      <c r="I119" s="39"/>
      <c r="J119" s="104"/>
      <c r="K119" s="688"/>
      <c r="L119" s="335"/>
      <c r="M119" s="335"/>
      <c r="N119" s="335"/>
      <c r="O119" s="335"/>
      <c r="P119" s="335"/>
      <c r="Q119" s="335"/>
      <c r="R119" s="335"/>
      <c r="S119" s="335"/>
      <c r="T119" s="335"/>
      <c r="U119" s="335"/>
      <c r="V119" s="335"/>
      <c r="W119" s="335"/>
      <c r="X119" s="335"/>
      <c r="Y119" s="335"/>
      <c r="Z119" s="335"/>
      <c r="AA119" s="335"/>
      <c r="AB119" s="335"/>
      <c r="AC119" s="335"/>
      <c r="AD119" s="335"/>
      <c r="AE119" s="335"/>
    </row>
    <row r="120" spans="1:33">
      <c r="A120" s="41" t="s">
        <v>13</v>
      </c>
      <c r="B120" s="41"/>
      <c r="C120" s="105"/>
      <c r="D120" s="106"/>
      <c r="E120" s="37"/>
      <c r="F120" s="37"/>
      <c r="G120" s="37"/>
      <c r="H120" s="37"/>
      <c r="I120" s="41"/>
      <c r="J120" s="37"/>
      <c r="K120" s="683"/>
      <c r="L120" s="200"/>
      <c r="M120" s="200"/>
      <c r="N120" s="200"/>
      <c r="O120" s="200"/>
      <c r="P120" s="200"/>
      <c r="Q120" s="200"/>
      <c r="R120" s="200"/>
      <c r="S120" s="200"/>
      <c r="T120" s="200"/>
      <c r="U120" s="201"/>
      <c r="V120" s="323"/>
      <c r="W120" s="200"/>
      <c r="X120" s="200"/>
      <c r="Y120" s="200"/>
      <c r="Z120" s="200"/>
      <c r="AA120" s="200"/>
      <c r="AB120" s="200"/>
      <c r="AC120" s="200"/>
      <c r="AD120" s="200"/>
      <c r="AE120" s="201"/>
    </row>
    <row r="121" spans="1:33">
      <c r="A121" s="96" t="s">
        <v>56</v>
      </c>
      <c r="B121" s="735" t="s">
        <v>12</v>
      </c>
      <c r="C121" s="663">
        <v>55000</v>
      </c>
      <c r="D121" s="736">
        <f>C121/2080</f>
        <v>26.442307692307693</v>
      </c>
      <c r="E121" s="663">
        <v>0</v>
      </c>
      <c r="F121" s="663">
        <f>C121*$F$13</f>
        <v>22000</v>
      </c>
      <c r="G121" s="663">
        <f>SUM(C121,E121:F121)</f>
        <v>77000</v>
      </c>
      <c r="H121" s="736">
        <f>G121/2080*8</f>
        <v>296.15384615384613</v>
      </c>
      <c r="I121" s="736"/>
      <c r="J121" s="663"/>
      <c r="K121" s="683">
        <v>0</v>
      </c>
      <c r="L121" s="665">
        <v>0</v>
      </c>
      <c r="M121" s="665">
        <f>$H$121*M32*0.25</f>
        <v>15844.230769230768</v>
      </c>
      <c r="N121" s="665">
        <f t="shared" ref="N121:AE121" si="81">$M$121*M11</f>
        <v>16484.33769230769</v>
      </c>
      <c r="O121" s="665">
        <f t="shared" si="81"/>
        <v>16814.024446153842</v>
      </c>
      <c r="P121" s="665">
        <f t="shared" si="81"/>
        <v>17150.304935076922</v>
      </c>
      <c r="Q121" s="665">
        <f t="shared" si="81"/>
        <v>17493.31103377846</v>
      </c>
      <c r="R121" s="665">
        <f t="shared" si="81"/>
        <v>17843.177254454029</v>
      </c>
      <c r="S121" s="665">
        <f t="shared" si="81"/>
        <v>18200.040799543109</v>
      </c>
      <c r="T121" s="665">
        <f t="shared" si="81"/>
        <v>18564.041615533974</v>
      </c>
      <c r="U121" s="665">
        <f t="shared" si="81"/>
        <v>18935.322447844654</v>
      </c>
      <c r="V121" s="665">
        <f t="shared" si="81"/>
        <v>19314.028896801548</v>
      </c>
      <c r="W121" s="665">
        <f t="shared" si="81"/>
        <v>19700.30947473758</v>
      </c>
      <c r="X121" s="665">
        <f t="shared" si="81"/>
        <v>20094.31566423233</v>
      </c>
      <c r="Y121" s="665">
        <f t="shared" si="81"/>
        <v>20496.201977516976</v>
      </c>
      <c r="Z121" s="665">
        <f t="shared" si="81"/>
        <v>20906.126017067316</v>
      </c>
      <c r="AA121" s="665">
        <f t="shared" si="81"/>
        <v>21324.248537408665</v>
      </c>
      <c r="AB121" s="665">
        <f t="shared" si="81"/>
        <v>21750.733508156838</v>
      </c>
      <c r="AC121" s="665">
        <f t="shared" si="81"/>
        <v>22185.748178319976</v>
      </c>
      <c r="AD121" s="665">
        <f t="shared" si="81"/>
        <v>22629.463141886376</v>
      </c>
      <c r="AE121" s="665">
        <f t="shared" si="81"/>
        <v>23082.052404724102</v>
      </c>
    </row>
    <row r="122" spans="1:33">
      <c r="A122" s="96" t="s">
        <v>57</v>
      </c>
      <c r="B122" s="735" t="s">
        <v>15</v>
      </c>
      <c r="C122" s="663">
        <v>15000</v>
      </c>
      <c r="D122" s="736">
        <f>C122/2080</f>
        <v>7.2115384615384617</v>
      </c>
      <c r="E122" s="663">
        <f>C122*E12</f>
        <v>3000</v>
      </c>
      <c r="F122" s="663">
        <f t="shared" ref="F122:F123" si="82">C122*$F$13</f>
        <v>6000</v>
      </c>
      <c r="G122" s="663">
        <f t="shared" ref="G122:G123" si="83">SUM(C122,E122:F122)</f>
        <v>24000</v>
      </c>
      <c r="H122" s="736">
        <f>G122/2080*12</f>
        <v>138.46153846153845</v>
      </c>
      <c r="I122" s="736"/>
      <c r="J122" s="663"/>
      <c r="K122" s="683">
        <v>0</v>
      </c>
      <c r="L122" s="665">
        <v>0</v>
      </c>
      <c r="M122" s="665">
        <f>$H$122*M32*0.5</f>
        <v>14815.384615384615</v>
      </c>
      <c r="N122" s="665">
        <f t="shared" ref="N122:AE122" si="84">$M$122*M11</f>
        <v>15413.926153846154</v>
      </c>
      <c r="O122" s="665">
        <f t="shared" si="84"/>
        <v>15722.204676923076</v>
      </c>
      <c r="P122" s="665">
        <f t="shared" si="84"/>
        <v>16036.648770461537</v>
      </c>
      <c r="Q122" s="665">
        <f t="shared" si="84"/>
        <v>16357.381745870769</v>
      </c>
      <c r="R122" s="665">
        <f t="shared" si="84"/>
        <v>16684.529380788186</v>
      </c>
      <c r="S122" s="665">
        <f t="shared" si="84"/>
        <v>17018.219968403948</v>
      </c>
      <c r="T122" s="665">
        <f t="shared" si="84"/>
        <v>17358.58436777203</v>
      </c>
      <c r="U122" s="665">
        <f t="shared" si="84"/>
        <v>17705.756055127469</v>
      </c>
      <c r="V122" s="665">
        <f t="shared" si="84"/>
        <v>18059.871176230019</v>
      </c>
      <c r="W122" s="665">
        <f t="shared" si="84"/>
        <v>18421.068599754621</v>
      </c>
      <c r="X122" s="665">
        <f t="shared" si="84"/>
        <v>18789.489971749714</v>
      </c>
      <c r="Y122" s="665">
        <f t="shared" si="84"/>
        <v>19165.279771184705</v>
      </c>
      <c r="Z122" s="665">
        <f t="shared" si="84"/>
        <v>19548.5853666084</v>
      </c>
      <c r="AA122" s="665">
        <f t="shared" si="84"/>
        <v>19939.55707394057</v>
      </c>
      <c r="AB122" s="665">
        <f t="shared" si="84"/>
        <v>20338.348215419381</v>
      </c>
      <c r="AC122" s="665">
        <f t="shared" si="84"/>
        <v>20745.115179727771</v>
      </c>
      <c r="AD122" s="665">
        <f t="shared" si="84"/>
        <v>21160.017483322328</v>
      </c>
      <c r="AE122" s="665">
        <f t="shared" si="84"/>
        <v>21583.217832988772</v>
      </c>
    </row>
    <row r="123" spans="1:33">
      <c r="A123" s="737" t="s">
        <v>57</v>
      </c>
      <c r="B123" s="738" t="s">
        <v>15</v>
      </c>
      <c r="C123" s="739">
        <v>15000</v>
      </c>
      <c r="D123" s="740">
        <f>C123/2080</f>
        <v>7.2115384615384617</v>
      </c>
      <c r="E123" s="739">
        <f>C123*$E$12</f>
        <v>3000</v>
      </c>
      <c r="F123" s="739">
        <f t="shared" si="82"/>
        <v>6000</v>
      </c>
      <c r="G123" s="739">
        <f t="shared" si="83"/>
        <v>24000</v>
      </c>
      <c r="H123" s="740">
        <f t="shared" ref="H123" si="85">G123/2080*12</f>
        <v>138.46153846153845</v>
      </c>
      <c r="I123" s="740"/>
      <c r="J123" s="739"/>
      <c r="K123" s="741">
        <v>0</v>
      </c>
      <c r="L123" s="742">
        <v>0</v>
      </c>
      <c r="M123" s="742">
        <f>$H$123*M32*0.5</f>
        <v>14815.384615384615</v>
      </c>
      <c r="N123" s="742">
        <f t="shared" ref="N123:AE123" si="86">$M$123*M11</f>
        <v>15413.926153846154</v>
      </c>
      <c r="O123" s="742">
        <f t="shared" si="86"/>
        <v>15722.204676923076</v>
      </c>
      <c r="P123" s="742">
        <f t="shared" si="86"/>
        <v>16036.648770461537</v>
      </c>
      <c r="Q123" s="742">
        <f t="shared" si="86"/>
        <v>16357.381745870769</v>
      </c>
      <c r="R123" s="742">
        <f t="shared" si="86"/>
        <v>16684.529380788186</v>
      </c>
      <c r="S123" s="742">
        <f t="shared" si="86"/>
        <v>17018.219968403948</v>
      </c>
      <c r="T123" s="742">
        <f t="shared" si="86"/>
        <v>17358.58436777203</v>
      </c>
      <c r="U123" s="742">
        <f t="shared" si="86"/>
        <v>17705.756055127469</v>
      </c>
      <c r="V123" s="742">
        <f t="shared" si="86"/>
        <v>18059.871176230019</v>
      </c>
      <c r="W123" s="742">
        <f t="shared" si="86"/>
        <v>18421.068599754621</v>
      </c>
      <c r="X123" s="742">
        <f t="shared" si="86"/>
        <v>18789.489971749714</v>
      </c>
      <c r="Y123" s="742">
        <f t="shared" si="86"/>
        <v>19165.279771184705</v>
      </c>
      <c r="Z123" s="742">
        <f t="shared" si="86"/>
        <v>19548.5853666084</v>
      </c>
      <c r="AA123" s="742">
        <f t="shared" si="86"/>
        <v>19939.55707394057</v>
      </c>
      <c r="AB123" s="742">
        <f t="shared" si="86"/>
        <v>20338.348215419381</v>
      </c>
      <c r="AC123" s="742">
        <f t="shared" si="86"/>
        <v>20745.115179727771</v>
      </c>
      <c r="AD123" s="742">
        <f t="shared" si="86"/>
        <v>21160.017483322328</v>
      </c>
      <c r="AE123" s="742">
        <f t="shared" si="86"/>
        <v>21583.217832988772</v>
      </c>
    </row>
    <row r="124" spans="1:33">
      <c r="A124" s="164" t="s">
        <v>414</v>
      </c>
      <c r="B124" s="164"/>
      <c r="C124" s="667">
        <f>SUM(C121:C123)</f>
        <v>85000</v>
      </c>
      <c r="D124" s="667"/>
      <c r="E124" s="667">
        <f>SUM(E121:E123)</f>
        <v>6000</v>
      </c>
      <c r="F124" s="667">
        <f>SUM(F121:F123)</f>
        <v>34000</v>
      </c>
      <c r="G124" s="667">
        <f>SUM(G121:G123)</f>
        <v>125000</v>
      </c>
      <c r="H124" s="667">
        <f>SUM(H121:H123)</f>
        <v>573.07692307692309</v>
      </c>
      <c r="I124" s="668"/>
      <c r="J124" s="667"/>
      <c r="K124" s="685">
        <f>SUMIF($B121:$B123,"FT",K121:K123)</f>
        <v>0</v>
      </c>
      <c r="L124" s="669">
        <f>SUM(L121:L123)</f>
        <v>0</v>
      </c>
      <c r="M124" s="669">
        <f t="shared" ref="M124:AE124" si="87">SUM(M121:M123)</f>
        <v>45475</v>
      </c>
      <c r="N124" s="669">
        <f t="shared" si="87"/>
        <v>47312.19</v>
      </c>
      <c r="O124" s="669">
        <f t="shared" si="87"/>
        <v>48258.433799999999</v>
      </c>
      <c r="P124" s="669">
        <f t="shared" si="87"/>
        <v>49223.602475999993</v>
      </c>
      <c r="Q124" s="669">
        <f t="shared" si="87"/>
        <v>50208.074525520002</v>
      </c>
      <c r="R124" s="669">
        <f t="shared" si="87"/>
        <v>51212.236016030394</v>
      </c>
      <c r="S124" s="669">
        <f t="shared" si="87"/>
        <v>52236.480736351004</v>
      </c>
      <c r="T124" s="669">
        <f t="shared" si="87"/>
        <v>53281.210351078029</v>
      </c>
      <c r="U124" s="669">
        <f t="shared" si="87"/>
        <v>54346.834558099596</v>
      </c>
      <c r="V124" s="669">
        <f t="shared" si="87"/>
        <v>55433.771249261583</v>
      </c>
      <c r="W124" s="669">
        <f t="shared" si="87"/>
        <v>56542.446674246821</v>
      </c>
      <c r="X124" s="669">
        <f t="shared" si="87"/>
        <v>57673.295607731765</v>
      </c>
      <c r="Y124" s="669">
        <f t="shared" si="87"/>
        <v>58826.761519886393</v>
      </c>
      <c r="Z124" s="669">
        <f t="shared" si="87"/>
        <v>60003.29675028412</v>
      </c>
      <c r="AA124" s="669">
        <f t="shared" si="87"/>
        <v>61203.362685289801</v>
      </c>
      <c r="AB124" s="669">
        <f t="shared" si="87"/>
        <v>62427.4299389956</v>
      </c>
      <c r="AC124" s="669">
        <f t="shared" si="87"/>
        <v>63675.978537775518</v>
      </c>
      <c r="AD124" s="669">
        <f t="shared" si="87"/>
        <v>64949.498108531028</v>
      </c>
      <c r="AE124" s="669">
        <f t="shared" si="87"/>
        <v>66248.488070701642</v>
      </c>
    </row>
    <row r="125" spans="1:33">
      <c r="A125" s="37"/>
      <c r="B125" s="37"/>
      <c r="C125" s="663"/>
      <c r="D125" s="663"/>
      <c r="E125" s="663"/>
      <c r="F125" s="663"/>
      <c r="G125" s="663"/>
      <c r="H125" s="663"/>
      <c r="I125" s="670"/>
      <c r="J125" s="663"/>
      <c r="K125" s="683"/>
      <c r="L125" s="666"/>
      <c r="M125" s="666"/>
      <c r="N125" s="666"/>
      <c r="O125" s="666"/>
      <c r="P125" s="666"/>
      <c r="Q125" s="666"/>
      <c r="R125" s="666"/>
      <c r="S125" s="666"/>
      <c r="T125" s="666"/>
      <c r="U125" s="666"/>
      <c r="V125" s="666"/>
      <c r="W125" s="666"/>
      <c r="X125" s="666"/>
      <c r="Y125" s="666"/>
      <c r="Z125" s="666"/>
      <c r="AA125" s="666"/>
      <c r="AB125" s="666"/>
      <c r="AC125" s="666"/>
      <c r="AD125" s="666"/>
      <c r="AE125" s="666"/>
    </row>
    <row r="126" spans="1:33">
      <c r="A126" s="37" t="s">
        <v>11</v>
      </c>
      <c r="B126" s="37"/>
      <c r="C126" s="663"/>
      <c r="D126" s="663"/>
      <c r="E126" s="663"/>
      <c r="F126" s="663"/>
      <c r="G126" s="663"/>
      <c r="H126" s="663"/>
      <c r="I126" s="670"/>
      <c r="J126" s="663"/>
      <c r="K126" s="743">
        <f>COUNTIF(K121:K123,"&gt;100")</f>
        <v>0</v>
      </c>
      <c r="L126" s="496">
        <f>COUNTIF(L121,"&gt;100")</f>
        <v>0</v>
      </c>
      <c r="M126" s="496">
        <f t="shared" ref="M126:AE126" si="88">COUNTIF(M121,"&gt;100")</f>
        <v>1</v>
      </c>
      <c r="N126" s="496">
        <f t="shared" si="88"/>
        <v>1</v>
      </c>
      <c r="O126" s="496">
        <f t="shared" si="88"/>
        <v>1</v>
      </c>
      <c r="P126" s="496">
        <f t="shared" si="88"/>
        <v>1</v>
      </c>
      <c r="Q126" s="496">
        <f t="shared" si="88"/>
        <v>1</v>
      </c>
      <c r="R126" s="496">
        <f t="shared" si="88"/>
        <v>1</v>
      </c>
      <c r="S126" s="496">
        <f t="shared" si="88"/>
        <v>1</v>
      </c>
      <c r="T126" s="496">
        <f t="shared" si="88"/>
        <v>1</v>
      </c>
      <c r="U126" s="496">
        <f t="shared" si="88"/>
        <v>1</v>
      </c>
      <c r="V126" s="496">
        <f t="shared" si="88"/>
        <v>1</v>
      </c>
      <c r="W126" s="496">
        <f t="shared" si="88"/>
        <v>1</v>
      </c>
      <c r="X126" s="496">
        <f t="shared" si="88"/>
        <v>1</v>
      </c>
      <c r="Y126" s="496">
        <f t="shared" si="88"/>
        <v>1</v>
      </c>
      <c r="Z126" s="496">
        <f t="shared" si="88"/>
        <v>1</v>
      </c>
      <c r="AA126" s="496">
        <f t="shared" si="88"/>
        <v>1</v>
      </c>
      <c r="AB126" s="496">
        <f t="shared" si="88"/>
        <v>1</v>
      </c>
      <c r="AC126" s="496">
        <f t="shared" si="88"/>
        <v>1</v>
      </c>
      <c r="AD126" s="496">
        <f t="shared" si="88"/>
        <v>1</v>
      </c>
      <c r="AE126" s="496">
        <f t="shared" si="88"/>
        <v>1</v>
      </c>
    </row>
    <row r="127" spans="1:33">
      <c r="A127" s="745" t="s">
        <v>10</v>
      </c>
      <c r="B127" s="745"/>
      <c r="C127" s="739"/>
      <c r="D127" s="739"/>
      <c r="E127" s="739"/>
      <c r="F127" s="739"/>
      <c r="G127" s="739"/>
      <c r="H127" s="739"/>
      <c r="I127" s="763"/>
      <c r="J127" s="739"/>
      <c r="K127" s="749">
        <f t="shared" ref="K127" si="89">K128-K126</f>
        <v>0</v>
      </c>
      <c r="L127" s="750">
        <f>COUNTIF(L122:L123,"&gt;100")</f>
        <v>0</v>
      </c>
      <c r="M127" s="750">
        <f t="shared" ref="M127:AE127" si="90">COUNTIF(M122:M123,"&gt;100")</f>
        <v>2</v>
      </c>
      <c r="N127" s="750">
        <f t="shared" si="90"/>
        <v>2</v>
      </c>
      <c r="O127" s="750">
        <f t="shared" si="90"/>
        <v>2</v>
      </c>
      <c r="P127" s="750">
        <f t="shared" si="90"/>
        <v>2</v>
      </c>
      <c r="Q127" s="750">
        <f t="shared" si="90"/>
        <v>2</v>
      </c>
      <c r="R127" s="750">
        <f t="shared" si="90"/>
        <v>2</v>
      </c>
      <c r="S127" s="750">
        <f t="shared" si="90"/>
        <v>2</v>
      </c>
      <c r="T127" s="750">
        <f t="shared" si="90"/>
        <v>2</v>
      </c>
      <c r="U127" s="750">
        <f t="shared" si="90"/>
        <v>2</v>
      </c>
      <c r="V127" s="750">
        <f t="shared" si="90"/>
        <v>2</v>
      </c>
      <c r="W127" s="750">
        <f t="shared" si="90"/>
        <v>2</v>
      </c>
      <c r="X127" s="750">
        <f t="shared" si="90"/>
        <v>2</v>
      </c>
      <c r="Y127" s="750">
        <f t="shared" si="90"/>
        <v>2</v>
      </c>
      <c r="Z127" s="750">
        <f t="shared" si="90"/>
        <v>2</v>
      </c>
      <c r="AA127" s="750">
        <f t="shared" si="90"/>
        <v>2</v>
      </c>
      <c r="AB127" s="750">
        <f t="shared" si="90"/>
        <v>2</v>
      </c>
      <c r="AC127" s="750">
        <f t="shared" si="90"/>
        <v>2</v>
      </c>
      <c r="AD127" s="750">
        <f t="shared" si="90"/>
        <v>2</v>
      </c>
      <c r="AE127" s="750">
        <f t="shared" si="90"/>
        <v>2</v>
      </c>
    </row>
    <row r="128" spans="1:33">
      <c r="A128" s="164" t="s">
        <v>9</v>
      </c>
      <c r="B128" s="164"/>
      <c r="C128" s="667"/>
      <c r="D128" s="667"/>
      <c r="E128" s="667"/>
      <c r="F128" s="667"/>
      <c r="G128" s="667"/>
      <c r="H128" s="667"/>
      <c r="I128" s="668"/>
      <c r="J128" s="667"/>
      <c r="K128" s="751">
        <f t="shared" ref="K128:AE128" si="91">COUNTIF(K121:K123,"&gt;0")</f>
        <v>0</v>
      </c>
      <c r="L128" s="752">
        <f t="shared" si="91"/>
        <v>0</v>
      </c>
      <c r="M128" s="752">
        <f t="shared" si="91"/>
        <v>3</v>
      </c>
      <c r="N128" s="752">
        <f t="shared" si="91"/>
        <v>3</v>
      </c>
      <c r="O128" s="752">
        <f t="shared" si="91"/>
        <v>3</v>
      </c>
      <c r="P128" s="752">
        <f t="shared" si="91"/>
        <v>3</v>
      </c>
      <c r="Q128" s="752">
        <f t="shared" si="91"/>
        <v>3</v>
      </c>
      <c r="R128" s="752">
        <f t="shared" si="91"/>
        <v>3</v>
      </c>
      <c r="S128" s="752">
        <f t="shared" si="91"/>
        <v>3</v>
      </c>
      <c r="T128" s="752">
        <f t="shared" si="91"/>
        <v>3</v>
      </c>
      <c r="U128" s="752">
        <f t="shared" si="91"/>
        <v>3</v>
      </c>
      <c r="V128" s="752">
        <f t="shared" si="91"/>
        <v>3</v>
      </c>
      <c r="W128" s="752">
        <f t="shared" si="91"/>
        <v>3</v>
      </c>
      <c r="X128" s="752">
        <f t="shared" si="91"/>
        <v>3</v>
      </c>
      <c r="Y128" s="752">
        <f t="shared" si="91"/>
        <v>3</v>
      </c>
      <c r="Z128" s="752">
        <f t="shared" si="91"/>
        <v>3</v>
      </c>
      <c r="AA128" s="752">
        <f t="shared" si="91"/>
        <v>3</v>
      </c>
      <c r="AB128" s="752">
        <f t="shared" si="91"/>
        <v>3</v>
      </c>
      <c r="AC128" s="752">
        <f t="shared" si="91"/>
        <v>3</v>
      </c>
      <c r="AD128" s="752">
        <f t="shared" si="91"/>
        <v>3</v>
      </c>
      <c r="AE128" s="752">
        <f t="shared" si="91"/>
        <v>3</v>
      </c>
    </row>
    <row r="129" spans="1:33">
      <c r="A129" s="37"/>
      <c r="B129" s="37"/>
      <c r="C129" s="57"/>
      <c r="E129" s="57"/>
      <c r="F129" s="57"/>
      <c r="G129" s="57"/>
      <c r="H129" s="57"/>
      <c r="I129" s="43"/>
      <c r="J129" s="42"/>
      <c r="K129" s="683"/>
      <c r="L129" s="316"/>
      <c r="M129" s="316"/>
      <c r="N129" s="316"/>
      <c r="O129" s="316"/>
      <c r="P129" s="316"/>
      <c r="Q129" s="316"/>
      <c r="R129" s="316"/>
      <c r="S129" s="316"/>
      <c r="T129" s="316"/>
      <c r="U129" s="316"/>
      <c r="V129" s="316"/>
      <c r="W129" s="316"/>
      <c r="X129" s="316"/>
      <c r="Y129" s="316"/>
      <c r="Z129" s="316"/>
      <c r="AA129" s="316"/>
      <c r="AB129" s="316"/>
      <c r="AC129" s="316"/>
      <c r="AD129" s="316"/>
      <c r="AE129" s="316"/>
    </row>
    <row r="130" spans="1:33" s="55" customFormat="1">
      <c r="A130" s="190" t="s">
        <v>60</v>
      </c>
      <c r="B130" s="191"/>
      <c r="C130" s="192"/>
      <c r="D130" s="193"/>
      <c r="E130" s="194"/>
      <c r="F130" s="194"/>
      <c r="G130" s="192"/>
      <c r="H130" s="192"/>
      <c r="I130" s="195">
        <v>0.2</v>
      </c>
      <c r="J130" s="196"/>
      <c r="K130" s="683">
        <v>0</v>
      </c>
      <c r="L130" s="665">
        <f>$I$130*L124</f>
        <v>0</v>
      </c>
      <c r="M130" s="665">
        <f t="shared" ref="M130:AE130" si="92">$I$130*M124</f>
        <v>9095</v>
      </c>
      <c r="N130" s="665">
        <f t="shared" si="92"/>
        <v>9462.4380000000001</v>
      </c>
      <c r="O130" s="665">
        <f t="shared" si="92"/>
        <v>9651.6867600000005</v>
      </c>
      <c r="P130" s="665">
        <f t="shared" si="92"/>
        <v>9844.7204951999993</v>
      </c>
      <c r="Q130" s="665">
        <f t="shared" si="92"/>
        <v>10041.614905104001</v>
      </c>
      <c r="R130" s="665">
        <f t="shared" si="92"/>
        <v>10242.44720320608</v>
      </c>
      <c r="S130" s="665">
        <f t="shared" si="92"/>
        <v>10447.296147270201</v>
      </c>
      <c r="T130" s="665">
        <f t="shared" si="92"/>
        <v>10656.242070215607</v>
      </c>
      <c r="U130" s="665">
        <f t="shared" si="92"/>
        <v>10869.36691161992</v>
      </c>
      <c r="V130" s="665">
        <f t="shared" si="92"/>
        <v>11086.754249852318</v>
      </c>
      <c r="W130" s="665">
        <f t="shared" si="92"/>
        <v>11308.489334849364</v>
      </c>
      <c r="X130" s="665">
        <f t="shared" si="92"/>
        <v>11534.659121546354</v>
      </c>
      <c r="Y130" s="665">
        <f t="shared" si="92"/>
        <v>11765.352303977279</v>
      </c>
      <c r="Z130" s="665">
        <f t="shared" si="92"/>
        <v>12000.659350056825</v>
      </c>
      <c r="AA130" s="665">
        <f t="shared" si="92"/>
        <v>12240.672537057961</v>
      </c>
      <c r="AB130" s="665">
        <f t="shared" si="92"/>
        <v>12485.48598779912</v>
      </c>
      <c r="AC130" s="665">
        <f t="shared" si="92"/>
        <v>12735.195707555104</v>
      </c>
      <c r="AD130" s="665">
        <f t="shared" si="92"/>
        <v>12989.899621706207</v>
      </c>
      <c r="AE130" s="665">
        <f t="shared" si="92"/>
        <v>13249.697614140328</v>
      </c>
    </row>
    <row r="131" spans="1:33">
      <c r="A131" s="190"/>
      <c r="B131" s="191"/>
      <c r="C131" s="192"/>
      <c r="D131" s="193"/>
      <c r="E131" s="194"/>
      <c r="F131" s="194"/>
      <c r="G131" s="192"/>
      <c r="H131" s="192"/>
      <c r="I131" s="195"/>
      <c r="J131" s="196"/>
      <c r="K131" s="685"/>
      <c r="L131" s="665"/>
      <c r="M131" s="665"/>
      <c r="N131" s="665"/>
      <c r="O131" s="665"/>
      <c r="P131" s="665"/>
      <c r="Q131" s="665"/>
      <c r="R131" s="665"/>
      <c r="S131" s="665"/>
      <c r="T131" s="665"/>
      <c r="U131" s="665"/>
      <c r="V131" s="665"/>
      <c r="W131" s="665"/>
      <c r="X131" s="665"/>
      <c r="Y131" s="665"/>
      <c r="Z131" s="665"/>
      <c r="AA131" s="665"/>
      <c r="AB131" s="665"/>
      <c r="AC131" s="665"/>
      <c r="AD131" s="665"/>
      <c r="AE131" s="665"/>
    </row>
    <row r="132" spans="1:33">
      <c r="A132" s="164" t="s">
        <v>61</v>
      </c>
      <c r="B132" s="164"/>
      <c r="C132" s="75"/>
      <c r="D132" s="173"/>
      <c r="E132" s="75"/>
      <c r="F132" s="75"/>
      <c r="G132" s="75"/>
      <c r="H132" s="75"/>
      <c r="I132" s="174"/>
      <c r="J132" s="175"/>
      <c r="K132" s="685">
        <v>0</v>
      </c>
      <c r="L132" s="669">
        <f>SUM(L124,L130)</f>
        <v>0</v>
      </c>
      <c r="M132" s="669">
        <f t="shared" ref="M132:AE132" si="93">SUM(M124,M130)</f>
        <v>54570</v>
      </c>
      <c r="N132" s="669">
        <f t="shared" si="93"/>
        <v>56774.628000000004</v>
      </c>
      <c r="O132" s="669">
        <f t="shared" si="93"/>
        <v>57910.120559999996</v>
      </c>
      <c r="P132" s="669">
        <f t="shared" si="93"/>
        <v>59068.322971199988</v>
      </c>
      <c r="Q132" s="669">
        <f t="shared" si="93"/>
        <v>60249.689430623999</v>
      </c>
      <c r="R132" s="669">
        <f t="shared" si="93"/>
        <v>61454.683219236475</v>
      </c>
      <c r="S132" s="669">
        <f t="shared" si="93"/>
        <v>62683.776883621205</v>
      </c>
      <c r="T132" s="669">
        <f t="shared" si="93"/>
        <v>63937.452421293638</v>
      </c>
      <c r="U132" s="669">
        <f t="shared" si="93"/>
        <v>65216.201469719512</v>
      </c>
      <c r="V132" s="669">
        <f t="shared" si="93"/>
        <v>66520.525499113894</v>
      </c>
      <c r="W132" s="669">
        <f t="shared" si="93"/>
        <v>67850.936009096185</v>
      </c>
      <c r="X132" s="669">
        <f t="shared" si="93"/>
        <v>69207.954729278121</v>
      </c>
      <c r="Y132" s="669">
        <f t="shared" si="93"/>
        <v>70592.113823863678</v>
      </c>
      <c r="Z132" s="669">
        <f t="shared" si="93"/>
        <v>72003.956100340947</v>
      </c>
      <c r="AA132" s="669">
        <f t="shared" si="93"/>
        <v>73444.035222347768</v>
      </c>
      <c r="AB132" s="669">
        <f t="shared" si="93"/>
        <v>74912.915926794725</v>
      </c>
      <c r="AC132" s="669">
        <f t="shared" si="93"/>
        <v>76411.174245330621</v>
      </c>
      <c r="AD132" s="669">
        <f t="shared" si="93"/>
        <v>77939.397730237237</v>
      </c>
      <c r="AE132" s="669">
        <f t="shared" si="93"/>
        <v>79498.18568484197</v>
      </c>
    </row>
    <row r="133" spans="1:33">
      <c r="A133" s="183"/>
      <c r="B133" s="184"/>
      <c r="C133" s="185"/>
      <c r="D133" s="186"/>
      <c r="E133" s="185"/>
      <c r="F133" s="185"/>
      <c r="G133" s="185"/>
      <c r="H133" s="185"/>
      <c r="I133" s="187"/>
      <c r="J133" s="188"/>
      <c r="K133" s="683"/>
      <c r="L133" s="320"/>
      <c r="M133" s="320"/>
      <c r="N133" s="320"/>
      <c r="O133" s="320"/>
      <c r="P133" s="320"/>
      <c r="Q133" s="320"/>
      <c r="R133" s="320"/>
      <c r="S133" s="320"/>
      <c r="T133" s="320"/>
      <c r="U133" s="320"/>
      <c r="V133" s="320"/>
      <c r="W133" s="320"/>
      <c r="X133" s="320"/>
      <c r="Y133" s="320"/>
      <c r="Z133" s="320"/>
      <c r="AA133" s="320"/>
      <c r="AB133" s="320"/>
      <c r="AC133" s="320"/>
      <c r="AD133" s="320"/>
      <c r="AE133" s="320"/>
    </row>
    <row r="134" spans="1:33">
      <c r="A134" s="39" t="s">
        <v>4</v>
      </c>
      <c r="B134" s="39"/>
      <c r="C134" s="111"/>
      <c r="D134" s="112"/>
      <c r="E134" s="111"/>
      <c r="F134" s="111"/>
      <c r="G134" s="111"/>
      <c r="H134" s="111"/>
      <c r="I134" s="40"/>
      <c r="J134" s="113"/>
      <c r="K134" s="688"/>
      <c r="L134" s="321"/>
      <c r="M134" s="321"/>
      <c r="N134" s="321"/>
      <c r="O134" s="321"/>
      <c r="P134" s="321"/>
      <c r="Q134" s="321"/>
      <c r="R134" s="321"/>
      <c r="S134" s="321"/>
      <c r="T134" s="321"/>
      <c r="U134" s="321"/>
      <c r="V134" s="321"/>
      <c r="W134" s="321"/>
      <c r="X134" s="321"/>
      <c r="Y134" s="321"/>
      <c r="Z134" s="321"/>
      <c r="AA134" s="321"/>
      <c r="AB134" s="321"/>
      <c r="AC134" s="321"/>
      <c r="AD134" s="321"/>
      <c r="AE134" s="321"/>
    </row>
    <row r="135" spans="1:33">
      <c r="A135" s="41" t="s">
        <v>13</v>
      </c>
      <c r="B135" s="41"/>
      <c r="C135" s="105"/>
      <c r="D135" s="106"/>
      <c r="E135" s="37"/>
      <c r="F135" s="37"/>
      <c r="G135" s="37"/>
      <c r="H135" s="37"/>
      <c r="I135" s="41"/>
      <c r="J135" s="37"/>
      <c r="K135" s="683"/>
      <c r="L135" s="200"/>
      <c r="M135" s="200"/>
      <c r="N135" s="200"/>
      <c r="O135" s="200"/>
      <c r="P135" s="200"/>
      <c r="Q135" s="200"/>
      <c r="R135" s="200"/>
      <c r="S135" s="200"/>
      <c r="T135" s="200"/>
      <c r="U135" s="201"/>
      <c r="V135" s="323"/>
      <c r="W135" s="200"/>
      <c r="X135" s="200"/>
      <c r="Y135" s="200"/>
      <c r="Z135" s="200"/>
      <c r="AA135" s="200"/>
      <c r="AB135" s="200"/>
      <c r="AC135" s="200"/>
      <c r="AD135" s="200"/>
      <c r="AE135" s="201"/>
    </row>
    <row r="136" spans="1:33">
      <c r="A136" s="33" t="s">
        <v>65</v>
      </c>
      <c r="B136" s="735" t="s">
        <v>12</v>
      </c>
      <c r="C136" s="663">
        <v>65000</v>
      </c>
      <c r="D136" s="736">
        <f>C136/2080</f>
        <v>31.25</v>
      </c>
      <c r="E136" s="663">
        <v>0</v>
      </c>
      <c r="F136" s="663">
        <f>C136*$F$13</f>
        <v>26000</v>
      </c>
      <c r="G136" s="663">
        <f>SUM(C136,E136:F136)</f>
        <v>91000</v>
      </c>
      <c r="H136" s="736">
        <f>G136/2080*8</f>
        <v>350</v>
      </c>
      <c r="I136" s="764"/>
      <c r="J136" s="765"/>
      <c r="K136" s="683">
        <v>0</v>
      </c>
      <c r="L136" s="665">
        <v>0</v>
      </c>
      <c r="M136" s="665">
        <f>$H$136*M32*0.25</f>
        <v>18725</v>
      </c>
      <c r="N136" s="665">
        <f t="shared" ref="N136:AE136" si="94">$M$136*L11</f>
        <v>19099.5</v>
      </c>
      <c r="O136" s="665">
        <f t="shared" si="94"/>
        <v>19481.490000000002</v>
      </c>
      <c r="P136" s="665">
        <f t="shared" si="94"/>
        <v>19871.1198</v>
      </c>
      <c r="Q136" s="665">
        <f t="shared" si="94"/>
        <v>20268.542195999999</v>
      </c>
      <c r="R136" s="665">
        <f t="shared" si="94"/>
        <v>20673.91303992</v>
      </c>
      <c r="S136" s="665">
        <f t="shared" si="94"/>
        <v>21087.391300718402</v>
      </c>
      <c r="T136" s="665">
        <f t="shared" si="94"/>
        <v>21509.139126732767</v>
      </c>
      <c r="U136" s="665">
        <f t="shared" si="94"/>
        <v>21939.321909267426</v>
      </c>
      <c r="V136" s="665">
        <f t="shared" si="94"/>
        <v>22378.108347452773</v>
      </c>
      <c r="W136" s="665">
        <f t="shared" si="94"/>
        <v>22825.670514401831</v>
      </c>
      <c r="X136" s="665">
        <f t="shared" si="94"/>
        <v>23282.183924689867</v>
      </c>
      <c r="Y136" s="665">
        <f t="shared" si="94"/>
        <v>23747.827603183665</v>
      </c>
      <c r="Z136" s="665">
        <f t="shared" si="94"/>
        <v>24222.784155247336</v>
      </c>
      <c r="AA136" s="665">
        <f t="shared" si="94"/>
        <v>24707.239838352285</v>
      </c>
      <c r="AB136" s="665">
        <f t="shared" si="94"/>
        <v>25201.384635119332</v>
      </c>
      <c r="AC136" s="665">
        <f t="shared" si="94"/>
        <v>25705.412327821719</v>
      </c>
      <c r="AD136" s="665">
        <f t="shared" si="94"/>
        <v>26219.520574378155</v>
      </c>
      <c r="AE136" s="665">
        <f t="shared" si="94"/>
        <v>26743.910985865718</v>
      </c>
    </row>
    <row r="137" spans="1:33">
      <c r="A137" s="37" t="s">
        <v>62</v>
      </c>
      <c r="B137" s="735" t="s">
        <v>12</v>
      </c>
      <c r="C137" s="663">
        <v>85000</v>
      </c>
      <c r="D137" s="736">
        <f>C137/2080</f>
        <v>40.865384615384613</v>
      </c>
      <c r="E137" s="663">
        <f>C137*$L$15</f>
        <v>0</v>
      </c>
      <c r="F137" s="663">
        <f t="shared" ref="F137:F140" si="95">C137*$F$13</f>
        <v>34000</v>
      </c>
      <c r="G137" s="663">
        <f t="shared" ref="G137:G140" si="96">SUM(C137,E137:F137)</f>
        <v>119000</v>
      </c>
      <c r="H137" s="736">
        <f>G137/2080*8</f>
        <v>457.69230769230768</v>
      </c>
      <c r="I137" s="764"/>
      <c r="J137" s="765"/>
      <c r="K137" s="683">
        <v>0</v>
      </c>
      <c r="L137" s="665">
        <v>0</v>
      </c>
      <c r="M137" s="665">
        <f>$H$137*M32*0.1</f>
        <v>9794.6153846153848</v>
      </c>
      <c r="N137" s="665">
        <f t="shared" ref="N137:AE137" si="97">$M$137*L11</f>
        <v>9990.5076923076922</v>
      </c>
      <c r="O137" s="665">
        <f t="shared" si="97"/>
        <v>10190.317846153846</v>
      </c>
      <c r="P137" s="665">
        <f t="shared" si="97"/>
        <v>10394.124203076923</v>
      </c>
      <c r="Q137" s="665">
        <f t="shared" si="97"/>
        <v>10602.006687138461</v>
      </c>
      <c r="R137" s="665">
        <f t="shared" si="97"/>
        <v>10814.046820881231</v>
      </c>
      <c r="S137" s="665">
        <f t="shared" si="97"/>
        <v>11030.327757298855</v>
      </c>
      <c r="T137" s="665">
        <f t="shared" si="97"/>
        <v>11250.934312444833</v>
      </c>
      <c r="U137" s="665">
        <f t="shared" si="97"/>
        <v>11475.95299869373</v>
      </c>
      <c r="V137" s="665">
        <f t="shared" si="97"/>
        <v>11705.472058667605</v>
      </c>
      <c r="W137" s="665">
        <f t="shared" si="97"/>
        <v>11939.581499840959</v>
      </c>
      <c r="X137" s="665">
        <f t="shared" si="97"/>
        <v>12178.373129837777</v>
      </c>
      <c r="Y137" s="665">
        <f t="shared" si="97"/>
        <v>12421.940592434532</v>
      </c>
      <c r="Z137" s="665">
        <f t="shared" si="97"/>
        <v>12670.379404283221</v>
      </c>
      <c r="AA137" s="665">
        <f t="shared" si="97"/>
        <v>12923.786992368889</v>
      </c>
      <c r="AB137" s="665">
        <f t="shared" si="97"/>
        <v>13182.262732216266</v>
      </c>
      <c r="AC137" s="665">
        <f t="shared" si="97"/>
        <v>13445.907986860591</v>
      </c>
      <c r="AD137" s="665">
        <f t="shared" si="97"/>
        <v>13714.826146597805</v>
      </c>
      <c r="AE137" s="665">
        <f t="shared" si="97"/>
        <v>13989.122669529761</v>
      </c>
    </row>
    <row r="138" spans="1:33">
      <c r="A138" s="37" t="s">
        <v>419</v>
      </c>
      <c r="B138" s="735" t="s">
        <v>12</v>
      </c>
      <c r="C138" s="663">
        <v>75000</v>
      </c>
      <c r="D138" s="736">
        <f>C138/2080</f>
        <v>36.057692307692307</v>
      </c>
      <c r="E138" s="663">
        <f>C138*$L$15</f>
        <v>0</v>
      </c>
      <c r="F138" s="663">
        <f t="shared" si="95"/>
        <v>30000</v>
      </c>
      <c r="G138" s="663">
        <f t="shared" si="96"/>
        <v>105000</v>
      </c>
      <c r="H138" s="736">
        <f>G138/2080*8</f>
        <v>403.84615384615387</v>
      </c>
      <c r="I138" s="764"/>
      <c r="J138" s="765"/>
      <c r="K138" s="683">
        <v>0</v>
      </c>
      <c r="L138" s="665">
        <v>0</v>
      </c>
      <c r="M138" s="665">
        <f>$H$138*M32*0.1</f>
        <v>8642.3076923076933</v>
      </c>
      <c r="N138" s="665">
        <f t="shared" ref="N138:AE138" si="98">$M$138*L11</f>
        <v>8815.1538461538476</v>
      </c>
      <c r="O138" s="665">
        <f t="shared" si="98"/>
        <v>8991.4569230769248</v>
      </c>
      <c r="P138" s="665">
        <f t="shared" si="98"/>
        <v>9171.2860615384616</v>
      </c>
      <c r="Q138" s="665">
        <f t="shared" si="98"/>
        <v>9354.7117827692309</v>
      </c>
      <c r="R138" s="665">
        <f t="shared" si="98"/>
        <v>9541.8060184246169</v>
      </c>
      <c r="S138" s="665">
        <f t="shared" si="98"/>
        <v>9732.6421387931096</v>
      </c>
      <c r="T138" s="665">
        <f t="shared" si="98"/>
        <v>9927.2949815689717</v>
      </c>
      <c r="U138" s="665">
        <f t="shared" si="98"/>
        <v>10125.840881200351</v>
      </c>
      <c r="V138" s="665">
        <f t="shared" si="98"/>
        <v>10328.357698824359</v>
      </c>
      <c r="W138" s="665">
        <f t="shared" si="98"/>
        <v>10534.924852800847</v>
      </c>
      <c r="X138" s="665">
        <f t="shared" si="98"/>
        <v>10745.623349856864</v>
      </c>
      <c r="Y138" s="665">
        <f t="shared" si="98"/>
        <v>10960.535816854001</v>
      </c>
      <c r="Z138" s="665">
        <f t="shared" si="98"/>
        <v>11179.746533191079</v>
      </c>
      <c r="AA138" s="665">
        <f t="shared" si="98"/>
        <v>11403.341463854902</v>
      </c>
      <c r="AB138" s="665">
        <f t="shared" si="98"/>
        <v>11631.408293132001</v>
      </c>
      <c r="AC138" s="665">
        <f t="shared" si="98"/>
        <v>11864.03645899464</v>
      </c>
      <c r="AD138" s="665">
        <f t="shared" si="98"/>
        <v>12101.317188174535</v>
      </c>
      <c r="AE138" s="665">
        <f t="shared" si="98"/>
        <v>12343.343531938026</v>
      </c>
    </row>
    <row r="139" spans="1:33">
      <c r="A139" s="37" t="s">
        <v>63</v>
      </c>
      <c r="B139" s="735" t="s">
        <v>15</v>
      </c>
      <c r="C139" s="663">
        <v>15000</v>
      </c>
      <c r="D139" s="736">
        <f t="shared" ref="D139:D140" si="99">C139/2080</f>
        <v>7.2115384615384617</v>
      </c>
      <c r="E139" s="663">
        <f>C139*$L$15</f>
        <v>0</v>
      </c>
      <c r="F139" s="663">
        <f t="shared" si="95"/>
        <v>6000</v>
      </c>
      <c r="G139" s="663">
        <f t="shared" si="96"/>
        <v>21000</v>
      </c>
      <c r="H139" s="736">
        <f t="shared" ref="H139:H140" si="100">G139/2080*8</f>
        <v>80.769230769230774</v>
      </c>
      <c r="I139" s="764"/>
      <c r="J139" s="765"/>
      <c r="K139" s="683">
        <v>0</v>
      </c>
      <c r="L139" s="665">
        <v>0</v>
      </c>
      <c r="M139" s="665">
        <f>($H$139*M32)*0.5</f>
        <v>8642.3076923076933</v>
      </c>
      <c r="N139" s="665">
        <f t="shared" ref="N139:AE139" si="101">$M$139*L11</f>
        <v>8815.1538461538476</v>
      </c>
      <c r="O139" s="665">
        <f t="shared" si="101"/>
        <v>8991.4569230769248</v>
      </c>
      <c r="P139" s="665">
        <f t="shared" si="101"/>
        <v>9171.2860615384616</v>
      </c>
      <c r="Q139" s="665">
        <f t="shared" si="101"/>
        <v>9354.7117827692309</v>
      </c>
      <c r="R139" s="665">
        <f t="shared" si="101"/>
        <v>9541.8060184246169</v>
      </c>
      <c r="S139" s="665">
        <f t="shared" si="101"/>
        <v>9732.6421387931096</v>
      </c>
      <c r="T139" s="665">
        <f t="shared" si="101"/>
        <v>9927.2949815689717</v>
      </c>
      <c r="U139" s="665">
        <f t="shared" si="101"/>
        <v>10125.840881200351</v>
      </c>
      <c r="V139" s="665">
        <f t="shared" si="101"/>
        <v>10328.357698824359</v>
      </c>
      <c r="W139" s="665">
        <f t="shared" si="101"/>
        <v>10534.924852800847</v>
      </c>
      <c r="X139" s="665">
        <f t="shared" si="101"/>
        <v>10745.623349856864</v>
      </c>
      <c r="Y139" s="665">
        <f t="shared" si="101"/>
        <v>10960.535816854001</v>
      </c>
      <c r="Z139" s="665">
        <f t="shared" si="101"/>
        <v>11179.746533191079</v>
      </c>
      <c r="AA139" s="665">
        <f t="shared" si="101"/>
        <v>11403.341463854902</v>
      </c>
      <c r="AB139" s="665">
        <f t="shared" si="101"/>
        <v>11631.408293132001</v>
      </c>
      <c r="AC139" s="665">
        <f t="shared" si="101"/>
        <v>11864.03645899464</v>
      </c>
      <c r="AD139" s="665">
        <f t="shared" si="101"/>
        <v>12101.317188174535</v>
      </c>
      <c r="AE139" s="665">
        <f t="shared" si="101"/>
        <v>12343.343531938026</v>
      </c>
    </row>
    <row r="140" spans="1:33">
      <c r="A140" s="745" t="s">
        <v>63</v>
      </c>
      <c r="B140" s="738" t="s">
        <v>15</v>
      </c>
      <c r="C140" s="739">
        <v>15000</v>
      </c>
      <c r="D140" s="740">
        <f t="shared" si="99"/>
        <v>7.2115384615384617</v>
      </c>
      <c r="E140" s="739">
        <f>C140*$L$15</f>
        <v>0</v>
      </c>
      <c r="F140" s="739">
        <f t="shared" si="95"/>
        <v>6000</v>
      </c>
      <c r="G140" s="739">
        <f t="shared" si="96"/>
        <v>21000</v>
      </c>
      <c r="H140" s="740">
        <f t="shared" si="100"/>
        <v>80.769230769230774</v>
      </c>
      <c r="I140" s="766"/>
      <c r="J140" s="767"/>
      <c r="K140" s="741">
        <v>0</v>
      </c>
      <c r="L140" s="742">
        <v>0</v>
      </c>
      <c r="M140" s="742">
        <f>($H$140*M32)*0.5</f>
        <v>8642.3076923076933</v>
      </c>
      <c r="N140" s="742">
        <f t="shared" ref="N140:AE140" si="102">$M$140*L11</f>
        <v>8815.1538461538476</v>
      </c>
      <c r="O140" s="742">
        <f t="shared" si="102"/>
        <v>8991.4569230769248</v>
      </c>
      <c r="P140" s="742">
        <f t="shared" si="102"/>
        <v>9171.2860615384616</v>
      </c>
      <c r="Q140" s="742">
        <f t="shared" si="102"/>
        <v>9354.7117827692309</v>
      </c>
      <c r="R140" s="742">
        <f t="shared" si="102"/>
        <v>9541.8060184246169</v>
      </c>
      <c r="S140" s="742">
        <f t="shared" si="102"/>
        <v>9732.6421387931096</v>
      </c>
      <c r="T140" s="742">
        <f t="shared" si="102"/>
        <v>9927.2949815689717</v>
      </c>
      <c r="U140" s="742">
        <f t="shared" si="102"/>
        <v>10125.840881200351</v>
      </c>
      <c r="V140" s="742">
        <f t="shared" si="102"/>
        <v>10328.357698824359</v>
      </c>
      <c r="W140" s="742">
        <f t="shared" si="102"/>
        <v>10534.924852800847</v>
      </c>
      <c r="X140" s="742">
        <f t="shared" si="102"/>
        <v>10745.623349856864</v>
      </c>
      <c r="Y140" s="742">
        <f t="shared" si="102"/>
        <v>10960.535816854001</v>
      </c>
      <c r="Z140" s="742">
        <f t="shared" si="102"/>
        <v>11179.746533191079</v>
      </c>
      <c r="AA140" s="742">
        <f t="shared" si="102"/>
        <v>11403.341463854902</v>
      </c>
      <c r="AB140" s="742">
        <f t="shared" si="102"/>
        <v>11631.408293132001</v>
      </c>
      <c r="AC140" s="742">
        <f t="shared" si="102"/>
        <v>11864.03645899464</v>
      </c>
      <c r="AD140" s="742">
        <f t="shared" si="102"/>
        <v>12101.317188174535</v>
      </c>
      <c r="AE140" s="742">
        <f t="shared" si="102"/>
        <v>12343.343531938026</v>
      </c>
    </row>
    <row r="141" spans="1:33" s="56" customFormat="1" ht="14.25">
      <c r="A141" s="164" t="s">
        <v>415</v>
      </c>
      <c r="B141" s="164"/>
      <c r="C141" s="667">
        <f>SUM(C136:C140)</f>
        <v>255000</v>
      </c>
      <c r="D141" s="667"/>
      <c r="E141" s="667">
        <f>SUM(E136:E140)</f>
        <v>0</v>
      </c>
      <c r="F141" s="667">
        <f>SUM(F136:F140)</f>
        <v>102000</v>
      </c>
      <c r="G141" s="667">
        <f>SUM(G136:G140)</f>
        <v>357000</v>
      </c>
      <c r="H141" s="667">
        <f>SUM(H136:H140)</f>
        <v>1373.0769230769229</v>
      </c>
      <c r="I141" s="768"/>
      <c r="J141" s="769"/>
      <c r="K141" s="685">
        <f>SUMIF($B136:$B140,"FT",K136:K140)</f>
        <v>0</v>
      </c>
      <c r="L141" s="669">
        <f>SUMIF($B136:$B140,"FT",L136:L140)</f>
        <v>0</v>
      </c>
      <c r="M141" s="669">
        <f>SUM(M136:M140)</f>
        <v>54446.538461538468</v>
      </c>
      <c r="N141" s="669">
        <f t="shared" ref="N141:AE141" si="103">SUM(N136:N140)</f>
        <v>55535.469230769231</v>
      </c>
      <c r="O141" s="669">
        <f t="shared" si="103"/>
        <v>56646.178615384626</v>
      </c>
      <c r="P141" s="669">
        <f t="shared" si="103"/>
        <v>57779.102187692311</v>
      </c>
      <c r="Q141" s="669">
        <f t="shared" si="103"/>
        <v>58934.684231446139</v>
      </c>
      <c r="R141" s="669">
        <f t="shared" si="103"/>
        <v>60113.377916075071</v>
      </c>
      <c r="S141" s="669">
        <f t="shared" si="103"/>
        <v>61315.645474396588</v>
      </c>
      <c r="T141" s="669">
        <f t="shared" si="103"/>
        <v>62541.958383884514</v>
      </c>
      <c r="U141" s="669">
        <f t="shared" si="103"/>
        <v>63792.797551562195</v>
      </c>
      <c r="V141" s="669">
        <f t="shared" si="103"/>
        <v>65068.653502593457</v>
      </c>
      <c r="W141" s="669">
        <f t="shared" si="103"/>
        <v>66370.026572645322</v>
      </c>
      <c r="X141" s="669">
        <f t="shared" si="103"/>
        <v>67697.427104098228</v>
      </c>
      <c r="Y141" s="669">
        <f t="shared" si="103"/>
        <v>69051.375646180197</v>
      </c>
      <c r="Z141" s="669">
        <f t="shared" si="103"/>
        <v>70432.403159103793</v>
      </c>
      <c r="AA141" s="669">
        <f t="shared" si="103"/>
        <v>71841.051222285882</v>
      </c>
      <c r="AB141" s="669">
        <f t="shared" si="103"/>
        <v>73277.872246731597</v>
      </c>
      <c r="AC141" s="669">
        <f t="shared" si="103"/>
        <v>74743.429691666228</v>
      </c>
      <c r="AD141" s="669">
        <f t="shared" si="103"/>
        <v>76238.298285499564</v>
      </c>
      <c r="AE141" s="669">
        <f t="shared" si="103"/>
        <v>77763.064251209551</v>
      </c>
    </row>
    <row r="142" spans="1:33">
      <c r="A142" s="37"/>
      <c r="B142" s="37"/>
      <c r="C142" s="663"/>
      <c r="D142" s="663"/>
      <c r="E142" s="663"/>
      <c r="F142" s="663"/>
      <c r="G142" s="663"/>
      <c r="H142" s="663"/>
      <c r="I142" s="107"/>
      <c r="J142" s="108"/>
      <c r="K142" s="683"/>
      <c r="L142" s="666"/>
      <c r="M142" s="666"/>
      <c r="N142" s="666"/>
      <c r="O142" s="666"/>
      <c r="P142" s="666"/>
      <c r="Q142" s="666"/>
      <c r="R142" s="666"/>
      <c r="S142" s="666"/>
      <c r="T142" s="666"/>
      <c r="U142" s="666"/>
      <c r="V142" s="666"/>
      <c r="W142" s="666"/>
      <c r="X142" s="666"/>
      <c r="Y142" s="666"/>
      <c r="Z142" s="666"/>
      <c r="AA142" s="666"/>
      <c r="AB142" s="666"/>
      <c r="AC142" s="666"/>
      <c r="AD142" s="666"/>
      <c r="AE142" s="666"/>
    </row>
    <row r="143" spans="1:33">
      <c r="A143" s="37" t="s">
        <v>11</v>
      </c>
      <c r="B143" s="37"/>
      <c r="C143" s="57"/>
      <c r="E143" s="57"/>
      <c r="F143" s="57"/>
      <c r="G143" s="57"/>
      <c r="H143" s="57"/>
      <c r="I143" s="43"/>
      <c r="J143" s="42"/>
      <c r="K143" s="770">
        <f>COUNTIF(K136:K140,"&gt;100")</f>
        <v>0</v>
      </c>
      <c r="L143" s="771">
        <f>COUNTIF(L136:L138,"&gt;100")</f>
        <v>0</v>
      </c>
      <c r="M143" s="771">
        <f t="shared" ref="M143:AE143" si="104">COUNTIF(M136:M138,"&gt;100")</f>
        <v>3</v>
      </c>
      <c r="N143" s="771">
        <f t="shared" si="104"/>
        <v>3</v>
      </c>
      <c r="O143" s="771">
        <f t="shared" si="104"/>
        <v>3</v>
      </c>
      <c r="P143" s="771">
        <f t="shared" si="104"/>
        <v>3</v>
      </c>
      <c r="Q143" s="771">
        <f t="shared" si="104"/>
        <v>3</v>
      </c>
      <c r="R143" s="771">
        <f t="shared" si="104"/>
        <v>3</v>
      </c>
      <c r="S143" s="771">
        <f t="shared" si="104"/>
        <v>3</v>
      </c>
      <c r="T143" s="771">
        <f t="shared" si="104"/>
        <v>3</v>
      </c>
      <c r="U143" s="771">
        <f t="shared" si="104"/>
        <v>3</v>
      </c>
      <c r="V143" s="771">
        <f t="shared" si="104"/>
        <v>3</v>
      </c>
      <c r="W143" s="771">
        <f t="shared" si="104"/>
        <v>3</v>
      </c>
      <c r="X143" s="771">
        <f t="shared" si="104"/>
        <v>3</v>
      </c>
      <c r="Y143" s="771">
        <f t="shared" si="104"/>
        <v>3</v>
      </c>
      <c r="Z143" s="771">
        <f t="shared" si="104"/>
        <v>3</v>
      </c>
      <c r="AA143" s="771">
        <f t="shared" si="104"/>
        <v>3</v>
      </c>
      <c r="AB143" s="771">
        <f t="shared" si="104"/>
        <v>3</v>
      </c>
      <c r="AC143" s="771">
        <f t="shared" si="104"/>
        <v>3</v>
      </c>
      <c r="AD143" s="771">
        <f t="shared" si="104"/>
        <v>3</v>
      </c>
      <c r="AE143" s="771">
        <f t="shared" si="104"/>
        <v>3</v>
      </c>
      <c r="AF143" s="772"/>
      <c r="AG143" s="772"/>
    </row>
    <row r="144" spans="1:33">
      <c r="A144" s="745" t="s">
        <v>10</v>
      </c>
      <c r="B144" s="745"/>
      <c r="C144" s="746"/>
      <c r="D144" s="116"/>
      <c r="E144" s="746"/>
      <c r="F144" s="746"/>
      <c r="G144" s="746"/>
      <c r="H144" s="746"/>
      <c r="I144" s="747"/>
      <c r="J144" s="748"/>
      <c r="K144" s="773">
        <v>0</v>
      </c>
      <c r="L144" s="774">
        <f>COUNTIF(L139:L140,"&gt;100")</f>
        <v>0</v>
      </c>
      <c r="M144" s="774">
        <f t="shared" ref="M144:AE144" si="105">COUNTIF(M139:M140,"&gt;100")</f>
        <v>2</v>
      </c>
      <c r="N144" s="774">
        <f t="shared" si="105"/>
        <v>2</v>
      </c>
      <c r="O144" s="774">
        <f t="shared" si="105"/>
        <v>2</v>
      </c>
      <c r="P144" s="774">
        <f t="shared" si="105"/>
        <v>2</v>
      </c>
      <c r="Q144" s="774">
        <f t="shared" si="105"/>
        <v>2</v>
      </c>
      <c r="R144" s="774">
        <f t="shared" si="105"/>
        <v>2</v>
      </c>
      <c r="S144" s="774">
        <f t="shared" si="105"/>
        <v>2</v>
      </c>
      <c r="T144" s="774">
        <f t="shared" si="105"/>
        <v>2</v>
      </c>
      <c r="U144" s="774">
        <f t="shared" si="105"/>
        <v>2</v>
      </c>
      <c r="V144" s="774">
        <f t="shared" si="105"/>
        <v>2</v>
      </c>
      <c r="W144" s="774">
        <f t="shared" si="105"/>
        <v>2</v>
      </c>
      <c r="X144" s="774">
        <f t="shared" si="105"/>
        <v>2</v>
      </c>
      <c r="Y144" s="774">
        <f t="shared" si="105"/>
        <v>2</v>
      </c>
      <c r="Z144" s="774">
        <f t="shared" si="105"/>
        <v>2</v>
      </c>
      <c r="AA144" s="774">
        <f t="shared" si="105"/>
        <v>2</v>
      </c>
      <c r="AB144" s="774">
        <f t="shared" si="105"/>
        <v>2</v>
      </c>
      <c r="AC144" s="774">
        <f t="shared" si="105"/>
        <v>2</v>
      </c>
      <c r="AD144" s="774">
        <f t="shared" si="105"/>
        <v>2</v>
      </c>
      <c r="AE144" s="774">
        <f t="shared" si="105"/>
        <v>2</v>
      </c>
      <c r="AF144" s="772"/>
      <c r="AG144" s="772"/>
    </row>
    <row r="145" spans="1:33" s="56" customFormat="1" ht="14.25">
      <c r="A145" s="164" t="s">
        <v>9</v>
      </c>
      <c r="B145" s="164"/>
      <c r="C145" s="75"/>
      <c r="D145" s="173"/>
      <c r="E145" s="75"/>
      <c r="F145" s="75"/>
      <c r="G145" s="75"/>
      <c r="H145" s="75"/>
      <c r="I145" s="174"/>
      <c r="J145" s="181"/>
      <c r="K145" s="775">
        <v>0</v>
      </c>
      <c r="L145" s="776">
        <f>SUM(L143:L144)</f>
        <v>0</v>
      </c>
      <c r="M145" s="776">
        <f t="shared" ref="M145:AE145" si="106">COUNTIF(M136:M140,"&gt;0")</f>
        <v>5</v>
      </c>
      <c r="N145" s="776">
        <f t="shared" si="106"/>
        <v>5</v>
      </c>
      <c r="O145" s="776">
        <f t="shared" si="106"/>
        <v>5</v>
      </c>
      <c r="P145" s="776">
        <f t="shared" si="106"/>
        <v>5</v>
      </c>
      <c r="Q145" s="776">
        <f t="shared" si="106"/>
        <v>5</v>
      </c>
      <c r="R145" s="776">
        <f t="shared" si="106"/>
        <v>5</v>
      </c>
      <c r="S145" s="776">
        <f t="shared" si="106"/>
        <v>5</v>
      </c>
      <c r="T145" s="776">
        <f t="shared" si="106"/>
        <v>5</v>
      </c>
      <c r="U145" s="776">
        <f t="shared" si="106"/>
        <v>5</v>
      </c>
      <c r="V145" s="776">
        <f t="shared" si="106"/>
        <v>5</v>
      </c>
      <c r="W145" s="776">
        <f t="shared" si="106"/>
        <v>5</v>
      </c>
      <c r="X145" s="776">
        <f t="shared" si="106"/>
        <v>5</v>
      </c>
      <c r="Y145" s="776">
        <f t="shared" si="106"/>
        <v>5</v>
      </c>
      <c r="Z145" s="776">
        <f t="shared" si="106"/>
        <v>5</v>
      </c>
      <c r="AA145" s="776">
        <f t="shared" si="106"/>
        <v>5</v>
      </c>
      <c r="AB145" s="776">
        <f t="shared" si="106"/>
        <v>5</v>
      </c>
      <c r="AC145" s="776">
        <f t="shared" si="106"/>
        <v>5</v>
      </c>
      <c r="AD145" s="776">
        <f t="shared" si="106"/>
        <v>5</v>
      </c>
      <c r="AE145" s="776">
        <f t="shared" si="106"/>
        <v>5</v>
      </c>
      <c r="AF145" s="723"/>
      <c r="AG145" s="723"/>
    </row>
    <row r="146" spans="1:33">
      <c r="B146" s="37"/>
      <c r="C146" s="57"/>
      <c r="E146" s="57"/>
      <c r="F146" s="57"/>
      <c r="G146" s="57"/>
      <c r="H146" s="57"/>
      <c r="I146" s="43"/>
      <c r="J146" s="42"/>
      <c r="K146" s="683"/>
      <c r="L146" s="316"/>
      <c r="M146" s="316"/>
      <c r="N146" s="316"/>
      <c r="O146" s="316"/>
      <c r="P146" s="316"/>
      <c r="Q146" s="316"/>
      <c r="R146" s="316"/>
      <c r="S146" s="316"/>
      <c r="T146" s="316"/>
      <c r="U146" s="316"/>
      <c r="V146" s="316"/>
      <c r="W146" s="316"/>
      <c r="X146" s="316"/>
      <c r="Y146" s="316"/>
      <c r="Z146" s="316"/>
      <c r="AA146" s="316"/>
      <c r="AB146" s="316"/>
      <c r="AC146" s="316"/>
      <c r="AD146" s="316"/>
      <c r="AE146" s="316"/>
    </row>
    <row r="147" spans="1:33">
      <c r="A147" s="33" t="s">
        <v>60</v>
      </c>
      <c r="B147" s="191"/>
      <c r="C147" s="192"/>
      <c r="D147" s="193"/>
      <c r="E147" s="194"/>
      <c r="F147" s="194"/>
      <c r="G147" s="192"/>
      <c r="H147" s="192"/>
      <c r="I147" s="195">
        <v>0.2</v>
      </c>
      <c r="J147" s="196"/>
      <c r="K147" s="689">
        <v>0</v>
      </c>
      <c r="L147" s="665">
        <f t="shared" ref="L147:AE147" si="107">L141*$I$147</f>
        <v>0</v>
      </c>
      <c r="M147" s="665">
        <f t="shared" si="107"/>
        <v>10889.307692307695</v>
      </c>
      <c r="N147" s="665">
        <f t="shared" si="107"/>
        <v>11107.093846153846</v>
      </c>
      <c r="O147" s="665">
        <f t="shared" si="107"/>
        <v>11329.235723076927</v>
      </c>
      <c r="P147" s="665">
        <f t="shared" si="107"/>
        <v>11555.820437538463</v>
      </c>
      <c r="Q147" s="665">
        <f t="shared" si="107"/>
        <v>11786.936846289229</v>
      </c>
      <c r="R147" s="665">
        <f t="shared" si="107"/>
        <v>12022.675583215016</v>
      </c>
      <c r="S147" s="665">
        <f t="shared" si="107"/>
        <v>12263.129094879318</v>
      </c>
      <c r="T147" s="665">
        <f t="shared" si="107"/>
        <v>12508.391676776904</v>
      </c>
      <c r="U147" s="665">
        <f t="shared" si="107"/>
        <v>12758.55951031244</v>
      </c>
      <c r="V147" s="665">
        <f t="shared" si="107"/>
        <v>13013.730700518692</v>
      </c>
      <c r="W147" s="665">
        <f t="shared" si="107"/>
        <v>13274.005314529066</v>
      </c>
      <c r="X147" s="665">
        <f t="shared" si="107"/>
        <v>13539.485420819647</v>
      </c>
      <c r="Y147" s="665">
        <f t="shared" si="107"/>
        <v>13810.275129236041</v>
      </c>
      <c r="Z147" s="665">
        <f t="shared" si="107"/>
        <v>14086.480631820759</v>
      </c>
      <c r="AA147" s="665">
        <f t="shared" si="107"/>
        <v>14368.210244457177</v>
      </c>
      <c r="AB147" s="665">
        <f t="shared" si="107"/>
        <v>14655.574449346321</v>
      </c>
      <c r="AC147" s="665">
        <f t="shared" si="107"/>
        <v>14948.685938333247</v>
      </c>
      <c r="AD147" s="665">
        <f t="shared" si="107"/>
        <v>15247.659657099914</v>
      </c>
      <c r="AE147" s="665">
        <f t="shared" si="107"/>
        <v>15552.612850241911</v>
      </c>
    </row>
    <row r="148" spans="1:33">
      <c r="B148" s="191"/>
      <c r="C148" s="192"/>
      <c r="D148" s="193"/>
      <c r="E148" s="194"/>
      <c r="F148" s="194"/>
      <c r="G148" s="192"/>
      <c r="H148" s="192"/>
      <c r="I148" s="195"/>
      <c r="J148" s="196"/>
      <c r="K148" s="689"/>
      <c r="L148" s="665"/>
      <c r="M148" s="665"/>
      <c r="N148" s="665"/>
      <c r="O148" s="665"/>
      <c r="P148" s="665"/>
      <c r="Q148" s="665"/>
      <c r="R148" s="665"/>
      <c r="S148" s="665"/>
      <c r="T148" s="665"/>
      <c r="U148" s="665"/>
      <c r="V148" s="665"/>
      <c r="W148" s="665"/>
      <c r="X148" s="665"/>
      <c r="Y148" s="665"/>
      <c r="Z148" s="665"/>
      <c r="AA148" s="665"/>
      <c r="AB148" s="665"/>
      <c r="AC148" s="665"/>
      <c r="AD148" s="665"/>
      <c r="AE148" s="665"/>
    </row>
    <row r="149" spans="1:33" s="197" customFormat="1" ht="14.25">
      <c r="A149" s="197" t="s">
        <v>68</v>
      </c>
      <c r="D149" s="198"/>
      <c r="K149" s="690"/>
      <c r="L149" s="677"/>
      <c r="M149" s="677"/>
      <c r="N149" s="677"/>
      <c r="O149" s="677"/>
      <c r="P149" s="677"/>
      <c r="Q149" s="677"/>
      <c r="R149" s="677"/>
      <c r="S149" s="677"/>
      <c r="T149" s="677"/>
      <c r="U149" s="677"/>
      <c r="V149" s="677"/>
      <c r="W149" s="677"/>
      <c r="X149" s="677"/>
      <c r="Y149" s="677"/>
      <c r="Z149" s="677"/>
      <c r="AA149" s="677"/>
      <c r="AB149" s="677"/>
      <c r="AC149" s="677"/>
      <c r="AD149" s="677"/>
      <c r="AE149" s="677"/>
    </row>
    <row r="150" spans="1:33">
      <c r="A150" s="37" t="s">
        <v>423</v>
      </c>
      <c r="B150" s="37"/>
      <c r="C150" s="110"/>
      <c r="D150" s="106"/>
      <c r="E150" s="57"/>
      <c r="F150" s="57"/>
      <c r="G150" s="57"/>
      <c r="H150" s="57"/>
      <c r="I150" s="49"/>
      <c r="J150" s="44"/>
      <c r="K150" s="683">
        <f>COUNTIF(K$116:K$123,"&gt;0")*$J150*R$9</f>
        <v>0</v>
      </c>
      <c r="L150" s="666">
        <v>0</v>
      </c>
      <c r="M150" s="666">
        <v>10000</v>
      </c>
      <c r="N150" s="666">
        <f t="shared" ref="N150:AE150" si="108">$M$150*L11</f>
        <v>10200</v>
      </c>
      <c r="O150" s="666">
        <f t="shared" si="108"/>
        <v>10404</v>
      </c>
      <c r="P150" s="666">
        <f t="shared" si="108"/>
        <v>10612.08</v>
      </c>
      <c r="Q150" s="666">
        <f t="shared" si="108"/>
        <v>10824.321599999999</v>
      </c>
      <c r="R150" s="666">
        <f t="shared" si="108"/>
        <v>11040.808032000001</v>
      </c>
      <c r="S150" s="666">
        <f t="shared" si="108"/>
        <v>11261.62419264</v>
      </c>
      <c r="T150" s="666">
        <f t="shared" si="108"/>
        <v>11486.8566764928</v>
      </c>
      <c r="U150" s="666">
        <f t="shared" si="108"/>
        <v>11716.593810022658</v>
      </c>
      <c r="V150" s="666">
        <f t="shared" si="108"/>
        <v>11950.92568622311</v>
      </c>
      <c r="W150" s="666">
        <f t="shared" si="108"/>
        <v>12189.944199947573</v>
      </c>
      <c r="X150" s="666">
        <f t="shared" si="108"/>
        <v>12433.743083946525</v>
      </c>
      <c r="Y150" s="666">
        <f t="shared" si="108"/>
        <v>12682.417945625455</v>
      </c>
      <c r="Z150" s="666">
        <f t="shared" si="108"/>
        <v>12936.066304537962</v>
      </c>
      <c r="AA150" s="666">
        <f t="shared" si="108"/>
        <v>13194.787630628723</v>
      </c>
      <c r="AB150" s="666">
        <f t="shared" si="108"/>
        <v>13458.683383241299</v>
      </c>
      <c r="AC150" s="666">
        <f t="shared" si="108"/>
        <v>13727.857050906125</v>
      </c>
      <c r="AD150" s="666">
        <f t="shared" si="108"/>
        <v>14002.414191924248</v>
      </c>
      <c r="AE150" s="666">
        <f t="shared" si="108"/>
        <v>14282.462475762733</v>
      </c>
    </row>
    <row r="151" spans="1:33">
      <c r="A151" s="37" t="s">
        <v>67</v>
      </c>
      <c r="B151" s="37"/>
      <c r="C151" s="110"/>
      <c r="D151" s="106"/>
      <c r="E151" s="57"/>
      <c r="F151" s="57"/>
      <c r="G151" s="57"/>
      <c r="H151" s="57"/>
      <c r="I151" s="51"/>
      <c r="J151" s="44"/>
      <c r="K151" s="683">
        <v>0</v>
      </c>
      <c r="L151" s="666">
        <v>0</v>
      </c>
      <c r="M151" s="666">
        <v>10000</v>
      </c>
      <c r="N151" s="666">
        <f t="shared" ref="N151:AE151" si="109">$M$151*L11</f>
        <v>10200</v>
      </c>
      <c r="O151" s="666">
        <f t="shared" si="109"/>
        <v>10404</v>
      </c>
      <c r="P151" s="666">
        <f t="shared" si="109"/>
        <v>10612.08</v>
      </c>
      <c r="Q151" s="666">
        <f t="shared" si="109"/>
        <v>10824.321599999999</v>
      </c>
      <c r="R151" s="666">
        <f t="shared" si="109"/>
        <v>11040.808032000001</v>
      </c>
      <c r="S151" s="666">
        <f t="shared" si="109"/>
        <v>11261.62419264</v>
      </c>
      <c r="T151" s="666">
        <f t="shared" si="109"/>
        <v>11486.8566764928</v>
      </c>
      <c r="U151" s="666">
        <f t="shared" si="109"/>
        <v>11716.593810022658</v>
      </c>
      <c r="V151" s="666">
        <f t="shared" si="109"/>
        <v>11950.92568622311</v>
      </c>
      <c r="W151" s="666">
        <f t="shared" si="109"/>
        <v>12189.944199947573</v>
      </c>
      <c r="X151" s="666">
        <f t="shared" si="109"/>
        <v>12433.743083946525</v>
      </c>
      <c r="Y151" s="666">
        <f t="shared" si="109"/>
        <v>12682.417945625455</v>
      </c>
      <c r="Z151" s="666">
        <f t="shared" si="109"/>
        <v>12936.066304537962</v>
      </c>
      <c r="AA151" s="666">
        <f t="shared" si="109"/>
        <v>13194.787630628723</v>
      </c>
      <c r="AB151" s="666">
        <f t="shared" si="109"/>
        <v>13458.683383241299</v>
      </c>
      <c r="AC151" s="666">
        <f t="shared" si="109"/>
        <v>13727.857050906125</v>
      </c>
      <c r="AD151" s="666">
        <f t="shared" si="109"/>
        <v>14002.414191924248</v>
      </c>
      <c r="AE151" s="666">
        <f t="shared" si="109"/>
        <v>14282.462475762733</v>
      </c>
    </row>
    <row r="152" spans="1:33">
      <c r="A152" s="180" t="s">
        <v>2</v>
      </c>
      <c r="B152" s="777"/>
      <c r="C152" s="778"/>
      <c r="D152" s="779"/>
      <c r="E152" s="746"/>
      <c r="F152" s="746"/>
      <c r="G152" s="778"/>
      <c r="H152" s="778"/>
      <c r="I152" s="780"/>
      <c r="J152" s="781"/>
      <c r="K152" s="741">
        <v>0</v>
      </c>
      <c r="L152" s="742">
        <v>0</v>
      </c>
      <c r="M152" s="742">
        <v>0</v>
      </c>
      <c r="N152" s="742">
        <v>0</v>
      </c>
      <c r="O152" s="742">
        <v>0</v>
      </c>
      <c r="P152" s="742">
        <v>0</v>
      </c>
      <c r="Q152" s="742">
        <v>0</v>
      </c>
      <c r="R152" s="742">
        <v>0</v>
      </c>
      <c r="S152" s="742">
        <v>0</v>
      </c>
      <c r="T152" s="742">
        <v>0</v>
      </c>
      <c r="U152" s="742">
        <v>0</v>
      </c>
      <c r="V152" s="742">
        <v>0</v>
      </c>
      <c r="W152" s="742">
        <v>0</v>
      </c>
      <c r="X152" s="742">
        <v>0</v>
      </c>
      <c r="Y152" s="742">
        <v>0</v>
      </c>
      <c r="Z152" s="742">
        <v>0</v>
      </c>
      <c r="AA152" s="742">
        <v>0</v>
      </c>
      <c r="AB152" s="742">
        <v>0</v>
      </c>
      <c r="AC152" s="742">
        <v>0</v>
      </c>
      <c r="AD152" s="742">
        <v>0</v>
      </c>
      <c r="AE152" s="742">
        <v>0</v>
      </c>
    </row>
    <row r="153" spans="1:33" s="56" customFormat="1" ht="14.25">
      <c r="A153" s="164" t="s">
        <v>78</v>
      </c>
      <c r="B153" s="164"/>
      <c r="C153" s="75"/>
      <c r="D153" s="173"/>
      <c r="E153" s="75"/>
      <c r="F153" s="75"/>
      <c r="G153" s="75"/>
      <c r="H153" s="75"/>
      <c r="I153" s="174"/>
      <c r="J153" s="175"/>
      <c r="K153" s="685">
        <v>0</v>
      </c>
      <c r="L153" s="669">
        <f t="shared" ref="L153:AE153" si="110">SUM(L150:L152)</f>
        <v>0</v>
      </c>
      <c r="M153" s="669">
        <f t="shared" si="110"/>
        <v>20000</v>
      </c>
      <c r="N153" s="669">
        <f t="shared" si="110"/>
        <v>20400</v>
      </c>
      <c r="O153" s="669">
        <f t="shared" si="110"/>
        <v>20808</v>
      </c>
      <c r="P153" s="669">
        <f t="shared" si="110"/>
        <v>21224.16</v>
      </c>
      <c r="Q153" s="669">
        <f t="shared" si="110"/>
        <v>21648.643199999999</v>
      </c>
      <c r="R153" s="669">
        <f t="shared" si="110"/>
        <v>22081.616064000002</v>
      </c>
      <c r="S153" s="669">
        <f t="shared" si="110"/>
        <v>22523.24838528</v>
      </c>
      <c r="T153" s="669">
        <f t="shared" si="110"/>
        <v>22973.7133529856</v>
      </c>
      <c r="U153" s="669">
        <f t="shared" si="110"/>
        <v>23433.187620045315</v>
      </c>
      <c r="V153" s="669">
        <f t="shared" si="110"/>
        <v>23901.851372446221</v>
      </c>
      <c r="W153" s="669">
        <f t="shared" si="110"/>
        <v>24379.888399895146</v>
      </c>
      <c r="X153" s="669">
        <f t="shared" si="110"/>
        <v>24867.48616789305</v>
      </c>
      <c r="Y153" s="669">
        <f t="shared" si="110"/>
        <v>25364.83589125091</v>
      </c>
      <c r="Z153" s="669">
        <f t="shared" si="110"/>
        <v>25872.132609075925</v>
      </c>
      <c r="AA153" s="669">
        <f t="shared" si="110"/>
        <v>26389.575261257447</v>
      </c>
      <c r="AB153" s="669">
        <f t="shared" si="110"/>
        <v>26917.366766482599</v>
      </c>
      <c r="AC153" s="669">
        <f t="shared" si="110"/>
        <v>27455.714101812249</v>
      </c>
      <c r="AD153" s="669">
        <f t="shared" si="110"/>
        <v>28004.828383848497</v>
      </c>
      <c r="AE153" s="669">
        <f t="shared" si="110"/>
        <v>28564.924951525467</v>
      </c>
    </row>
    <row r="154" spans="1:33" s="56" customFormat="1" ht="14.25">
      <c r="A154" s="164"/>
      <c r="B154" s="164"/>
      <c r="C154" s="75"/>
      <c r="D154" s="173"/>
      <c r="E154" s="75"/>
      <c r="F154" s="75"/>
      <c r="G154" s="75"/>
      <c r="H154" s="75"/>
      <c r="I154" s="174"/>
      <c r="J154" s="175"/>
      <c r="K154" s="685"/>
      <c r="L154" s="669"/>
      <c r="M154" s="669"/>
      <c r="N154" s="669"/>
      <c r="O154" s="669"/>
      <c r="P154" s="669"/>
      <c r="Q154" s="669"/>
      <c r="R154" s="669"/>
      <c r="S154" s="669"/>
      <c r="T154" s="669"/>
      <c r="U154" s="669"/>
      <c r="V154" s="669"/>
      <c r="W154" s="669"/>
      <c r="X154" s="669"/>
      <c r="Y154" s="669"/>
      <c r="Z154" s="669"/>
      <c r="AA154" s="669"/>
      <c r="AB154" s="669"/>
      <c r="AC154" s="669"/>
      <c r="AD154" s="669"/>
      <c r="AE154" s="669"/>
    </row>
    <row r="155" spans="1:33" s="56" customFormat="1" ht="14.25">
      <c r="A155" s="164" t="s">
        <v>66</v>
      </c>
      <c r="B155" s="164"/>
      <c r="C155" s="75"/>
      <c r="D155" s="173"/>
      <c r="E155" s="75"/>
      <c r="F155" s="75"/>
      <c r="G155" s="75"/>
      <c r="H155" s="75"/>
      <c r="I155" s="174"/>
      <c r="J155" s="175"/>
      <c r="K155" s="685">
        <v>0</v>
      </c>
      <c r="L155" s="669">
        <f>SUM(L141,L153)</f>
        <v>0</v>
      </c>
      <c r="M155" s="669">
        <f>SUM(M141,M147,M153)</f>
        <v>85335.846153846156</v>
      </c>
      <c r="N155" s="669">
        <f t="shared" ref="N155:AE155" si="111">SUM(N141,N147,N153)</f>
        <v>87042.563076923077</v>
      </c>
      <c r="O155" s="669">
        <f t="shared" si="111"/>
        <v>88783.41433846156</v>
      </c>
      <c r="P155" s="669">
        <f t="shared" si="111"/>
        <v>90559.082625230774</v>
      </c>
      <c r="Q155" s="669">
        <f t="shared" si="111"/>
        <v>92370.264277735376</v>
      </c>
      <c r="R155" s="669">
        <f t="shared" si="111"/>
        <v>94217.669563290081</v>
      </c>
      <c r="S155" s="669">
        <f t="shared" si="111"/>
        <v>96102.022954555898</v>
      </c>
      <c r="T155" s="669">
        <f t="shared" si="111"/>
        <v>98024.063413647003</v>
      </c>
      <c r="U155" s="669">
        <f t="shared" si="111"/>
        <v>99984.544681919942</v>
      </c>
      <c r="V155" s="669">
        <f t="shared" si="111"/>
        <v>101984.23557555837</v>
      </c>
      <c r="W155" s="669">
        <f t="shared" si="111"/>
        <v>104023.92028706953</v>
      </c>
      <c r="X155" s="669">
        <f t="shared" si="111"/>
        <v>106104.39869281092</v>
      </c>
      <c r="Y155" s="669">
        <f t="shared" si="111"/>
        <v>108226.48666666714</v>
      </c>
      <c r="Z155" s="669">
        <f t="shared" si="111"/>
        <v>110391.01640000047</v>
      </c>
      <c r="AA155" s="669">
        <f t="shared" si="111"/>
        <v>112598.8367280005</v>
      </c>
      <c r="AB155" s="669">
        <f t="shared" si="111"/>
        <v>114850.8134625605</v>
      </c>
      <c r="AC155" s="669">
        <f t="shared" si="111"/>
        <v>117147.82973181173</v>
      </c>
      <c r="AD155" s="669">
        <f t="shared" si="111"/>
        <v>119490.78632644797</v>
      </c>
      <c r="AE155" s="669">
        <f t="shared" si="111"/>
        <v>121880.60205297693</v>
      </c>
    </row>
    <row r="156" spans="1:33" s="56" customFormat="1" ht="14.25">
      <c r="A156" s="164"/>
      <c r="B156" s="164"/>
      <c r="C156" s="75"/>
      <c r="D156" s="173"/>
      <c r="E156" s="75"/>
      <c r="F156" s="75"/>
      <c r="G156" s="75"/>
      <c r="H156" s="75"/>
      <c r="I156" s="174"/>
      <c r="J156" s="175"/>
      <c r="K156" s="685"/>
      <c r="L156" s="669"/>
      <c r="M156" s="669"/>
      <c r="N156" s="669"/>
      <c r="O156" s="669"/>
      <c r="P156" s="669"/>
      <c r="Q156" s="669"/>
      <c r="R156" s="669"/>
      <c r="S156" s="669"/>
      <c r="T156" s="669"/>
      <c r="U156" s="669"/>
      <c r="V156" s="669"/>
      <c r="W156" s="669"/>
      <c r="X156" s="669"/>
      <c r="Y156" s="669"/>
      <c r="Z156" s="669"/>
      <c r="AA156" s="669"/>
      <c r="AB156" s="669"/>
      <c r="AC156" s="669"/>
      <c r="AD156" s="669"/>
      <c r="AE156" s="669"/>
    </row>
    <row r="157" spans="1:33">
      <c r="A157" s="47" t="s">
        <v>7</v>
      </c>
      <c r="B157" s="47" t="s">
        <v>7</v>
      </c>
      <c r="C157" s="78" t="s">
        <v>7</v>
      </c>
      <c r="D157" s="100"/>
      <c r="E157" s="78" t="s">
        <v>7</v>
      </c>
      <c r="F157" s="78"/>
      <c r="G157" s="78" t="s">
        <v>7</v>
      </c>
      <c r="H157" s="78"/>
      <c r="I157" s="52" t="s">
        <v>7</v>
      </c>
      <c r="J157" s="114"/>
      <c r="K157" s="673"/>
      <c r="L157" s="672"/>
      <c r="M157" s="672"/>
      <c r="N157" s="672"/>
      <c r="O157" s="672"/>
      <c r="P157" s="672"/>
      <c r="Q157" s="672"/>
      <c r="R157" s="672"/>
      <c r="S157" s="672"/>
      <c r="T157" s="672"/>
      <c r="U157" s="672"/>
      <c r="V157" s="672"/>
      <c r="W157" s="672"/>
      <c r="X157" s="672"/>
      <c r="Y157" s="672"/>
      <c r="Z157" s="672"/>
      <c r="AA157" s="672"/>
      <c r="AB157" s="672"/>
      <c r="AC157" s="672"/>
      <c r="AD157" s="672"/>
      <c r="AE157" s="672"/>
    </row>
    <row r="158" spans="1:33">
      <c r="A158" s="47"/>
      <c r="B158" s="47"/>
      <c r="C158" s="78"/>
      <c r="D158" s="100"/>
      <c r="E158" s="78"/>
      <c r="F158" s="78"/>
      <c r="G158" s="78"/>
      <c r="H158" s="78"/>
      <c r="I158" s="52"/>
      <c r="J158" s="114"/>
      <c r="K158" s="664"/>
      <c r="L158" s="666"/>
      <c r="M158" s="666"/>
      <c r="N158" s="666"/>
      <c r="O158" s="666"/>
      <c r="P158" s="666"/>
      <c r="Q158" s="666"/>
      <c r="R158" s="666"/>
      <c r="S158" s="666"/>
      <c r="T158" s="666"/>
      <c r="U158" s="666"/>
      <c r="V158" s="666"/>
      <c r="W158" s="666"/>
      <c r="X158" s="666"/>
      <c r="Y158" s="666"/>
      <c r="Z158" s="666"/>
      <c r="AA158" s="666"/>
      <c r="AB158" s="666"/>
      <c r="AC158" s="666"/>
      <c r="AD158" s="666"/>
      <c r="AE158" s="666"/>
    </row>
    <row r="159" spans="1:33" s="56" customFormat="1" ht="14.25">
      <c r="A159" s="203" t="s">
        <v>79</v>
      </c>
      <c r="B159" s="203"/>
      <c r="C159" s="204"/>
      <c r="D159" s="205"/>
      <c r="E159" s="204"/>
      <c r="F159" s="204"/>
      <c r="G159" s="204"/>
      <c r="H159" s="204"/>
      <c r="I159" s="206"/>
      <c r="J159" s="207"/>
      <c r="K159" s="675">
        <v>0</v>
      </c>
      <c r="L159" s="676">
        <f t="shared" ref="L159:AE159" si="112">SUM(L132,L155)</f>
        <v>0</v>
      </c>
      <c r="M159" s="676">
        <f t="shared" si="112"/>
        <v>139905.84615384616</v>
      </c>
      <c r="N159" s="676">
        <f t="shared" si="112"/>
        <v>143817.19107692307</v>
      </c>
      <c r="O159" s="676">
        <f t="shared" si="112"/>
        <v>146693.53489846154</v>
      </c>
      <c r="P159" s="676">
        <f t="shared" si="112"/>
        <v>149627.40559643076</v>
      </c>
      <c r="Q159" s="676">
        <f t="shared" si="112"/>
        <v>152619.95370835939</v>
      </c>
      <c r="R159" s="676">
        <f t="shared" si="112"/>
        <v>155672.35278252655</v>
      </c>
      <c r="S159" s="676">
        <f t="shared" si="112"/>
        <v>158785.7998381771</v>
      </c>
      <c r="T159" s="676">
        <f t="shared" si="112"/>
        <v>161961.51583494066</v>
      </c>
      <c r="U159" s="676">
        <f t="shared" si="112"/>
        <v>165200.74615163944</v>
      </c>
      <c r="V159" s="676">
        <f t="shared" si="112"/>
        <v>168504.76107467228</v>
      </c>
      <c r="W159" s="676">
        <f t="shared" si="112"/>
        <v>171874.85629616573</v>
      </c>
      <c r="X159" s="676">
        <f t="shared" si="112"/>
        <v>175312.35342208904</v>
      </c>
      <c r="Y159" s="676">
        <f t="shared" si="112"/>
        <v>178818.60049053084</v>
      </c>
      <c r="Z159" s="676">
        <f t="shared" si="112"/>
        <v>182394.97250034142</v>
      </c>
      <c r="AA159" s="676">
        <f t="shared" si="112"/>
        <v>186042.87195034826</v>
      </c>
      <c r="AB159" s="676">
        <f t="shared" si="112"/>
        <v>189763.72938935523</v>
      </c>
      <c r="AC159" s="676">
        <f t="shared" si="112"/>
        <v>193559.00397714233</v>
      </c>
      <c r="AD159" s="676">
        <f t="shared" si="112"/>
        <v>197430.18405668519</v>
      </c>
      <c r="AE159" s="676">
        <f t="shared" si="112"/>
        <v>201378.7877378189</v>
      </c>
      <c r="AG159" s="199"/>
    </row>
    <row r="160" spans="1:33">
      <c r="K160" s="664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</row>
    <row r="161" spans="1:33">
      <c r="A161" s="47" t="s">
        <v>7</v>
      </c>
      <c r="B161" s="47" t="s">
        <v>7</v>
      </c>
      <c r="C161" s="78" t="s">
        <v>7</v>
      </c>
      <c r="D161" s="100"/>
      <c r="E161" s="78" t="s">
        <v>7</v>
      </c>
      <c r="F161" s="78"/>
      <c r="G161" s="78" t="s">
        <v>7</v>
      </c>
      <c r="H161" s="78"/>
      <c r="I161" s="52" t="s">
        <v>7</v>
      </c>
      <c r="J161" s="114"/>
      <c r="K161" s="673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</row>
    <row r="162" spans="1:33">
      <c r="K162" s="664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G162" s="199"/>
    </row>
    <row r="163" spans="1:33" s="56" customFormat="1" ht="14.25">
      <c r="A163" s="208" t="s">
        <v>115</v>
      </c>
      <c r="B163" s="208"/>
      <c r="C163" s="208"/>
      <c r="D163" s="202"/>
      <c r="E163" s="208"/>
      <c r="F163" s="208"/>
      <c r="G163" s="208"/>
      <c r="H163" s="208"/>
      <c r="I163" s="208"/>
      <c r="J163" s="208"/>
      <c r="K163" s="678">
        <f>SUM(K153,K113)</f>
        <v>0</v>
      </c>
      <c r="L163" s="678">
        <f t="shared" ref="L163:AE163" si="113">SUM(L113,L159)</f>
        <v>357416.66666666669</v>
      </c>
      <c r="M163" s="678">
        <f t="shared" si="113"/>
        <v>894419.34615384613</v>
      </c>
      <c r="N163" s="678">
        <f t="shared" si="113"/>
        <v>913431.16107692313</v>
      </c>
      <c r="O163" s="678">
        <f t="shared" si="113"/>
        <v>931699.78429846151</v>
      </c>
      <c r="P163" s="678">
        <f t="shared" si="113"/>
        <v>950333.77998443064</v>
      </c>
      <c r="Q163" s="678">
        <f t="shared" si="113"/>
        <v>997684.33437931933</v>
      </c>
      <c r="R163" s="678">
        <f t="shared" si="113"/>
        <v>1013101.1022765377</v>
      </c>
      <c r="S163" s="678">
        <f t="shared" si="113"/>
        <v>1033363.1243220684</v>
      </c>
      <c r="T163" s="678">
        <f t="shared" si="113"/>
        <v>1054030.3868085099</v>
      </c>
      <c r="U163" s="678">
        <f t="shared" si="113"/>
        <v>1075110.9945446802</v>
      </c>
      <c r="V163" s="678">
        <f t="shared" si="113"/>
        <v>1101003.7172255765</v>
      </c>
      <c r="W163" s="678">
        <f t="shared" si="113"/>
        <v>1118545.4787242853</v>
      </c>
      <c r="X163" s="678">
        <f t="shared" si="113"/>
        <v>1140916.3882987711</v>
      </c>
      <c r="Y163" s="678">
        <f t="shared" si="113"/>
        <v>1163734.7160647465</v>
      </c>
      <c r="Z163" s="678">
        <f t="shared" si="113"/>
        <v>1187009.4103860415</v>
      </c>
      <c r="AA163" s="678">
        <f t="shared" si="113"/>
        <v>1215076.6644246003</v>
      </c>
      <c r="AB163" s="678">
        <f t="shared" si="113"/>
        <v>1234964.5905656377</v>
      </c>
      <c r="AC163" s="678">
        <f t="shared" si="113"/>
        <v>1259663.8823769502</v>
      </c>
      <c r="AD163" s="678">
        <f t="shared" si="113"/>
        <v>1284857.1600244893</v>
      </c>
      <c r="AE163" s="678">
        <f t="shared" si="113"/>
        <v>1310554.3032249792</v>
      </c>
      <c r="AG163" s="199"/>
    </row>
    <row r="164" spans="1:33">
      <c r="K164" s="664"/>
      <c r="L164" s="666"/>
      <c r="M164" s="666"/>
      <c r="N164" s="666"/>
      <c r="O164" s="666"/>
      <c r="P164" s="666"/>
      <c r="Q164" s="666"/>
      <c r="R164" s="666"/>
      <c r="S164" s="666"/>
      <c r="T164" s="666"/>
      <c r="U164" s="666"/>
      <c r="V164" s="666"/>
      <c r="W164" s="666"/>
      <c r="X164" s="666"/>
      <c r="Y164" s="666"/>
      <c r="Z164" s="666"/>
      <c r="AA164" s="666"/>
      <c r="AB164" s="666"/>
      <c r="AC164" s="666"/>
      <c r="AD164" s="666"/>
      <c r="AE164" s="666"/>
      <c r="AG164" s="199"/>
    </row>
    <row r="165" spans="1:33">
      <c r="A165" s="251"/>
      <c r="B165" s="251"/>
      <c r="C165" s="251"/>
      <c r="D165" s="259"/>
      <c r="E165" s="251"/>
      <c r="F165" s="251"/>
      <c r="G165" s="251"/>
      <c r="H165" s="251"/>
      <c r="I165" s="251"/>
      <c r="J165" s="251"/>
      <c r="K165" s="679"/>
      <c r="L165" s="680"/>
      <c r="M165" s="680"/>
      <c r="N165" s="680"/>
      <c r="O165" s="680"/>
      <c r="P165" s="680"/>
      <c r="Q165" s="680"/>
      <c r="R165" s="680"/>
      <c r="S165" s="680"/>
      <c r="T165" s="680"/>
      <c r="U165" s="680"/>
      <c r="V165" s="680"/>
      <c r="W165" s="680"/>
      <c r="X165" s="680"/>
      <c r="Y165" s="680"/>
      <c r="Z165" s="680"/>
      <c r="AA165" s="680"/>
      <c r="AB165" s="680"/>
      <c r="AC165" s="680"/>
      <c r="AD165" s="680"/>
      <c r="AE165" s="680"/>
      <c r="AG165" s="199"/>
    </row>
    <row r="166" spans="1:33">
      <c r="K166" s="664"/>
      <c r="L166" s="666"/>
      <c r="M166" s="666"/>
      <c r="N166" s="666"/>
      <c r="O166" s="666"/>
      <c r="P166" s="666"/>
      <c r="Q166" s="666"/>
      <c r="R166" s="666"/>
      <c r="S166" s="666"/>
      <c r="T166" s="666"/>
      <c r="U166" s="666"/>
      <c r="V166" s="666"/>
      <c r="W166" s="666"/>
      <c r="X166" s="666"/>
      <c r="Y166" s="666"/>
      <c r="Z166" s="666"/>
      <c r="AA166" s="666"/>
      <c r="AB166" s="666"/>
      <c r="AC166" s="666"/>
      <c r="AD166" s="666"/>
      <c r="AE166" s="666"/>
      <c r="AG166" s="199"/>
    </row>
    <row r="167" spans="1:33">
      <c r="A167" s="249" t="s">
        <v>84</v>
      </c>
      <c r="B167" s="281"/>
      <c r="C167" s="281"/>
      <c r="D167" s="177"/>
      <c r="E167" s="281"/>
      <c r="F167" s="281"/>
      <c r="G167" s="281"/>
      <c r="H167" s="281"/>
      <c r="I167" s="281"/>
      <c r="J167" s="281"/>
      <c r="K167" s="681"/>
      <c r="L167" s="682"/>
      <c r="M167" s="682"/>
      <c r="N167" s="682"/>
      <c r="O167" s="682"/>
      <c r="P167" s="682"/>
      <c r="Q167" s="682"/>
      <c r="R167" s="682"/>
      <c r="S167" s="682"/>
      <c r="T167" s="682"/>
      <c r="U167" s="682"/>
      <c r="V167" s="682"/>
      <c r="W167" s="682"/>
      <c r="X167" s="682"/>
      <c r="Y167" s="682"/>
      <c r="Z167" s="682"/>
      <c r="AA167" s="682"/>
      <c r="AB167" s="682"/>
      <c r="AC167" s="682"/>
      <c r="AD167" s="682"/>
      <c r="AE167" s="682"/>
      <c r="AG167" s="199"/>
    </row>
    <row r="168" spans="1:33" s="252" customFormat="1">
      <c r="A168" s="257"/>
      <c r="D168" s="186"/>
      <c r="K168" s="664"/>
      <c r="L168" s="671"/>
      <c r="M168" s="671"/>
      <c r="N168" s="671"/>
      <c r="O168" s="671"/>
      <c r="P168" s="671"/>
      <c r="Q168" s="671"/>
      <c r="R168" s="671"/>
      <c r="S168" s="671"/>
      <c r="T168" s="671"/>
      <c r="U168" s="671"/>
      <c r="V168" s="671"/>
      <c r="W168" s="671"/>
      <c r="X168" s="671"/>
      <c r="Y168" s="671"/>
      <c r="Z168" s="671"/>
      <c r="AA168" s="671"/>
      <c r="AB168" s="671"/>
      <c r="AC168" s="671"/>
      <c r="AD168" s="671"/>
      <c r="AE168" s="671"/>
      <c r="AG168" s="363"/>
    </row>
    <row r="169" spans="1:33">
      <c r="A169" s="96" t="s">
        <v>136</v>
      </c>
      <c r="B169" s="37"/>
      <c r="C169" s="110"/>
      <c r="D169" s="106"/>
      <c r="E169" s="57"/>
      <c r="F169" s="57"/>
      <c r="G169" s="57"/>
      <c r="H169" s="57"/>
      <c r="I169" s="51"/>
      <c r="J169" s="44"/>
      <c r="K169" s="514"/>
      <c r="L169" s="515"/>
      <c r="M169" s="515"/>
      <c r="N169" s="515"/>
      <c r="O169" s="515"/>
      <c r="P169" s="515"/>
      <c r="Q169" s="515"/>
      <c r="R169" s="515"/>
      <c r="S169" s="515"/>
      <c r="T169" s="515"/>
      <c r="U169" s="515"/>
      <c r="V169" s="515"/>
      <c r="W169" s="515"/>
      <c r="X169" s="515"/>
      <c r="Y169" s="515"/>
      <c r="Z169" s="515"/>
      <c r="AA169" s="515"/>
      <c r="AB169" s="515"/>
      <c r="AC169" s="515"/>
      <c r="AD169" s="515"/>
      <c r="AE169" s="515"/>
      <c r="AG169" s="199"/>
    </row>
    <row r="170" spans="1:33">
      <c r="A170" s="37" t="s">
        <v>456</v>
      </c>
      <c r="K170" s="683">
        <v>0</v>
      </c>
      <c r="L170" s="663">
        <v>0</v>
      </c>
      <c r="M170" s="663">
        <v>67225</v>
      </c>
      <c r="N170" s="663">
        <f t="shared" ref="N170:AE170" si="114">$M$170*L11</f>
        <v>68569.5</v>
      </c>
      <c r="O170" s="663">
        <f t="shared" si="114"/>
        <v>69940.89</v>
      </c>
      <c r="P170" s="663">
        <f t="shared" si="114"/>
        <v>71339.707799999989</v>
      </c>
      <c r="Q170" s="663">
        <f t="shared" si="114"/>
        <v>72766.501955999993</v>
      </c>
      <c r="R170" s="663">
        <f t="shared" si="114"/>
        <v>74221.831995119996</v>
      </c>
      <c r="S170" s="663">
        <f t="shared" si="114"/>
        <v>75706.26863502241</v>
      </c>
      <c r="T170" s="663">
        <f t="shared" si="114"/>
        <v>77220.394007722847</v>
      </c>
      <c r="U170" s="663">
        <f t="shared" si="114"/>
        <v>78764.801887877315</v>
      </c>
      <c r="V170" s="663">
        <f t="shared" si="114"/>
        <v>80340.097925634866</v>
      </c>
      <c r="W170" s="663">
        <f t="shared" si="114"/>
        <v>81946.899884147555</v>
      </c>
      <c r="X170" s="663">
        <f t="shared" si="114"/>
        <v>83585.837881830506</v>
      </c>
      <c r="Y170" s="663">
        <f t="shared" si="114"/>
        <v>85257.554639467126</v>
      </c>
      <c r="Z170" s="663">
        <f t="shared" si="114"/>
        <v>86962.705732256451</v>
      </c>
      <c r="AA170" s="663">
        <f t="shared" si="114"/>
        <v>88701.959846901591</v>
      </c>
      <c r="AB170" s="663">
        <f t="shared" si="114"/>
        <v>90475.999043839634</v>
      </c>
      <c r="AC170" s="663">
        <f t="shared" si="114"/>
        <v>92285.519024716428</v>
      </c>
      <c r="AD170" s="663">
        <f t="shared" si="114"/>
        <v>94131.229405210761</v>
      </c>
      <c r="AE170" s="663">
        <f t="shared" si="114"/>
        <v>96013.853993314973</v>
      </c>
    </row>
    <row r="171" spans="1:33">
      <c r="K171" s="684"/>
    </row>
    <row r="172" spans="1:33">
      <c r="A172" s="37" t="s">
        <v>576</v>
      </c>
      <c r="K172" s="683">
        <v>0</v>
      </c>
      <c r="L172" s="882">
        <f>'Capital Financing'!$B$55</f>
        <v>706995.96</v>
      </c>
      <c r="M172" s="882">
        <f>'Capital Financing'!$B$55</f>
        <v>706995.96</v>
      </c>
      <c r="N172" s="882">
        <f>'Capital Financing'!$B$55</f>
        <v>706995.96</v>
      </c>
      <c r="O172" s="882">
        <f>'Capital Financing'!$B$55</f>
        <v>706995.96</v>
      </c>
      <c r="P172" s="882">
        <f>'Capital Financing'!$B$55</f>
        <v>706995.96</v>
      </c>
      <c r="Q172" s="882">
        <f>'Capital Financing'!$B$55</f>
        <v>706995.96</v>
      </c>
      <c r="R172" s="882">
        <f>'Capital Financing'!$B$55</f>
        <v>706995.96</v>
      </c>
      <c r="S172" s="882">
        <f>'Capital Financing'!$B$55</f>
        <v>706995.96</v>
      </c>
      <c r="T172" s="882">
        <f>'Capital Financing'!$B$55</f>
        <v>706995.96</v>
      </c>
      <c r="U172" s="882">
        <f>'Capital Financing'!$B$55</f>
        <v>706995.96</v>
      </c>
      <c r="V172" s="882">
        <f>'Capital Financing'!$B$55</f>
        <v>706995.96</v>
      </c>
      <c r="W172" s="882">
        <f>'Capital Financing'!$B$55</f>
        <v>706995.96</v>
      </c>
      <c r="X172" s="882">
        <f>'Capital Financing'!$B$55</f>
        <v>706995.96</v>
      </c>
      <c r="Y172" s="882">
        <f>'Capital Financing'!$B$55</f>
        <v>706995.96</v>
      </c>
      <c r="Z172" s="882">
        <f>'Capital Financing'!$B$55</f>
        <v>706995.96</v>
      </c>
      <c r="AA172" s="882">
        <f>'Capital Financing'!$B$55</f>
        <v>706995.96</v>
      </c>
      <c r="AB172" s="882">
        <f>'Capital Financing'!$B$55</f>
        <v>706995.96</v>
      </c>
      <c r="AC172" s="882">
        <f>'Capital Financing'!$B$55</f>
        <v>706995.96</v>
      </c>
      <c r="AD172" s="882">
        <f>'Capital Financing'!$B$55</f>
        <v>706995.96</v>
      </c>
      <c r="AE172" s="882">
        <f>'Capital Financing'!$B$55</f>
        <v>706995.96</v>
      </c>
    </row>
    <row r="173" spans="1:33" s="702" customFormat="1">
      <c r="A173" s="341" t="s">
        <v>315</v>
      </c>
      <c r="B173" s="701"/>
      <c r="C173" s="703"/>
      <c r="D173" s="704"/>
      <c r="E173" s="705"/>
      <c r="F173" s="705"/>
      <c r="G173" s="705"/>
      <c r="H173" s="705"/>
      <c r="I173" s="706"/>
      <c r="J173" s="707"/>
      <c r="K173" s="699">
        <v>0</v>
      </c>
      <c r="L173" s="700">
        <v>0</v>
      </c>
      <c r="M173" s="700">
        <v>0</v>
      </c>
      <c r="N173" s="700">
        <v>0</v>
      </c>
      <c r="O173" s="700">
        <v>0</v>
      </c>
      <c r="P173" s="700">
        <v>0</v>
      </c>
      <c r="Q173" s="700">
        <v>0</v>
      </c>
      <c r="R173" s="700">
        <v>0</v>
      </c>
      <c r="S173" s="700">
        <v>0</v>
      </c>
      <c r="T173" s="700">
        <v>0</v>
      </c>
      <c r="U173" s="700">
        <v>0</v>
      </c>
      <c r="V173" s="700">
        <v>0</v>
      </c>
      <c r="W173" s="700">
        <v>0</v>
      </c>
      <c r="X173" s="700">
        <v>0</v>
      </c>
      <c r="Y173" s="700">
        <v>0</v>
      </c>
      <c r="Z173" s="700">
        <v>0</v>
      </c>
      <c r="AA173" s="700">
        <v>0</v>
      </c>
      <c r="AB173" s="700">
        <v>0</v>
      </c>
      <c r="AC173" s="700">
        <v>0</v>
      </c>
      <c r="AD173" s="700">
        <v>0</v>
      </c>
      <c r="AE173" s="700">
        <v>0</v>
      </c>
      <c r="AG173" s="708"/>
    </row>
    <row r="174" spans="1:33">
      <c r="A174" s="180" t="s">
        <v>316</v>
      </c>
      <c r="B174" s="180"/>
      <c r="C174" s="180"/>
      <c r="D174" s="116"/>
      <c r="E174" s="180"/>
      <c r="F174" s="180"/>
      <c r="G174" s="180"/>
      <c r="H174" s="180"/>
      <c r="I174" s="180"/>
      <c r="J174" s="180"/>
      <c r="K174" s="505">
        <v>0</v>
      </c>
      <c r="L174" s="506">
        <v>246000</v>
      </c>
      <c r="M174" s="506">
        <v>246000</v>
      </c>
      <c r="N174" s="506">
        <v>246000</v>
      </c>
      <c r="O174" s="506">
        <v>246000</v>
      </c>
      <c r="P174" s="506">
        <v>246000</v>
      </c>
      <c r="Q174" s="506">
        <v>246000</v>
      </c>
      <c r="R174" s="506">
        <v>246000</v>
      </c>
      <c r="S174" s="506">
        <v>246000</v>
      </c>
      <c r="T174" s="506">
        <v>246000</v>
      </c>
      <c r="U174" s="506">
        <v>246000</v>
      </c>
      <c r="V174" s="506">
        <v>246000</v>
      </c>
      <c r="W174" s="506">
        <v>246000</v>
      </c>
      <c r="X174" s="506">
        <v>246000</v>
      </c>
      <c r="Y174" s="506">
        <v>246000</v>
      </c>
      <c r="Z174" s="506">
        <v>246000</v>
      </c>
      <c r="AA174" s="506">
        <v>246000</v>
      </c>
      <c r="AB174" s="506">
        <v>246000</v>
      </c>
      <c r="AC174" s="506">
        <v>246000</v>
      </c>
      <c r="AD174" s="506">
        <v>246000</v>
      </c>
      <c r="AE174" s="506">
        <v>246000</v>
      </c>
      <c r="AG174" s="199"/>
    </row>
    <row r="175" spans="1:33" s="56" customFormat="1" ht="14.25">
      <c r="A175" s="56" t="s">
        <v>134</v>
      </c>
      <c r="D175" s="173"/>
      <c r="K175" s="524">
        <f t="shared" ref="K175:AE175" si="115">SUM(K169:K174)</f>
        <v>0</v>
      </c>
      <c r="L175" s="525">
        <f t="shared" si="115"/>
        <v>952995.96</v>
      </c>
      <c r="M175" s="525">
        <f t="shared" si="115"/>
        <v>1020220.96</v>
      </c>
      <c r="N175" s="525">
        <f t="shared" si="115"/>
        <v>1021565.46</v>
      </c>
      <c r="O175" s="525">
        <f t="shared" si="115"/>
        <v>1022936.85</v>
      </c>
      <c r="P175" s="525">
        <f t="shared" si="115"/>
        <v>1024335.6677999999</v>
      </c>
      <c r="Q175" s="525">
        <f t="shared" si="115"/>
        <v>1025762.461956</v>
      </c>
      <c r="R175" s="525">
        <f t="shared" si="115"/>
        <v>1027217.79199512</v>
      </c>
      <c r="S175" s="525">
        <f t="shared" si="115"/>
        <v>1028702.2286350224</v>
      </c>
      <c r="T175" s="525">
        <f t="shared" si="115"/>
        <v>1030216.3540077228</v>
      </c>
      <c r="U175" s="525">
        <f t="shared" si="115"/>
        <v>1031760.7618878772</v>
      </c>
      <c r="V175" s="525">
        <f t="shared" si="115"/>
        <v>1033336.0579256348</v>
      </c>
      <c r="W175" s="525">
        <f t="shared" si="115"/>
        <v>1034942.8598841475</v>
      </c>
      <c r="X175" s="525">
        <f t="shared" si="115"/>
        <v>1036581.7978818305</v>
      </c>
      <c r="Y175" s="525">
        <f t="shared" si="115"/>
        <v>1038253.5146394671</v>
      </c>
      <c r="Z175" s="525">
        <f t="shared" si="115"/>
        <v>1039958.6657322564</v>
      </c>
      <c r="AA175" s="525">
        <f t="shared" si="115"/>
        <v>1041697.9198469016</v>
      </c>
      <c r="AB175" s="525">
        <f t="shared" si="115"/>
        <v>1043471.9590438396</v>
      </c>
      <c r="AC175" s="525">
        <f t="shared" si="115"/>
        <v>1045281.4790247164</v>
      </c>
      <c r="AD175" s="525">
        <f t="shared" si="115"/>
        <v>1047127.1894052108</v>
      </c>
      <c r="AE175" s="525">
        <f t="shared" si="115"/>
        <v>1049009.813993315</v>
      </c>
      <c r="AG175" s="199"/>
    </row>
    <row r="176" spans="1:33">
      <c r="K176" s="683"/>
      <c r="L176" s="666"/>
      <c r="M176" s="666"/>
      <c r="N176" s="666"/>
      <c r="O176" s="666"/>
      <c r="P176" s="666"/>
      <c r="Q176" s="666"/>
      <c r="R176" s="666"/>
      <c r="S176" s="666"/>
      <c r="T176" s="666"/>
      <c r="U176" s="666"/>
      <c r="V176" s="666"/>
      <c r="W176" s="666"/>
      <c r="X176" s="666"/>
      <c r="Y176" s="666"/>
      <c r="Z176" s="666"/>
      <c r="AA176" s="666"/>
      <c r="AB176" s="666"/>
      <c r="AC176" s="666"/>
      <c r="AD176" s="666"/>
      <c r="AE176" s="666"/>
      <c r="AG176" s="199"/>
    </row>
    <row r="177" spans="1:33" s="56" customFormat="1" ht="14.25">
      <c r="A177" s="208" t="s">
        <v>86</v>
      </c>
      <c r="B177" s="718">
        <f>SUM(L177:AE177)</f>
        <v>20595375.753659062</v>
      </c>
      <c r="C177" s="208"/>
      <c r="D177" s="202"/>
      <c r="E177" s="208"/>
      <c r="F177" s="208"/>
      <c r="G177" s="208"/>
      <c r="H177" s="208"/>
      <c r="I177" s="208"/>
      <c r="J177" s="208"/>
      <c r="K177" s="678">
        <f>SUM(K170:K170)</f>
        <v>0</v>
      </c>
      <c r="L177" s="678">
        <f>L175</f>
        <v>952995.96</v>
      </c>
      <c r="M177" s="678">
        <f t="shared" ref="M177:AE177" si="116">M175</f>
        <v>1020220.96</v>
      </c>
      <c r="N177" s="678">
        <f t="shared" si="116"/>
        <v>1021565.46</v>
      </c>
      <c r="O177" s="678">
        <f t="shared" si="116"/>
        <v>1022936.85</v>
      </c>
      <c r="P177" s="678">
        <f t="shared" si="116"/>
        <v>1024335.6677999999</v>
      </c>
      <c r="Q177" s="678">
        <f t="shared" si="116"/>
        <v>1025762.461956</v>
      </c>
      <c r="R177" s="678">
        <f t="shared" si="116"/>
        <v>1027217.79199512</v>
      </c>
      <c r="S177" s="678">
        <f t="shared" si="116"/>
        <v>1028702.2286350224</v>
      </c>
      <c r="T177" s="678">
        <f t="shared" si="116"/>
        <v>1030216.3540077228</v>
      </c>
      <c r="U177" s="678">
        <f t="shared" si="116"/>
        <v>1031760.7618878772</v>
      </c>
      <c r="V177" s="678">
        <f t="shared" si="116"/>
        <v>1033336.0579256348</v>
      </c>
      <c r="W177" s="678">
        <f t="shared" si="116"/>
        <v>1034942.8598841475</v>
      </c>
      <c r="X177" s="678">
        <f t="shared" si="116"/>
        <v>1036581.7978818305</v>
      </c>
      <c r="Y177" s="678">
        <f t="shared" si="116"/>
        <v>1038253.5146394671</v>
      </c>
      <c r="Z177" s="678">
        <f t="shared" si="116"/>
        <v>1039958.6657322564</v>
      </c>
      <c r="AA177" s="678">
        <f t="shared" si="116"/>
        <v>1041697.9198469016</v>
      </c>
      <c r="AB177" s="678">
        <f t="shared" si="116"/>
        <v>1043471.9590438396</v>
      </c>
      <c r="AC177" s="678">
        <f t="shared" si="116"/>
        <v>1045281.4790247164</v>
      </c>
      <c r="AD177" s="678">
        <f t="shared" si="116"/>
        <v>1047127.1894052108</v>
      </c>
      <c r="AE177" s="678">
        <f t="shared" si="116"/>
        <v>1049009.813993315</v>
      </c>
      <c r="AG177" s="199"/>
    </row>
    <row r="178" spans="1:33">
      <c r="K178" s="662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1"/>
      <c r="Y178" s="201"/>
      <c r="Z178" s="201"/>
      <c r="AA178" s="201"/>
      <c r="AB178" s="201"/>
      <c r="AC178" s="201"/>
      <c r="AD178" s="201"/>
      <c r="AE178" s="201"/>
    </row>
    <row r="179" spans="1:33">
      <c r="A179" s="251"/>
      <c r="B179" s="251"/>
      <c r="C179" s="251"/>
      <c r="D179" s="259"/>
      <c r="E179" s="251"/>
      <c r="F179" s="251"/>
      <c r="G179" s="251"/>
      <c r="H179" s="251"/>
      <c r="I179" s="251"/>
      <c r="J179" s="251"/>
      <c r="K179" s="324"/>
      <c r="L179" s="325"/>
      <c r="M179" s="325"/>
      <c r="N179" s="325"/>
      <c r="O179" s="325"/>
      <c r="P179" s="325"/>
      <c r="Q179" s="325"/>
      <c r="R179" s="325"/>
      <c r="S179" s="325"/>
      <c r="T179" s="325"/>
      <c r="U179" s="325"/>
      <c r="V179" s="325"/>
      <c r="W179" s="325"/>
      <c r="X179" s="325"/>
      <c r="Y179" s="325"/>
      <c r="Z179" s="325"/>
      <c r="AA179" s="325"/>
      <c r="AB179" s="325"/>
      <c r="AC179" s="325"/>
      <c r="AD179" s="325"/>
      <c r="AE179" s="325"/>
    </row>
    <row r="180" spans="1:33">
      <c r="K180" s="322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</row>
    <row r="181" spans="1:33">
      <c r="A181"/>
      <c r="K181" s="322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</row>
    <row r="182" spans="1:33">
      <c r="A182"/>
      <c r="K182" s="322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  <c r="AA182" s="201"/>
      <c r="AB182" s="201"/>
      <c r="AC182" s="201"/>
      <c r="AD182" s="201"/>
      <c r="AE182" s="201"/>
    </row>
    <row r="183" spans="1:33">
      <c r="K183" s="322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</row>
    <row r="184" spans="1:33">
      <c r="K184" s="322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  <c r="AA184" s="201"/>
      <c r="AB184" s="201"/>
      <c r="AC184" s="201"/>
      <c r="AD184" s="201"/>
      <c r="AE184" s="201"/>
    </row>
    <row r="185" spans="1:33">
      <c r="K185" s="322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</row>
    <row r="186" spans="1:33">
      <c r="K186" s="322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</row>
    <row r="187" spans="1:33">
      <c r="K187" s="322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</row>
    <row r="188" spans="1:33">
      <c r="K188" s="322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</row>
    <row r="189" spans="1:33">
      <c r="K189" s="322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</row>
    <row r="190" spans="1:33">
      <c r="K190" s="322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</row>
    <row r="191" spans="1:33">
      <c r="K191" s="322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</row>
    <row r="192" spans="1:33">
      <c r="K192" s="322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</row>
    <row r="193" spans="11:31">
      <c r="K193" s="322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201"/>
      <c r="AE193" s="201"/>
    </row>
    <row r="194" spans="11:31">
      <c r="K194" s="322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1"/>
      <c r="Z194" s="201"/>
      <c r="AA194" s="201"/>
      <c r="AB194" s="201"/>
      <c r="AC194" s="201"/>
      <c r="AD194" s="201"/>
      <c r="AE194" s="201"/>
    </row>
  </sheetData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FD194"/>
  <sheetViews>
    <sheetView topLeftCell="A85" zoomScale="70" zoomScaleNormal="70" workbookViewId="0">
      <selection activeCell="P88" sqref="P88:AE88"/>
    </sheetView>
  </sheetViews>
  <sheetFormatPr defaultColWidth="9" defaultRowHeight="16.5"/>
  <cols>
    <col min="1" max="1" width="45.625" style="33" customWidth="1"/>
    <col min="2" max="2" width="48.5" style="33" bestFit="1" customWidth="1"/>
    <col min="3" max="3" width="18.125" style="33" bestFit="1" customWidth="1"/>
    <col min="4" max="4" width="16.25" style="109" bestFit="1" customWidth="1"/>
    <col min="5" max="5" width="13.125" style="33" bestFit="1" customWidth="1"/>
    <col min="6" max="6" width="20.5" style="33" bestFit="1" customWidth="1"/>
    <col min="7" max="7" width="20.25" style="33" bestFit="1" customWidth="1"/>
    <col min="8" max="8" width="26.75" style="33" bestFit="1" customWidth="1"/>
    <col min="9" max="9" width="12.125" style="33" bestFit="1" customWidth="1"/>
    <col min="10" max="10" width="13.875" style="33" bestFit="1" customWidth="1"/>
    <col min="11" max="11" width="7.75" style="166" bestFit="1" customWidth="1"/>
    <col min="12" max="12" width="17.5" style="33" bestFit="1" customWidth="1"/>
    <col min="13" max="13" width="16.75" style="33" bestFit="1" customWidth="1"/>
    <col min="14" max="15" width="17.125" style="33" bestFit="1" customWidth="1"/>
    <col min="16" max="16" width="16.75" style="33" bestFit="1" customWidth="1"/>
    <col min="17" max="18" width="17.125" style="33" bestFit="1" customWidth="1"/>
    <col min="19" max="19" width="17.5" style="33" bestFit="1" customWidth="1"/>
    <col min="20" max="20" width="16.75" style="33" bestFit="1" customWidth="1"/>
    <col min="21" max="23" width="17.125" style="33" bestFit="1" customWidth="1"/>
    <col min="24" max="24" width="17.5" style="33" bestFit="1" customWidth="1"/>
    <col min="25" max="25" width="17.125" style="33" bestFit="1" customWidth="1"/>
    <col min="26" max="26" width="17.5" style="33" bestFit="1" customWidth="1"/>
    <col min="27" max="27" width="17.125" style="33" bestFit="1" customWidth="1"/>
    <col min="28" max="29" width="17.5" style="33" bestFit="1" customWidth="1"/>
    <col min="30" max="30" width="17.125" style="33" bestFit="1" customWidth="1"/>
    <col min="31" max="31" width="17.5" style="33" bestFit="1" customWidth="1"/>
    <col min="32" max="32" width="22.625" style="33" bestFit="1" customWidth="1"/>
    <col min="33" max="33" width="12.625" style="33" bestFit="1" customWidth="1"/>
    <col min="34" max="16384" width="9" style="33"/>
  </cols>
  <sheetData>
    <row r="1" spans="1:31" ht="18.75" thickBot="1">
      <c r="A1" s="11" t="str">
        <f>Intro!A1</f>
        <v>Town of Bar Harbor</v>
      </c>
      <c r="B1" s="13"/>
      <c r="C1" s="13"/>
      <c r="D1" s="99"/>
      <c r="E1" s="14"/>
      <c r="F1" s="14"/>
      <c r="G1" s="34"/>
      <c r="H1" s="34"/>
      <c r="I1" s="34"/>
      <c r="J1" s="34"/>
      <c r="K1" s="16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</row>
    <row r="2" spans="1:31" ht="17.25" thickBot="1">
      <c r="A2" s="380" t="str">
        <f>Intro!A2</f>
        <v>Ferry Property Business Plan</v>
      </c>
      <c r="B2" s="13"/>
      <c r="C2" s="13"/>
      <c r="D2" s="99"/>
      <c r="E2" s="14"/>
      <c r="F2" s="14"/>
      <c r="G2" s="34"/>
      <c r="H2" s="34"/>
      <c r="I2" s="34"/>
      <c r="J2" s="34"/>
      <c r="K2" s="16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</row>
    <row r="3" spans="1:31" s="392" customFormat="1" ht="14.25" thickBot="1">
      <c r="A3" s="384" t="str">
        <f>Intro!A3</f>
        <v>05.23.2018</v>
      </c>
      <c r="B3" s="2"/>
      <c r="C3" s="382"/>
      <c r="D3" s="393"/>
      <c r="E3" s="385"/>
      <c r="F3" s="385"/>
      <c r="G3" s="389"/>
      <c r="H3" s="389"/>
      <c r="I3" s="389"/>
      <c r="J3" s="389"/>
      <c r="K3" s="390"/>
      <c r="L3" s="391"/>
      <c r="M3" s="391"/>
      <c r="N3" s="391"/>
      <c r="O3" s="391"/>
      <c r="P3" s="391"/>
      <c r="Q3" s="391"/>
      <c r="R3" s="391"/>
      <c r="S3" s="391"/>
      <c r="T3" s="391"/>
      <c r="U3" s="391"/>
      <c r="V3" s="391"/>
      <c r="W3" s="391"/>
      <c r="X3" s="391"/>
      <c r="Y3" s="391"/>
      <c r="Z3" s="391"/>
      <c r="AA3" s="391"/>
      <c r="AB3" s="391"/>
      <c r="AC3" s="391"/>
      <c r="AD3" s="391"/>
      <c r="AE3" s="391"/>
    </row>
    <row r="4" spans="1:31" s="392" customFormat="1" ht="13.5">
      <c r="A4" s="384" t="str">
        <f ca="1">Intro!A4</f>
        <v>Town of Bar Harbor</v>
      </c>
      <c r="B4" s="382"/>
      <c r="C4" s="382"/>
      <c r="D4" s="393"/>
      <c r="E4" s="383">
        <f ca="1">NOW()</f>
        <v>43242.835659143515</v>
      </c>
      <c r="F4" s="383"/>
      <c r="G4" s="389"/>
      <c r="H4" s="389"/>
      <c r="I4" s="389"/>
      <c r="J4" s="389"/>
      <c r="K4" s="390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  <c r="W4" s="391"/>
      <c r="X4" s="391"/>
      <c r="Y4" s="391"/>
      <c r="Z4" s="391"/>
      <c r="AA4" s="391"/>
      <c r="AB4" s="391"/>
      <c r="AC4" s="391"/>
      <c r="AD4" s="391"/>
      <c r="AE4" s="391"/>
    </row>
    <row r="5" spans="1:31">
      <c r="A5" s="231" t="s">
        <v>342</v>
      </c>
      <c r="B5" s="231"/>
      <c r="C5" s="232"/>
      <c r="D5" s="233"/>
      <c r="E5" s="232"/>
      <c r="F5" s="232"/>
      <c r="G5" s="234"/>
      <c r="H5" s="234"/>
      <c r="I5" s="234"/>
      <c r="J5" s="234"/>
      <c r="K5" s="235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1:31">
      <c r="A6" s="237"/>
      <c r="B6" s="237"/>
      <c r="C6" s="237"/>
      <c r="D6" s="238"/>
      <c r="E6" s="237"/>
      <c r="F6" s="237"/>
      <c r="G6" s="237"/>
      <c r="H6" s="237"/>
      <c r="I6" s="237"/>
      <c r="J6" s="237"/>
      <c r="K6" s="659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</row>
    <row r="7" spans="1:31" ht="48.75" customHeight="1">
      <c r="A7" s="239"/>
      <c r="B7" s="240" t="s">
        <v>45</v>
      </c>
      <c r="C7" s="241" t="s">
        <v>46</v>
      </c>
      <c r="D7" s="242" t="s">
        <v>47</v>
      </c>
      <c r="E7" s="240" t="s">
        <v>21</v>
      </c>
      <c r="F7" s="240" t="s">
        <v>48</v>
      </c>
      <c r="G7" s="240" t="s">
        <v>49</v>
      </c>
      <c r="H7" s="240" t="s">
        <v>59</v>
      </c>
      <c r="I7" s="240" t="s">
        <v>22</v>
      </c>
      <c r="J7" s="240" t="s">
        <v>50</v>
      </c>
      <c r="K7" s="243">
        <v>2018</v>
      </c>
      <c r="L7" s="243">
        <v>2019</v>
      </c>
      <c r="M7" s="243">
        <v>2020</v>
      </c>
      <c r="N7" s="243">
        <v>2021</v>
      </c>
      <c r="O7" s="243">
        <v>2022</v>
      </c>
      <c r="P7" s="243">
        <v>2023</v>
      </c>
      <c r="Q7" s="243">
        <v>2024</v>
      </c>
      <c r="R7" s="243">
        <v>2025</v>
      </c>
      <c r="S7" s="243">
        <v>2026</v>
      </c>
      <c r="T7" s="243">
        <v>2027</v>
      </c>
      <c r="U7" s="243">
        <v>2028</v>
      </c>
      <c r="V7" s="243">
        <v>2029</v>
      </c>
      <c r="W7" s="243">
        <v>2030</v>
      </c>
      <c r="X7" s="243">
        <v>2031</v>
      </c>
      <c r="Y7" s="243">
        <v>2032</v>
      </c>
      <c r="Z7" s="243">
        <v>2033</v>
      </c>
      <c r="AA7" s="243">
        <v>2034</v>
      </c>
      <c r="AB7" s="243">
        <v>2035</v>
      </c>
      <c r="AC7" s="243">
        <v>2036</v>
      </c>
      <c r="AD7" s="243">
        <v>2037</v>
      </c>
      <c r="AE7" s="243">
        <v>2038</v>
      </c>
    </row>
    <row r="8" spans="1:31" s="18" customFormat="1" ht="17.25" thickBot="1">
      <c r="K8" s="488"/>
    </row>
    <row r="9" spans="1:31" s="18" customFormat="1" ht="17.25" thickBot="1">
      <c r="A9" s="117" t="s">
        <v>381</v>
      </c>
      <c r="B9" s="484" t="str">
        <f>'Cruise Projections'!A83</f>
        <v>Scenario 4 - Percent of 2018 Business - RCCL</v>
      </c>
      <c r="K9" s="489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  <c r="Y9" s="327"/>
      <c r="Z9" s="327"/>
      <c r="AA9" s="327"/>
      <c r="AB9" s="327"/>
      <c r="AC9" s="327"/>
      <c r="AD9" s="327"/>
      <c r="AE9" s="327"/>
    </row>
    <row r="10" spans="1:31" s="18" customFormat="1">
      <c r="A10" s="649"/>
      <c r="B10" s="372"/>
      <c r="K10" s="489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  <c r="Y10" s="327"/>
      <c r="Z10" s="327"/>
      <c r="AA10" s="327"/>
      <c r="AB10" s="327"/>
      <c r="AC10" s="327"/>
      <c r="AD10" s="327"/>
      <c r="AE10" s="327"/>
    </row>
    <row r="11" spans="1:31">
      <c r="A11" s="38" t="s">
        <v>52</v>
      </c>
      <c r="B11" s="38"/>
      <c r="C11" s="38"/>
      <c r="D11" s="101"/>
      <c r="E11" s="38"/>
      <c r="F11" s="38"/>
      <c r="G11" s="37"/>
      <c r="H11" s="37"/>
      <c r="I11" s="38"/>
      <c r="J11" s="37"/>
      <c r="K11" s="784">
        <f>'OPEX - Concept A1'!K11</f>
        <v>0</v>
      </c>
      <c r="L11" s="311">
        <f>'BH Tariffs'!D52</f>
        <v>1.02</v>
      </c>
      <c r="M11" s="311">
        <f>'BH Tariffs'!E52</f>
        <v>1.0404</v>
      </c>
      <c r="N11" s="311">
        <f>'BH Tariffs'!F52</f>
        <v>1.0612079999999999</v>
      </c>
      <c r="O11" s="311">
        <f>'BH Tariffs'!G52</f>
        <v>1.08243216</v>
      </c>
      <c r="P11" s="311">
        <f>'BH Tariffs'!H52</f>
        <v>1.1040808032</v>
      </c>
      <c r="Q11" s="311">
        <f>'BH Tariffs'!I52</f>
        <v>1.1261624192640001</v>
      </c>
      <c r="R11" s="311">
        <f>'BH Tariffs'!J52</f>
        <v>1.14868566764928</v>
      </c>
      <c r="S11" s="311">
        <f>'BH Tariffs'!K52</f>
        <v>1.1716593810022657</v>
      </c>
      <c r="T11" s="311">
        <f>'BH Tariffs'!L52</f>
        <v>1.1950925686223111</v>
      </c>
      <c r="U11" s="311">
        <f>'BH Tariffs'!M52</f>
        <v>1.2189944199947573</v>
      </c>
      <c r="V11" s="311">
        <f>'BH Tariffs'!N52</f>
        <v>1.2433743083946525</v>
      </c>
      <c r="W11" s="311">
        <f>'BH Tariffs'!O52</f>
        <v>1.2682417945625455</v>
      </c>
      <c r="X11" s="311">
        <f>'BH Tariffs'!P52</f>
        <v>1.2936066304537963</v>
      </c>
      <c r="Y11" s="311">
        <f>'BH Tariffs'!Q52</f>
        <v>1.3194787630628724</v>
      </c>
      <c r="Z11" s="311">
        <f>'BH Tariffs'!R52</f>
        <v>1.3458683383241299</v>
      </c>
      <c r="AA11" s="311">
        <f>'BH Tariffs'!S52</f>
        <v>1.3727857050906125</v>
      </c>
      <c r="AB11" s="311">
        <f>'BH Tariffs'!T52</f>
        <v>1.4002414191924248</v>
      </c>
      <c r="AC11" s="311">
        <f>'BH Tariffs'!U52</f>
        <v>1.4282462475762734</v>
      </c>
      <c r="AD11" s="311">
        <f>'BH Tariffs'!V52</f>
        <v>1.4568111725277988</v>
      </c>
      <c r="AE11" s="311">
        <f>'BH Tariffs'!W52</f>
        <v>1.4859473959783549</v>
      </c>
    </row>
    <row r="12" spans="1:31">
      <c r="A12" s="38" t="s">
        <v>58</v>
      </c>
      <c r="B12" s="38"/>
      <c r="C12" s="37"/>
      <c r="D12" s="76"/>
      <c r="E12" s="79">
        <v>0.2</v>
      </c>
      <c r="F12" s="172"/>
      <c r="G12" s="36"/>
      <c r="H12" s="36"/>
      <c r="I12" s="38"/>
      <c r="J12" s="36"/>
      <c r="K12" s="661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200"/>
      <c r="AC12" s="200"/>
      <c r="AD12" s="200"/>
      <c r="AE12" s="200"/>
    </row>
    <row r="13" spans="1:31">
      <c r="A13" s="38" t="s">
        <v>51</v>
      </c>
      <c r="B13" s="38"/>
      <c r="C13" s="37"/>
      <c r="D13" s="76"/>
      <c r="E13" s="79"/>
      <c r="F13" s="79">
        <v>0.4</v>
      </c>
      <c r="G13" s="36"/>
      <c r="H13" s="36"/>
      <c r="I13" s="38"/>
      <c r="J13" s="36"/>
      <c r="K13" s="661"/>
      <c r="L13" s="200"/>
      <c r="M13" s="200"/>
      <c r="N13" s="200"/>
      <c r="O13" s="200"/>
      <c r="P13" s="200"/>
      <c r="Q13" s="200"/>
      <c r="R13" s="200"/>
      <c r="S13" s="200"/>
      <c r="T13" s="200"/>
      <c r="U13" s="200"/>
      <c r="V13" s="200"/>
      <c r="W13" s="200"/>
      <c r="X13" s="200"/>
      <c r="Y13" s="200"/>
      <c r="Z13" s="200"/>
      <c r="AA13" s="200"/>
      <c r="AB13" s="200"/>
      <c r="AC13" s="200"/>
      <c r="AD13" s="200"/>
      <c r="AE13" s="200"/>
    </row>
    <row r="14" spans="1:31" s="18" customFormat="1">
      <c r="A14" s="649"/>
      <c r="B14" s="372"/>
      <c r="K14" s="489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7"/>
      <c r="X14" s="327"/>
      <c r="Y14" s="327"/>
      <c r="Z14" s="327"/>
      <c r="AA14" s="327"/>
      <c r="AB14" s="327"/>
      <c r="AC14" s="327"/>
      <c r="AD14" s="327"/>
      <c r="AE14" s="327"/>
    </row>
    <row r="15" spans="1:31" s="18" customFormat="1">
      <c r="K15" s="489"/>
      <c r="L15" s="327"/>
      <c r="M15" s="327"/>
      <c r="N15" s="327"/>
      <c r="O15" s="327"/>
      <c r="P15" s="327"/>
      <c r="Q15" s="327"/>
      <c r="R15" s="327"/>
      <c r="S15" s="327"/>
      <c r="T15" s="327"/>
      <c r="U15" s="327"/>
      <c r="V15" s="327"/>
      <c r="W15" s="327"/>
      <c r="X15" s="327"/>
      <c r="Y15" s="327"/>
      <c r="Z15" s="327"/>
      <c r="AA15" s="327"/>
      <c r="AB15" s="327"/>
      <c r="AC15" s="327"/>
      <c r="AD15" s="327"/>
      <c r="AE15" s="327"/>
    </row>
    <row r="16" spans="1:31" s="582" customFormat="1" ht="14.25">
      <c r="A16" s="582" t="s">
        <v>83</v>
      </c>
      <c r="K16" s="490"/>
      <c r="L16" s="785"/>
      <c r="M16" s="785"/>
      <c r="N16" s="785"/>
      <c r="O16" s="785"/>
      <c r="P16" s="785"/>
      <c r="Q16" s="785"/>
      <c r="R16" s="785"/>
      <c r="S16" s="785"/>
      <c r="T16" s="785"/>
      <c r="U16" s="785"/>
      <c r="V16" s="785"/>
      <c r="W16" s="785"/>
      <c r="X16" s="785"/>
      <c r="Y16" s="785"/>
      <c r="Z16" s="785"/>
      <c r="AA16" s="785"/>
      <c r="AB16" s="785"/>
      <c r="AC16" s="785"/>
      <c r="AD16" s="785"/>
      <c r="AE16" s="785"/>
    </row>
    <row r="17" spans="1:31" s="96" customFormat="1">
      <c r="A17" s="53" t="str">
        <f>'Cruise Projections'!A67</f>
        <v>Passengers</v>
      </c>
      <c r="B17" s="487"/>
      <c r="C17" s="487"/>
      <c r="K17" s="486">
        <f>'P&amp;L - Concept B3 - RCCL'!D12</f>
        <v>0</v>
      </c>
      <c r="L17" s="313">
        <f>'P&amp;L - Concept B3 - RCCL'!E12</f>
        <v>0</v>
      </c>
      <c r="M17" s="313">
        <f>'P&amp;L - Concept B3 - RCCL'!F12</f>
        <v>89162.177869620791</v>
      </c>
      <c r="N17" s="313">
        <f>'P&amp;L - Concept B3 - RCCL'!G12</f>
        <v>89162.177869620791</v>
      </c>
      <c r="O17" s="313">
        <f>'P&amp;L - Concept B3 - RCCL'!H12</f>
        <v>89162.177869620791</v>
      </c>
      <c r="P17" s="313">
        <f>'P&amp;L - Concept B3 - RCCL'!I12</f>
        <v>89162.177869620791</v>
      </c>
      <c r="Q17" s="313">
        <f>'P&amp;L - Concept B3 - RCCL'!J12</f>
        <v>89162.177869620791</v>
      </c>
      <c r="R17" s="313">
        <f>'P&amp;L - Concept B3 - RCCL'!K12</f>
        <v>89162.177869620791</v>
      </c>
      <c r="S17" s="313">
        <f>'P&amp;L - Concept B3 - RCCL'!L12</f>
        <v>89162.177869620791</v>
      </c>
      <c r="T17" s="313">
        <f>'P&amp;L - Concept B3 - RCCL'!M12</f>
        <v>89162.177869620791</v>
      </c>
      <c r="U17" s="313">
        <f>'P&amp;L - Concept B3 - RCCL'!N12</f>
        <v>89162.177869620791</v>
      </c>
      <c r="V17" s="313">
        <f>'P&amp;L - Concept B3 - RCCL'!O12</f>
        <v>89162.177869620791</v>
      </c>
      <c r="W17" s="313">
        <f>'P&amp;L - Concept B3 - RCCL'!P12</f>
        <v>89162.177869620791</v>
      </c>
      <c r="X17" s="313">
        <f>'P&amp;L - Concept B3 - RCCL'!Q12</f>
        <v>89162.177869620791</v>
      </c>
      <c r="Y17" s="313">
        <f>'P&amp;L - Concept B3 - RCCL'!R12</f>
        <v>89162.177869620791</v>
      </c>
      <c r="Z17" s="313">
        <f>'P&amp;L - Concept B3 - RCCL'!S12</f>
        <v>89162.177869620791</v>
      </c>
      <c r="AA17" s="313">
        <f>'P&amp;L - Concept B3 - RCCL'!T12</f>
        <v>89162.177869620791</v>
      </c>
      <c r="AB17" s="313">
        <f>'P&amp;L - Concept B3 - RCCL'!U12</f>
        <v>89162.177869620791</v>
      </c>
      <c r="AC17" s="313">
        <f>'P&amp;L - Concept B3 - RCCL'!V12</f>
        <v>89162.177869620791</v>
      </c>
      <c r="AD17" s="313">
        <f>'P&amp;L - Concept B3 - RCCL'!W12</f>
        <v>89162.177869620791</v>
      </c>
      <c r="AE17" s="313">
        <f>'P&amp;L - Concept B3 - RCCL'!X12</f>
        <v>89162.177869620791</v>
      </c>
    </row>
    <row r="18" spans="1:31" s="96" customFormat="1">
      <c r="A18" s="53" t="str">
        <f>'Cruise Projections'!A68</f>
        <v>Calls</v>
      </c>
      <c r="B18" s="487"/>
      <c r="C18" s="487"/>
      <c r="K18" s="486">
        <f>'P&amp;L - Concept B3 - RCCL'!D13</f>
        <v>0</v>
      </c>
      <c r="L18" s="313">
        <f>'P&amp;L - Concept B3 - RCCL'!E13</f>
        <v>0</v>
      </c>
      <c r="M18" s="313">
        <f>'P&amp;L - Concept B3 - RCCL'!F13</f>
        <v>28.666666666666664</v>
      </c>
      <c r="N18" s="313">
        <f>'P&amp;L - Concept B3 - RCCL'!G13</f>
        <v>28.666666666666664</v>
      </c>
      <c r="O18" s="313">
        <f>'P&amp;L - Concept B3 - RCCL'!H13</f>
        <v>28.666666666666664</v>
      </c>
      <c r="P18" s="313">
        <f>'P&amp;L - Concept B3 - RCCL'!I13</f>
        <v>28.666666666666664</v>
      </c>
      <c r="Q18" s="313">
        <f>'P&amp;L - Concept B3 - RCCL'!J13</f>
        <v>28.666666666666664</v>
      </c>
      <c r="R18" s="313">
        <f>'P&amp;L - Concept B3 - RCCL'!K13</f>
        <v>28.666666666666664</v>
      </c>
      <c r="S18" s="313">
        <f>'P&amp;L - Concept B3 - RCCL'!L13</f>
        <v>28.666666666666664</v>
      </c>
      <c r="T18" s="313">
        <f>'P&amp;L - Concept B3 - RCCL'!M13</f>
        <v>28.666666666666664</v>
      </c>
      <c r="U18" s="313">
        <f>'P&amp;L - Concept B3 - RCCL'!N13</f>
        <v>28.666666666666664</v>
      </c>
      <c r="V18" s="313">
        <f>'P&amp;L - Concept B3 - RCCL'!O13</f>
        <v>28.666666666666664</v>
      </c>
      <c r="W18" s="313">
        <f>'P&amp;L - Concept B3 - RCCL'!P13</f>
        <v>28.666666666666664</v>
      </c>
      <c r="X18" s="313">
        <f>'P&amp;L - Concept B3 - RCCL'!Q13</f>
        <v>28.666666666666664</v>
      </c>
      <c r="Y18" s="313">
        <f>'P&amp;L - Concept B3 - RCCL'!R13</f>
        <v>28.666666666666664</v>
      </c>
      <c r="Z18" s="313">
        <f>'P&amp;L - Concept B3 - RCCL'!S13</f>
        <v>28.666666666666664</v>
      </c>
      <c r="AA18" s="313">
        <f>'P&amp;L - Concept B3 - RCCL'!T13</f>
        <v>28.666666666666664</v>
      </c>
      <c r="AB18" s="313">
        <f>'P&amp;L - Concept B3 - RCCL'!U13</f>
        <v>28.666666666666664</v>
      </c>
      <c r="AC18" s="313">
        <f>'P&amp;L - Concept B3 - RCCL'!V13</f>
        <v>28.666666666666664</v>
      </c>
      <c r="AD18" s="313">
        <f>'P&amp;L - Concept B3 - RCCL'!W13</f>
        <v>28.666666666666664</v>
      </c>
      <c r="AE18" s="313">
        <f>'P&amp;L - Concept B3 - RCCL'!X13</f>
        <v>28.666666666666664</v>
      </c>
    </row>
    <row r="19" spans="1:31" s="96" customFormat="1">
      <c r="A19" s="53" t="str">
        <f>'Cruise Projections'!A69</f>
        <v>Passengers per Call</v>
      </c>
      <c r="B19" s="487"/>
      <c r="C19" s="487"/>
      <c r="K19" s="486">
        <f>'P&amp;L - Concept B3 - RCCL'!D14</f>
        <v>0</v>
      </c>
      <c r="L19" s="313">
        <f>'P&amp;L - Concept B3 - RCCL'!E14</f>
        <v>0</v>
      </c>
      <c r="M19" s="313">
        <f>'P&amp;L - Concept B3 - RCCL'!F14</f>
        <v>3110.3085303356092</v>
      </c>
      <c r="N19" s="313">
        <f>'P&amp;L - Concept B3 - RCCL'!G14</f>
        <v>3110.3085303356092</v>
      </c>
      <c r="O19" s="313">
        <f>'P&amp;L - Concept B3 - RCCL'!H14</f>
        <v>3110.3085303356092</v>
      </c>
      <c r="P19" s="313">
        <f>'P&amp;L - Concept B3 - RCCL'!I14</f>
        <v>3110.3085303356092</v>
      </c>
      <c r="Q19" s="313">
        <f>'P&amp;L - Concept B3 - RCCL'!J14</f>
        <v>3110.3085303356092</v>
      </c>
      <c r="R19" s="313">
        <f>'P&amp;L - Concept B3 - RCCL'!K14</f>
        <v>3110.3085303356092</v>
      </c>
      <c r="S19" s="313">
        <f>'P&amp;L - Concept B3 - RCCL'!L14</f>
        <v>3110.3085303356092</v>
      </c>
      <c r="T19" s="313">
        <f>'P&amp;L - Concept B3 - RCCL'!M14</f>
        <v>3110.3085303356092</v>
      </c>
      <c r="U19" s="313">
        <f>'P&amp;L - Concept B3 - RCCL'!N14</f>
        <v>3110.3085303356092</v>
      </c>
      <c r="V19" s="313">
        <f>'P&amp;L - Concept B3 - RCCL'!O14</f>
        <v>3110.3085303356092</v>
      </c>
      <c r="W19" s="313">
        <f>'P&amp;L - Concept B3 - RCCL'!P14</f>
        <v>3110.3085303356092</v>
      </c>
      <c r="X19" s="313">
        <f>'P&amp;L - Concept B3 - RCCL'!Q14</f>
        <v>3110.3085303356092</v>
      </c>
      <c r="Y19" s="313">
        <f>'P&amp;L - Concept B3 - RCCL'!R14</f>
        <v>3110.3085303356092</v>
      </c>
      <c r="Z19" s="313">
        <f>'P&amp;L - Concept B3 - RCCL'!S14</f>
        <v>3110.3085303356092</v>
      </c>
      <c r="AA19" s="313">
        <f>'P&amp;L - Concept B3 - RCCL'!T14</f>
        <v>3110.3085303356092</v>
      </c>
      <c r="AB19" s="313">
        <f>'P&amp;L - Concept B3 - RCCL'!U14</f>
        <v>3110.3085303356092</v>
      </c>
      <c r="AC19" s="313">
        <f>'P&amp;L - Concept B3 - RCCL'!V14</f>
        <v>3110.3085303356092</v>
      </c>
      <c r="AD19" s="313">
        <f>'P&amp;L - Concept B3 - RCCL'!W14</f>
        <v>3110.3085303356092</v>
      </c>
      <c r="AE19" s="313">
        <f>'P&amp;L - Concept B3 - RCCL'!X14</f>
        <v>3110.3085303356092</v>
      </c>
    </row>
    <row r="20" spans="1:31" s="96" customFormat="1">
      <c r="A20" s="54" t="s">
        <v>313</v>
      </c>
      <c r="B20" s="487"/>
      <c r="C20" s="487"/>
      <c r="K20" s="486">
        <f>'P&amp;L - Concept B3 - RCCL'!D15</f>
        <v>0</v>
      </c>
      <c r="L20" s="313">
        <f>'P&amp;L - Concept B3 - RCCL'!E15</f>
        <v>0</v>
      </c>
      <c r="M20" s="313">
        <f>'P&amp;L - Concept B3 - RCCL'!F15</f>
        <v>4120</v>
      </c>
      <c r="N20" s="313">
        <f>'P&amp;L - Concept B3 - RCCL'!G15</f>
        <v>4120</v>
      </c>
      <c r="O20" s="313">
        <f>'P&amp;L - Concept B3 - RCCL'!H15</f>
        <v>4120</v>
      </c>
      <c r="P20" s="313">
        <f>'P&amp;L - Concept B3 - RCCL'!I15</f>
        <v>4120</v>
      </c>
      <c r="Q20" s="313">
        <f>'P&amp;L - Concept B3 - RCCL'!J15</f>
        <v>4120</v>
      </c>
      <c r="R20" s="313">
        <f>'P&amp;L - Concept B3 - RCCL'!K15</f>
        <v>4120</v>
      </c>
      <c r="S20" s="313">
        <f>'P&amp;L - Concept B3 - RCCL'!L15</f>
        <v>4120</v>
      </c>
      <c r="T20" s="313">
        <f>'P&amp;L - Concept B3 - RCCL'!M15</f>
        <v>4120</v>
      </c>
      <c r="U20" s="313">
        <f>'P&amp;L - Concept B3 - RCCL'!N15</f>
        <v>4120</v>
      </c>
      <c r="V20" s="313">
        <f>'P&amp;L - Concept B3 - RCCL'!O15</f>
        <v>4120</v>
      </c>
      <c r="W20" s="313">
        <f>'P&amp;L - Concept B3 - RCCL'!P15</f>
        <v>4120</v>
      </c>
      <c r="X20" s="313">
        <f>'P&amp;L - Concept B3 - RCCL'!Q15</f>
        <v>4120</v>
      </c>
      <c r="Y20" s="313">
        <f>'P&amp;L - Concept B3 - RCCL'!R15</f>
        <v>4120</v>
      </c>
      <c r="Z20" s="313">
        <f>'P&amp;L - Concept B3 - RCCL'!S15</f>
        <v>4120</v>
      </c>
      <c r="AA20" s="313">
        <f>'P&amp;L - Concept B3 - RCCL'!T15</f>
        <v>4120</v>
      </c>
      <c r="AB20" s="313">
        <f>'P&amp;L - Concept B3 - RCCL'!U15</f>
        <v>4120</v>
      </c>
      <c r="AC20" s="313">
        <f>'P&amp;L - Concept B3 - RCCL'!V15</f>
        <v>4120</v>
      </c>
      <c r="AD20" s="313">
        <f>'P&amp;L - Concept B3 - RCCL'!W15</f>
        <v>4120</v>
      </c>
      <c r="AE20" s="313">
        <f>'P&amp;L - Concept B3 - RCCL'!X15</f>
        <v>4120</v>
      </c>
    </row>
    <row r="21" spans="1:31" s="18" customFormat="1">
      <c r="A21" s="54"/>
      <c r="B21" s="21"/>
      <c r="C21" s="21"/>
      <c r="K21" s="486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  <c r="Y21" s="313"/>
      <c r="Z21" s="313"/>
      <c r="AA21" s="313"/>
      <c r="AB21" s="313"/>
      <c r="AC21" s="313"/>
      <c r="AD21" s="313"/>
      <c r="AE21" s="313"/>
    </row>
    <row r="22" spans="1:31" s="547" customFormat="1">
      <c r="A22" s="549" t="s">
        <v>163</v>
      </c>
      <c r="B22" s="550"/>
      <c r="C22" s="550"/>
      <c r="K22" s="610"/>
      <c r="L22" s="555"/>
      <c r="M22" s="555"/>
      <c r="N22" s="555"/>
      <c r="O22" s="555"/>
      <c r="P22" s="555"/>
      <c r="Q22" s="555"/>
      <c r="R22" s="555"/>
      <c r="S22" s="555"/>
      <c r="T22" s="555"/>
      <c r="U22" s="555"/>
      <c r="V22" s="555"/>
      <c r="W22" s="555"/>
      <c r="X22" s="555"/>
      <c r="Y22" s="555"/>
      <c r="Z22" s="555"/>
      <c r="AA22" s="555"/>
      <c r="AB22" s="555"/>
      <c r="AC22" s="555"/>
      <c r="AD22" s="555"/>
      <c r="AE22" s="555"/>
    </row>
    <row r="23" spans="1:31" s="341" customFormat="1">
      <c r="A23" s="552" t="str">
        <f>'International Ferry Projections'!A11</f>
        <v>Passengers</v>
      </c>
      <c r="B23" s="553"/>
      <c r="C23" s="553"/>
      <c r="K23" s="554">
        <f>'P&amp;L - Concept B3 - RCCL'!D18</f>
        <v>0</v>
      </c>
      <c r="L23" s="555">
        <f>'P&amp;L - Concept B3 - RCCL'!E18</f>
        <v>60000</v>
      </c>
      <c r="M23" s="555">
        <f>'P&amp;L - Concept B3 - RCCL'!F18</f>
        <v>70000</v>
      </c>
      <c r="N23" s="555">
        <f>'P&amp;L - Concept B3 - RCCL'!G18</f>
        <v>80000</v>
      </c>
      <c r="O23" s="555">
        <f>'P&amp;L - Concept B3 - RCCL'!H18</f>
        <v>80000</v>
      </c>
      <c r="P23" s="555">
        <f>'P&amp;L - Concept B3 - RCCL'!I18</f>
        <v>80000</v>
      </c>
      <c r="Q23" s="555">
        <f>'P&amp;L - Concept B3 - RCCL'!J18</f>
        <v>80000</v>
      </c>
      <c r="R23" s="555">
        <f>'P&amp;L - Concept B3 - RCCL'!K18</f>
        <v>80000</v>
      </c>
      <c r="S23" s="555">
        <f>'P&amp;L - Concept B3 - RCCL'!L18</f>
        <v>80000</v>
      </c>
      <c r="T23" s="555">
        <f>'P&amp;L - Concept B3 - RCCL'!M18</f>
        <v>80000</v>
      </c>
      <c r="U23" s="555">
        <f>'P&amp;L - Concept B3 - RCCL'!N18</f>
        <v>80000</v>
      </c>
      <c r="V23" s="555">
        <f>'P&amp;L - Concept B3 - RCCL'!O18</f>
        <v>80000</v>
      </c>
      <c r="W23" s="555">
        <f>'P&amp;L - Concept B3 - RCCL'!P18</f>
        <v>80000</v>
      </c>
      <c r="X23" s="555">
        <f>'P&amp;L - Concept B3 - RCCL'!Q18</f>
        <v>80000</v>
      </c>
      <c r="Y23" s="555">
        <f>'P&amp;L - Concept B3 - RCCL'!R18</f>
        <v>80000</v>
      </c>
      <c r="Z23" s="555">
        <f>'P&amp;L - Concept B3 - RCCL'!S18</f>
        <v>80000</v>
      </c>
      <c r="AA23" s="555">
        <f>'P&amp;L - Concept B3 - RCCL'!T18</f>
        <v>80000</v>
      </c>
      <c r="AB23" s="555">
        <f>'P&amp;L - Concept B3 - RCCL'!U18</f>
        <v>80000</v>
      </c>
      <c r="AC23" s="555">
        <f>'P&amp;L - Concept B3 - RCCL'!V18</f>
        <v>80000</v>
      </c>
      <c r="AD23" s="555">
        <f>'P&amp;L - Concept B3 - RCCL'!W18</f>
        <v>80000</v>
      </c>
      <c r="AE23" s="555">
        <f>'P&amp;L - Concept B3 - RCCL'!X18</f>
        <v>80000</v>
      </c>
    </row>
    <row r="24" spans="1:31" s="341" customFormat="1">
      <c r="A24" s="552" t="str">
        <f>'International Ferry Projections'!A12</f>
        <v>Cars</v>
      </c>
      <c r="B24" s="553"/>
      <c r="C24" s="553"/>
      <c r="K24" s="554">
        <f>'P&amp;L - Concept B3 - RCCL'!D19</f>
        <v>0</v>
      </c>
      <c r="L24" s="555">
        <f>'P&amp;L - Concept B3 - RCCL'!E19</f>
        <v>24000</v>
      </c>
      <c r="M24" s="555">
        <f>'P&amp;L - Concept B3 - RCCL'!F19</f>
        <v>28000</v>
      </c>
      <c r="N24" s="555">
        <f>'P&amp;L - Concept B3 - RCCL'!G19</f>
        <v>32000</v>
      </c>
      <c r="O24" s="555">
        <f>'P&amp;L - Concept B3 - RCCL'!H19</f>
        <v>32000</v>
      </c>
      <c r="P24" s="555">
        <f>'P&amp;L - Concept B3 - RCCL'!I19</f>
        <v>32000</v>
      </c>
      <c r="Q24" s="555">
        <f>'P&amp;L - Concept B3 - RCCL'!J19</f>
        <v>32000</v>
      </c>
      <c r="R24" s="555">
        <f>'P&amp;L - Concept B3 - RCCL'!K19</f>
        <v>32000</v>
      </c>
      <c r="S24" s="555">
        <f>'P&amp;L - Concept B3 - RCCL'!L19</f>
        <v>32000</v>
      </c>
      <c r="T24" s="555">
        <f>'P&amp;L - Concept B3 - RCCL'!M19</f>
        <v>32000</v>
      </c>
      <c r="U24" s="555">
        <f>'P&amp;L - Concept B3 - RCCL'!N19</f>
        <v>32000</v>
      </c>
      <c r="V24" s="555">
        <f>'P&amp;L - Concept B3 - RCCL'!O19</f>
        <v>32000</v>
      </c>
      <c r="W24" s="555">
        <f>'P&amp;L - Concept B3 - RCCL'!P19</f>
        <v>32000</v>
      </c>
      <c r="X24" s="555">
        <f>'P&amp;L - Concept B3 - RCCL'!Q19</f>
        <v>32000</v>
      </c>
      <c r="Y24" s="555">
        <f>'P&amp;L - Concept B3 - RCCL'!R19</f>
        <v>32000</v>
      </c>
      <c r="Z24" s="555">
        <f>'P&amp;L - Concept B3 - RCCL'!S19</f>
        <v>32000</v>
      </c>
      <c r="AA24" s="555">
        <f>'P&amp;L - Concept B3 - RCCL'!T19</f>
        <v>32000</v>
      </c>
      <c r="AB24" s="555">
        <f>'P&amp;L - Concept B3 - RCCL'!U19</f>
        <v>32000</v>
      </c>
      <c r="AC24" s="555">
        <f>'P&amp;L - Concept B3 - RCCL'!V19</f>
        <v>32000</v>
      </c>
      <c r="AD24" s="555">
        <f>'P&amp;L - Concept B3 - RCCL'!W19</f>
        <v>32000</v>
      </c>
      <c r="AE24" s="555">
        <f>'P&amp;L - Concept B3 - RCCL'!X19</f>
        <v>32000</v>
      </c>
    </row>
    <row r="25" spans="1:31" s="341" customFormat="1">
      <c r="A25" s="552" t="str">
        <f>'International Ferry Projections'!A13</f>
        <v>Buses</v>
      </c>
      <c r="B25" s="553"/>
      <c r="C25" s="553"/>
      <c r="K25" s="554">
        <f>'P&amp;L - Concept B3 - RCCL'!D20</f>
        <v>0</v>
      </c>
      <c r="L25" s="555">
        <f>'P&amp;L - Concept B3 - RCCL'!E20</f>
        <v>40</v>
      </c>
      <c r="M25" s="555">
        <f>'P&amp;L - Concept B3 - RCCL'!F20</f>
        <v>50</v>
      </c>
      <c r="N25" s="555">
        <f>'P&amp;L - Concept B3 - RCCL'!G20</f>
        <v>60</v>
      </c>
      <c r="O25" s="555">
        <f>'P&amp;L - Concept B3 - RCCL'!H20</f>
        <v>60</v>
      </c>
      <c r="P25" s="555">
        <f>'P&amp;L - Concept B3 - RCCL'!I20</f>
        <v>60</v>
      </c>
      <c r="Q25" s="555">
        <f>'P&amp;L - Concept B3 - RCCL'!J20</f>
        <v>60</v>
      </c>
      <c r="R25" s="555">
        <f>'P&amp;L - Concept B3 - RCCL'!K20</f>
        <v>60</v>
      </c>
      <c r="S25" s="555">
        <f>'P&amp;L - Concept B3 - RCCL'!L20</f>
        <v>60</v>
      </c>
      <c r="T25" s="555">
        <f>'P&amp;L - Concept B3 - RCCL'!M20</f>
        <v>60</v>
      </c>
      <c r="U25" s="555">
        <f>'P&amp;L - Concept B3 - RCCL'!N20</f>
        <v>60</v>
      </c>
      <c r="V25" s="555">
        <f>'P&amp;L - Concept B3 - RCCL'!O20</f>
        <v>60</v>
      </c>
      <c r="W25" s="555">
        <f>'P&amp;L - Concept B3 - RCCL'!P20</f>
        <v>60</v>
      </c>
      <c r="X25" s="555">
        <f>'P&amp;L - Concept B3 - RCCL'!Q20</f>
        <v>60</v>
      </c>
      <c r="Y25" s="555">
        <f>'P&amp;L - Concept B3 - RCCL'!R20</f>
        <v>60</v>
      </c>
      <c r="Z25" s="555">
        <f>'P&amp;L - Concept B3 - RCCL'!S20</f>
        <v>60</v>
      </c>
      <c r="AA25" s="555">
        <f>'P&amp;L - Concept B3 - RCCL'!T20</f>
        <v>60</v>
      </c>
      <c r="AB25" s="555">
        <f>'P&amp;L - Concept B3 - RCCL'!U20</f>
        <v>60</v>
      </c>
      <c r="AC25" s="555">
        <f>'P&amp;L - Concept B3 - RCCL'!V20</f>
        <v>60</v>
      </c>
      <c r="AD25" s="555">
        <f>'P&amp;L - Concept B3 - RCCL'!W20</f>
        <v>60</v>
      </c>
      <c r="AE25" s="555">
        <f>'P&amp;L - Concept B3 - RCCL'!X20</f>
        <v>60</v>
      </c>
    </row>
    <row r="26" spans="1:31" s="18" customFormat="1">
      <c r="A26" s="54"/>
      <c r="B26" s="21"/>
      <c r="C26" s="21"/>
      <c r="K26" s="486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</row>
    <row r="27" spans="1:31" s="582" customFormat="1">
      <c r="A27" s="293" t="str">
        <f>'BH Tariffs'!A30</f>
        <v>Local Ferry</v>
      </c>
      <c r="B27" s="581"/>
      <c r="C27" s="581"/>
      <c r="K27" s="486">
        <f>'P&amp;L - Concept B3 - RCCL'!D22</f>
        <v>0</v>
      </c>
      <c r="L27" s="313">
        <f>'P&amp;L - Concept B3 - RCCL'!E22</f>
        <v>0</v>
      </c>
      <c r="M27" s="313">
        <f>'P&amp;L - Concept B3 - RCCL'!F22</f>
        <v>0</v>
      </c>
      <c r="N27" s="313">
        <f>'P&amp;L - Concept B3 - RCCL'!G22</f>
        <v>0</v>
      </c>
      <c r="O27" s="313">
        <f>'P&amp;L - Concept B3 - RCCL'!H22</f>
        <v>0</v>
      </c>
      <c r="P27" s="313">
        <f>'P&amp;L - Concept B3 - RCCL'!I22</f>
        <v>0</v>
      </c>
      <c r="Q27" s="313">
        <f>'P&amp;L - Concept B3 - RCCL'!J22</f>
        <v>0</v>
      </c>
      <c r="R27" s="313">
        <f>'P&amp;L - Concept B3 - RCCL'!K22</f>
        <v>0</v>
      </c>
      <c r="S27" s="313">
        <f>'P&amp;L - Concept B3 - RCCL'!L22</f>
        <v>0</v>
      </c>
      <c r="T27" s="313">
        <f>'P&amp;L - Concept B3 - RCCL'!M22</f>
        <v>0</v>
      </c>
      <c r="U27" s="313">
        <f>'P&amp;L - Concept B3 - RCCL'!N22</f>
        <v>0</v>
      </c>
      <c r="V27" s="313">
        <f>'P&amp;L - Concept B3 - RCCL'!O22</f>
        <v>0</v>
      </c>
      <c r="W27" s="313">
        <f>'P&amp;L - Concept B3 - RCCL'!P22</f>
        <v>0</v>
      </c>
      <c r="X27" s="313">
        <f>'P&amp;L - Concept B3 - RCCL'!Q22</f>
        <v>0</v>
      </c>
      <c r="Y27" s="313">
        <f>'P&amp;L - Concept B3 - RCCL'!R22</f>
        <v>0</v>
      </c>
      <c r="Z27" s="313">
        <f>'P&amp;L - Concept B3 - RCCL'!S22</f>
        <v>0</v>
      </c>
      <c r="AA27" s="313">
        <f>'P&amp;L - Concept B3 - RCCL'!T22</f>
        <v>0</v>
      </c>
      <c r="AB27" s="313">
        <f>'P&amp;L - Concept B3 - RCCL'!U22</f>
        <v>0</v>
      </c>
      <c r="AC27" s="313">
        <f>'P&amp;L - Concept B3 - RCCL'!V22</f>
        <v>0</v>
      </c>
      <c r="AD27" s="313">
        <f>'P&amp;L - Concept B3 - RCCL'!W22</f>
        <v>0</v>
      </c>
      <c r="AE27" s="313">
        <f>'P&amp;L - Concept B3 - RCCL'!X22</f>
        <v>0</v>
      </c>
    </row>
    <row r="28" spans="1:31" s="96" customFormat="1">
      <c r="A28" s="54" t="str">
        <f>'BH Tariffs'!A31</f>
        <v>Dock Rent (6 Months Only)</v>
      </c>
      <c r="B28" s="487"/>
      <c r="C28" s="487"/>
      <c r="K28" s="486">
        <f>'P&amp;L - Concept B3 - RCCL'!D23</f>
        <v>0</v>
      </c>
      <c r="L28" s="313" t="str">
        <f>'P&amp;L - Concept B3 - RCCL'!E23</f>
        <v>see Tariff</v>
      </c>
      <c r="M28" s="313" t="str">
        <f>'P&amp;L - Concept B3 - RCCL'!F23</f>
        <v>see Tariff</v>
      </c>
      <c r="N28" s="313" t="str">
        <f>'P&amp;L - Concept B3 - RCCL'!G23</f>
        <v>see Tariff</v>
      </c>
      <c r="O28" s="313" t="str">
        <f>'P&amp;L - Concept B3 - RCCL'!H23</f>
        <v>see Tariff</v>
      </c>
      <c r="P28" s="313" t="str">
        <f>'P&amp;L - Concept B3 - RCCL'!I23</f>
        <v>see Tariff</v>
      </c>
      <c r="Q28" s="313" t="str">
        <f>'P&amp;L - Concept B3 - RCCL'!J23</f>
        <v>see Tariff</v>
      </c>
      <c r="R28" s="313" t="str">
        <f>'P&amp;L - Concept B3 - RCCL'!K23</f>
        <v>see Tariff</v>
      </c>
      <c r="S28" s="313" t="str">
        <f>'P&amp;L - Concept B3 - RCCL'!L23</f>
        <v>see Tariff</v>
      </c>
      <c r="T28" s="313" t="str">
        <f>'P&amp;L - Concept B3 - RCCL'!M23</f>
        <v>see Tariff</v>
      </c>
      <c r="U28" s="313" t="str">
        <f>'P&amp;L - Concept B3 - RCCL'!N23</f>
        <v>see Tariff</v>
      </c>
      <c r="V28" s="313" t="str">
        <f>'P&amp;L - Concept B3 - RCCL'!O23</f>
        <v>see Tariff</v>
      </c>
      <c r="W28" s="313" t="str">
        <f>'P&amp;L - Concept B3 - RCCL'!P23</f>
        <v>see Tariff</v>
      </c>
      <c r="X28" s="313" t="str">
        <f>'P&amp;L - Concept B3 - RCCL'!Q23</f>
        <v>see Tariff</v>
      </c>
      <c r="Y28" s="313" t="str">
        <f>'P&amp;L - Concept B3 - RCCL'!R23</f>
        <v>see Tariff</v>
      </c>
      <c r="Z28" s="313" t="str">
        <f>'P&amp;L - Concept B3 - RCCL'!S23</f>
        <v>see Tariff</v>
      </c>
      <c r="AA28" s="313" t="str">
        <f>'P&amp;L - Concept B3 - RCCL'!T23</f>
        <v>see Tariff</v>
      </c>
      <c r="AB28" s="313" t="str">
        <f>'P&amp;L - Concept B3 - RCCL'!U23</f>
        <v>see Tariff</v>
      </c>
      <c r="AC28" s="313" t="str">
        <f>'P&amp;L - Concept B3 - RCCL'!V23</f>
        <v>see Tariff</v>
      </c>
      <c r="AD28" s="313" t="str">
        <f>'P&amp;L - Concept B3 - RCCL'!W23</f>
        <v>see Tariff</v>
      </c>
      <c r="AE28" s="313" t="str">
        <f>'P&amp;L - Concept B3 - RCCL'!X23</f>
        <v>see Tariff</v>
      </c>
    </row>
    <row r="29" spans="1:31" s="341" customFormat="1">
      <c r="A29" s="552"/>
      <c r="B29" s="553"/>
      <c r="C29" s="553"/>
      <c r="K29" s="554"/>
      <c r="L29" s="313"/>
      <c r="M29" s="313"/>
      <c r="N29" s="313"/>
      <c r="O29" s="313"/>
      <c r="P29" s="313"/>
      <c r="Q29" s="313"/>
      <c r="R29" s="313"/>
      <c r="S29" s="313"/>
      <c r="T29" s="313"/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</row>
    <row r="30" spans="1:31" s="96" customFormat="1">
      <c r="A30" s="559" t="s">
        <v>227</v>
      </c>
      <c r="B30" s="487"/>
      <c r="C30" s="487"/>
      <c r="K30" s="486"/>
      <c r="L30" s="313"/>
      <c r="M30" s="313"/>
      <c r="N30" s="313"/>
      <c r="O30" s="313"/>
      <c r="P30" s="313"/>
      <c r="Q30" s="313"/>
      <c r="R30" s="313"/>
      <c r="S30" s="313"/>
      <c r="T30" s="313"/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</row>
    <row r="31" spans="1:31" s="96" customFormat="1">
      <c r="A31" s="559"/>
      <c r="B31" s="487"/>
      <c r="C31" s="487"/>
      <c r="K31" s="486"/>
      <c r="L31" s="313"/>
      <c r="M31" s="313"/>
      <c r="N31" s="313"/>
      <c r="O31" s="313"/>
      <c r="P31" s="313"/>
      <c r="Q31" s="313"/>
      <c r="R31" s="313"/>
      <c r="S31" s="313"/>
      <c r="T31" s="313"/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</row>
    <row r="32" spans="1:31" s="96" customFormat="1">
      <c r="A32" s="54" t="s">
        <v>420</v>
      </c>
      <c r="B32" s="487"/>
      <c r="C32" s="487"/>
      <c r="K32" s="486">
        <f>'P&amp;L - Concept B3 - RCCL'!D27</f>
        <v>0</v>
      </c>
      <c r="L32" s="313">
        <f>'P&amp;L - Concept B3 - RCCL'!E27</f>
        <v>0</v>
      </c>
      <c r="M32" s="313">
        <f>'P&amp;L - Concept B3 - RCCL'!F27</f>
        <v>214</v>
      </c>
      <c r="N32" s="313">
        <f>'P&amp;L - Concept B3 - RCCL'!G27</f>
        <v>214</v>
      </c>
      <c r="O32" s="313">
        <f>'P&amp;L - Concept B3 - RCCL'!H27</f>
        <v>214</v>
      </c>
      <c r="P32" s="313">
        <f>'P&amp;L - Concept B3 - RCCL'!I27</f>
        <v>214</v>
      </c>
      <c r="Q32" s="313">
        <f>'P&amp;L - Concept B3 - RCCL'!J27</f>
        <v>214</v>
      </c>
      <c r="R32" s="313">
        <f>'P&amp;L - Concept B3 - RCCL'!K27</f>
        <v>214</v>
      </c>
      <c r="S32" s="313">
        <f>'P&amp;L - Concept B3 - RCCL'!L27</f>
        <v>214</v>
      </c>
      <c r="T32" s="313">
        <f>'P&amp;L - Concept B3 - RCCL'!M27</f>
        <v>214</v>
      </c>
      <c r="U32" s="313">
        <f>'P&amp;L - Concept B3 - RCCL'!N27</f>
        <v>214</v>
      </c>
      <c r="V32" s="313">
        <f>'P&amp;L - Concept B3 - RCCL'!O27</f>
        <v>214</v>
      </c>
      <c r="W32" s="313">
        <f>'P&amp;L - Concept B3 - RCCL'!P27</f>
        <v>214</v>
      </c>
      <c r="X32" s="313">
        <f>'P&amp;L - Concept B3 - RCCL'!Q27</f>
        <v>214</v>
      </c>
      <c r="Y32" s="313">
        <f>'P&amp;L - Concept B3 - RCCL'!R27</f>
        <v>214</v>
      </c>
      <c r="Z32" s="313">
        <f>'P&amp;L - Concept B3 - RCCL'!S27</f>
        <v>214</v>
      </c>
      <c r="AA32" s="313">
        <f>'P&amp;L - Concept B3 - RCCL'!T27</f>
        <v>214</v>
      </c>
      <c r="AB32" s="313">
        <f>'P&amp;L - Concept B3 - RCCL'!U27</f>
        <v>214</v>
      </c>
      <c r="AC32" s="313">
        <f>'P&amp;L - Concept B3 - RCCL'!V27</f>
        <v>214</v>
      </c>
      <c r="AD32" s="313">
        <f>'P&amp;L - Concept B3 - RCCL'!W27</f>
        <v>214</v>
      </c>
      <c r="AE32" s="313">
        <f>'P&amp;L - Concept B3 - RCCL'!X27</f>
        <v>214</v>
      </c>
    </row>
    <row r="33" spans="1:31" s="96" customFormat="1">
      <c r="A33" s="54" t="s">
        <v>205</v>
      </c>
      <c r="B33" s="487"/>
      <c r="C33" s="487"/>
      <c r="K33" s="486">
        <f>'P&amp;L - Concept B3 - RCCL'!D28</f>
        <v>0</v>
      </c>
      <c r="L33" s="313">
        <f>'P&amp;L - Concept B3 - RCCL'!E28</f>
        <v>0</v>
      </c>
      <c r="M33" s="313">
        <f>'P&amp;L - Concept B3 - RCCL'!F28</f>
        <v>28.666666666666664</v>
      </c>
      <c r="N33" s="313">
        <f>'P&amp;L - Concept B3 - RCCL'!G28</f>
        <v>28.666666666666664</v>
      </c>
      <c r="O33" s="313">
        <f>'P&amp;L - Concept B3 - RCCL'!H28</f>
        <v>28.666666666666664</v>
      </c>
      <c r="P33" s="313">
        <f>'P&amp;L - Concept B3 - RCCL'!I28</f>
        <v>28.666666666666664</v>
      </c>
      <c r="Q33" s="313">
        <f>'P&amp;L - Concept B3 - RCCL'!J28</f>
        <v>28.666666666666664</v>
      </c>
      <c r="R33" s="313">
        <f>'P&amp;L - Concept B3 - RCCL'!K28</f>
        <v>28.666666666666664</v>
      </c>
      <c r="S33" s="313">
        <f>'P&amp;L - Concept B3 - RCCL'!L28</f>
        <v>28.666666666666664</v>
      </c>
      <c r="T33" s="313">
        <f>'P&amp;L - Concept B3 - RCCL'!M28</f>
        <v>28.666666666666664</v>
      </c>
      <c r="U33" s="313">
        <f>'P&amp;L - Concept B3 - RCCL'!N28</f>
        <v>28.666666666666664</v>
      </c>
      <c r="V33" s="313">
        <f>'P&amp;L - Concept B3 - RCCL'!O28</f>
        <v>28.666666666666664</v>
      </c>
      <c r="W33" s="313">
        <f>'P&amp;L - Concept B3 - RCCL'!P28</f>
        <v>28.666666666666664</v>
      </c>
      <c r="X33" s="313">
        <f>'P&amp;L - Concept B3 - RCCL'!Q28</f>
        <v>28.666666666666664</v>
      </c>
      <c r="Y33" s="313">
        <f>'P&amp;L - Concept B3 - RCCL'!R28</f>
        <v>28.666666666666664</v>
      </c>
      <c r="Z33" s="313">
        <f>'P&amp;L - Concept B3 - RCCL'!S28</f>
        <v>28.666666666666664</v>
      </c>
      <c r="AA33" s="313">
        <f>'P&amp;L - Concept B3 - RCCL'!T28</f>
        <v>28.666666666666664</v>
      </c>
      <c r="AB33" s="313">
        <f>'P&amp;L - Concept B3 - RCCL'!U28</f>
        <v>28.666666666666664</v>
      </c>
      <c r="AC33" s="313">
        <f>'P&amp;L - Concept B3 - RCCL'!V28</f>
        <v>28.666666666666664</v>
      </c>
      <c r="AD33" s="313">
        <f>'P&amp;L - Concept B3 - RCCL'!W28</f>
        <v>28.666666666666664</v>
      </c>
      <c r="AE33" s="313">
        <f>'P&amp;L - Concept B3 - RCCL'!X28</f>
        <v>28.666666666666664</v>
      </c>
    </row>
    <row r="34" spans="1:31" s="341" customFormat="1">
      <c r="A34" s="552" t="s">
        <v>219</v>
      </c>
      <c r="B34" s="553"/>
      <c r="C34" s="553"/>
      <c r="K34" s="554">
        <f>'P&amp;L - Concept B3 - RCCL'!D29</f>
        <v>0</v>
      </c>
      <c r="L34" s="313">
        <f>'P&amp;L - Concept B3 - RCCL'!E29</f>
        <v>150</v>
      </c>
      <c r="M34" s="313">
        <f>'P&amp;L - Concept B3 - RCCL'!F29</f>
        <v>150</v>
      </c>
      <c r="N34" s="313">
        <f>'P&amp;L - Concept B3 - RCCL'!G29</f>
        <v>150</v>
      </c>
      <c r="O34" s="313">
        <f>'P&amp;L - Concept B3 - RCCL'!H29</f>
        <v>150</v>
      </c>
      <c r="P34" s="313">
        <f>'P&amp;L - Concept B3 - RCCL'!I29</f>
        <v>150</v>
      </c>
      <c r="Q34" s="313">
        <f>'P&amp;L - Concept B3 - RCCL'!J29</f>
        <v>150</v>
      </c>
      <c r="R34" s="313">
        <f>'P&amp;L - Concept B3 - RCCL'!K29</f>
        <v>150</v>
      </c>
      <c r="S34" s="313">
        <f>'P&amp;L - Concept B3 - RCCL'!L29</f>
        <v>150</v>
      </c>
      <c r="T34" s="313">
        <f>'P&amp;L - Concept B3 - RCCL'!M29</f>
        <v>150</v>
      </c>
      <c r="U34" s="313">
        <f>'P&amp;L - Concept B3 - RCCL'!N29</f>
        <v>150</v>
      </c>
      <c r="V34" s="313">
        <f>'P&amp;L - Concept B3 - RCCL'!O29</f>
        <v>150</v>
      </c>
      <c r="W34" s="313">
        <f>'P&amp;L - Concept B3 - RCCL'!P29</f>
        <v>150</v>
      </c>
      <c r="X34" s="313">
        <f>'P&amp;L - Concept B3 - RCCL'!Q29</f>
        <v>150</v>
      </c>
      <c r="Y34" s="313">
        <f>'P&amp;L - Concept B3 - RCCL'!R29</f>
        <v>150</v>
      </c>
      <c r="Z34" s="313">
        <f>'P&amp;L - Concept B3 - RCCL'!S29</f>
        <v>150</v>
      </c>
      <c r="AA34" s="313">
        <f>'P&amp;L - Concept B3 - RCCL'!T29</f>
        <v>150</v>
      </c>
      <c r="AB34" s="313">
        <f>'P&amp;L - Concept B3 - RCCL'!U29</f>
        <v>150</v>
      </c>
      <c r="AC34" s="313">
        <f>'P&amp;L - Concept B3 - RCCL'!V29</f>
        <v>150</v>
      </c>
      <c r="AD34" s="313">
        <f>'P&amp;L - Concept B3 - RCCL'!W29</f>
        <v>150</v>
      </c>
      <c r="AE34" s="313">
        <f>'P&amp;L - Concept B3 - RCCL'!X29</f>
        <v>150</v>
      </c>
    </row>
    <row r="35" spans="1:31" s="341" customFormat="1">
      <c r="A35" s="552" t="s">
        <v>220</v>
      </c>
      <c r="B35" s="553"/>
      <c r="C35" s="553"/>
      <c r="K35" s="554">
        <f>'P&amp;L - Concept B3 - RCCL'!D30</f>
        <v>0</v>
      </c>
      <c r="L35" s="788">
        <f>'P&amp;L - Concept B3 - RCCL'!E30</f>
        <v>0</v>
      </c>
      <c r="M35" s="788">
        <f>'P&amp;L - Concept B3 - RCCL'!F30</f>
        <v>0.19111111111111109</v>
      </c>
      <c r="N35" s="788">
        <f>'P&amp;L - Concept B3 - RCCL'!G30</f>
        <v>0.19111111111111109</v>
      </c>
      <c r="O35" s="788">
        <f>'P&amp;L - Concept B3 - RCCL'!H30</f>
        <v>0.19111111111111109</v>
      </c>
      <c r="P35" s="788">
        <f>'P&amp;L - Concept B3 - RCCL'!I30</f>
        <v>0.19111111111111109</v>
      </c>
      <c r="Q35" s="788">
        <f>'P&amp;L - Concept B3 - RCCL'!J30</f>
        <v>0.19111111111111109</v>
      </c>
      <c r="R35" s="788">
        <f>'P&amp;L - Concept B3 - RCCL'!K30</f>
        <v>0.19111111111111109</v>
      </c>
      <c r="S35" s="788">
        <f>'P&amp;L - Concept B3 - RCCL'!L30</f>
        <v>0.19111111111111109</v>
      </c>
      <c r="T35" s="788">
        <f>'P&amp;L - Concept B3 - RCCL'!M30</f>
        <v>0.19111111111111109</v>
      </c>
      <c r="U35" s="788">
        <f>'P&amp;L - Concept B3 - RCCL'!N30</f>
        <v>0.19111111111111109</v>
      </c>
      <c r="V35" s="788">
        <f>'P&amp;L - Concept B3 - RCCL'!O30</f>
        <v>0.19111111111111109</v>
      </c>
      <c r="W35" s="788">
        <f>'P&amp;L - Concept B3 - RCCL'!P30</f>
        <v>0.19111111111111109</v>
      </c>
      <c r="X35" s="788">
        <f>'P&amp;L - Concept B3 - RCCL'!Q30</f>
        <v>0.19111111111111109</v>
      </c>
      <c r="Y35" s="788">
        <f>'P&amp;L - Concept B3 - RCCL'!R30</f>
        <v>0.19111111111111109</v>
      </c>
      <c r="Z35" s="788">
        <f>'P&amp;L - Concept B3 - RCCL'!S30</f>
        <v>0.19111111111111109</v>
      </c>
      <c r="AA35" s="788">
        <f>'P&amp;L - Concept B3 - RCCL'!T30</f>
        <v>0.19111111111111109</v>
      </c>
      <c r="AB35" s="788">
        <f>'P&amp;L - Concept B3 - RCCL'!U30</f>
        <v>0.19111111111111109</v>
      </c>
      <c r="AC35" s="788">
        <f>'P&amp;L - Concept B3 - RCCL'!V30</f>
        <v>0.19111111111111109</v>
      </c>
      <c r="AD35" s="788">
        <f>'P&amp;L - Concept B3 - RCCL'!W30</f>
        <v>0.19111111111111109</v>
      </c>
      <c r="AE35" s="788">
        <f>'P&amp;L - Concept B3 - RCCL'!X30</f>
        <v>0.19111111111111109</v>
      </c>
    </row>
    <row r="36" spans="1:31" s="96" customFormat="1">
      <c r="A36" s="54" t="s">
        <v>226</v>
      </c>
      <c r="B36" s="487"/>
      <c r="C36" s="487"/>
      <c r="K36" s="486">
        <f>'P&amp;L - Concept B3 - RCCL'!D31</f>
        <v>0</v>
      </c>
      <c r="L36" s="313">
        <f>'P&amp;L - Concept B3 - RCCL'!E31</f>
        <v>0</v>
      </c>
      <c r="M36" s="313">
        <f>'P&amp;L - Concept B3 - RCCL'!F31</f>
        <v>125</v>
      </c>
      <c r="N36" s="313">
        <f>'P&amp;L - Concept B3 - RCCL'!G31</f>
        <v>125</v>
      </c>
      <c r="O36" s="313">
        <f>'P&amp;L - Concept B3 - RCCL'!H31</f>
        <v>125</v>
      </c>
      <c r="P36" s="313">
        <f>'P&amp;L - Concept B3 - RCCL'!I31</f>
        <v>125</v>
      </c>
      <c r="Q36" s="313">
        <f>'P&amp;L - Concept B3 - RCCL'!J31</f>
        <v>125</v>
      </c>
      <c r="R36" s="313">
        <f>'P&amp;L - Concept B3 - RCCL'!K31</f>
        <v>125</v>
      </c>
      <c r="S36" s="313">
        <f>'P&amp;L - Concept B3 - RCCL'!L31</f>
        <v>125</v>
      </c>
      <c r="T36" s="313">
        <f>'P&amp;L - Concept B3 - RCCL'!M31</f>
        <v>125</v>
      </c>
      <c r="U36" s="313">
        <f>'P&amp;L - Concept B3 - RCCL'!N31</f>
        <v>125</v>
      </c>
      <c r="V36" s="313">
        <f>'P&amp;L - Concept B3 - RCCL'!O31</f>
        <v>125</v>
      </c>
      <c r="W36" s="313">
        <f>'P&amp;L - Concept B3 - RCCL'!P31</f>
        <v>125</v>
      </c>
      <c r="X36" s="313">
        <f>'P&amp;L - Concept B3 - RCCL'!Q31</f>
        <v>125</v>
      </c>
      <c r="Y36" s="313">
        <f>'P&amp;L - Concept B3 - RCCL'!R31</f>
        <v>125</v>
      </c>
      <c r="Z36" s="313">
        <f>'P&amp;L - Concept B3 - RCCL'!S31</f>
        <v>125</v>
      </c>
      <c r="AA36" s="313">
        <f>'P&amp;L - Concept B3 - RCCL'!T31</f>
        <v>125</v>
      </c>
      <c r="AB36" s="313">
        <f>'P&amp;L - Concept B3 - RCCL'!U31</f>
        <v>125</v>
      </c>
      <c r="AC36" s="313">
        <f>'P&amp;L - Concept B3 - RCCL'!V31</f>
        <v>125</v>
      </c>
      <c r="AD36" s="313">
        <f>'P&amp;L - Concept B3 - RCCL'!W31</f>
        <v>125</v>
      </c>
      <c r="AE36" s="313">
        <f>'P&amp;L - Concept B3 - RCCL'!X31</f>
        <v>125</v>
      </c>
    </row>
    <row r="37" spans="1:31" s="18" customFormat="1">
      <c r="A37" s="54"/>
      <c r="B37" s="21"/>
      <c r="C37" s="21"/>
      <c r="K37" s="486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</row>
    <row r="38" spans="1:31" s="96" customFormat="1">
      <c r="A38" s="54" t="s">
        <v>206</v>
      </c>
      <c r="B38" s="487"/>
      <c r="C38" s="487"/>
      <c r="K38" s="486">
        <f>'P&amp;L - Concept B3 - RCCL'!D33</f>
        <v>0</v>
      </c>
      <c r="L38" s="313">
        <f>'P&amp;L - Concept B3 - RCCL'!E33</f>
        <v>0</v>
      </c>
      <c r="M38" s="313">
        <f>'P&amp;L - Concept B3 - RCCL'!F33</f>
        <v>3110.3085303356092</v>
      </c>
      <c r="N38" s="313">
        <f>'P&amp;L - Concept B3 - RCCL'!G33</f>
        <v>3110.3085303356092</v>
      </c>
      <c r="O38" s="313">
        <f>'P&amp;L - Concept B3 - RCCL'!H33</f>
        <v>3110.3085303356092</v>
      </c>
      <c r="P38" s="313">
        <f>'P&amp;L - Concept B3 - RCCL'!I33</f>
        <v>3110.3085303356092</v>
      </c>
      <c r="Q38" s="313">
        <f>'P&amp;L - Concept B3 - RCCL'!J33</f>
        <v>3110.3085303356092</v>
      </c>
      <c r="R38" s="313">
        <f>'P&amp;L - Concept B3 - RCCL'!K33</f>
        <v>3110.3085303356092</v>
      </c>
      <c r="S38" s="313">
        <f>'P&amp;L - Concept B3 - RCCL'!L33</f>
        <v>3110.3085303356092</v>
      </c>
      <c r="T38" s="313">
        <f>'P&amp;L - Concept B3 - RCCL'!M33</f>
        <v>3110.3085303356092</v>
      </c>
      <c r="U38" s="313">
        <f>'P&amp;L - Concept B3 - RCCL'!N33</f>
        <v>3110.3085303356092</v>
      </c>
      <c r="V38" s="313">
        <f>'P&amp;L - Concept B3 - RCCL'!O33</f>
        <v>3110.3085303356092</v>
      </c>
      <c r="W38" s="313">
        <f>'P&amp;L - Concept B3 - RCCL'!P33</f>
        <v>3110.3085303356092</v>
      </c>
      <c r="X38" s="313">
        <f>'P&amp;L - Concept B3 - RCCL'!Q33</f>
        <v>3110.3085303356092</v>
      </c>
      <c r="Y38" s="313">
        <f>'P&amp;L - Concept B3 - RCCL'!R33</f>
        <v>3110.3085303356092</v>
      </c>
      <c r="Z38" s="313">
        <f>'P&amp;L - Concept B3 - RCCL'!S33</f>
        <v>3110.3085303356092</v>
      </c>
      <c r="AA38" s="313">
        <f>'P&amp;L - Concept B3 - RCCL'!T33</f>
        <v>3110.3085303356092</v>
      </c>
      <c r="AB38" s="313">
        <f>'P&amp;L - Concept B3 - RCCL'!U33</f>
        <v>3110.3085303356092</v>
      </c>
      <c r="AC38" s="313">
        <f>'P&amp;L - Concept B3 - RCCL'!V33</f>
        <v>3110.3085303356092</v>
      </c>
      <c r="AD38" s="313">
        <f>'P&amp;L - Concept B3 - RCCL'!W33</f>
        <v>3110.3085303356092</v>
      </c>
      <c r="AE38" s="313">
        <f>'P&amp;L - Concept B3 - RCCL'!X33</f>
        <v>3110.3085303356092</v>
      </c>
    </row>
    <row r="39" spans="1:31" s="96" customFormat="1">
      <c r="A39" s="54" t="s">
        <v>207</v>
      </c>
      <c r="B39" s="487"/>
      <c r="C39" s="487"/>
      <c r="K39" s="486">
        <f>'P&amp;L - Concept B3 - RCCL'!D34</f>
        <v>0</v>
      </c>
      <c r="L39" s="313">
        <f>'P&amp;L - Concept B3 - RCCL'!E34</f>
        <v>0</v>
      </c>
      <c r="M39" s="313">
        <f>'P&amp;L - Concept B3 - RCCL'!F34</f>
        <v>5500</v>
      </c>
      <c r="N39" s="313">
        <f>'P&amp;L - Concept B3 - RCCL'!G34</f>
        <v>5500</v>
      </c>
      <c r="O39" s="313">
        <f>'P&amp;L - Concept B3 - RCCL'!H34</f>
        <v>5500</v>
      </c>
      <c r="P39" s="313">
        <f>'P&amp;L - Concept B3 - RCCL'!I34</f>
        <v>5500</v>
      </c>
      <c r="Q39" s="313">
        <f>'P&amp;L - Concept B3 - RCCL'!J34</f>
        <v>5500</v>
      </c>
      <c r="R39" s="313">
        <f>'P&amp;L - Concept B3 - RCCL'!K34</f>
        <v>5500</v>
      </c>
      <c r="S39" s="313">
        <f>'P&amp;L - Concept B3 - RCCL'!L34</f>
        <v>5500</v>
      </c>
      <c r="T39" s="313">
        <f>'P&amp;L - Concept B3 - RCCL'!M34</f>
        <v>5500</v>
      </c>
      <c r="U39" s="313">
        <f>'P&amp;L - Concept B3 - RCCL'!N34</f>
        <v>5500</v>
      </c>
      <c r="V39" s="313">
        <f>'P&amp;L - Concept B3 - RCCL'!O34</f>
        <v>5500</v>
      </c>
      <c r="W39" s="313">
        <f>'P&amp;L - Concept B3 - RCCL'!P34</f>
        <v>5500</v>
      </c>
      <c r="X39" s="313">
        <f>'P&amp;L - Concept B3 - RCCL'!Q34</f>
        <v>5500</v>
      </c>
      <c r="Y39" s="313">
        <f>'P&amp;L - Concept B3 - RCCL'!R34</f>
        <v>5500</v>
      </c>
      <c r="Z39" s="313">
        <f>'P&amp;L - Concept B3 - RCCL'!S34</f>
        <v>5500</v>
      </c>
      <c r="AA39" s="313">
        <f>'P&amp;L - Concept B3 - RCCL'!T34</f>
        <v>5500</v>
      </c>
      <c r="AB39" s="313">
        <f>'P&amp;L - Concept B3 - RCCL'!U34</f>
        <v>5500</v>
      </c>
      <c r="AC39" s="313">
        <f>'P&amp;L - Concept B3 - RCCL'!V34</f>
        <v>5500</v>
      </c>
      <c r="AD39" s="313">
        <f>'P&amp;L - Concept B3 - RCCL'!W34</f>
        <v>5500</v>
      </c>
      <c r="AE39" s="313">
        <f>'P&amp;L - Concept B3 - RCCL'!X34</f>
        <v>5500</v>
      </c>
    </row>
    <row r="40" spans="1:31" s="341" customFormat="1">
      <c r="A40" s="552" t="s">
        <v>221</v>
      </c>
      <c r="B40" s="553"/>
      <c r="C40" s="553"/>
      <c r="K40" s="554">
        <f>'P&amp;L - Concept B3 - RCCL'!D35</f>
        <v>0</v>
      </c>
      <c r="L40" s="555">
        <f>'P&amp;L - Concept B3 - RCCL'!E35</f>
        <v>400</v>
      </c>
      <c r="M40" s="555">
        <f>'P&amp;L - Concept B3 - RCCL'!F35</f>
        <v>466.66666666666669</v>
      </c>
      <c r="N40" s="555">
        <f>'P&amp;L - Concept B3 - RCCL'!G35</f>
        <v>533.33333333333337</v>
      </c>
      <c r="O40" s="555">
        <f>'P&amp;L - Concept B3 - RCCL'!H35</f>
        <v>533.33333333333337</v>
      </c>
      <c r="P40" s="555">
        <f>'P&amp;L - Concept B3 - RCCL'!I35</f>
        <v>533.33333333333337</v>
      </c>
      <c r="Q40" s="555">
        <f>'P&amp;L - Concept B3 - RCCL'!J35</f>
        <v>533.33333333333337</v>
      </c>
      <c r="R40" s="555">
        <f>'P&amp;L - Concept B3 - RCCL'!K35</f>
        <v>533.33333333333337</v>
      </c>
      <c r="S40" s="555">
        <f>'P&amp;L - Concept B3 - RCCL'!L35</f>
        <v>533.33333333333337</v>
      </c>
      <c r="T40" s="555">
        <f>'P&amp;L - Concept B3 - RCCL'!M35</f>
        <v>533.33333333333337</v>
      </c>
      <c r="U40" s="555">
        <f>'P&amp;L - Concept B3 - RCCL'!N35</f>
        <v>533.33333333333337</v>
      </c>
      <c r="V40" s="555">
        <f>'P&amp;L - Concept B3 - RCCL'!O35</f>
        <v>533.33333333333337</v>
      </c>
      <c r="W40" s="555">
        <f>'P&amp;L - Concept B3 - RCCL'!P35</f>
        <v>533.33333333333337</v>
      </c>
      <c r="X40" s="555">
        <f>'P&amp;L - Concept B3 - RCCL'!Q35</f>
        <v>533.33333333333337</v>
      </c>
      <c r="Y40" s="555">
        <f>'P&amp;L - Concept B3 - RCCL'!R35</f>
        <v>533.33333333333337</v>
      </c>
      <c r="Z40" s="555">
        <f>'P&amp;L - Concept B3 - RCCL'!S35</f>
        <v>533.33333333333337</v>
      </c>
      <c r="AA40" s="555">
        <f>'P&amp;L - Concept B3 - RCCL'!T35</f>
        <v>533.33333333333337</v>
      </c>
      <c r="AB40" s="555">
        <f>'P&amp;L - Concept B3 - RCCL'!U35</f>
        <v>533.33333333333337</v>
      </c>
      <c r="AC40" s="555">
        <f>'P&amp;L - Concept B3 - RCCL'!V35</f>
        <v>533.33333333333337</v>
      </c>
      <c r="AD40" s="555">
        <f>'P&amp;L - Concept B3 - RCCL'!W35</f>
        <v>533.33333333333337</v>
      </c>
      <c r="AE40" s="555">
        <f>'P&amp;L - Concept B3 - RCCL'!X35</f>
        <v>533.33333333333337</v>
      </c>
    </row>
    <row r="41" spans="1:31" s="341" customFormat="1">
      <c r="A41" s="552" t="s">
        <v>222</v>
      </c>
      <c r="B41" s="553"/>
      <c r="C41" s="553"/>
      <c r="K41" s="554">
        <f>'P&amp;L - Concept B3 - RCCL'!D36</f>
        <v>0</v>
      </c>
      <c r="L41" s="555">
        <f>'P&amp;L - Concept B3 - RCCL'!E36</f>
        <v>800</v>
      </c>
      <c r="M41" s="555">
        <f>'P&amp;L - Concept B3 - RCCL'!F36</f>
        <v>800</v>
      </c>
      <c r="N41" s="555">
        <f>'P&amp;L - Concept B3 - RCCL'!G36</f>
        <v>800</v>
      </c>
      <c r="O41" s="555">
        <f>'P&amp;L - Concept B3 - RCCL'!H36</f>
        <v>800</v>
      </c>
      <c r="P41" s="555">
        <f>'P&amp;L - Concept B3 - RCCL'!I36</f>
        <v>800</v>
      </c>
      <c r="Q41" s="555">
        <f>'P&amp;L - Concept B3 - RCCL'!J36</f>
        <v>800</v>
      </c>
      <c r="R41" s="555">
        <f>'P&amp;L - Concept B3 - RCCL'!K36</f>
        <v>800</v>
      </c>
      <c r="S41" s="555">
        <f>'P&amp;L - Concept B3 - RCCL'!L36</f>
        <v>800</v>
      </c>
      <c r="T41" s="555">
        <f>'P&amp;L - Concept B3 - RCCL'!M36</f>
        <v>800</v>
      </c>
      <c r="U41" s="555">
        <f>'P&amp;L - Concept B3 - RCCL'!N36</f>
        <v>800</v>
      </c>
      <c r="V41" s="555">
        <f>'P&amp;L - Concept B3 - RCCL'!O36</f>
        <v>800</v>
      </c>
      <c r="W41" s="555">
        <f>'P&amp;L - Concept B3 - RCCL'!P36</f>
        <v>800</v>
      </c>
      <c r="X41" s="555">
        <f>'P&amp;L - Concept B3 - RCCL'!Q36</f>
        <v>800</v>
      </c>
      <c r="Y41" s="555">
        <f>'P&amp;L - Concept B3 - RCCL'!R36</f>
        <v>800</v>
      </c>
      <c r="Z41" s="555">
        <f>'P&amp;L - Concept B3 - RCCL'!S36</f>
        <v>800</v>
      </c>
      <c r="AA41" s="555">
        <f>'P&amp;L - Concept B3 - RCCL'!T36</f>
        <v>800</v>
      </c>
      <c r="AB41" s="555">
        <f>'P&amp;L - Concept B3 - RCCL'!U36</f>
        <v>800</v>
      </c>
      <c r="AC41" s="555">
        <f>'P&amp;L - Concept B3 - RCCL'!V36</f>
        <v>800</v>
      </c>
      <c r="AD41" s="555">
        <f>'P&amp;L - Concept B3 - RCCL'!W36</f>
        <v>800</v>
      </c>
      <c r="AE41" s="555">
        <f>'P&amp;L - Concept B3 - RCCL'!X36</f>
        <v>800</v>
      </c>
    </row>
    <row r="42" spans="1:31" s="341" customFormat="1">
      <c r="A42" s="552" t="s">
        <v>208</v>
      </c>
      <c r="B42" s="553"/>
      <c r="C42" s="553"/>
      <c r="K42" s="554">
        <f>'P&amp;L - Concept B3 - RCCL'!D37</f>
        <v>0</v>
      </c>
      <c r="L42" s="555">
        <f>'P&amp;L - Concept B3 - RCCL'!E37</f>
        <v>800</v>
      </c>
      <c r="M42" s="555">
        <f>'P&amp;L - Concept B3 - RCCL'!F37</f>
        <v>6300</v>
      </c>
      <c r="N42" s="555">
        <f>'P&amp;L - Concept B3 - RCCL'!G37</f>
        <v>6300</v>
      </c>
      <c r="O42" s="555">
        <f>'P&amp;L - Concept B3 - RCCL'!H37</f>
        <v>6300</v>
      </c>
      <c r="P42" s="555">
        <f>'P&amp;L - Concept B3 - RCCL'!I37</f>
        <v>6300</v>
      </c>
      <c r="Q42" s="555">
        <f>'P&amp;L - Concept B3 - RCCL'!J37</f>
        <v>6300</v>
      </c>
      <c r="R42" s="555">
        <f>'P&amp;L - Concept B3 - RCCL'!K37</f>
        <v>6300</v>
      </c>
      <c r="S42" s="555">
        <f>'P&amp;L - Concept B3 - RCCL'!L37</f>
        <v>6300</v>
      </c>
      <c r="T42" s="555">
        <f>'P&amp;L - Concept B3 - RCCL'!M37</f>
        <v>6300</v>
      </c>
      <c r="U42" s="555">
        <f>'P&amp;L - Concept B3 - RCCL'!N37</f>
        <v>6300</v>
      </c>
      <c r="V42" s="555">
        <f>'P&amp;L - Concept B3 - RCCL'!O37</f>
        <v>6300</v>
      </c>
      <c r="W42" s="555">
        <f>'P&amp;L - Concept B3 - RCCL'!P37</f>
        <v>6300</v>
      </c>
      <c r="X42" s="555">
        <f>'P&amp;L - Concept B3 - RCCL'!Q37</f>
        <v>6300</v>
      </c>
      <c r="Y42" s="555">
        <f>'P&amp;L - Concept B3 - RCCL'!R37</f>
        <v>6300</v>
      </c>
      <c r="Z42" s="555">
        <f>'P&amp;L - Concept B3 - RCCL'!S37</f>
        <v>6300</v>
      </c>
      <c r="AA42" s="555">
        <f>'P&amp;L - Concept B3 - RCCL'!T37</f>
        <v>6300</v>
      </c>
      <c r="AB42" s="555">
        <f>'P&amp;L - Concept B3 - RCCL'!U37</f>
        <v>6300</v>
      </c>
      <c r="AC42" s="555">
        <f>'P&amp;L - Concept B3 - RCCL'!V37</f>
        <v>6300</v>
      </c>
      <c r="AD42" s="555">
        <f>'P&amp;L - Concept B3 - RCCL'!W37</f>
        <v>6300</v>
      </c>
      <c r="AE42" s="555">
        <f>'P&amp;L - Concept B3 - RCCL'!X37</f>
        <v>6300</v>
      </c>
    </row>
    <row r="43" spans="1:31" s="18" customFormat="1">
      <c r="A43" s="54"/>
      <c r="B43" s="21"/>
      <c r="C43" s="21"/>
      <c r="K43" s="486"/>
      <c r="L43" s="313"/>
      <c r="M43" s="313"/>
      <c r="N43" s="313"/>
      <c r="O43" s="313"/>
      <c r="P43" s="313"/>
      <c r="Q43" s="313"/>
      <c r="R43" s="313"/>
      <c r="S43" s="313"/>
      <c r="T43" s="313"/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</row>
    <row r="44" spans="1:31" s="341" customFormat="1">
      <c r="A44" s="552" t="s">
        <v>223</v>
      </c>
      <c r="B44" s="557"/>
      <c r="C44" s="557"/>
      <c r="K44" s="554">
        <f>'P&amp;L - Concept B3 - RCCL'!D39</f>
        <v>0</v>
      </c>
      <c r="L44" s="313">
        <f>'P&amp;L - Concept B3 - RCCL'!E39</f>
        <v>160.26666666666668</v>
      </c>
      <c r="M44" s="313">
        <f>'P&amp;L - Concept B3 - RCCL'!F39</f>
        <v>187</v>
      </c>
      <c r="N44" s="313">
        <f>'P&amp;L - Concept B3 - RCCL'!G39</f>
        <v>213.73333333333332</v>
      </c>
      <c r="O44" s="313">
        <f>'P&amp;L - Concept B3 - RCCL'!H39</f>
        <v>213.73333333333332</v>
      </c>
      <c r="P44" s="313">
        <f>'P&amp;L - Concept B3 - RCCL'!I39</f>
        <v>213.73333333333332</v>
      </c>
      <c r="Q44" s="313">
        <f>'P&amp;L - Concept B3 - RCCL'!J39</f>
        <v>213.73333333333332</v>
      </c>
      <c r="R44" s="313">
        <f>'P&amp;L - Concept B3 - RCCL'!K39</f>
        <v>213.73333333333332</v>
      </c>
      <c r="S44" s="313">
        <f>'P&amp;L - Concept B3 - RCCL'!L39</f>
        <v>213.73333333333332</v>
      </c>
      <c r="T44" s="313">
        <f>'P&amp;L - Concept B3 - RCCL'!M39</f>
        <v>213.73333333333332</v>
      </c>
      <c r="U44" s="313">
        <f>'P&amp;L - Concept B3 - RCCL'!N39</f>
        <v>213.73333333333332</v>
      </c>
      <c r="V44" s="313">
        <f>'P&amp;L - Concept B3 - RCCL'!O39</f>
        <v>213.73333333333332</v>
      </c>
      <c r="W44" s="313">
        <f>'P&amp;L - Concept B3 - RCCL'!P39</f>
        <v>213.73333333333332</v>
      </c>
      <c r="X44" s="313">
        <f>'P&amp;L - Concept B3 - RCCL'!Q39</f>
        <v>213.73333333333332</v>
      </c>
      <c r="Y44" s="313">
        <f>'P&amp;L - Concept B3 - RCCL'!R39</f>
        <v>213.73333333333332</v>
      </c>
      <c r="Z44" s="313">
        <f>'P&amp;L - Concept B3 - RCCL'!S39</f>
        <v>213.73333333333332</v>
      </c>
      <c r="AA44" s="313">
        <f>'P&amp;L - Concept B3 - RCCL'!T39</f>
        <v>213.73333333333332</v>
      </c>
      <c r="AB44" s="313">
        <f>'P&amp;L - Concept B3 - RCCL'!U39</f>
        <v>213.73333333333332</v>
      </c>
      <c r="AC44" s="313">
        <f>'P&amp;L - Concept B3 - RCCL'!V39</f>
        <v>213.73333333333332</v>
      </c>
      <c r="AD44" s="313">
        <f>'P&amp;L - Concept B3 - RCCL'!W39</f>
        <v>213.73333333333332</v>
      </c>
      <c r="AE44" s="313">
        <f>'P&amp;L - Concept B3 - RCCL'!X39</f>
        <v>213.73333333333332</v>
      </c>
    </row>
    <row r="45" spans="1:31" s="18" customFormat="1">
      <c r="A45" s="54"/>
      <c r="B45" s="74"/>
      <c r="C45" s="74"/>
      <c r="K45" s="492"/>
      <c r="L45" s="313"/>
      <c r="M45" s="313"/>
      <c r="N45" s="313"/>
      <c r="O45" s="313"/>
      <c r="P45" s="313"/>
      <c r="Q45" s="313"/>
      <c r="R45" s="313"/>
      <c r="S45" s="313"/>
      <c r="T45" s="313"/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</row>
    <row r="46" spans="1:31" s="18" customFormat="1">
      <c r="A46" s="293" t="s">
        <v>26</v>
      </c>
      <c r="B46" s="74"/>
      <c r="C46" s="74"/>
      <c r="K46" s="492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</row>
    <row r="47" spans="1:31" s="18" customFormat="1">
      <c r="A47" s="54" t="s">
        <v>264</v>
      </c>
      <c r="B47" s="277"/>
      <c r="C47" s="74"/>
      <c r="K47" s="486">
        <f>'P&amp;L - Concept B3 - RCCL'!D42</f>
        <v>0</v>
      </c>
      <c r="L47" s="313">
        <f>'P&amp;L - Concept B3 - RCCL'!E42</f>
        <v>1832.2239583333337</v>
      </c>
      <c r="M47" s="313">
        <f>'P&amp;L - Concept B3 - RCCL'!F42</f>
        <v>3664.4479166666674</v>
      </c>
      <c r="N47" s="313">
        <f>'P&amp;L - Concept B3 - RCCL'!G42</f>
        <v>3664.4479166666674</v>
      </c>
      <c r="O47" s="313">
        <f>'P&amp;L - Concept B3 - RCCL'!H42</f>
        <v>3664.4479166666674</v>
      </c>
      <c r="P47" s="313">
        <f>'P&amp;L - Concept B3 - RCCL'!I42</f>
        <v>3664.4479166666674</v>
      </c>
      <c r="Q47" s="313">
        <f>'P&amp;L - Concept B3 - RCCL'!J42</f>
        <v>3664.4479166666674</v>
      </c>
      <c r="R47" s="313">
        <f>'P&amp;L - Concept B3 - RCCL'!K42</f>
        <v>3664.4479166666674</v>
      </c>
      <c r="S47" s="313">
        <f>'P&amp;L - Concept B3 - RCCL'!L42</f>
        <v>3664.4479166666674</v>
      </c>
      <c r="T47" s="313">
        <f>'P&amp;L - Concept B3 - RCCL'!M42</f>
        <v>3664.4479166666674</v>
      </c>
      <c r="U47" s="313">
        <f>'P&amp;L - Concept B3 - RCCL'!N42</f>
        <v>3664.4479166666674</v>
      </c>
      <c r="V47" s="313">
        <f>'P&amp;L - Concept B3 - RCCL'!O42</f>
        <v>3664.4479166666674</v>
      </c>
      <c r="W47" s="313">
        <f>'P&amp;L - Concept B3 - RCCL'!P42</f>
        <v>3664.4479166666674</v>
      </c>
      <c r="X47" s="313">
        <f>'P&amp;L - Concept B3 - RCCL'!Q42</f>
        <v>3664.4479166666674</v>
      </c>
      <c r="Y47" s="313">
        <f>'P&amp;L - Concept B3 - RCCL'!R42</f>
        <v>3664.4479166666674</v>
      </c>
      <c r="Z47" s="313">
        <f>'P&amp;L - Concept B3 - RCCL'!S42</f>
        <v>3664.4479166666674</v>
      </c>
      <c r="AA47" s="313">
        <f>'P&amp;L - Concept B3 - RCCL'!T42</f>
        <v>3664.4479166666674</v>
      </c>
      <c r="AB47" s="313">
        <f>'P&amp;L - Concept B3 - RCCL'!U42</f>
        <v>3664.4479166666674</v>
      </c>
      <c r="AC47" s="313">
        <f>'P&amp;L - Concept B3 - RCCL'!V42</f>
        <v>3664.4479166666674</v>
      </c>
      <c r="AD47" s="313">
        <f>'P&amp;L - Concept B3 - RCCL'!W42</f>
        <v>3664.4479166666674</v>
      </c>
      <c r="AE47" s="313">
        <f>'P&amp;L - Concept B3 - RCCL'!X42</f>
        <v>3664.4479166666674</v>
      </c>
    </row>
    <row r="48" spans="1:31" s="18" customFormat="1">
      <c r="A48" s="54" t="s">
        <v>267</v>
      </c>
      <c r="B48" s="277"/>
      <c r="C48" s="74"/>
      <c r="K48" s="486">
        <f>'P&amp;L - Concept B3 - RCCL'!D43</f>
        <v>0</v>
      </c>
      <c r="L48" s="313">
        <f>'P&amp;L - Concept B3 - RCCL'!E43</f>
        <v>13371.166666666662</v>
      </c>
      <c r="M48" s="313">
        <f>'P&amp;L - Concept B3 - RCCL'!F43</f>
        <v>26742.333333333325</v>
      </c>
      <c r="N48" s="313">
        <f>'P&amp;L - Concept B3 - RCCL'!G43</f>
        <v>26742.333333333325</v>
      </c>
      <c r="O48" s="313">
        <f>'P&amp;L - Concept B3 - RCCL'!H43</f>
        <v>26742.333333333325</v>
      </c>
      <c r="P48" s="313">
        <f>'P&amp;L - Concept B3 - RCCL'!I43</f>
        <v>26742.333333333325</v>
      </c>
      <c r="Q48" s="313">
        <f>'P&amp;L - Concept B3 - RCCL'!J43</f>
        <v>26742.333333333325</v>
      </c>
      <c r="R48" s="313">
        <f>'P&amp;L - Concept B3 - RCCL'!K43</f>
        <v>26742.333333333325</v>
      </c>
      <c r="S48" s="313">
        <f>'P&amp;L - Concept B3 - RCCL'!L43</f>
        <v>26742.333333333325</v>
      </c>
      <c r="T48" s="313">
        <f>'P&amp;L - Concept B3 - RCCL'!M43</f>
        <v>26742.333333333325</v>
      </c>
      <c r="U48" s="313">
        <f>'P&amp;L - Concept B3 - RCCL'!N43</f>
        <v>26742.333333333325</v>
      </c>
      <c r="V48" s="313">
        <f>'P&amp;L - Concept B3 - RCCL'!O43</f>
        <v>26742.333333333325</v>
      </c>
      <c r="W48" s="313">
        <f>'P&amp;L - Concept B3 - RCCL'!P43</f>
        <v>26742.333333333325</v>
      </c>
      <c r="X48" s="313">
        <f>'P&amp;L - Concept B3 - RCCL'!Q43</f>
        <v>26742.333333333325</v>
      </c>
      <c r="Y48" s="313">
        <f>'P&amp;L - Concept B3 - RCCL'!R43</f>
        <v>26742.333333333325</v>
      </c>
      <c r="Z48" s="313">
        <f>'P&amp;L - Concept B3 - RCCL'!S43</f>
        <v>26742.333333333325</v>
      </c>
      <c r="AA48" s="313">
        <f>'P&amp;L - Concept B3 - RCCL'!T43</f>
        <v>26742.333333333325</v>
      </c>
      <c r="AB48" s="313">
        <f>'P&amp;L - Concept B3 - RCCL'!U43</f>
        <v>26742.333333333325</v>
      </c>
      <c r="AC48" s="313">
        <f>'P&amp;L - Concept B3 - RCCL'!V43</f>
        <v>26742.333333333325</v>
      </c>
      <c r="AD48" s="313">
        <f>'P&amp;L - Concept B3 - RCCL'!W43</f>
        <v>26742.333333333325</v>
      </c>
      <c r="AE48" s="313">
        <f>'P&amp;L - Concept B3 - RCCL'!X43</f>
        <v>26742.333333333325</v>
      </c>
    </row>
    <row r="49" spans="1:32 16384:16384" s="96" customFormat="1">
      <c r="A49" s="54" t="s">
        <v>274</v>
      </c>
      <c r="B49" s="435"/>
      <c r="C49" s="583"/>
      <c r="K49" s="486">
        <f>'P&amp;L - Concept B3 - RCCL'!D44</f>
        <v>0</v>
      </c>
      <c r="L49" s="313">
        <f>'P&amp;L - Concept B3 - RCCL'!E44</f>
        <v>15203.390624999996</v>
      </c>
      <c r="M49" s="313">
        <f>'P&amp;L - Concept B3 - RCCL'!F44</f>
        <v>30406.781249999993</v>
      </c>
      <c r="N49" s="313">
        <f>'P&amp;L - Concept B3 - RCCL'!G44</f>
        <v>30406.781249999993</v>
      </c>
      <c r="O49" s="313">
        <f>'P&amp;L - Concept B3 - RCCL'!H44</f>
        <v>30406.781249999993</v>
      </c>
      <c r="P49" s="313">
        <f>'P&amp;L - Concept B3 - RCCL'!I44</f>
        <v>30406.781249999993</v>
      </c>
      <c r="Q49" s="313">
        <f>'P&amp;L - Concept B3 - RCCL'!J44</f>
        <v>30406.781249999993</v>
      </c>
      <c r="R49" s="313">
        <f>'P&amp;L - Concept B3 - RCCL'!K44</f>
        <v>30406.781249999993</v>
      </c>
      <c r="S49" s="313">
        <f>'P&amp;L - Concept B3 - RCCL'!L44</f>
        <v>30406.781249999993</v>
      </c>
      <c r="T49" s="313">
        <f>'P&amp;L - Concept B3 - RCCL'!M44</f>
        <v>30406.781249999993</v>
      </c>
      <c r="U49" s="313">
        <f>'P&amp;L - Concept B3 - RCCL'!N44</f>
        <v>30406.781249999993</v>
      </c>
      <c r="V49" s="313">
        <f>'P&amp;L - Concept B3 - RCCL'!O44</f>
        <v>30406.781249999993</v>
      </c>
      <c r="W49" s="313">
        <f>'P&amp;L - Concept B3 - RCCL'!P44</f>
        <v>30406.781249999993</v>
      </c>
      <c r="X49" s="313">
        <f>'P&amp;L - Concept B3 - RCCL'!Q44</f>
        <v>30406.781249999993</v>
      </c>
      <c r="Y49" s="313">
        <f>'P&amp;L - Concept B3 - RCCL'!R44</f>
        <v>30406.781249999993</v>
      </c>
      <c r="Z49" s="313">
        <f>'P&amp;L - Concept B3 - RCCL'!S44</f>
        <v>30406.781249999993</v>
      </c>
      <c r="AA49" s="313">
        <f>'P&amp;L - Concept B3 - RCCL'!T44</f>
        <v>30406.781249999993</v>
      </c>
      <c r="AB49" s="313">
        <f>'P&amp;L - Concept B3 - RCCL'!U44</f>
        <v>30406.781249999993</v>
      </c>
      <c r="AC49" s="313">
        <f>'P&amp;L - Concept B3 - RCCL'!V44</f>
        <v>30406.781249999993</v>
      </c>
      <c r="AD49" s="313">
        <f>'P&amp;L - Concept B3 - RCCL'!W44</f>
        <v>30406.781249999993</v>
      </c>
      <c r="AE49" s="313">
        <f>'P&amp;L - Concept B3 - RCCL'!X44</f>
        <v>30406.781249999993</v>
      </c>
    </row>
    <row r="50" spans="1:32 16384:16384" s="18" customFormat="1">
      <c r="A50" s="54"/>
      <c r="B50" s="277"/>
      <c r="C50" s="74"/>
      <c r="K50" s="499"/>
      <c r="L50" s="313"/>
      <c r="M50" s="313"/>
      <c r="N50" s="313"/>
      <c r="O50" s="313"/>
      <c r="P50" s="313"/>
      <c r="Q50" s="313"/>
      <c r="R50" s="313"/>
      <c r="S50" s="313"/>
      <c r="T50" s="313"/>
      <c r="U50" s="313"/>
      <c r="V50" s="313"/>
      <c r="W50" s="313"/>
      <c r="X50" s="313"/>
      <c r="Y50" s="313"/>
      <c r="Z50" s="313"/>
      <c r="AA50" s="313"/>
      <c r="AB50" s="313"/>
      <c r="AC50" s="313"/>
      <c r="AD50" s="313"/>
      <c r="AE50" s="313"/>
    </row>
    <row r="51" spans="1:32 16384:16384" s="341" customFormat="1">
      <c r="A51" s="552" t="s">
        <v>224</v>
      </c>
      <c r="B51" s="556"/>
      <c r="C51" s="557"/>
      <c r="K51" s="554">
        <f>'P&amp;L - Concept B3 - RCCL'!D46</f>
        <v>0</v>
      </c>
      <c r="L51" s="558">
        <f>'P&amp;L - Concept B3 - RCCL'!E46</f>
        <v>3</v>
      </c>
      <c r="M51" s="558">
        <f>'P&amp;L - Concept B3 - RCCL'!F46</f>
        <v>3</v>
      </c>
      <c r="N51" s="558">
        <f>'P&amp;L - Concept B3 - RCCL'!G46</f>
        <v>3</v>
      </c>
      <c r="O51" s="558">
        <f>'P&amp;L - Concept B3 - RCCL'!H46</f>
        <v>3</v>
      </c>
      <c r="P51" s="558">
        <f>'P&amp;L - Concept B3 - RCCL'!I46</f>
        <v>3</v>
      </c>
      <c r="Q51" s="558">
        <f>'P&amp;L - Concept B3 - RCCL'!J46</f>
        <v>3</v>
      </c>
      <c r="R51" s="558">
        <f>'P&amp;L - Concept B3 - RCCL'!K46</f>
        <v>3</v>
      </c>
      <c r="S51" s="558">
        <f>'P&amp;L - Concept B3 - RCCL'!L46</f>
        <v>3</v>
      </c>
      <c r="T51" s="558">
        <f>'P&amp;L - Concept B3 - RCCL'!M46</f>
        <v>3</v>
      </c>
      <c r="U51" s="558">
        <f>'P&amp;L - Concept B3 - RCCL'!N46</f>
        <v>3</v>
      </c>
      <c r="V51" s="558">
        <f>'P&amp;L - Concept B3 - RCCL'!O46</f>
        <v>3</v>
      </c>
      <c r="W51" s="558">
        <f>'P&amp;L - Concept B3 - RCCL'!P46</f>
        <v>3</v>
      </c>
      <c r="X51" s="558">
        <f>'P&amp;L - Concept B3 - RCCL'!Q46</f>
        <v>3</v>
      </c>
      <c r="Y51" s="558">
        <f>'P&amp;L - Concept B3 - RCCL'!R46</f>
        <v>3</v>
      </c>
      <c r="Z51" s="558">
        <f>'P&amp;L - Concept B3 - RCCL'!S46</f>
        <v>3</v>
      </c>
      <c r="AA51" s="558">
        <f>'P&amp;L - Concept B3 - RCCL'!T46</f>
        <v>3</v>
      </c>
      <c r="AB51" s="558">
        <f>'P&amp;L - Concept B3 - RCCL'!U46</f>
        <v>3</v>
      </c>
      <c r="AC51" s="558">
        <f>'P&amp;L - Concept B3 - RCCL'!V46</f>
        <v>3</v>
      </c>
      <c r="AD51" s="558">
        <f>'P&amp;L - Concept B3 - RCCL'!W46</f>
        <v>3</v>
      </c>
      <c r="AE51" s="558">
        <f>'P&amp;L - Concept B3 - RCCL'!X46</f>
        <v>3</v>
      </c>
    </row>
    <row r="52" spans="1:32 16384:16384" s="96" customFormat="1">
      <c r="A52" s="54" t="s">
        <v>225</v>
      </c>
      <c r="B52" s="435"/>
      <c r="C52" s="583"/>
      <c r="K52" s="486">
        <f>'P&amp;L - Concept B3 - RCCL'!D47</f>
        <v>0</v>
      </c>
      <c r="L52" s="496">
        <f>'P&amp;L - Concept B3 - RCCL'!E47</f>
        <v>1</v>
      </c>
      <c r="M52" s="496">
        <f>'P&amp;L - Concept B3 - RCCL'!F47</f>
        <v>1</v>
      </c>
      <c r="N52" s="496">
        <f>'P&amp;L - Concept B3 - RCCL'!G47</f>
        <v>1</v>
      </c>
      <c r="O52" s="496">
        <f>'P&amp;L - Concept B3 - RCCL'!H47</f>
        <v>1</v>
      </c>
      <c r="P52" s="496">
        <f>'P&amp;L - Concept B3 - RCCL'!I47</f>
        <v>1</v>
      </c>
      <c r="Q52" s="496">
        <f>'P&amp;L - Concept B3 - RCCL'!J47</f>
        <v>1</v>
      </c>
      <c r="R52" s="496">
        <f>'P&amp;L - Concept B3 - RCCL'!K47</f>
        <v>1</v>
      </c>
      <c r="S52" s="496">
        <f>'P&amp;L - Concept B3 - RCCL'!L47</f>
        <v>1</v>
      </c>
      <c r="T52" s="496">
        <f>'P&amp;L - Concept B3 - RCCL'!M47</f>
        <v>1</v>
      </c>
      <c r="U52" s="496">
        <f>'P&amp;L - Concept B3 - RCCL'!N47</f>
        <v>1</v>
      </c>
      <c r="V52" s="496">
        <f>'P&amp;L - Concept B3 - RCCL'!O47</f>
        <v>1</v>
      </c>
      <c r="W52" s="496">
        <f>'P&amp;L - Concept B3 - RCCL'!P47</f>
        <v>1</v>
      </c>
      <c r="X52" s="496">
        <f>'P&amp;L - Concept B3 - RCCL'!Q47</f>
        <v>1</v>
      </c>
      <c r="Y52" s="496">
        <f>'P&amp;L - Concept B3 - RCCL'!R47</f>
        <v>1</v>
      </c>
      <c r="Z52" s="496">
        <f>'P&amp;L - Concept B3 - RCCL'!S47</f>
        <v>1</v>
      </c>
      <c r="AA52" s="496">
        <f>'P&amp;L - Concept B3 - RCCL'!T47</f>
        <v>1</v>
      </c>
      <c r="AB52" s="496">
        <f>'P&amp;L - Concept B3 - RCCL'!U47</f>
        <v>1</v>
      </c>
      <c r="AC52" s="496">
        <f>'P&amp;L - Concept B3 - RCCL'!V47</f>
        <v>1</v>
      </c>
      <c r="AD52" s="496">
        <f>'P&amp;L - Concept B3 - RCCL'!W47</f>
        <v>1</v>
      </c>
      <c r="AE52" s="496">
        <f>'P&amp;L - Concept B3 - RCCL'!X47</f>
        <v>1</v>
      </c>
    </row>
    <row r="53" spans="1:32 16384:16384" s="18" customFormat="1">
      <c r="A53" s="54" t="s">
        <v>209</v>
      </c>
      <c r="B53" s="277"/>
      <c r="C53" s="74"/>
      <c r="K53" s="486">
        <f>'P&amp;L - Concept B3 - RCCL'!D48</f>
        <v>0</v>
      </c>
      <c r="L53" s="496">
        <f>'P&amp;L - Concept B3 - RCCL'!E48</f>
        <v>0.5</v>
      </c>
      <c r="M53" s="496">
        <f>'P&amp;L - Concept B3 - RCCL'!F48</f>
        <v>0.5</v>
      </c>
      <c r="N53" s="496">
        <f>'P&amp;L - Concept B3 - RCCL'!G48</f>
        <v>0.5</v>
      </c>
      <c r="O53" s="496">
        <f>'P&amp;L - Concept B3 - RCCL'!H48</f>
        <v>0.5</v>
      </c>
      <c r="P53" s="496">
        <f>'P&amp;L - Concept B3 - RCCL'!I48</f>
        <v>0.5</v>
      </c>
      <c r="Q53" s="496">
        <f>'P&amp;L - Concept B3 - RCCL'!J48</f>
        <v>0.5</v>
      </c>
      <c r="R53" s="496">
        <f>'P&amp;L - Concept B3 - RCCL'!K48</f>
        <v>0.5</v>
      </c>
      <c r="S53" s="496">
        <f>'P&amp;L - Concept B3 - RCCL'!L48</f>
        <v>0.5</v>
      </c>
      <c r="T53" s="496">
        <f>'P&amp;L - Concept B3 - RCCL'!M48</f>
        <v>0.5</v>
      </c>
      <c r="U53" s="496">
        <f>'P&amp;L - Concept B3 - RCCL'!N48</f>
        <v>0.5</v>
      </c>
      <c r="V53" s="496">
        <f>'P&amp;L - Concept B3 - RCCL'!O48</f>
        <v>0.5</v>
      </c>
      <c r="W53" s="496">
        <f>'P&amp;L - Concept B3 - RCCL'!P48</f>
        <v>0.5</v>
      </c>
      <c r="X53" s="496">
        <f>'P&amp;L - Concept B3 - RCCL'!Q48</f>
        <v>0.5</v>
      </c>
      <c r="Y53" s="496">
        <f>'P&amp;L - Concept B3 - RCCL'!R48</f>
        <v>0.5</v>
      </c>
      <c r="Z53" s="496">
        <f>'P&amp;L - Concept B3 - RCCL'!S48</f>
        <v>0.5</v>
      </c>
      <c r="AA53" s="496">
        <f>'P&amp;L - Concept B3 - RCCL'!T48</f>
        <v>0.5</v>
      </c>
      <c r="AB53" s="496">
        <f>'P&amp;L - Concept B3 - RCCL'!U48</f>
        <v>0.5</v>
      </c>
      <c r="AC53" s="496">
        <f>'P&amp;L - Concept B3 - RCCL'!V48</f>
        <v>0.5</v>
      </c>
      <c r="AD53" s="496">
        <f>'P&amp;L - Concept B3 - RCCL'!W48</f>
        <v>0.5</v>
      </c>
      <c r="AE53" s="496">
        <f>'P&amp;L - Concept B3 - RCCL'!X48</f>
        <v>0.5</v>
      </c>
    </row>
    <row r="54" spans="1:32 16384:16384" s="18" customFormat="1">
      <c r="A54" s="54" t="s">
        <v>289</v>
      </c>
      <c r="B54" s="277"/>
      <c r="C54" s="74"/>
      <c r="K54" s="486">
        <f>'P&amp;L - Concept B3 - RCCL'!D49</f>
        <v>0</v>
      </c>
      <c r="L54" s="496">
        <f>'P&amp;L - Concept B3 - RCCL'!E49</f>
        <v>0.75</v>
      </c>
      <c r="M54" s="496">
        <f>'P&amp;L - Concept B3 - RCCL'!F49</f>
        <v>0.75</v>
      </c>
      <c r="N54" s="496">
        <f>'P&amp;L - Concept B3 - RCCL'!G49</f>
        <v>0.75</v>
      </c>
      <c r="O54" s="496">
        <f>'P&amp;L - Concept B3 - RCCL'!H49</f>
        <v>0.75</v>
      </c>
      <c r="P54" s="496">
        <f>'P&amp;L - Concept B3 - RCCL'!I49</f>
        <v>0.75</v>
      </c>
      <c r="Q54" s="496">
        <f>'P&amp;L - Concept B3 - RCCL'!J49</f>
        <v>0.75</v>
      </c>
      <c r="R54" s="496">
        <f>'P&amp;L - Concept B3 - RCCL'!K49</f>
        <v>0.75</v>
      </c>
      <c r="S54" s="496">
        <f>'P&amp;L - Concept B3 - RCCL'!L49</f>
        <v>0.75</v>
      </c>
      <c r="T54" s="496">
        <f>'P&amp;L - Concept B3 - RCCL'!M49</f>
        <v>0.75</v>
      </c>
      <c r="U54" s="496">
        <f>'P&amp;L - Concept B3 - RCCL'!N49</f>
        <v>0.75</v>
      </c>
      <c r="V54" s="496">
        <f>'P&amp;L - Concept B3 - RCCL'!O49</f>
        <v>0.75</v>
      </c>
      <c r="W54" s="496">
        <f>'P&amp;L - Concept B3 - RCCL'!P49</f>
        <v>0.75</v>
      </c>
      <c r="X54" s="496">
        <f>'P&amp;L - Concept B3 - RCCL'!Q49</f>
        <v>0.75</v>
      </c>
      <c r="Y54" s="496">
        <f>'P&amp;L - Concept B3 - RCCL'!R49</f>
        <v>0.75</v>
      </c>
      <c r="Z54" s="496">
        <f>'P&amp;L - Concept B3 - RCCL'!S49</f>
        <v>0.75</v>
      </c>
      <c r="AA54" s="496">
        <f>'P&amp;L - Concept B3 - RCCL'!T49</f>
        <v>0.75</v>
      </c>
      <c r="AB54" s="496">
        <f>'P&amp;L - Concept B3 - RCCL'!U49</f>
        <v>0.75</v>
      </c>
      <c r="AC54" s="496">
        <f>'P&amp;L - Concept B3 - RCCL'!V49</f>
        <v>0.75</v>
      </c>
      <c r="AD54" s="496">
        <f>'P&amp;L - Concept B3 - RCCL'!W49</f>
        <v>0.75</v>
      </c>
      <c r="AE54" s="496">
        <f>'P&amp;L - Concept B3 - RCCL'!X49</f>
        <v>0.75</v>
      </c>
      <c r="XFD54" s="570">
        <f>SUM(K54:XFC54)</f>
        <v>15</v>
      </c>
    </row>
    <row r="55" spans="1:32 16384:16384" s="18" customFormat="1">
      <c r="A55" s="54"/>
      <c r="B55" s="277"/>
      <c r="C55" s="74"/>
      <c r="K55" s="486"/>
      <c r="L55" s="313"/>
      <c r="M55" s="313"/>
      <c r="N55" s="313"/>
      <c r="O55" s="313"/>
      <c r="P55" s="313"/>
      <c r="Q55" s="313"/>
      <c r="R55" s="313"/>
      <c r="S55" s="313"/>
      <c r="T55" s="313"/>
      <c r="U55" s="313"/>
      <c r="V55" s="313"/>
      <c r="W55" s="313"/>
      <c r="X55" s="313"/>
      <c r="Y55" s="313"/>
      <c r="Z55" s="313"/>
      <c r="AA55" s="313"/>
      <c r="AB55" s="313"/>
      <c r="AC55" s="313"/>
      <c r="AD55" s="313"/>
      <c r="AE55" s="313"/>
      <c r="XFD55" s="570"/>
    </row>
    <row r="56" spans="1:32 16384:16384" s="18" customFormat="1">
      <c r="A56" s="54" t="s">
        <v>312</v>
      </c>
      <c r="B56" s="277"/>
      <c r="C56" s="74"/>
      <c r="K56" s="486">
        <f>'P&amp;L - Concept B3 - RCCL'!D51</f>
        <v>0</v>
      </c>
      <c r="L56" s="313">
        <f>'P&amp;L - Concept B3 - RCCL'!E51</f>
        <v>3595</v>
      </c>
      <c r="M56" s="313">
        <f>'P&amp;L - Concept B3 - RCCL'!F51</f>
        <v>7190</v>
      </c>
      <c r="N56" s="313">
        <f>'P&amp;L - Concept B3 - RCCL'!G51</f>
        <v>7190</v>
      </c>
      <c r="O56" s="313">
        <f>'P&amp;L - Concept B3 - RCCL'!H51</f>
        <v>7190</v>
      </c>
      <c r="P56" s="313">
        <f>'P&amp;L - Concept B3 - RCCL'!I51</f>
        <v>7190</v>
      </c>
      <c r="Q56" s="313">
        <f>'P&amp;L - Concept B3 - RCCL'!J51</f>
        <v>7190</v>
      </c>
      <c r="R56" s="313">
        <f>'P&amp;L - Concept B3 - RCCL'!K51</f>
        <v>7190</v>
      </c>
      <c r="S56" s="313">
        <f>'P&amp;L - Concept B3 - RCCL'!L51</f>
        <v>7190</v>
      </c>
      <c r="T56" s="313">
        <f>'P&amp;L - Concept B3 - RCCL'!M51</f>
        <v>7190</v>
      </c>
      <c r="U56" s="313">
        <f>'P&amp;L - Concept B3 - RCCL'!N51</f>
        <v>7190</v>
      </c>
      <c r="V56" s="313">
        <f>'P&amp;L - Concept B3 - RCCL'!O51</f>
        <v>7190</v>
      </c>
      <c r="W56" s="313">
        <f>'P&amp;L - Concept B3 - RCCL'!P51</f>
        <v>7190</v>
      </c>
      <c r="X56" s="313">
        <f>'P&amp;L - Concept B3 - RCCL'!Q51</f>
        <v>7190</v>
      </c>
      <c r="Y56" s="313">
        <f>'P&amp;L - Concept B3 - RCCL'!R51</f>
        <v>7190</v>
      </c>
      <c r="Z56" s="313">
        <f>'P&amp;L - Concept B3 - RCCL'!S51</f>
        <v>7190</v>
      </c>
      <c r="AA56" s="313">
        <f>'P&amp;L - Concept B3 - RCCL'!T51</f>
        <v>7190</v>
      </c>
      <c r="AB56" s="313">
        <f>'P&amp;L - Concept B3 - RCCL'!U51</f>
        <v>7190</v>
      </c>
      <c r="AC56" s="313">
        <f>'P&amp;L - Concept B3 - RCCL'!V51</f>
        <v>7190</v>
      </c>
      <c r="AD56" s="313">
        <f>'P&amp;L - Concept B3 - RCCL'!W51</f>
        <v>7190</v>
      </c>
      <c r="AE56" s="313">
        <f>'P&amp;L - Concept B3 - RCCL'!X51</f>
        <v>7190</v>
      </c>
      <c r="XFD56" s="570"/>
    </row>
    <row r="57" spans="1:32 16384:16384" s="18" customFormat="1">
      <c r="A57" s="54"/>
      <c r="B57" s="277"/>
      <c r="C57" s="74"/>
      <c r="K57" s="486"/>
      <c r="L57" s="313"/>
      <c r="M57" s="313"/>
      <c r="N57" s="313"/>
      <c r="O57" s="313"/>
      <c r="P57" s="313"/>
      <c r="Q57" s="313"/>
      <c r="R57" s="313"/>
      <c r="S57" s="313"/>
      <c r="T57" s="313"/>
      <c r="U57" s="313"/>
      <c r="V57" s="313"/>
      <c r="W57" s="313"/>
      <c r="X57" s="313"/>
      <c r="Y57" s="313"/>
      <c r="Z57" s="313"/>
      <c r="AA57" s="313"/>
      <c r="AB57" s="313"/>
      <c r="AC57" s="313"/>
      <c r="AD57" s="313"/>
      <c r="AE57" s="313"/>
    </row>
    <row r="58" spans="1:32 16384:16384" s="612" customFormat="1">
      <c r="A58" s="613" t="s">
        <v>292</v>
      </c>
      <c r="B58" s="614"/>
      <c r="C58" s="615"/>
      <c r="D58" s="717"/>
      <c r="E58" s="717"/>
      <c r="F58" s="717"/>
      <c r="G58" s="717"/>
      <c r="H58" s="717"/>
      <c r="I58" s="717"/>
      <c r="J58" s="717"/>
      <c r="K58" s="616">
        <f>'P&amp;L - Concept B3 - RCCL'!D53</f>
        <v>0</v>
      </c>
      <c r="L58" s="616">
        <f>'P&amp;L - Concept B3 - RCCL'!E53</f>
        <v>0</v>
      </c>
      <c r="M58" s="616">
        <f>'P&amp;L - Concept B3 - RCCL'!F53</f>
        <v>0</v>
      </c>
      <c r="N58" s="616">
        <f>'P&amp;L - Concept B3 - RCCL'!G53</f>
        <v>100000</v>
      </c>
      <c r="O58" s="616">
        <f>'P&amp;L - Concept B3 - RCCL'!H53</f>
        <v>100000</v>
      </c>
      <c r="P58" s="616">
        <f>'P&amp;L - Concept B3 - RCCL'!I53</f>
        <v>100000</v>
      </c>
      <c r="Q58" s="616">
        <f>'P&amp;L - Concept B3 - RCCL'!J53</f>
        <v>100000</v>
      </c>
      <c r="R58" s="616">
        <f>'P&amp;L - Concept B3 - RCCL'!K53</f>
        <v>100000</v>
      </c>
      <c r="S58" s="616">
        <f>'P&amp;L - Concept B3 - RCCL'!L53</f>
        <v>100000</v>
      </c>
      <c r="T58" s="616">
        <f>'P&amp;L - Concept B3 - RCCL'!M53</f>
        <v>100000</v>
      </c>
      <c r="U58" s="616">
        <f>'P&amp;L - Concept B3 - RCCL'!N53</f>
        <v>100000</v>
      </c>
      <c r="V58" s="616">
        <f>'P&amp;L - Concept B3 - RCCL'!O53</f>
        <v>100000</v>
      </c>
      <c r="W58" s="616">
        <f>'P&amp;L - Concept B3 - RCCL'!P53</f>
        <v>100000</v>
      </c>
      <c r="X58" s="616">
        <f>'P&amp;L - Concept B3 - RCCL'!Q53</f>
        <v>100000</v>
      </c>
      <c r="Y58" s="616">
        <f>'P&amp;L - Concept B3 - RCCL'!R53</f>
        <v>100000</v>
      </c>
      <c r="Z58" s="616">
        <f>'P&amp;L - Concept B3 - RCCL'!S53</f>
        <v>100000</v>
      </c>
      <c r="AA58" s="616">
        <f>'P&amp;L - Concept B3 - RCCL'!T53</f>
        <v>100000</v>
      </c>
      <c r="AB58" s="616">
        <f>'P&amp;L - Concept B3 - RCCL'!U53</f>
        <v>100000</v>
      </c>
      <c r="AC58" s="616">
        <f>'P&amp;L - Concept B3 - RCCL'!V53</f>
        <v>100000</v>
      </c>
      <c r="AD58" s="616">
        <f>'P&amp;L - Concept B3 - RCCL'!W53</f>
        <v>100000</v>
      </c>
      <c r="AE58" s="787">
        <f>'P&amp;L - Concept B3 - RCCL'!X53</f>
        <v>100000</v>
      </c>
    </row>
    <row r="59" spans="1:32 16384:16384" s="18" customFormat="1">
      <c r="A59" s="54"/>
      <c r="B59" s="277"/>
      <c r="C59" s="74"/>
      <c r="K59" s="486"/>
      <c r="L59" s="313"/>
      <c r="M59" s="313"/>
      <c r="N59" s="313"/>
      <c r="O59" s="313"/>
      <c r="P59" s="313"/>
      <c r="Q59" s="313"/>
      <c r="R59" s="313"/>
      <c r="S59" s="313"/>
      <c r="T59" s="313"/>
      <c r="U59" s="313"/>
      <c r="V59" s="313"/>
      <c r="W59" s="313"/>
      <c r="X59" s="313"/>
      <c r="Y59" s="313"/>
      <c r="Z59" s="313"/>
      <c r="AA59" s="313"/>
      <c r="AB59" s="313"/>
      <c r="AC59" s="313"/>
      <c r="AD59" s="313"/>
      <c r="AE59" s="313"/>
    </row>
    <row r="60" spans="1:32 16384:16384" s="582" customFormat="1">
      <c r="A60" s="293" t="str">
        <f>'BH Tariffs'!A33</f>
        <v>Recreational/Commercial Marina</v>
      </c>
      <c r="B60" s="584"/>
      <c r="C60" s="585"/>
      <c r="K60" s="486"/>
      <c r="L60" s="313"/>
      <c r="M60" s="313"/>
      <c r="N60" s="313"/>
      <c r="O60" s="313"/>
      <c r="P60" s="313"/>
      <c r="Q60" s="313"/>
      <c r="R60" s="313"/>
      <c r="S60" s="313"/>
      <c r="T60" s="313"/>
      <c r="U60" s="313"/>
      <c r="V60" s="313"/>
      <c r="W60" s="313"/>
      <c r="X60" s="313"/>
      <c r="Y60" s="313"/>
      <c r="Z60" s="313"/>
      <c r="AA60" s="313"/>
      <c r="AB60" s="313"/>
      <c r="AC60" s="313"/>
      <c r="AD60" s="313"/>
      <c r="AE60" s="313"/>
    </row>
    <row r="61" spans="1:32 16384:16384" s="96" customFormat="1">
      <c r="A61" s="54" t="s">
        <v>291</v>
      </c>
      <c r="B61" s="435"/>
      <c r="C61" s="583"/>
      <c r="K61" s="486">
        <f>'P&amp;L - Concept B3 - RCCL'!D56</f>
        <v>0</v>
      </c>
      <c r="L61" s="313">
        <f>'P&amp;L - Concept B3 - RCCL'!E56</f>
        <v>0</v>
      </c>
      <c r="M61" s="313">
        <f>'P&amp;L - Concept B3 - RCCL'!F56</f>
        <v>42</v>
      </c>
      <c r="N61" s="313">
        <f>'P&amp;L - Concept B3 - RCCL'!G56</f>
        <v>42</v>
      </c>
      <c r="O61" s="313">
        <f>'P&amp;L - Concept B3 - RCCL'!H56</f>
        <v>42</v>
      </c>
      <c r="P61" s="313">
        <f>'P&amp;L - Concept B3 - RCCL'!I56</f>
        <v>42</v>
      </c>
      <c r="Q61" s="313">
        <f>'P&amp;L - Concept B3 - RCCL'!J56</f>
        <v>42</v>
      </c>
      <c r="R61" s="313">
        <f>'P&amp;L - Concept B3 - RCCL'!K56</f>
        <v>42</v>
      </c>
      <c r="S61" s="313">
        <f>'P&amp;L - Concept B3 - RCCL'!L56</f>
        <v>42</v>
      </c>
      <c r="T61" s="313">
        <f>'P&amp;L - Concept B3 - RCCL'!M56</f>
        <v>42</v>
      </c>
      <c r="U61" s="313">
        <f>'P&amp;L - Concept B3 - RCCL'!N56</f>
        <v>42</v>
      </c>
      <c r="V61" s="313">
        <f>'P&amp;L - Concept B3 - RCCL'!O56</f>
        <v>42</v>
      </c>
      <c r="W61" s="313">
        <f>'P&amp;L - Concept B3 - RCCL'!P56</f>
        <v>42</v>
      </c>
      <c r="X61" s="313">
        <f>'P&amp;L - Concept B3 - RCCL'!Q56</f>
        <v>42</v>
      </c>
      <c r="Y61" s="313">
        <f>'P&amp;L - Concept B3 - RCCL'!R56</f>
        <v>42</v>
      </c>
      <c r="Z61" s="313">
        <f>'P&amp;L - Concept B3 - RCCL'!S56</f>
        <v>42</v>
      </c>
      <c r="AA61" s="313">
        <f>'P&amp;L - Concept B3 - RCCL'!T56</f>
        <v>42</v>
      </c>
      <c r="AB61" s="313">
        <f>'P&amp;L - Concept B3 - RCCL'!U56</f>
        <v>42</v>
      </c>
      <c r="AC61" s="313">
        <f>'P&amp;L - Concept B3 - RCCL'!V56</f>
        <v>42</v>
      </c>
      <c r="AD61" s="313">
        <f>'P&amp;L - Concept B3 - RCCL'!W56</f>
        <v>42</v>
      </c>
      <c r="AE61" s="313">
        <f>'P&amp;L - Concept B3 - RCCL'!X56</f>
        <v>42</v>
      </c>
    </row>
    <row r="62" spans="1:32 16384:16384" s="96" customFormat="1">
      <c r="A62" s="54" t="s">
        <v>293</v>
      </c>
      <c r="B62" s="435"/>
      <c r="C62" s="583"/>
      <c r="K62" s="486">
        <f>'P&amp;L - Concept B3 - RCCL'!D57</f>
        <v>0</v>
      </c>
      <c r="L62" s="313">
        <f>'P&amp;L - Concept B3 - RCCL'!E57</f>
        <v>0</v>
      </c>
      <c r="M62" s="313">
        <f>'P&amp;L - Concept B3 - RCCL'!F57</f>
        <v>39290.600625000006</v>
      </c>
      <c r="N62" s="313">
        <f>'P&amp;L - Concept B3 - RCCL'!G57</f>
        <v>39290.600625000006</v>
      </c>
      <c r="O62" s="313">
        <f>'P&amp;L - Concept B3 - RCCL'!H57</f>
        <v>39290.600625000006</v>
      </c>
      <c r="P62" s="313">
        <f>'P&amp;L - Concept B3 - RCCL'!I57</f>
        <v>39290.600625000006</v>
      </c>
      <c r="Q62" s="313">
        <f>'P&amp;L - Concept B3 - RCCL'!J57</f>
        <v>39290.600625000006</v>
      </c>
      <c r="R62" s="313">
        <f>'P&amp;L - Concept B3 - RCCL'!K57</f>
        <v>39290.600625000006</v>
      </c>
      <c r="S62" s="313">
        <f>'P&amp;L - Concept B3 - RCCL'!L57</f>
        <v>39290.600625000006</v>
      </c>
      <c r="T62" s="313">
        <f>'P&amp;L - Concept B3 - RCCL'!M57</f>
        <v>39290.600625000006</v>
      </c>
      <c r="U62" s="313">
        <f>'P&amp;L - Concept B3 - RCCL'!N57</f>
        <v>39290.600625000006</v>
      </c>
      <c r="V62" s="313">
        <f>'P&amp;L - Concept B3 - RCCL'!O57</f>
        <v>39290.600625000006</v>
      </c>
      <c r="W62" s="313">
        <f>'P&amp;L - Concept B3 - RCCL'!P57</f>
        <v>39290.600625000006</v>
      </c>
      <c r="X62" s="313">
        <f>'P&amp;L - Concept B3 - RCCL'!Q57</f>
        <v>39290.600625000006</v>
      </c>
      <c r="Y62" s="313">
        <f>'P&amp;L - Concept B3 - RCCL'!R57</f>
        <v>39290.600625000006</v>
      </c>
      <c r="Z62" s="313">
        <f>'P&amp;L - Concept B3 - RCCL'!S57</f>
        <v>39290.600625000006</v>
      </c>
      <c r="AA62" s="313">
        <f>'P&amp;L - Concept B3 - RCCL'!T57</f>
        <v>39290.600625000006</v>
      </c>
      <c r="AB62" s="313">
        <f>'P&amp;L - Concept B3 - RCCL'!U57</f>
        <v>39290.600625000006</v>
      </c>
      <c r="AC62" s="313">
        <f>'P&amp;L - Concept B3 - RCCL'!V57</f>
        <v>39290.600625000006</v>
      </c>
      <c r="AD62" s="313">
        <f>'P&amp;L - Concept B3 - RCCL'!W57</f>
        <v>39290.600625000006</v>
      </c>
      <c r="AE62" s="313">
        <f>'P&amp;L - Concept B3 - RCCL'!X57</f>
        <v>39290.600625000006</v>
      </c>
    </row>
    <row r="63" spans="1:32 16384:16384" s="96" customFormat="1">
      <c r="A63" s="54" t="s">
        <v>294</v>
      </c>
      <c r="B63" s="435"/>
      <c r="C63" s="583"/>
      <c r="K63" s="486">
        <f>'P&amp;L - Concept B3 - RCCL'!D58</f>
        <v>0</v>
      </c>
      <c r="L63" s="313">
        <f>'P&amp;L - Concept B3 - RCCL'!E58</f>
        <v>0</v>
      </c>
      <c r="M63" s="313">
        <f>'P&amp;L - Concept B3 - RCCL'!F58</f>
        <v>1476.3000000000002</v>
      </c>
      <c r="N63" s="313">
        <f>'P&amp;L - Concept B3 - RCCL'!G58</f>
        <v>1476.3000000000002</v>
      </c>
      <c r="O63" s="313">
        <f>'P&amp;L - Concept B3 - RCCL'!H58</f>
        <v>1476.3000000000002</v>
      </c>
      <c r="P63" s="313">
        <f>'P&amp;L - Concept B3 - RCCL'!I58</f>
        <v>1476.3000000000002</v>
      </c>
      <c r="Q63" s="313">
        <f>'P&amp;L - Concept B3 - RCCL'!J58</f>
        <v>1476.3000000000002</v>
      </c>
      <c r="R63" s="313">
        <f>'P&amp;L - Concept B3 - RCCL'!K58</f>
        <v>1476.3000000000002</v>
      </c>
      <c r="S63" s="313">
        <f>'P&amp;L - Concept B3 - RCCL'!L58</f>
        <v>1476.3000000000002</v>
      </c>
      <c r="T63" s="313">
        <f>'P&amp;L - Concept B3 - RCCL'!M58</f>
        <v>1476.3000000000002</v>
      </c>
      <c r="U63" s="313">
        <f>'P&amp;L - Concept B3 - RCCL'!N58</f>
        <v>1476.3000000000002</v>
      </c>
      <c r="V63" s="313">
        <f>'P&amp;L - Concept B3 - RCCL'!O58</f>
        <v>1476.3000000000002</v>
      </c>
      <c r="W63" s="313">
        <f>'P&amp;L - Concept B3 - RCCL'!P58</f>
        <v>1476.3000000000002</v>
      </c>
      <c r="X63" s="313">
        <f>'P&amp;L - Concept B3 - RCCL'!Q58</f>
        <v>1476.3000000000002</v>
      </c>
      <c r="Y63" s="313">
        <f>'P&amp;L - Concept B3 - RCCL'!R58</f>
        <v>1476.3000000000002</v>
      </c>
      <c r="Z63" s="313">
        <f>'P&amp;L - Concept B3 - RCCL'!S58</f>
        <v>1476.3000000000002</v>
      </c>
      <c r="AA63" s="313">
        <f>'P&amp;L - Concept B3 - RCCL'!T58</f>
        <v>1476.3000000000002</v>
      </c>
      <c r="AB63" s="313">
        <f>'P&amp;L - Concept B3 - RCCL'!U58</f>
        <v>1476.3000000000002</v>
      </c>
      <c r="AC63" s="313">
        <f>'P&amp;L - Concept B3 - RCCL'!V58</f>
        <v>1476.3000000000002</v>
      </c>
      <c r="AD63" s="313">
        <f>'P&amp;L - Concept B3 - RCCL'!W58</f>
        <v>1476.3000000000002</v>
      </c>
      <c r="AE63" s="313">
        <f>'P&amp;L - Concept B3 - RCCL'!X58</f>
        <v>1476.3000000000002</v>
      </c>
    </row>
    <row r="64" spans="1:32 16384:16384" s="167" customFormat="1">
      <c r="A64" s="497" t="s">
        <v>170</v>
      </c>
      <c r="B64" s="450"/>
      <c r="C64" s="498"/>
      <c r="K64" s="499">
        <f>'P&amp;L - Concept B3 - RCCL'!D59</f>
        <v>0</v>
      </c>
      <c r="L64" s="500">
        <f>'P&amp;L - Concept B3 - RCCL'!E59</f>
        <v>0</v>
      </c>
      <c r="M64" s="500">
        <f>'P&amp;L - Concept B3 - RCCL'!F59</f>
        <v>0</v>
      </c>
      <c r="N64" s="500">
        <f>'P&amp;L - Concept B3 - RCCL'!G59</f>
        <v>0</v>
      </c>
      <c r="O64" s="500">
        <f>'P&amp;L - Concept B3 - RCCL'!H59</f>
        <v>0</v>
      </c>
      <c r="P64" s="500">
        <f>'P&amp;L - Concept B3 - RCCL'!I59</f>
        <v>0</v>
      </c>
      <c r="Q64" s="500">
        <f>'P&amp;L - Concept B3 - RCCL'!J59</f>
        <v>0</v>
      </c>
      <c r="R64" s="500">
        <f>'P&amp;L - Concept B3 - RCCL'!K59</f>
        <v>0</v>
      </c>
      <c r="S64" s="500">
        <f>'P&amp;L - Concept B3 - RCCL'!L59</f>
        <v>0</v>
      </c>
      <c r="T64" s="500">
        <f>'P&amp;L - Concept B3 - RCCL'!M59</f>
        <v>0</v>
      </c>
      <c r="U64" s="500">
        <f>'P&amp;L - Concept B3 - RCCL'!N59</f>
        <v>0</v>
      </c>
      <c r="V64" s="500">
        <f>'P&amp;L - Concept B3 - RCCL'!O59</f>
        <v>0</v>
      </c>
      <c r="W64" s="500">
        <f>'P&amp;L - Concept B3 - RCCL'!P59</f>
        <v>0</v>
      </c>
      <c r="X64" s="500">
        <f>'P&amp;L - Concept B3 - RCCL'!Q59</f>
        <v>0</v>
      </c>
      <c r="Y64" s="500">
        <f>'P&amp;L - Concept B3 - RCCL'!R59</f>
        <v>0</v>
      </c>
      <c r="Z64" s="500">
        <f>'P&amp;L - Concept B3 - RCCL'!S59</f>
        <v>0</v>
      </c>
      <c r="AA64" s="500">
        <f>'P&amp;L - Concept B3 - RCCL'!T59</f>
        <v>0</v>
      </c>
      <c r="AB64" s="500">
        <f>'P&amp;L - Concept B3 - RCCL'!U59</f>
        <v>0</v>
      </c>
      <c r="AC64" s="500">
        <f>'P&amp;L - Concept B3 - RCCL'!V59</f>
        <v>0</v>
      </c>
      <c r="AD64" s="500">
        <f>'P&amp;L - Concept B3 - RCCL'!W59</f>
        <v>0</v>
      </c>
      <c r="AE64" s="500">
        <f>'P&amp;L - Concept B3 - RCCL'!X59</f>
        <v>0</v>
      </c>
      <c r="AF64" s="167" t="str">
        <f>'P&amp;L - Concept B3 - RCCL'!Y59</f>
        <v>cost recovery assumed</v>
      </c>
    </row>
    <row r="65" spans="1:32" s="167" customFormat="1">
      <c r="A65" s="497" t="s">
        <v>16</v>
      </c>
      <c r="B65" s="450"/>
      <c r="C65" s="498"/>
      <c r="K65" s="499">
        <f>'P&amp;L - Concept B3 - RCCL'!D60</f>
        <v>0</v>
      </c>
      <c r="L65" s="500">
        <f>'P&amp;L - Concept B3 - RCCL'!E60</f>
        <v>0</v>
      </c>
      <c r="M65" s="500">
        <f>'P&amp;L - Concept B3 - RCCL'!F60</f>
        <v>0</v>
      </c>
      <c r="N65" s="500">
        <f>'P&amp;L - Concept B3 - RCCL'!G60</f>
        <v>0</v>
      </c>
      <c r="O65" s="500">
        <f>'P&amp;L - Concept B3 - RCCL'!H60</f>
        <v>0</v>
      </c>
      <c r="P65" s="500">
        <f>'P&amp;L - Concept B3 - RCCL'!I60</f>
        <v>0</v>
      </c>
      <c r="Q65" s="500">
        <f>'P&amp;L - Concept B3 - RCCL'!J60</f>
        <v>0</v>
      </c>
      <c r="R65" s="500">
        <f>'P&amp;L - Concept B3 - RCCL'!K60</f>
        <v>0</v>
      </c>
      <c r="S65" s="500">
        <f>'P&amp;L - Concept B3 - RCCL'!L60</f>
        <v>0</v>
      </c>
      <c r="T65" s="500">
        <f>'P&amp;L - Concept B3 - RCCL'!M60</f>
        <v>0</v>
      </c>
      <c r="U65" s="500">
        <f>'P&amp;L - Concept B3 - RCCL'!N60</f>
        <v>0</v>
      </c>
      <c r="V65" s="500">
        <f>'P&amp;L - Concept B3 - RCCL'!O60</f>
        <v>0</v>
      </c>
      <c r="W65" s="500">
        <f>'P&amp;L - Concept B3 - RCCL'!P60</f>
        <v>0</v>
      </c>
      <c r="X65" s="500">
        <f>'P&amp;L - Concept B3 - RCCL'!Q60</f>
        <v>0</v>
      </c>
      <c r="Y65" s="500">
        <f>'P&amp;L - Concept B3 - RCCL'!R60</f>
        <v>0</v>
      </c>
      <c r="Z65" s="500">
        <f>'P&amp;L - Concept B3 - RCCL'!S60</f>
        <v>0</v>
      </c>
      <c r="AA65" s="500">
        <f>'P&amp;L - Concept B3 - RCCL'!T60</f>
        <v>0</v>
      </c>
      <c r="AB65" s="500">
        <f>'P&amp;L - Concept B3 - RCCL'!U60</f>
        <v>0</v>
      </c>
      <c r="AC65" s="500">
        <f>'P&amp;L - Concept B3 - RCCL'!V60</f>
        <v>0</v>
      </c>
      <c r="AD65" s="500">
        <f>'P&amp;L - Concept B3 - RCCL'!W60</f>
        <v>0</v>
      </c>
      <c r="AE65" s="500">
        <f>'P&amp;L - Concept B3 - RCCL'!X60</f>
        <v>0</v>
      </c>
      <c r="AF65" s="167" t="str">
        <f>'P&amp;L - Concept B3 - RCCL'!Y60</f>
        <v>cost recovery assumed</v>
      </c>
    </row>
    <row r="66" spans="1:32" s="18" customFormat="1">
      <c r="A66" s="54"/>
      <c r="B66" s="277"/>
      <c r="C66" s="74"/>
      <c r="K66" s="492"/>
      <c r="L66" s="313"/>
      <c r="M66" s="313"/>
      <c r="N66" s="313"/>
      <c r="O66" s="313"/>
      <c r="P66" s="313"/>
      <c r="Q66" s="313"/>
      <c r="R66" s="313"/>
      <c r="S66" s="313"/>
      <c r="T66" s="313"/>
      <c r="U66" s="313"/>
      <c r="V66" s="313"/>
      <c r="W66" s="313"/>
      <c r="X66" s="313"/>
      <c r="Y66" s="313"/>
      <c r="Z66" s="313"/>
      <c r="AA66" s="313"/>
      <c r="AB66" s="313"/>
      <c r="AC66" s="313"/>
      <c r="AD66" s="313"/>
      <c r="AE66" s="313"/>
    </row>
    <row r="67" spans="1:32" s="18" customFormat="1">
      <c r="A67" s="293" t="s">
        <v>2</v>
      </c>
      <c r="B67" s="277"/>
      <c r="C67" s="74"/>
      <c r="K67" s="492"/>
      <c r="L67" s="313"/>
      <c r="M67" s="313"/>
      <c r="N67" s="313"/>
      <c r="O67" s="313"/>
      <c r="P67" s="313"/>
      <c r="Q67" s="313"/>
      <c r="R67" s="313"/>
      <c r="S67" s="313"/>
      <c r="T67" s="313"/>
      <c r="U67" s="313"/>
      <c r="V67" s="313"/>
      <c r="W67" s="313"/>
      <c r="X67" s="313"/>
      <c r="Y67" s="313"/>
      <c r="Z67" s="313"/>
      <c r="AA67" s="313"/>
      <c r="AB67" s="313"/>
      <c r="AC67" s="313"/>
      <c r="AD67" s="313"/>
      <c r="AE67" s="313"/>
    </row>
    <row r="68" spans="1:32" s="96" customFormat="1">
      <c r="A68" s="54" t="s">
        <v>290</v>
      </c>
      <c r="B68" s="435">
        <v>500</v>
      </c>
      <c r="C68" s="487"/>
      <c r="K68" s="486">
        <f>'P&amp;L - Concept B3 - RCCL'!D63</f>
        <v>0</v>
      </c>
      <c r="L68" s="313">
        <f>'P&amp;L - Concept B3 - RCCL'!E63</f>
        <v>0</v>
      </c>
      <c r="M68" s="313">
        <f>'P&amp;L - Concept B3 - RCCL'!F63</f>
        <v>0</v>
      </c>
      <c r="N68" s="313">
        <f>'P&amp;L - Concept B3 - RCCL'!G63</f>
        <v>500</v>
      </c>
      <c r="O68" s="313">
        <f>'P&amp;L - Concept B3 - RCCL'!H63</f>
        <v>500</v>
      </c>
      <c r="P68" s="313">
        <f>'P&amp;L - Concept B3 - RCCL'!I63</f>
        <v>500</v>
      </c>
      <c r="Q68" s="313">
        <f>'P&amp;L - Concept B3 - RCCL'!J63</f>
        <v>500</v>
      </c>
      <c r="R68" s="313">
        <f>'P&amp;L - Concept B3 - RCCL'!K63</f>
        <v>500</v>
      </c>
      <c r="S68" s="313">
        <f>'P&amp;L - Concept B3 - RCCL'!L63</f>
        <v>500</v>
      </c>
      <c r="T68" s="313">
        <f>'P&amp;L - Concept B3 - RCCL'!M63</f>
        <v>500</v>
      </c>
      <c r="U68" s="313">
        <f>'P&amp;L - Concept B3 - RCCL'!N63</f>
        <v>500</v>
      </c>
      <c r="V68" s="313">
        <f>'P&amp;L - Concept B3 - RCCL'!O63</f>
        <v>500</v>
      </c>
      <c r="W68" s="313">
        <f>'P&amp;L - Concept B3 - RCCL'!P63</f>
        <v>500</v>
      </c>
      <c r="X68" s="313">
        <f>'P&amp;L - Concept B3 - RCCL'!Q63</f>
        <v>500</v>
      </c>
      <c r="Y68" s="313">
        <f>'P&amp;L - Concept B3 - RCCL'!R63</f>
        <v>500</v>
      </c>
      <c r="Z68" s="313">
        <f>'P&amp;L - Concept B3 - RCCL'!S63</f>
        <v>500</v>
      </c>
      <c r="AA68" s="313">
        <f>'P&amp;L - Concept B3 - RCCL'!T63</f>
        <v>500</v>
      </c>
      <c r="AB68" s="313">
        <f>'P&amp;L - Concept B3 - RCCL'!U63</f>
        <v>500</v>
      </c>
      <c r="AC68" s="313">
        <f>'P&amp;L - Concept B3 - RCCL'!V63</f>
        <v>500</v>
      </c>
      <c r="AD68" s="313">
        <f>'P&amp;L - Concept B3 - RCCL'!W63</f>
        <v>500</v>
      </c>
      <c r="AE68" s="313">
        <f>'P&amp;L - Concept B3 - RCCL'!X63</f>
        <v>500</v>
      </c>
    </row>
    <row r="69" spans="1:32" s="96" customFormat="1">
      <c r="A69" s="54" t="s">
        <v>210</v>
      </c>
      <c r="B69" s="487"/>
      <c r="C69" s="487"/>
      <c r="K69" s="486">
        <f>'P&amp;L - Concept B3 - RCCL'!D65</f>
        <v>0</v>
      </c>
      <c r="L69" s="313">
        <f>'P&amp;L - Concept B3 - RCCL'!E65</f>
        <v>0</v>
      </c>
      <c r="M69" s="313">
        <f>'P&amp;L - Concept B3 - RCCL'!F65</f>
        <v>1</v>
      </c>
      <c r="N69" s="313">
        <f>'P&amp;L - Concept B3 - RCCL'!G65</f>
        <v>2</v>
      </c>
      <c r="O69" s="313">
        <f>'P&amp;L - Concept B3 - RCCL'!H65</f>
        <v>2</v>
      </c>
      <c r="P69" s="313">
        <f>'P&amp;L - Concept B3 - RCCL'!I65</f>
        <v>2</v>
      </c>
      <c r="Q69" s="313">
        <f>'P&amp;L - Concept B3 - RCCL'!J65</f>
        <v>3</v>
      </c>
      <c r="R69" s="313">
        <f>'P&amp;L - Concept B3 - RCCL'!K65</f>
        <v>3</v>
      </c>
      <c r="S69" s="313">
        <f>'P&amp;L - Concept B3 - RCCL'!L65</f>
        <v>3</v>
      </c>
      <c r="T69" s="313">
        <f>'P&amp;L - Concept B3 - RCCL'!M65</f>
        <v>3</v>
      </c>
      <c r="U69" s="313">
        <f>'P&amp;L - Concept B3 - RCCL'!N65</f>
        <v>3</v>
      </c>
      <c r="V69" s="313">
        <f>'P&amp;L - Concept B3 - RCCL'!O65</f>
        <v>4</v>
      </c>
      <c r="W69" s="313">
        <f>'P&amp;L - Concept B3 - RCCL'!P65</f>
        <v>4</v>
      </c>
      <c r="X69" s="313">
        <f>'P&amp;L - Concept B3 - RCCL'!Q65</f>
        <v>4</v>
      </c>
      <c r="Y69" s="313">
        <f>'P&amp;L - Concept B3 - RCCL'!R65</f>
        <v>4</v>
      </c>
      <c r="Z69" s="313">
        <f>'P&amp;L - Concept B3 - RCCL'!S65</f>
        <v>4</v>
      </c>
      <c r="AA69" s="313">
        <f>'P&amp;L - Concept B3 - RCCL'!T65</f>
        <v>5</v>
      </c>
      <c r="AB69" s="313">
        <f>'P&amp;L - Concept B3 - RCCL'!U65</f>
        <v>5</v>
      </c>
      <c r="AC69" s="313">
        <f>'P&amp;L - Concept B3 - RCCL'!V65</f>
        <v>5</v>
      </c>
      <c r="AD69" s="313">
        <f>'P&amp;L - Concept B3 - RCCL'!W65</f>
        <v>5</v>
      </c>
      <c r="AE69" s="313">
        <f>'P&amp;L - Concept B3 - RCCL'!X65</f>
        <v>5</v>
      </c>
    </row>
    <row r="70" spans="1:32" s="96" customFormat="1">
      <c r="A70" s="96" t="s">
        <v>211</v>
      </c>
      <c r="K70" s="486">
        <f>'P&amp;L - Concept B3 - RCCL'!D66</f>
        <v>0</v>
      </c>
      <c r="L70" s="313">
        <f>'P&amp;L - Concept B3 - RCCL'!E66</f>
        <v>0</v>
      </c>
      <c r="M70" s="313">
        <f>'P&amp;L - Concept B3 - RCCL'!F66</f>
        <v>3</v>
      </c>
      <c r="N70" s="313">
        <f>'P&amp;L - Concept B3 - RCCL'!G66</f>
        <v>3</v>
      </c>
      <c r="O70" s="313">
        <f>'P&amp;L - Concept B3 - RCCL'!H66</f>
        <v>3</v>
      </c>
      <c r="P70" s="313">
        <f>'P&amp;L - Concept B3 - RCCL'!I66</f>
        <v>3</v>
      </c>
      <c r="Q70" s="313">
        <f>'P&amp;L - Concept B3 - RCCL'!J66</f>
        <v>3</v>
      </c>
      <c r="R70" s="313">
        <f>'P&amp;L - Concept B3 - RCCL'!K66</f>
        <v>3</v>
      </c>
      <c r="S70" s="313">
        <f>'P&amp;L - Concept B3 - RCCL'!L66</f>
        <v>3</v>
      </c>
      <c r="T70" s="313">
        <f>'P&amp;L - Concept B3 - RCCL'!M66</f>
        <v>3</v>
      </c>
      <c r="U70" s="313">
        <f>'P&amp;L - Concept B3 - RCCL'!N66</f>
        <v>3</v>
      </c>
      <c r="V70" s="313">
        <f>'P&amp;L - Concept B3 - RCCL'!O66</f>
        <v>3</v>
      </c>
      <c r="W70" s="313">
        <f>'P&amp;L - Concept B3 - RCCL'!P66</f>
        <v>3</v>
      </c>
      <c r="X70" s="313">
        <f>'P&amp;L - Concept B3 - RCCL'!Q66</f>
        <v>3</v>
      </c>
      <c r="Y70" s="313">
        <f>'P&amp;L - Concept B3 - RCCL'!R66</f>
        <v>3</v>
      </c>
      <c r="Z70" s="313">
        <f>'P&amp;L - Concept B3 - RCCL'!S66</f>
        <v>3</v>
      </c>
      <c r="AA70" s="313">
        <f>'P&amp;L - Concept B3 - RCCL'!T66</f>
        <v>3</v>
      </c>
      <c r="AB70" s="313">
        <f>'P&amp;L - Concept B3 - RCCL'!U66</f>
        <v>3</v>
      </c>
      <c r="AC70" s="313">
        <f>'P&amp;L - Concept B3 - RCCL'!V66</f>
        <v>3</v>
      </c>
      <c r="AD70" s="313">
        <f>'P&amp;L - Concept B3 - RCCL'!W66</f>
        <v>3</v>
      </c>
      <c r="AE70" s="313">
        <f>'P&amp;L - Concept B3 - RCCL'!X66</f>
        <v>3</v>
      </c>
    </row>
    <row r="71" spans="1:32" s="96" customFormat="1">
      <c r="K71" s="486"/>
      <c r="L71" s="435"/>
      <c r="M71" s="435"/>
      <c r="N71" s="435"/>
      <c r="O71" s="435"/>
      <c r="P71" s="435"/>
      <c r="Q71" s="435"/>
      <c r="R71" s="435"/>
      <c r="S71" s="435"/>
      <c r="T71" s="435"/>
      <c r="U71" s="435"/>
      <c r="V71" s="435"/>
      <c r="W71" s="435"/>
      <c r="X71" s="435"/>
      <c r="Y71" s="435"/>
      <c r="Z71" s="435"/>
      <c r="AA71" s="435"/>
      <c r="AB71" s="435"/>
      <c r="AC71" s="435"/>
      <c r="AD71" s="435"/>
      <c r="AE71" s="435"/>
    </row>
    <row r="72" spans="1:32" s="18" customFormat="1">
      <c r="A72" s="28"/>
      <c r="K72" s="486"/>
      <c r="L72" s="331"/>
      <c r="M72" s="333"/>
      <c r="N72" s="331"/>
      <c r="O72" s="331"/>
      <c r="P72" s="331"/>
      <c r="Q72" s="331"/>
      <c r="R72" s="331"/>
      <c r="S72" s="331"/>
      <c r="T72" s="331"/>
      <c r="U72" s="331"/>
      <c r="V72" s="331"/>
      <c r="W72" s="331"/>
      <c r="X72" s="331"/>
      <c r="Y72" s="331"/>
      <c r="Z72" s="331"/>
      <c r="AA72" s="331"/>
      <c r="AB72" s="331"/>
      <c r="AC72" s="331"/>
      <c r="AD72" s="331"/>
      <c r="AE72" s="331"/>
    </row>
    <row r="73" spans="1:32">
      <c r="A73" s="168" t="s">
        <v>131</v>
      </c>
      <c r="B73" s="168"/>
      <c r="C73" s="169"/>
      <c r="D73" s="170"/>
      <c r="E73" s="171"/>
      <c r="F73" s="171"/>
      <c r="G73" s="171"/>
      <c r="H73" s="171"/>
      <c r="I73" s="168"/>
      <c r="J73" s="171"/>
      <c r="K73" s="681"/>
      <c r="L73" s="314"/>
      <c r="M73" s="314"/>
      <c r="N73" s="314"/>
      <c r="O73" s="314"/>
      <c r="P73" s="314"/>
      <c r="Q73" s="314"/>
      <c r="R73" s="314"/>
      <c r="S73" s="314"/>
      <c r="T73" s="314"/>
      <c r="U73" s="314"/>
      <c r="V73" s="314"/>
      <c r="W73" s="314"/>
      <c r="X73" s="314"/>
      <c r="Y73" s="314"/>
      <c r="Z73" s="314"/>
      <c r="AA73" s="314"/>
      <c r="AB73" s="314"/>
      <c r="AC73" s="314"/>
      <c r="AD73" s="314"/>
      <c r="AE73" s="314"/>
    </row>
    <row r="74" spans="1:32" s="252" customFormat="1">
      <c r="A74" s="183"/>
      <c r="B74" s="183"/>
      <c r="C74" s="364"/>
      <c r="D74" s="365"/>
      <c r="E74" s="184"/>
      <c r="F74" s="184"/>
      <c r="G74" s="184"/>
      <c r="H74" s="184"/>
      <c r="I74" s="183"/>
      <c r="J74" s="184"/>
      <c r="K74" s="664"/>
      <c r="L74" s="366"/>
      <c r="M74" s="366"/>
      <c r="N74" s="366"/>
      <c r="O74" s="366"/>
      <c r="P74" s="366"/>
      <c r="Q74" s="366"/>
      <c r="R74" s="366"/>
      <c r="S74" s="366"/>
      <c r="T74" s="366"/>
      <c r="U74" s="366"/>
      <c r="V74" s="366"/>
      <c r="W74" s="366"/>
      <c r="X74" s="366"/>
      <c r="Y74" s="366"/>
      <c r="Z74" s="366"/>
      <c r="AA74" s="366"/>
      <c r="AB74" s="366"/>
      <c r="AC74" s="366"/>
      <c r="AD74" s="366"/>
      <c r="AE74" s="366"/>
    </row>
    <row r="75" spans="1:32">
      <c r="A75" s="41" t="s">
        <v>13</v>
      </c>
      <c r="B75" s="41"/>
      <c r="C75" s="105"/>
      <c r="D75" s="106"/>
      <c r="E75" s="37"/>
      <c r="F75" s="37"/>
      <c r="G75" s="37"/>
      <c r="H75" s="37"/>
      <c r="I75" s="41"/>
      <c r="J75" s="37"/>
      <c r="K75" s="683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</row>
    <row r="76" spans="1:32">
      <c r="A76" s="96" t="s">
        <v>418</v>
      </c>
      <c r="B76" s="735" t="s">
        <v>12</v>
      </c>
      <c r="C76" s="663">
        <v>75000</v>
      </c>
      <c r="D76" s="736">
        <f t="shared" ref="D76:D79" si="0">C76/2080</f>
        <v>36.057692307692307</v>
      </c>
      <c r="E76" s="663">
        <v>0</v>
      </c>
      <c r="F76" s="663">
        <f>(C76*$F$13)</f>
        <v>30000</v>
      </c>
      <c r="G76" s="663">
        <f>SUM(C76,E76:F76)</f>
        <v>105000</v>
      </c>
      <c r="H76" s="663"/>
      <c r="I76" s="736"/>
      <c r="J76" s="663"/>
      <c r="K76" s="683">
        <v>0</v>
      </c>
      <c r="L76" s="665">
        <v>0</v>
      </c>
      <c r="M76" s="666">
        <f>G76</f>
        <v>105000</v>
      </c>
      <c r="N76" s="666">
        <f>($G$76*L11)</f>
        <v>107100</v>
      </c>
      <c r="O76" s="666">
        <f t="shared" ref="O76:AE76" si="1">($G$76*M11)</f>
        <v>109242</v>
      </c>
      <c r="P76" s="666">
        <f t="shared" si="1"/>
        <v>111426.84</v>
      </c>
      <c r="Q76" s="666">
        <f t="shared" si="1"/>
        <v>113655.3768</v>
      </c>
      <c r="R76" s="666">
        <f t="shared" si="1"/>
        <v>115928.48433600001</v>
      </c>
      <c r="S76" s="666">
        <f t="shared" si="1"/>
        <v>118247.05402272001</v>
      </c>
      <c r="T76" s="666">
        <f t="shared" si="1"/>
        <v>120611.9951031744</v>
      </c>
      <c r="U76" s="666">
        <f t="shared" si="1"/>
        <v>123024.2350052379</v>
      </c>
      <c r="V76" s="666">
        <f t="shared" si="1"/>
        <v>125484.71970534266</v>
      </c>
      <c r="W76" s="666">
        <f t="shared" si="1"/>
        <v>127994.41409944952</v>
      </c>
      <c r="X76" s="666">
        <f t="shared" si="1"/>
        <v>130554.30238143851</v>
      </c>
      <c r="Y76" s="666">
        <f t="shared" si="1"/>
        <v>133165.38842906727</v>
      </c>
      <c r="Z76" s="666">
        <f t="shared" si="1"/>
        <v>135828.69619764862</v>
      </c>
      <c r="AA76" s="666">
        <f t="shared" si="1"/>
        <v>138545.27012160158</v>
      </c>
      <c r="AB76" s="666">
        <f t="shared" si="1"/>
        <v>141316.17552403364</v>
      </c>
      <c r="AC76" s="666">
        <f t="shared" si="1"/>
        <v>144142.4990345143</v>
      </c>
      <c r="AD76" s="666">
        <f t="shared" si="1"/>
        <v>147025.34901520461</v>
      </c>
      <c r="AE76" s="666">
        <f t="shared" si="1"/>
        <v>149965.8559955087</v>
      </c>
    </row>
    <row r="77" spans="1:32">
      <c r="A77" s="96" t="s">
        <v>417</v>
      </c>
      <c r="B77" s="735" t="s">
        <v>12</v>
      </c>
      <c r="C77" s="663">
        <v>35000</v>
      </c>
      <c r="D77" s="736">
        <f t="shared" si="0"/>
        <v>16.826923076923077</v>
      </c>
      <c r="E77" s="663">
        <v>0</v>
      </c>
      <c r="F77" s="663">
        <f t="shared" ref="F77:F79" si="2">(C77*$F$13)</f>
        <v>14000</v>
      </c>
      <c r="G77" s="663">
        <f t="shared" ref="G77:G79" si="3">SUM(C77,E77:F77)</f>
        <v>49000</v>
      </c>
      <c r="H77" s="663"/>
      <c r="I77" s="736"/>
      <c r="J77" s="663"/>
      <c r="K77" s="683">
        <v>0</v>
      </c>
      <c r="L77" s="665">
        <f>G77*0.25</f>
        <v>12250</v>
      </c>
      <c r="M77" s="666">
        <f>G77*0.5</f>
        <v>24500</v>
      </c>
      <c r="N77" s="666">
        <f>($G$77*0.5*L11)</f>
        <v>24990</v>
      </c>
      <c r="O77" s="666">
        <f t="shared" ref="O77:AE77" si="4">($G$77*0.5*M11)</f>
        <v>25489.8</v>
      </c>
      <c r="P77" s="666">
        <f t="shared" si="4"/>
        <v>25999.595999999998</v>
      </c>
      <c r="Q77" s="666">
        <f t="shared" si="4"/>
        <v>26519.587919999998</v>
      </c>
      <c r="R77" s="666">
        <f t="shared" si="4"/>
        <v>27049.979678399999</v>
      </c>
      <c r="S77" s="666">
        <f t="shared" si="4"/>
        <v>27590.979271968001</v>
      </c>
      <c r="T77" s="666">
        <f t="shared" si="4"/>
        <v>28142.798857407361</v>
      </c>
      <c r="U77" s="666">
        <f t="shared" si="4"/>
        <v>28705.654834555509</v>
      </c>
      <c r="V77" s="666">
        <f t="shared" si="4"/>
        <v>29279.767931246621</v>
      </c>
      <c r="W77" s="666">
        <f t="shared" si="4"/>
        <v>29865.363289871555</v>
      </c>
      <c r="X77" s="666">
        <f t="shared" si="4"/>
        <v>30462.670555668985</v>
      </c>
      <c r="Y77" s="666">
        <f t="shared" si="4"/>
        <v>31071.923966782364</v>
      </c>
      <c r="Z77" s="666">
        <f t="shared" si="4"/>
        <v>31693.362446118008</v>
      </c>
      <c r="AA77" s="666">
        <f t="shared" si="4"/>
        <v>32327.229695040372</v>
      </c>
      <c r="AB77" s="666">
        <f t="shared" si="4"/>
        <v>32973.774288941182</v>
      </c>
      <c r="AC77" s="666">
        <f t="shared" si="4"/>
        <v>33633.249774720003</v>
      </c>
      <c r="AD77" s="666">
        <f t="shared" si="4"/>
        <v>34305.914770214411</v>
      </c>
      <c r="AE77" s="666">
        <f t="shared" si="4"/>
        <v>34992.0330656187</v>
      </c>
    </row>
    <row r="78" spans="1:32">
      <c r="A78" s="96" t="s">
        <v>422</v>
      </c>
      <c r="B78" s="735" t="s">
        <v>15</v>
      </c>
      <c r="C78" s="663">
        <v>15000</v>
      </c>
      <c r="D78" s="736">
        <f t="shared" si="0"/>
        <v>7.2115384615384617</v>
      </c>
      <c r="E78" s="663">
        <f>C78*$L$15</f>
        <v>0</v>
      </c>
      <c r="F78" s="663">
        <f t="shared" si="2"/>
        <v>6000</v>
      </c>
      <c r="G78" s="663">
        <f t="shared" si="3"/>
        <v>21000</v>
      </c>
      <c r="H78" s="663"/>
      <c r="I78" s="736"/>
      <c r="J78" s="663"/>
      <c r="K78" s="683">
        <v>0</v>
      </c>
      <c r="L78" s="665">
        <v>0</v>
      </c>
      <c r="M78" s="666">
        <f t="shared" ref="M78" si="5">G78</f>
        <v>21000</v>
      </c>
      <c r="N78" s="666">
        <f>($G$78*L11)</f>
        <v>21420</v>
      </c>
      <c r="O78" s="666">
        <f t="shared" ref="O78:AE78" si="6">($G$78*M11)</f>
        <v>21848.400000000001</v>
      </c>
      <c r="P78" s="666">
        <f t="shared" si="6"/>
        <v>22285.367999999999</v>
      </c>
      <c r="Q78" s="666">
        <f t="shared" si="6"/>
        <v>22731.075359999999</v>
      </c>
      <c r="R78" s="666">
        <f t="shared" si="6"/>
        <v>23185.6968672</v>
      </c>
      <c r="S78" s="666">
        <f t="shared" si="6"/>
        <v>23649.410804544001</v>
      </c>
      <c r="T78" s="666">
        <f t="shared" si="6"/>
        <v>24122.399020634883</v>
      </c>
      <c r="U78" s="666">
        <f t="shared" si="6"/>
        <v>24604.847001047579</v>
      </c>
      <c r="V78" s="666">
        <f t="shared" si="6"/>
        <v>25096.943941068534</v>
      </c>
      <c r="W78" s="666">
        <f t="shared" si="6"/>
        <v>25598.882819889903</v>
      </c>
      <c r="X78" s="666">
        <f t="shared" si="6"/>
        <v>26110.8604762877</v>
      </c>
      <c r="Y78" s="666">
        <f t="shared" si="6"/>
        <v>26633.077685813456</v>
      </c>
      <c r="Z78" s="666">
        <f t="shared" si="6"/>
        <v>27165.739239529721</v>
      </c>
      <c r="AA78" s="666">
        <f t="shared" si="6"/>
        <v>27709.054024320321</v>
      </c>
      <c r="AB78" s="666">
        <f t="shared" si="6"/>
        <v>28263.235104806728</v>
      </c>
      <c r="AC78" s="666">
        <f t="shared" si="6"/>
        <v>28828.499806902862</v>
      </c>
      <c r="AD78" s="666">
        <f t="shared" si="6"/>
        <v>29405.069803040922</v>
      </c>
      <c r="AE78" s="666">
        <f t="shared" si="6"/>
        <v>29993.17119910174</v>
      </c>
    </row>
    <row r="79" spans="1:32">
      <c r="A79" s="737" t="s">
        <v>422</v>
      </c>
      <c r="B79" s="738" t="s">
        <v>15</v>
      </c>
      <c r="C79" s="739">
        <v>15000</v>
      </c>
      <c r="D79" s="740">
        <f t="shared" si="0"/>
        <v>7.2115384615384617</v>
      </c>
      <c r="E79" s="739">
        <f>C79*$L$15</f>
        <v>0</v>
      </c>
      <c r="F79" s="739">
        <f t="shared" si="2"/>
        <v>6000</v>
      </c>
      <c r="G79" s="739">
        <f t="shared" si="3"/>
        <v>21000</v>
      </c>
      <c r="H79" s="739"/>
      <c r="I79" s="740"/>
      <c r="J79" s="739"/>
      <c r="K79" s="741">
        <v>0</v>
      </c>
      <c r="L79" s="742">
        <v>0</v>
      </c>
      <c r="M79" s="742">
        <f t="shared" ref="M79" si="7">G79</f>
        <v>21000</v>
      </c>
      <c r="N79" s="742">
        <f>($G$79*L11)</f>
        <v>21420</v>
      </c>
      <c r="O79" s="742">
        <f t="shared" ref="O79:AE79" si="8">($G$79*M11)</f>
        <v>21848.400000000001</v>
      </c>
      <c r="P79" s="742">
        <f t="shared" si="8"/>
        <v>22285.367999999999</v>
      </c>
      <c r="Q79" s="742">
        <f t="shared" si="8"/>
        <v>22731.075359999999</v>
      </c>
      <c r="R79" s="742">
        <f t="shared" si="8"/>
        <v>23185.6968672</v>
      </c>
      <c r="S79" s="742">
        <f t="shared" si="8"/>
        <v>23649.410804544001</v>
      </c>
      <c r="T79" s="742">
        <f t="shared" si="8"/>
        <v>24122.399020634883</v>
      </c>
      <c r="U79" s="742">
        <f t="shared" si="8"/>
        <v>24604.847001047579</v>
      </c>
      <c r="V79" s="742">
        <f t="shared" si="8"/>
        <v>25096.943941068534</v>
      </c>
      <c r="W79" s="742">
        <f t="shared" si="8"/>
        <v>25598.882819889903</v>
      </c>
      <c r="X79" s="742">
        <f t="shared" si="8"/>
        <v>26110.8604762877</v>
      </c>
      <c r="Y79" s="742">
        <f t="shared" si="8"/>
        <v>26633.077685813456</v>
      </c>
      <c r="Z79" s="742">
        <f t="shared" si="8"/>
        <v>27165.739239529721</v>
      </c>
      <c r="AA79" s="742">
        <f t="shared" si="8"/>
        <v>27709.054024320321</v>
      </c>
      <c r="AB79" s="742">
        <f t="shared" si="8"/>
        <v>28263.235104806728</v>
      </c>
      <c r="AC79" s="742">
        <f t="shared" si="8"/>
        <v>28828.499806902862</v>
      </c>
      <c r="AD79" s="742">
        <f t="shared" si="8"/>
        <v>29405.069803040922</v>
      </c>
      <c r="AE79" s="742">
        <f t="shared" si="8"/>
        <v>29993.17119910174</v>
      </c>
    </row>
    <row r="80" spans="1:32" s="56" customFormat="1" ht="14.25">
      <c r="A80" s="164" t="s">
        <v>416</v>
      </c>
      <c r="B80" s="164"/>
      <c r="C80" s="667">
        <f>SUM(C76:C79)</f>
        <v>140000</v>
      </c>
      <c r="D80" s="667"/>
      <c r="E80" s="667">
        <f>SUM(E76:E79)</f>
        <v>0</v>
      </c>
      <c r="F80" s="667">
        <f>SUM(F76:F79)</f>
        <v>56000</v>
      </c>
      <c r="G80" s="667">
        <f>SUM(G76:G79)</f>
        <v>196000</v>
      </c>
      <c r="H80" s="667"/>
      <c r="I80" s="668"/>
      <c r="J80" s="667"/>
      <c r="K80" s="685">
        <f>SUMIF($B76:$B79,"FT",K76:K79)</f>
        <v>0</v>
      </c>
      <c r="L80" s="669">
        <f t="shared" ref="L80:AE80" si="9">SUM(L76:L79)</f>
        <v>12250</v>
      </c>
      <c r="M80" s="669">
        <f t="shared" si="9"/>
        <v>171500</v>
      </c>
      <c r="N80" s="669">
        <f t="shared" si="9"/>
        <v>174930</v>
      </c>
      <c r="O80" s="669">
        <f t="shared" si="9"/>
        <v>178428.59999999998</v>
      </c>
      <c r="P80" s="669">
        <f t="shared" si="9"/>
        <v>181997.17199999996</v>
      </c>
      <c r="Q80" s="669">
        <f t="shared" si="9"/>
        <v>185637.11543999997</v>
      </c>
      <c r="R80" s="669">
        <f t="shared" si="9"/>
        <v>189349.85774879999</v>
      </c>
      <c r="S80" s="669">
        <f t="shared" si="9"/>
        <v>193136.85490377599</v>
      </c>
      <c r="T80" s="669">
        <f t="shared" si="9"/>
        <v>196999.59200185153</v>
      </c>
      <c r="U80" s="669">
        <f t="shared" si="9"/>
        <v>200939.58384188855</v>
      </c>
      <c r="V80" s="669">
        <f t="shared" si="9"/>
        <v>204958.37551872636</v>
      </c>
      <c r="W80" s="669">
        <f t="shared" si="9"/>
        <v>209057.54302910087</v>
      </c>
      <c r="X80" s="669">
        <f t="shared" si="9"/>
        <v>213238.69388968288</v>
      </c>
      <c r="Y80" s="669">
        <f t="shared" si="9"/>
        <v>217503.46776747654</v>
      </c>
      <c r="Z80" s="669">
        <f t="shared" si="9"/>
        <v>221853.53712282603</v>
      </c>
      <c r="AA80" s="669">
        <f t="shared" si="9"/>
        <v>226290.60786528263</v>
      </c>
      <c r="AB80" s="669">
        <f t="shared" si="9"/>
        <v>230816.42002258825</v>
      </c>
      <c r="AC80" s="669">
        <f t="shared" si="9"/>
        <v>235432.74842304003</v>
      </c>
      <c r="AD80" s="669">
        <f t="shared" si="9"/>
        <v>240141.40339150085</v>
      </c>
      <c r="AE80" s="669">
        <f t="shared" si="9"/>
        <v>244944.23145933088</v>
      </c>
    </row>
    <row r="81" spans="1:35" s="56" customFormat="1" ht="14.25">
      <c r="A81" s="164"/>
      <c r="B81" s="164"/>
      <c r="C81" s="667"/>
      <c r="D81" s="667"/>
      <c r="E81" s="667"/>
      <c r="F81" s="667"/>
      <c r="G81" s="667"/>
      <c r="H81" s="667"/>
      <c r="I81" s="668"/>
      <c r="J81" s="667"/>
      <c r="K81" s="685"/>
      <c r="L81" s="669"/>
      <c r="M81" s="669"/>
      <c r="N81" s="669"/>
      <c r="O81" s="669"/>
      <c r="P81" s="669"/>
      <c r="Q81" s="669"/>
      <c r="R81" s="669"/>
      <c r="S81" s="669"/>
      <c r="T81" s="669"/>
      <c r="U81" s="669"/>
      <c r="V81" s="669"/>
      <c r="W81" s="669"/>
      <c r="X81" s="669"/>
      <c r="Y81" s="669"/>
      <c r="Z81" s="669"/>
      <c r="AA81" s="669"/>
      <c r="AB81" s="669"/>
      <c r="AC81" s="669"/>
      <c r="AD81" s="669"/>
      <c r="AE81" s="669"/>
    </row>
    <row r="82" spans="1:35">
      <c r="A82" s="37" t="s">
        <v>411</v>
      </c>
      <c r="B82" s="37"/>
      <c r="C82" s="57"/>
      <c r="E82" s="57"/>
      <c r="F82" s="57"/>
      <c r="G82" s="57"/>
      <c r="H82" s="57"/>
      <c r="I82" s="43"/>
      <c r="J82" s="42"/>
      <c r="K82" s="743">
        <f>COUNTIF(K76:K79,"&gt;100")</f>
        <v>0</v>
      </c>
      <c r="L82" s="496">
        <f t="shared" ref="L82:AE82" si="10">COUNTIF(L76:L77,"&gt;100")</f>
        <v>1</v>
      </c>
      <c r="M82" s="496">
        <f t="shared" si="10"/>
        <v>2</v>
      </c>
      <c r="N82" s="496">
        <f t="shared" si="10"/>
        <v>2</v>
      </c>
      <c r="O82" s="496">
        <f t="shared" si="10"/>
        <v>2</v>
      </c>
      <c r="P82" s="496">
        <f t="shared" si="10"/>
        <v>2</v>
      </c>
      <c r="Q82" s="496">
        <f t="shared" si="10"/>
        <v>2</v>
      </c>
      <c r="R82" s="496">
        <f t="shared" si="10"/>
        <v>2</v>
      </c>
      <c r="S82" s="496">
        <f t="shared" si="10"/>
        <v>2</v>
      </c>
      <c r="T82" s="496">
        <f t="shared" si="10"/>
        <v>2</v>
      </c>
      <c r="U82" s="496">
        <f t="shared" si="10"/>
        <v>2</v>
      </c>
      <c r="V82" s="496">
        <f t="shared" si="10"/>
        <v>2</v>
      </c>
      <c r="W82" s="496">
        <f t="shared" si="10"/>
        <v>2</v>
      </c>
      <c r="X82" s="496">
        <f t="shared" si="10"/>
        <v>2</v>
      </c>
      <c r="Y82" s="496">
        <f t="shared" si="10"/>
        <v>2</v>
      </c>
      <c r="Z82" s="496">
        <f t="shared" si="10"/>
        <v>2</v>
      </c>
      <c r="AA82" s="496">
        <f t="shared" si="10"/>
        <v>2</v>
      </c>
      <c r="AB82" s="496">
        <f t="shared" si="10"/>
        <v>2</v>
      </c>
      <c r="AC82" s="496">
        <f t="shared" si="10"/>
        <v>2</v>
      </c>
      <c r="AD82" s="496">
        <f t="shared" si="10"/>
        <v>2</v>
      </c>
      <c r="AE82" s="496">
        <f t="shared" si="10"/>
        <v>2</v>
      </c>
      <c r="AF82" s="744"/>
    </row>
    <row r="83" spans="1:35">
      <c r="A83" s="745" t="s">
        <v>412</v>
      </c>
      <c r="B83" s="745"/>
      <c r="C83" s="746"/>
      <c r="D83" s="116"/>
      <c r="E83" s="746"/>
      <c r="F83" s="746"/>
      <c r="G83" s="746"/>
      <c r="H83" s="746"/>
      <c r="I83" s="747"/>
      <c r="J83" s="748"/>
      <c r="K83" s="749">
        <f t="shared" ref="K83" si="11">K84-K82</f>
        <v>0</v>
      </c>
      <c r="L83" s="750">
        <f t="shared" ref="L83:AE83" si="12">COUNTIF(L78:L79,"&gt;100")</f>
        <v>0</v>
      </c>
      <c r="M83" s="750">
        <f t="shared" si="12"/>
        <v>2</v>
      </c>
      <c r="N83" s="750">
        <f t="shared" si="12"/>
        <v>2</v>
      </c>
      <c r="O83" s="750">
        <f t="shared" si="12"/>
        <v>2</v>
      </c>
      <c r="P83" s="750">
        <f t="shared" si="12"/>
        <v>2</v>
      </c>
      <c r="Q83" s="750">
        <f t="shared" si="12"/>
        <v>2</v>
      </c>
      <c r="R83" s="750">
        <f t="shared" si="12"/>
        <v>2</v>
      </c>
      <c r="S83" s="750">
        <f t="shared" si="12"/>
        <v>2</v>
      </c>
      <c r="T83" s="750">
        <f t="shared" si="12"/>
        <v>2</v>
      </c>
      <c r="U83" s="750">
        <f t="shared" si="12"/>
        <v>2</v>
      </c>
      <c r="V83" s="750">
        <f t="shared" si="12"/>
        <v>2</v>
      </c>
      <c r="W83" s="750">
        <f t="shared" si="12"/>
        <v>2</v>
      </c>
      <c r="X83" s="750">
        <f t="shared" si="12"/>
        <v>2</v>
      </c>
      <c r="Y83" s="750">
        <f t="shared" si="12"/>
        <v>2</v>
      </c>
      <c r="Z83" s="750">
        <f t="shared" si="12"/>
        <v>2</v>
      </c>
      <c r="AA83" s="750">
        <f t="shared" si="12"/>
        <v>2</v>
      </c>
      <c r="AB83" s="750">
        <f t="shared" si="12"/>
        <v>2</v>
      </c>
      <c r="AC83" s="750">
        <f t="shared" si="12"/>
        <v>2</v>
      </c>
      <c r="AD83" s="750">
        <f t="shared" si="12"/>
        <v>2</v>
      </c>
      <c r="AE83" s="750">
        <f t="shared" si="12"/>
        <v>2</v>
      </c>
    </row>
    <row r="84" spans="1:35" s="56" customFormat="1" ht="14.25">
      <c r="A84" s="164" t="s">
        <v>413</v>
      </c>
      <c r="B84" s="164"/>
      <c r="C84" s="75"/>
      <c r="D84" s="173"/>
      <c r="E84" s="75"/>
      <c r="F84" s="75"/>
      <c r="G84" s="75"/>
      <c r="H84" s="75"/>
      <c r="I84" s="174"/>
      <c r="J84" s="181"/>
      <c r="K84" s="751">
        <f>COUNTIF(K76:K79,"&gt;0")</f>
        <v>0</v>
      </c>
      <c r="L84" s="752">
        <f>SUM(L82:L83)</f>
        <v>1</v>
      </c>
      <c r="M84" s="752">
        <f t="shared" ref="M84:AE84" si="13">SUM(M82:M83)</f>
        <v>4</v>
      </c>
      <c r="N84" s="752">
        <f t="shared" si="13"/>
        <v>4</v>
      </c>
      <c r="O84" s="752">
        <f t="shared" si="13"/>
        <v>4</v>
      </c>
      <c r="P84" s="752">
        <f t="shared" si="13"/>
        <v>4</v>
      </c>
      <c r="Q84" s="752">
        <f t="shared" si="13"/>
        <v>4</v>
      </c>
      <c r="R84" s="752">
        <f t="shared" si="13"/>
        <v>4</v>
      </c>
      <c r="S84" s="752">
        <f t="shared" si="13"/>
        <v>4</v>
      </c>
      <c r="T84" s="752">
        <f t="shared" si="13"/>
        <v>4</v>
      </c>
      <c r="U84" s="752">
        <f t="shared" si="13"/>
        <v>4</v>
      </c>
      <c r="V84" s="752">
        <f t="shared" si="13"/>
        <v>4</v>
      </c>
      <c r="W84" s="752">
        <f t="shared" si="13"/>
        <v>4</v>
      </c>
      <c r="X84" s="752">
        <f t="shared" si="13"/>
        <v>4</v>
      </c>
      <c r="Y84" s="752">
        <f t="shared" si="13"/>
        <v>4</v>
      </c>
      <c r="Z84" s="752">
        <f t="shared" si="13"/>
        <v>4</v>
      </c>
      <c r="AA84" s="752">
        <f t="shared" si="13"/>
        <v>4</v>
      </c>
      <c r="AB84" s="752">
        <f t="shared" si="13"/>
        <v>4</v>
      </c>
      <c r="AC84" s="752">
        <f t="shared" si="13"/>
        <v>4</v>
      </c>
      <c r="AD84" s="752">
        <f t="shared" si="13"/>
        <v>4</v>
      </c>
      <c r="AE84" s="752">
        <f t="shared" si="13"/>
        <v>4</v>
      </c>
    </row>
    <row r="85" spans="1:35" s="56" customFormat="1" ht="14.25">
      <c r="A85" s="164"/>
      <c r="B85" s="164"/>
      <c r="C85" s="75"/>
      <c r="D85" s="173"/>
      <c r="E85" s="75"/>
      <c r="F85" s="75"/>
      <c r="G85" s="75"/>
      <c r="H85" s="75"/>
      <c r="I85" s="174"/>
      <c r="J85" s="181"/>
      <c r="K85" s="685"/>
      <c r="L85" s="315"/>
      <c r="M85" s="315"/>
      <c r="N85" s="315"/>
      <c r="O85" s="315"/>
      <c r="P85" s="315"/>
      <c r="Q85" s="315"/>
      <c r="R85" s="315"/>
      <c r="S85" s="315"/>
      <c r="T85" s="315"/>
      <c r="U85" s="315"/>
      <c r="V85" s="315"/>
      <c r="W85" s="315"/>
      <c r="X85" s="315"/>
      <c r="Y85" s="315"/>
      <c r="Z85" s="315"/>
      <c r="AA85" s="315"/>
      <c r="AB85" s="315"/>
      <c r="AC85" s="315"/>
      <c r="AD85" s="315"/>
      <c r="AE85" s="315"/>
    </row>
    <row r="86" spans="1:35">
      <c r="A86" s="48" t="s">
        <v>68</v>
      </c>
      <c r="B86" s="48"/>
      <c r="C86" s="77"/>
      <c r="D86" s="76"/>
      <c r="E86" s="57"/>
      <c r="F86" s="57"/>
      <c r="G86" s="77"/>
      <c r="H86" s="77"/>
      <c r="I86" s="50"/>
      <c r="J86" s="49"/>
      <c r="K86" s="683"/>
      <c r="L86" s="316"/>
      <c r="M86" s="316"/>
      <c r="N86" s="316"/>
      <c r="O86" s="316"/>
      <c r="P86" s="316"/>
      <c r="Q86" s="316"/>
      <c r="R86" s="316"/>
      <c r="S86" s="316"/>
      <c r="T86" s="316"/>
      <c r="U86" s="316"/>
      <c r="V86" s="316"/>
      <c r="W86" s="316"/>
      <c r="X86" s="316"/>
      <c r="Y86" s="316"/>
      <c r="Z86" s="316"/>
      <c r="AA86" s="316"/>
      <c r="AB86" s="316"/>
      <c r="AC86" s="316"/>
      <c r="AD86" s="316"/>
      <c r="AE86" s="316"/>
    </row>
    <row r="87" spans="1:35" s="68" customFormat="1" ht="14.25">
      <c r="A87" s="214" t="s">
        <v>80</v>
      </c>
      <c r="B87" s="189"/>
      <c r="C87" s="209"/>
      <c r="D87" s="210"/>
      <c r="E87" s="211"/>
      <c r="F87" s="211"/>
      <c r="G87" s="209"/>
      <c r="H87" s="209"/>
      <c r="I87" s="213"/>
      <c r="J87" s="212"/>
      <c r="K87" s="686"/>
      <c r="L87" s="317"/>
      <c r="M87" s="317"/>
      <c r="N87" s="317"/>
      <c r="O87" s="317"/>
      <c r="P87" s="317"/>
      <c r="Q87" s="317"/>
      <c r="R87" s="317"/>
      <c r="S87" s="317"/>
      <c r="T87" s="317"/>
      <c r="U87" s="317"/>
      <c r="V87" s="317"/>
      <c r="W87" s="317"/>
      <c r="X87" s="317"/>
      <c r="Y87" s="317"/>
      <c r="Z87" s="317"/>
      <c r="AA87" s="317"/>
      <c r="AB87" s="317"/>
      <c r="AC87" s="317"/>
      <c r="AD87" s="317"/>
      <c r="AE87" s="317"/>
    </row>
    <row r="88" spans="1:35">
      <c r="A88" s="37" t="s">
        <v>41</v>
      </c>
      <c r="B88" s="37"/>
      <c r="C88" s="110"/>
      <c r="D88" s="106"/>
      <c r="E88" s="57"/>
      <c r="F88" s="57"/>
      <c r="G88" s="57"/>
      <c r="H88" s="57"/>
      <c r="I88" s="51"/>
      <c r="J88" s="663"/>
      <c r="K88" s="683">
        <f>K$84*$J88*R$9</f>
        <v>0</v>
      </c>
      <c r="L88" s="666">
        <v>25000</v>
      </c>
      <c r="M88" s="666">
        <f>$L$88*L11</f>
        <v>25500</v>
      </c>
      <c r="N88" s="666">
        <f t="shared" ref="N88:P88" si="14">$L$88*M11</f>
        <v>26010</v>
      </c>
      <c r="O88" s="666">
        <f t="shared" si="14"/>
        <v>26530.199999999997</v>
      </c>
      <c r="P88" s="666">
        <f t="shared" si="14"/>
        <v>27060.804</v>
      </c>
      <c r="Q88" s="666">
        <f t="shared" ref="Q88" si="15">$L$88*P11</f>
        <v>27602.020080000002</v>
      </c>
      <c r="R88" s="666">
        <f t="shared" ref="R88" si="16">$L$88*Q11</f>
        <v>28154.060481600001</v>
      </c>
      <c r="S88" s="666">
        <f t="shared" ref="S88" si="17">$L$88*R11</f>
        <v>28717.141691232002</v>
      </c>
      <c r="T88" s="666">
        <f t="shared" ref="T88" si="18">$L$88*S11</f>
        <v>29291.484525056643</v>
      </c>
      <c r="U88" s="666">
        <f t="shared" ref="U88" si="19">$L$88*T11</f>
        <v>29877.314215557777</v>
      </c>
      <c r="V88" s="666">
        <f t="shared" ref="V88" si="20">$L$88*U11</f>
        <v>30474.860499868933</v>
      </c>
      <c r="W88" s="666">
        <f t="shared" ref="W88" si="21">$L$88*V11</f>
        <v>31084.357709866312</v>
      </c>
      <c r="X88" s="666">
        <f t="shared" ref="X88" si="22">$L$88*W11</f>
        <v>31706.044864063639</v>
      </c>
      <c r="Y88" s="666">
        <f t="shared" ref="Y88" si="23">$L$88*X11</f>
        <v>32340.165761344906</v>
      </c>
      <c r="Z88" s="666">
        <f t="shared" ref="Z88" si="24">$L$88*Y11</f>
        <v>32986.969076571811</v>
      </c>
      <c r="AA88" s="666">
        <f t="shared" ref="AA88" si="25">$L$88*Z11</f>
        <v>33646.708458103247</v>
      </c>
      <c r="AB88" s="666">
        <f t="shared" ref="AB88" si="26">$L$88*AA11</f>
        <v>34319.642627265312</v>
      </c>
      <c r="AC88" s="666">
        <f t="shared" ref="AC88" si="27">$L$88*AB11</f>
        <v>35006.03547981062</v>
      </c>
      <c r="AD88" s="666">
        <f t="shared" ref="AD88" si="28">$L$88*AC11</f>
        <v>35706.156189406836</v>
      </c>
      <c r="AE88" s="666">
        <f t="shared" ref="AE88" si="29">$L$88*AD11</f>
        <v>36420.279313194973</v>
      </c>
    </row>
    <row r="89" spans="1:35">
      <c r="A89" s="37" t="s">
        <v>424</v>
      </c>
      <c r="B89" s="37"/>
      <c r="C89" s="110"/>
      <c r="D89" s="106"/>
      <c r="E89" s="57"/>
      <c r="F89" s="57"/>
      <c r="G89" s="57"/>
      <c r="H89" s="57"/>
      <c r="I89" s="51"/>
      <c r="J89" s="663"/>
      <c r="K89" s="683">
        <f>K$84*$J89*R$9</f>
        <v>0</v>
      </c>
      <c r="L89" s="666">
        <v>10000</v>
      </c>
      <c r="M89" s="666">
        <v>500</v>
      </c>
      <c r="N89" s="666">
        <f>$M$89*M11</f>
        <v>520.20000000000005</v>
      </c>
      <c r="O89" s="666">
        <f>$M$89*N11</f>
        <v>530.60399999999993</v>
      </c>
      <c r="P89" s="666">
        <f>$M$89*O11</f>
        <v>541.21608000000003</v>
      </c>
      <c r="Q89" s="666">
        <v>5000</v>
      </c>
      <c r="R89" s="666">
        <f>$M$89*Q11</f>
        <v>563.08120963200008</v>
      </c>
      <c r="S89" s="666">
        <f>$M$89*R11</f>
        <v>574.34283382464002</v>
      </c>
      <c r="T89" s="666">
        <f>$M$89*S11</f>
        <v>585.82969050113286</v>
      </c>
      <c r="U89" s="666">
        <f>$M$89*T11</f>
        <v>597.54628431115555</v>
      </c>
      <c r="V89" s="666">
        <v>5000</v>
      </c>
      <c r="W89" s="666">
        <f>$M$89*V11</f>
        <v>621.68715419732621</v>
      </c>
      <c r="X89" s="666">
        <f>$M$89*W11</f>
        <v>634.12089728127273</v>
      </c>
      <c r="Y89" s="666">
        <f>$M$89*X11</f>
        <v>646.80331522689812</v>
      </c>
      <c r="Z89" s="666">
        <f>$M$89*Y11</f>
        <v>659.73938153143615</v>
      </c>
      <c r="AA89" s="666">
        <v>5000</v>
      </c>
      <c r="AB89" s="666">
        <f>$M$89*AA11</f>
        <v>686.39285254530625</v>
      </c>
      <c r="AC89" s="666">
        <f>$M$89*AB11</f>
        <v>700.12070959621246</v>
      </c>
      <c r="AD89" s="666">
        <f>$M$89*AC11</f>
        <v>714.1231237881367</v>
      </c>
      <c r="AE89" s="666">
        <f>$M$89*AD11</f>
        <v>728.40558626389941</v>
      </c>
    </row>
    <row r="90" spans="1:35">
      <c r="A90" s="37" t="s">
        <v>42</v>
      </c>
      <c r="B90" s="37"/>
      <c r="C90" s="110"/>
      <c r="D90" s="106"/>
      <c r="E90" s="57"/>
      <c r="F90" s="57"/>
      <c r="G90" s="57"/>
      <c r="H90" s="57"/>
      <c r="I90" s="51"/>
      <c r="J90" s="663"/>
      <c r="K90" s="683">
        <f>K$84*$J90*R$9</f>
        <v>0</v>
      </c>
      <c r="L90" s="666">
        <v>50000</v>
      </c>
      <c r="M90" s="666">
        <f t="shared" ref="M90:AE90" si="30">($L$90*L11)</f>
        <v>51000</v>
      </c>
      <c r="N90" s="666">
        <f t="shared" si="30"/>
        <v>52020</v>
      </c>
      <c r="O90" s="666">
        <f t="shared" si="30"/>
        <v>53060.399999999994</v>
      </c>
      <c r="P90" s="666">
        <f t="shared" si="30"/>
        <v>54121.608</v>
      </c>
      <c r="Q90" s="666">
        <f t="shared" si="30"/>
        <v>55204.040160000004</v>
      </c>
      <c r="R90" s="666">
        <f t="shared" si="30"/>
        <v>56308.120963200003</v>
      </c>
      <c r="S90" s="666">
        <f t="shared" si="30"/>
        <v>57434.283382464004</v>
      </c>
      <c r="T90" s="666">
        <f t="shared" si="30"/>
        <v>58582.969050113286</v>
      </c>
      <c r="U90" s="666">
        <f t="shared" si="30"/>
        <v>59754.628431115554</v>
      </c>
      <c r="V90" s="666">
        <f t="shared" si="30"/>
        <v>60949.720999737867</v>
      </c>
      <c r="W90" s="666">
        <f t="shared" si="30"/>
        <v>62168.715419732624</v>
      </c>
      <c r="X90" s="666">
        <f t="shared" si="30"/>
        <v>63412.089728127277</v>
      </c>
      <c r="Y90" s="666">
        <f t="shared" si="30"/>
        <v>64680.331522689812</v>
      </c>
      <c r="Z90" s="666">
        <f t="shared" si="30"/>
        <v>65973.938153143623</v>
      </c>
      <c r="AA90" s="666">
        <f t="shared" si="30"/>
        <v>67293.416916206494</v>
      </c>
      <c r="AB90" s="666">
        <f t="shared" si="30"/>
        <v>68639.285254530623</v>
      </c>
      <c r="AC90" s="666">
        <f t="shared" si="30"/>
        <v>70012.07095962124</v>
      </c>
      <c r="AD90" s="666">
        <f t="shared" si="30"/>
        <v>71412.312378813673</v>
      </c>
      <c r="AE90" s="666">
        <f t="shared" si="30"/>
        <v>72840.558626389946</v>
      </c>
    </row>
    <row r="91" spans="1:35">
      <c r="A91" s="37" t="s">
        <v>43</v>
      </c>
      <c r="B91" s="37"/>
      <c r="C91" s="110"/>
      <c r="D91" s="106"/>
      <c r="E91" s="57"/>
      <c r="F91" s="57"/>
      <c r="G91" s="57"/>
      <c r="H91" s="57"/>
      <c r="I91" s="51" t="s">
        <v>8</v>
      </c>
      <c r="J91" s="663">
        <v>500</v>
      </c>
      <c r="K91" s="683">
        <v>0</v>
      </c>
      <c r="L91" s="666">
        <f>J91*L84</f>
        <v>500</v>
      </c>
      <c r="M91" s="666">
        <f t="shared" ref="M91:AE91" si="31">$J$91*M84*L11</f>
        <v>2040</v>
      </c>
      <c r="N91" s="666">
        <f t="shared" si="31"/>
        <v>2080.8000000000002</v>
      </c>
      <c r="O91" s="666">
        <f t="shared" si="31"/>
        <v>2122.4159999999997</v>
      </c>
      <c r="P91" s="666">
        <f t="shared" si="31"/>
        <v>2164.8643200000001</v>
      </c>
      <c r="Q91" s="666">
        <f t="shared" si="31"/>
        <v>2208.1616064</v>
      </c>
      <c r="R91" s="666">
        <f t="shared" si="31"/>
        <v>2252.3248385280003</v>
      </c>
      <c r="S91" s="666">
        <f t="shared" si="31"/>
        <v>2297.3713352985601</v>
      </c>
      <c r="T91" s="666">
        <f t="shared" si="31"/>
        <v>2343.3187620045314</v>
      </c>
      <c r="U91" s="666">
        <f t="shared" si="31"/>
        <v>2390.1851372446222</v>
      </c>
      <c r="V91" s="666">
        <f t="shared" si="31"/>
        <v>2437.9888399895149</v>
      </c>
      <c r="W91" s="666">
        <f t="shared" si="31"/>
        <v>2486.7486167893048</v>
      </c>
      <c r="X91" s="666">
        <f t="shared" si="31"/>
        <v>2536.4835891250909</v>
      </c>
      <c r="Y91" s="666">
        <f t="shared" si="31"/>
        <v>2587.2132609075925</v>
      </c>
      <c r="Z91" s="666">
        <f t="shared" si="31"/>
        <v>2638.9575261257446</v>
      </c>
      <c r="AA91" s="666">
        <f t="shared" si="31"/>
        <v>2691.7366766482596</v>
      </c>
      <c r="AB91" s="666">
        <f t="shared" si="31"/>
        <v>2745.571410181225</v>
      </c>
      <c r="AC91" s="666">
        <f t="shared" si="31"/>
        <v>2800.4828383848499</v>
      </c>
      <c r="AD91" s="666">
        <f t="shared" si="31"/>
        <v>2856.4924951525468</v>
      </c>
      <c r="AE91" s="666">
        <f t="shared" si="31"/>
        <v>2913.6223450555976</v>
      </c>
    </row>
    <row r="92" spans="1:35">
      <c r="A92" s="37" t="s">
        <v>44</v>
      </c>
      <c r="B92" s="37"/>
      <c r="C92" s="110"/>
      <c r="D92" s="106"/>
      <c r="E92" s="57"/>
      <c r="F92" s="57"/>
      <c r="G92" s="57"/>
      <c r="H92" s="57"/>
      <c r="I92" s="51" t="s">
        <v>8</v>
      </c>
      <c r="J92" s="663">
        <v>250</v>
      </c>
      <c r="K92" s="683">
        <v>0</v>
      </c>
      <c r="L92" s="666">
        <f>J92*L84</f>
        <v>250</v>
      </c>
      <c r="M92" s="666">
        <f t="shared" ref="M92:AE92" si="32">$J$92*M84*L11</f>
        <v>1020</v>
      </c>
      <c r="N92" s="666">
        <f t="shared" si="32"/>
        <v>1040.4000000000001</v>
      </c>
      <c r="O92" s="666">
        <f t="shared" si="32"/>
        <v>1061.2079999999999</v>
      </c>
      <c r="P92" s="666">
        <f t="shared" si="32"/>
        <v>1082.4321600000001</v>
      </c>
      <c r="Q92" s="666">
        <f t="shared" si="32"/>
        <v>1104.0808032</v>
      </c>
      <c r="R92" s="666">
        <f t="shared" si="32"/>
        <v>1126.1624192640002</v>
      </c>
      <c r="S92" s="666">
        <f t="shared" si="32"/>
        <v>1148.68566764928</v>
      </c>
      <c r="T92" s="666">
        <f t="shared" si="32"/>
        <v>1171.6593810022657</v>
      </c>
      <c r="U92" s="666">
        <f t="shared" si="32"/>
        <v>1195.0925686223111</v>
      </c>
      <c r="V92" s="666">
        <f t="shared" si="32"/>
        <v>1218.9944199947574</v>
      </c>
      <c r="W92" s="666">
        <f t="shared" si="32"/>
        <v>1243.3743083946524</v>
      </c>
      <c r="X92" s="666">
        <f t="shared" si="32"/>
        <v>1268.2417945625455</v>
      </c>
      <c r="Y92" s="666">
        <f t="shared" si="32"/>
        <v>1293.6066304537962</v>
      </c>
      <c r="Z92" s="666">
        <f t="shared" si="32"/>
        <v>1319.4787630628723</v>
      </c>
      <c r="AA92" s="666">
        <f t="shared" si="32"/>
        <v>1345.8683383241298</v>
      </c>
      <c r="AB92" s="666">
        <f t="shared" si="32"/>
        <v>1372.7857050906125</v>
      </c>
      <c r="AC92" s="666">
        <f t="shared" si="32"/>
        <v>1400.2414191924249</v>
      </c>
      <c r="AD92" s="666">
        <f t="shared" si="32"/>
        <v>1428.2462475762734</v>
      </c>
      <c r="AE92" s="666">
        <f t="shared" si="32"/>
        <v>1456.8111725277988</v>
      </c>
      <c r="AF92" s="44"/>
    </row>
    <row r="93" spans="1:35">
      <c r="A93" s="745" t="s">
        <v>2</v>
      </c>
      <c r="B93" s="745"/>
      <c r="C93" s="753"/>
      <c r="D93" s="754"/>
      <c r="E93" s="746"/>
      <c r="F93" s="746"/>
      <c r="G93" s="746"/>
      <c r="H93" s="746"/>
      <c r="I93" s="755"/>
      <c r="J93" s="739"/>
      <c r="K93" s="741">
        <v>0</v>
      </c>
      <c r="L93" s="742">
        <v>1000</v>
      </c>
      <c r="M93" s="742">
        <f t="shared" ref="M93:AE93" si="33">($L$93*L11)</f>
        <v>1020</v>
      </c>
      <c r="N93" s="742">
        <f t="shared" si="33"/>
        <v>1040.4000000000001</v>
      </c>
      <c r="O93" s="742">
        <f t="shared" si="33"/>
        <v>1061.2079999999999</v>
      </c>
      <c r="P93" s="742">
        <f t="shared" si="33"/>
        <v>1082.4321600000001</v>
      </c>
      <c r="Q93" s="742">
        <f t="shared" si="33"/>
        <v>1104.0808032</v>
      </c>
      <c r="R93" s="742">
        <f t="shared" si="33"/>
        <v>1126.1624192640002</v>
      </c>
      <c r="S93" s="742">
        <f t="shared" si="33"/>
        <v>1148.68566764928</v>
      </c>
      <c r="T93" s="742">
        <f t="shared" si="33"/>
        <v>1171.6593810022657</v>
      </c>
      <c r="U93" s="742">
        <f t="shared" si="33"/>
        <v>1195.0925686223111</v>
      </c>
      <c r="V93" s="742">
        <f t="shared" si="33"/>
        <v>1218.9944199947574</v>
      </c>
      <c r="W93" s="742">
        <f t="shared" si="33"/>
        <v>1243.3743083946524</v>
      </c>
      <c r="X93" s="742">
        <f t="shared" si="33"/>
        <v>1268.2417945625455</v>
      </c>
      <c r="Y93" s="742">
        <f t="shared" si="33"/>
        <v>1293.6066304537962</v>
      </c>
      <c r="Z93" s="742">
        <f t="shared" si="33"/>
        <v>1319.4787630628723</v>
      </c>
      <c r="AA93" s="742">
        <f t="shared" si="33"/>
        <v>1345.8683383241298</v>
      </c>
      <c r="AB93" s="742">
        <f t="shared" si="33"/>
        <v>1372.7857050906125</v>
      </c>
      <c r="AC93" s="742">
        <f t="shared" si="33"/>
        <v>1400.2414191924249</v>
      </c>
      <c r="AD93" s="742">
        <f t="shared" si="33"/>
        <v>1428.2462475762734</v>
      </c>
      <c r="AE93" s="742">
        <f t="shared" si="33"/>
        <v>1456.8111725277988</v>
      </c>
    </row>
    <row r="94" spans="1:35" s="56" customFormat="1" ht="14.25">
      <c r="A94" s="164" t="s">
        <v>409</v>
      </c>
      <c r="B94" s="215"/>
      <c r="C94" s="216"/>
      <c r="D94" s="217"/>
      <c r="E94" s="218"/>
      <c r="F94" s="218"/>
      <c r="G94" s="218"/>
      <c r="H94" s="218"/>
      <c r="I94" s="219"/>
      <c r="J94" s="756"/>
      <c r="K94" s="687">
        <f>SUM(K88:K93)</f>
        <v>0</v>
      </c>
      <c r="L94" s="757">
        <f>SUM(L88:L93)</f>
        <v>86750</v>
      </c>
      <c r="M94" s="757">
        <f t="shared" ref="M94:AE94" si="34">SUM(M88:M93)</f>
        <v>81080</v>
      </c>
      <c r="N94" s="757">
        <f t="shared" si="34"/>
        <v>82711.799999999988</v>
      </c>
      <c r="O94" s="757">
        <f t="shared" si="34"/>
        <v>84366.035999999993</v>
      </c>
      <c r="P94" s="757">
        <f t="shared" si="34"/>
        <v>86053.356719999982</v>
      </c>
      <c r="Q94" s="757">
        <f t="shared" si="34"/>
        <v>92222.383452800015</v>
      </c>
      <c r="R94" s="757">
        <f t="shared" si="34"/>
        <v>89529.912331488013</v>
      </c>
      <c r="S94" s="757">
        <f t="shared" si="34"/>
        <v>91320.510578117755</v>
      </c>
      <c r="T94" s="757">
        <f t="shared" si="34"/>
        <v>93146.920789680124</v>
      </c>
      <c r="U94" s="757">
        <f t="shared" si="34"/>
        <v>95009.859205473724</v>
      </c>
      <c r="V94" s="757">
        <f t="shared" si="34"/>
        <v>101300.55917958585</v>
      </c>
      <c r="W94" s="757">
        <f t="shared" si="34"/>
        <v>98848.257517374863</v>
      </c>
      <c r="X94" s="757">
        <f t="shared" si="34"/>
        <v>100825.22266772237</v>
      </c>
      <c r="Y94" s="757">
        <f t="shared" si="34"/>
        <v>102841.72712107681</v>
      </c>
      <c r="Z94" s="757">
        <f t="shared" si="34"/>
        <v>104898.56166349835</v>
      </c>
      <c r="AA94" s="757">
        <f t="shared" si="34"/>
        <v>111323.59872760627</v>
      </c>
      <c r="AB94" s="757">
        <f t="shared" si="34"/>
        <v>109136.4635547037</v>
      </c>
      <c r="AC94" s="757">
        <f t="shared" si="34"/>
        <v>111319.19282579776</v>
      </c>
      <c r="AD94" s="757">
        <f t="shared" si="34"/>
        <v>113545.57668231374</v>
      </c>
      <c r="AE94" s="757">
        <f t="shared" si="34"/>
        <v>115816.48821596001</v>
      </c>
    </row>
    <row r="95" spans="1:35" s="56" customFormat="1" ht="14.25">
      <c r="A95" s="164"/>
      <c r="B95" s="215"/>
      <c r="C95" s="216"/>
      <c r="D95" s="217"/>
      <c r="E95" s="218"/>
      <c r="F95" s="218"/>
      <c r="G95" s="218"/>
      <c r="H95" s="218"/>
      <c r="I95" s="219"/>
      <c r="J95" s="220"/>
      <c r="K95" s="687"/>
      <c r="L95" s="318"/>
      <c r="M95" s="318"/>
      <c r="N95" s="318"/>
      <c r="O95" s="318"/>
      <c r="P95" s="318"/>
      <c r="Q95" s="318"/>
      <c r="R95" s="318"/>
      <c r="S95" s="318"/>
      <c r="T95" s="318"/>
      <c r="U95" s="318"/>
      <c r="V95" s="318"/>
      <c r="W95" s="318"/>
      <c r="X95" s="318"/>
      <c r="Y95" s="318"/>
      <c r="Z95" s="318"/>
      <c r="AA95" s="318"/>
      <c r="AB95" s="318"/>
      <c r="AC95" s="318"/>
      <c r="AD95" s="318"/>
      <c r="AE95" s="318"/>
    </row>
    <row r="96" spans="1:35" s="56" customFormat="1" ht="14.25">
      <c r="A96" s="720" t="s">
        <v>26</v>
      </c>
      <c r="B96" s="215"/>
      <c r="C96" s="218"/>
      <c r="D96" s="721"/>
      <c r="E96" s="218"/>
      <c r="F96" s="218"/>
      <c r="G96" s="218"/>
      <c r="H96" s="218"/>
      <c r="I96" s="722"/>
      <c r="J96" s="220"/>
      <c r="K96" s="687"/>
      <c r="L96" s="318"/>
      <c r="M96" s="318"/>
      <c r="N96" s="318"/>
      <c r="O96" s="318"/>
      <c r="P96" s="318"/>
      <c r="Q96" s="318"/>
      <c r="R96" s="318"/>
      <c r="S96" s="318"/>
      <c r="T96" s="318"/>
      <c r="U96" s="318"/>
      <c r="V96" s="318"/>
      <c r="W96" s="318"/>
      <c r="X96" s="318"/>
      <c r="Y96" s="318"/>
      <c r="Z96" s="318"/>
      <c r="AA96" s="318"/>
      <c r="AB96" s="318"/>
      <c r="AC96" s="318"/>
      <c r="AD96" s="318"/>
      <c r="AE96" s="318"/>
      <c r="AF96" s="723"/>
      <c r="AG96" s="723"/>
      <c r="AH96" s="723"/>
      <c r="AI96" s="723"/>
    </row>
    <row r="97" spans="1:35">
      <c r="A97" s="190" t="s">
        <v>41</v>
      </c>
      <c r="B97" s="190"/>
      <c r="C97" s="194"/>
      <c r="D97" s="758"/>
      <c r="E97" s="194"/>
      <c r="F97" s="194"/>
      <c r="G97" s="759"/>
      <c r="H97" s="759"/>
      <c r="I97" s="760"/>
      <c r="J97" s="761"/>
      <c r="K97" s="689">
        <v>0</v>
      </c>
      <c r="L97" s="665">
        <v>1000</v>
      </c>
      <c r="M97" s="665">
        <f>$L$97*L11</f>
        <v>1020</v>
      </c>
      <c r="N97" s="665">
        <f t="shared" ref="N97:P97" si="35">$L$97*M11</f>
        <v>1040.4000000000001</v>
      </c>
      <c r="O97" s="665">
        <f t="shared" si="35"/>
        <v>1061.2079999999999</v>
      </c>
      <c r="P97" s="665">
        <f t="shared" si="35"/>
        <v>1082.4321600000001</v>
      </c>
      <c r="Q97" s="665">
        <v>25000</v>
      </c>
      <c r="R97" s="665">
        <f>$Q$97*L11</f>
        <v>25500</v>
      </c>
      <c r="S97" s="665">
        <f t="shared" ref="S97:AE97" si="36">$Q$97*M11</f>
        <v>26010</v>
      </c>
      <c r="T97" s="665">
        <f t="shared" si="36"/>
        <v>26530.199999999997</v>
      </c>
      <c r="U97" s="665">
        <f t="shared" si="36"/>
        <v>27060.804</v>
      </c>
      <c r="V97" s="665">
        <f t="shared" si="36"/>
        <v>27602.020080000002</v>
      </c>
      <c r="W97" s="665">
        <f t="shared" si="36"/>
        <v>28154.060481600001</v>
      </c>
      <c r="X97" s="665">
        <f t="shared" si="36"/>
        <v>28717.141691232002</v>
      </c>
      <c r="Y97" s="665">
        <f t="shared" si="36"/>
        <v>29291.484525056643</v>
      </c>
      <c r="Z97" s="665">
        <f t="shared" si="36"/>
        <v>29877.314215557777</v>
      </c>
      <c r="AA97" s="665">
        <f t="shared" si="36"/>
        <v>30474.860499868933</v>
      </c>
      <c r="AB97" s="665">
        <f t="shared" si="36"/>
        <v>31084.357709866312</v>
      </c>
      <c r="AC97" s="665">
        <f t="shared" si="36"/>
        <v>31706.044864063639</v>
      </c>
      <c r="AD97" s="665">
        <f t="shared" si="36"/>
        <v>32340.165761344906</v>
      </c>
      <c r="AE97" s="665">
        <f t="shared" si="36"/>
        <v>32986.969076571811</v>
      </c>
      <c r="AF97" s="55"/>
      <c r="AG97" s="55"/>
      <c r="AH97" s="55"/>
      <c r="AI97" s="55"/>
    </row>
    <row r="98" spans="1:35">
      <c r="A98" s="745" t="s">
        <v>302</v>
      </c>
      <c r="B98" s="745"/>
      <c r="C98" s="746"/>
      <c r="D98" s="116"/>
      <c r="E98" s="746"/>
      <c r="F98" s="746"/>
      <c r="G98" s="753"/>
      <c r="H98" s="753"/>
      <c r="I98" s="755"/>
      <c r="J98" s="762"/>
      <c r="K98" s="741">
        <v>0</v>
      </c>
      <c r="L98" s="742">
        <f>'Shuttle Projections'!C28/2</f>
        <v>233675</v>
      </c>
      <c r="M98" s="742">
        <f>'Shuttle Projections'!D28</f>
        <v>476697</v>
      </c>
      <c r="N98" s="742">
        <f>'Shuttle Projections'!E28</f>
        <v>486230.94000000006</v>
      </c>
      <c r="O98" s="742">
        <f>'Shuttle Projections'!F28</f>
        <v>495955.55879999994</v>
      </c>
      <c r="P98" s="742">
        <f>'Shuttle Projections'!G28</f>
        <v>505874.66997599998</v>
      </c>
      <c r="Q98" s="742">
        <f>'Shuttle Projections'!H28</f>
        <v>515992.16337552003</v>
      </c>
      <c r="R98" s="742">
        <f>'Shuttle Projections'!I28</f>
        <v>526312.00664303044</v>
      </c>
      <c r="S98" s="742">
        <f>'Shuttle Projections'!J28</f>
        <v>536838.24677589093</v>
      </c>
      <c r="T98" s="742">
        <f>'Shuttle Projections'!K28</f>
        <v>547575.01171140897</v>
      </c>
      <c r="U98" s="742">
        <f>'Shuttle Projections'!L28</f>
        <v>558526.51194563706</v>
      </c>
      <c r="V98" s="742">
        <f>'Shuttle Projections'!M28</f>
        <v>569697.04218454985</v>
      </c>
      <c r="W98" s="742">
        <f>'Shuttle Projections'!N28</f>
        <v>581090.98302824085</v>
      </c>
      <c r="X98" s="742">
        <f>'Shuttle Projections'!O28</f>
        <v>592712.80268880562</v>
      </c>
      <c r="Y98" s="742">
        <f>'Shuttle Projections'!P28</f>
        <v>604567.05874258175</v>
      </c>
      <c r="Z98" s="742">
        <f>'Shuttle Projections'!Q28</f>
        <v>616658.39991743339</v>
      </c>
      <c r="AA98" s="742">
        <f>'Shuttle Projections'!R28</f>
        <v>628991.5679157821</v>
      </c>
      <c r="AB98" s="742">
        <f>'Shuttle Projections'!S28</f>
        <v>641571.39927409776</v>
      </c>
      <c r="AC98" s="742">
        <f>'Shuttle Projections'!T28</f>
        <v>654402.82725957979</v>
      </c>
      <c r="AD98" s="742">
        <f>'Shuttle Projections'!U28</f>
        <v>667490.88380477135</v>
      </c>
      <c r="AE98" s="742">
        <f>'Shuttle Projections'!V28</f>
        <v>680840.70148086676</v>
      </c>
    </row>
    <row r="99" spans="1:35" s="56" customFormat="1" ht="14.25">
      <c r="A99" s="164" t="s">
        <v>410</v>
      </c>
      <c r="B99" s="164"/>
      <c r="C99" s="75"/>
      <c r="D99" s="173"/>
      <c r="E99" s="75"/>
      <c r="F99" s="75"/>
      <c r="G99" s="75"/>
      <c r="H99" s="75"/>
      <c r="I99" s="174"/>
      <c r="J99" s="175"/>
      <c r="K99" s="685">
        <v>0</v>
      </c>
      <c r="L99" s="669">
        <f>SUM(L97:L98)</f>
        <v>234675</v>
      </c>
      <c r="M99" s="669">
        <f t="shared" ref="M99:AE99" si="37">SUM(M97:M98)</f>
        <v>477717</v>
      </c>
      <c r="N99" s="669">
        <f t="shared" si="37"/>
        <v>487271.34000000008</v>
      </c>
      <c r="O99" s="669">
        <f t="shared" si="37"/>
        <v>497016.76679999992</v>
      </c>
      <c r="P99" s="669">
        <f t="shared" si="37"/>
        <v>506957.102136</v>
      </c>
      <c r="Q99" s="669">
        <f t="shared" si="37"/>
        <v>540992.16337552003</v>
      </c>
      <c r="R99" s="669">
        <f t="shared" si="37"/>
        <v>551812.00664303044</v>
      </c>
      <c r="S99" s="669">
        <f t="shared" si="37"/>
        <v>562848.24677589093</v>
      </c>
      <c r="T99" s="669">
        <f t="shared" si="37"/>
        <v>574105.21171140892</v>
      </c>
      <c r="U99" s="669">
        <f t="shared" si="37"/>
        <v>585587.31594563706</v>
      </c>
      <c r="V99" s="669">
        <f t="shared" si="37"/>
        <v>597299.0622645499</v>
      </c>
      <c r="W99" s="669">
        <f t="shared" si="37"/>
        <v>609245.04350984085</v>
      </c>
      <c r="X99" s="669">
        <f t="shared" si="37"/>
        <v>621429.9443800376</v>
      </c>
      <c r="Y99" s="669">
        <f t="shared" si="37"/>
        <v>633858.54326763842</v>
      </c>
      <c r="Z99" s="669">
        <f t="shared" si="37"/>
        <v>646535.71413299115</v>
      </c>
      <c r="AA99" s="669">
        <f t="shared" si="37"/>
        <v>659466.42841565108</v>
      </c>
      <c r="AB99" s="669">
        <f t="shared" si="37"/>
        <v>672655.75698396412</v>
      </c>
      <c r="AC99" s="669">
        <f t="shared" si="37"/>
        <v>686108.87212364341</v>
      </c>
      <c r="AD99" s="669">
        <f t="shared" si="37"/>
        <v>699831.0495661163</v>
      </c>
      <c r="AE99" s="669">
        <f t="shared" si="37"/>
        <v>713827.67055743863</v>
      </c>
    </row>
    <row r="100" spans="1:35" s="56" customFormat="1" ht="14.25">
      <c r="A100" s="164"/>
      <c r="B100" s="164"/>
      <c r="C100" s="75"/>
      <c r="D100" s="173"/>
      <c r="E100" s="75"/>
      <c r="F100" s="75"/>
      <c r="G100" s="75"/>
      <c r="H100" s="75"/>
      <c r="I100" s="174"/>
      <c r="J100" s="175"/>
      <c r="K100" s="685"/>
      <c r="L100" s="669"/>
      <c r="M100" s="669"/>
      <c r="N100" s="669"/>
      <c r="O100" s="669"/>
      <c r="P100" s="669"/>
      <c r="Q100" s="669"/>
      <c r="R100" s="669"/>
      <c r="S100" s="669"/>
      <c r="T100" s="669"/>
      <c r="U100" s="669"/>
      <c r="V100" s="669"/>
      <c r="W100" s="669"/>
      <c r="X100" s="669"/>
      <c r="Y100" s="669"/>
      <c r="Z100" s="669"/>
      <c r="AA100" s="669"/>
      <c r="AB100" s="669"/>
      <c r="AC100" s="669"/>
      <c r="AD100" s="669"/>
      <c r="AE100" s="669"/>
    </row>
    <row r="101" spans="1:35" s="56" customFormat="1" ht="14.25">
      <c r="A101" s="164" t="s">
        <v>78</v>
      </c>
      <c r="B101" s="164"/>
      <c r="C101" s="75"/>
      <c r="D101" s="173"/>
      <c r="E101" s="75"/>
      <c r="F101" s="75"/>
      <c r="G101" s="75"/>
      <c r="H101" s="75"/>
      <c r="I101" s="174"/>
      <c r="J101" s="175"/>
      <c r="K101" s="685">
        <v>0</v>
      </c>
      <c r="L101" s="669">
        <f>SUM(L94,L99)</f>
        <v>321425</v>
      </c>
      <c r="M101" s="669">
        <f t="shared" ref="M101:AE101" si="38">SUM(M94,M99)</f>
        <v>558797</v>
      </c>
      <c r="N101" s="669">
        <f t="shared" si="38"/>
        <v>569983.14000000013</v>
      </c>
      <c r="O101" s="669">
        <f t="shared" si="38"/>
        <v>581382.80279999995</v>
      </c>
      <c r="P101" s="669">
        <f t="shared" si="38"/>
        <v>593010.45885599998</v>
      </c>
      <c r="Q101" s="669">
        <f t="shared" si="38"/>
        <v>633214.54682832002</v>
      </c>
      <c r="R101" s="669">
        <f t="shared" si="38"/>
        <v>641341.91897451843</v>
      </c>
      <c r="S101" s="669">
        <f t="shared" si="38"/>
        <v>654168.75735400873</v>
      </c>
      <c r="T101" s="669">
        <f t="shared" si="38"/>
        <v>667252.13250108901</v>
      </c>
      <c r="U101" s="669">
        <f t="shared" si="38"/>
        <v>680597.17515111074</v>
      </c>
      <c r="V101" s="669">
        <f t="shared" si="38"/>
        <v>698599.62144413579</v>
      </c>
      <c r="W101" s="669">
        <f t="shared" si="38"/>
        <v>708093.30102721567</v>
      </c>
      <c r="X101" s="669">
        <f t="shared" si="38"/>
        <v>722255.16704775998</v>
      </c>
      <c r="Y101" s="669">
        <f t="shared" si="38"/>
        <v>736700.2703887152</v>
      </c>
      <c r="Z101" s="669">
        <f t="shared" si="38"/>
        <v>751434.27579648956</v>
      </c>
      <c r="AA101" s="669">
        <f t="shared" si="38"/>
        <v>770790.02714325732</v>
      </c>
      <c r="AB101" s="669">
        <f t="shared" si="38"/>
        <v>781792.22053866787</v>
      </c>
      <c r="AC101" s="669">
        <f t="shared" si="38"/>
        <v>797428.06494944112</v>
      </c>
      <c r="AD101" s="669">
        <f t="shared" si="38"/>
        <v>813376.62624843</v>
      </c>
      <c r="AE101" s="669">
        <f t="shared" si="38"/>
        <v>829644.15877339861</v>
      </c>
    </row>
    <row r="102" spans="1:35">
      <c r="A102" s="47"/>
      <c r="B102" s="47"/>
      <c r="C102" s="78"/>
      <c r="D102" s="100"/>
      <c r="E102" s="78"/>
      <c r="F102" s="78"/>
      <c r="G102" s="78"/>
      <c r="H102" s="78"/>
      <c r="I102" s="52"/>
      <c r="J102" s="114"/>
      <c r="K102" s="683"/>
      <c r="L102" s="115"/>
      <c r="M102" s="115"/>
      <c r="N102" s="115"/>
      <c r="O102" s="115"/>
      <c r="P102" s="115"/>
      <c r="Q102" s="115"/>
      <c r="R102" s="115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</row>
    <row r="103" spans="1:35">
      <c r="A103" s="168" t="s">
        <v>25</v>
      </c>
      <c r="B103" s="168"/>
      <c r="C103" s="176"/>
      <c r="D103" s="177"/>
      <c r="E103" s="176"/>
      <c r="F103" s="176"/>
      <c r="G103" s="176"/>
      <c r="H103" s="176"/>
      <c r="I103" s="178"/>
      <c r="J103" s="179"/>
      <c r="K103" s="682"/>
      <c r="L103" s="319"/>
      <c r="M103" s="319"/>
      <c r="N103" s="319"/>
      <c r="O103" s="319"/>
      <c r="P103" s="319"/>
      <c r="Q103" s="319"/>
      <c r="R103" s="319"/>
      <c r="S103" s="319"/>
      <c r="T103" s="319"/>
      <c r="U103" s="319"/>
      <c r="V103" s="319"/>
      <c r="W103" s="319"/>
      <c r="X103" s="319"/>
      <c r="Y103" s="319"/>
      <c r="Z103" s="319"/>
      <c r="AA103" s="319"/>
      <c r="AB103" s="319"/>
      <c r="AC103" s="319"/>
      <c r="AD103" s="319"/>
      <c r="AE103" s="319"/>
    </row>
    <row r="104" spans="1:35" s="252" customFormat="1">
      <c r="A104" s="183"/>
      <c r="B104" s="183"/>
      <c r="C104" s="185"/>
      <c r="D104" s="186"/>
      <c r="E104" s="185"/>
      <c r="F104" s="185"/>
      <c r="G104" s="185"/>
      <c r="H104" s="185"/>
      <c r="I104" s="302"/>
      <c r="J104" s="188"/>
      <c r="K104" s="683"/>
      <c r="L104" s="320"/>
      <c r="M104" s="320"/>
      <c r="N104" s="320"/>
      <c r="O104" s="320"/>
      <c r="P104" s="320"/>
      <c r="Q104" s="320"/>
      <c r="R104" s="320"/>
      <c r="S104" s="320"/>
      <c r="T104" s="320"/>
      <c r="U104" s="320"/>
      <c r="V104" s="320"/>
      <c r="W104" s="320"/>
      <c r="X104" s="320"/>
      <c r="Y104" s="320"/>
      <c r="Z104" s="320"/>
      <c r="AA104" s="320"/>
      <c r="AB104" s="320"/>
      <c r="AC104" s="320"/>
      <c r="AD104" s="320"/>
      <c r="AE104" s="320"/>
    </row>
    <row r="105" spans="1:35">
      <c r="A105" s="37" t="s">
        <v>425</v>
      </c>
      <c r="B105" s="37"/>
      <c r="C105" s="57"/>
      <c r="E105" s="57"/>
      <c r="F105" s="57"/>
      <c r="G105" s="57"/>
      <c r="H105" s="998"/>
      <c r="I105" s="51" t="s">
        <v>532</v>
      </c>
      <c r="J105" s="624">
        <f>((6350/6)*7)+((6500/6)*7)</f>
        <v>14991.666666666666</v>
      </c>
      <c r="K105" s="683">
        <v>0</v>
      </c>
      <c r="L105" s="671">
        <f>J105</f>
        <v>14991.666666666666</v>
      </c>
      <c r="M105" s="671">
        <f>$L$105*L11</f>
        <v>15291.5</v>
      </c>
      <c r="N105" s="671">
        <f t="shared" ref="N105:AE105" si="39">$L$105*M11</f>
        <v>15597.33</v>
      </c>
      <c r="O105" s="671">
        <f t="shared" si="39"/>
        <v>15909.276599999997</v>
      </c>
      <c r="P105" s="671">
        <f t="shared" si="39"/>
        <v>16227.462131999999</v>
      </c>
      <c r="Q105" s="671">
        <f t="shared" si="39"/>
        <v>16552.011374639998</v>
      </c>
      <c r="R105" s="671">
        <f t="shared" si="39"/>
        <v>16883.0516021328</v>
      </c>
      <c r="S105" s="671">
        <f t="shared" si="39"/>
        <v>17220.712634175456</v>
      </c>
      <c r="T105" s="671">
        <f t="shared" si="39"/>
        <v>17565.126886858965</v>
      </c>
      <c r="U105" s="671">
        <f t="shared" si="39"/>
        <v>17916.429424596146</v>
      </c>
      <c r="V105" s="671">
        <f t="shared" si="39"/>
        <v>18274.758013088071</v>
      </c>
      <c r="W105" s="671">
        <f t="shared" si="39"/>
        <v>18640.253173349829</v>
      </c>
      <c r="X105" s="671">
        <f t="shared" si="39"/>
        <v>19013.058236816825</v>
      </c>
      <c r="Y105" s="671">
        <f t="shared" si="39"/>
        <v>19393.319401553163</v>
      </c>
      <c r="Z105" s="671">
        <f t="shared" si="39"/>
        <v>19781.185789584226</v>
      </c>
      <c r="AA105" s="671">
        <f t="shared" si="39"/>
        <v>20176.809505375913</v>
      </c>
      <c r="AB105" s="671">
        <f t="shared" si="39"/>
        <v>20580.345695483433</v>
      </c>
      <c r="AC105" s="671">
        <f t="shared" si="39"/>
        <v>20991.952609393102</v>
      </c>
      <c r="AD105" s="671">
        <f t="shared" si="39"/>
        <v>21411.791661580963</v>
      </c>
      <c r="AE105" s="671">
        <f t="shared" si="39"/>
        <v>21840.027494812584</v>
      </c>
    </row>
    <row r="106" spans="1:35">
      <c r="A106" s="37" t="s">
        <v>16</v>
      </c>
      <c r="B106" s="37"/>
      <c r="C106" s="57"/>
      <c r="E106" s="57"/>
      <c r="F106" s="57"/>
      <c r="G106" s="57"/>
      <c r="H106" s="998"/>
      <c r="I106" s="51" t="s">
        <v>17</v>
      </c>
      <c r="J106" s="624">
        <f>1250</f>
        <v>1250</v>
      </c>
      <c r="K106" s="683">
        <v>0</v>
      </c>
      <c r="L106" s="671">
        <f>J106*7</f>
        <v>8750</v>
      </c>
      <c r="M106" s="671">
        <f>$L$106*L11</f>
        <v>8925</v>
      </c>
      <c r="N106" s="671">
        <f t="shared" ref="N106:AE106" si="40">$L$106*M11</f>
        <v>9103.5</v>
      </c>
      <c r="O106" s="671">
        <f t="shared" si="40"/>
        <v>9285.57</v>
      </c>
      <c r="P106" s="671">
        <f t="shared" si="40"/>
        <v>9471.2813999999998</v>
      </c>
      <c r="Q106" s="671">
        <f t="shared" si="40"/>
        <v>9660.7070280000007</v>
      </c>
      <c r="R106" s="671">
        <f t="shared" si="40"/>
        <v>9853.9211685600003</v>
      </c>
      <c r="S106" s="671">
        <f t="shared" si="40"/>
        <v>10050.9995919312</v>
      </c>
      <c r="T106" s="671">
        <f t="shared" si="40"/>
        <v>10252.019583769825</v>
      </c>
      <c r="U106" s="671">
        <f t="shared" si="40"/>
        <v>10457.059975445221</v>
      </c>
      <c r="V106" s="671">
        <f t="shared" si="40"/>
        <v>10666.201174954127</v>
      </c>
      <c r="W106" s="671">
        <f t="shared" si="40"/>
        <v>10879.52519845321</v>
      </c>
      <c r="X106" s="671">
        <f t="shared" si="40"/>
        <v>11097.115702422274</v>
      </c>
      <c r="Y106" s="671">
        <f t="shared" si="40"/>
        <v>11319.058016470717</v>
      </c>
      <c r="Z106" s="671">
        <f t="shared" si="40"/>
        <v>11545.439176800133</v>
      </c>
      <c r="AA106" s="671">
        <f t="shared" si="40"/>
        <v>11776.347960336136</v>
      </c>
      <c r="AB106" s="671">
        <f t="shared" si="40"/>
        <v>12011.874919542859</v>
      </c>
      <c r="AC106" s="671">
        <f t="shared" si="40"/>
        <v>12252.112417933717</v>
      </c>
      <c r="AD106" s="671">
        <f t="shared" si="40"/>
        <v>12497.154666292392</v>
      </c>
      <c r="AE106" s="671">
        <f t="shared" si="40"/>
        <v>12747.09775961824</v>
      </c>
    </row>
    <row r="107" spans="1:35" s="702" customFormat="1">
      <c r="A107" s="701" t="s">
        <v>53</v>
      </c>
      <c r="B107" s="701"/>
      <c r="C107" s="705"/>
      <c r="D107" s="984"/>
      <c r="E107" s="705"/>
      <c r="F107" s="705"/>
      <c r="G107" s="705"/>
      <c r="H107" s="985"/>
      <c r="I107" s="706" t="s">
        <v>17</v>
      </c>
      <c r="J107" s="986">
        <v>0</v>
      </c>
      <c r="K107" s="987">
        <v>0</v>
      </c>
      <c r="L107" s="988">
        <f t="shared" ref="L107:L108" si="41">J107*12</f>
        <v>0</v>
      </c>
      <c r="M107" s="988">
        <f t="shared" ref="M107:AB108" si="42">L107*1.03</f>
        <v>0</v>
      </c>
      <c r="N107" s="988">
        <f t="shared" si="42"/>
        <v>0</v>
      </c>
      <c r="O107" s="988">
        <f t="shared" si="42"/>
        <v>0</v>
      </c>
      <c r="P107" s="988">
        <f t="shared" si="42"/>
        <v>0</v>
      </c>
      <c r="Q107" s="988">
        <f t="shared" si="42"/>
        <v>0</v>
      </c>
      <c r="R107" s="988">
        <f t="shared" si="42"/>
        <v>0</v>
      </c>
      <c r="S107" s="988">
        <f t="shared" si="42"/>
        <v>0</v>
      </c>
      <c r="T107" s="988">
        <f t="shared" si="42"/>
        <v>0</v>
      </c>
      <c r="U107" s="988">
        <f t="shared" si="42"/>
        <v>0</v>
      </c>
      <c r="V107" s="988">
        <f t="shared" si="42"/>
        <v>0</v>
      </c>
      <c r="W107" s="988">
        <f t="shared" si="42"/>
        <v>0</v>
      </c>
      <c r="X107" s="988">
        <f t="shared" si="42"/>
        <v>0</v>
      </c>
      <c r="Y107" s="988">
        <f t="shared" si="42"/>
        <v>0</v>
      </c>
      <c r="Z107" s="988">
        <f t="shared" si="42"/>
        <v>0</v>
      </c>
      <c r="AA107" s="988">
        <f t="shared" si="42"/>
        <v>0</v>
      </c>
      <c r="AB107" s="988">
        <f t="shared" si="42"/>
        <v>0</v>
      </c>
      <c r="AC107" s="988">
        <f t="shared" ref="AC107:AE108" si="43">AB107*1.03</f>
        <v>0</v>
      </c>
      <c r="AD107" s="988">
        <f t="shared" si="43"/>
        <v>0</v>
      </c>
      <c r="AE107" s="988">
        <f t="shared" si="43"/>
        <v>0</v>
      </c>
    </row>
    <row r="108" spans="1:35" s="702" customFormat="1">
      <c r="A108" s="989" t="s">
        <v>54</v>
      </c>
      <c r="B108" s="990"/>
      <c r="C108" s="991"/>
      <c r="D108" s="992"/>
      <c r="E108" s="991"/>
      <c r="F108" s="991"/>
      <c r="G108" s="991"/>
      <c r="H108" s="993"/>
      <c r="I108" s="994" t="s">
        <v>17</v>
      </c>
      <c r="J108" s="995">
        <v>0</v>
      </c>
      <c r="K108" s="996">
        <v>0</v>
      </c>
      <c r="L108" s="997">
        <f t="shared" si="41"/>
        <v>0</v>
      </c>
      <c r="M108" s="997">
        <f t="shared" si="42"/>
        <v>0</v>
      </c>
      <c r="N108" s="997">
        <f t="shared" si="42"/>
        <v>0</v>
      </c>
      <c r="O108" s="997">
        <f t="shared" si="42"/>
        <v>0</v>
      </c>
      <c r="P108" s="997">
        <f t="shared" si="42"/>
        <v>0</v>
      </c>
      <c r="Q108" s="997">
        <f t="shared" si="42"/>
        <v>0</v>
      </c>
      <c r="R108" s="997">
        <f t="shared" si="42"/>
        <v>0</v>
      </c>
      <c r="S108" s="997">
        <f t="shared" si="42"/>
        <v>0</v>
      </c>
      <c r="T108" s="997">
        <f t="shared" si="42"/>
        <v>0</v>
      </c>
      <c r="U108" s="997">
        <f t="shared" si="42"/>
        <v>0</v>
      </c>
      <c r="V108" s="997">
        <f t="shared" si="42"/>
        <v>0</v>
      </c>
      <c r="W108" s="997">
        <f t="shared" si="42"/>
        <v>0</v>
      </c>
      <c r="X108" s="997">
        <f t="shared" si="42"/>
        <v>0</v>
      </c>
      <c r="Y108" s="997">
        <f t="shared" si="42"/>
        <v>0</v>
      </c>
      <c r="Z108" s="997">
        <f t="shared" si="42"/>
        <v>0</v>
      </c>
      <c r="AA108" s="997">
        <f t="shared" si="42"/>
        <v>0</v>
      </c>
      <c r="AB108" s="997">
        <f t="shared" si="42"/>
        <v>0</v>
      </c>
      <c r="AC108" s="997">
        <f t="shared" si="43"/>
        <v>0</v>
      </c>
      <c r="AD108" s="997">
        <f t="shared" si="43"/>
        <v>0</v>
      </c>
      <c r="AE108" s="997">
        <f t="shared" si="43"/>
        <v>0</v>
      </c>
    </row>
    <row r="109" spans="1:35" s="56" customFormat="1" ht="14.25">
      <c r="A109" s="56" t="s">
        <v>55</v>
      </c>
      <c r="B109" s="164"/>
      <c r="C109" s="75"/>
      <c r="D109" s="173"/>
      <c r="E109" s="75"/>
      <c r="F109" s="75"/>
      <c r="G109" s="75"/>
      <c r="H109" s="75"/>
      <c r="I109" s="999"/>
      <c r="J109" s="1000"/>
      <c r="K109" s="685">
        <v>0</v>
      </c>
      <c r="L109" s="1001">
        <f>SUM(L105:L108)</f>
        <v>23741.666666666664</v>
      </c>
      <c r="M109" s="1001">
        <f t="shared" ref="M109:AE109" si="44">SUM(M105:M108)</f>
        <v>24216.5</v>
      </c>
      <c r="N109" s="1001">
        <f t="shared" si="44"/>
        <v>24700.83</v>
      </c>
      <c r="O109" s="1001">
        <f t="shared" si="44"/>
        <v>25194.846599999997</v>
      </c>
      <c r="P109" s="1001">
        <f t="shared" si="44"/>
        <v>25698.743532</v>
      </c>
      <c r="Q109" s="1001">
        <f t="shared" si="44"/>
        <v>26212.718402639999</v>
      </c>
      <c r="R109" s="1001">
        <f t="shared" si="44"/>
        <v>26736.972770692802</v>
      </c>
      <c r="S109" s="1001">
        <f t="shared" si="44"/>
        <v>27271.712226106654</v>
      </c>
      <c r="T109" s="1001">
        <f t="shared" si="44"/>
        <v>27817.146470628788</v>
      </c>
      <c r="U109" s="1001">
        <f t="shared" si="44"/>
        <v>28373.48940004137</v>
      </c>
      <c r="V109" s="1001">
        <f t="shared" si="44"/>
        <v>28940.959188042198</v>
      </c>
      <c r="W109" s="1001">
        <f t="shared" si="44"/>
        <v>29519.77837180304</v>
      </c>
      <c r="X109" s="1001">
        <f t="shared" si="44"/>
        <v>30110.173939239099</v>
      </c>
      <c r="Y109" s="1001">
        <f t="shared" si="44"/>
        <v>30712.37741802388</v>
      </c>
      <c r="Z109" s="1001">
        <f t="shared" si="44"/>
        <v>31326.624966384359</v>
      </c>
      <c r="AA109" s="1001">
        <f t="shared" si="44"/>
        <v>31953.157465712051</v>
      </c>
      <c r="AB109" s="1001">
        <f t="shared" si="44"/>
        <v>32592.220615026294</v>
      </c>
      <c r="AC109" s="1001">
        <f t="shared" si="44"/>
        <v>33244.065027326818</v>
      </c>
      <c r="AD109" s="1001">
        <f t="shared" si="44"/>
        <v>33908.946327873353</v>
      </c>
      <c r="AE109" s="1001">
        <f t="shared" si="44"/>
        <v>34587.125254430823</v>
      </c>
    </row>
    <row r="110" spans="1:35">
      <c r="A110" s="56"/>
      <c r="B110" s="37"/>
      <c r="C110" s="57"/>
      <c r="E110" s="57"/>
      <c r="F110" s="57"/>
      <c r="G110" s="57"/>
      <c r="H110" s="57"/>
      <c r="I110" s="51"/>
      <c r="J110" s="624"/>
      <c r="K110" s="683"/>
      <c r="L110" s="666"/>
      <c r="M110" s="666"/>
      <c r="N110" s="666"/>
      <c r="O110" s="666"/>
      <c r="P110" s="666"/>
      <c r="Q110" s="666"/>
      <c r="R110" s="666"/>
      <c r="S110" s="666"/>
      <c r="T110" s="666"/>
      <c r="U110" s="666"/>
      <c r="V110" s="666"/>
      <c r="W110" s="666"/>
      <c r="X110" s="666"/>
      <c r="Y110" s="666"/>
      <c r="Z110" s="666"/>
      <c r="AA110" s="666"/>
      <c r="AB110" s="666"/>
      <c r="AC110" s="666"/>
      <c r="AD110" s="666"/>
      <c r="AE110" s="666"/>
    </row>
    <row r="111" spans="1:35">
      <c r="A111" s="47" t="s">
        <v>7</v>
      </c>
      <c r="B111" s="47" t="s">
        <v>7</v>
      </c>
      <c r="C111" s="78" t="s">
        <v>7</v>
      </c>
      <c r="D111" s="100"/>
      <c r="E111" s="78" t="s">
        <v>7</v>
      </c>
      <c r="F111" s="78"/>
      <c r="G111" s="78" t="s">
        <v>7</v>
      </c>
      <c r="H111" s="78"/>
      <c r="I111" s="52" t="s">
        <v>7</v>
      </c>
      <c r="J111" s="672"/>
      <c r="K111" s="673"/>
      <c r="L111" s="672"/>
      <c r="M111" s="672"/>
      <c r="N111" s="672"/>
      <c r="O111" s="672"/>
      <c r="P111" s="672"/>
      <c r="Q111" s="672"/>
      <c r="R111" s="672"/>
      <c r="S111" s="672"/>
      <c r="T111" s="672"/>
      <c r="U111" s="672"/>
      <c r="V111" s="672"/>
      <c r="W111" s="672"/>
      <c r="X111" s="672"/>
      <c r="Y111" s="672"/>
      <c r="Z111" s="672"/>
      <c r="AA111" s="672"/>
      <c r="AB111" s="672"/>
      <c r="AC111" s="672"/>
      <c r="AD111" s="672"/>
      <c r="AE111" s="672"/>
    </row>
    <row r="112" spans="1:35">
      <c r="A112" s="47"/>
      <c r="B112" s="47"/>
      <c r="C112" s="78"/>
      <c r="D112" s="100"/>
      <c r="E112" s="78"/>
      <c r="F112" s="78"/>
      <c r="G112" s="78"/>
      <c r="H112" s="78"/>
      <c r="I112" s="52"/>
      <c r="J112" s="672"/>
      <c r="K112" s="683"/>
      <c r="L112" s="666"/>
      <c r="M112" s="666"/>
      <c r="N112" s="666"/>
      <c r="O112" s="666"/>
      <c r="P112" s="666"/>
      <c r="Q112" s="666"/>
      <c r="R112" s="666"/>
      <c r="S112" s="666"/>
      <c r="T112" s="666"/>
      <c r="U112" s="666"/>
      <c r="V112" s="666"/>
      <c r="W112" s="666"/>
      <c r="X112" s="666"/>
      <c r="Y112" s="666"/>
      <c r="Z112" s="666"/>
      <c r="AA112" s="666"/>
      <c r="AB112" s="666"/>
      <c r="AC112" s="666"/>
      <c r="AD112" s="666"/>
      <c r="AE112" s="666"/>
    </row>
    <row r="113" spans="1:33" s="56" customFormat="1" ht="14.25">
      <c r="A113" s="203" t="s">
        <v>303</v>
      </c>
      <c r="B113" s="203"/>
      <c r="C113" s="204"/>
      <c r="D113" s="205"/>
      <c r="E113" s="204"/>
      <c r="F113" s="204"/>
      <c r="G113" s="204"/>
      <c r="H113" s="204"/>
      <c r="I113" s="206"/>
      <c r="J113" s="674"/>
      <c r="K113" s="676">
        <f>SUM(K80,K101,K109)</f>
        <v>0</v>
      </c>
      <c r="L113" s="676">
        <f>SUM(L80,L101,L109)</f>
        <v>357416.66666666669</v>
      </c>
      <c r="M113" s="676">
        <f t="shared" ref="M113:AE113" si="45">SUM(M80,M101,M109)</f>
        <v>754513.5</v>
      </c>
      <c r="N113" s="676">
        <f t="shared" si="45"/>
        <v>769613.97000000009</v>
      </c>
      <c r="O113" s="676">
        <f t="shared" si="45"/>
        <v>785006.24939999997</v>
      </c>
      <c r="P113" s="676">
        <f t="shared" si="45"/>
        <v>800706.37438799988</v>
      </c>
      <c r="Q113" s="676">
        <f t="shared" si="45"/>
        <v>845064.38067095994</v>
      </c>
      <c r="R113" s="676">
        <f t="shared" si="45"/>
        <v>857428.74949401116</v>
      </c>
      <c r="S113" s="676">
        <f t="shared" si="45"/>
        <v>874577.32448389137</v>
      </c>
      <c r="T113" s="676">
        <f t="shared" si="45"/>
        <v>892068.87097356934</v>
      </c>
      <c r="U113" s="676">
        <f t="shared" si="45"/>
        <v>909910.24839304073</v>
      </c>
      <c r="V113" s="676">
        <f t="shared" si="45"/>
        <v>932498.9561509043</v>
      </c>
      <c r="W113" s="676">
        <f t="shared" si="45"/>
        <v>946670.62242811953</v>
      </c>
      <c r="X113" s="676">
        <f t="shared" si="45"/>
        <v>965604.03487668198</v>
      </c>
      <c r="Y113" s="676">
        <f t="shared" si="45"/>
        <v>984916.11557421566</v>
      </c>
      <c r="Z113" s="676">
        <f t="shared" si="45"/>
        <v>1004614.4378857</v>
      </c>
      <c r="AA113" s="676">
        <f t="shared" si="45"/>
        <v>1029033.7924742521</v>
      </c>
      <c r="AB113" s="676">
        <f t="shared" si="45"/>
        <v>1045200.8611762824</v>
      </c>
      <c r="AC113" s="676">
        <f t="shared" si="45"/>
        <v>1066104.878399808</v>
      </c>
      <c r="AD113" s="676">
        <f t="shared" si="45"/>
        <v>1087426.9759678042</v>
      </c>
      <c r="AE113" s="676">
        <f t="shared" si="45"/>
        <v>1109175.5154871603</v>
      </c>
      <c r="AG113" s="199"/>
    </row>
    <row r="114" spans="1:33">
      <c r="A114" s="37"/>
      <c r="B114" s="37"/>
      <c r="C114" s="57"/>
      <c r="E114" s="110"/>
      <c r="F114" s="110"/>
      <c r="G114" s="57"/>
      <c r="H114" s="57"/>
      <c r="I114" s="43"/>
      <c r="J114" s="44"/>
      <c r="K114" s="683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5"/>
      <c r="Z114" s="115"/>
      <c r="AA114" s="115"/>
      <c r="AB114" s="115"/>
      <c r="AC114" s="115"/>
      <c r="AD114" s="115"/>
      <c r="AE114" s="115"/>
      <c r="AG114" s="199"/>
    </row>
    <row r="115" spans="1:33">
      <c r="A115" s="47" t="s">
        <v>7</v>
      </c>
      <c r="B115" s="47" t="s">
        <v>7</v>
      </c>
      <c r="C115" s="78" t="s">
        <v>7</v>
      </c>
      <c r="D115" s="100"/>
      <c r="E115" s="78" t="s">
        <v>7</v>
      </c>
      <c r="F115" s="78"/>
      <c r="G115" s="78" t="s">
        <v>7</v>
      </c>
      <c r="H115" s="78"/>
      <c r="I115" s="52" t="s">
        <v>7</v>
      </c>
      <c r="J115" s="114"/>
      <c r="K115" s="673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G115" s="199"/>
    </row>
    <row r="116" spans="1:33">
      <c r="A116" s="47"/>
      <c r="B116" s="47"/>
      <c r="C116" s="78"/>
      <c r="D116" s="100"/>
      <c r="E116" s="78"/>
      <c r="F116" s="78"/>
      <c r="G116" s="78"/>
      <c r="H116" s="78"/>
      <c r="I116" s="52"/>
      <c r="J116" s="114"/>
      <c r="K116" s="683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5"/>
      <c r="Z116" s="115"/>
      <c r="AA116" s="115"/>
      <c r="AB116" s="115"/>
      <c r="AC116" s="115"/>
      <c r="AD116" s="115"/>
      <c r="AE116" s="115"/>
      <c r="AG116" s="199"/>
    </row>
    <row r="117" spans="1:33">
      <c r="A117" s="168" t="s">
        <v>71</v>
      </c>
      <c r="B117" s="171"/>
      <c r="C117" s="176"/>
      <c r="D117" s="177"/>
      <c r="E117" s="176"/>
      <c r="F117" s="176"/>
      <c r="G117" s="176"/>
      <c r="H117" s="176"/>
      <c r="I117" s="182"/>
      <c r="J117" s="179"/>
      <c r="K117" s="682"/>
      <c r="L117" s="319"/>
      <c r="M117" s="319"/>
      <c r="N117" s="319"/>
      <c r="O117" s="319"/>
      <c r="P117" s="319"/>
      <c r="Q117" s="319"/>
      <c r="R117" s="319"/>
      <c r="S117" s="319"/>
      <c r="T117" s="319"/>
      <c r="U117" s="319"/>
      <c r="V117" s="319"/>
      <c r="W117" s="319"/>
      <c r="X117" s="319"/>
      <c r="Y117" s="319"/>
      <c r="Z117" s="319"/>
      <c r="AA117" s="319"/>
      <c r="AB117" s="319"/>
      <c r="AC117" s="319"/>
      <c r="AD117" s="319"/>
      <c r="AE117" s="319"/>
      <c r="AG117" s="199"/>
    </row>
    <row r="118" spans="1:33" s="252" customFormat="1">
      <c r="A118" s="183"/>
      <c r="B118" s="184"/>
      <c r="C118" s="185"/>
      <c r="D118" s="186"/>
      <c r="E118" s="185"/>
      <c r="F118" s="185"/>
      <c r="G118" s="185"/>
      <c r="H118" s="185"/>
      <c r="I118" s="187"/>
      <c r="J118" s="188"/>
      <c r="K118" s="683"/>
      <c r="L118" s="320"/>
      <c r="M118" s="320"/>
      <c r="N118" s="320"/>
      <c r="O118" s="320"/>
      <c r="P118" s="320"/>
      <c r="Q118" s="320"/>
      <c r="R118" s="320"/>
      <c r="S118" s="320"/>
      <c r="T118" s="320"/>
      <c r="U118" s="320"/>
      <c r="V118" s="320"/>
      <c r="W118" s="320"/>
      <c r="X118" s="320"/>
      <c r="Y118" s="320"/>
      <c r="Z118" s="320"/>
      <c r="AA118" s="320"/>
      <c r="AB118" s="320"/>
      <c r="AC118" s="320"/>
      <c r="AD118" s="320"/>
      <c r="AE118" s="320"/>
      <c r="AG118" s="363"/>
    </row>
    <row r="119" spans="1:33">
      <c r="A119" s="39" t="s">
        <v>0</v>
      </c>
      <c r="B119" s="39"/>
      <c r="C119" s="102"/>
      <c r="D119" s="103"/>
      <c r="E119" s="104"/>
      <c r="F119" s="104"/>
      <c r="G119" s="104"/>
      <c r="H119" s="104"/>
      <c r="I119" s="39"/>
      <c r="J119" s="104"/>
      <c r="K119" s="688"/>
      <c r="L119" s="335"/>
      <c r="M119" s="335"/>
      <c r="N119" s="335"/>
      <c r="O119" s="335"/>
      <c r="P119" s="335"/>
      <c r="Q119" s="335"/>
      <c r="R119" s="335"/>
      <c r="S119" s="335"/>
      <c r="T119" s="335"/>
      <c r="U119" s="335"/>
      <c r="V119" s="335"/>
      <c r="W119" s="335"/>
      <c r="X119" s="335"/>
      <c r="Y119" s="335"/>
      <c r="Z119" s="335"/>
      <c r="AA119" s="335"/>
      <c r="AB119" s="335"/>
      <c r="AC119" s="335"/>
      <c r="AD119" s="335"/>
      <c r="AE119" s="335"/>
    </row>
    <row r="120" spans="1:33">
      <c r="A120" s="41" t="s">
        <v>13</v>
      </c>
      <c r="B120" s="41"/>
      <c r="C120" s="105"/>
      <c r="D120" s="106"/>
      <c r="E120" s="37"/>
      <c r="F120" s="37"/>
      <c r="G120" s="37"/>
      <c r="H120" s="37"/>
      <c r="I120" s="41"/>
      <c r="J120" s="37"/>
      <c r="K120" s="683"/>
      <c r="L120" s="200"/>
      <c r="M120" s="200"/>
      <c r="N120" s="200"/>
      <c r="O120" s="200"/>
      <c r="P120" s="200"/>
      <c r="Q120" s="200"/>
      <c r="R120" s="200"/>
      <c r="S120" s="200"/>
      <c r="T120" s="200"/>
      <c r="U120" s="201"/>
      <c r="V120" s="323"/>
      <c r="W120" s="200"/>
      <c r="X120" s="200"/>
      <c r="Y120" s="200"/>
      <c r="Z120" s="200"/>
      <c r="AA120" s="200"/>
      <c r="AB120" s="200"/>
      <c r="AC120" s="200"/>
      <c r="AD120" s="200"/>
      <c r="AE120" s="201"/>
    </row>
    <row r="121" spans="1:33">
      <c r="A121" s="96" t="s">
        <v>56</v>
      </c>
      <c r="B121" s="735" t="s">
        <v>12</v>
      </c>
      <c r="C121" s="663">
        <v>55000</v>
      </c>
      <c r="D121" s="736">
        <f>C121/2080</f>
        <v>26.442307692307693</v>
      </c>
      <c r="E121" s="663">
        <v>0</v>
      </c>
      <c r="F121" s="663">
        <f>C121*$F$13</f>
        <v>22000</v>
      </c>
      <c r="G121" s="663">
        <f>SUM(C121,E121:F121)</f>
        <v>77000</v>
      </c>
      <c r="H121" s="736">
        <f>G121/2080*8</f>
        <v>296.15384615384613</v>
      </c>
      <c r="I121" s="736"/>
      <c r="J121" s="663"/>
      <c r="K121" s="683">
        <v>0</v>
      </c>
      <c r="L121" s="665">
        <v>0</v>
      </c>
      <c r="M121" s="665">
        <f>$H$121*M32*0.25</f>
        <v>15844.230769230768</v>
      </c>
      <c r="N121" s="665">
        <f t="shared" ref="N121:AE121" si="46">$M$121*M11</f>
        <v>16484.33769230769</v>
      </c>
      <c r="O121" s="665">
        <f t="shared" si="46"/>
        <v>16814.024446153842</v>
      </c>
      <c r="P121" s="665">
        <f t="shared" si="46"/>
        <v>17150.304935076922</v>
      </c>
      <c r="Q121" s="665">
        <f t="shared" si="46"/>
        <v>17493.31103377846</v>
      </c>
      <c r="R121" s="665">
        <f t="shared" si="46"/>
        <v>17843.177254454029</v>
      </c>
      <c r="S121" s="665">
        <f t="shared" si="46"/>
        <v>18200.040799543109</v>
      </c>
      <c r="T121" s="665">
        <f t="shared" si="46"/>
        <v>18564.041615533974</v>
      </c>
      <c r="U121" s="665">
        <f t="shared" si="46"/>
        <v>18935.322447844654</v>
      </c>
      <c r="V121" s="665">
        <f t="shared" si="46"/>
        <v>19314.028896801548</v>
      </c>
      <c r="W121" s="665">
        <f t="shared" si="46"/>
        <v>19700.30947473758</v>
      </c>
      <c r="X121" s="665">
        <f t="shared" si="46"/>
        <v>20094.31566423233</v>
      </c>
      <c r="Y121" s="665">
        <f t="shared" si="46"/>
        <v>20496.201977516976</v>
      </c>
      <c r="Z121" s="665">
        <f t="shared" si="46"/>
        <v>20906.126017067316</v>
      </c>
      <c r="AA121" s="665">
        <f t="shared" si="46"/>
        <v>21324.248537408665</v>
      </c>
      <c r="AB121" s="665">
        <f t="shared" si="46"/>
        <v>21750.733508156838</v>
      </c>
      <c r="AC121" s="665">
        <f t="shared" si="46"/>
        <v>22185.748178319976</v>
      </c>
      <c r="AD121" s="665">
        <f t="shared" si="46"/>
        <v>22629.463141886376</v>
      </c>
      <c r="AE121" s="665">
        <f t="shared" si="46"/>
        <v>23082.052404724102</v>
      </c>
    </row>
    <row r="122" spans="1:33">
      <c r="A122" s="96" t="s">
        <v>57</v>
      </c>
      <c r="B122" s="735" t="s">
        <v>15</v>
      </c>
      <c r="C122" s="663">
        <v>15000</v>
      </c>
      <c r="D122" s="736">
        <f>C122/2080</f>
        <v>7.2115384615384617</v>
      </c>
      <c r="E122" s="663">
        <f>C122*E12</f>
        <v>3000</v>
      </c>
      <c r="F122" s="663">
        <f t="shared" ref="F122:F123" si="47">C122*$F$13</f>
        <v>6000</v>
      </c>
      <c r="G122" s="663">
        <f t="shared" ref="G122:G123" si="48">SUM(C122,E122:F122)</f>
        <v>24000</v>
      </c>
      <c r="H122" s="736">
        <f>G122/2080*12</f>
        <v>138.46153846153845</v>
      </c>
      <c r="I122" s="736"/>
      <c r="J122" s="663"/>
      <c r="K122" s="683">
        <v>0</v>
      </c>
      <c r="L122" s="665">
        <v>0</v>
      </c>
      <c r="M122" s="665">
        <f>$H$122*M32*0.5</f>
        <v>14815.384615384615</v>
      </c>
      <c r="N122" s="665">
        <f t="shared" ref="N122:AE122" si="49">$M$122*M11</f>
        <v>15413.926153846154</v>
      </c>
      <c r="O122" s="665">
        <f t="shared" si="49"/>
        <v>15722.204676923076</v>
      </c>
      <c r="P122" s="665">
        <f t="shared" si="49"/>
        <v>16036.648770461537</v>
      </c>
      <c r="Q122" s="665">
        <f t="shared" si="49"/>
        <v>16357.381745870769</v>
      </c>
      <c r="R122" s="665">
        <f t="shared" si="49"/>
        <v>16684.529380788186</v>
      </c>
      <c r="S122" s="665">
        <f t="shared" si="49"/>
        <v>17018.219968403948</v>
      </c>
      <c r="T122" s="665">
        <f t="shared" si="49"/>
        <v>17358.58436777203</v>
      </c>
      <c r="U122" s="665">
        <f t="shared" si="49"/>
        <v>17705.756055127469</v>
      </c>
      <c r="V122" s="665">
        <f t="shared" si="49"/>
        <v>18059.871176230019</v>
      </c>
      <c r="W122" s="665">
        <f t="shared" si="49"/>
        <v>18421.068599754621</v>
      </c>
      <c r="X122" s="665">
        <f t="shared" si="49"/>
        <v>18789.489971749714</v>
      </c>
      <c r="Y122" s="665">
        <f t="shared" si="49"/>
        <v>19165.279771184705</v>
      </c>
      <c r="Z122" s="665">
        <f t="shared" si="49"/>
        <v>19548.5853666084</v>
      </c>
      <c r="AA122" s="665">
        <f t="shared" si="49"/>
        <v>19939.55707394057</v>
      </c>
      <c r="AB122" s="665">
        <f t="shared" si="49"/>
        <v>20338.348215419381</v>
      </c>
      <c r="AC122" s="665">
        <f t="shared" si="49"/>
        <v>20745.115179727771</v>
      </c>
      <c r="AD122" s="665">
        <f t="shared" si="49"/>
        <v>21160.017483322328</v>
      </c>
      <c r="AE122" s="665">
        <f t="shared" si="49"/>
        <v>21583.217832988772</v>
      </c>
    </row>
    <row r="123" spans="1:33">
      <c r="A123" s="737" t="s">
        <v>57</v>
      </c>
      <c r="B123" s="738" t="s">
        <v>15</v>
      </c>
      <c r="C123" s="739">
        <v>15000</v>
      </c>
      <c r="D123" s="740">
        <f>C123/2080</f>
        <v>7.2115384615384617</v>
      </c>
      <c r="E123" s="739">
        <f>C123*$E$12</f>
        <v>3000</v>
      </c>
      <c r="F123" s="739">
        <f t="shared" si="47"/>
        <v>6000</v>
      </c>
      <c r="G123" s="739">
        <f t="shared" si="48"/>
        <v>24000</v>
      </c>
      <c r="H123" s="740">
        <f t="shared" ref="H123" si="50">G123/2080*12</f>
        <v>138.46153846153845</v>
      </c>
      <c r="I123" s="740"/>
      <c r="J123" s="739"/>
      <c r="K123" s="741">
        <v>0</v>
      </c>
      <c r="L123" s="742">
        <v>0</v>
      </c>
      <c r="M123" s="742">
        <f>$H$123*M32*0.5</f>
        <v>14815.384615384615</v>
      </c>
      <c r="N123" s="742">
        <f t="shared" ref="N123:AE123" si="51">$M$123*M11</f>
        <v>15413.926153846154</v>
      </c>
      <c r="O123" s="742">
        <f t="shared" si="51"/>
        <v>15722.204676923076</v>
      </c>
      <c r="P123" s="742">
        <f t="shared" si="51"/>
        <v>16036.648770461537</v>
      </c>
      <c r="Q123" s="742">
        <f t="shared" si="51"/>
        <v>16357.381745870769</v>
      </c>
      <c r="R123" s="742">
        <f t="shared" si="51"/>
        <v>16684.529380788186</v>
      </c>
      <c r="S123" s="742">
        <f t="shared" si="51"/>
        <v>17018.219968403948</v>
      </c>
      <c r="T123" s="742">
        <f t="shared" si="51"/>
        <v>17358.58436777203</v>
      </c>
      <c r="U123" s="742">
        <f t="shared" si="51"/>
        <v>17705.756055127469</v>
      </c>
      <c r="V123" s="742">
        <f t="shared" si="51"/>
        <v>18059.871176230019</v>
      </c>
      <c r="W123" s="742">
        <f t="shared" si="51"/>
        <v>18421.068599754621</v>
      </c>
      <c r="X123" s="742">
        <f t="shared" si="51"/>
        <v>18789.489971749714</v>
      </c>
      <c r="Y123" s="742">
        <f t="shared" si="51"/>
        <v>19165.279771184705</v>
      </c>
      <c r="Z123" s="742">
        <f t="shared" si="51"/>
        <v>19548.5853666084</v>
      </c>
      <c r="AA123" s="742">
        <f t="shared" si="51"/>
        <v>19939.55707394057</v>
      </c>
      <c r="AB123" s="742">
        <f t="shared" si="51"/>
        <v>20338.348215419381</v>
      </c>
      <c r="AC123" s="742">
        <f t="shared" si="51"/>
        <v>20745.115179727771</v>
      </c>
      <c r="AD123" s="742">
        <f t="shared" si="51"/>
        <v>21160.017483322328</v>
      </c>
      <c r="AE123" s="742">
        <f t="shared" si="51"/>
        <v>21583.217832988772</v>
      </c>
    </row>
    <row r="124" spans="1:33">
      <c r="A124" s="164" t="s">
        <v>414</v>
      </c>
      <c r="B124" s="164"/>
      <c r="C124" s="667">
        <f>SUM(C121:C123)</f>
        <v>85000</v>
      </c>
      <c r="D124" s="667"/>
      <c r="E124" s="667">
        <f>SUM(E121:E123)</f>
        <v>6000</v>
      </c>
      <c r="F124" s="667">
        <f>SUM(F121:F123)</f>
        <v>34000</v>
      </c>
      <c r="G124" s="667">
        <f>SUM(G121:G123)</f>
        <v>125000</v>
      </c>
      <c r="H124" s="667">
        <f>SUM(H121:H123)</f>
        <v>573.07692307692309</v>
      </c>
      <c r="I124" s="668"/>
      <c r="J124" s="667"/>
      <c r="K124" s="685">
        <f>SUMIF($B121:$B123,"FT",K121:K123)</f>
        <v>0</v>
      </c>
      <c r="L124" s="669">
        <f>SUM(L121:L123)</f>
        <v>0</v>
      </c>
      <c r="M124" s="669">
        <f t="shared" ref="M124:AE124" si="52">SUM(M121:M123)</f>
        <v>45475</v>
      </c>
      <c r="N124" s="669">
        <f t="shared" si="52"/>
        <v>47312.19</v>
      </c>
      <c r="O124" s="669">
        <f t="shared" si="52"/>
        <v>48258.433799999999</v>
      </c>
      <c r="P124" s="669">
        <f t="shared" si="52"/>
        <v>49223.602475999993</v>
      </c>
      <c r="Q124" s="669">
        <f t="shared" si="52"/>
        <v>50208.074525520002</v>
      </c>
      <c r="R124" s="669">
        <f t="shared" si="52"/>
        <v>51212.236016030394</v>
      </c>
      <c r="S124" s="669">
        <f t="shared" si="52"/>
        <v>52236.480736351004</v>
      </c>
      <c r="T124" s="669">
        <f t="shared" si="52"/>
        <v>53281.210351078029</v>
      </c>
      <c r="U124" s="669">
        <f t="shared" si="52"/>
        <v>54346.834558099596</v>
      </c>
      <c r="V124" s="669">
        <f t="shared" si="52"/>
        <v>55433.771249261583</v>
      </c>
      <c r="W124" s="669">
        <f t="shared" si="52"/>
        <v>56542.446674246821</v>
      </c>
      <c r="X124" s="669">
        <f t="shared" si="52"/>
        <v>57673.295607731765</v>
      </c>
      <c r="Y124" s="669">
        <f t="shared" si="52"/>
        <v>58826.761519886393</v>
      </c>
      <c r="Z124" s="669">
        <f t="shared" si="52"/>
        <v>60003.29675028412</v>
      </c>
      <c r="AA124" s="669">
        <f t="shared" si="52"/>
        <v>61203.362685289801</v>
      </c>
      <c r="AB124" s="669">
        <f t="shared" si="52"/>
        <v>62427.4299389956</v>
      </c>
      <c r="AC124" s="669">
        <f t="shared" si="52"/>
        <v>63675.978537775518</v>
      </c>
      <c r="AD124" s="669">
        <f t="shared" si="52"/>
        <v>64949.498108531028</v>
      </c>
      <c r="AE124" s="669">
        <f t="shared" si="52"/>
        <v>66248.488070701642</v>
      </c>
    </row>
    <row r="125" spans="1:33">
      <c r="A125" s="37"/>
      <c r="B125" s="37"/>
      <c r="C125" s="663"/>
      <c r="D125" s="663"/>
      <c r="E125" s="663"/>
      <c r="F125" s="663"/>
      <c r="G125" s="663"/>
      <c r="H125" s="663"/>
      <c r="I125" s="670"/>
      <c r="J125" s="663"/>
      <c r="K125" s="683"/>
      <c r="L125" s="666"/>
      <c r="M125" s="666"/>
      <c r="N125" s="666"/>
      <c r="O125" s="666"/>
      <c r="P125" s="666"/>
      <c r="Q125" s="666"/>
      <c r="R125" s="666"/>
      <c r="S125" s="666"/>
      <c r="T125" s="666"/>
      <c r="U125" s="666"/>
      <c r="V125" s="666"/>
      <c r="W125" s="666"/>
      <c r="X125" s="666"/>
      <c r="Y125" s="666"/>
      <c r="Z125" s="666"/>
      <c r="AA125" s="666"/>
      <c r="AB125" s="666"/>
      <c r="AC125" s="666"/>
      <c r="AD125" s="666"/>
      <c r="AE125" s="666"/>
    </row>
    <row r="126" spans="1:33">
      <c r="A126" s="37" t="s">
        <v>11</v>
      </c>
      <c r="B126" s="37"/>
      <c r="C126" s="663"/>
      <c r="D126" s="663"/>
      <c r="E126" s="663"/>
      <c r="F126" s="663"/>
      <c r="G126" s="663"/>
      <c r="H126" s="663"/>
      <c r="I126" s="670"/>
      <c r="J126" s="663"/>
      <c r="K126" s="743">
        <f>COUNTIF(K121:K123,"&gt;100")</f>
        <v>0</v>
      </c>
      <c r="L126" s="496">
        <f>COUNTIF(L121,"&gt;100")</f>
        <v>0</v>
      </c>
      <c r="M126" s="496">
        <f t="shared" ref="M126:AE126" si="53">COUNTIF(M121,"&gt;100")</f>
        <v>1</v>
      </c>
      <c r="N126" s="496">
        <f t="shared" si="53"/>
        <v>1</v>
      </c>
      <c r="O126" s="496">
        <f t="shared" si="53"/>
        <v>1</v>
      </c>
      <c r="P126" s="496">
        <f t="shared" si="53"/>
        <v>1</v>
      </c>
      <c r="Q126" s="496">
        <f t="shared" si="53"/>
        <v>1</v>
      </c>
      <c r="R126" s="496">
        <f t="shared" si="53"/>
        <v>1</v>
      </c>
      <c r="S126" s="496">
        <f t="shared" si="53"/>
        <v>1</v>
      </c>
      <c r="T126" s="496">
        <f t="shared" si="53"/>
        <v>1</v>
      </c>
      <c r="U126" s="496">
        <f t="shared" si="53"/>
        <v>1</v>
      </c>
      <c r="V126" s="496">
        <f t="shared" si="53"/>
        <v>1</v>
      </c>
      <c r="W126" s="496">
        <f t="shared" si="53"/>
        <v>1</v>
      </c>
      <c r="X126" s="496">
        <f t="shared" si="53"/>
        <v>1</v>
      </c>
      <c r="Y126" s="496">
        <f t="shared" si="53"/>
        <v>1</v>
      </c>
      <c r="Z126" s="496">
        <f t="shared" si="53"/>
        <v>1</v>
      </c>
      <c r="AA126" s="496">
        <f t="shared" si="53"/>
        <v>1</v>
      </c>
      <c r="AB126" s="496">
        <f t="shared" si="53"/>
        <v>1</v>
      </c>
      <c r="AC126" s="496">
        <f t="shared" si="53"/>
        <v>1</v>
      </c>
      <c r="AD126" s="496">
        <f t="shared" si="53"/>
        <v>1</v>
      </c>
      <c r="AE126" s="496">
        <f t="shared" si="53"/>
        <v>1</v>
      </c>
    </row>
    <row r="127" spans="1:33">
      <c r="A127" s="745" t="s">
        <v>10</v>
      </c>
      <c r="B127" s="745"/>
      <c r="C127" s="739"/>
      <c r="D127" s="739"/>
      <c r="E127" s="739"/>
      <c r="F127" s="739"/>
      <c r="G127" s="739"/>
      <c r="H127" s="739"/>
      <c r="I127" s="763"/>
      <c r="J127" s="739"/>
      <c r="K127" s="749">
        <f t="shared" ref="K127" si="54">K128-K126</f>
        <v>0</v>
      </c>
      <c r="L127" s="750">
        <f>COUNTIF(L122:L123,"&gt;100")</f>
        <v>0</v>
      </c>
      <c r="M127" s="750">
        <f t="shared" ref="M127:AE127" si="55">COUNTIF(M122:M123,"&gt;100")</f>
        <v>2</v>
      </c>
      <c r="N127" s="750">
        <f t="shared" si="55"/>
        <v>2</v>
      </c>
      <c r="O127" s="750">
        <f t="shared" si="55"/>
        <v>2</v>
      </c>
      <c r="P127" s="750">
        <f t="shared" si="55"/>
        <v>2</v>
      </c>
      <c r="Q127" s="750">
        <f t="shared" si="55"/>
        <v>2</v>
      </c>
      <c r="R127" s="750">
        <f t="shared" si="55"/>
        <v>2</v>
      </c>
      <c r="S127" s="750">
        <f t="shared" si="55"/>
        <v>2</v>
      </c>
      <c r="T127" s="750">
        <f t="shared" si="55"/>
        <v>2</v>
      </c>
      <c r="U127" s="750">
        <f t="shared" si="55"/>
        <v>2</v>
      </c>
      <c r="V127" s="750">
        <f t="shared" si="55"/>
        <v>2</v>
      </c>
      <c r="W127" s="750">
        <f t="shared" si="55"/>
        <v>2</v>
      </c>
      <c r="X127" s="750">
        <f t="shared" si="55"/>
        <v>2</v>
      </c>
      <c r="Y127" s="750">
        <f t="shared" si="55"/>
        <v>2</v>
      </c>
      <c r="Z127" s="750">
        <f t="shared" si="55"/>
        <v>2</v>
      </c>
      <c r="AA127" s="750">
        <f t="shared" si="55"/>
        <v>2</v>
      </c>
      <c r="AB127" s="750">
        <f t="shared" si="55"/>
        <v>2</v>
      </c>
      <c r="AC127" s="750">
        <f t="shared" si="55"/>
        <v>2</v>
      </c>
      <c r="AD127" s="750">
        <f t="shared" si="55"/>
        <v>2</v>
      </c>
      <c r="AE127" s="750">
        <f t="shared" si="55"/>
        <v>2</v>
      </c>
    </row>
    <row r="128" spans="1:33">
      <c r="A128" s="164" t="s">
        <v>9</v>
      </c>
      <c r="B128" s="164"/>
      <c r="C128" s="667"/>
      <c r="D128" s="667"/>
      <c r="E128" s="667"/>
      <c r="F128" s="667"/>
      <c r="G128" s="667"/>
      <c r="H128" s="667"/>
      <c r="I128" s="668"/>
      <c r="J128" s="667"/>
      <c r="K128" s="751">
        <f t="shared" ref="K128:AE128" si="56">COUNTIF(K121:K123,"&gt;0")</f>
        <v>0</v>
      </c>
      <c r="L128" s="752">
        <f t="shared" si="56"/>
        <v>0</v>
      </c>
      <c r="M128" s="752">
        <f t="shared" si="56"/>
        <v>3</v>
      </c>
      <c r="N128" s="752">
        <f t="shared" si="56"/>
        <v>3</v>
      </c>
      <c r="O128" s="752">
        <f t="shared" si="56"/>
        <v>3</v>
      </c>
      <c r="P128" s="752">
        <f t="shared" si="56"/>
        <v>3</v>
      </c>
      <c r="Q128" s="752">
        <f t="shared" si="56"/>
        <v>3</v>
      </c>
      <c r="R128" s="752">
        <f t="shared" si="56"/>
        <v>3</v>
      </c>
      <c r="S128" s="752">
        <f t="shared" si="56"/>
        <v>3</v>
      </c>
      <c r="T128" s="752">
        <f t="shared" si="56"/>
        <v>3</v>
      </c>
      <c r="U128" s="752">
        <f t="shared" si="56"/>
        <v>3</v>
      </c>
      <c r="V128" s="752">
        <f t="shared" si="56"/>
        <v>3</v>
      </c>
      <c r="W128" s="752">
        <f t="shared" si="56"/>
        <v>3</v>
      </c>
      <c r="X128" s="752">
        <f t="shared" si="56"/>
        <v>3</v>
      </c>
      <c r="Y128" s="752">
        <f t="shared" si="56"/>
        <v>3</v>
      </c>
      <c r="Z128" s="752">
        <f t="shared" si="56"/>
        <v>3</v>
      </c>
      <c r="AA128" s="752">
        <f t="shared" si="56"/>
        <v>3</v>
      </c>
      <c r="AB128" s="752">
        <f t="shared" si="56"/>
        <v>3</v>
      </c>
      <c r="AC128" s="752">
        <f t="shared" si="56"/>
        <v>3</v>
      </c>
      <c r="AD128" s="752">
        <f t="shared" si="56"/>
        <v>3</v>
      </c>
      <c r="AE128" s="752">
        <f t="shared" si="56"/>
        <v>3</v>
      </c>
    </row>
    <row r="129" spans="1:33">
      <c r="A129" s="37"/>
      <c r="B129" s="37"/>
      <c r="C129" s="57"/>
      <c r="E129" s="57"/>
      <c r="F129" s="57"/>
      <c r="G129" s="57"/>
      <c r="H129" s="57"/>
      <c r="I129" s="43"/>
      <c r="J129" s="42"/>
      <c r="K129" s="683"/>
      <c r="L129" s="316"/>
      <c r="M129" s="316"/>
      <c r="N129" s="316"/>
      <c r="O129" s="316"/>
      <c r="P129" s="316"/>
      <c r="Q129" s="316"/>
      <c r="R129" s="316"/>
      <c r="S129" s="316"/>
      <c r="T129" s="316"/>
      <c r="U129" s="316"/>
      <c r="V129" s="316"/>
      <c r="W129" s="316"/>
      <c r="X129" s="316"/>
      <c r="Y129" s="316"/>
      <c r="Z129" s="316"/>
      <c r="AA129" s="316"/>
      <c r="AB129" s="316"/>
      <c r="AC129" s="316"/>
      <c r="AD129" s="316"/>
      <c r="AE129" s="316"/>
    </row>
    <row r="130" spans="1:33" s="55" customFormat="1">
      <c r="A130" s="190" t="s">
        <v>60</v>
      </c>
      <c r="B130" s="191"/>
      <c r="C130" s="192"/>
      <c r="D130" s="193"/>
      <c r="E130" s="194"/>
      <c r="F130" s="194"/>
      <c r="G130" s="192"/>
      <c r="H130" s="192"/>
      <c r="I130" s="195">
        <v>0.2</v>
      </c>
      <c r="J130" s="196"/>
      <c r="K130" s="683">
        <v>0</v>
      </c>
      <c r="L130" s="665">
        <f>$I$130*L124</f>
        <v>0</v>
      </c>
      <c r="M130" s="665">
        <f t="shared" ref="M130:AE130" si="57">$I$130*M124</f>
        <v>9095</v>
      </c>
      <c r="N130" s="665">
        <f t="shared" si="57"/>
        <v>9462.4380000000001</v>
      </c>
      <c r="O130" s="665">
        <f t="shared" si="57"/>
        <v>9651.6867600000005</v>
      </c>
      <c r="P130" s="665">
        <f t="shared" si="57"/>
        <v>9844.7204951999993</v>
      </c>
      <c r="Q130" s="665">
        <f t="shared" si="57"/>
        <v>10041.614905104001</v>
      </c>
      <c r="R130" s="665">
        <f t="shared" si="57"/>
        <v>10242.44720320608</v>
      </c>
      <c r="S130" s="665">
        <f t="shared" si="57"/>
        <v>10447.296147270201</v>
      </c>
      <c r="T130" s="665">
        <f t="shared" si="57"/>
        <v>10656.242070215607</v>
      </c>
      <c r="U130" s="665">
        <f t="shared" si="57"/>
        <v>10869.36691161992</v>
      </c>
      <c r="V130" s="665">
        <f t="shared" si="57"/>
        <v>11086.754249852318</v>
      </c>
      <c r="W130" s="665">
        <f t="shared" si="57"/>
        <v>11308.489334849364</v>
      </c>
      <c r="X130" s="665">
        <f t="shared" si="57"/>
        <v>11534.659121546354</v>
      </c>
      <c r="Y130" s="665">
        <f t="shared" si="57"/>
        <v>11765.352303977279</v>
      </c>
      <c r="Z130" s="665">
        <f t="shared" si="57"/>
        <v>12000.659350056825</v>
      </c>
      <c r="AA130" s="665">
        <f t="shared" si="57"/>
        <v>12240.672537057961</v>
      </c>
      <c r="AB130" s="665">
        <f t="shared" si="57"/>
        <v>12485.48598779912</v>
      </c>
      <c r="AC130" s="665">
        <f t="shared" si="57"/>
        <v>12735.195707555104</v>
      </c>
      <c r="AD130" s="665">
        <f t="shared" si="57"/>
        <v>12989.899621706207</v>
      </c>
      <c r="AE130" s="665">
        <f t="shared" si="57"/>
        <v>13249.697614140328</v>
      </c>
    </row>
    <row r="131" spans="1:33">
      <c r="A131" s="190"/>
      <c r="B131" s="191"/>
      <c r="C131" s="192"/>
      <c r="D131" s="193"/>
      <c r="E131" s="194"/>
      <c r="F131" s="194"/>
      <c r="G131" s="192"/>
      <c r="H131" s="192"/>
      <c r="I131" s="195"/>
      <c r="J131" s="196"/>
      <c r="K131" s="685"/>
      <c r="L131" s="665"/>
      <c r="M131" s="665"/>
      <c r="N131" s="665"/>
      <c r="O131" s="665"/>
      <c r="P131" s="665"/>
      <c r="Q131" s="665"/>
      <c r="R131" s="665"/>
      <c r="S131" s="665"/>
      <c r="T131" s="665"/>
      <c r="U131" s="665"/>
      <c r="V131" s="665"/>
      <c r="W131" s="665"/>
      <c r="X131" s="665"/>
      <c r="Y131" s="665"/>
      <c r="Z131" s="665"/>
      <c r="AA131" s="665"/>
      <c r="AB131" s="665"/>
      <c r="AC131" s="665"/>
      <c r="AD131" s="665"/>
      <c r="AE131" s="665"/>
    </row>
    <row r="132" spans="1:33">
      <c r="A132" s="164" t="s">
        <v>61</v>
      </c>
      <c r="B132" s="164"/>
      <c r="C132" s="75"/>
      <c r="D132" s="173"/>
      <c r="E132" s="75"/>
      <c r="F132" s="75"/>
      <c r="G132" s="75"/>
      <c r="H132" s="75"/>
      <c r="I132" s="174"/>
      <c r="J132" s="175"/>
      <c r="K132" s="685">
        <v>0</v>
      </c>
      <c r="L132" s="669">
        <f>SUM(L124,L130)</f>
        <v>0</v>
      </c>
      <c r="M132" s="669">
        <f t="shared" ref="M132:AE132" si="58">SUM(M124,M130)</f>
        <v>54570</v>
      </c>
      <c r="N132" s="669">
        <f t="shared" si="58"/>
        <v>56774.628000000004</v>
      </c>
      <c r="O132" s="669">
        <f t="shared" si="58"/>
        <v>57910.120559999996</v>
      </c>
      <c r="P132" s="669">
        <f t="shared" si="58"/>
        <v>59068.322971199988</v>
      </c>
      <c r="Q132" s="669">
        <f t="shared" si="58"/>
        <v>60249.689430623999</v>
      </c>
      <c r="R132" s="669">
        <f t="shared" si="58"/>
        <v>61454.683219236475</v>
      </c>
      <c r="S132" s="669">
        <f t="shared" si="58"/>
        <v>62683.776883621205</v>
      </c>
      <c r="T132" s="669">
        <f t="shared" si="58"/>
        <v>63937.452421293638</v>
      </c>
      <c r="U132" s="669">
        <f t="shared" si="58"/>
        <v>65216.201469719512</v>
      </c>
      <c r="V132" s="669">
        <f t="shared" si="58"/>
        <v>66520.525499113894</v>
      </c>
      <c r="W132" s="669">
        <f t="shared" si="58"/>
        <v>67850.936009096185</v>
      </c>
      <c r="X132" s="669">
        <f t="shared" si="58"/>
        <v>69207.954729278121</v>
      </c>
      <c r="Y132" s="669">
        <f t="shared" si="58"/>
        <v>70592.113823863678</v>
      </c>
      <c r="Z132" s="669">
        <f t="shared" si="58"/>
        <v>72003.956100340947</v>
      </c>
      <c r="AA132" s="669">
        <f t="shared" si="58"/>
        <v>73444.035222347768</v>
      </c>
      <c r="AB132" s="669">
        <f t="shared" si="58"/>
        <v>74912.915926794725</v>
      </c>
      <c r="AC132" s="669">
        <f t="shared" si="58"/>
        <v>76411.174245330621</v>
      </c>
      <c r="AD132" s="669">
        <f t="shared" si="58"/>
        <v>77939.397730237237</v>
      </c>
      <c r="AE132" s="669">
        <f t="shared" si="58"/>
        <v>79498.18568484197</v>
      </c>
    </row>
    <row r="133" spans="1:33">
      <c r="A133" s="183"/>
      <c r="B133" s="184"/>
      <c r="C133" s="185"/>
      <c r="D133" s="186"/>
      <c r="E133" s="185"/>
      <c r="F133" s="185"/>
      <c r="G133" s="185"/>
      <c r="H133" s="185"/>
      <c r="I133" s="187"/>
      <c r="J133" s="188"/>
      <c r="K133" s="683"/>
      <c r="L133" s="320"/>
      <c r="M133" s="320"/>
      <c r="N133" s="320"/>
      <c r="O133" s="320"/>
      <c r="P133" s="320"/>
      <c r="Q133" s="320"/>
      <c r="R133" s="320"/>
      <c r="S133" s="320"/>
      <c r="T133" s="320"/>
      <c r="U133" s="320"/>
      <c r="V133" s="320"/>
      <c r="W133" s="320"/>
      <c r="X133" s="320"/>
      <c r="Y133" s="320"/>
      <c r="Z133" s="320"/>
      <c r="AA133" s="320"/>
      <c r="AB133" s="320"/>
      <c r="AC133" s="320"/>
      <c r="AD133" s="320"/>
      <c r="AE133" s="320"/>
    </row>
    <row r="134" spans="1:33">
      <c r="A134" s="39" t="s">
        <v>4</v>
      </c>
      <c r="B134" s="39"/>
      <c r="C134" s="111"/>
      <c r="D134" s="112"/>
      <c r="E134" s="111"/>
      <c r="F134" s="111"/>
      <c r="G134" s="111"/>
      <c r="H134" s="111"/>
      <c r="I134" s="40"/>
      <c r="J134" s="113"/>
      <c r="K134" s="688"/>
      <c r="L134" s="321"/>
      <c r="M134" s="321"/>
      <c r="N134" s="321"/>
      <c r="O134" s="321"/>
      <c r="P134" s="321"/>
      <c r="Q134" s="321"/>
      <c r="R134" s="321"/>
      <c r="S134" s="321"/>
      <c r="T134" s="321"/>
      <c r="U134" s="321"/>
      <c r="V134" s="321"/>
      <c r="W134" s="321"/>
      <c r="X134" s="321"/>
      <c r="Y134" s="321"/>
      <c r="Z134" s="321"/>
      <c r="AA134" s="321"/>
      <c r="AB134" s="321"/>
      <c r="AC134" s="321"/>
      <c r="AD134" s="321"/>
      <c r="AE134" s="321"/>
    </row>
    <row r="135" spans="1:33">
      <c r="A135" s="41" t="s">
        <v>13</v>
      </c>
      <c r="B135" s="41"/>
      <c r="C135" s="105"/>
      <c r="D135" s="106"/>
      <c r="E135" s="37"/>
      <c r="F135" s="37"/>
      <c r="G135" s="37"/>
      <c r="H135" s="37"/>
      <c r="I135" s="41"/>
      <c r="J135" s="37"/>
      <c r="K135" s="683"/>
      <c r="L135" s="200"/>
      <c r="M135" s="200"/>
      <c r="N135" s="200"/>
      <c r="O135" s="200"/>
      <c r="P135" s="200"/>
      <c r="Q135" s="200"/>
      <c r="R135" s="200"/>
      <c r="S135" s="200"/>
      <c r="T135" s="200"/>
      <c r="U135" s="201"/>
      <c r="V135" s="323"/>
      <c r="W135" s="200"/>
      <c r="X135" s="200"/>
      <c r="Y135" s="200"/>
      <c r="Z135" s="200"/>
      <c r="AA135" s="200"/>
      <c r="AB135" s="200"/>
      <c r="AC135" s="200"/>
      <c r="AD135" s="200"/>
      <c r="AE135" s="201"/>
    </row>
    <row r="136" spans="1:33">
      <c r="A136" s="33" t="s">
        <v>65</v>
      </c>
      <c r="B136" s="735" t="s">
        <v>12</v>
      </c>
      <c r="C136" s="663">
        <v>65000</v>
      </c>
      <c r="D136" s="736">
        <f>C136/2080</f>
        <v>31.25</v>
      </c>
      <c r="E136" s="663">
        <v>0</v>
      </c>
      <c r="F136" s="663">
        <f>C136*$F$13</f>
        <v>26000</v>
      </c>
      <c r="G136" s="663">
        <f>SUM(C136,E136:F136)</f>
        <v>91000</v>
      </c>
      <c r="H136" s="736">
        <f>G136/2080*8</f>
        <v>350</v>
      </c>
      <c r="I136" s="764"/>
      <c r="J136" s="765"/>
      <c r="K136" s="683">
        <v>0</v>
      </c>
      <c r="L136" s="665">
        <v>0</v>
      </c>
      <c r="M136" s="665">
        <f>$H$136*M32*0.25</f>
        <v>18725</v>
      </c>
      <c r="N136" s="665">
        <f t="shared" ref="N136:AE136" si="59">$M$136*L11</f>
        <v>19099.5</v>
      </c>
      <c r="O136" s="665">
        <f t="shared" si="59"/>
        <v>19481.490000000002</v>
      </c>
      <c r="P136" s="665">
        <f t="shared" si="59"/>
        <v>19871.1198</v>
      </c>
      <c r="Q136" s="665">
        <f t="shared" si="59"/>
        <v>20268.542195999999</v>
      </c>
      <c r="R136" s="665">
        <f t="shared" si="59"/>
        <v>20673.91303992</v>
      </c>
      <c r="S136" s="665">
        <f t="shared" si="59"/>
        <v>21087.391300718402</v>
      </c>
      <c r="T136" s="665">
        <f t="shared" si="59"/>
        <v>21509.139126732767</v>
      </c>
      <c r="U136" s="665">
        <f t="shared" si="59"/>
        <v>21939.321909267426</v>
      </c>
      <c r="V136" s="665">
        <f t="shared" si="59"/>
        <v>22378.108347452773</v>
      </c>
      <c r="W136" s="665">
        <f t="shared" si="59"/>
        <v>22825.670514401831</v>
      </c>
      <c r="X136" s="665">
        <f t="shared" si="59"/>
        <v>23282.183924689867</v>
      </c>
      <c r="Y136" s="665">
        <f t="shared" si="59"/>
        <v>23747.827603183665</v>
      </c>
      <c r="Z136" s="665">
        <f t="shared" si="59"/>
        <v>24222.784155247336</v>
      </c>
      <c r="AA136" s="665">
        <f t="shared" si="59"/>
        <v>24707.239838352285</v>
      </c>
      <c r="AB136" s="665">
        <f t="shared" si="59"/>
        <v>25201.384635119332</v>
      </c>
      <c r="AC136" s="665">
        <f t="shared" si="59"/>
        <v>25705.412327821719</v>
      </c>
      <c r="AD136" s="665">
        <f t="shared" si="59"/>
        <v>26219.520574378155</v>
      </c>
      <c r="AE136" s="665">
        <f t="shared" si="59"/>
        <v>26743.910985865718</v>
      </c>
    </row>
    <row r="137" spans="1:33">
      <c r="A137" s="37" t="s">
        <v>62</v>
      </c>
      <c r="B137" s="735" t="s">
        <v>12</v>
      </c>
      <c r="C137" s="663">
        <v>85000</v>
      </c>
      <c r="D137" s="736">
        <f>C137/2080</f>
        <v>40.865384615384613</v>
      </c>
      <c r="E137" s="663">
        <f>C137*$L$15</f>
        <v>0</v>
      </c>
      <c r="F137" s="663">
        <f t="shared" ref="F137:F140" si="60">C137*$F$13</f>
        <v>34000</v>
      </c>
      <c r="G137" s="663">
        <f t="shared" ref="G137:G140" si="61">SUM(C137,E137:F137)</f>
        <v>119000</v>
      </c>
      <c r="H137" s="736">
        <f>G137/2080*8</f>
        <v>457.69230769230768</v>
      </c>
      <c r="I137" s="764"/>
      <c r="J137" s="765"/>
      <c r="K137" s="683">
        <v>0</v>
      </c>
      <c r="L137" s="665">
        <v>0</v>
      </c>
      <c r="M137" s="665">
        <f>$H$137*M32*0.1</f>
        <v>9794.6153846153848</v>
      </c>
      <c r="N137" s="665">
        <f t="shared" ref="N137:AE137" si="62">$M$137*L11</f>
        <v>9990.5076923076922</v>
      </c>
      <c r="O137" s="665">
        <f t="shared" si="62"/>
        <v>10190.317846153846</v>
      </c>
      <c r="P137" s="665">
        <f t="shared" si="62"/>
        <v>10394.124203076923</v>
      </c>
      <c r="Q137" s="665">
        <f t="shared" si="62"/>
        <v>10602.006687138461</v>
      </c>
      <c r="R137" s="665">
        <f t="shared" si="62"/>
        <v>10814.046820881231</v>
      </c>
      <c r="S137" s="665">
        <f t="shared" si="62"/>
        <v>11030.327757298855</v>
      </c>
      <c r="T137" s="665">
        <f t="shared" si="62"/>
        <v>11250.934312444833</v>
      </c>
      <c r="U137" s="665">
        <f t="shared" si="62"/>
        <v>11475.95299869373</v>
      </c>
      <c r="V137" s="665">
        <f t="shared" si="62"/>
        <v>11705.472058667605</v>
      </c>
      <c r="W137" s="665">
        <f t="shared" si="62"/>
        <v>11939.581499840959</v>
      </c>
      <c r="X137" s="665">
        <f t="shared" si="62"/>
        <v>12178.373129837777</v>
      </c>
      <c r="Y137" s="665">
        <f t="shared" si="62"/>
        <v>12421.940592434532</v>
      </c>
      <c r="Z137" s="665">
        <f t="shared" si="62"/>
        <v>12670.379404283221</v>
      </c>
      <c r="AA137" s="665">
        <f t="shared" si="62"/>
        <v>12923.786992368889</v>
      </c>
      <c r="AB137" s="665">
        <f t="shared" si="62"/>
        <v>13182.262732216266</v>
      </c>
      <c r="AC137" s="665">
        <f t="shared" si="62"/>
        <v>13445.907986860591</v>
      </c>
      <c r="AD137" s="665">
        <f t="shared" si="62"/>
        <v>13714.826146597805</v>
      </c>
      <c r="AE137" s="665">
        <f t="shared" si="62"/>
        <v>13989.122669529761</v>
      </c>
    </row>
    <row r="138" spans="1:33">
      <c r="A138" s="37" t="s">
        <v>419</v>
      </c>
      <c r="B138" s="735" t="s">
        <v>12</v>
      </c>
      <c r="C138" s="663">
        <v>75000</v>
      </c>
      <c r="D138" s="736">
        <f>C138/2080</f>
        <v>36.057692307692307</v>
      </c>
      <c r="E138" s="663">
        <f>C138*$L$15</f>
        <v>0</v>
      </c>
      <c r="F138" s="663">
        <f t="shared" si="60"/>
        <v>30000</v>
      </c>
      <c r="G138" s="663">
        <f t="shared" si="61"/>
        <v>105000</v>
      </c>
      <c r="H138" s="736">
        <f>G138/2080*8</f>
        <v>403.84615384615387</v>
      </c>
      <c r="I138" s="764"/>
      <c r="J138" s="765"/>
      <c r="K138" s="683">
        <v>0</v>
      </c>
      <c r="L138" s="665">
        <v>0</v>
      </c>
      <c r="M138" s="665">
        <f>$H$138*M32*0.1</f>
        <v>8642.3076923076933</v>
      </c>
      <c r="N138" s="665">
        <f t="shared" ref="N138:AE138" si="63">$M$138*L11</f>
        <v>8815.1538461538476</v>
      </c>
      <c r="O138" s="665">
        <f t="shared" si="63"/>
        <v>8991.4569230769248</v>
      </c>
      <c r="P138" s="665">
        <f t="shared" si="63"/>
        <v>9171.2860615384616</v>
      </c>
      <c r="Q138" s="665">
        <f t="shared" si="63"/>
        <v>9354.7117827692309</v>
      </c>
      <c r="R138" s="665">
        <f t="shared" si="63"/>
        <v>9541.8060184246169</v>
      </c>
      <c r="S138" s="665">
        <f t="shared" si="63"/>
        <v>9732.6421387931096</v>
      </c>
      <c r="T138" s="665">
        <f t="shared" si="63"/>
        <v>9927.2949815689717</v>
      </c>
      <c r="U138" s="665">
        <f t="shared" si="63"/>
        <v>10125.840881200351</v>
      </c>
      <c r="V138" s="665">
        <f t="shared" si="63"/>
        <v>10328.357698824359</v>
      </c>
      <c r="W138" s="665">
        <f t="shared" si="63"/>
        <v>10534.924852800847</v>
      </c>
      <c r="X138" s="665">
        <f t="shared" si="63"/>
        <v>10745.623349856864</v>
      </c>
      <c r="Y138" s="665">
        <f t="shared" si="63"/>
        <v>10960.535816854001</v>
      </c>
      <c r="Z138" s="665">
        <f t="shared" si="63"/>
        <v>11179.746533191079</v>
      </c>
      <c r="AA138" s="665">
        <f t="shared" si="63"/>
        <v>11403.341463854902</v>
      </c>
      <c r="AB138" s="665">
        <f t="shared" si="63"/>
        <v>11631.408293132001</v>
      </c>
      <c r="AC138" s="665">
        <f t="shared" si="63"/>
        <v>11864.03645899464</v>
      </c>
      <c r="AD138" s="665">
        <f t="shared" si="63"/>
        <v>12101.317188174535</v>
      </c>
      <c r="AE138" s="665">
        <f t="shared" si="63"/>
        <v>12343.343531938026</v>
      </c>
    </row>
    <row r="139" spans="1:33">
      <c r="A139" s="37" t="s">
        <v>63</v>
      </c>
      <c r="B139" s="735" t="s">
        <v>15</v>
      </c>
      <c r="C139" s="663">
        <v>15000</v>
      </c>
      <c r="D139" s="736">
        <f t="shared" ref="D139:D140" si="64">C139/2080</f>
        <v>7.2115384615384617</v>
      </c>
      <c r="E139" s="663">
        <f>C139*$L$15</f>
        <v>0</v>
      </c>
      <c r="F139" s="663">
        <f t="shared" si="60"/>
        <v>6000</v>
      </c>
      <c r="G139" s="663">
        <f t="shared" si="61"/>
        <v>21000</v>
      </c>
      <c r="H139" s="736">
        <f t="shared" ref="H139:H140" si="65">G139/2080*8</f>
        <v>80.769230769230774</v>
      </c>
      <c r="I139" s="764"/>
      <c r="J139" s="765"/>
      <c r="K139" s="683">
        <v>0</v>
      </c>
      <c r="L139" s="665">
        <v>0</v>
      </c>
      <c r="M139" s="665">
        <f>($H$139*M32)*0.5</f>
        <v>8642.3076923076933</v>
      </c>
      <c r="N139" s="665">
        <f t="shared" ref="N139:AE139" si="66">$M$139*L11</f>
        <v>8815.1538461538476</v>
      </c>
      <c r="O139" s="665">
        <f t="shared" si="66"/>
        <v>8991.4569230769248</v>
      </c>
      <c r="P139" s="665">
        <f t="shared" si="66"/>
        <v>9171.2860615384616</v>
      </c>
      <c r="Q139" s="665">
        <f t="shared" si="66"/>
        <v>9354.7117827692309</v>
      </c>
      <c r="R139" s="665">
        <f t="shared" si="66"/>
        <v>9541.8060184246169</v>
      </c>
      <c r="S139" s="665">
        <f t="shared" si="66"/>
        <v>9732.6421387931096</v>
      </c>
      <c r="T139" s="665">
        <f t="shared" si="66"/>
        <v>9927.2949815689717</v>
      </c>
      <c r="U139" s="665">
        <f t="shared" si="66"/>
        <v>10125.840881200351</v>
      </c>
      <c r="V139" s="665">
        <f t="shared" si="66"/>
        <v>10328.357698824359</v>
      </c>
      <c r="W139" s="665">
        <f t="shared" si="66"/>
        <v>10534.924852800847</v>
      </c>
      <c r="X139" s="665">
        <f t="shared" si="66"/>
        <v>10745.623349856864</v>
      </c>
      <c r="Y139" s="665">
        <f t="shared" si="66"/>
        <v>10960.535816854001</v>
      </c>
      <c r="Z139" s="665">
        <f t="shared" si="66"/>
        <v>11179.746533191079</v>
      </c>
      <c r="AA139" s="665">
        <f t="shared" si="66"/>
        <v>11403.341463854902</v>
      </c>
      <c r="AB139" s="665">
        <f t="shared" si="66"/>
        <v>11631.408293132001</v>
      </c>
      <c r="AC139" s="665">
        <f t="shared" si="66"/>
        <v>11864.03645899464</v>
      </c>
      <c r="AD139" s="665">
        <f t="shared" si="66"/>
        <v>12101.317188174535</v>
      </c>
      <c r="AE139" s="665">
        <f t="shared" si="66"/>
        <v>12343.343531938026</v>
      </c>
    </row>
    <row r="140" spans="1:33">
      <c r="A140" s="745" t="s">
        <v>63</v>
      </c>
      <c r="B140" s="738" t="s">
        <v>15</v>
      </c>
      <c r="C140" s="739">
        <v>15000</v>
      </c>
      <c r="D140" s="740">
        <f t="shared" si="64"/>
        <v>7.2115384615384617</v>
      </c>
      <c r="E140" s="739">
        <f>C140*$L$15</f>
        <v>0</v>
      </c>
      <c r="F140" s="739">
        <f t="shared" si="60"/>
        <v>6000</v>
      </c>
      <c r="G140" s="739">
        <f t="shared" si="61"/>
        <v>21000</v>
      </c>
      <c r="H140" s="740">
        <f t="shared" si="65"/>
        <v>80.769230769230774</v>
      </c>
      <c r="I140" s="766"/>
      <c r="J140" s="767"/>
      <c r="K140" s="741">
        <v>0</v>
      </c>
      <c r="L140" s="742">
        <v>0</v>
      </c>
      <c r="M140" s="742">
        <f>($H$140*M32)*0.5</f>
        <v>8642.3076923076933</v>
      </c>
      <c r="N140" s="742">
        <f t="shared" ref="N140:AE140" si="67">$M$140*L11</f>
        <v>8815.1538461538476</v>
      </c>
      <c r="O140" s="742">
        <f t="shared" si="67"/>
        <v>8991.4569230769248</v>
      </c>
      <c r="P140" s="742">
        <f t="shared" si="67"/>
        <v>9171.2860615384616</v>
      </c>
      <c r="Q140" s="742">
        <f t="shared" si="67"/>
        <v>9354.7117827692309</v>
      </c>
      <c r="R140" s="742">
        <f t="shared" si="67"/>
        <v>9541.8060184246169</v>
      </c>
      <c r="S140" s="742">
        <f t="shared" si="67"/>
        <v>9732.6421387931096</v>
      </c>
      <c r="T140" s="742">
        <f t="shared" si="67"/>
        <v>9927.2949815689717</v>
      </c>
      <c r="U140" s="742">
        <f t="shared" si="67"/>
        <v>10125.840881200351</v>
      </c>
      <c r="V140" s="742">
        <f t="shared" si="67"/>
        <v>10328.357698824359</v>
      </c>
      <c r="W140" s="742">
        <f t="shared" si="67"/>
        <v>10534.924852800847</v>
      </c>
      <c r="X140" s="742">
        <f t="shared" si="67"/>
        <v>10745.623349856864</v>
      </c>
      <c r="Y140" s="742">
        <f t="shared" si="67"/>
        <v>10960.535816854001</v>
      </c>
      <c r="Z140" s="742">
        <f t="shared" si="67"/>
        <v>11179.746533191079</v>
      </c>
      <c r="AA140" s="742">
        <f t="shared" si="67"/>
        <v>11403.341463854902</v>
      </c>
      <c r="AB140" s="742">
        <f t="shared" si="67"/>
        <v>11631.408293132001</v>
      </c>
      <c r="AC140" s="742">
        <f t="shared" si="67"/>
        <v>11864.03645899464</v>
      </c>
      <c r="AD140" s="742">
        <f t="shared" si="67"/>
        <v>12101.317188174535</v>
      </c>
      <c r="AE140" s="742">
        <f t="shared" si="67"/>
        <v>12343.343531938026</v>
      </c>
    </row>
    <row r="141" spans="1:33" s="56" customFormat="1" ht="14.25">
      <c r="A141" s="164" t="s">
        <v>415</v>
      </c>
      <c r="B141" s="164"/>
      <c r="C141" s="667">
        <f>SUM(C136:C140)</f>
        <v>255000</v>
      </c>
      <c r="D141" s="667"/>
      <c r="E141" s="667">
        <f>SUM(E136:E140)</f>
        <v>0</v>
      </c>
      <c r="F141" s="667">
        <f>SUM(F136:F140)</f>
        <v>102000</v>
      </c>
      <c r="G141" s="667">
        <f>SUM(G136:G140)</f>
        <v>357000</v>
      </c>
      <c r="H141" s="667">
        <f>SUM(H136:H140)</f>
        <v>1373.0769230769229</v>
      </c>
      <c r="I141" s="768"/>
      <c r="J141" s="769"/>
      <c r="K141" s="685">
        <f>SUMIF($B136:$B140,"FT",K136:K140)</f>
        <v>0</v>
      </c>
      <c r="L141" s="669">
        <f>SUMIF($B136:$B140,"FT",L136:L140)</f>
        <v>0</v>
      </c>
      <c r="M141" s="669">
        <f>SUM(M136:M140)</f>
        <v>54446.538461538468</v>
      </c>
      <c r="N141" s="669">
        <f t="shared" ref="N141:AE141" si="68">SUM(N136:N140)</f>
        <v>55535.469230769231</v>
      </c>
      <c r="O141" s="669">
        <f t="shared" si="68"/>
        <v>56646.178615384626</v>
      </c>
      <c r="P141" s="669">
        <f t="shared" si="68"/>
        <v>57779.102187692311</v>
      </c>
      <c r="Q141" s="669">
        <f t="shared" si="68"/>
        <v>58934.684231446139</v>
      </c>
      <c r="R141" s="669">
        <f t="shared" si="68"/>
        <v>60113.377916075071</v>
      </c>
      <c r="S141" s="669">
        <f t="shared" si="68"/>
        <v>61315.645474396588</v>
      </c>
      <c r="T141" s="669">
        <f t="shared" si="68"/>
        <v>62541.958383884514</v>
      </c>
      <c r="U141" s="669">
        <f t="shared" si="68"/>
        <v>63792.797551562195</v>
      </c>
      <c r="V141" s="669">
        <f t="shared" si="68"/>
        <v>65068.653502593457</v>
      </c>
      <c r="W141" s="669">
        <f t="shared" si="68"/>
        <v>66370.026572645322</v>
      </c>
      <c r="X141" s="669">
        <f t="shared" si="68"/>
        <v>67697.427104098228</v>
      </c>
      <c r="Y141" s="669">
        <f t="shared" si="68"/>
        <v>69051.375646180197</v>
      </c>
      <c r="Z141" s="669">
        <f t="shared" si="68"/>
        <v>70432.403159103793</v>
      </c>
      <c r="AA141" s="669">
        <f t="shared" si="68"/>
        <v>71841.051222285882</v>
      </c>
      <c r="AB141" s="669">
        <f t="shared" si="68"/>
        <v>73277.872246731597</v>
      </c>
      <c r="AC141" s="669">
        <f t="shared" si="68"/>
        <v>74743.429691666228</v>
      </c>
      <c r="AD141" s="669">
        <f t="shared" si="68"/>
        <v>76238.298285499564</v>
      </c>
      <c r="AE141" s="669">
        <f t="shared" si="68"/>
        <v>77763.064251209551</v>
      </c>
    </row>
    <row r="142" spans="1:33">
      <c r="A142" s="37"/>
      <c r="B142" s="37"/>
      <c r="C142" s="663"/>
      <c r="D142" s="663"/>
      <c r="E142" s="663"/>
      <c r="F142" s="663"/>
      <c r="G142" s="663"/>
      <c r="H142" s="663"/>
      <c r="I142" s="107"/>
      <c r="J142" s="108"/>
      <c r="K142" s="683"/>
      <c r="L142" s="666"/>
      <c r="M142" s="666"/>
      <c r="N142" s="666"/>
      <c r="O142" s="666"/>
      <c r="P142" s="666"/>
      <c r="Q142" s="666"/>
      <c r="R142" s="666"/>
      <c r="S142" s="666"/>
      <c r="T142" s="666"/>
      <c r="U142" s="666"/>
      <c r="V142" s="666"/>
      <c r="W142" s="666"/>
      <c r="X142" s="666"/>
      <c r="Y142" s="666"/>
      <c r="Z142" s="666"/>
      <c r="AA142" s="666"/>
      <c r="AB142" s="666"/>
      <c r="AC142" s="666"/>
      <c r="AD142" s="666"/>
      <c r="AE142" s="666"/>
    </row>
    <row r="143" spans="1:33">
      <c r="A143" s="37" t="s">
        <v>11</v>
      </c>
      <c r="B143" s="37"/>
      <c r="C143" s="57"/>
      <c r="E143" s="57"/>
      <c r="F143" s="57"/>
      <c r="G143" s="57"/>
      <c r="H143" s="57"/>
      <c r="I143" s="43"/>
      <c r="J143" s="42"/>
      <c r="K143" s="770">
        <f>COUNTIF(K136:K140,"&gt;100")</f>
        <v>0</v>
      </c>
      <c r="L143" s="771">
        <f>COUNTIF(L136:L138,"&gt;100")</f>
        <v>0</v>
      </c>
      <c r="M143" s="771">
        <f t="shared" ref="M143:AE143" si="69">COUNTIF(M136:M138,"&gt;100")</f>
        <v>3</v>
      </c>
      <c r="N143" s="771">
        <f t="shared" si="69"/>
        <v>3</v>
      </c>
      <c r="O143" s="771">
        <f t="shared" si="69"/>
        <v>3</v>
      </c>
      <c r="P143" s="771">
        <f t="shared" si="69"/>
        <v>3</v>
      </c>
      <c r="Q143" s="771">
        <f t="shared" si="69"/>
        <v>3</v>
      </c>
      <c r="R143" s="771">
        <f t="shared" si="69"/>
        <v>3</v>
      </c>
      <c r="S143" s="771">
        <f t="shared" si="69"/>
        <v>3</v>
      </c>
      <c r="T143" s="771">
        <f t="shared" si="69"/>
        <v>3</v>
      </c>
      <c r="U143" s="771">
        <f t="shared" si="69"/>
        <v>3</v>
      </c>
      <c r="V143" s="771">
        <f t="shared" si="69"/>
        <v>3</v>
      </c>
      <c r="W143" s="771">
        <f t="shared" si="69"/>
        <v>3</v>
      </c>
      <c r="X143" s="771">
        <f t="shared" si="69"/>
        <v>3</v>
      </c>
      <c r="Y143" s="771">
        <f t="shared" si="69"/>
        <v>3</v>
      </c>
      <c r="Z143" s="771">
        <f t="shared" si="69"/>
        <v>3</v>
      </c>
      <c r="AA143" s="771">
        <f t="shared" si="69"/>
        <v>3</v>
      </c>
      <c r="AB143" s="771">
        <f t="shared" si="69"/>
        <v>3</v>
      </c>
      <c r="AC143" s="771">
        <f t="shared" si="69"/>
        <v>3</v>
      </c>
      <c r="AD143" s="771">
        <f t="shared" si="69"/>
        <v>3</v>
      </c>
      <c r="AE143" s="771">
        <f t="shared" si="69"/>
        <v>3</v>
      </c>
      <c r="AF143" s="772"/>
      <c r="AG143" s="772"/>
    </row>
    <row r="144" spans="1:33">
      <c r="A144" s="745" t="s">
        <v>10</v>
      </c>
      <c r="B144" s="745"/>
      <c r="C144" s="746"/>
      <c r="D144" s="116"/>
      <c r="E144" s="746"/>
      <c r="F144" s="746"/>
      <c r="G144" s="746"/>
      <c r="H144" s="746"/>
      <c r="I144" s="747"/>
      <c r="J144" s="748"/>
      <c r="K144" s="773">
        <v>0</v>
      </c>
      <c r="L144" s="774">
        <f>COUNTIF(L139:L140,"&gt;100")</f>
        <v>0</v>
      </c>
      <c r="M144" s="774">
        <f t="shared" ref="M144:AE144" si="70">COUNTIF(M139:M140,"&gt;100")</f>
        <v>2</v>
      </c>
      <c r="N144" s="774">
        <f t="shared" si="70"/>
        <v>2</v>
      </c>
      <c r="O144" s="774">
        <f t="shared" si="70"/>
        <v>2</v>
      </c>
      <c r="P144" s="774">
        <f t="shared" si="70"/>
        <v>2</v>
      </c>
      <c r="Q144" s="774">
        <f t="shared" si="70"/>
        <v>2</v>
      </c>
      <c r="R144" s="774">
        <f t="shared" si="70"/>
        <v>2</v>
      </c>
      <c r="S144" s="774">
        <f t="shared" si="70"/>
        <v>2</v>
      </c>
      <c r="T144" s="774">
        <f t="shared" si="70"/>
        <v>2</v>
      </c>
      <c r="U144" s="774">
        <f t="shared" si="70"/>
        <v>2</v>
      </c>
      <c r="V144" s="774">
        <f t="shared" si="70"/>
        <v>2</v>
      </c>
      <c r="W144" s="774">
        <f t="shared" si="70"/>
        <v>2</v>
      </c>
      <c r="X144" s="774">
        <f t="shared" si="70"/>
        <v>2</v>
      </c>
      <c r="Y144" s="774">
        <f t="shared" si="70"/>
        <v>2</v>
      </c>
      <c r="Z144" s="774">
        <f t="shared" si="70"/>
        <v>2</v>
      </c>
      <c r="AA144" s="774">
        <f t="shared" si="70"/>
        <v>2</v>
      </c>
      <c r="AB144" s="774">
        <f t="shared" si="70"/>
        <v>2</v>
      </c>
      <c r="AC144" s="774">
        <f t="shared" si="70"/>
        <v>2</v>
      </c>
      <c r="AD144" s="774">
        <f t="shared" si="70"/>
        <v>2</v>
      </c>
      <c r="AE144" s="774">
        <f t="shared" si="70"/>
        <v>2</v>
      </c>
      <c r="AF144" s="772"/>
      <c r="AG144" s="772"/>
    </row>
    <row r="145" spans="1:33" s="56" customFormat="1" ht="14.25">
      <c r="A145" s="164" t="s">
        <v>9</v>
      </c>
      <c r="B145" s="164"/>
      <c r="C145" s="75"/>
      <c r="D145" s="173"/>
      <c r="E145" s="75"/>
      <c r="F145" s="75"/>
      <c r="G145" s="75"/>
      <c r="H145" s="75"/>
      <c r="I145" s="174"/>
      <c r="J145" s="181"/>
      <c r="K145" s="775">
        <v>0</v>
      </c>
      <c r="L145" s="776">
        <f>SUM(L143:L144)</f>
        <v>0</v>
      </c>
      <c r="M145" s="776">
        <f t="shared" ref="M145:AE145" si="71">COUNTIF(M136:M140,"&gt;0")</f>
        <v>5</v>
      </c>
      <c r="N145" s="776">
        <f t="shared" si="71"/>
        <v>5</v>
      </c>
      <c r="O145" s="776">
        <f t="shared" si="71"/>
        <v>5</v>
      </c>
      <c r="P145" s="776">
        <f t="shared" si="71"/>
        <v>5</v>
      </c>
      <c r="Q145" s="776">
        <f t="shared" si="71"/>
        <v>5</v>
      </c>
      <c r="R145" s="776">
        <f t="shared" si="71"/>
        <v>5</v>
      </c>
      <c r="S145" s="776">
        <f t="shared" si="71"/>
        <v>5</v>
      </c>
      <c r="T145" s="776">
        <f t="shared" si="71"/>
        <v>5</v>
      </c>
      <c r="U145" s="776">
        <f t="shared" si="71"/>
        <v>5</v>
      </c>
      <c r="V145" s="776">
        <f t="shared" si="71"/>
        <v>5</v>
      </c>
      <c r="W145" s="776">
        <f t="shared" si="71"/>
        <v>5</v>
      </c>
      <c r="X145" s="776">
        <f t="shared" si="71"/>
        <v>5</v>
      </c>
      <c r="Y145" s="776">
        <f t="shared" si="71"/>
        <v>5</v>
      </c>
      <c r="Z145" s="776">
        <f t="shared" si="71"/>
        <v>5</v>
      </c>
      <c r="AA145" s="776">
        <f t="shared" si="71"/>
        <v>5</v>
      </c>
      <c r="AB145" s="776">
        <f t="shared" si="71"/>
        <v>5</v>
      </c>
      <c r="AC145" s="776">
        <f t="shared" si="71"/>
        <v>5</v>
      </c>
      <c r="AD145" s="776">
        <f t="shared" si="71"/>
        <v>5</v>
      </c>
      <c r="AE145" s="776">
        <f t="shared" si="71"/>
        <v>5</v>
      </c>
      <c r="AF145" s="723"/>
      <c r="AG145" s="723"/>
    </row>
    <row r="146" spans="1:33">
      <c r="B146" s="37"/>
      <c r="C146" s="57"/>
      <c r="E146" s="57"/>
      <c r="F146" s="57"/>
      <c r="G146" s="57"/>
      <c r="H146" s="57"/>
      <c r="I146" s="43"/>
      <c r="J146" s="42"/>
      <c r="K146" s="683"/>
      <c r="L146" s="316"/>
      <c r="M146" s="316"/>
      <c r="N146" s="316"/>
      <c r="O146" s="316"/>
      <c r="P146" s="316"/>
      <c r="Q146" s="316"/>
      <c r="R146" s="316"/>
      <c r="S146" s="316"/>
      <c r="T146" s="316"/>
      <c r="U146" s="316"/>
      <c r="V146" s="316"/>
      <c r="W146" s="316"/>
      <c r="X146" s="316"/>
      <c r="Y146" s="316"/>
      <c r="Z146" s="316"/>
      <c r="AA146" s="316"/>
      <c r="AB146" s="316"/>
      <c r="AC146" s="316"/>
      <c r="AD146" s="316"/>
      <c r="AE146" s="316"/>
    </row>
    <row r="147" spans="1:33">
      <c r="A147" s="33" t="s">
        <v>60</v>
      </c>
      <c r="B147" s="191"/>
      <c r="C147" s="192"/>
      <c r="D147" s="193"/>
      <c r="E147" s="194"/>
      <c r="F147" s="194"/>
      <c r="G147" s="192"/>
      <c r="H147" s="192"/>
      <c r="I147" s="195">
        <v>0.2</v>
      </c>
      <c r="J147" s="196"/>
      <c r="K147" s="689">
        <v>0</v>
      </c>
      <c r="L147" s="665">
        <f t="shared" ref="L147:AE147" si="72">L141*$I$147</f>
        <v>0</v>
      </c>
      <c r="M147" s="665">
        <f t="shared" si="72"/>
        <v>10889.307692307695</v>
      </c>
      <c r="N147" s="665">
        <f t="shared" si="72"/>
        <v>11107.093846153846</v>
      </c>
      <c r="O147" s="665">
        <f t="shared" si="72"/>
        <v>11329.235723076927</v>
      </c>
      <c r="P147" s="665">
        <f t="shared" si="72"/>
        <v>11555.820437538463</v>
      </c>
      <c r="Q147" s="665">
        <f t="shared" si="72"/>
        <v>11786.936846289229</v>
      </c>
      <c r="R147" s="665">
        <f t="shared" si="72"/>
        <v>12022.675583215016</v>
      </c>
      <c r="S147" s="665">
        <f t="shared" si="72"/>
        <v>12263.129094879318</v>
      </c>
      <c r="T147" s="665">
        <f t="shared" si="72"/>
        <v>12508.391676776904</v>
      </c>
      <c r="U147" s="665">
        <f t="shared" si="72"/>
        <v>12758.55951031244</v>
      </c>
      <c r="V147" s="665">
        <f t="shared" si="72"/>
        <v>13013.730700518692</v>
      </c>
      <c r="W147" s="665">
        <f t="shared" si="72"/>
        <v>13274.005314529066</v>
      </c>
      <c r="X147" s="665">
        <f t="shared" si="72"/>
        <v>13539.485420819647</v>
      </c>
      <c r="Y147" s="665">
        <f t="shared" si="72"/>
        <v>13810.275129236041</v>
      </c>
      <c r="Z147" s="665">
        <f t="shared" si="72"/>
        <v>14086.480631820759</v>
      </c>
      <c r="AA147" s="665">
        <f t="shared" si="72"/>
        <v>14368.210244457177</v>
      </c>
      <c r="AB147" s="665">
        <f t="shared" si="72"/>
        <v>14655.574449346321</v>
      </c>
      <c r="AC147" s="665">
        <f t="shared" si="72"/>
        <v>14948.685938333247</v>
      </c>
      <c r="AD147" s="665">
        <f t="shared" si="72"/>
        <v>15247.659657099914</v>
      </c>
      <c r="AE147" s="665">
        <f t="shared" si="72"/>
        <v>15552.612850241911</v>
      </c>
    </row>
    <row r="148" spans="1:33">
      <c r="B148" s="191"/>
      <c r="C148" s="192"/>
      <c r="D148" s="193"/>
      <c r="E148" s="194"/>
      <c r="F148" s="194"/>
      <c r="G148" s="192"/>
      <c r="H148" s="192"/>
      <c r="I148" s="195"/>
      <c r="J148" s="196"/>
      <c r="K148" s="689"/>
      <c r="L148" s="665"/>
      <c r="M148" s="665"/>
      <c r="N148" s="665"/>
      <c r="O148" s="665"/>
      <c r="P148" s="665"/>
      <c r="Q148" s="665"/>
      <c r="R148" s="665"/>
      <c r="S148" s="665"/>
      <c r="T148" s="665"/>
      <c r="U148" s="665"/>
      <c r="V148" s="665"/>
      <c r="W148" s="665"/>
      <c r="X148" s="665"/>
      <c r="Y148" s="665"/>
      <c r="Z148" s="665"/>
      <c r="AA148" s="665"/>
      <c r="AB148" s="665"/>
      <c r="AC148" s="665"/>
      <c r="AD148" s="665"/>
      <c r="AE148" s="665"/>
    </row>
    <row r="149" spans="1:33" s="197" customFormat="1" ht="14.25">
      <c r="A149" s="197" t="s">
        <v>68</v>
      </c>
      <c r="D149" s="198"/>
      <c r="K149" s="690"/>
      <c r="L149" s="677"/>
      <c r="M149" s="677"/>
      <c r="N149" s="677"/>
      <c r="O149" s="677"/>
      <c r="P149" s="677"/>
      <c r="Q149" s="677"/>
      <c r="R149" s="677"/>
      <c r="S149" s="677"/>
      <c r="T149" s="677"/>
      <c r="U149" s="677"/>
      <c r="V149" s="677"/>
      <c r="W149" s="677"/>
      <c r="X149" s="677"/>
      <c r="Y149" s="677"/>
      <c r="Z149" s="677"/>
      <c r="AA149" s="677"/>
      <c r="AB149" s="677"/>
      <c r="AC149" s="677"/>
      <c r="AD149" s="677"/>
      <c r="AE149" s="677"/>
    </row>
    <row r="150" spans="1:33">
      <c r="A150" s="37" t="s">
        <v>423</v>
      </c>
      <c r="B150" s="37"/>
      <c r="C150" s="110"/>
      <c r="D150" s="106"/>
      <c r="E150" s="57"/>
      <c r="F150" s="57"/>
      <c r="G150" s="57"/>
      <c r="H150" s="57"/>
      <c r="I150" s="49"/>
      <c r="J150" s="44"/>
      <c r="K150" s="683">
        <f>COUNTIF(K$116:K$123,"&gt;0")*$J150*R$9</f>
        <v>0</v>
      </c>
      <c r="L150" s="666">
        <v>0</v>
      </c>
      <c r="M150" s="666">
        <v>10000</v>
      </c>
      <c r="N150" s="666">
        <f t="shared" ref="N150:AE150" si="73">$M$150*L11</f>
        <v>10200</v>
      </c>
      <c r="O150" s="666">
        <f t="shared" si="73"/>
        <v>10404</v>
      </c>
      <c r="P150" s="666">
        <f t="shared" si="73"/>
        <v>10612.08</v>
      </c>
      <c r="Q150" s="666">
        <f t="shared" si="73"/>
        <v>10824.321599999999</v>
      </c>
      <c r="R150" s="666">
        <f t="shared" si="73"/>
        <v>11040.808032000001</v>
      </c>
      <c r="S150" s="666">
        <f t="shared" si="73"/>
        <v>11261.62419264</v>
      </c>
      <c r="T150" s="666">
        <f t="shared" si="73"/>
        <v>11486.8566764928</v>
      </c>
      <c r="U150" s="666">
        <f t="shared" si="73"/>
        <v>11716.593810022658</v>
      </c>
      <c r="V150" s="666">
        <f t="shared" si="73"/>
        <v>11950.92568622311</v>
      </c>
      <c r="W150" s="666">
        <f t="shared" si="73"/>
        <v>12189.944199947573</v>
      </c>
      <c r="X150" s="666">
        <f t="shared" si="73"/>
        <v>12433.743083946525</v>
      </c>
      <c r="Y150" s="666">
        <f t="shared" si="73"/>
        <v>12682.417945625455</v>
      </c>
      <c r="Z150" s="666">
        <f t="shared" si="73"/>
        <v>12936.066304537962</v>
      </c>
      <c r="AA150" s="666">
        <f t="shared" si="73"/>
        <v>13194.787630628723</v>
      </c>
      <c r="AB150" s="666">
        <f t="shared" si="73"/>
        <v>13458.683383241299</v>
      </c>
      <c r="AC150" s="666">
        <f t="shared" si="73"/>
        <v>13727.857050906125</v>
      </c>
      <c r="AD150" s="666">
        <f t="shared" si="73"/>
        <v>14002.414191924248</v>
      </c>
      <c r="AE150" s="666">
        <f t="shared" si="73"/>
        <v>14282.462475762733</v>
      </c>
    </row>
    <row r="151" spans="1:33">
      <c r="A151" s="37" t="s">
        <v>67</v>
      </c>
      <c r="B151" s="37"/>
      <c r="C151" s="110"/>
      <c r="D151" s="106"/>
      <c r="E151" s="57"/>
      <c r="F151" s="57"/>
      <c r="G151" s="57"/>
      <c r="H151" s="57"/>
      <c r="I151" s="51"/>
      <c r="J151" s="44"/>
      <c r="K151" s="683">
        <v>0</v>
      </c>
      <c r="L151" s="666">
        <v>0</v>
      </c>
      <c r="M151" s="666">
        <v>10000</v>
      </c>
      <c r="N151" s="666">
        <f t="shared" ref="N151:AE151" si="74">$M$151*L11</f>
        <v>10200</v>
      </c>
      <c r="O151" s="666">
        <f t="shared" si="74"/>
        <v>10404</v>
      </c>
      <c r="P151" s="666">
        <f t="shared" si="74"/>
        <v>10612.08</v>
      </c>
      <c r="Q151" s="666">
        <f t="shared" si="74"/>
        <v>10824.321599999999</v>
      </c>
      <c r="R151" s="666">
        <f t="shared" si="74"/>
        <v>11040.808032000001</v>
      </c>
      <c r="S151" s="666">
        <f t="shared" si="74"/>
        <v>11261.62419264</v>
      </c>
      <c r="T151" s="666">
        <f t="shared" si="74"/>
        <v>11486.8566764928</v>
      </c>
      <c r="U151" s="666">
        <f t="shared" si="74"/>
        <v>11716.593810022658</v>
      </c>
      <c r="V151" s="666">
        <f t="shared" si="74"/>
        <v>11950.92568622311</v>
      </c>
      <c r="W151" s="666">
        <f t="shared" si="74"/>
        <v>12189.944199947573</v>
      </c>
      <c r="X151" s="666">
        <f t="shared" si="74"/>
        <v>12433.743083946525</v>
      </c>
      <c r="Y151" s="666">
        <f t="shared" si="74"/>
        <v>12682.417945625455</v>
      </c>
      <c r="Z151" s="666">
        <f t="shared" si="74"/>
        <v>12936.066304537962</v>
      </c>
      <c r="AA151" s="666">
        <f t="shared" si="74"/>
        <v>13194.787630628723</v>
      </c>
      <c r="AB151" s="666">
        <f t="shared" si="74"/>
        <v>13458.683383241299</v>
      </c>
      <c r="AC151" s="666">
        <f t="shared" si="74"/>
        <v>13727.857050906125</v>
      </c>
      <c r="AD151" s="666">
        <f t="shared" si="74"/>
        <v>14002.414191924248</v>
      </c>
      <c r="AE151" s="666">
        <f t="shared" si="74"/>
        <v>14282.462475762733</v>
      </c>
    </row>
    <row r="152" spans="1:33">
      <c r="A152" s="180" t="s">
        <v>2</v>
      </c>
      <c r="B152" s="777"/>
      <c r="C152" s="778"/>
      <c r="D152" s="779"/>
      <c r="E152" s="746"/>
      <c r="F152" s="746"/>
      <c r="G152" s="778"/>
      <c r="H152" s="778"/>
      <c r="I152" s="780"/>
      <c r="J152" s="781"/>
      <c r="K152" s="741">
        <v>0</v>
      </c>
      <c r="L152" s="742">
        <v>0</v>
      </c>
      <c r="M152" s="742">
        <v>0</v>
      </c>
      <c r="N152" s="742">
        <v>0</v>
      </c>
      <c r="O152" s="742">
        <v>0</v>
      </c>
      <c r="P152" s="742">
        <v>0</v>
      </c>
      <c r="Q152" s="742">
        <v>0</v>
      </c>
      <c r="R152" s="742">
        <v>0</v>
      </c>
      <c r="S152" s="742">
        <v>0</v>
      </c>
      <c r="T152" s="742">
        <v>0</v>
      </c>
      <c r="U152" s="742">
        <v>0</v>
      </c>
      <c r="V152" s="742">
        <v>0</v>
      </c>
      <c r="W152" s="742">
        <v>0</v>
      </c>
      <c r="X152" s="742">
        <v>0</v>
      </c>
      <c r="Y152" s="742">
        <v>0</v>
      </c>
      <c r="Z152" s="742">
        <v>0</v>
      </c>
      <c r="AA152" s="742">
        <v>0</v>
      </c>
      <c r="AB152" s="742">
        <v>0</v>
      </c>
      <c r="AC152" s="742">
        <v>0</v>
      </c>
      <c r="AD152" s="742">
        <v>0</v>
      </c>
      <c r="AE152" s="742">
        <v>0</v>
      </c>
    </row>
    <row r="153" spans="1:33" s="56" customFormat="1" ht="14.25">
      <c r="A153" s="164" t="s">
        <v>78</v>
      </c>
      <c r="B153" s="164"/>
      <c r="C153" s="75"/>
      <c r="D153" s="173"/>
      <c r="E153" s="75"/>
      <c r="F153" s="75"/>
      <c r="G153" s="75"/>
      <c r="H153" s="75"/>
      <c r="I153" s="174"/>
      <c r="J153" s="175"/>
      <c r="K153" s="685">
        <v>0</v>
      </c>
      <c r="L153" s="669">
        <f t="shared" ref="L153:AE153" si="75">SUM(L150:L152)</f>
        <v>0</v>
      </c>
      <c r="M153" s="669">
        <f t="shared" si="75"/>
        <v>20000</v>
      </c>
      <c r="N153" s="669">
        <f t="shared" si="75"/>
        <v>20400</v>
      </c>
      <c r="O153" s="669">
        <f t="shared" si="75"/>
        <v>20808</v>
      </c>
      <c r="P153" s="669">
        <f t="shared" si="75"/>
        <v>21224.16</v>
      </c>
      <c r="Q153" s="669">
        <f t="shared" si="75"/>
        <v>21648.643199999999</v>
      </c>
      <c r="R153" s="669">
        <f t="shared" si="75"/>
        <v>22081.616064000002</v>
      </c>
      <c r="S153" s="669">
        <f t="shared" si="75"/>
        <v>22523.24838528</v>
      </c>
      <c r="T153" s="669">
        <f t="shared" si="75"/>
        <v>22973.7133529856</v>
      </c>
      <c r="U153" s="669">
        <f t="shared" si="75"/>
        <v>23433.187620045315</v>
      </c>
      <c r="V153" s="669">
        <f t="shared" si="75"/>
        <v>23901.851372446221</v>
      </c>
      <c r="W153" s="669">
        <f t="shared" si="75"/>
        <v>24379.888399895146</v>
      </c>
      <c r="X153" s="669">
        <f t="shared" si="75"/>
        <v>24867.48616789305</v>
      </c>
      <c r="Y153" s="669">
        <f t="shared" si="75"/>
        <v>25364.83589125091</v>
      </c>
      <c r="Z153" s="669">
        <f t="shared" si="75"/>
        <v>25872.132609075925</v>
      </c>
      <c r="AA153" s="669">
        <f t="shared" si="75"/>
        <v>26389.575261257447</v>
      </c>
      <c r="AB153" s="669">
        <f t="shared" si="75"/>
        <v>26917.366766482599</v>
      </c>
      <c r="AC153" s="669">
        <f t="shared" si="75"/>
        <v>27455.714101812249</v>
      </c>
      <c r="AD153" s="669">
        <f t="shared" si="75"/>
        <v>28004.828383848497</v>
      </c>
      <c r="AE153" s="669">
        <f t="shared" si="75"/>
        <v>28564.924951525467</v>
      </c>
    </row>
    <row r="154" spans="1:33" s="56" customFormat="1" ht="14.25">
      <c r="A154" s="164"/>
      <c r="B154" s="164"/>
      <c r="C154" s="75"/>
      <c r="D154" s="173"/>
      <c r="E154" s="75"/>
      <c r="F154" s="75"/>
      <c r="G154" s="75"/>
      <c r="H154" s="75"/>
      <c r="I154" s="174"/>
      <c r="J154" s="175"/>
      <c r="K154" s="685"/>
      <c r="L154" s="669"/>
      <c r="M154" s="669"/>
      <c r="N154" s="669"/>
      <c r="O154" s="669"/>
      <c r="P154" s="669"/>
      <c r="Q154" s="669"/>
      <c r="R154" s="669"/>
      <c r="S154" s="669"/>
      <c r="T154" s="669"/>
      <c r="U154" s="669"/>
      <c r="V154" s="669"/>
      <c r="W154" s="669"/>
      <c r="X154" s="669"/>
      <c r="Y154" s="669"/>
      <c r="Z154" s="669"/>
      <c r="AA154" s="669"/>
      <c r="AB154" s="669"/>
      <c r="AC154" s="669"/>
      <c r="AD154" s="669"/>
      <c r="AE154" s="669"/>
    </row>
    <row r="155" spans="1:33" s="56" customFormat="1" ht="14.25">
      <c r="A155" s="164" t="s">
        <v>66</v>
      </c>
      <c r="B155" s="164"/>
      <c r="C155" s="75"/>
      <c r="D155" s="173"/>
      <c r="E155" s="75"/>
      <c r="F155" s="75"/>
      <c r="G155" s="75"/>
      <c r="H155" s="75"/>
      <c r="I155" s="174"/>
      <c r="J155" s="175"/>
      <c r="K155" s="685">
        <v>0</v>
      </c>
      <c r="L155" s="669">
        <f>SUM(L141,L153)</f>
        <v>0</v>
      </c>
      <c r="M155" s="669">
        <f>SUM(M141,M147,M153)</f>
        <v>85335.846153846156</v>
      </c>
      <c r="N155" s="669">
        <f t="shared" ref="N155:AE155" si="76">SUM(N141,N147,N153)</f>
        <v>87042.563076923077</v>
      </c>
      <c r="O155" s="669">
        <f t="shared" si="76"/>
        <v>88783.41433846156</v>
      </c>
      <c r="P155" s="669">
        <f t="shared" si="76"/>
        <v>90559.082625230774</v>
      </c>
      <c r="Q155" s="669">
        <f t="shared" si="76"/>
        <v>92370.264277735376</v>
      </c>
      <c r="R155" s="669">
        <f t="shared" si="76"/>
        <v>94217.669563290081</v>
      </c>
      <c r="S155" s="669">
        <f t="shared" si="76"/>
        <v>96102.022954555898</v>
      </c>
      <c r="T155" s="669">
        <f t="shared" si="76"/>
        <v>98024.063413647003</v>
      </c>
      <c r="U155" s="669">
        <f t="shared" si="76"/>
        <v>99984.544681919942</v>
      </c>
      <c r="V155" s="669">
        <f t="shared" si="76"/>
        <v>101984.23557555837</v>
      </c>
      <c r="W155" s="669">
        <f t="shared" si="76"/>
        <v>104023.92028706953</v>
      </c>
      <c r="X155" s="669">
        <f t="shared" si="76"/>
        <v>106104.39869281092</v>
      </c>
      <c r="Y155" s="669">
        <f t="shared" si="76"/>
        <v>108226.48666666714</v>
      </c>
      <c r="Z155" s="669">
        <f t="shared" si="76"/>
        <v>110391.01640000047</v>
      </c>
      <c r="AA155" s="669">
        <f t="shared" si="76"/>
        <v>112598.8367280005</v>
      </c>
      <c r="AB155" s="669">
        <f t="shared" si="76"/>
        <v>114850.8134625605</v>
      </c>
      <c r="AC155" s="669">
        <f t="shared" si="76"/>
        <v>117147.82973181173</v>
      </c>
      <c r="AD155" s="669">
        <f t="shared" si="76"/>
        <v>119490.78632644797</v>
      </c>
      <c r="AE155" s="669">
        <f t="shared" si="76"/>
        <v>121880.60205297693</v>
      </c>
    </row>
    <row r="156" spans="1:33" s="56" customFormat="1" ht="14.25">
      <c r="A156" s="164"/>
      <c r="B156" s="164"/>
      <c r="C156" s="75"/>
      <c r="D156" s="173"/>
      <c r="E156" s="75"/>
      <c r="F156" s="75"/>
      <c r="G156" s="75"/>
      <c r="H156" s="75"/>
      <c r="I156" s="174"/>
      <c r="J156" s="175"/>
      <c r="K156" s="685"/>
      <c r="L156" s="669"/>
      <c r="M156" s="669"/>
      <c r="N156" s="669"/>
      <c r="O156" s="669"/>
      <c r="P156" s="669"/>
      <c r="Q156" s="669"/>
      <c r="R156" s="669"/>
      <c r="S156" s="669"/>
      <c r="T156" s="669"/>
      <c r="U156" s="669"/>
      <c r="V156" s="669"/>
      <c r="W156" s="669"/>
      <c r="X156" s="669"/>
      <c r="Y156" s="669"/>
      <c r="Z156" s="669"/>
      <c r="AA156" s="669"/>
      <c r="AB156" s="669"/>
      <c r="AC156" s="669"/>
      <c r="AD156" s="669"/>
      <c r="AE156" s="669"/>
    </row>
    <row r="157" spans="1:33">
      <c r="A157" s="47" t="s">
        <v>7</v>
      </c>
      <c r="B157" s="47" t="s">
        <v>7</v>
      </c>
      <c r="C157" s="78" t="s">
        <v>7</v>
      </c>
      <c r="D157" s="100"/>
      <c r="E157" s="78" t="s">
        <v>7</v>
      </c>
      <c r="F157" s="78"/>
      <c r="G157" s="78" t="s">
        <v>7</v>
      </c>
      <c r="H157" s="78"/>
      <c r="I157" s="52" t="s">
        <v>7</v>
      </c>
      <c r="J157" s="114"/>
      <c r="K157" s="673"/>
      <c r="L157" s="672"/>
      <c r="M157" s="672"/>
      <c r="N157" s="672"/>
      <c r="O157" s="672"/>
      <c r="P157" s="672"/>
      <c r="Q157" s="672"/>
      <c r="R157" s="672"/>
      <c r="S157" s="672"/>
      <c r="T157" s="672"/>
      <c r="U157" s="672"/>
      <c r="V157" s="672"/>
      <c r="W157" s="672"/>
      <c r="X157" s="672"/>
      <c r="Y157" s="672"/>
      <c r="Z157" s="672"/>
      <c r="AA157" s="672"/>
      <c r="AB157" s="672"/>
      <c r="AC157" s="672"/>
      <c r="AD157" s="672"/>
      <c r="AE157" s="672"/>
    </row>
    <row r="158" spans="1:33">
      <c r="A158" s="47"/>
      <c r="B158" s="47"/>
      <c r="C158" s="78"/>
      <c r="D158" s="100"/>
      <c r="E158" s="78"/>
      <c r="F158" s="78"/>
      <c r="G158" s="78"/>
      <c r="H158" s="78"/>
      <c r="I158" s="52"/>
      <c r="J158" s="114"/>
      <c r="K158" s="664"/>
      <c r="L158" s="666"/>
      <c r="M158" s="666"/>
      <c r="N158" s="666"/>
      <c r="O158" s="666"/>
      <c r="P158" s="666"/>
      <c r="Q158" s="666"/>
      <c r="R158" s="666"/>
      <c r="S158" s="666"/>
      <c r="T158" s="666"/>
      <c r="U158" s="666"/>
      <c r="V158" s="666"/>
      <c r="W158" s="666"/>
      <c r="X158" s="666"/>
      <c r="Y158" s="666"/>
      <c r="Z158" s="666"/>
      <c r="AA158" s="666"/>
      <c r="AB158" s="666"/>
      <c r="AC158" s="666"/>
      <c r="AD158" s="666"/>
      <c r="AE158" s="666"/>
    </row>
    <row r="159" spans="1:33" s="56" customFormat="1" ht="14.25">
      <c r="A159" s="203" t="s">
        <v>79</v>
      </c>
      <c r="B159" s="203"/>
      <c r="C159" s="204"/>
      <c r="D159" s="205"/>
      <c r="E159" s="204"/>
      <c r="F159" s="204"/>
      <c r="G159" s="204"/>
      <c r="H159" s="204"/>
      <c r="I159" s="206"/>
      <c r="J159" s="207"/>
      <c r="K159" s="675">
        <v>0</v>
      </c>
      <c r="L159" s="676">
        <f t="shared" ref="L159:AE159" si="77">SUM(L132,L155)</f>
        <v>0</v>
      </c>
      <c r="M159" s="676">
        <f t="shared" si="77"/>
        <v>139905.84615384616</v>
      </c>
      <c r="N159" s="676">
        <f t="shared" si="77"/>
        <v>143817.19107692307</v>
      </c>
      <c r="O159" s="676">
        <f t="shared" si="77"/>
        <v>146693.53489846154</v>
      </c>
      <c r="P159" s="676">
        <f t="shared" si="77"/>
        <v>149627.40559643076</v>
      </c>
      <c r="Q159" s="676">
        <f t="shared" si="77"/>
        <v>152619.95370835939</v>
      </c>
      <c r="R159" s="676">
        <f t="shared" si="77"/>
        <v>155672.35278252655</v>
      </c>
      <c r="S159" s="676">
        <f t="shared" si="77"/>
        <v>158785.7998381771</v>
      </c>
      <c r="T159" s="676">
        <f t="shared" si="77"/>
        <v>161961.51583494066</v>
      </c>
      <c r="U159" s="676">
        <f t="shared" si="77"/>
        <v>165200.74615163944</v>
      </c>
      <c r="V159" s="676">
        <f t="shared" si="77"/>
        <v>168504.76107467228</v>
      </c>
      <c r="W159" s="676">
        <f t="shared" si="77"/>
        <v>171874.85629616573</v>
      </c>
      <c r="X159" s="676">
        <f t="shared" si="77"/>
        <v>175312.35342208904</v>
      </c>
      <c r="Y159" s="676">
        <f t="shared" si="77"/>
        <v>178818.60049053084</v>
      </c>
      <c r="Z159" s="676">
        <f t="shared" si="77"/>
        <v>182394.97250034142</v>
      </c>
      <c r="AA159" s="676">
        <f t="shared" si="77"/>
        <v>186042.87195034826</v>
      </c>
      <c r="AB159" s="676">
        <f t="shared" si="77"/>
        <v>189763.72938935523</v>
      </c>
      <c r="AC159" s="676">
        <f t="shared" si="77"/>
        <v>193559.00397714233</v>
      </c>
      <c r="AD159" s="676">
        <f t="shared" si="77"/>
        <v>197430.18405668519</v>
      </c>
      <c r="AE159" s="676">
        <f t="shared" si="77"/>
        <v>201378.7877378189</v>
      </c>
      <c r="AG159" s="199"/>
    </row>
    <row r="160" spans="1:33">
      <c r="K160" s="664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</row>
    <row r="161" spans="1:33">
      <c r="A161" s="47" t="s">
        <v>7</v>
      </c>
      <c r="B161" s="47" t="s">
        <v>7</v>
      </c>
      <c r="C161" s="78" t="s">
        <v>7</v>
      </c>
      <c r="D161" s="100"/>
      <c r="E161" s="78" t="s">
        <v>7</v>
      </c>
      <c r="F161" s="78"/>
      <c r="G161" s="78" t="s">
        <v>7</v>
      </c>
      <c r="H161" s="78"/>
      <c r="I161" s="52" t="s">
        <v>7</v>
      </c>
      <c r="J161" s="114"/>
      <c r="K161" s="673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</row>
    <row r="162" spans="1:33">
      <c r="K162" s="664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G162" s="199"/>
    </row>
    <row r="163" spans="1:33" s="56" customFormat="1" ht="14.25">
      <c r="A163" s="208" t="s">
        <v>115</v>
      </c>
      <c r="B163" s="208"/>
      <c r="C163" s="208"/>
      <c r="D163" s="202"/>
      <c r="E163" s="208"/>
      <c r="F163" s="208"/>
      <c r="G163" s="208"/>
      <c r="H163" s="208"/>
      <c r="I163" s="208"/>
      <c r="J163" s="208"/>
      <c r="K163" s="678">
        <f>SUM(K153,K113)</f>
        <v>0</v>
      </c>
      <c r="L163" s="678">
        <f t="shared" ref="L163:AE163" si="78">SUM(L113,L159)</f>
        <v>357416.66666666669</v>
      </c>
      <c r="M163" s="678">
        <f t="shared" si="78"/>
        <v>894419.34615384613</v>
      </c>
      <c r="N163" s="678">
        <f t="shared" si="78"/>
        <v>913431.16107692313</v>
      </c>
      <c r="O163" s="678">
        <f t="shared" si="78"/>
        <v>931699.78429846151</v>
      </c>
      <c r="P163" s="678">
        <f t="shared" si="78"/>
        <v>950333.77998443064</v>
      </c>
      <c r="Q163" s="678">
        <f t="shared" si="78"/>
        <v>997684.33437931933</v>
      </c>
      <c r="R163" s="678">
        <f t="shared" si="78"/>
        <v>1013101.1022765377</v>
      </c>
      <c r="S163" s="678">
        <f t="shared" si="78"/>
        <v>1033363.1243220684</v>
      </c>
      <c r="T163" s="678">
        <f t="shared" si="78"/>
        <v>1054030.3868085099</v>
      </c>
      <c r="U163" s="678">
        <f t="shared" si="78"/>
        <v>1075110.9945446802</v>
      </c>
      <c r="V163" s="678">
        <f t="shared" si="78"/>
        <v>1101003.7172255765</v>
      </c>
      <c r="W163" s="678">
        <f t="shared" si="78"/>
        <v>1118545.4787242853</v>
      </c>
      <c r="X163" s="678">
        <f t="shared" si="78"/>
        <v>1140916.3882987711</v>
      </c>
      <c r="Y163" s="678">
        <f t="shared" si="78"/>
        <v>1163734.7160647465</v>
      </c>
      <c r="Z163" s="678">
        <f t="shared" si="78"/>
        <v>1187009.4103860415</v>
      </c>
      <c r="AA163" s="678">
        <f t="shared" si="78"/>
        <v>1215076.6644246003</v>
      </c>
      <c r="AB163" s="678">
        <f t="shared" si="78"/>
        <v>1234964.5905656377</v>
      </c>
      <c r="AC163" s="678">
        <f t="shared" si="78"/>
        <v>1259663.8823769502</v>
      </c>
      <c r="AD163" s="678">
        <f t="shared" si="78"/>
        <v>1284857.1600244893</v>
      </c>
      <c r="AE163" s="678">
        <f t="shared" si="78"/>
        <v>1310554.3032249792</v>
      </c>
      <c r="AG163" s="199"/>
    </row>
    <row r="164" spans="1:33">
      <c r="K164" s="664"/>
      <c r="L164" s="666"/>
      <c r="M164" s="666"/>
      <c r="N164" s="666"/>
      <c r="O164" s="666"/>
      <c r="P164" s="666"/>
      <c r="Q164" s="666"/>
      <c r="R164" s="666"/>
      <c r="S164" s="666"/>
      <c r="T164" s="666"/>
      <c r="U164" s="666"/>
      <c r="V164" s="666"/>
      <c r="W164" s="666"/>
      <c r="X164" s="666"/>
      <c r="Y164" s="666"/>
      <c r="Z164" s="666"/>
      <c r="AA164" s="666"/>
      <c r="AB164" s="666"/>
      <c r="AC164" s="666"/>
      <c r="AD164" s="666"/>
      <c r="AE164" s="666"/>
      <c r="AG164" s="199"/>
    </row>
    <row r="165" spans="1:33">
      <c r="A165" s="251"/>
      <c r="B165" s="251"/>
      <c r="C165" s="251"/>
      <c r="D165" s="259"/>
      <c r="E165" s="251"/>
      <c r="F165" s="251"/>
      <c r="G165" s="251"/>
      <c r="H165" s="251"/>
      <c r="I165" s="251"/>
      <c r="J165" s="251"/>
      <c r="K165" s="679"/>
      <c r="L165" s="680"/>
      <c r="M165" s="680"/>
      <c r="N165" s="680"/>
      <c r="O165" s="680"/>
      <c r="P165" s="680"/>
      <c r="Q165" s="680"/>
      <c r="R165" s="680"/>
      <c r="S165" s="680"/>
      <c r="T165" s="680"/>
      <c r="U165" s="680"/>
      <c r="V165" s="680"/>
      <c r="W165" s="680"/>
      <c r="X165" s="680"/>
      <c r="Y165" s="680"/>
      <c r="Z165" s="680"/>
      <c r="AA165" s="680"/>
      <c r="AB165" s="680"/>
      <c r="AC165" s="680"/>
      <c r="AD165" s="680"/>
      <c r="AE165" s="680"/>
      <c r="AG165" s="199"/>
    </row>
    <row r="166" spans="1:33">
      <c r="K166" s="664"/>
      <c r="L166" s="666"/>
      <c r="M166" s="666"/>
      <c r="N166" s="666"/>
      <c r="O166" s="666"/>
      <c r="P166" s="666"/>
      <c r="Q166" s="666"/>
      <c r="R166" s="666"/>
      <c r="S166" s="666"/>
      <c r="T166" s="666"/>
      <c r="U166" s="666"/>
      <c r="V166" s="666"/>
      <c r="W166" s="666"/>
      <c r="X166" s="666"/>
      <c r="Y166" s="666"/>
      <c r="Z166" s="666"/>
      <c r="AA166" s="666"/>
      <c r="AB166" s="666"/>
      <c r="AC166" s="666"/>
      <c r="AD166" s="666"/>
      <c r="AE166" s="666"/>
      <c r="AG166" s="199"/>
    </row>
    <row r="167" spans="1:33">
      <c r="A167" s="249" t="s">
        <v>84</v>
      </c>
      <c r="B167" s="281"/>
      <c r="C167" s="281"/>
      <c r="D167" s="177"/>
      <c r="E167" s="281"/>
      <c r="F167" s="281"/>
      <c r="G167" s="281"/>
      <c r="H167" s="281"/>
      <c r="I167" s="281"/>
      <c r="J167" s="281"/>
      <c r="K167" s="681"/>
      <c r="L167" s="682"/>
      <c r="M167" s="682"/>
      <c r="N167" s="682"/>
      <c r="O167" s="682"/>
      <c r="P167" s="682"/>
      <c r="Q167" s="682"/>
      <c r="R167" s="682"/>
      <c r="S167" s="682"/>
      <c r="T167" s="682"/>
      <c r="U167" s="682"/>
      <c r="V167" s="682"/>
      <c r="W167" s="682"/>
      <c r="X167" s="682"/>
      <c r="Y167" s="682"/>
      <c r="Z167" s="682"/>
      <c r="AA167" s="682"/>
      <c r="AB167" s="682"/>
      <c r="AC167" s="682"/>
      <c r="AD167" s="682"/>
      <c r="AE167" s="682"/>
      <c r="AG167" s="199"/>
    </row>
    <row r="168" spans="1:33" s="252" customFormat="1">
      <c r="A168" s="257"/>
      <c r="D168" s="186"/>
      <c r="K168" s="664"/>
      <c r="L168" s="671"/>
      <c r="M168" s="671"/>
      <c r="N168" s="671"/>
      <c r="O168" s="671"/>
      <c r="P168" s="671"/>
      <c r="Q168" s="671"/>
      <c r="R168" s="671"/>
      <c r="S168" s="671"/>
      <c r="T168" s="671"/>
      <c r="U168" s="671"/>
      <c r="V168" s="671"/>
      <c r="W168" s="671"/>
      <c r="X168" s="671"/>
      <c r="Y168" s="671"/>
      <c r="Z168" s="671"/>
      <c r="AA168" s="671"/>
      <c r="AB168" s="671"/>
      <c r="AC168" s="671"/>
      <c r="AD168" s="671"/>
      <c r="AE168" s="671"/>
      <c r="AG168" s="363"/>
    </row>
    <row r="169" spans="1:33">
      <c r="A169" s="96" t="str">
        <f>'OPEX - Concept B3 - Carnival'!A169</f>
        <v>Investment (cash)</v>
      </c>
      <c r="B169" s="96"/>
      <c r="C169" s="96"/>
      <c r="D169" s="96"/>
      <c r="E169" s="96"/>
      <c r="F169" s="96"/>
      <c r="G169" s="96"/>
      <c r="H169" s="96"/>
      <c r="I169" s="96"/>
      <c r="J169" s="96"/>
      <c r="K169" s="883"/>
      <c r="L169" s="663"/>
      <c r="M169" s="663"/>
      <c r="N169" s="663"/>
      <c r="O169" s="663"/>
      <c r="P169" s="663"/>
      <c r="Q169" s="663"/>
      <c r="R169" s="663"/>
      <c r="S169" s="663"/>
      <c r="T169" s="663"/>
      <c r="U169" s="663"/>
      <c r="V169" s="663"/>
      <c r="W169" s="663"/>
      <c r="X169" s="663"/>
      <c r="Y169" s="663"/>
      <c r="Z169" s="663"/>
      <c r="AA169" s="663"/>
      <c r="AB169" s="663"/>
      <c r="AC169" s="663"/>
      <c r="AD169" s="663"/>
      <c r="AE169" s="663"/>
      <c r="AG169" s="199"/>
    </row>
    <row r="170" spans="1:33">
      <c r="A170" s="96" t="str">
        <f>'OPEX - Concept B3 - Carnival'!A170</f>
        <v xml:space="preserve">     Site Maintenance</v>
      </c>
      <c r="B170" s="96"/>
      <c r="C170" s="96"/>
      <c r="D170" s="96"/>
      <c r="E170" s="96"/>
      <c r="F170" s="96"/>
      <c r="G170" s="96"/>
      <c r="H170" s="96"/>
      <c r="I170" s="96"/>
      <c r="J170" s="96"/>
      <c r="K170" s="883">
        <f>'OPEX - Concept B3 - Carnival'!K170</f>
        <v>0</v>
      </c>
      <c r="L170" s="663">
        <f>'OPEX - Concept B3 - Carnival'!L170</f>
        <v>0</v>
      </c>
      <c r="M170" s="663">
        <f>'OPEX - Concept B3 - Carnival'!M170</f>
        <v>67225</v>
      </c>
      <c r="N170" s="663">
        <f>'OPEX - Concept B3 - Carnival'!N170</f>
        <v>68569.5</v>
      </c>
      <c r="O170" s="663">
        <f>'OPEX - Concept B3 - Carnival'!O170</f>
        <v>69940.89</v>
      </c>
      <c r="P170" s="663">
        <f>'OPEX - Concept B3 - Carnival'!P170</f>
        <v>71339.707799999989</v>
      </c>
      <c r="Q170" s="663">
        <f>'OPEX - Concept B3 - Carnival'!Q170</f>
        <v>72766.501955999993</v>
      </c>
      <c r="R170" s="663">
        <f>'OPEX - Concept B3 - Carnival'!R170</f>
        <v>74221.831995119996</v>
      </c>
      <c r="S170" s="663">
        <f>'OPEX - Concept B3 - Carnival'!S170</f>
        <v>75706.26863502241</v>
      </c>
      <c r="T170" s="663">
        <f>'OPEX - Concept B3 - Carnival'!T170</f>
        <v>77220.394007722847</v>
      </c>
      <c r="U170" s="663">
        <f>'OPEX - Concept B3 - Carnival'!U170</f>
        <v>78764.801887877315</v>
      </c>
      <c r="V170" s="663">
        <f>'OPEX - Concept B3 - Carnival'!V170</f>
        <v>80340.097925634866</v>
      </c>
      <c r="W170" s="663">
        <f>'OPEX - Concept B3 - Carnival'!W170</f>
        <v>81946.899884147555</v>
      </c>
      <c r="X170" s="663">
        <f>'OPEX - Concept B3 - Carnival'!X170</f>
        <v>83585.837881830506</v>
      </c>
      <c r="Y170" s="663">
        <f>'OPEX - Concept B3 - Carnival'!Y170</f>
        <v>85257.554639467126</v>
      </c>
      <c r="Z170" s="663">
        <f>'OPEX - Concept B3 - Carnival'!Z170</f>
        <v>86962.705732256451</v>
      </c>
      <c r="AA170" s="663">
        <f>'OPEX - Concept B3 - Carnival'!AA170</f>
        <v>88701.959846901591</v>
      </c>
      <c r="AB170" s="663">
        <f>'OPEX - Concept B3 - Carnival'!AB170</f>
        <v>90475.999043839634</v>
      </c>
      <c r="AC170" s="663">
        <f>'OPEX - Concept B3 - Carnival'!AC170</f>
        <v>92285.519024716428</v>
      </c>
      <c r="AD170" s="663">
        <f>'OPEX - Concept B3 - Carnival'!AD170</f>
        <v>94131.229405210761</v>
      </c>
      <c r="AE170" s="663">
        <f>'OPEX - Concept B3 - Carnival'!AE170</f>
        <v>96013.853993314973</v>
      </c>
      <c r="AG170" s="199"/>
    </row>
    <row r="171" spans="1:33" s="162" customFormat="1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883"/>
      <c r="L171" s="663"/>
      <c r="M171" s="663"/>
      <c r="N171" s="663"/>
      <c r="O171" s="663"/>
      <c r="P171" s="663"/>
      <c r="Q171" s="663"/>
      <c r="R171" s="663"/>
      <c r="S171" s="663"/>
      <c r="T171" s="663"/>
      <c r="U171" s="663"/>
      <c r="V171" s="663"/>
      <c r="W171" s="663"/>
      <c r="X171" s="663"/>
      <c r="Y171" s="663"/>
      <c r="Z171" s="663"/>
      <c r="AA171" s="663"/>
      <c r="AB171" s="663"/>
      <c r="AC171" s="663"/>
      <c r="AD171" s="663"/>
      <c r="AE171" s="663"/>
      <c r="AG171" s="786"/>
    </row>
    <row r="172" spans="1:33" s="162" customFormat="1">
      <c r="A172" s="96" t="str">
        <f>'OPEX - Concept B3 - Carnival'!A172</f>
        <v>Debt Service (Site Demolition, Design, Development/Preparation &amp; Shuttles)</v>
      </c>
      <c r="B172" s="96"/>
      <c r="C172" s="96"/>
      <c r="D172" s="96"/>
      <c r="E172" s="96"/>
      <c r="F172" s="96"/>
      <c r="G172" s="96"/>
      <c r="H172" s="96"/>
      <c r="I172" s="96"/>
      <c r="J172" s="96"/>
      <c r="K172" s="883">
        <f>'OPEX - Concept B3 - Carnival'!K172</f>
        <v>0</v>
      </c>
      <c r="L172" s="663">
        <f>'OPEX - Concept B3 - Carnival'!L172</f>
        <v>706995.96</v>
      </c>
      <c r="M172" s="663">
        <f>'OPEX - Concept B3 - Carnival'!M172</f>
        <v>706995.96</v>
      </c>
      <c r="N172" s="663">
        <f>'OPEX - Concept B3 - Carnival'!N172</f>
        <v>706995.96</v>
      </c>
      <c r="O172" s="663">
        <f>'OPEX - Concept B3 - Carnival'!O172</f>
        <v>706995.96</v>
      </c>
      <c r="P172" s="663">
        <f>'OPEX - Concept B3 - Carnival'!P172</f>
        <v>706995.96</v>
      </c>
      <c r="Q172" s="663">
        <f>'OPEX - Concept B3 - Carnival'!Q172</f>
        <v>706995.96</v>
      </c>
      <c r="R172" s="663">
        <f>'OPEX - Concept B3 - Carnival'!R172</f>
        <v>706995.96</v>
      </c>
      <c r="S172" s="663">
        <f>'OPEX - Concept B3 - Carnival'!S172</f>
        <v>706995.96</v>
      </c>
      <c r="T172" s="663">
        <f>'OPEX - Concept B3 - Carnival'!T172</f>
        <v>706995.96</v>
      </c>
      <c r="U172" s="663">
        <f>'OPEX - Concept B3 - Carnival'!U172</f>
        <v>706995.96</v>
      </c>
      <c r="V172" s="663">
        <f>'OPEX - Concept B3 - Carnival'!V172</f>
        <v>706995.96</v>
      </c>
      <c r="W172" s="663">
        <f>'OPEX - Concept B3 - Carnival'!W172</f>
        <v>706995.96</v>
      </c>
      <c r="X172" s="663">
        <f>'OPEX - Concept B3 - Carnival'!X172</f>
        <v>706995.96</v>
      </c>
      <c r="Y172" s="663">
        <f>'OPEX - Concept B3 - Carnival'!Y172</f>
        <v>706995.96</v>
      </c>
      <c r="Z172" s="663">
        <f>'OPEX - Concept B3 - Carnival'!Z172</f>
        <v>706995.96</v>
      </c>
      <c r="AA172" s="663">
        <f>'OPEX - Concept B3 - Carnival'!AA172</f>
        <v>706995.96</v>
      </c>
      <c r="AB172" s="663">
        <f>'OPEX - Concept B3 - Carnival'!AB172</f>
        <v>706995.96</v>
      </c>
      <c r="AC172" s="663">
        <f>'OPEX - Concept B3 - Carnival'!AC172</f>
        <v>706995.96</v>
      </c>
      <c r="AD172" s="663">
        <f>'OPEX - Concept B3 - Carnival'!AD172</f>
        <v>706995.96</v>
      </c>
      <c r="AE172" s="663">
        <f>'OPEX - Concept B3 - Carnival'!AE172</f>
        <v>706995.96</v>
      </c>
    </row>
    <row r="173" spans="1:33" s="702" customFormat="1">
      <c r="A173" s="341" t="s">
        <v>315</v>
      </c>
      <c r="B173" s="701"/>
      <c r="C173" s="703"/>
      <c r="D173" s="704"/>
      <c r="E173" s="705"/>
      <c r="F173" s="705"/>
      <c r="G173" s="705"/>
      <c r="H173" s="705"/>
      <c r="I173" s="706"/>
      <c r="J173" s="707"/>
      <c r="K173" s="699">
        <v>0</v>
      </c>
      <c r="L173" s="700">
        <v>0</v>
      </c>
      <c r="M173" s="700">
        <v>0</v>
      </c>
      <c r="N173" s="700">
        <v>0</v>
      </c>
      <c r="O173" s="700">
        <v>0</v>
      </c>
      <c r="P173" s="700">
        <v>0</v>
      </c>
      <c r="Q173" s="700">
        <v>0</v>
      </c>
      <c r="R173" s="700">
        <v>0</v>
      </c>
      <c r="S173" s="700">
        <v>0</v>
      </c>
      <c r="T173" s="700">
        <v>0</v>
      </c>
      <c r="U173" s="700">
        <v>0</v>
      </c>
      <c r="V173" s="700">
        <v>0</v>
      </c>
      <c r="W173" s="700">
        <v>0</v>
      </c>
      <c r="X173" s="700">
        <v>0</v>
      </c>
      <c r="Y173" s="700">
        <v>0</v>
      </c>
      <c r="Z173" s="700">
        <v>0</v>
      </c>
      <c r="AA173" s="700">
        <v>0</v>
      </c>
      <c r="AB173" s="700">
        <v>0</v>
      </c>
      <c r="AC173" s="700">
        <v>0</v>
      </c>
      <c r="AD173" s="700">
        <v>0</v>
      </c>
      <c r="AE173" s="700">
        <v>0</v>
      </c>
      <c r="AG173" s="708"/>
    </row>
    <row r="174" spans="1:33">
      <c r="A174" s="180" t="s">
        <v>316</v>
      </c>
      <c r="B174" s="180"/>
      <c r="C174" s="180"/>
      <c r="D174" s="116"/>
      <c r="E174" s="180"/>
      <c r="F174" s="180"/>
      <c r="G174" s="180"/>
      <c r="H174" s="180"/>
      <c r="I174" s="180"/>
      <c r="J174" s="180"/>
      <c r="K174" s="505">
        <v>0</v>
      </c>
      <c r="L174" s="506">
        <v>246000</v>
      </c>
      <c r="M174" s="506">
        <v>246000</v>
      </c>
      <c r="N174" s="506">
        <v>246000</v>
      </c>
      <c r="O174" s="506">
        <v>246000</v>
      </c>
      <c r="P174" s="506">
        <v>246000</v>
      </c>
      <c r="Q174" s="506">
        <v>246000</v>
      </c>
      <c r="R174" s="506">
        <v>246000</v>
      </c>
      <c r="S174" s="506">
        <v>246000</v>
      </c>
      <c r="T174" s="506">
        <v>246000</v>
      </c>
      <c r="U174" s="506">
        <v>246000</v>
      </c>
      <c r="V174" s="506">
        <v>246000</v>
      </c>
      <c r="W174" s="506">
        <v>246000</v>
      </c>
      <c r="X174" s="506">
        <v>246000</v>
      </c>
      <c r="Y174" s="506">
        <v>246000</v>
      </c>
      <c r="Z174" s="506">
        <v>246000</v>
      </c>
      <c r="AA174" s="506">
        <v>246000</v>
      </c>
      <c r="AB174" s="506">
        <v>246000</v>
      </c>
      <c r="AC174" s="506">
        <v>246000</v>
      </c>
      <c r="AD174" s="506">
        <v>246000</v>
      </c>
      <c r="AE174" s="506">
        <v>246000</v>
      </c>
      <c r="AG174" s="199"/>
    </row>
    <row r="175" spans="1:33" s="56" customFormat="1" ht="14.25">
      <c r="A175" s="56" t="s">
        <v>134</v>
      </c>
      <c r="D175" s="173"/>
      <c r="K175" s="524">
        <f t="shared" ref="K175:AE175" si="79">SUM(K169:K174)</f>
        <v>0</v>
      </c>
      <c r="L175" s="525">
        <f t="shared" si="79"/>
        <v>952995.96</v>
      </c>
      <c r="M175" s="525">
        <f t="shared" si="79"/>
        <v>1020220.96</v>
      </c>
      <c r="N175" s="525">
        <f t="shared" si="79"/>
        <v>1021565.46</v>
      </c>
      <c r="O175" s="525">
        <f t="shared" si="79"/>
        <v>1022936.85</v>
      </c>
      <c r="P175" s="525">
        <f t="shared" si="79"/>
        <v>1024335.6677999999</v>
      </c>
      <c r="Q175" s="525">
        <f t="shared" si="79"/>
        <v>1025762.461956</v>
      </c>
      <c r="R175" s="525">
        <f t="shared" si="79"/>
        <v>1027217.79199512</v>
      </c>
      <c r="S175" s="525">
        <f t="shared" si="79"/>
        <v>1028702.2286350224</v>
      </c>
      <c r="T175" s="525">
        <f t="shared" si="79"/>
        <v>1030216.3540077228</v>
      </c>
      <c r="U175" s="525">
        <f t="shared" si="79"/>
        <v>1031760.7618878772</v>
      </c>
      <c r="V175" s="525">
        <f t="shared" si="79"/>
        <v>1033336.0579256348</v>
      </c>
      <c r="W175" s="525">
        <f t="shared" si="79"/>
        <v>1034942.8598841475</v>
      </c>
      <c r="X175" s="525">
        <f t="shared" si="79"/>
        <v>1036581.7978818305</v>
      </c>
      <c r="Y175" s="525">
        <f t="shared" si="79"/>
        <v>1038253.5146394671</v>
      </c>
      <c r="Z175" s="525">
        <f t="shared" si="79"/>
        <v>1039958.6657322564</v>
      </c>
      <c r="AA175" s="525">
        <f t="shared" si="79"/>
        <v>1041697.9198469016</v>
      </c>
      <c r="AB175" s="525">
        <f t="shared" si="79"/>
        <v>1043471.9590438396</v>
      </c>
      <c r="AC175" s="525">
        <f t="shared" si="79"/>
        <v>1045281.4790247164</v>
      </c>
      <c r="AD175" s="525">
        <f t="shared" si="79"/>
        <v>1047127.1894052108</v>
      </c>
      <c r="AE175" s="525">
        <f t="shared" si="79"/>
        <v>1049009.813993315</v>
      </c>
      <c r="AG175" s="199"/>
    </row>
    <row r="176" spans="1:33">
      <c r="K176" s="683"/>
      <c r="L176" s="666"/>
      <c r="M176" s="666"/>
      <c r="N176" s="666"/>
      <c r="O176" s="666"/>
      <c r="P176" s="666"/>
      <c r="Q176" s="666"/>
      <c r="R176" s="666"/>
      <c r="S176" s="666"/>
      <c r="T176" s="666"/>
      <c r="U176" s="666"/>
      <c r="V176" s="666"/>
      <c r="W176" s="666"/>
      <c r="X176" s="666"/>
      <c r="Y176" s="666"/>
      <c r="Z176" s="666"/>
      <c r="AA176" s="666"/>
      <c r="AB176" s="666"/>
      <c r="AC176" s="666"/>
      <c r="AD176" s="666"/>
      <c r="AE176" s="666"/>
      <c r="AG176" s="199"/>
    </row>
    <row r="177" spans="1:33" s="56" customFormat="1" ht="14.25">
      <c r="A177" s="208" t="s">
        <v>86</v>
      </c>
      <c r="B177" s="718">
        <f>SUM(L177:AE177)</f>
        <v>20595375.753659062</v>
      </c>
      <c r="C177" s="208"/>
      <c r="D177" s="202"/>
      <c r="E177" s="208"/>
      <c r="F177" s="208"/>
      <c r="G177" s="208"/>
      <c r="H177" s="208"/>
      <c r="I177" s="208"/>
      <c r="J177" s="208"/>
      <c r="K177" s="678">
        <f>SUM(K170:K172)</f>
        <v>0</v>
      </c>
      <c r="L177" s="678">
        <f>L175</f>
        <v>952995.96</v>
      </c>
      <c r="M177" s="678">
        <f t="shared" ref="M177:AE177" si="80">M175</f>
        <v>1020220.96</v>
      </c>
      <c r="N177" s="678">
        <f t="shared" si="80"/>
        <v>1021565.46</v>
      </c>
      <c r="O177" s="678">
        <f t="shared" si="80"/>
        <v>1022936.85</v>
      </c>
      <c r="P177" s="678">
        <f t="shared" si="80"/>
        <v>1024335.6677999999</v>
      </c>
      <c r="Q177" s="678">
        <f t="shared" si="80"/>
        <v>1025762.461956</v>
      </c>
      <c r="R177" s="678">
        <f t="shared" si="80"/>
        <v>1027217.79199512</v>
      </c>
      <c r="S177" s="678">
        <f t="shared" si="80"/>
        <v>1028702.2286350224</v>
      </c>
      <c r="T177" s="678">
        <f t="shared" si="80"/>
        <v>1030216.3540077228</v>
      </c>
      <c r="U177" s="678">
        <f t="shared" si="80"/>
        <v>1031760.7618878772</v>
      </c>
      <c r="V177" s="678">
        <f t="shared" si="80"/>
        <v>1033336.0579256348</v>
      </c>
      <c r="W177" s="678">
        <f t="shared" si="80"/>
        <v>1034942.8598841475</v>
      </c>
      <c r="X177" s="678">
        <f t="shared" si="80"/>
        <v>1036581.7978818305</v>
      </c>
      <c r="Y177" s="678">
        <f t="shared" si="80"/>
        <v>1038253.5146394671</v>
      </c>
      <c r="Z177" s="678">
        <f t="shared" si="80"/>
        <v>1039958.6657322564</v>
      </c>
      <c r="AA177" s="678">
        <f t="shared" si="80"/>
        <v>1041697.9198469016</v>
      </c>
      <c r="AB177" s="678">
        <f t="shared" si="80"/>
        <v>1043471.9590438396</v>
      </c>
      <c r="AC177" s="678">
        <f t="shared" si="80"/>
        <v>1045281.4790247164</v>
      </c>
      <c r="AD177" s="678">
        <f t="shared" si="80"/>
        <v>1047127.1894052108</v>
      </c>
      <c r="AE177" s="678">
        <f t="shared" si="80"/>
        <v>1049009.813993315</v>
      </c>
      <c r="AG177" s="199"/>
    </row>
    <row r="178" spans="1:33">
      <c r="K178" s="662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1"/>
      <c r="Y178" s="201"/>
      <c r="Z178" s="201"/>
      <c r="AA178" s="201"/>
      <c r="AB178" s="201"/>
      <c r="AC178" s="201"/>
      <c r="AD178" s="201"/>
      <c r="AE178" s="201"/>
    </row>
    <row r="179" spans="1:33">
      <c r="A179" s="251"/>
      <c r="B179" s="251"/>
      <c r="C179" s="251"/>
      <c r="D179" s="259"/>
      <c r="E179" s="251"/>
      <c r="F179" s="251"/>
      <c r="G179" s="251"/>
      <c r="H179" s="251"/>
      <c r="I179" s="251"/>
      <c r="J179" s="251"/>
      <c r="K179" s="324"/>
      <c r="L179" s="325"/>
      <c r="M179" s="325"/>
      <c r="N179" s="325"/>
      <c r="O179" s="325"/>
      <c r="P179" s="325"/>
      <c r="Q179" s="325"/>
      <c r="R179" s="325"/>
      <c r="S179" s="325"/>
      <c r="T179" s="325"/>
      <c r="U179" s="325"/>
      <c r="V179" s="325"/>
      <c r="W179" s="325"/>
      <c r="X179" s="325"/>
      <c r="Y179" s="325"/>
      <c r="Z179" s="325"/>
      <c r="AA179" s="325"/>
      <c r="AB179" s="325"/>
      <c r="AC179" s="325"/>
      <c r="AD179" s="325"/>
      <c r="AE179" s="325"/>
    </row>
    <row r="180" spans="1:33">
      <c r="K180" s="322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</row>
    <row r="181" spans="1:33">
      <c r="A181"/>
      <c r="K181" s="322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</row>
    <row r="182" spans="1:33">
      <c r="A182"/>
      <c r="K182" s="322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  <c r="AA182" s="201"/>
      <c r="AB182" s="201"/>
      <c r="AC182" s="201"/>
      <c r="AD182" s="201"/>
      <c r="AE182" s="201"/>
    </row>
    <row r="183" spans="1:33">
      <c r="K183" s="322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</row>
    <row r="184" spans="1:33">
      <c r="K184" s="322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  <c r="AA184" s="201"/>
      <c r="AB184" s="201"/>
      <c r="AC184" s="201"/>
      <c r="AD184" s="201"/>
      <c r="AE184" s="201"/>
    </row>
    <row r="185" spans="1:33">
      <c r="K185" s="322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</row>
    <row r="186" spans="1:33">
      <c r="K186" s="322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</row>
    <row r="187" spans="1:33">
      <c r="K187" s="322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</row>
    <row r="188" spans="1:33">
      <c r="K188" s="322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</row>
    <row r="189" spans="1:33">
      <c r="K189" s="322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</row>
    <row r="190" spans="1:33">
      <c r="K190" s="322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</row>
    <row r="191" spans="1:33">
      <c r="K191" s="322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</row>
    <row r="192" spans="1:33">
      <c r="K192" s="322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</row>
    <row r="193" spans="11:31">
      <c r="K193" s="322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201"/>
      <c r="AE193" s="201"/>
    </row>
    <row r="194" spans="11:31">
      <c r="K194" s="322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1"/>
      <c r="Z194" s="201"/>
      <c r="AA194" s="201"/>
      <c r="AB194" s="201"/>
      <c r="AC194" s="201"/>
      <c r="AD194" s="201"/>
      <c r="AE194" s="201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XFD196"/>
  <sheetViews>
    <sheetView zoomScale="64" zoomScaleNormal="55" workbookViewId="0">
      <selection activeCell="A117" sqref="A117:XFD117"/>
    </sheetView>
  </sheetViews>
  <sheetFormatPr defaultColWidth="9" defaultRowHeight="16.5"/>
  <cols>
    <col min="1" max="1" width="60.625" style="18" bestFit="1" customWidth="1"/>
    <col min="2" max="2" width="15.375" style="18" bestFit="1" customWidth="1"/>
    <col min="3" max="3" width="8" style="18" bestFit="1" customWidth="1"/>
    <col min="4" max="4" width="7.75" style="262" bestFit="1" customWidth="1"/>
    <col min="5" max="5" width="16.375" style="18" bestFit="1" customWidth="1"/>
    <col min="6" max="7" width="17.125" style="18" bestFit="1" customWidth="1"/>
    <col min="8" max="9" width="17.75" style="18" bestFit="1" customWidth="1"/>
    <col min="10" max="10" width="16.75" style="18" bestFit="1" customWidth="1"/>
    <col min="11" max="11" width="16" style="18" bestFit="1" customWidth="1"/>
    <col min="12" max="15" width="16.75" style="18" bestFit="1" customWidth="1"/>
    <col min="16" max="16" width="16.375" style="18" bestFit="1" customWidth="1"/>
    <col min="17" max="17" width="16.75" style="18" bestFit="1" customWidth="1"/>
    <col min="18" max="19" width="16.375" style="18" bestFit="1" customWidth="1"/>
    <col min="20" max="20" width="16.75" style="18" bestFit="1" customWidth="1"/>
    <col min="21" max="21" width="16.375" style="18" bestFit="1" customWidth="1"/>
    <col min="22" max="24" width="16.75" style="18" bestFit="1" customWidth="1"/>
    <col min="25" max="25" width="22.625" style="18" bestFit="1" customWidth="1"/>
    <col min="26" max="16384" width="9" style="18"/>
  </cols>
  <sheetData>
    <row r="1" spans="1:25" ht="18.75" thickBot="1">
      <c r="A1" s="11" t="str">
        <f>Intro!A1</f>
        <v>Town of Bar Harbor</v>
      </c>
      <c r="B1" s="27"/>
      <c r="C1" s="17"/>
      <c r="D1" s="260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</row>
    <row r="2" spans="1:25" ht="17.25" thickBot="1">
      <c r="A2" s="380" t="str">
        <f>Intro!A2</f>
        <v>Ferry Property Business Plan</v>
      </c>
      <c r="B2" s="13"/>
      <c r="C2" s="17"/>
      <c r="D2" s="260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</row>
    <row r="3" spans="1:25" s="381" customFormat="1" ht="14.25" thickBot="1">
      <c r="A3" s="384" t="str">
        <f>Intro!A3</f>
        <v>05.23.2018</v>
      </c>
      <c r="B3" s="304"/>
      <c r="C3" s="387"/>
      <c r="D3" s="388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7"/>
      <c r="X3" s="387"/>
    </row>
    <row r="4" spans="1:25" s="381" customFormat="1" ht="13.5">
      <c r="A4" s="384" t="str">
        <f ca="1">Intro!A4</f>
        <v>Town of Bar Harbor</v>
      </c>
      <c r="B4" s="382"/>
      <c r="C4" s="383">
        <f ca="1">NOW()</f>
        <v>43242.835659143515</v>
      </c>
      <c r="D4" s="388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  <c r="Q4" s="387"/>
      <c r="R4" s="387"/>
      <c r="S4" s="387"/>
      <c r="T4" s="387"/>
      <c r="U4" s="387"/>
      <c r="V4" s="387"/>
      <c r="W4" s="387"/>
      <c r="X4" s="387"/>
    </row>
    <row r="5" spans="1:25">
      <c r="A5" s="244" t="s">
        <v>343</v>
      </c>
      <c r="B5" s="244"/>
      <c r="C5" s="245"/>
      <c r="D5" s="261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</row>
    <row r="6" spans="1:25">
      <c r="D6" s="485"/>
    </row>
    <row r="7" spans="1:25">
      <c r="A7" s="22"/>
      <c r="B7" s="71"/>
      <c r="C7" s="71"/>
      <c r="D7" s="72">
        <f>'Cruise Projections'!T7</f>
        <v>2018</v>
      </c>
      <c r="E7" s="72">
        <f>'Cruise Projections'!U7</f>
        <v>2019</v>
      </c>
      <c r="F7" s="72">
        <f>'Cruise Projections'!V7</f>
        <v>2020</v>
      </c>
      <c r="G7" s="72">
        <f>'Cruise Projections'!W7</f>
        <v>2021</v>
      </c>
      <c r="H7" s="72">
        <f>'Cruise Projections'!X7</f>
        <v>2022</v>
      </c>
      <c r="I7" s="72">
        <f>'Cruise Projections'!Y7</f>
        <v>2023</v>
      </c>
      <c r="J7" s="72">
        <f>'Cruise Projections'!Z7</f>
        <v>2024</v>
      </c>
      <c r="K7" s="72">
        <f>'Cruise Projections'!AA7</f>
        <v>2025</v>
      </c>
      <c r="L7" s="72">
        <f>'Cruise Projections'!AB7</f>
        <v>2026</v>
      </c>
      <c r="M7" s="72">
        <f>'Cruise Projections'!AC7</f>
        <v>2027</v>
      </c>
      <c r="N7" s="72">
        <f>'Cruise Projections'!AD7</f>
        <v>2028</v>
      </c>
      <c r="O7" s="72">
        <f>'Cruise Projections'!AE7</f>
        <v>2029</v>
      </c>
      <c r="P7" s="72">
        <f>'Cruise Projections'!AF7</f>
        <v>2030</v>
      </c>
      <c r="Q7" s="72">
        <f>'Cruise Projections'!AG7</f>
        <v>2031</v>
      </c>
      <c r="R7" s="72">
        <f>'Cruise Projections'!AH7</f>
        <v>2032</v>
      </c>
      <c r="S7" s="72">
        <f>'Cruise Projections'!AI7</f>
        <v>2033</v>
      </c>
      <c r="T7" s="72">
        <f>'Cruise Projections'!AJ7</f>
        <v>2034</v>
      </c>
      <c r="U7" s="72">
        <f>'Cruise Projections'!AK7</f>
        <v>2035</v>
      </c>
      <c r="V7" s="72">
        <f>'Cruise Projections'!AL7</f>
        <v>2036</v>
      </c>
      <c r="W7" s="72">
        <f>'Cruise Projections'!AM7</f>
        <v>2037</v>
      </c>
      <c r="X7" s="72">
        <f>'Cruise Projections'!AN7</f>
        <v>2038</v>
      </c>
    </row>
    <row r="8" spans="1:25" ht="17.25" thickBot="1">
      <c r="D8" s="488"/>
    </row>
    <row r="9" spans="1:25" ht="17.25" thickBot="1">
      <c r="A9" s="117" t="s">
        <v>381</v>
      </c>
      <c r="B9" s="286" t="s">
        <v>218</v>
      </c>
      <c r="D9" s="489"/>
      <c r="E9" s="327"/>
      <c r="F9" s="327"/>
      <c r="G9" s="327"/>
      <c r="H9" s="327"/>
      <c r="I9" s="327"/>
      <c r="J9" s="327"/>
      <c r="K9" s="327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</row>
    <row r="10" spans="1:25">
      <c r="D10" s="489"/>
      <c r="E10" s="327"/>
      <c r="F10" s="327"/>
      <c r="G10" s="327"/>
      <c r="H10" s="327"/>
      <c r="I10" s="327"/>
      <c r="J10" s="327"/>
      <c r="K10" s="327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</row>
    <row r="11" spans="1:25" s="547" customFormat="1" ht="14.25">
      <c r="A11" s="547" t="s">
        <v>83</v>
      </c>
      <c r="D11" s="619"/>
      <c r="E11" s="620"/>
      <c r="F11" s="620"/>
      <c r="G11" s="620"/>
      <c r="H11" s="620"/>
      <c r="I11" s="620"/>
      <c r="J11" s="620"/>
      <c r="K11" s="620"/>
      <c r="L11" s="620"/>
      <c r="M11" s="620"/>
      <c r="N11" s="620"/>
      <c r="O11" s="620"/>
      <c r="P11" s="620"/>
      <c r="Q11" s="620"/>
      <c r="R11" s="620"/>
      <c r="S11" s="620"/>
      <c r="T11" s="620"/>
      <c r="U11" s="620"/>
      <c r="V11" s="620"/>
      <c r="W11" s="620"/>
      <c r="X11" s="620"/>
    </row>
    <row r="12" spans="1:25" s="341" customFormat="1">
      <c r="A12" s="621" t="str">
        <f>'Cruise Projections'!A67</f>
        <v>Passengers</v>
      </c>
      <c r="B12" s="553"/>
      <c r="C12" s="553"/>
      <c r="D12" s="554">
        <f>'Cruise Projections'!T67</f>
        <v>0</v>
      </c>
      <c r="E12" s="555">
        <v>0</v>
      </c>
      <c r="F12" s="555">
        <v>0</v>
      </c>
      <c r="G12" s="555">
        <v>0</v>
      </c>
      <c r="H12" s="555">
        <v>0</v>
      </c>
      <c r="I12" s="555">
        <v>0</v>
      </c>
      <c r="J12" s="555">
        <v>0</v>
      </c>
      <c r="K12" s="555">
        <v>0</v>
      </c>
      <c r="L12" s="555">
        <v>0</v>
      </c>
      <c r="M12" s="555">
        <v>0</v>
      </c>
      <c r="N12" s="555">
        <v>0</v>
      </c>
      <c r="O12" s="555">
        <v>0</v>
      </c>
      <c r="P12" s="555">
        <v>0</v>
      </c>
      <c r="Q12" s="555">
        <v>0</v>
      </c>
      <c r="R12" s="555">
        <v>0</v>
      </c>
      <c r="S12" s="555">
        <v>0</v>
      </c>
      <c r="T12" s="555">
        <v>0</v>
      </c>
      <c r="U12" s="555">
        <v>0</v>
      </c>
      <c r="V12" s="555">
        <v>0</v>
      </c>
      <c r="W12" s="555">
        <v>0</v>
      </c>
      <c r="X12" s="555">
        <v>0</v>
      </c>
      <c r="Y12" s="555"/>
    </row>
    <row r="13" spans="1:25" s="341" customFormat="1">
      <c r="A13" s="621" t="str">
        <f>'Cruise Projections'!A68</f>
        <v>Calls</v>
      </c>
      <c r="B13" s="553"/>
      <c r="C13" s="553"/>
      <c r="D13" s="554">
        <f>'Cruise Projections'!T68</f>
        <v>0</v>
      </c>
      <c r="E13" s="555">
        <v>0</v>
      </c>
      <c r="F13" s="555">
        <v>0</v>
      </c>
      <c r="G13" s="555">
        <v>0</v>
      </c>
      <c r="H13" s="555">
        <v>0</v>
      </c>
      <c r="I13" s="555">
        <v>0</v>
      </c>
      <c r="J13" s="555">
        <v>0</v>
      </c>
      <c r="K13" s="555">
        <v>0</v>
      </c>
      <c r="L13" s="555">
        <v>0</v>
      </c>
      <c r="M13" s="555">
        <v>0</v>
      </c>
      <c r="N13" s="555">
        <v>0</v>
      </c>
      <c r="O13" s="555">
        <v>0</v>
      </c>
      <c r="P13" s="555">
        <v>0</v>
      </c>
      <c r="Q13" s="555">
        <v>0</v>
      </c>
      <c r="R13" s="555">
        <v>0</v>
      </c>
      <c r="S13" s="555">
        <v>0</v>
      </c>
      <c r="T13" s="555">
        <v>0</v>
      </c>
      <c r="U13" s="555">
        <v>0</v>
      </c>
      <c r="V13" s="555">
        <v>0</v>
      </c>
      <c r="W13" s="555">
        <v>0</v>
      </c>
      <c r="X13" s="555">
        <v>0</v>
      </c>
      <c r="Y13" s="555"/>
    </row>
    <row r="14" spans="1:25" s="341" customFormat="1">
      <c r="A14" s="621" t="str">
        <f>'Cruise Projections'!A69</f>
        <v>Passengers per Call</v>
      </c>
      <c r="B14" s="553"/>
      <c r="C14" s="553"/>
      <c r="D14" s="554">
        <f>'Cruise Projections'!T69</f>
        <v>0</v>
      </c>
      <c r="E14" s="555">
        <v>0</v>
      </c>
      <c r="F14" s="555">
        <v>0</v>
      </c>
      <c r="G14" s="555">
        <v>0</v>
      </c>
      <c r="H14" s="555">
        <v>0</v>
      </c>
      <c r="I14" s="555">
        <v>0</v>
      </c>
      <c r="J14" s="555">
        <v>0</v>
      </c>
      <c r="K14" s="555">
        <v>0</v>
      </c>
      <c r="L14" s="555">
        <v>0</v>
      </c>
      <c r="M14" s="555">
        <v>0</v>
      </c>
      <c r="N14" s="555">
        <v>0</v>
      </c>
      <c r="O14" s="555">
        <v>0</v>
      </c>
      <c r="P14" s="555">
        <v>0</v>
      </c>
      <c r="Q14" s="555">
        <v>0</v>
      </c>
      <c r="R14" s="555">
        <v>0</v>
      </c>
      <c r="S14" s="555">
        <v>0</v>
      </c>
      <c r="T14" s="555">
        <v>0</v>
      </c>
      <c r="U14" s="555">
        <v>0</v>
      </c>
      <c r="V14" s="555">
        <v>0</v>
      </c>
      <c r="W14" s="555">
        <v>0</v>
      </c>
      <c r="X14" s="555">
        <v>0</v>
      </c>
      <c r="Y14" s="555"/>
    </row>
    <row r="15" spans="1:25" s="341" customFormat="1">
      <c r="A15" s="552" t="s">
        <v>313</v>
      </c>
      <c r="B15" s="553"/>
      <c r="C15" s="553"/>
      <c r="D15" s="554">
        <f>'Cruise Projections'!T70</f>
        <v>0</v>
      </c>
      <c r="E15" s="555">
        <f>'Shuttle Projections'!C13</f>
        <v>0</v>
      </c>
      <c r="F15" s="555">
        <f>'Shuttle Projections'!D13</f>
        <v>0</v>
      </c>
      <c r="G15" s="555">
        <f>'Shuttle Projections'!E13</f>
        <v>0</v>
      </c>
      <c r="H15" s="555">
        <f>'Shuttle Projections'!F13</f>
        <v>0</v>
      </c>
      <c r="I15" s="555">
        <f>'Shuttle Projections'!G13</f>
        <v>0</v>
      </c>
      <c r="J15" s="555">
        <f>'Shuttle Projections'!H13</f>
        <v>0</v>
      </c>
      <c r="K15" s="555">
        <f>'Shuttle Projections'!I13</f>
        <v>0</v>
      </c>
      <c r="L15" s="555">
        <f>'Shuttle Projections'!J13</f>
        <v>0</v>
      </c>
      <c r="M15" s="555">
        <f>'Shuttle Projections'!K13</f>
        <v>0</v>
      </c>
      <c r="N15" s="555">
        <f>'Shuttle Projections'!L13</f>
        <v>0</v>
      </c>
      <c r="O15" s="555">
        <f>'Shuttle Projections'!M13</f>
        <v>0</v>
      </c>
      <c r="P15" s="555">
        <f>'Shuttle Projections'!N13</f>
        <v>0</v>
      </c>
      <c r="Q15" s="555">
        <f>'Shuttle Projections'!O13</f>
        <v>0</v>
      </c>
      <c r="R15" s="555">
        <f>'Shuttle Projections'!P13</f>
        <v>0</v>
      </c>
      <c r="S15" s="555">
        <f>'Shuttle Projections'!Q13</f>
        <v>0</v>
      </c>
      <c r="T15" s="555">
        <f>'Shuttle Projections'!R13</f>
        <v>0</v>
      </c>
      <c r="U15" s="555">
        <f>'Shuttle Projections'!S13</f>
        <v>0</v>
      </c>
      <c r="V15" s="555">
        <f>'Shuttle Projections'!T13</f>
        <v>0</v>
      </c>
      <c r="W15" s="555">
        <f>'Shuttle Projections'!U13</f>
        <v>0</v>
      </c>
      <c r="X15" s="555">
        <f>'Shuttle Projections'!V13</f>
        <v>0</v>
      </c>
      <c r="Y15" s="555"/>
    </row>
    <row r="16" spans="1:25">
      <c r="A16" s="54"/>
      <c r="B16" s="21"/>
      <c r="C16" s="21"/>
      <c r="D16" s="486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</row>
    <row r="17" spans="1:25" s="547" customFormat="1" ht="14.25">
      <c r="A17" s="549" t="s">
        <v>163</v>
      </c>
      <c r="B17" s="550"/>
      <c r="C17" s="550"/>
      <c r="D17" s="610"/>
      <c r="E17" s="551"/>
      <c r="F17" s="551"/>
      <c r="G17" s="551"/>
      <c r="H17" s="551"/>
      <c r="I17" s="551"/>
      <c r="J17" s="551"/>
      <c r="K17" s="551"/>
      <c r="L17" s="551"/>
      <c r="M17" s="551"/>
      <c r="N17" s="551"/>
      <c r="O17" s="551"/>
      <c r="P17" s="551"/>
      <c r="Q17" s="551"/>
      <c r="R17" s="551"/>
      <c r="S17" s="551"/>
      <c r="T17" s="551"/>
      <c r="U17" s="551"/>
      <c r="V17" s="551"/>
      <c r="W17" s="551"/>
      <c r="X17" s="551"/>
    </row>
    <row r="18" spans="1:25" s="341" customFormat="1">
      <c r="A18" s="552" t="str">
        <f>'International Ferry Projections'!A11</f>
        <v>Passengers</v>
      </c>
      <c r="B18" s="553"/>
      <c r="C18" s="553"/>
      <c r="D18" s="554">
        <f>'International Ferry Projections'!B11</f>
        <v>0</v>
      </c>
      <c r="E18" s="555">
        <f>'International Ferry Projections'!C11</f>
        <v>60000</v>
      </c>
      <c r="F18" s="555">
        <f>'International Ferry Projections'!D11</f>
        <v>70000</v>
      </c>
      <c r="G18" s="555">
        <f>'International Ferry Projections'!E11</f>
        <v>80000</v>
      </c>
      <c r="H18" s="555">
        <f>'International Ferry Projections'!F11</f>
        <v>80000</v>
      </c>
      <c r="I18" s="555">
        <f>'International Ferry Projections'!G11</f>
        <v>80000</v>
      </c>
      <c r="J18" s="555">
        <f>'International Ferry Projections'!H11</f>
        <v>80000</v>
      </c>
      <c r="K18" s="555">
        <f>'International Ferry Projections'!I11</f>
        <v>80000</v>
      </c>
      <c r="L18" s="555">
        <f>'International Ferry Projections'!J11</f>
        <v>80000</v>
      </c>
      <c r="M18" s="555">
        <f>'International Ferry Projections'!K11</f>
        <v>80000</v>
      </c>
      <c r="N18" s="555">
        <f>'International Ferry Projections'!L11</f>
        <v>80000</v>
      </c>
      <c r="O18" s="555">
        <f>'International Ferry Projections'!M11</f>
        <v>80000</v>
      </c>
      <c r="P18" s="555">
        <f>'International Ferry Projections'!N11</f>
        <v>80000</v>
      </c>
      <c r="Q18" s="555">
        <f>'International Ferry Projections'!O11</f>
        <v>80000</v>
      </c>
      <c r="R18" s="555">
        <f>'International Ferry Projections'!P11</f>
        <v>80000</v>
      </c>
      <c r="S18" s="555">
        <f>'International Ferry Projections'!Q11</f>
        <v>80000</v>
      </c>
      <c r="T18" s="555">
        <f>'International Ferry Projections'!R11</f>
        <v>80000</v>
      </c>
      <c r="U18" s="555">
        <f>'International Ferry Projections'!S11</f>
        <v>80000</v>
      </c>
      <c r="V18" s="555">
        <f>'International Ferry Projections'!T11</f>
        <v>80000</v>
      </c>
      <c r="W18" s="555">
        <f>'International Ferry Projections'!U11</f>
        <v>80000</v>
      </c>
      <c r="X18" s="555">
        <f>'International Ferry Projections'!V11</f>
        <v>80000</v>
      </c>
    </row>
    <row r="19" spans="1:25" s="341" customFormat="1">
      <c r="A19" s="552" t="str">
        <f>'International Ferry Projections'!A12</f>
        <v>Cars</v>
      </c>
      <c r="B19" s="553"/>
      <c r="C19" s="553"/>
      <c r="D19" s="554">
        <f>'International Ferry Projections'!B12</f>
        <v>0</v>
      </c>
      <c r="E19" s="555">
        <f>'International Ferry Projections'!C12</f>
        <v>24000</v>
      </c>
      <c r="F19" s="555">
        <f>'International Ferry Projections'!D12</f>
        <v>28000</v>
      </c>
      <c r="G19" s="555">
        <f>'International Ferry Projections'!E12</f>
        <v>32000</v>
      </c>
      <c r="H19" s="555">
        <f>'International Ferry Projections'!F12</f>
        <v>32000</v>
      </c>
      <c r="I19" s="555">
        <f>'International Ferry Projections'!G12</f>
        <v>32000</v>
      </c>
      <c r="J19" s="555">
        <f>'International Ferry Projections'!H12</f>
        <v>32000</v>
      </c>
      <c r="K19" s="555">
        <f>'International Ferry Projections'!I12</f>
        <v>32000</v>
      </c>
      <c r="L19" s="555">
        <f>'International Ferry Projections'!J12</f>
        <v>32000</v>
      </c>
      <c r="M19" s="555">
        <f>'International Ferry Projections'!K12</f>
        <v>32000</v>
      </c>
      <c r="N19" s="555">
        <f>'International Ferry Projections'!L12</f>
        <v>32000</v>
      </c>
      <c r="O19" s="555">
        <f>'International Ferry Projections'!M12</f>
        <v>32000</v>
      </c>
      <c r="P19" s="555">
        <f>'International Ferry Projections'!N12</f>
        <v>32000</v>
      </c>
      <c r="Q19" s="555">
        <f>'International Ferry Projections'!O12</f>
        <v>32000</v>
      </c>
      <c r="R19" s="555">
        <f>'International Ferry Projections'!P12</f>
        <v>32000</v>
      </c>
      <c r="S19" s="555">
        <f>'International Ferry Projections'!Q12</f>
        <v>32000</v>
      </c>
      <c r="T19" s="555">
        <f>'International Ferry Projections'!R12</f>
        <v>32000</v>
      </c>
      <c r="U19" s="555">
        <f>'International Ferry Projections'!S12</f>
        <v>32000</v>
      </c>
      <c r="V19" s="555">
        <f>'International Ferry Projections'!T12</f>
        <v>32000</v>
      </c>
      <c r="W19" s="555">
        <f>'International Ferry Projections'!U12</f>
        <v>32000</v>
      </c>
      <c r="X19" s="555">
        <f>'International Ferry Projections'!V12</f>
        <v>32000</v>
      </c>
    </row>
    <row r="20" spans="1:25" s="341" customFormat="1">
      <c r="A20" s="552" t="str">
        <f>'International Ferry Projections'!A13</f>
        <v>Buses</v>
      </c>
      <c r="B20" s="553"/>
      <c r="C20" s="553"/>
      <c r="D20" s="554">
        <f>'International Ferry Projections'!B13</f>
        <v>0</v>
      </c>
      <c r="E20" s="555">
        <f>'International Ferry Projections'!C13</f>
        <v>40</v>
      </c>
      <c r="F20" s="555">
        <f>'International Ferry Projections'!D13</f>
        <v>50</v>
      </c>
      <c r="G20" s="555">
        <f>'International Ferry Projections'!E13</f>
        <v>60</v>
      </c>
      <c r="H20" s="555">
        <f>'International Ferry Projections'!F13</f>
        <v>60</v>
      </c>
      <c r="I20" s="555">
        <f>'International Ferry Projections'!G13</f>
        <v>60</v>
      </c>
      <c r="J20" s="555">
        <f>'International Ferry Projections'!H13</f>
        <v>60</v>
      </c>
      <c r="K20" s="555">
        <f>'International Ferry Projections'!I13</f>
        <v>60</v>
      </c>
      <c r="L20" s="555">
        <f>'International Ferry Projections'!J13</f>
        <v>60</v>
      </c>
      <c r="M20" s="555">
        <f>'International Ferry Projections'!K13</f>
        <v>60</v>
      </c>
      <c r="N20" s="555">
        <f>'International Ferry Projections'!L13</f>
        <v>60</v>
      </c>
      <c r="O20" s="555">
        <f>'International Ferry Projections'!M13</f>
        <v>60</v>
      </c>
      <c r="P20" s="555">
        <f>'International Ferry Projections'!N13</f>
        <v>60</v>
      </c>
      <c r="Q20" s="555">
        <f>'International Ferry Projections'!O13</f>
        <v>60</v>
      </c>
      <c r="R20" s="555">
        <f>'International Ferry Projections'!P13</f>
        <v>60</v>
      </c>
      <c r="S20" s="555">
        <f>'International Ferry Projections'!Q13</f>
        <v>60</v>
      </c>
      <c r="T20" s="555">
        <f>'International Ferry Projections'!R13</f>
        <v>60</v>
      </c>
      <c r="U20" s="555">
        <f>'International Ferry Projections'!S13</f>
        <v>60</v>
      </c>
      <c r="V20" s="555">
        <f>'International Ferry Projections'!T13</f>
        <v>60</v>
      </c>
      <c r="W20" s="555">
        <f>'International Ferry Projections'!U13</f>
        <v>60</v>
      </c>
      <c r="X20" s="555">
        <f>'International Ferry Projections'!V13</f>
        <v>60</v>
      </c>
    </row>
    <row r="21" spans="1:25">
      <c r="A21" s="54"/>
      <c r="B21" s="21"/>
      <c r="C21" s="21"/>
      <c r="D21" s="486"/>
      <c r="E21" s="313"/>
      <c r="F21" s="313"/>
      <c r="G21" s="313"/>
      <c r="H21" s="313"/>
      <c r="I21" s="313"/>
      <c r="J21" s="313"/>
      <c r="K21" s="313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</row>
    <row r="22" spans="1:25" s="582" customFormat="1">
      <c r="A22" s="293" t="str">
        <f>'BH Tariffs'!A30</f>
        <v>Local Ferry</v>
      </c>
      <c r="B22" s="581"/>
      <c r="C22" s="581"/>
      <c r="D22" s="486">
        <v>0</v>
      </c>
      <c r="E22" s="329"/>
      <c r="F22" s="329"/>
      <c r="G22" s="329"/>
      <c r="H22" s="329"/>
      <c r="I22" s="329"/>
      <c r="J22" s="329"/>
      <c r="K22" s="329"/>
      <c r="L22" s="329"/>
      <c r="M22" s="329"/>
      <c r="N22" s="329"/>
      <c r="O22" s="329"/>
      <c r="P22" s="329"/>
      <c r="Q22" s="329"/>
      <c r="R22" s="329"/>
      <c r="S22" s="329"/>
      <c r="T22" s="329"/>
      <c r="U22" s="329"/>
      <c r="V22" s="329"/>
      <c r="W22" s="329"/>
      <c r="X22" s="329"/>
    </row>
    <row r="23" spans="1:25" s="96" customFormat="1">
      <c r="A23" s="54" t="str">
        <f>'BH Tariffs'!A31</f>
        <v>Dock Rent (6 Months Only)</v>
      </c>
      <c r="B23" s="487"/>
      <c r="C23" s="487"/>
      <c r="D23" s="486">
        <v>0</v>
      </c>
      <c r="E23" s="623" t="s">
        <v>286</v>
      </c>
      <c r="F23" s="623" t="s">
        <v>286</v>
      </c>
      <c r="G23" s="623" t="s">
        <v>286</v>
      </c>
      <c r="H23" s="623" t="s">
        <v>286</v>
      </c>
      <c r="I23" s="623" t="s">
        <v>286</v>
      </c>
      <c r="J23" s="623" t="s">
        <v>286</v>
      </c>
      <c r="K23" s="623" t="s">
        <v>286</v>
      </c>
      <c r="L23" s="623" t="s">
        <v>286</v>
      </c>
      <c r="M23" s="623" t="s">
        <v>286</v>
      </c>
      <c r="N23" s="623" t="s">
        <v>286</v>
      </c>
      <c r="O23" s="623" t="s">
        <v>286</v>
      </c>
      <c r="P23" s="623" t="s">
        <v>286</v>
      </c>
      <c r="Q23" s="623" t="s">
        <v>286</v>
      </c>
      <c r="R23" s="623" t="s">
        <v>286</v>
      </c>
      <c r="S23" s="623" t="s">
        <v>286</v>
      </c>
      <c r="T23" s="623" t="s">
        <v>286</v>
      </c>
      <c r="U23" s="623" t="s">
        <v>286</v>
      </c>
      <c r="V23" s="623" t="s">
        <v>286</v>
      </c>
      <c r="W23" s="623" t="s">
        <v>286</v>
      </c>
      <c r="X23" s="623" t="s">
        <v>286</v>
      </c>
    </row>
    <row r="24" spans="1:25" s="341" customFormat="1">
      <c r="A24" s="552"/>
      <c r="B24" s="553"/>
      <c r="C24" s="553"/>
      <c r="D24" s="554"/>
      <c r="E24" s="555"/>
      <c r="F24" s="555"/>
      <c r="G24" s="555"/>
      <c r="H24" s="555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</row>
    <row r="25" spans="1:25" s="96" customFormat="1">
      <c r="A25" s="559" t="s">
        <v>227</v>
      </c>
      <c r="B25" s="487"/>
      <c r="C25" s="487"/>
      <c r="D25" s="486"/>
      <c r="E25" s="313"/>
      <c r="F25" s="313"/>
      <c r="G25" s="313"/>
      <c r="H25" s="313"/>
      <c r="I25" s="313"/>
      <c r="J25" s="313"/>
      <c r="K25" s="313"/>
      <c r="L25" s="313"/>
      <c r="M25" s="313"/>
      <c r="N25" s="313"/>
      <c r="O25" s="313"/>
      <c r="P25" s="313"/>
      <c r="Q25" s="313"/>
      <c r="R25" s="313"/>
      <c r="S25" s="313"/>
      <c r="T25" s="313"/>
      <c r="U25" s="313"/>
      <c r="V25" s="313"/>
      <c r="W25" s="313"/>
      <c r="X25" s="313"/>
    </row>
    <row r="26" spans="1:25">
      <c r="A26" s="54"/>
      <c r="B26" s="21"/>
      <c r="C26" s="21"/>
      <c r="D26" s="486"/>
      <c r="E26" s="313"/>
      <c r="F26" s="313"/>
      <c r="G26" s="313"/>
      <c r="H26" s="313"/>
      <c r="I26" s="313"/>
      <c r="J26" s="313"/>
      <c r="K26" s="313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</row>
    <row r="27" spans="1:25">
      <c r="A27" s="54" t="s">
        <v>421</v>
      </c>
      <c r="B27" s="21"/>
      <c r="C27" s="21"/>
      <c r="D27" s="486"/>
      <c r="E27" s="313">
        <f>'OPEX - Concept A1'!L32</f>
        <v>0</v>
      </c>
      <c r="F27" s="313">
        <f>'OPEX - Concept A1'!M32</f>
        <v>214</v>
      </c>
      <c r="G27" s="313">
        <f>'OPEX - Concept A1'!N32</f>
        <v>214</v>
      </c>
      <c r="H27" s="313">
        <f>'OPEX - Concept A1'!O32</f>
        <v>214</v>
      </c>
      <c r="I27" s="313">
        <f>'OPEX - Concept A1'!P32</f>
        <v>214</v>
      </c>
      <c r="J27" s="313">
        <f>'OPEX - Concept A1'!Q32</f>
        <v>214</v>
      </c>
      <c r="K27" s="313">
        <f>'OPEX - Concept A1'!R32</f>
        <v>214</v>
      </c>
      <c r="L27" s="313">
        <f>'OPEX - Concept A1'!S32</f>
        <v>214</v>
      </c>
      <c r="M27" s="313">
        <f>'OPEX - Concept A1'!T32</f>
        <v>214</v>
      </c>
      <c r="N27" s="313">
        <f>'OPEX - Concept A1'!U32</f>
        <v>214</v>
      </c>
      <c r="O27" s="313">
        <f>'OPEX - Concept A1'!V32</f>
        <v>214</v>
      </c>
      <c r="P27" s="313">
        <f>'OPEX - Concept A1'!W32</f>
        <v>214</v>
      </c>
      <c r="Q27" s="313">
        <f>'OPEX - Concept A1'!X32</f>
        <v>214</v>
      </c>
      <c r="R27" s="313">
        <f>'OPEX - Concept A1'!Y32</f>
        <v>214</v>
      </c>
      <c r="S27" s="313">
        <f>'OPEX - Concept A1'!Z32</f>
        <v>214</v>
      </c>
      <c r="T27" s="313">
        <f>'OPEX - Concept A1'!AA32</f>
        <v>214</v>
      </c>
      <c r="U27" s="313">
        <f>'OPEX - Concept A1'!AB32</f>
        <v>214</v>
      </c>
      <c r="V27" s="313">
        <f>'OPEX - Concept A1'!AC32</f>
        <v>214</v>
      </c>
      <c r="W27" s="313">
        <f>'OPEX - Concept A1'!AD32</f>
        <v>214</v>
      </c>
      <c r="X27" s="313">
        <f>'OPEX - Concept A1'!AE32</f>
        <v>214</v>
      </c>
    </row>
    <row r="28" spans="1:25" s="341" customFormat="1">
      <c r="A28" s="552" t="s">
        <v>205</v>
      </c>
      <c r="B28" s="553"/>
      <c r="C28" s="553"/>
      <c r="D28" s="554">
        <v>0</v>
      </c>
      <c r="E28" s="560"/>
      <c r="F28" s="560">
        <f>'Cruise Projections'!V27</f>
        <v>31.102343084676253</v>
      </c>
      <c r="G28" s="560">
        <f>'Cruise Projections'!W27</f>
        <v>33.08079253393673</v>
      </c>
      <c r="H28" s="560">
        <f>'Cruise Projections'!X27</f>
        <v>34.751627733366121</v>
      </c>
      <c r="I28" s="560">
        <f>'Cruise Projections'!Y27</f>
        <v>35.893083709582015</v>
      </c>
      <c r="J28" s="560">
        <f>'Cruise Projections'!Z27</f>
        <v>37.101192669283478</v>
      </c>
      <c r="K28" s="560">
        <f>'Cruise Projections'!AA27</f>
        <v>38.428851859015516</v>
      </c>
      <c r="L28" s="560">
        <f>'Cruise Projections'!AB27</f>
        <v>39.743393287481908</v>
      </c>
      <c r="M28" s="560">
        <f>'Cruise Projections'!AC27</f>
        <v>40.393144256705909</v>
      </c>
      <c r="N28" s="560">
        <f>'Cruise Projections'!AD27</f>
        <v>41.182784800148873</v>
      </c>
      <c r="O28" s="560">
        <f>'Cruise Projections'!AE27</f>
        <v>42.00581197297619</v>
      </c>
      <c r="P28" s="560">
        <f>'Cruise Projections'!AF27</f>
        <v>42.427677626093356</v>
      </c>
      <c r="Q28" s="560">
        <f>'Cruise Projections'!AG27</f>
        <v>42.444707284491429</v>
      </c>
      <c r="R28" s="560">
        <f>'Cruise Projections'!AH27</f>
        <v>42.366158474806085</v>
      </c>
      <c r="S28" s="560">
        <f>'Cruise Projections'!AI27</f>
        <v>42.539206123732718</v>
      </c>
      <c r="T28" s="560">
        <f>'Cruise Projections'!AJ27</f>
        <v>42.657554770462752</v>
      </c>
      <c r="U28" s="560">
        <f>'Cruise Projections'!AK27</f>
        <v>42.717111591748328</v>
      </c>
      <c r="V28" s="560">
        <f>'Cruise Projections'!AL27</f>
        <v>42.983945805620365</v>
      </c>
      <c r="W28" s="560">
        <f>'Cruise Projections'!AM27</f>
        <v>43.051784597932915</v>
      </c>
      <c r="X28" s="560">
        <f>'Cruise Projections'!AN27</f>
        <v>43.030880982919477</v>
      </c>
      <c r="Y28" s="561"/>
    </row>
    <row r="29" spans="1:25" s="341" customFormat="1">
      <c r="A29" s="552" t="s">
        <v>219</v>
      </c>
      <c r="B29" s="553"/>
      <c r="C29" s="553"/>
      <c r="D29" s="554">
        <v>0</v>
      </c>
      <c r="E29" s="560">
        <v>150</v>
      </c>
      <c r="F29" s="560">
        <f>E29</f>
        <v>150</v>
      </c>
      <c r="G29" s="560">
        <f t="shared" ref="G29:X29" si="0">F29</f>
        <v>150</v>
      </c>
      <c r="H29" s="560">
        <f t="shared" si="0"/>
        <v>150</v>
      </c>
      <c r="I29" s="560">
        <f t="shared" si="0"/>
        <v>150</v>
      </c>
      <c r="J29" s="560">
        <f t="shared" si="0"/>
        <v>150</v>
      </c>
      <c r="K29" s="560">
        <f t="shared" si="0"/>
        <v>150</v>
      </c>
      <c r="L29" s="560">
        <f t="shared" si="0"/>
        <v>150</v>
      </c>
      <c r="M29" s="560">
        <f t="shared" si="0"/>
        <v>150</v>
      </c>
      <c r="N29" s="560">
        <f t="shared" si="0"/>
        <v>150</v>
      </c>
      <c r="O29" s="560">
        <f t="shared" si="0"/>
        <v>150</v>
      </c>
      <c r="P29" s="560">
        <f t="shared" si="0"/>
        <v>150</v>
      </c>
      <c r="Q29" s="560">
        <f t="shared" si="0"/>
        <v>150</v>
      </c>
      <c r="R29" s="560">
        <f t="shared" si="0"/>
        <v>150</v>
      </c>
      <c r="S29" s="560">
        <f t="shared" si="0"/>
        <v>150</v>
      </c>
      <c r="T29" s="560">
        <f t="shared" si="0"/>
        <v>150</v>
      </c>
      <c r="U29" s="560">
        <f t="shared" si="0"/>
        <v>150</v>
      </c>
      <c r="V29" s="560">
        <f t="shared" si="0"/>
        <v>150</v>
      </c>
      <c r="W29" s="560">
        <f t="shared" si="0"/>
        <v>150</v>
      </c>
      <c r="X29" s="560">
        <f t="shared" si="0"/>
        <v>150</v>
      </c>
      <c r="Y29" s="561"/>
    </row>
    <row r="30" spans="1:25" s="341" customFormat="1">
      <c r="A30" s="552" t="s">
        <v>220</v>
      </c>
      <c r="B30" s="553"/>
      <c r="C30" s="553"/>
      <c r="D30" s="554">
        <v>0</v>
      </c>
      <c r="E30" s="611">
        <f>E28/E29</f>
        <v>0</v>
      </c>
      <c r="F30" s="611">
        <f t="shared" ref="F30:X30" si="1">F28/F29</f>
        <v>0.20734895389784169</v>
      </c>
      <c r="G30" s="611">
        <f t="shared" si="1"/>
        <v>0.22053861689291154</v>
      </c>
      <c r="H30" s="611">
        <f t="shared" si="1"/>
        <v>0.23167751822244081</v>
      </c>
      <c r="I30" s="611">
        <f t="shared" si="1"/>
        <v>0.23928722473054675</v>
      </c>
      <c r="J30" s="611">
        <f t="shared" si="1"/>
        <v>0.24734128446188985</v>
      </c>
      <c r="K30" s="611">
        <f t="shared" si="1"/>
        <v>0.25619234572677013</v>
      </c>
      <c r="L30" s="611">
        <f t="shared" si="1"/>
        <v>0.26495595524987936</v>
      </c>
      <c r="M30" s="611">
        <f t="shared" si="1"/>
        <v>0.26928762837803938</v>
      </c>
      <c r="N30" s="611">
        <f t="shared" si="1"/>
        <v>0.27455189866765917</v>
      </c>
      <c r="O30" s="611">
        <f t="shared" si="1"/>
        <v>0.28003874648650795</v>
      </c>
      <c r="P30" s="611">
        <f t="shared" si="1"/>
        <v>0.28285118417395572</v>
      </c>
      <c r="Q30" s="611">
        <f t="shared" si="1"/>
        <v>0.28296471522994288</v>
      </c>
      <c r="R30" s="611">
        <f t="shared" si="1"/>
        <v>0.28244105649870721</v>
      </c>
      <c r="S30" s="611">
        <f t="shared" si="1"/>
        <v>0.28359470749155147</v>
      </c>
      <c r="T30" s="611">
        <f t="shared" si="1"/>
        <v>0.2843836984697517</v>
      </c>
      <c r="U30" s="611">
        <f t="shared" si="1"/>
        <v>0.28478074394498887</v>
      </c>
      <c r="V30" s="611">
        <f t="shared" si="1"/>
        <v>0.28655963870413576</v>
      </c>
      <c r="W30" s="611">
        <f t="shared" si="1"/>
        <v>0.28701189731955279</v>
      </c>
      <c r="X30" s="611">
        <f t="shared" si="1"/>
        <v>0.28687253988612987</v>
      </c>
      <c r="Y30" s="561"/>
    </row>
    <row r="31" spans="1:25" s="96" customFormat="1">
      <c r="A31" s="54" t="s">
        <v>226</v>
      </c>
      <c r="B31" s="487"/>
      <c r="C31" s="487"/>
      <c r="D31" s="486">
        <v>0</v>
      </c>
      <c r="E31" s="330">
        <v>0</v>
      </c>
      <c r="F31" s="330">
        <v>125</v>
      </c>
      <c r="G31" s="330">
        <v>125</v>
      </c>
      <c r="H31" s="330">
        <v>125</v>
      </c>
      <c r="I31" s="330">
        <v>125</v>
      </c>
      <c r="J31" s="330">
        <v>125</v>
      </c>
      <c r="K31" s="330">
        <v>125</v>
      </c>
      <c r="L31" s="330">
        <v>125</v>
      </c>
      <c r="M31" s="330">
        <v>125</v>
      </c>
      <c r="N31" s="330">
        <v>125</v>
      </c>
      <c r="O31" s="330">
        <v>125</v>
      </c>
      <c r="P31" s="330">
        <v>125</v>
      </c>
      <c r="Q31" s="330">
        <v>125</v>
      </c>
      <c r="R31" s="330">
        <v>125</v>
      </c>
      <c r="S31" s="330">
        <v>125</v>
      </c>
      <c r="T31" s="330">
        <v>125</v>
      </c>
      <c r="U31" s="330">
        <v>125</v>
      </c>
      <c r="V31" s="330">
        <v>125</v>
      </c>
      <c r="W31" s="330">
        <v>125</v>
      </c>
      <c r="X31" s="330">
        <v>125</v>
      </c>
      <c r="Y31" s="58"/>
    </row>
    <row r="32" spans="1:25">
      <c r="A32" s="54"/>
      <c r="B32" s="21"/>
      <c r="C32" s="21"/>
      <c r="D32" s="486"/>
      <c r="E32" s="495"/>
      <c r="F32" s="495"/>
      <c r="G32" s="495"/>
      <c r="H32" s="495"/>
      <c r="I32" s="495"/>
      <c r="J32" s="495"/>
      <c r="K32" s="495"/>
      <c r="L32" s="495"/>
      <c r="M32" s="495"/>
      <c r="N32" s="495"/>
      <c r="O32" s="495"/>
      <c r="P32" s="495"/>
      <c r="Q32" s="495"/>
      <c r="R32" s="495"/>
      <c r="S32" s="495"/>
      <c r="T32" s="495"/>
      <c r="U32" s="495"/>
      <c r="V32" s="495"/>
      <c r="W32" s="495"/>
      <c r="X32" s="495"/>
      <c r="Y32" s="32"/>
    </row>
    <row r="33" spans="1:24" s="341" customFormat="1">
      <c r="A33" s="552" t="s">
        <v>206</v>
      </c>
      <c r="B33" s="553"/>
      <c r="C33" s="553"/>
      <c r="D33" s="554">
        <v>0</v>
      </c>
      <c r="E33" s="555">
        <v>0</v>
      </c>
      <c r="F33" s="555">
        <f t="shared" ref="F33:X33" si="2">F12/F28</f>
        <v>0</v>
      </c>
      <c r="G33" s="555">
        <f t="shared" si="2"/>
        <v>0</v>
      </c>
      <c r="H33" s="555">
        <f t="shared" si="2"/>
        <v>0</v>
      </c>
      <c r="I33" s="555">
        <f t="shared" si="2"/>
        <v>0</v>
      </c>
      <c r="J33" s="555">
        <f t="shared" si="2"/>
        <v>0</v>
      </c>
      <c r="K33" s="555">
        <f t="shared" si="2"/>
        <v>0</v>
      </c>
      <c r="L33" s="555">
        <f t="shared" si="2"/>
        <v>0</v>
      </c>
      <c r="M33" s="555">
        <f t="shared" si="2"/>
        <v>0</v>
      </c>
      <c r="N33" s="555">
        <f t="shared" si="2"/>
        <v>0</v>
      </c>
      <c r="O33" s="555">
        <f t="shared" si="2"/>
        <v>0</v>
      </c>
      <c r="P33" s="555">
        <f t="shared" si="2"/>
        <v>0</v>
      </c>
      <c r="Q33" s="555">
        <f t="shared" si="2"/>
        <v>0</v>
      </c>
      <c r="R33" s="555">
        <f t="shared" si="2"/>
        <v>0</v>
      </c>
      <c r="S33" s="555">
        <f t="shared" si="2"/>
        <v>0</v>
      </c>
      <c r="T33" s="555">
        <f t="shared" si="2"/>
        <v>0</v>
      </c>
      <c r="U33" s="555">
        <f t="shared" si="2"/>
        <v>0</v>
      </c>
      <c r="V33" s="555">
        <f t="shared" si="2"/>
        <v>0</v>
      </c>
      <c r="W33" s="555">
        <f t="shared" si="2"/>
        <v>0</v>
      </c>
      <c r="X33" s="555">
        <f t="shared" si="2"/>
        <v>0</v>
      </c>
    </row>
    <row r="34" spans="1:24" s="341" customFormat="1">
      <c r="A34" s="552" t="s">
        <v>207</v>
      </c>
      <c r="B34" s="553"/>
      <c r="C34" s="553"/>
      <c r="D34" s="554">
        <v>0</v>
      </c>
      <c r="E34" s="555">
        <v>0</v>
      </c>
      <c r="F34" s="555">
        <v>5500</v>
      </c>
      <c r="G34" s="555">
        <v>5500</v>
      </c>
      <c r="H34" s="555">
        <v>5500</v>
      </c>
      <c r="I34" s="555">
        <v>5500</v>
      </c>
      <c r="J34" s="555">
        <v>5500</v>
      </c>
      <c r="K34" s="555">
        <v>5500</v>
      </c>
      <c r="L34" s="555">
        <v>5500</v>
      </c>
      <c r="M34" s="555">
        <v>5500</v>
      </c>
      <c r="N34" s="555">
        <v>5500</v>
      </c>
      <c r="O34" s="555">
        <v>5500</v>
      </c>
      <c r="P34" s="555">
        <v>5500</v>
      </c>
      <c r="Q34" s="555">
        <v>5500</v>
      </c>
      <c r="R34" s="555">
        <v>5500</v>
      </c>
      <c r="S34" s="555">
        <v>5500</v>
      </c>
      <c r="T34" s="555">
        <v>5500</v>
      </c>
      <c r="U34" s="555">
        <v>5500</v>
      </c>
      <c r="V34" s="555">
        <v>5500</v>
      </c>
      <c r="W34" s="555">
        <v>5500</v>
      </c>
      <c r="X34" s="555">
        <v>5500</v>
      </c>
    </row>
    <row r="35" spans="1:24" s="341" customFormat="1">
      <c r="A35" s="552" t="s">
        <v>221</v>
      </c>
      <c r="B35" s="553"/>
      <c r="C35" s="553"/>
      <c r="D35" s="554">
        <v>0</v>
      </c>
      <c r="E35" s="560">
        <f>E18/E29</f>
        <v>400</v>
      </c>
      <c r="F35" s="560">
        <f t="shared" ref="F35:X35" si="3">F18/F29</f>
        <v>466.66666666666669</v>
      </c>
      <c r="G35" s="560">
        <f t="shared" si="3"/>
        <v>533.33333333333337</v>
      </c>
      <c r="H35" s="560">
        <f t="shared" si="3"/>
        <v>533.33333333333337</v>
      </c>
      <c r="I35" s="560">
        <f t="shared" si="3"/>
        <v>533.33333333333337</v>
      </c>
      <c r="J35" s="560">
        <f t="shared" si="3"/>
        <v>533.33333333333337</v>
      </c>
      <c r="K35" s="560">
        <f t="shared" si="3"/>
        <v>533.33333333333337</v>
      </c>
      <c r="L35" s="560">
        <f t="shared" si="3"/>
        <v>533.33333333333337</v>
      </c>
      <c r="M35" s="560">
        <f t="shared" si="3"/>
        <v>533.33333333333337</v>
      </c>
      <c r="N35" s="560">
        <f t="shared" si="3"/>
        <v>533.33333333333337</v>
      </c>
      <c r="O35" s="560">
        <f t="shared" si="3"/>
        <v>533.33333333333337</v>
      </c>
      <c r="P35" s="560">
        <f t="shared" si="3"/>
        <v>533.33333333333337</v>
      </c>
      <c r="Q35" s="560">
        <f t="shared" si="3"/>
        <v>533.33333333333337</v>
      </c>
      <c r="R35" s="560">
        <f t="shared" si="3"/>
        <v>533.33333333333337</v>
      </c>
      <c r="S35" s="560">
        <f t="shared" si="3"/>
        <v>533.33333333333337</v>
      </c>
      <c r="T35" s="560">
        <f t="shared" si="3"/>
        <v>533.33333333333337</v>
      </c>
      <c r="U35" s="560">
        <f t="shared" si="3"/>
        <v>533.33333333333337</v>
      </c>
      <c r="V35" s="560">
        <f t="shared" si="3"/>
        <v>533.33333333333337</v>
      </c>
      <c r="W35" s="560">
        <f t="shared" si="3"/>
        <v>533.33333333333337</v>
      </c>
      <c r="X35" s="560">
        <f t="shared" si="3"/>
        <v>533.33333333333337</v>
      </c>
    </row>
    <row r="36" spans="1:24" s="341" customFormat="1">
      <c r="A36" s="552" t="s">
        <v>222</v>
      </c>
      <c r="B36" s="553"/>
      <c r="C36" s="553"/>
      <c r="D36" s="554">
        <v>0</v>
      </c>
      <c r="E36" s="560">
        <v>800</v>
      </c>
      <c r="F36" s="560">
        <v>800</v>
      </c>
      <c r="G36" s="560">
        <v>800</v>
      </c>
      <c r="H36" s="560">
        <v>800</v>
      </c>
      <c r="I36" s="560">
        <v>800</v>
      </c>
      <c r="J36" s="560">
        <v>800</v>
      </c>
      <c r="K36" s="560">
        <v>800</v>
      </c>
      <c r="L36" s="560">
        <v>800</v>
      </c>
      <c r="M36" s="560">
        <v>800</v>
      </c>
      <c r="N36" s="560">
        <v>800</v>
      </c>
      <c r="O36" s="560">
        <v>800</v>
      </c>
      <c r="P36" s="560">
        <v>800</v>
      </c>
      <c r="Q36" s="560">
        <v>800</v>
      </c>
      <c r="R36" s="560">
        <v>800</v>
      </c>
      <c r="S36" s="560">
        <v>800</v>
      </c>
      <c r="T36" s="560">
        <v>800</v>
      </c>
      <c r="U36" s="560">
        <v>800</v>
      </c>
      <c r="V36" s="560">
        <v>800</v>
      </c>
      <c r="W36" s="560">
        <v>800</v>
      </c>
      <c r="X36" s="560">
        <v>800</v>
      </c>
    </row>
    <row r="37" spans="1:24" s="341" customFormat="1">
      <c r="A37" s="552" t="s">
        <v>208</v>
      </c>
      <c r="B37" s="553"/>
      <c r="C37" s="553"/>
      <c r="D37" s="554">
        <v>0</v>
      </c>
      <c r="E37" s="560">
        <f>SUM(E34,E36)</f>
        <v>800</v>
      </c>
      <c r="F37" s="560">
        <f t="shared" ref="F37:X37" si="4">SUM(F34,F36)</f>
        <v>6300</v>
      </c>
      <c r="G37" s="560">
        <f t="shared" si="4"/>
        <v>6300</v>
      </c>
      <c r="H37" s="560">
        <f t="shared" si="4"/>
        <v>6300</v>
      </c>
      <c r="I37" s="560">
        <f t="shared" si="4"/>
        <v>6300</v>
      </c>
      <c r="J37" s="560">
        <f t="shared" si="4"/>
        <v>6300</v>
      </c>
      <c r="K37" s="560">
        <f t="shared" si="4"/>
        <v>6300</v>
      </c>
      <c r="L37" s="560">
        <f t="shared" si="4"/>
        <v>6300</v>
      </c>
      <c r="M37" s="560">
        <f t="shared" si="4"/>
        <v>6300</v>
      </c>
      <c r="N37" s="560">
        <f t="shared" si="4"/>
        <v>6300</v>
      </c>
      <c r="O37" s="560">
        <f t="shared" si="4"/>
        <v>6300</v>
      </c>
      <c r="P37" s="560">
        <f t="shared" si="4"/>
        <v>6300</v>
      </c>
      <c r="Q37" s="560">
        <f t="shared" si="4"/>
        <v>6300</v>
      </c>
      <c r="R37" s="560">
        <f t="shared" si="4"/>
        <v>6300</v>
      </c>
      <c r="S37" s="560">
        <f t="shared" si="4"/>
        <v>6300</v>
      </c>
      <c r="T37" s="560">
        <f t="shared" si="4"/>
        <v>6300</v>
      </c>
      <c r="U37" s="560">
        <f t="shared" si="4"/>
        <v>6300</v>
      </c>
      <c r="V37" s="560">
        <f t="shared" si="4"/>
        <v>6300</v>
      </c>
      <c r="W37" s="560">
        <f t="shared" si="4"/>
        <v>6300</v>
      </c>
      <c r="X37" s="560">
        <f t="shared" si="4"/>
        <v>6300</v>
      </c>
    </row>
    <row r="38" spans="1:24">
      <c r="A38" s="54"/>
      <c r="B38" s="21"/>
      <c r="C38" s="21"/>
      <c r="D38" s="486"/>
      <c r="E38" s="330"/>
      <c r="F38" s="330"/>
      <c r="G38" s="330"/>
      <c r="H38" s="330"/>
      <c r="I38" s="330"/>
      <c r="J38" s="330"/>
      <c r="K38" s="330"/>
      <c r="L38" s="330"/>
      <c r="M38" s="330"/>
      <c r="N38" s="330"/>
      <c r="O38" s="330"/>
      <c r="P38" s="330"/>
      <c r="Q38" s="330"/>
      <c r="R38" s="330"/>
      <c r="S38" s="330"/>
      <c r="T38" s="330"/>
      <c r="U38" s="330"/>
      <c r="V38" s="330"/>
      <c r="W38" s="330"/>
      <c r="X38" s="330"/>
    </row>
    <row r="39" spans="1:24" s="341" customFormat="1">
      <c r="A39" s="552" t="s">
        <v>223</v>
      </c>
      <c r="B39" s="557"/>
      <c r="C39" s="557"/>
      <c r="D39" s="554">
        <v>0</v>
      </c>
      <c r="E39" s="555">
        <f>(E19+E20)/E29</f>
        <v>160.26666666666668</v>
      </c>
      <c r="F39" s="555">
        <f t="shared" ref="F39:X39" si="5">(F19+F20)/F29</f>
        <v>187</v>
      </c>
      <c r="G39" s="555">
        <f t="shared" si="5"/>
        <v>213.73333333333332</v>
      </c>
      <c r="H39" s="555">
        <f t="shared" si="5"/>
        <v>213.73333333333332</v>
      </c>
      <c r="I39" s="555">
        <f t="shared" si="5"/>
        <v>213.73333333333332</v>
      </c>
      <c r="J39" s="555">
        <f t="shared" si="5"/>
        <v>213.73333333333332</v>
      </c>
      <c r="K39" s="555">
        <f t="shared" si="5"/>
        <v>213.73333333333332</v>
      </c>
      <c r="L39" s="555">
        <f t="shared" si="5"/>
        <v>213.73333333333332</v>
      </c>
      <c r="M39" s="555">
        <f t="shared" si="5"/>
        <v>213.73333333333332</v>
      </c>
      <c r="N39" s="555">
        <f t="shared" si="5"/>
        <v>213.73333333333332</v>
      </c>
      <c r="O39" s="555">
        <f t="shared" si="5"/>
        <v>213.73333333333332</v>
      </c>
      <c r="P39" s="555">
        <f t="shared" si="5"/>
        <v>213.73333333333332</v>
      </c>
      <c r="Q39" s="555">
        <f t="shared" si="5"/>
        <v>213.73333333333332</v>
      </c>
      <c r="R39" s="555">
        <f t="shared" si="5"/>
        <v>213.73333333333332</v>
      </c>
      <c r="S39" s="555">
        <f t="shared" si="5"/>
        <v>213.73333333333332</v>
      </c>
      <c r="T39" s="555">
        <f t="shared" si="5"/>
        <v>213.73333333333332</v>
      </c>
      <c r="U39" s="555">
        <f t="shared" si="5"/>
        <v>213.73333333333332</v>
      </c>
      <c r="V39" s="555">
        <f t="shared" si="5"/>
        <v>213.73333333333332</v>
      </c>
      <c r="W39" s="555">
        <f t="shared" si="5"/>
        <v>213.73333333333332</v>
      </c>
      <c r="X39" s="555">
        <f t="shared" si="5"/>
        <v>213.73333333333332</v>
      </c>
    </row>
    <row r="40" spans="1:24">
      <c r="A40" s="54"/>
      <c r="B40" s="74"/>
      <c r="C40" s="74"/>
      <c r="D40" s="492"/>
      <c r="E40" s="308"/>
      <c r="F40" s="308"/>
      <c r="G40" s="308"/>
      <c r="H40" s="308"/>
      <c r="I40" s="308"/>
      <c r="J40" s="308"/>
      <c r="K40" s="308"/>
      <c r="L40" s="308"/>
      <c r="M40" s="308"/>
      <c r="N40" s="308"/>
      <c r="O40" s="308"/>
      <c r="P40" s="308"/>
      <c r="Q40" s="308"/>
      <c r="R40" s="308"/>
      <c r="S40" s="308"/>
      <c r="T40" s="308"/>
      <c r="U40" s="308"/>
      <c r="V40" s="308"/>
      <c r="W40" s="308"/>
      <c r="X40" s="308"/>
    </row>
    <row r="41" spans="1:24">
      <c r="A41" s="293" t="s">
        <v>26</v>
      </c>
      <c r="B41" s="74"/>
      <c r="C41" s="74"/>
      <c r="D41" s="492"/>
      <c r="E41" s="308"/>
      <c r="F41" s="308"/>
      <c r="G41" s="308"/>
      <c r="H41" s="308"/>
      <c r="I41" s="308"/>
      <c r="J41" s="308"/>
      <c r="K41" s="308"/>
      <c r="L41" s="308"/>
      <c r="M41" s="308"/>
      <c r="N41" s="308"/>
      <c r="O41" s="308"/>
      <c r="P41" s="308"/>
      <c r="Q41" s="308"/>
      <c r="R41" s="308"/>
      <c r="S41" s="308"/>
      <c r="T41" s="308"/>
      <c r="U41" s="308"/>
      <c r="V41" s="308"/>
      <c r="W41" s="308"/>
      <c r="X41" s="308"/>
    </row>
    <row r="42" spans="1:24">
      <c r="A42" s="54" t="s">
        <v>264</v>
      </c>
      <c r="B42" s="277"/>
      <c r="C42" s="74"/>
      <c r="D42" s="486">
        <v>0</v>
      </c>
      <c r="E42" s="313">
        <f>'Parking Projections'!C16/2</f>
        <v>1381.6770833333335</v>
      </c>
      <c r="F42" s="313">
        <f>'Parking Projections'!D16</f>
        <v>2763.354166666667</v>
      </c>
      <c r="G42" s="313">
        <f>'Parking Projections'!E16</f>
        <v>2763.354166666667</v>
      </c>
      <c r="H42" s="313">
        <f>'Parking Projections'!F16</f>
        <v>2763.354166666667</v>
      </c>
      <c r="I42" s="313">
        <f>'Parking Projections'!G16</f>
        <v>2763.354166666667</v>
      </c>
      <c r="J42" s="313">
        <f>'Parking Projections'!H16</f>
        <v>2763.354166666667</v>
      </c>
      <c r="K42" s="313">
        <f>'Parking Projections'!I16</f>
        <v>2763.354166666667</v>
      </c>
      <c r="L42" s="313">
        <f>'Parking Projections'!J16</f>
        <v>2763.354166666667</v>
      </c>
      <c r="M42" s="313">
        <f>'Parking Projections'!K16</f>
        <v>2763.354166666667</v>
      </c>
      <c r="N42" s="313">
        <f>'Parking Projections'!L16</f>
        <v>2763.354166666667</v>
      </c>
      <c r="O42" s="313">
        <f>'Parking Projections'!M16</f>
        <v>2763.354166666667</v>
      </c>
      <c r="P42" s="313">
        <f>'Parking Projections'!N16</f>
        <v>2763.354166666667</v>
      </c>
      <c r="Q42" s="313">
        <f>'Parking Projections'!O16</f>
        <v>2763.354166666667</v>
      </c>
      <c r="R42" s="313">
        <f>'Parking Projections'!P16</f>
        <v>2763.354166666667</v>
      </c>
      <c r="S42" s="313">
        <f>'Parking Projections'!Q16</f>
        <v>2763.354166666667</v>
      </c>
      <c r="T42" s="313">
        <f>'Parking Projections'!R16</f>
        <v>2763.354166666667</v>
      </c>
      <c r="U42" s="313">
        <f>'Parking Projections'!S16</f>
        <v>2763.354166666667</v>
      </c>
      <c r="V42" s="313">
        <f>'Parking Projections'!T16</f>
        <v>2763.354166666667</v>
      </c>
      <c r="W42" s="313">
        <f>'Parking Projections'!U16</f>
        <v>2763.354166666667</v>
      </c>
      <c r="X42" s="313">
        <f>'Parking Projections'!V16</f>
        <v>2763.354166666667</v>
      </c>
    </row>
    <row r="43" spans="1:24">
      <c r="A43" s="54" t="s">
        <v>267</v>
      </c>
      <c r="B43" s="277"/>
      <c r="C43" s="74"/>
      <c r="D43" s="486">
        <v>0</v>
      </c>
      <c r="E43" s="313">
        <f>'Parking Projections'!C20/2</f>
        <v>14009.916666666664</v>
      </c>
      <c r="F43" s="313">
        <f>'Parking Projections'!D20</f>
        <v>28019.833333333328</v>
      </c>
      <c r="G43" s="313">
        <f>'Parking Projections'!E20</f>
        <v>28019.833333333328</v>
      </c>
      <c r="H43" s="313">
        <f>'Parking Projections'!F20</f>
        <v>28019.833333333328</v>
      </c>
      <c r="I43" s="313">
        <f>'Parking Projections'!G20</f>
        <v>28019.833333333328</v>
      </c>
      <c r="J43" s="313">
        <f>'Parking Projections'!H20</f>
        <v>28019.833333333328</v>
      </c>
      <c r="K43" s="313">
        <f>'Parking Projections'!I20</f>
        <v>28019.833333333328</v>
      </c>
      <c r="L43" s="313">
        <f>'Parking Projections'!J20</f>
        <v>28019.833333333328</v>
      </c>
      <c r="M43" s="313">
        <f>'Parking Projections'!K20</f>
        <v>28019.833333333328</v>
      </c>
      <c r="N43" s="313">
        <f>'Parking Projections'!L20</f>
        <v>28019.833333333328</v>
      </c>
      <c r="O43" s="313">
        <f>'Parking Projections'!M20</f>
        <v>28019.833333333328</v>
      </c>
      <c r="P43" s="313">
        <f>'Parking Projections'!N20</f>
        <v>28019.833333333328</v>
      </c>
      <c r="Q43" s="313">
        <f>'Parking Projections'!O20</f>
        <v>28019.833333333328</v>
      </c>
      <c r="R43" s="313">
        <f>'Parking Projections'!P20</f>
        <v>28019.833333333328</v>
      </c>
      <c r="S43" s="313">
        <f>'Parking Projections'!Q20</f>
        <v>28019.833333333328</v>
      </c>
      <c r="T43" s="313">
        <f>'Parking Projections'!R20</f>
        <v>28019.833333333328</v>
      </c>
      <c r="U43" s="313">
        <f>'Parking Projections'!S20</f>
        <v>28019.833333333328</v>
      </c>
      <c r="V43" s="313">
        <f>'Parking Projections'!T20</f>
        <v>28019.833333333328</v>
      </c>
      <c r="W43" s="313">
        <f>'Parking Projections'!U20</f>
        <v>28019.833333333328</v>
      </c>
      <c r="X43" s="313">
        <f>'Parking Projections'!V20</f>
        <v>28019.833333333328</v>
      </c>
    </row>
    <row r="44" spans="1:24" s="96" customFormat="1">
      <c r="A44" s="54" t="s">
        <v>274</v>
      </c>
      <c r="B44" s="435"/>
      <c r="C44" s="583"/>
      <c r="D44" s="486">
        <v>0</v>
      </c>
      <c r="E44" s="313">
        <f>SUM(E42:E43)</f>
        <v>15391.593749999998</v>
      </c>
      <c r="F44" s="313">
        <f>SUM(F42:F43)</f>
        <v>30783.187499999996</v>
      </c>
      <c r="G44" s="313">
        <f t="shared" ref="G44:X44" si="6">SUM(G42:G43)</f>
        <v>30783.187499999996</v>
      </c>
      <c r="H44" s="313">
        <f t="shared" si="6"/>
        <v>30783.187499999996</v>
      </c>
      <c r="I44" s="313">
        <f t="shared" si="6"/>
        <v>30783.187499999996</v>
      </c>
      <c r="J44" s="313">
        <f t="shared" si="6"/>
        <v>30783.187499999996</v>
      </c>
      <c r="K44" s="313">
        <f t="shared" si="6"/>
        <v>30783.187499999996</v>
      </c>
      <c r="L44" s="313">
        <f t="shared" si="6"/>
        <v>30783.187499999996</v>
      </c>
      <c r="M44" s="313">
        <f t="shared" si="6"/>
        <v>30783.187499999996</v>
      </c>
      <c r="N44" s="313">
        <f t="shared" si="6"/>
        <v>30783.187499999996</v>
      </c>
      <c r="O44" s="313">
        <f t="shared" si="6"/>
        <v>30783.187499999996</v>
      </c>
      <c r="P44" s="313">
        <f t="shared" si="6"/>
        <v>30783.187499999996</v>
      </c>
      <c r="Q44" s="313">
        <f t="shared" si="6"/>
        <v>30783.187499999996</v>
      </c>
      <c r="R44" s="313">
        <f t="shared" si="6"/>
        <v>30783.187499999996</v>
      </c>
      <c r="S44" s="313">
        <f t="shared" si="6"/>
        <v>30783.187499999996</v>
      </c>
      <c r="T44" s="313">
        <f t="shared" si="6"/>
        <v>30783.187499999996</v>
      </c>
      <c r="U44" s="313">
        <f t="shared" si="6"/>
        <v>30783.187499999996</v>
      </c>
      <c r="V44" s="313">
        <f t="shared" si="6"/>
        <v>30783.187499999996</v>
      </c>
      <c r="W44" s="313">
        <f t="shared" si="6"/>
        <v>30783.187499999996</v>
      </c>
      <c r="X44" s="313">
        <f t="shared" si="6"/>
        <v>30783.187499999996</v>
      </c>
    </row>
    <row r="45" spans="1:24">
      <c r="A45" s="54"/>
      <c r="B45" s="277"/>
      <c r="C45" s="74"/>
      <c r="D45" s="499"/>
      <c r="E45" s="308"/>
      <c r="F45" s="308"/>
      <c r="G45" s="308"/>
      <c r="H45" s="308"/>
      <c r="I45" s="308"/>
      <c r="J45" s="308"/>
      <c r="K45" s="308"/>
      <c r="L45" s="308"/>
      <c r="M45" s="308"/>
      <c r="N45" s="308"/>
      <c r="O45" s="308"/>
      <c r="P45" s="308"/>
      <c r="Q45" s="308"/>
      <c r="R45" s="308"/>
      <c r="S45" s="308"/>
      <c r="T45" s="308"/>
      <c r="U45" s="308"/>
      <c r="V45" s="308"/>
      <c r="W45" s="308"/>
      <c r="X45" s="308"/>
    </row>
    <row r="46" spans="1:24" s="341" customFormat="1">
      <c r="A46" s="552" t="s">
        <v>224</v>
      </c>
      <c r="B46" s="556"/>
      <c r="C46" s="557"/>
      <c r="D46" s="554">
        <v>0</v>
      </c>
      <c r="E46" s="558">
        <v>3</v>
      </c>
      <c r="F46" s="558">
        <v>3</v>
      </c>
      <c r="G46" s="558">
        <v>3</v>
      </c>
      <c r="H46" s="558">
        <v>3</v>
      </c>
      <c r="I46" s="558">
        <v>3</v>
      </c>
      <c r="J46" s="558">
        <v>3</v>
      </c>
      <c r="K46" s="558">
        <v>3</v>
      </c>
      <c r="L46" s="558">
        <v>3</v>
      </c>
      <c r="M46" s="558">
        <v>3</v>
      </c>
      <c r="N46" s="558">
        <v>3</v>
      </c>
      <c r="O46" s="558">
        <v>3</v>
      </c>
      <c r="P46" s="558">
        <v>3</v>
      </c>
      <c r="Q46" s="558">
        <v>3</v>
      </c>
      <c r="R46" s="558">
        <v>3</v>
      </c>
      <c r="S46" s="558">
        <v>3</v>
      </c>
      <c r="T46" s="558">
        <v>3</v>
      </c>
      <c r="U46" s="558">
        <v>3</v>
      </c>
      <c r="V46" s="558">
        <v>3</v>
      </c>
      <c r="W46" s="558">
        <v>3</v>
      </c>
      <c r="X46" s="558">
        <v>3</v>
      </c>
    </row>
    <row r="47" spans="1:24" s="96" customFormat="1">
      <c r="A47" s="54" t="s">
        <v>225</v>
      </c>
      <c r="B47" s="435"/>
      <c r="C47" s="583"/>
      <c r="D47" s="486">
        <v>0</v>
      </c>
      <c r="E47" s="496">
        <v>1</v>
      </c>
      <c r="F47" s="496">
        <v>1</v>
      </c>
      <c r="G47" s="496">
        <v>1</v>
      </c>
      <c r="H47" s="496">
        <v>1</v>
      </c>
      <c r="I47" s="496">
        <v>1</v>
      </c>
      <c r="J47" s="496">
        <v>1</v>
      </c>
      <c r="K47" s="496">
        <v>1</v>
      </c>
      <c r="L47" s="496">
        <v>1</v>
      </c>
      <c r="M47" s="496">
        <v>1</v>
      </c>
      <c r="N47" s="496">
        <v>1</v>
      </c>
      <c r="O47" s="496">
        <v>1</v>
      </c>
      <c r="P47" s="496">
        <v>1</v>
      </c>
      <c r="Q47" s="496">
        <v>1</v>
      </c>
      <c r="R47" s="496">
        <v>1</v>
      </c>
      <c r="S47" s="496">
        <v>1</v>
      </c>
      <c r="T47" s="496">
        <v>1</v>
      </c>
      <c r="U47" s="496">
        <v>1</v>
      </c>
      <c r="V47" s="496">
        <v>1</v>
      </c>
      <c r="W47" s="496">
        <v>1</v>
      </c>
      <c r="X47" s="496">
        <v>1</v>
      </c>
    </row>
    <row r="48" spans="1:24">
      <c r="A48" s="54" t="s">
        <v>209</v>
      </c>
      <c r="B48" s="277"/>
      <c r="C48" s="74"/>
      <c r="D48" s="486">
        <v>0</v>
      </c>
      <c r="E48" s="496">
        <v>0.5</v>
      </c>
      <c r="F48" s="496">
        <v>0.5</v>
      </c>
      <c r="G48" s="496">
        <v>0.5</v>
      </c>
      <c r="H48" s="496">
        <v>0.5</v>
      </c>
      <c r="I48" s="496">
        <v>0.5</v>
      </c>
      <c r="J48" s="496">
        <v>0.5</v>
      </c>
      <c r="K48" s="496">
        <v>0.5</v>
      </c>
      <c r="L48" s="496">
        <v>0.5</v>
      </c>
      <c r="M48" s="496">
        <v>0.5</v>
      </c>
      <c r="N48" s="496">
        <v>0.5</v>
      </c>
      <c r="O48" s="496">
        <v>0.5</v>
      </c>
      <c r="P48" s="496">
        <v>0.5</v>
      </c>
      <c r="Q48" s="496">
        <v>0.5</v>
      </c>
      <c r="R48" s="496">
        <v>0.5</v>
      </c>
      <c r="S48" s="496">
        <v>0.5</v>
      </c>
      <c r="T48" s="496">
        <v>0.5</v>
      </c>
      <c r="U48" s="496">
        <v>0.5</v>
      </c>
      <c r="V48" s="496">
        <v>0.5</v>
      </c>
      <c r="W48" s="496">
        <v>0.5</v>
      </c>
      <c r="X48" s="496">
        <v>0.5</v>
      </c>
    </row>
    <row r="49" spans="1:25 16384:16384">
      <c r="A49" s="54" t="s">
        <v>289</v>
      </c>
      <c r="B49" s="277"/>
      <c r="C49" s="74"/>
      <c r="D49" s="486">
        <v>0</v>
      </c>
      <c r="E49" s="496">
        <f>SUM(E47:E48)/2</f>
        <v>0.75</v>
      </c>
      <c r="F49" s="496">
        <f t="shared" ref="F49:X49" si="7">SUM(F47:F48)/2</f>
        <v>0.75</v>
      </c>
      <c r="G49" s="496">
        <f t="shared" si="7"/>
        <v>0.75</v>
      </c>
      <c r="H49" s="496">
        <f t="shared" si="7"/>
        <v>0.75</v>
      </c>
      <c r="I49" s="496">
        <f t="shared" si="7"/>
        <v>0.75</v>
      </c>
      <c r="J49" s="496">
        <f t="shared" si="7"/>
        <v>0.75</v>
      </c>
      <c r="K49" s="496">
        <f t="shared" si="7"/>
        <v>0.75</v>
      </c>
      <c r="L49" s="496">
        <f t="shared" si="7"/>
        <v>0.75</v>
      </c>
      <c r="M49" s="496">
        <f t="shared" si="7"/>
        <v>0.75</v>
      </c>
      <c r="N49" s="496">
        <f t="shared" si="7"/>
        <v>0.75</v>
      </c>
      <c r="O49" s="496">
        <f t="shared" si="7"/>
        <v>0.75</v>
      </c>
      <c r="P49" s="496">
        <f t="shared" si="7"/>
        <v>0.75</v>
      </c>
      <c r="Q49" s="496">
        <f t="shared" si="7"/>
        <v>0.75</v>
      </c>
      <c r="R49" s="496">
        <f t="shared" si="7"/>
        <v>0.75</v>
      </c>
      <c r="S49" s="496">
        <f t="shared" si="7"/>
        <v>0.75</v>
      </c>
      <c r="T49" s="496">
        <f t="shared" si="7"/>
        <v>0.75</v>
      </c>
      <c r="U49" s="496">
        <f t="shared" si="7"/>
        <v>0.75</v>
      </c>
      <c r="V49" s="496">
        <f t="shared" si="7"/>
        <v>0.75</v>
      </c>
      <c r="W49" s="496">
        <f t="shared" si="7"/>
        <v>0.75</v>
      </c>
      <c r="X49" s="496">
        <f t="shared" si="7"/>
        <v>0.75</v>
      </c>
      <c r="XFD49" s="570">
        <f>SUM(D49:XFC49)</f>
        <v>15</v>
      </c>
    </row>
    <row r="50" spans="1:25 16384:16384">
      <c r="A50" s="54"/>
      <c r="B50" s="277"/>
      <c r="C50" s="74"/>
      <c r="D50" s="486"/>
      <c r="E50" s="496"/>
      <c r="F50" s="496"/>
      <c r="G50" s="496"/>
      <c r="H50" s="496"/>
      <c r="I50" s="496"/>
      <c r="J50" s="496"/>
      <c r="K50" s="496"/>
      <c r="L50" s="496"/>
      <c r="M50" s="496"/>
      <c r="N50" s="496"/>
      <c r="O50" s="496"/>
      <c r="P50" s="496"/>
      <c r="Q50" s="496"/>
      <c r="R50" s="496"/>
      <c r="S50" s="496"/>
      <c r="T50" s="496"/>
      <c r="U50" s="496"/>
      <c r="V50" s="496"/>
      <c r="W50" s="496"/>
      <c r="X50" s="496"/>
      <c r="XFD50" s="570"/>
    </row>
    <row r="51" spans="1:25 16384:16384">
      <c r="A51" s="54" t="s">
        <v>312</v>
      </c>
      <c r="B51" s="277"/>
      <c r="C51" s="74"/>
      <c r="D51" s="486">
        <v>0</v>
      </c>
      <c r="E51" s="313">
        <f>'OPEX - Concept A1'!L56</f>
        <v>3595</v>
      </c>
      <c r="F51" s="313">
        <f>'OPEX - Concept A1'!M56</f>
        <v>7190</v>
      </c>
      <c r="G51" s="313">
        <f>'OPEX - Concept A1'!N56</f>
        <v>7190</v>
      </c>
      <c r="H51" s="313">
        <f>'OPEX - Concept A1'!O56</f>
        <v>7190</v>
      </c>
      <c r="I51" s="313">
        <f>'OPEX - Concept A1'!P56</f>
        <v>7190</v>
      </c>
      <c r="J51" s="313">
        <f>'OPEX - Concept A1'!Q56</f>
        <v>7190</v>
      </c>
      <c r="K51" s="313">
        <f>'OPEX - Concept A1'!R56</f>
        <v>7190</v>
      </c>
      <c r="L51" s="313">
        <f>'OPEX - Concept A1'!S56</f>
        <v>7190</v>
      </c>
      <c r="M51" s="313">
        <f>'OPEX - Concept A1'!T56</f>
        <v>7190</v>
      </c>
      <c r="N51" s="313">
        <f>'OPEX - Concept A1'!U56</f>
        <v>7190</v>
      </c>
      <c r="O51" s="313">
        <f>'OPEX - Concept A1'!V56</f>
        <v>7190</v>
      </c>
      <c r="P51" s="313">
        <f>'OPEX - Concept A1'!W56</f>
        <v>7190</v>
      </c>
      <c r="Q51" s="313">
        <f>'OPEX - Concept A1'!X56</f>
        <v>7190</v>
      </c>
      <c r="R51" s="313">
        <f>'OPEX - Concept A1'!Y56</f>
        <v>7190</v>
      </c>
      <c r="S51" s="313">
        <f>'OPEX - Concept A1'!Z56</f>
        <v>7190</v>
      </c>
      <c r="T51" s="313">
        <f>'OPEX - Concept A1'!AA56</f>
        <v>7190</v>
      </c>
      <c r="U51" s="313">
        <f>'OPEX - Concept A1'!AB56</f>
        <v>7190</v>
      </c>
      <c r="V51" s="313">
        <f>'OPEX - Concept A1'!AC56</f>
        <v>7190</v>
      </c>
      <c r="W51" s="313">
        <f>'OPEX - Concept A1'!AD56</f>
        <v>7190</v>
      </c>
      <c r="X51" s="313">
        <f>'OPEX - Concept A1'!AE56</f>
        <v>7190</v>
      </c>
      <c r="XFD51" s="570"/>
    </row>
    <row r="52" spans="1:25 16384:16384">
      <c r="A52" s="54"/>
      <c r="B52" s="277"/>
      <c r="C52" s="74"/>
      <c r="D52" s="486"/>
      <c r="E52" s="308"/>
      <c r="F52" s="308"/>
      <c r="G52" s="308"/>
      <c r="H52" s="308"/>
      <c r="I52" s="308"/>
      <c r="J52" s="308"/>
      <c r="K52" s="308"/>
      <c r="L52" s="308"/>
      <c r="M52" s="308"/>
      <c r="N52" s="308"/>
      <c r="O52" s="308"/>
      <c r="P52" s="308"/>
      <c r="Q52" s="308"/>
      <c r="R52" s="308"/>
      <c r="S52" s="308"/>
      <c r="T52" s="308"/>
      <c r="U52" s="308"/>
      <c r="V52" s="308"/>
      <c r="W52" s="308"/>
      <c r="X52" s="308"/>
    </row>
    <row r="53" spans="1:25 16384:16384" s="612" customFormat="1">
      <c r="A53" s="613" t="s">
        <v>292</v>
      </c>
      <c r="B53" s="614"/>
      <c r="C53" s="615"/>
      <c r="D53" s="616">
        <v>0</v>
      </c>
      <c r="E53" s="617">
        <v>0</v>
      </c>
      <c r="F53" s="617">
        <v>0</v>
      </c>
      <c r="G53" s="617">
        <v>100000</v>
      </c>
      <c r="H53" s="617">
        <v>100000</v>
      </c>
      <c r="I53" s="617">
        <v>100000</v>
      </c>
      <c r="J53" s="617">
        <v>100000</v>
      </c>
      <c r="K53" s="617">
        <v>100000</v>
      </c>
      <c r="L53" s="617">
        <v>100000</v>
      </c>
      <c r="M53" s="617">
        <v>100000</v>
      </c>
      <c r="N53" s="617">
        <v>100000</v>
      </c>
      <c r="O53" s="617">
        <v>100000</v>
      </c>
      <c r="P53" s="617">
        <v>100000</v>
      </c>
      <c r="Q53" s="617">
        <v>100000</v>
      </c>
      <c r="R53" s="617">
        <v>100000</v>
      </c>
      <c r="S53" s="617">
        <v>100000</v>
      </c>
      <c r="T53" s="617">
        <v>100000</v>
      </c>
      <c r="U53" s="617">
        <v>100000</v>
      </c>
      <c r="V53" s="617">
        <v>100000</v>
      </c>
      <c r="W53" s="617">
        <v>100000</v>
      </c>
      <c r="X53" s="618">
        <v>100000</v>
      </c>
    </row>
    <row r="54" spans="1:25 16384:16384">
      <c r="A54" s="54"/>
      <c r="B54" s="277"/>
      <c r="C54" s="74"/>
      <c r="D54" s="486"/>
      <c r="E54" s="308"/>
      <c r="F54" s="308"/>
      <c r="G54" s="308"/>
      <c r="H54" s="308"/>
      <c r="I54" s="308"/>
      <c r="J54" s="308"/>
      <c r="K54" s="308"/>
      <c r="L54" s="308"/>
      <c r="M54" s="308"/>
      <c r="N54" s="308"/>
      <c r="O54" s="308"/>
      <c r="P54" s="308"/>
      <c r="Q54" s="308"/>
      <c r="R54" s="308"/>
      <c r="S54" s="308"/>
      <c r="T54" s="308"/>
      <c r="U54" s="308"/>
      <c r="V54" s="308"/>
      <c r="W54" s="308"/>
      <c r="X54" s="308"/>
    </row>
    <row r="55" spans="1:25 16384:16384" s="582" customFormat="1">
      <c r="A55" s="293" t="str">
        <f>'BH Tariffs'!A33</f>
        <v>Recreational/Commercial Marina</v>
      </c>
      <c r="B55" s="584"/>
      <c r="C55" s="585"/>
      <c r="D55" s="486"/>
      <c r="E55" s="586"/>
      <c r="F55" s="586"/>
      <c r="G55" s="586"/>
      <c r="H55" s="586"/>
      <c r="I55" s="586"/>
      <c r="J55" s="586"/>
      <c r="K55" s="586"/>
      <c r="L55" s="586"/>
      <c r="M55" s="586"/>
      <c r="N55" s="586"/>
      <c r="O55" s="586"/>
      <c r="P55" s="586"/>
      <c r="Q55" s="586"/>
      <c r="R55" s="586"/>
      <c r="S55" s="586"/>
      <c r="T55" s="586"/>
      <c r="U55" s="586"/>
      <c r="V55" s="586"/>
      <c r="W55" s="586"/>
      <c r="X55" s="586"/>
    </row>
    <row r="56" spans="1:25 16384:16384" s="96" customFormat="1">
      <c r="A56" s="54" t="s">
        <v>291</v>
      </c>
      <c r="B56" s="435"/>
      <c r="C56" s="583"/>
      <c r="D56" s="486">
        <v>0</v>
      </c>
      <c r="E56" s="313">
        <v>0</v>
      </c>
      <c r="F56" s="313">
        <f>'Marina Projections'!D13</f>
        <v>12</v>
      </c>
      <c r="G56" s="313">
        <f>'Marina Projections'!E13</f>
        <v>12</v>
      </c>
      <c r="H56" s="313">
        <f>'Marina Projections'!F13</f>
        <v>12</v>
      </c>
      <c r="I56" s="313">
        <f>'Marina Projections'!G13</f>
        <v>12</v>
      </c>
      <c r="J56" s="313">
        <f>'Marina Projections'!H13</f>
        <v>12</v>
      </c>
      <c r="K56" s="313">
        <f>'Marina Projections'!I13</f>
        <v>12</v>
      </c>
      <c r="L56" s="313">
        <f>'Marina Projections'!J13</f>
        <v>12</v>
      </c>
      <c r="M56" s="313">
        <f>'Marina Projections'!K13</f>
        <v>12</v>
      </c>
      <c r="N56" s="313">
        <f>'Marina Projections'!L13</f>
        <v>12</v>
      </c>
      <c r="O56" s="313">
        <f>'Marina Projections'!M13</f>
        <v>12</v>
      </c>
      <c r="P56" s="313">
        <f>'Marina Projections'!N13</f>
        <v>12</v>
      </c>
      <c r="Q56" s="313">
        <f>'Marina Projections'!O13</f>
        <v>12</v>
      </c>
      <c r="R56" s="313">
        <f>'Marina Projections'!P13</f>
        <v>12</v>
      </c>
      <c r="S56" s="313">
        <f>'Marina Projections'!Q13</f>
        <v>12</v>
      </c>
      <c r="T56" s="313">
        <f>'Marina Projections'!R13</f>
        <v>12</v>
      </c>
      <c r="U56" s="313">
        <f>'Marina Projections'!S13</f>
        <v>12</v>
      </c>
      <c r="V56" s="313">
        <f>'Marina Projections'!T13</f>
        <v>12</v>
      </c>
      <c r="W56" s="313">
        <f>'Marina Projections'!U13</f>
        <v>12</v>
      </c>
      <c r="X56" s="313">
        <f>'Marina Projections'!V13</f>
        <v>12</v>
      </c>
    </row>
    <row r="57" spans="1:25 16384:16384" s="96" customFormat="1">
      <c r="A57" s="54" t="s">
        <v>293</v>
      </c>
      <c r="B57" s="435"/>
      <c r="C57" s="583"/>
      <c r="D57" s="486">
        <v>0</v>
      </c>
      <c r="E57" s="313">
        <v>0</v>
      </c>
      <c r="F57" s="313">
        <f>'Marina Projections'!D20</f>
        <v>9557.1731249999993</v>
      </c>
      <c r="G57" s="313">
        <f>'Marina Projections'!E20</f>
        <v>9557.1731249999993</v>
      </c>
      <c r="H57" s="313">
        <f>'Marina Projections'!F20</f>
        <v>9557.1731249999993</v>
      </c>
      <c r="I57" s="313">
        <f>'Marina Projections'!G20</f>
        <v>9557.1731249999993</v>
      </c>
      <c r="J57" s="313">
        <f>'Marina Projections'!H20</f>
        <v>9557.1731249999993</v>
      </c>
      <c r="K57" s="313">
        <f>'Marina Projections'!I20</f>
        <v>9557.1731249999993</v>
      </c>
      <c r="L57" s="313">
        <f>'Marina Projections'!J20</f>
        <v>9557.1731249999993</v>
      </c>
      <c r="M57" s="313">
        <f>'Marina Projections'!K20</f>
        <v>9557.1731249999993</v>
      </c>
      <c r="N57" s="313">
        <f>'Marina Projections'!L20</f>
        <v>9557.1731249999993</v>
      </c>
      <c r="O57" s="313">
        <f>'Marina Projections'!M20</f>
        <v>9557.1731249999993</v>
      </c>
      <c r="P57" s="313">
        <f>'Marina Projections'!N20</f>
        <v>9557.1731249999993</v>
      </c>
      <c r="Q57" s="313">
        <f>'Marina Projections'!O20</f>
        <v>9557.1731249999993</v>
      </c>
      <c r="R57" s="313">
        <f>'Marina Projections'!P20</f>
        <v>9557.1731249999993</v>
      </c>
      <c r="S57" s="313">
        <f>'Marina Projections'!Q20</f>
        <v>9557.1731249999993</v>
      </c>
      <c r="T57" s="313">
        <f>'Marina Projections'!R20</f>
        <v>9557.1731249999993</v>
      </c>
      <c r="U57" s="313">
        <f>'Marina Projections'!S20</f>
        <v>9557.1731249999993</v>
      </c>
      <c r="V57" s="313">
        <f>'Marina Projections'!T20</f>
        <v>9557.1731249999993</v>
      </c>
      <c r="W57" s="313">
        <f>'Marina Projections'!U20</f>
        <v>9557.1731249999993</v>
      </c>
      <c r="X57" s="313">
        <f>'Marina Projections'!V20</f>
        <v>9557.1731249999993</v>
      </c>
    </row>
    <row r="58" spans="1:25 16384:16384" s="96" customFormat="1">
      <c r="A58" s="54" t="s">
        <v>294</v>
      </c>
      <c r="B58" s="435"/>
      <c r="C58" s="583"/>
      <c r="D58" s="486">
        <v>0</v>
      </c>
      <c r="E58" s="313">
        <v>0</v>
      </c>
      <c r="F58" s="313">
        <f>'Marina Projections'!C16</f>
        <v>359.1</v>
      </c>
      <c r="G58" s="313">
        <f>'Marina Projections'!D16</f>
        <v>359.1</v>
      </c>
      <c r="H58" s="313">
        <f>'Marina Projections'!E16</f>
        <v>359.1</v>
      </c>
      <c r="I58" s="313">
        <f>'Marina Projections'!F16</f>
        <v>359.1</v>
      </c>
      <c r="J58" s="313">
        <f>'Marina Projections'!G16</f>
        <v>359.1</v>
      </c>
      <c r="K58" s="313">
        <f>'Marina Projections'!H16</f>
        <v>359.1</v>
      </c>
      <c r="L58" s="313">
        <f>'Marina Projections'!I16</f>
        <v>359.1</v>
      </c>
      <c r="M58" s="313">
        <f>'Marina Projections'!J16</f>
        <v>359.1</v>
      </c>
      <c r="N58" s="313">
        <f>'Marina Projections'!K16</f>
        <v>359.1</v>
      </c>
      <c r="O58" s="313">
        <f>'Marina Projections'!L16</f>
        <v>359.1</v>
      </c>
      <c r="P58" s="313">
        <f>'Marina Projections'!M16</f>
        <v>359.1</v>
      </c>
      <c r="Q58" s="313">
        <f>'Marina Projections'!N16</f>
        <v>359.1</v>
      </c>
      <c r="R58" s="313">
        <f>'Marina Projections'!O16</f>
        <v>359.1</v>
      </c>
      <c r="S58" s="313">
        <f>'Marina Projections'!P16</f>
        <v>359.1</v>
      </c>
      <c r="T58" s="313">
        <f>'Marina Projections'!Q16</f>
        <v>359.1</v>
      </c>
      <c r="U58" s="313">
        <f>'Marina Projections'!R16</f>
        <v>359.1</v>
      </c>
      <c r="V58" s="313">
        <f>'Marina Projections'!S16</f>
        <v>359.1</v>
      </c>
      <c r="W58" s="313">
        <f>'Marina Projections'!T16</f>
        <v>359.1</v>
      </c>
      <c r="X58" s="313">
        <f>'Marina Projections'!U16</f>
        <v>359.1</v>
      </c>
    </row>
    <row r="59" spans="1:25 16384:16384" s="167" customFormat="1">
      <c r="A59" s="497" t="s">
        <v>170</v>
      </c>
      <c r="B59" s="450"/>
      <c r="C59" s="498"/>
      <c r="D59" s="486">
        <v>0</v>
      </c>
      <c r="E59" s="587">
        <v>0</v>
      </c>
      <c r="F59" s="587">
        <v>0</v>
      </c>
      <c r="G59" s="587">
        <v>0</v>
      </c>
      <c r="H59" s="587">
        <v>0</v>
      </c>
      <c r="I59" s="587">
        <v>0</v>
      </c>
      <c r="J59" s="587">
        <v>0</v>
      </c>
      <c r="K59" s="587">
        <v>0</v>
      </c>
      <c r="L59" s="587">
        <v>0</v>
      </c>
      <c r="M59" s="587">
        <v>0</v>
      </c>
      <c r="N59" s="587">
        <v>0</v>
      </c>
      <c r="O59" s="587">
        <v>0</v>
      </c>
      <c r="P59" s="587">
        <v>0</v>
      </c>
      <c r="Q59" s="587">
        <v>0</v>
      </c>
      <c r="R59" s="587">
        <v>0</v>
      </c>
      <c r="S59" s="587">
        <v>0</v>
      </c>
      <c r="T59" s="587">
        <v>0</v>
      </c>
      <c r="U59" s="587">
        <v>0</v>
      </c>
      <c r="V59" s="587">
        <v>0</v>
      </c>
      <c r="W59" s="587">
        <v>0</v>
      </c>
      <c r="X59" s="587">
        <v>0</v>
      </c>
      <c r="Y59" s="167" t="s">
        <v>282</v>
      </c>
    </row>
    <row r="60" spans="1:25 16384:16384" s="167" customFormat="1">
      <c r="A60" s="497" t="s">
        <v>16</v>
      </c>
      <c r="B60" s="450"/>
      <c r="C60" s="498"/>
      <c r="D60" s="499">
        <v>0</v>
      </c>
      <c r="E60" s="587">
        <v>0</v>
      </c>
      <c r="F60" s="587">
        <v>0</v>
      </c>
      <c r="G60" s="587">
        <v>0</v>
      </c>
      <c r="H60" s="587">
        <v>0</v>
      </c>
      <c r="I60" s="587">
        <v>0</v>
      </c>
      <c r="J60" s="587">
        <v>0</v>
      </c>
      <c r="K60" s="587">
        <v>0</v>
      </c>
      <c r="L60" s="587">
        <v>0</v>
      </c>
      <c r="M60" s="587">
        <v>0</v>
      </c>
      <c r="N60" s="587">
        <v>0</v>
      </c>
      <c r="O60" s="587">
        <v>0</v>
      </c>
      <c r="P60" s="587">
        <v>0</v>
      </c>
      <c r="Q60" s="587">
        <v>0</v>
      </c>
      <c r="R60" s="587">
        <v>0</v>
      </c>
      <c r="S60" s="587">
        <v>0</v>
      </c>
      <c r="T60" s="587">
        <v>0</v>
      </c>
      <c r="U60" s="587">
        <v>0</v>
      </c>
      <c r="V60" s="587">
        <v>0</v>
      </c>
      <c r="W60" s="587">
        <v>0</v>
      </c>
      <c r="X60" s="587">
        <v>0</v>
      </c>
      <c r="Y60" s="167" t="s">
        <v>282</v>
      </c>
    </row>
    <row r="61" spans="1:25 16384:16384">
      <c r="A61" s="54"/>
      <c r="B61" s="277"/>
      <c r="C61" s="74"/>
      <c r="D61" s="492"/>
      <c r="E61" s="308"/>
      <c r="F61" s="308"/>
      <c r="G61" s="308"/>
      <c r="H61" s="308"/>
      <c r="I61" s="308"/>
      <c r="J61" s="308"/>
      <c r="K61" s="308"/>
      <c r="L61" s="308"/>
      <c r="M61" s="308"/>
      <c r="N61" s="308"/>
      <c r="O61" s="308"/>
      <c r="P61" s="308"/>
      <c r="Q61" s="308"/>
      <c r="R61" s="308"/>
      <c r="S61" s="308"/>
      <c r="T61" s="308"/>
      <c r="U61" s="308"/>
      <c r="V61" s="308"/>
      <c r="W61" s="308"/>
      <c r="X61" s="308"/>
    </row>
    <row r="62" spans="1:25 16384:16384">
      <c r="A62" s="293" t="s">
        <v>2</v>
      </c>
      <c r="B62" s="277"/>
      <c r="C62" s="74"/>
      <c r="D62" s="492"/>
      <c r="E62" s="308"/>
      <c r="F62" s="308"/>
      <c r="G62" s="308"/>
      <c r="H62" s="308"/>
      <c r="I62" s="308"/>
      <c r="J62" s="308"/>
      <c r="K62" s="308"/>
      <c r="L62" s="308"/>
      <c r="M62" s="308"/>
      <c r="N62" s="308"/>
      <c r="O62" s="308"/>
      <c r="P62" s="308"/>
      <c r="Q62" s="308"/>
      <c r="R62" s="308"/>
      <c r="S62" s="308"/>
      <c r="T62" s="308"/>
      <c r="U62" s="308"/>
      <c r="V62" s="308"/>
      <c r="W62" s="308"/>
      <c r="X62" s="308"/>
    </row>
    <row r="63" spans="1:25 16384:16384" s="341" customFormat="1">
      <c r="A63" s="552" t="s">
        <v>290</v>
      </c>
      <c r="B63" s="556">
        <v>500</v>
      </c>
      <c r="C63" s="553"/>
      <c r="D63" s="554">
        <v>0</v>
      </c>
      <c r="E63" s="555">
        <v>0</v>
      </c>
      <c r="F63" s="555">
        <v>0</v>
      </c>
      <c r="G63" s="555">
        <f t="shared" ref="G63:X63" si="8">$B$63</f>
        <v>500</v>
      </c>
      <c r="H63" s="555">
        <f t="shared" si="8"/>
        <v>500</v>
      </c>
      <c r="I63" s="555">
        <f t="shared" si="8"/>
        <v>500</v>
      </c>
      <c r="J63" s="555">
        <f t="shared" si="8"/>
        <v>500</v>
      </c>
      <c r="K63" s="555">
        <f t="shared" si="8"/>
        <v>500</v>
      </c>
      <c r="L63" s="555">
        <f t="shared" si="8"/>
        <v>500</v>
      </c>
      <c r="M63" s="555">
        <f t="shared" si="8"/>
        <v>500</v>
      </c>
      <c r="N63" s="555">
        <f t="shared" si="8"/>
        <v>500</v>
      </c>
      <c r="O63" s="555">
        <f t="shared" si="8"/>
        <v>500</v>
      </c>
      <c r="P63" s="555">
        <f t="shared" si="8"/>
        <v>500</v>
      </c>
      <c r="Q63" s="555">
        <f t="shared" si="8"/>
        <v>500</v>
      </c>
      <c r="R63" s="555">
        <f t="shared" si="8"/>
        <v>500</v>
      </c>
      <c r="S63" s="555">
        <f t="shared" si="8"/>
        <v>500</v>
      </c>
      <c r="T63" s="555">
        <f t="shared" si="8"/>
        <v>500</v>
      </c>
      <c r="U63" s="555">
        <f t="shared" si="8"/>
        <v>500</v>
      </c>
      <c r="V63" s="555">
        <f t="shared" si="8"/>
        <v>500</v>
      </c>
      <c r="W63" s="555">
        <f t="shared" si="8"/>
        <v>500</v>
      </c>
      <c r="X63" s="555">
        <f t="shared" si="8"/>
        <v>500</v>
      </c>
    </row>
    <row r="64" spans="1:25 16384:16384" s="341" customFormat="1">
      <c r="A64" s="552" t="s">
        <v>540</v>
      </c>
      <c r="B64" s="556"/>
      <c r="C64" s="553"/>
      <c r="D64" s="1053">
        <v>0</v>
      </c>
      <c r="E64" s="1054">
        <v>0</v>
      </c>
      <c r="F64" s="1054">
        <v>0</v>
      </c>
      <c r="G64" s="1054">
        <v>200000</v>
      </c>
      <c r="H64" s="1054">
        <f>G64</f>
        <v>200000</v>
      </c>
      <c r="I64" s="1054">
        <f t="shared" ref="I64:X64" si="9">H64</f>
        <v>200000</v>
      </c>
      <c r="J64" s="1054">
        <f t="shared" si="9"/>
        <v>200000</v>
      </c>
      <c r="K64" s="1054">
        <f t="shared" si="9"/>
        <v>200000</v>
      </c>
      <c r="L64" s="1054">
        <f t="shared" si="9"/>
        <v>200000</v>
      </c>
      <c r="M64" s="1054">
        <f t="shared" si="9"/>
        <v>200000</v>
      </c>
      <c r="N64" s="1054">
        <f t="shared" si="9"/>
        <v>200000</v>
      </c>
      <c r="O64" s="1054">
        <f t="shared" si="9"/>
        <v>200000</v>
      </c>
      <c r="P64" s="1054">
        <f t="shared" si="9"/>
        <v>200000</v>
      </c>
      <c r="Q64" s="1054">
        <f t="shared" si="9"/>
        <v>200000</v>
      </c>
      <c r="R64" s="1054">
        <f t="shared" si="9"/>
        <v>200000</v>
      </c>
      <c r="S64" s="1054">
        <f t="shared" si="9"/>
        <v>200000</v>
      </c>
      <c r="T64" s="1054">
        <f t="shared" si="9"/>
        <v>200000</v>
      </c>
      <c r="U64" s="1054">
        <f t="shared" si="9"/>
        <v>200000</v>
      </c>
      <c r="V64" s="1054">
        <f t="shared" si="9"/>
        <v>200000</v>
      </c>
      <c r="W64" s="1054">
        <f t="shared" si="9"/>
        <v>200000</v>
      </c>
      <c r="X64" s="1054">
        <f t="shared" si="9"/>
        <v>200000</v>
      </c>
    </row>
    <row r="65" spans="1:25" s="96" customFormat="1">
      <c r="A65" s="54" t="s">
        <v>210</v>
      </c>
      <c r="B65" s="487"/>
      <c r="C65" s="487"/>
      <c r="D65" s="486">
        <v>0</v>
      </c>
      <c r="E65" s="313">
        <v>0</v>
      </c>
      <c r="F65" s="313">
        <v>1</v>
      </c>
      <c r="G65" s="313">
        <v>2</v>
      </c>
      <c r="H65" s="313">
        <v>2</v>
      </c>
      <c r="I65" s="313">
        <v>2</v>
      </c>
      <c r="J65" s="313">
        <v>3</v>
      </c>
      <c r="K65" s="313">
        <v>3</v>
      </c>
      <c r="L65" s="313">
        <v>3</v>
      </c>
      <c r="M65" s="313">
        <v>3</v>
      </c>
      <c r="N65" s="313">
        <v>3</v>
      </c>
      <c r="O65" s="313">
        <v>4</v>
      </c>
      <c r="P65" s="313">
        <v>4</v>
      </c>
      <c r="Q65" s="313">
        <v>4</v>
      </c>
      <c r="R65" s="313">
        <v>4</v>
      </c>
      <c r="S65" s="313">
        <v>4</v>
      </c>
      <c r="T65" s="313">
        <v>5</v>
      </c>
      <c r="U65" s="313">
        <v>5</v>
      </c>
      <c r="V65" s="313">
        <v>5</v>
      </c>
      <c r="W65" s="313">
        <v>5</v>
      </c>
      <c r="X65" s="313">
        <v>5</v>
      </c>
      <c r="Y65" s="313"/>
    </row>
    <row r="66" spans="1:25" s="96" customFormat="1">
      <c r="A66" s="96" t="s">
        <v>211</v>
      </c>
      <c r="D66" s="486">
        <v>0</v>
      </c>
      <c r="E66" s="435">
        <v>0</v>
      </c>
      <c r="F66" s="435">
        <v>3</v>
      </c>
      <c r="G66" s="435">
        <v>3</v>
      </c>
      <c r="H66" s="435">
        <v>3</v>
      </c>
      <c r="I66" s="435">
        <v>3</v>
      </c>
      <c r="J66" s="435">
        <v>3</v>
      </c>
      <c r="K66" s="435">
        <v>3</v>
      </c>
      <c r="L66" s="435">
        <v>3</v>
      </c>
      <c r="M66" s="435">
        <v>3</v>
      </c>
      <c r="N66" s="435">
        <v>3</v>
      </c>
      <c r="O66" s="435">
        <v>3</v>
      </c>
      <c r="P66" s="435">
        <v>3</v>
      </c>
      <c r="Q66" s="435">
        <v>3</v>
      </c>
      <c r="R66" s="435">
        <v>3</v>
      </c>
      <c r="S66" s="435">
        <v>3</v>
      </c>
      <c r="T66" s="435">
        <v>3</v>
      </c>
      <c r="U66" s="435">
        <v>3</v>
      </c>
      <c r="V66" s="435">
        <v>3</v>
      </c>
      <c r="W66" s="435">
        <v>3</v>
      </c>
      <c r="X66" s="435">
        <v>3</v>
      </c>
    </row>
    <row r="67" spans="1:25" s="96" customFormat="1">
      <c r="D67" s="486"/>
      <c r="E67" s="435"/>
      <c r="F67" s="435"/>
      <c r="G67" s="435"/>
      <c r="H67" s="435"/>
      <c r="I67" s="435"/>
      <c r="J67" s="435"/>
      <c r="K67" s="435"/>
      <c r="L67" s="435"/>
      <c r="M67" s="435"/>
      <c r="N67" s="435"/>
      <c r="O67" s="435"/>
      <c r="P67" s="435"/>
      <c r="Q67" s="435"/>
      <c r="R67" s="435"/>
      <c r="S67" s="435"/>
      <c r="T67" s="435"/>
      <c r="U67" s="435"/>
      <c r="V67" s="435"/>
      <c r="W67" s="435"/>
      <c r="X67" s="435"/>
    </row>
    <row r="68" spans="1:25">
      <c r="A68" s="28"/>
      <c r="D68" s="486"/>
      <c r="E68" s="331"/>
      <c r="F68" s="333"/>
      <c r="G68" s="331"/>
      <c r="H68" s="331"/>
      <c r="I68" s="331"/>
      <c r="J68" s="331"/>
      <c r="K68" s="331"/>
      <c r="L68" s="331"/>
      <c r="M68" s="331"/>
      <c r="N68" s="331"/>
      <c r="O68" s="331"/>
      <c r="P68" s="331"/>
      <c r="Q68" s="331"/>
      <c r="R68" s="331"/>
      <c r="S68" s="331"/>
      <c r="T68" s="331"/>
      <c r="U68" s="331"/>
      <c r="V68" s="331"/>
      <c r="W68" s="331"/>
      <c r="X68" s="331"/>
    </row>
    <row r="69" spans="1:25">
      <c r="A69" s="266" t="s">
        <v>135</v>
      </c>
      <c r="B69" s="223"/>
      <c r="C69" s="267"/>
      <c r="D69" s="332"/>
      <c r="E69" s="332"/>
      <c r="F69" s="349"/>
      <c r="G69" s="332"/>
      <c r="H69" s="332"/>
      <c r="I69" s="332"/>
      <c r="J69" s="332"/>
      <c r="K69" s="332"/>
      <c r="L69" s="332"/>
      <c r="M69" s="332"/>
      <c r="N69" s="332"/>
      <c r="O69" s="332"/>
      <c r="P69" s="332"/>
      <c r="Q69" s="332"/>
      <c r="R69" s="332"/>
      <c r="S69" s="332"/>
      <c r="T69" s="332"/>
      <c r="U69" s="332"/>
      <c r="V69" s="332"/>
      <c r="W69" s="332"/>
      <c r="X69" s="332"/>
    </row>
    <row r="70" spans="1:25" s="341" customFormat="1">
      <c r="A70" s="353"/>
      <c r="B70" s="355"/>
      <c r="C70" s="355"/>
      <c r="D70" s="502"/>
      <c r="E70" s="503"/>
      <c r="F70" s="503"/>
      <c r="G70" s="503"/>
      <c r="H70" s="503"/>
      <c r="I70" s="503"/>
      <c r="J70" s="503"/>
      <c r="K70" s="503"/>
      <c r="L70" s="503"/>
      <c r="M70" s="503"/>
      <c r="N70" s="503"/>
      <c r="O70" s="503"/>
      <c r="P70" s="503"/>
      <c r="Q70" s="503"/>
      <c r="R70" s="503"/>
      <c r="S70" s="503"/>
      <c r="T70" s="503"/>
      <c r="U70" s="503"/>
      <c r="V70" s="503"/>
      <c r="W70" s="503"/>
      <c r="X70" s="503"/>
    </row>
    <row r="71" spans="1:25" s="341" customFormat="1">
      <c r="A71" s="691" t="s">
        <v>144</v>
      </c>
      <c r="B71" s="355"/>
      <c r="C71" s="355"/>
      <c r="D71" s="548"/>
      <c r="E71" s="503"/>
      <c r="F71" s="503"/>
      <c r="G71" s="503"/>
      <c r="H71" s="503"/>
      <c r="I71" s="503"/>
      <c r="J71" s="503"/>
      <c r="K71" s="503"/>
      <c r="L71" s="503"/>
      <c r="M71" s="503"/>
      <c r="N71" s="503"/>
      <c r="O71" s="503"/>
      <c r="P71" s="503"/>
      <c r="Q71" s="503"/>
      <c r="R71" s="503"/>
      <c r="S71" s="503"/>
      <c r="T71" s="503"/>
      <c r="U71" s="503"/>
      <c r="V71" s="503"/>
      <c r="W71" s="503"/>
      <c r="X71" s="503"/>
    </row>
    <row r="72" spans="1:25" s="561" customFormat="1">
      <c r="A72" s="353" t="str">
        <f>'BH Tariffs'!A11</f>
        <v>Port Fee</v>
      </c>
      <c r="B72" s="355"/>
      <c r="C72" s="355"/>
      <c r="D72" s="548">
        <v>0</v>
      </c>
      <c r="E72" s="503">
        <f>'BH Tariffs'!D11*'P&amp;L - Concept A1'!E12</f>
        <v>0</v>
      </c>
      <c r="F72" s="503">
        <v>0</v>
      </c>
      <c r="G72" s="503">
        <v>0</v>
      </c>
      <c r="H72" s="503">
        <v>0</v>
      </c>
      <c r="I72" s="503">
        <v>0</v>
      </c>
      <c r="J72" s="503">
        <v>0</v>
      </c>
      <c r="K72" s="503">
        <v>0</v>
      </c>
      <c r="L72" s="503">
        <v>0</v>
      </c>
      <c r="M72" s="503">
        <v>0</v>
      </c>
      <c r="N72" s="503">
        <v>0</v>
      </c>
      <c r="O72" s="503">
        <v>0</v>
      </c>
      <c r="P72" s="503">
        <v>0</v>
      </c>
      <c r="Q72" s="503">
        <v>0</v>
      </c>
      <c r="R72" s="503">
        <v>0</v>
      </c>
      <c r="S72" s="503">
        <v>0</v>
      </c>
      <c r="T72" s="503">
        <v>0</v>
      </c>
      <c r="U72" s="503">
        <v>0</v>
      </c>
      <c r="V72" s="503">
        <v>0</v>
      </c>
      <c r="W72" s="503">
        <v>0</v>
      </c>
      <c r="X72" s="503">
        <v>0</v>
      </c>
    </row>
    <row r="73" spans="1:25">
      <c r="A73" s="88"/>
      <c r="B73" s="89"/>
      <c r="C73" s="89"/>
      <c r="D73" s="502"/>
      <c r="E73" s="504"/>
      <c r="F73" s="504"/>
      <c r="G73" s="504"/>
      <c r="H73" s="504"/>
      <c r="I73" s="504"/>
      <c r="J73" s="504"/>
      <c r="K73" s="504"/>
      <c r="L73" s="504"/>
      <c r="M73" s="504"/>
      <c r="N73" s="504"/>
      <c r="O73" s="504"/>
      <c r="P73" s="504"/>
      <c r="Q73" s="504"/>
      <c r="R73" s="504"/>
      <c r="S73" s="504"/>
      <c r="T73" s="504"/>
      <c r="U73" s="504"/>
      <c r="V73" s="504"/>
      <c r="W73" s="504"/>
      <c r="X73" s="504"/>
    </row>
    <row r="74" spans="1:25" s="695" customFormat="1" ht="14.25">
      <c r="A74" s="691" t="s">
        <v>124</v>
      </c>
      <c r="B74" s="692"/>
      <c r="C74" s="692"/>
      <c r="D74" s="693"/>
      <c r="E74" s="694"/>
      <c r="F74" s="694"/>
      <c r="G74" s="694"/>
      <c r="H74" s="694"/>
      <c r="I74" s="694"/>
      <c r="J74" s="694"/>
      <c r="K74" s="694"/>
      <c r="L74" s="694"/>
      <c r="M74" s="694"/>
      <c r="N74" s="694"/>
      <c r="O74" s="694"/>
      <c r="P74" s="694"/>
      <c r="Q74" s="694"/>
      <c r="R74" s="694"/>
      <c r="S74" s="694"/>
      <c r="T74" s="694"/>
      <c r="U74" s="694"/>
      <c r="V74" s="694"/>
      <c r="W74" s="694"/>
      <c r="X74" s="694"/>
    </row>
    <row r="75" spans="1:25" s="582" customFormat="1" ht="14.25">
      <c r="A75" s="605" t="s">
        <v>83</v>
      </c>
      <c r="B75" s="608"/>
      <c r="C75" s="608"/>
      <c r="D75" s="537"/>
      <c r="E75" s="538"/>
      <c r="F75" s="538"/>
      <c r="G75" s="538"/>
      <c r="H75" s="538"/>
      <c r="I75" s="538"/>
      <c r="J75" s="538"/>
      <c r="K75" s="538"/>
      <c r="L75" s="538"/>
      <c r="M75" s="538"/>
      <c r="N75" s="538"/>
      <c r="O75" s="538"/>
      <c r="P75" s="538"/>
      <c r="Q75" s="538"/>
      <c r="R75" s="538"/>
      <c r="S75" s="538"/>
      <c r="T75" s="538"/>
      <c r="U75" s="538"/>
      <c r="V75" s="538"/>
      <c r="W75" s="538"/>
      <c r="X75" s="538"/>
    </row>
    <row r="76" spans="1:25" s="341" customFormat="1">
      <c r="A76" s="353" t="str">
        <f>'BH Tariffs'!A19</f>
        <v>Town Wharfage (Exclusive Use, Ferry Property Only)</v>
      </c>
      <c r="B76" s="355"/>
      <c r="C76" s="355"/>
      <c r="D76" s="548">
        <v>0</v>
      </c>
      <c r="E76" s="503">
        <v>0</v>
      </c>
      <c r="F76" s="503">
        <v>0</v>
      </c>
      <c r="G76" s="503">
        <v>0</v>
      </c>
      <c r="H76" s="503">
        <v>0</v>
      </c>
      <c r="I76" s="503">
        <v>0</v>
      </c>
      <c r="J76" s="503">
        <v>0</v>
      </c>
      <c r="K76" s="503">
        <v>0</v>
      </c>
      <c r="L76" s="503">
        <v>0</v>
      </c>
      <c r="M76" s="503">
        <v>0</v>
      </c>
      <c r="N76" s="503">
        <v>0</v>
      </c>
      <c r="O76" s="503">
        <v>0</v>
      </c>
      <c r="P76" s="503">
        <v>0</v>
      </c>
      <c r="Q76" s="503">
        <v>0</v>
      </c>
      <c r="R76" s="503">
        <v>0</v>
      </c>
      <c r="S76" s="503">
        <v>0</v>
      </c>
      <c r="T76" s="503">
        <v>0</v>
      </c>
      <c r="U76" s="503">
        <v>0</v>
      </c>
      <c r="V76" s="503">
        <v>0</v>
      </c>
      <c r="W76" s="503">
        <v>0</v>
      </c>
      <c r="X76" s="503">
        <v>0</v>
      </c>
    </row>
    <row r="77" spans="1:25" s="341" customFormat="1">
      <c r="A77" s="353" t="str">
        <f>'BH Tariffs'!A21</f>
        <v>CBP Infastructure Fee (Ferry Property Only)</v>
      </c>
      <c r="B77" s="355"/>
      <c r="C77" s="355"/>
      <c r="D77" s="548">
        <v>0</v>
      </c>
      <c r="E77" s="503">
        <v>0</v>
      </c>
      <c r="F77" s="503">
        <v>0</v>
      </c>
      <c r="G77" s="503">
        <v>0</v>
      </c>
      <c r="H77" s="503">
        <v>0</v>
      </c>
      <c r="I77" s="503">
        <v>0</v>
      </c>
      <c r="J77" s="503">
        <v>0</v>
      </c>
      <c r="K77" s="503">
        <v>0</v>
      </c>
      <c r="L77" s="503">
        <v>0</v>
      </c>
      <c r="M77" s="503">
        <v>0</v>
      </c>
      <c r="N77" s="503">
        <v>0</v>
      </c>
      <c r="O77" s="503">
        <v>0</v>
      </c>
      <c r="P77" s="503">
        <v>0</v>
      </c>
      <c r="Q77" s="503">
        <v>0</v>
      </c>
      <c r="R77" s="503">
        <v>0</v>
      </c>
      <c r="S77" s="503">
        <v>0</v>
      </c>
      <c r="T77" s="503">
        <v>0</v>
      </c>
      <c r="U77" s="503">
        <v>0</v>
      </c>
      <c r="V77" s="503">
        <v>0</v>
      </c>
      <c r="W77" s="503">
        <v>0</v>
      </c>
      <c r="X77" s="503">
        <v>0</v>
      </c>
    </row>
    <row r="78" spans="1:25" s="96" customFormat="1">
      <c r="A78" s="90" t="s">
        <v>457</v>
      </c>
      <c r="B78" s="356"/>
      <c r="C78" s="356"/>
      <c r="D78" s="502">
        <v>0</v>
      </c>
      <c r="E78" s="504">
        <v>0</v>
      </c>
      <c r="F78" s="504">
        <f>'BH Tariffs'!E22*'Cruise Projections'!V97</f>
        <v>522936.74160000001</v>
      </c>
      <c r="G78" s="504">
        <f>'BH Tariffs'!F22*'Cruise Projections'!W97</f>
        <v>533395.47643200005</v>
      </c>
      <c r="H78" s="504">
        <f>'BH Tariffs'!G22*'Cruise Projections'!X97</f>
        <v>544063.38596063992</v>
      </c>
      <c r="I78" s="504">
        <f>'BH Tariffs'!H22*'Cruise Projections'!Y97</f>
        <v>554944.65367985272</v>
      </c>
      <c r="J78" s="504">
        <f>'BH Tariffs'!I22*'Cruise Projections'!Z97</f>
        <v>566043.54675344983</v>
      </c>
      <c r="K78" s="504">
        <f>'BH Tariffs'!J22*'Cruise Projections'!AA97</f>
        <v>577364.41768851888</v>
      </c>
      <c r="L78" s="504">
        <f>'BH Tariffs'!K22*'Cruise Projections'!AB97</f>
        <v>588911.70604228915</v>
      </c>
      <c r="M78" s="504">
        <f>'BH Tariffs'!L22*'Cruise Projections'!AC97</f>
        <v>600689.94016313506</v>
      </c>
      <c r="N78" s="504">
        <f>'BH Tariffs'!M22*'Cruise Projections'!AD97</f>
        <v>612703.73896639771</v>
      </c>
      <c r="O78" s="504">
        <f>'BH Tariffs'!N22*'Cruise Projections'!AE97</f>
        <v>624957.81374572578</v>
      </c>
      <c r="P78" s="504">
        <f>'BH Tariffs'!O22*'Cruise Projections'!AF97</f>
        <v>637456.97002064029</v>
      </c>
      <c r="Q78" s="504">
        <f>'BH Tariffs'!P22*'Cruise Projections'!AG97</f>
        <v>650206.10942105309</v>
      </c>
      <c r="R78" s="504">
        <f>'BH Tariffs'!Q22*'Cruise Projections'!AH97</f>
        <v>663210.23160947405</v>
      </c>
      <c r="S78" s="504">
        <f>'BH Tariffs'!R22*'Cruise Projections'!AI97</f>
        <v>676474.43624166364</v>
      </c>
      <c r="T78" s="504">
        <f>'BH Tariffs'!S22*'Cruise Projections'!AJ97</f>
        <v>690003.924966497</v>
      </c>
      <c r="U78" s="504">
        <f>'BH Tariffs'!T22*'Cruise Projections'!AK97</f>
        <v>703804.00346582686</v>
      </c>
      <c r="V78" s="504">
        <f>'BH Tariffs'!U22*'Cruise Projections'!AL97</f>
        <v>717880.08353514341</v>
      </c>
      <c r="W78" s="504">
        <f>'BH Tariffs'!V22*'Cruise Projections'!AM97</f>
        <v>732237.68520584644</v>
      </c>
      <c r="X78" s="504">
        <f>'BH Tariffs'!W22*'Cruise Projections'!AN97</f>
        <v>746882.43890996324</v>
      </c>
    </row>
    <row r="79" spans="1:25">
      <c r="A79" s="90"/>
      <c r="B79" s="89"/>
      <c r="C79" s="89"/>
      <c r="D79" s="502"/>
      <c r="E79" s="504"/>
      <c r="F79" s="504"/>
      <c r="G79" s="504"/>
      <c r="H79" s="504"/>
      <c r="I79" s="504"/>
      <c r="J79" s="504"/>
      <c r="K79" s="504"/>
      <c r="L79" s="504"/>
      <c r="M79" s="504"/>
      <c r="N79" s="504"/>
      <c r="O79" s="504"/>
      <c r="P79" s="504"/>
      <c r="Q79" s="504"/>
      <c r="R79" s="504"/>
      <c r="S79" s="504"/>
      <c r="T79" s="504"/>
      <c r="U79" s="504"/>
      <c r="V79" s="504"/>
      <c r="W79" s="504"/>
      <c r="X79" s="504"/>
    </row>
    <row r="80" spans="1:25" s="341" customFormat="1">
      <c r="A80" s="543" t="s">
        <v>163</v>
      </c>
      <c r="B80" s="354"/>
      <c r="C80" s="355"/>
      <c r="D80" s="548"/>
      <c r="E80" s="503"/>
      <c r="F80" s="503"/>
      <c r="G80" s="503"/>
      <c r="H80" s="503"/>
      <c r="I80" s="503"/>
      <c r="J80" s="503"/>
      <c r="K80" s="503"/>
      <c r="L80" s="503"/>
      <c r="M80" s="503"/>
      <c r="N80" s="503"/>
      <c r="O80" s="503"/>
      <c r="P80" s="503"/>
      <c r="Q80" s="503"/>
      <c r="R80" s="503"/>
      <c r="S80" s="503"/>
      <c r="T80" s="503"/>
      <c r="U80" s="503"/>
      <c r="V80" s="503"/>
      <c r="W80" s="503"/>
      <c r="X80" s="503"/>
    </row>
    <row r="81" spans="1:25" s="341" customFormat="1">
      <c r="A81" s="353" t="str">
        <f>'BH Tariffs'!A25</f>
        <v>Dock Rent (12 months)</v>
      </c>
      <c r="B81" s="354"/>
      <c r="C81" s="355"/>
      <c r="D81" s="548">
        <v>0</v>
      </c>
      <c r="E81" s="503">
        <v>0</v>
      </c>
      <c r="F81" s="503">
        <v>0</v>
      </c>
      <c r="G81" s="503">
        <v>0</v>
      </c>
      <c r="H81" s="503">
        <v>0</v>
      </c>
      <c r="I81" s="503">
        <v>0</v>
      </c>
      <c r="J81" s="503">
        <v>0</v>
      </c>
      <c r="K81" s="503">
        <v>0</v>
      </c>
      <c r="L81" s="503">
        <v>0</v>
      </c>
      <c r="M81" s="503">
        <v>0</v>
      </c>
      <c r="N81" s="503">
        <v>0</v>
      </c>
      <c r="O81" s="503">
        <v>0</v>
      </c>
      <c r="P81" s="503">
        <v>0</v>
      </c>
      <c r="Q81" s="503">
        <v>0</v>
      </c>
      <c r="R81" s="503">
        <v>0</v>
      </c>
      <c r="S81" s="503">
        <v>0</v>
      </c>
      <c r="T81" s="503">
        <v>0</v>
      </c>
      <c r="U81" s="503">
        <v>0</v>
      </c>
      <c r="V81" s="503">
        <v>0</v>
      </c>
      <c r="W81" s="503">
        <v>0</v>
      </c>
      <c r="X81" s="503">
        <v>0</v>
      </c>
    </row>
    <row r="82" spans="1:25" s="341" customFormat="1">
      <c r="A82" s="353" t="str">
        <f>'BH Tariffs'!A26</f>
        <v>Ferry Passenger Wharfage</v>
      </c>
      <c r="B82" s="354"/>
      <c r="C82" s="355"/>
      <c r="D82" s="548">
        <v>0</v>
      </c>
      <c r="E82" s="503">
        <v>0</v>
      </c>
      <c r="F82" s="503">
        <v>0</v>
      </c>
      <c r="G82" s="503">
        <v>0</v>
      </c>
      <c r="H82" s="503">
        <v>0</v>
      </c>
      <c r="I82" s="503">
        <v>0</v>
      </c>
      <c r="J82" s="503">
        <v>0</v>
      </c>
      <c r="K82" s="503">
        <v>0</v>
      </c>
      <c r="L82" s="503">
        <v>0</v>
      </c>
      <c r="M82" s="503">
        <v>0</v>
      </c>
      <c r="N82" s="503">
        <v>0</v>
      </c>
      <c r="O82" s="503">
        <v>0</v>
      </c>
      <c r="P82" s="503">
        <v>0</v>
      </c>
      <c r="Q82" s="503">
        <v>0</v>
      </c>
      <c r="R82" s="503">
        <v>0</v>
      </c>
      <c r="S82" s="503">
        <v>0</v>
      </c>
      <c r="T82" s="503">
        <v>0</v>
      </c>
      <c r="U82" s="503">
        <v>0</v>
      </c>
      <c r="V82" s="503">
        <v>0</v>
      </c>
      <c r="W82" s="503">
        <v>0</v>
      </c>
      <c r="X82" s="503">
        <v>0</v>
      </c>
    </row>
    <row r="83" spans="1:25" s="341" customFormat="1">
      <c r="A83" s="353" t="str">
        <f>'BH Tariffs'!A27</f>
        <v>Ferry Passenger Vehicle Wharfage</v>
      </c>
      <c r="B83" s="354"/>
      <c r="C83" s="355"/>
      <c r="D83" s="548">
        <v>0</v>
      </c>
      <c r="E83" s="503">
        <v>0</v>
      </c>
      <c r="F83" s="503">
        <v>0</v>
      </c>
      <c r="G83" s="503">
        <v>0</v>
      </c>
      <c r="H83" s="503">
        <v>0</v>
      </c>
      <c r="I83" s="503">
        <v>0</v>
      </c>
      <c r="J83" s="503">
        <v>0</v>
      </c>
      <c r="K83" s="503">
        <v>0</v>
      </c>
      <c r="L83" s="503">
        <v>0</v>
      </c>
      <c r="M83" s="503">
        <v>0</v>
      </c>
      <c r="N83" s="503">
        <v>0</v>
      </c>
      <c r="O83" s="503">
        <v>0</v>
      </c>
      <c r="P83" s="503">
        <v>0</v>
      </c>
      <c r="Q83" s="503">
        <v>0</v>
      </c>
      <c r="R83" s="503">
        <v>0</v>
      </c>
      <c r="S83" s="503">
        <v>0</v>
      </c>
      <c r="T83" s="503">
        <v>0</v>
      </c>
      <c r="U83" s="503">
        <v>0</v>
      </c>
      <c r="V83" s="503">
        <v>0</v>
      </c>
      <c r="W83" s="503">
        <v>0</v>
      </c>
      <c r="X83" s="503">
        <v>0</v>
      </c>
    </row>
    <row r="84" spans="1:25" s="341" customFormat="1">
      <c r="A84" s="353" t="str">
        <f>'BH Tariffs'!A28</f>
        <v>Ferry Bus Wharfage</v>
      </c>
      <c r="B84" s="354"/>
      <c r="C84" s="355"/>
      <c r="D84" s="548">
        <v>0</v>
      </c>
      <c r="E84" s="503">
        <v>0</v>
      </c>
      <c r="F84" s="503">
        <v>0</v>
      </c>
      <c r="G84" s="503">
        <v>0</v>
      </c>
      <c r="H84" s="503">
        <v>0</v>
      </c>
      <c r="I84" s="503">
        <v>0</v>
      </c>
      <c r="J84" s="503">
        <v>0</v>
      </c>
      <c r="K84" s="503">
        <v>0</v>
      </c>
      <c r="L84" s="503">
        <v>0</v>
      </c>
      <c r="M84" s="503">
        <v>0</v>
      </c>
      <c r="N84" s="503">
        <v>0</v>
      </c>
      <c r="O84" s="503">
        <v>0</v>
      </c>
      <c r="P84" s="503">
        <v>0</v>
      </c>
      <c r="Q84" s="503">
        <v>0</v>
      </c>
      <c r="R84" s="503">
        <v>0</v>
      </c>
      <c r="S84" s="503">
        <v>0</v>
      </c>
      <c r="T84" s="503">
        <v>0</v>
      </c>
      <c r="U84" s="503">
        <v>0</v>
      </c>
      <c r="V84" s="503">
        <v>0</v>
      </c>
      <c r="W84" s="503">
        <v>0</v>
      </c>
      <c r="X84" s="503">
        <v>0</v>
      </c>
    </row>
    <row r="85" spans="1:25">
      <c r="A85" s="88"/>
      <c r="B85" s="30"/>
      <c r="C85" s="89"/>
      <c r="D85" s="502"/>
      <c r="E85" s="504"/>
      <c r="F85" s="504"/>
      <c r="G85" s="504"/>
      <c r="H85" s="504"/>
      <c r="I85" s="504"/>
      <c r="J85" s="504"/>
      <c r="K85" s="504"/>
      <c r="L85" s="504"/>
      <c r="M85" s="504"/>
      <c r="N85" s="504"/>
      <c r="O85" s="504"/>
      <c r="P85" s="504"/>
      <c r="Q85" s="504"/>
      <c r="R85" s="504"/>
      <c r="S85" s="504"/>
      <c r="T85" s="504"/>
      <c r="U85" s="504"/>
      <c r="V85" s="504"/>
      <c r="W85" s="504"/>
      <c r="X85" s="504"/>
    </row>
    <row r="86" spans="1:25" s="96" customFormat="1">
      <c r="A86" s="605" t="s">
        <v>164</v>
      </c>
      <c r="B86" s="606"/>
      <c r="C86" s="356"/>
      <c r="D86" s="502"/>
      <c r="E86" s="504"/>
      <c r="F86" s="504"/>
      <c r="G86" s="504"/>
      <c r="H86" s="504"/>
      <c r="I86" s="504"/>
      <c r="J86" s="504"/>
      <c r="K86" s="504"/>
      <c r="L86" s="504"/>
      <c r="M86" s="504"/>
      <c r="N86" s="504"/>
      <c r="O86" s="504"/>
      <c r="P86" s="504"/>
      <c r="Q86" s="504"/>
      <c r="R86" s="504"/>
      <c r="S86" s="504"/>
      <c r="T86" s="504"/>
      <c r="U86" s="504"/>
      <c r="V86" s="504"/>
      <c r="W86" s="504"/>
      <c r="X86" s="504"/>
    </row>
    <row r="87" spans="1:25" s="96" customFormat="1">
      <c r="A87" s="90" t="str">
        <f>'BH Tariffs'!A31</f>
        <v>Dock Rent (6 Months Only)</v>
      </c>
      <c r="B87" s="606"/>
      <c r="C87" s="356"/>
      <c r="D87" s="502">
        <v>0</v>
      </c>
      <c r="E87" s="504">
        <v>0</v>
      </c>
      <c r="F87" s="504">
        <f>'BH Tariffs'!E31*6</f>
        <v>12240</v>
      </c>
      <c r="G87" s="504">
        <f>'BH Tariffs'!F31*6</f>
        <v>12484.800000000001</v>
      </c>
      <c r="H87" s="504">
        <f>'BH Tariffs'!G31*6</f>
        <v>12734.495999999999</v>
      </c>
      <c r="I87" s="504">
        <f>'BH Tariffs'!H31*6</f>
        <v>12989.18592</v>
      </c>
      <c r="J87" s="504">
        <f>'BH Tariffs'!I31*6</f>
        <v>13248.9696384</v>
      </c>
      <c r="K87" s="504">
        <f>'BH Tariffs'!J31*6</f>
        <v>13513.949031168002</v>
      </c>
      <c r="L87" s="504">
        <f>'BH Tariffs'!K31*6</f>
        <v>13784.228011791361</v>
      </c>
      <c r="M87" s="504">
        <f>'BH Tariffs'!L31*6</f>
        <v>14059.912572027188</v>
      </c>
      <c r="N87" s="504">
        <f>'BH Tariffs'!M31*6</f>
        <v>14341.110823467734</v>
      </c>
      <c r="O87" s="504">
        <f>'BH Tariffs'!N31*6</f>
        <v>14627.933039937088</v>
      </c>
      <c r="P87" s="504">
        <f>'BH Tariffs'!O31*6</f>
        <v>14920.491700735829</v>
      </c>
      <c r="Q87" s="504">
        <f>'BH Tariffs'!P31*6</f>
        <v>15218.901534750545</v>
      </c>
      <c r="R87" s="504">
        <f>'BH Tariffs'!Q31*6</f>
        <v>15523.279565445555</v>
      </c>
      <c r="S87" s="504">
        <f>'BH Tariffs'!R31*6</f>
        <v>15833.745156754467</v>
      </c>
      <c r="T87" s="504">
        <f>'BH Tariffs'!S31*6</f>
        <v>16150.420059889559</v>
      </c>
      <c r="U87" s="504">
        <f>'BH Tariffs'!T31*6</f>
        <v>16473.428461087351</v>
      </c>
      <c r="V87" s="504">
        <f>'BH Tariffs'!U31*6</f>
        <v>16802.897030309097</v>
      </c>
      <c r="W87" s="504">
        <f>'BH Tariffs'!V31*6</f>
        <v>17138.954970915282</v>
      </c>
      <c r="X87" s="504">
        <f>'BH Tariffs'!W31*6</f>
        <v>17481.734070333587</v>
      </c>
    </row>
    <row r="88" spans="1:25" s="96" customFormat="1">
      <c r="A88" s="90"/>
      <c r="B88" s="606"/>
      <c r="C88" s="356"/>
      <c r="D88" s="502"/>
      <c r="E88" s="504"/>
      <c r="F88" s="504"/>
      <c r="G88" s="504"/>
      <c r="H88" s="504"/>
      <c r="I88" s="504"/>
      <c r="J88" s="504"/>
      <c r="K88" s="504"/>
      <c r="L88" s="504"/>
      <c r="M88" s="504"/>
      <c r="N88" s="504"/>
      <c r="O88" s="504"/>
      <c r="P88" s="504"/>
      <c r="Q88" s="504"/>
      <c r="R88" s="504"/>
      <c r="S88" s="504"/>
      <c r="T88" s="504"/>
      <c r="U88" s="504"/>
      <c r="V88" s="504"/>
      <c r="W88" s="504"/>
      <c r="X88" s="504"/>
    </row>
    <row r="89" spans="1:25" s="582" customFormat="1" ht="14.25">
      <c r="A89" s="605" t="str">
        <f>'BH Tariffs'!A33</f>
        <v>Recreational/Commercial Marina</v>
      </c>
      <c r="B89" s="607"/>
      <c r="C89" s="608"/>
      <c r="D89" s="537"/>
      <c r="E89" s="538"/>
      <c r="F89" s="538"/>
      <c r="G89" s="538"/>
      <c r="H89" s="538"/>
      <c r="I89" s="538"/>
      <c r="J89" s="538"/>
      <c r="K89" s="538"/>
      <c r="L89" s="538"/>
      <c r="M89" s="538"/>
      <c r="N89" s="538"/>
      <c r="O89" s="538"/>
      <c r="P89" s="538"/>
      <c r="Q89" s="538"/>
      <c r="R89" s="538"/>
      <c r="S89" s="538"/>
      <c r="T89" s="538"/>
      <c r="U89" s="538"/>
      <c r="V89" s="538"/>
      <c r="W89" s="538"/>
      <c r="X89" s="538"/>
    </row>
    <row r="90" spans="1:25" s="96" customFormat="1">
      <c r="A90" s="90" t="str">
        <f>'BH Tariffs'!A34</f>
        <v>Transient Slip Rent</v>
      </c>
      <c r="B90" s="606"/>
      <c r="C90" s="356"/>
      <c r="D90" s="502">
        <v>0</v>
      </c>
      <c r="E90" s="504">
        <v>0</v>
      </c>
      <c r="F90" s="504">
        <f>'BH Tariffs'!E34*'P&amp;L - Concept A1'!F57</f>
        <v>24370.791468749998</v>
      </c>
      <c r="G90" s="504">
        <f>'BH Tariffs'!F34*'P&amp;L - Concept A1'!G57</f>
        <v>24858.207298124998</v>
      </c>
      <c r="H90" s="504">
        <f>'BH Tariffs'!G34*'P&amp;L - Concept A1'!H57</f>
        <v>25355.371444087494</v>
      </c>
      <c r="I90" s="504">
        <f>'BH Tariffs'!H34*'P&amp;L - Concept A1'!I57</f>
        <v>25862.478872969248</v>
      </c>
      <c r="J90" s="504">
        <f>'BH Tariffs'!I34*'P&amp;L - Concept A1'!J57</f>
        <v>26379.728450428636</v>
      </c>
      <c r="K90" s="504">
        <f>'BH Tariffs'!J34*'P&amp;L - Concept A1'!K57</f>
        <v>26907.323019437208</v>
      </c>
      <c r="L90" s="504">
        <f>'BH Tariffs'!K34*'P&amp;L - Concept A1'!L57</f>
        <v>27445.469479825952</v>
      </c>
      <c r="M90" s="504">
        <f>'BH Tariffs'!L34*'P&amp;L - Concept A1'!M57</f>
        <v>27994.378869422475</v>
      </c>
      <c r="N90" s="504">
        <f>'BH Tariffs'!M34*'P&amp;L - Concept A1'!N57</f>
        <v>28554.266446810921</v>
      </c>
      <c r="O90" s="504">
        <f>'BH Tariffs'!N34*'P&amp;L - Concept A1'!O57</f>
        <v>29125.351775747142</v>
      </c>
      <c r="P90" s="504">
        <f>'BH Tariffs'!O34*'P&amp;L - Concept A1'!P57</f>
        <v>29707.858811262082</v>
      </c>
      <c r="Q90" s="504">
        <f>'BH Tariffs'!P34*'P&amp;L - Concept A1'!Q57</f>
        <v>30302.015987487324</v>
      </c>
      <c r="R90" s="504">
        <f>'BH Tariffs'!Q34*'P&amp;L - Concept A1'!R57</f>
        <v>30908.056307237068</v>
      </c>
      <c r="S90" s="504">
        <f>'BH Tariffs'!R34*'P&amp;L - Concept A1'!S57</f>
        <v>31526.217433381815</v>
      </c>
      <c r="T90" s="504">
        <f>'BH Tariffs'!S34*'P&amp;L - Concept A1'!T57</f>
        <v>32156.741782049452</v>
      </c>
      <c r="U90" s="504">
        <f>'BH Tariffs'!T34*'P&amp;L - Concept A1'!U57</f>
        <v>32799.876617690439</v>
      </c>
      <c r="V90" s="504">
        <f>'BH Tariffs'!U34*'P&amp;L - Concept A1'!V57</f>
        <v>33455.874150044256</v>
      </c>
      <c r="W90" s="504">
        <f>'BH Tariffs'!V34*'P&amp;L - Concept A1'!W57</f>
        <v>34124.991633045138</v>
      </c>
      <c r="X90" s="504">
        <f>'BH Tariffs'!W34*'P&amp;L - Concept A1'!X57</f>
        <v>34807.491465706036</v>
      </c>
    </row>
    <row r="91" spans="1:25" s="96" customFormat="1">
      <c r="A91" s="90" t="s">
        <v>280</v>
      </c>
      <c r="B91" s="606"/>
      <c r="C91" s="356"/>
      <c r="D91" s="502">
        <v>0</v>
      </c>
      <c r="E91" s="504">
        <v>0</v>
      </c>
      <c r="F91" s="504">
        <f>'BH Tariffs'!E35*'P&amp;L - Concept A1'!F58</f>
        <v>38459.610000000008</v>
      </c>
      <c r="G91" s="504">
        <f>'BH Tariffs'!F35*'P&amp;L - Concept A1'!G58</f>
        <v>39228.802200000006</v>
      </c>
      <c r="H91" s="504">
        <f>'BH Tariffs'!G35*'P&amp;L - Concept A1'!H58</f>
        <v>40013.378244</v>
      </c>
      <c r="I91" s="504">
        <f>'BH Tariffs'!H35*'P&amp;L - Concept A1'!I58</f>
        <v>40813.645808879999</v>
      </c>
      <c r="J91" s="504">
        <f>'BH Tariffs'!I35*'P&amp;L - Concept A1'!J58</f>
        <v>41629.9187250576</v>
      </c>
      <c r="K91" s="504">
        <f>'BH Tariffs'!J35*'P&amp;L - Concept A1'!K58</f>
        <v>42462.517099558754</v>
      </c>
      <c r="L91" s="504">
        <f>'BH Tariffs'!K35*'P&amp;L - Concept A1'!L58</f>
        <v>43311.767441549935</v>
      </c>
      <c r="M91" s="504">
        <f>'BH Tariffs'!L35*'P&amp;L - Concept A1'!M58</f>
        <v>44178.002790380931</v>
      </c>
      <c r="N91" s="504">
        <f>'BH Tariffs'!M35*'P&amp;L - Concept A1'!N58</f>
        <v>45061.56284618855</v>
      </c>
      <c r="O91" s="504">
        <f>'BH Tariffs'!N35*'P&amp;L - Concept A1'!O58</f>
        <v>45962.794103112326</v>
      </c>
      <c r="P91" s="504">
        <f>'BH Tariffs'!O35*'P&amp;L - Concept A1'!P58</f>
        <v>46882.04998517457</v>
      </c>
      <c r="Q91" s="504">
        <f>'BH Tariffs'!P35*'P&amp;L - Concept A1'!Q58</f>
        <v>47819.690984878056</v>
      </c>
      <c r="R91" s="504">
        <f>'BH Tariffs'!Q35*'P&amp;L - Concept A1'!R58</f>
        <v>48776.084804575621</v>
      </c>
      <c r="S91" s="504">
        <f>'BH Tariffs'!R35*'P&amp;L - Concept A1'!S58</f>
        <v>49751.606500667134</v>
      </c>
      <c r="T91" s="504">
        <f>'BH Tariffs'!S35*'P&amp;L - Concept A1'!T58</f>
        <v>50746.638630680485</v>
      </c>
      <c r="U91" s="504">
        <f>'BH Tariffs'!T35*'P&amp;L - Concept A1'!U58</f>
        <v>51761.571403294096</v>
      </c>
      <c r="V91" s="504">
        <f>'BH Tariffs'!U35*'P&amp;L - Concept A1'!V58</f>
        <v>52796.802831359972</v>
      </c>
      <c r="W91" s="504">
        <f>'BH Tariffs'!V35*'P&amp;L - Concept A1'!W58</f>
        <v>53852.738887987187</v>
      </c>
      <c r="X91" s="504">
        <f>'BH Tariffs'!W35*'P&amp;L - Concept A1'!X58</f>
        <v>54929.793665746925</v>
      </c>
    </row>
    <row r="92" spans="1:25" s="167" customFormat="1">
      <c r="A92" s="539" t="str">
        <f>'BH Tariffs'!A36</f>
        <v>Water/Sewer</v>
      </c>
      <c r="B92" s="609"/>
      <c r="C92" s="540"/>
      <c r="D92" s="541">
        <v>0</v>
      </c>
      <c r="E92" s="542">
        <v>0</v>
      </c>
      <c r="F92" s="542">
        <v>0</v>
      </c>
      <c r="G92" s="542">
        <v>0</v>
      </c>
      <c r="H92" s="542">
        <v>0</v>
      </c>
      <c r="I92" s="542">
        <v>0</v>
      </c>
      <c r="J92" s="542">
        <v>0</v>
      </c>
      <c r="K92" s="542">
        <v>0</v>
      </c>
      <c r="L92" s="542">
        <v>0</v>
      </c>
      <c r="M92" s="542">
        <v>0</v>
      </c>
      <c r="N92" s="542">
        <v>0</v>
      </c>
      <c r="O92" s="542">
        <v>0</v>
      </c>
      <c r="P92" s="542">
        <v>0</v>
      </c>
      <c r="Q92" s="542">
        <v>0</v>
      </c>
      <c r="R92" s="542">
        <v>0</v>
      </c>
      <c r="S92" s="542">
        <v>0</v>
      </c>
      <c r="T92" s="542">
        <v>0</v>
      </c>
      <c r="U92" s="542">
        <v>0</v>
      </c>
      <c r="V92" s="542">
        <v>0</v>
      </c>
      <c r="W92" s="542">
        <v>0</v>
      </c>
      <c r="X92" s="542">
        <v>0</v>
      </c>
      <c r="Y92" s="167" t="s">
        <v>282</v>
      </c>
    </row>
    <row r="93" spans="1:25" s="167" customFormat="1">
      <c r="A93" s="539" t="str">
        <f>'BH Tariffs'!A37</f>
        <v xml:space="preserve">Power (Electricity) </v>
      </c>
      <c r="B93" s="609"/>
      <c r="C93" s="540"/>
      <c r="D93" s="541">
        <v>0</v>
      </c>
      <c r="E93" s="542">
        <v>0</v>
      </c>
      <c r="F93" s="542">
        <v>0</v>
      </c>
      <c r="G93" s="542">
        <v>0</v>
      </c>
      <c r="H93" s="542">
        <v>0</v>
      </c>
      <c r="I93" s="542">
        <v>0</v>
      </c>
      <c r="J93" s="542">
        <v>0</v>
      </c>
      <c r="K93" s="542">
        <v>0</v>
      </c>
      <c r="L93" s="542">
        <v>0</v>
      </c>
      <c r="M93" s="542">
        <v>0</v>
      </c>
      <c r="N93" s="542">
        <v>0</v>
      </c>
      <c r="O93" s="542">
        <v>0</v>
      </c>
      <c r="P93" s="542">
        <v>0</v>
      </c>
      <c r="Q93" s="542">
        <v>0</v>
      </c>
      <c r="R93" s="542">
        <v>0</v>
      </c>
      <c r="S93" s="542">
        <v>0</v>
      </c>
      <c r="T93" s="542">
        <v>0</v>
      </c>
      <c r="U93" s="542">
        <v>0</v>
      </c>
      <c r="V93" s="542">
        <v>0</v>
      </c>
      <c r="W93" s="542">
        <v>0</v>
      </c>
      <c r="X93" s="542">
        <v>0</v>
      </c>
      <c r="Y93" s="167" t="s">
        <v>282</v>
      </c>
    </row>
    <row r="94" spans="1:25" s="96" customFormat="1">
      <c r="A94" s="90" t="s">
        <v>526</v>
      </c>
      <c r="B94" s="606"/>
      <c r="C94" s="356"/>
      <c r="D94" s="502">
        <v>0</v>
      </c>
      <c r="E94" s="504">
        <v>0</v>
      </c>
      <c r="F94" s="504">
        <f>'BH Tariffs'!E38*'P&amp;L - Concept A1'!F56</f>
        <v>7500</v>
      </c>
      <c r="G94" s="504">
        <f>'BH Tariffs'!F38*'P&amp;L - Concept A1'!G56</f>
        <v>7650</v>
      </c>
      <c r="H94" s="504">
        <f>'BH Tariffs'!G38*'P&amp;L - Concept A1'!H56</f>
        <v>7803</v>
      </c>
      <c r="I94" s="504">
        <f>'BH Tariffs'!H38*'P&amp;L - Concept A1'!I56</f>
        <v>7959.0599999999995</v>
      </c>
      <c r="J94" s="504">
        <f>'BH Tariffs'!I38*'P&amp;L - Concept A1'!J56</f>
        <v>8118.2411999999995</v>
      </c>
      <c r="K94" s="504">
        <f>'BH Tariffs'!J38*'P&amp;L - Concept A1'!K56</f>
        <v>8280.6060240000006</v>
      </c>
      <c r="L94" s="504">
        <f>'BH Tariffs'!K38*'P&amp;L - Concept A1'!L56</f>
        <v>8446.2181444800008</v>
      </c>
      <c r="M94" s="504">
        <f>'BH Tariffs'!L38*'P&amp;L - Concept A1'!M56</f>
        <v>8615.1425073696009</v>
      </c>
      <c r="N94" s="504">
        <f>'BH Tariffs'!M38*'P&amp;L - Concept A1'!N56</f>
        <v>8787.4453575169937</v>
      </c>
      <c r="O94" s="504">
        <f>'BH Tariffs'!N38*'P&amp;L - Concept A1'!O56</f>
        <v>8963.1942646673324</v>
      </c>
      <c r="P94" s="504">
        <f>'BH Tariffs'!O38*'P&amp;L - Concept A1'!P56</f>
        <v>9142.4581499606793</v>
      </c>
      <c r="Q94" s="504">
        <f>'BH Tariffs'!P38*'P&amp;L - Concept A1'!Q56</f>
        <v>9325.3073129598943</v>
      </c>
      <c r="R94" s="504">
        <f>'BH Tariffs'!Q38*'P&amp;L - Concept A1'!R56</f>
        <v>9511.8134592190909</v>
      </c>
      <c r="S94" s="504">
        <f>'BH Tariffs'!R38*'P&amp;L - Concept A1'!S56</f>
        <v>9702.0497284034718</v>
      </c>
      <c r="T94" s="504">
        <f>'BH Tariffs'!S38*'P&amp;L - Concept A1'!T56</f>
        <v>9896.0907229715431</v>
      </c>
      <c r="U94" s="504">
        <f>'BH Tariffs'!T38*'P&amp;L - Concept A1'!U56</f>
        <v>10094.012537430975</v>
      </c>
      <c r="V94" s="504">
        <f>'BH Tariffs'!U38*'P&amp;L - Concept A1'!V56</f>
        <v>10295.892788179593</v>
      </c>
      <c r="W94" s="504">
        <f>'BH Tariffs'!V38*'P&amp;L - Concept A1'!W56</f>
        <v>10501.810643943187</v>
      </c>
      <c r="X94" s="504">
        <f>'BH Tariffs'!W38*'P&amp;L - Concept A1'!X56</f>
        <v>10711.846856822051</v>
      </c>
    </row>
    <row r="95" spans="1:25">
      <c r="A95" s="88"/>
      <c r="B95" s="30"/>
      <c r="C95" s="89"/>
      <c r="D95" s="502"/>
      <c r="E95" s="504"/>
      <c r="F95" s="504"/>
      <c r="G95" s="504"/>
      <c r="H95" s="504"/>
      <c r="I95" s="504"/>
      <c r="J95" s="504"/>
      <c r="K95" s="504"/>
      <c r="L95" s="504"/>
      <c r="M95" s="504"/>
      <c r="N95" s="504"/>
      <c r="O95" s="504"/>
      <c r="P95" s="504"/>
      <c r="Q95" s="504"/>
      <c r="R95" s="504"/>
      <c r="S95" s="504"/>
      <c r="T95" s="504"/>
      <c r="U95" s="504"/>
      <c r="V95" s="504"/>
      <c r="W95" s="504"/>
      <c r="X95" s="504"/>
    </row>
    <row r="96" spans="1:25">
      <c r="A96" s="91" t="s">
        <v>26</v>
      </c>
      <c r="B96" s="30"/>
      <c r="C96" s="89"/>
      <c r="D96" s="502"/>
      <c r="E96" s="504"/>
      <c r="F96" s="504"/>
      <c r="G96" s="504"/>
      <c r="H96" s="504"/>
      <c r="I96" s="504"/>
      <c r="J96" s="504"/>
      <c r="K96" s="504"/>
      <c r="L96" s="504"/>
      <c r="M96" s="504"/>
      <c r="N96" s="504"/>
      <c r="O96" s="504"/>
      <c r="P96" s="504"/>
      <c r="Q96" s="504"/>
      <c r="R96" s="504"/>
      <c r="S96" s="504"/>
      <c r="T96" s="504"/>
      <c r="U96" s="504"/>
      <c r="V96" s="504"/>
      <c r="W96" s="504"/>
      <c r="X96" s="504"/>
    </row>
    <row r="97" spans="1:24" s="341" customFormat="1">
      <c r="A97" s="353" t="s">
        <v>214</v>
      </c>
      <c r="B97" s="354"/>
      <c r="C97" s="355"/>
      <c r="D97" s="548">
        <v>0</v>
      </c>
      <c r="E97" s="503">
        <v>0</v>
      </c>
      <c r="F97" s="503">
        <v>0</v>
      </c>
      <c r="G97" s="503">
        <v>0</v>
      </c>
      <c r="H97" s="503">
        <v>0</v>
      </c>
      <c r="I97" s="503">
        <v>0</v>
      </c>
      <c r="J97" s="503">
        <v>0</v>
      </c>
      <c r="K97" s="503">
        <v>0</v>
      </c>
      <c r="L97" s="503">
        <v>0</v>
      </c>
      <c r="M97" s="503">
        <v>0</v>
      </c>
      <c r="N97" s="503">
        <v>0</v>
      </c>
      <c r="O97" s="503">
        <v>0</v>
      </c>
      <c r="P97" s="503">
        <v>0</v>
      </c>
      <c r="Q97" s="503">
        <v>0</v>
      </c>
      <c r="R97" s="503">
        <v>0</v>
      </c>
      <c r="S97" s="503">
        <v>0</v>
      </c>
      <c r="T97" s="503">
        <v>0</v>
      </c>
      <c r="U97" s="503">
        <v>0</v>
      </c>
      <c r="V97" s="503">
        <v>0</v>
      </c>
      <c r="W97" s="503">
        <v>0</v>
      </c>
      <c r="X97" s="503">
        <v>0</v>
      </c>
    </row>
    <row r="98" spans="1:24">
      <c r="A98" s="88" t="s">
        <v>215</v>
      </c>
      <c r="B98" s="30"/>
      <c r="C98" s="89"/>
      <c r="D98" s="502">
        <v>0</v>
      </c>
      <c r="E98" s="504">
        <f>'BH Tariffs'!D43*'P&amp;L - Concept A1'!E44</f>
        <v>0</v>
      </c>
      <c r="F98" s="504">
        <f>'BH Tariffs'!E43*'P&amp;L - Concept A1'!F44</f>
        <v>0</v>
      </c>
      <c r="G98" s="504">
        <f>'BH Tariffs'!F43*'P&amp;L - Concept A1'!G44</f>
        <v>0</v>
      </c>
      <c r="H98" s="504">
        <f>'BH Tariffs'!G43*'P&amp;L - Concept A1'!H44</f>
        <v>0</v>
      </c>
      <c r="I98" s="504">
        <f>'BH Tariffs'!H43*'P&amp;L - Concept A1'!I44</f>
        <v>0</v>
      </c>
      <c r="J98" s="504">
        <f>'BH Tariffs'!I43*'P&amp;L - Concept A1'!J44</f>
        <v>246265.49999999997</v>
      </c>
      <c r="K98" s="504">
        <f>'BH Tariffs'!J43*'P&amp;L - Concept A1'!K44</f>
        <v>246265.49999999997</v>
      </c>
      <c r="L98" s="504">
        <f>'BH Tariffs'!K43*'P&amp;L - Concept A1'!L44</f>
        <v>246265.49999999997</v>
      </c>
      <c r="M98" s="504">
        <f>'BH Tariffs'!L43*'P&amp;L - Concept A1'!M44</f>
        <v>246265.49999999997</v>
      </c>
      <c r="N98" s="504">
        <f>'BH Tariffs'!M43*'P&amp;L - Concept A1'!N44</f>
        <v>246265.49999999997</v>
      </c>
      <c r="O98" s="504">
        <f>'BH Tariffs'!N43*'P&amp;L - Concept A1'!O44</f>
        <v>307831.87499999994</v>
      </c>
      <c r="P98" s="504">
        <f>'BH Tariffs'!O43*'P&amp;L - Concept A1'!P44</f>
        <v>307831.87499999994</v>
      </c>
      <c r="Q98" s="504">
        <f>'BH Tariffs'!P43*'P&amp;L - Concept A1'!Q44</f>
        <v>307831.87499999994</v>
      </c>
      <c r="R98" s="504">
        <f>'BH Tariffs'!Q43*'P&amp;L - Concept A1'!R44</f>
        <v>307831.87499999994</v>
      </c>
      <c r="S98" s="504">
        <f>'BH Tariffs'!R43*'P&amp;L - Concept A1'!S44</f>
        <v>307831.87499999994</v>
      </c>
      <c r="T98" s="504">
        <f>'BH Tariffs'!S43*'P&amp;L - Concept A1'!T44</f>
        <v>369398.24999999994</v>
      </c>
      <c r="U98" s="504">
        <f>'BH Tariffs'!T43*'P&amp;L - Concept A1'!U44</f>
        <v>369398.24999999994</v>
      </c>
      <c r="V98" s="504">
        <f>'BH Tariffs'!U43*'P&amp;L - Concept A1'!V44</f>
        <v>369398.24999999994</v>
      </c>
      <c r="W98" s="504">
        <f>'BH Tariffs'!V43*'P&amp;L - Concept A1'!W44</f>
        <v>369398.24999999994</v>
      </c>
      <c r="X98" s="504">
        <f>'BH Tariffs'!W43*'P&amp;L - Concept A1'!X44</f>
        <v>369398.24999999994</v>
      </c>
    </row>
    <row r="99" spans="1:24">
      <c r="A99" s="91"/>
      <c r="B99" s="30"/>
      <c r="C99" s="89"/>
      <c r="D99" s="502"/>
      <c r="E99" s="504"/>
      <c r="F99" s="504"/>
      <c r="G99" s="504"/>
      <c r="H99" s="504"/>
      <c r="I99" s="504"/>
      <c r="J99" s="504"/>
      <c r="K99" s="504"/>
      <c r="L99" s="504"/>
      <c r="M99" s="504"/>
      <c r="N99" s="504"/>
      <c r="O99" s="504"/>
      <c r="P99" s="504"/>
      <c r="Q99" s="504"/>
      <c r="R99" s="504"/>
      <c r="S99" s="504"/>
      <c r="T99" s="504"/>
      <c r="U99" s="504"/>
      <c r="V99" s="504"/>
      <c r="W99" s="504"/>
      <c r="X99" s="504"/>
    </row>
    <row r="100" spans="1:24">
      <c r="A100" s="91" t="s">
        <v>2</v>
      </c>
      <c r="B100" s="30"/>
      <c r="C100" s="89"/>
      <c r="D100" s="502"/>
      <c r="E100" s="504"/>
      <c r="F100" s="504"/>
      <c r="G100" s="504"/>
      <c r="H100" s="504"/>
      <c r="I100" s="504"/>
      <c r="J100" s="504"/>
      <c r="K100" s="504"/>
      <c r="L100" s="504"/>
      <c r="M100" s="504"/>
      <c r="N100" s="504"/>
      <c r="O100" s="504"/>
      <c r="P100" s="504"/>
      <c r="Q100" s="504"/>
      <c r="R100" s="504"/>
      <c r="S100" s="504"/>
      <c r="T100" s="504"/>
      <c r="U100" s="504"/>
      <c r="V100" s="504"/>
      <c r="W100" s="504"/>
      <c r="X100" s="504"/>
    </row>
    <row r="101" spans="1:24" s="341" customFormat="1">
      <c r="A101" s="353" t="str">
        <f>'BH Tariffs'!A44</f>
        <v>Commerical Rent (Seasonal Kiosk(s)/Vendor(s))</v>
      </c>
      <c r="B101" s="354"/>
      <c r="C101" s="355"/>
      <c r="D101" s="548">
        <v>0</v>
      </c>
      <c r="E101" s="503">
        <v>0</v>
      </c>
      <c r="F101" s="503">
        <v>0</v>
      </c>
      <c r="G101" s="503">
        <v>0</v>
      </c>
      <c r="H101" s="503">
        <v>0</v>
      </c>
      <c r="I101" s="503">
        <v>0</v>
      </c>
      <c r="J101" s="503">
        <v>0</v>
      </c>
      <c r="K101" s="503">
        <v>0</v>
      </c>
      <c r="L101" s="503">
        <v>0</v>
      </c>
      <c r="M101" s="503">
        <v>0</v>
      </c>
      <c r="N101" s="503">
        <v>0</v>
      </c>
      <c r="O101" s="503">
        <v>0</v>
      </c>
      <c r="P101" s="503">
        <v>0</v>
      </c>
      <c r="Q101" s="503">
        <v>0</v>
      </c>
      <c r="R101" s="503">
        <v>0</v>
      </c>
      <c r="S101" s="503">
        <v>0</v>
      </c>
      <c r="T101" s="503">
        <v>0</v>
      </c>
      <c r="U101" s="503">
        <v>0</v>
      </c>
      <c r="V101" s="503">
        <v>0</v>
      </c>
      <c r="W101" s="503">
        <v>0</v>
      </c>
      <c r="X101" s="503">
        <v>0</v>
      </c>
    </row>
    <row r="102" spans="1:24" s="341" customFormat="1">
      <c r="A102" s="353" t="s">
        <v>541</v>
      </c>
      <c r="B102" s="354"/>
      <c r="C102" s="355"/>
      <c r="D102" s="548">
        <v>0</v>
      </c>
      <c r="E102" s="503">
        <v>0</v>
      </c>
      <c r="F102" s="503">
        <v>0</v>
      </c>
      <c r="G102" s="503">
        <v>0</v>
      </c>
      <c r="H102" s="503">
        <v>0</v>
      </c>
      <c r="I102" s="503">
        <v>0</v>
      </c>
      <c r="J102" s="503">
        <v>0</v>
      </c>
      <c r="K102" s="503">
        <v>0</v>
      </c>
      <c r="L102" s="503">
        <v>0</v>
      </c>
      <c r="M102" s="503">
        <v>0</v>
      </c>
      <c r="N102" s="503">
        <v>0</v>
      </c>
      <c r="O102" s="503">
        <v>0</v>
      </c>
      <c r="P102" s="503">
        <v>0</v>
      </c>
      <c r="Q102" s="503">
        <v>0</v>
      </c>
      <c r="R102" s="503">
        <v>0</v>
      </c>
      <c r="S102" s="503">
        <v>0</v>
      </c>
      <c r="T102" s="503">
        <v>0</v>
      </c>
      <c r="U102" s="503">
        <v>0</v>
      </c>
      <c r="V102" s="503">
        <v>0</v>
      </c>
      <c r="W102" s="503">
        <v>0</v>
      </c>
      <c r="X102" s="503">
        <v>0</v>
      </c>
    </row>
    <row r="103" spans="1:24">
      <c r="A103" s="88" t="str">
        <f>'BH Tariffs'!A45</f>
        <v>Motorcoach Access/Tour Operator Licenses</v>
      </c>
      <c r="B103" s="30"/>
      <c r="C103" s="89"/>
      <c r="D103" s="502">
        <v>0</v>
      </c>
      <c r="E103" s="504">
        <v>0</v>
      </c>
      <c r="F103" s="504">
        <f>'BH Tariffs'!E45*'P&amp;L - Concept A1'!F66</f>
        <v>3060</v>
      </c>
      <c r="G103" s="504">
        <f>'BH Tariffs'!F45*'P&amp;L - Concept A1'!G66</f>
        <v>3121.2000000000003</v>
      </c>
      <c r="H103" s="504">
        <f>'BH Tariffs'!G45*'P&amp;L - Concept A1'!H66</f>
        <v>3183.6239999999998</v>
      </c>
      <c r="I103" s="504">
        <f>'BH Tariffs'!H45*'P&amp;L - Concept A1'!I66</f>
        <v>3247.29648</v>
      </c>
      <c r="J103" s="504">
        <f>'BH Tariffs'!I45*'P&amp;L - Concept A1'!J66</f>
        <v>3312.2424096</v>
      </c>
      <c r="K103" s="504">
        <f>'BH Tariffs'!J45*'P&amp;L - Concept A1'!K66</f>
        <v>3378.4872577920005</v>
      </c>
      <c r="L103" s="504">
        <f>'BH Tariffs'!K45*'P&amp;L - Concept A1'!L66</f>
        <v>3446.0570029478404</v>
      </c>
      <c r="M103" s="504">
        <f>'BH Tariffs'!L45*'P&amp;L - Concept A1'!M66</f>
        <v>3514.9781430067969</v>
      </c>
      <c r="N103" s="504">
        <f>'BH Tariffs'!M45*'P&amp;L - Concept A1'!N66</f>
        <v>3585.2777058669335</v>
      </c>
      <c r="O103" s="504">
        <f>'BH Tariffs'!N45*'P&amp;L - Concept A1'!O66</f>
        <v>3656.9832599842721</v>
      </c>
      <c r="P103" s="504">
        <f>'BH Tariffs'!O45*'P&amp;L - Concept A1'!P66</f>
        <v>3730.1229251839572</v>
      </c>
      <c r="Q103" s="504">
        <f>'BH Tariffs'!P45*'P&amp;L - Concept A1'!Q66</f>
        <v>3804.7253836876362</v>
      </c>
      <c r="R103" s="504">
        <f>'BH Tariffs'!Q45*'P&amp;L - Concept A1'!R66</f>
        <v>3880.8198913613887</v>
      </c>
      <c r="S103" s="504">
        <f>'BH Tariffs'!R45*'P&amp;L - Concept A1'!S66</f>
        <v>3958.4362891886167</v>
      </c>
      <c r="T103" s="504">
        <f>'BH Tariffs'!S45*'P&amp;L - Concept A1'!T66</f>
        <v>4037.6050149723897</v>
      </c>
      <c r="U103" s="504">
        <f>'BH Tariffs'!T45*'P&amp;L - Concept A1'!U66</f>
        <v>4118.3571152718378</v>
      </c>
      <c r="V103" s="504">
        <f>'BH Tariffs'!U45*'P&amp;L - Concept A1'!V66</f>
        <v>4200.7242575772743</v>
      </c>
      <c r="W103" s="504">
        <f>'BH Tariffs'!V45*'P&amp;L - Concept A1'!W66</f>
        <v>4284.7387427288204</v>
      </c>
      <c r="X103" s="504">
        <f>'BH Tariffs'!W45*'P&amp;L - Concept A1'!X66</f>
        <v>4370.4335175833967</v>
      </c>
    </row>
    <row r="104" spans="1:24">
      <c r="A104" s="299" t="s">
        <v>217</v>
      </c>
      <c r="B104" s="299"/>
      <c r="C104" s="299"/>
      <c r="D104" s="505">
        <v>0</v>
      </c>
      <c r="E104" s="506">
        <v>0</v>
      </c>
      <c r="F104" s="506">
        <f>'BH Tariffs'!E46*'P&amp;L - Concept A1'!F65</f>
        <v>500</v>
      </c>
      <c r="G104" s="506">
        <f>'BH Tariffs'!F46*'P&amp;L - Concept A1'!G65</f>
        <v>1000</v>
      </c>
      <c r="H104" s="506">
        <f>'BH Tariffs'!G46*'P&amp;L - Concept A1'!H65</f>
        <v>1000</v>
      </c>
      <c r="I104" s="506">
        <f>'BH Tariffs'!H46*'P&amp;L - Concept A1'!I65</f>
        <v>1000</v>
      </c>
      <c r="J104" s="506">
        <f>'BH Tariffs'!I46*'P&amp;L - Concept A1'!J65</f>
        <v>1650</v>
      </c>
      <c r="K104" s="506">
        <f>'BH Tariffs'!J46*'P&amp;L - Concept A1'!K65</f>
        <v>1650</v>
      </c>
      <c r="L104" s="506">
        <f>'BH Tariffs'!K46*'P&amp;L - Concept A1'!L65</f>
        <v>1650</v>
      </c>
      <c r="M104" s="506">
        <f>'BH Tariffs'!L46*'P&amp;L - Concept A1'!M65</f>
        <v>1650</v>
      </c>
      <c r="N104" s="506">
        <f>'BH Tariffs'!M46*'P&amp;L - Concept A1'!N65</f>
        <v>1650</v>
      </c>
      <c r="O104" s="506">
        <f>'BH Tariffs'!N46*'P&amp;L - Concept A1'!O65</f>
        <v>2400</v>
      </c>
      <c r="P104" s="506">
        <f>'BH Tariffs'!O46*'P&amp;L - Concept A1'!P65</f>
        <v>2400</v>
      </c>
      <c r="Q104" s="506">
        <f>'BH Tariffs'!P46*'P&amp;L - Concept A1'!Q65</f>
        <v>2400</v>
      </c>
      <c r="R104" s="506">
        <f>'BH Tariffs'!Q46*'P&amp;L - Concept A1'!R65</f>
        <v>2400</v>
      </c>
      <c r="S104" s="506">
        <f>'BH Tariffs'!R46*'P&amp;L - Concept A1'!S65</f>
        <v>2400</v>
      </c>
      <c r="T104" s="506">
        <f>'BH Tariffs'!S46*'P&amp;L - Concept A1'!T65</f>
        <v>3250</v>
      </c>
      <c r="U104" s="506">
        <f>'BH Tariffs'!T46*'P&amp;L - Concept A1'!U65</f>
        <v>3250</v>
      </c>
      <c r="V104" s="506">
        <f>'BH Tariffs'!U46*'P&amp;L - Concept A1'!V65</f>
        <v>3250</v>
      </c>
      <c r="W104" s="506">
        <f>'BH Tariffs'!V46*'P&amp;L - Concept A1'!W65</f>
        <v>3250</v>
      </c>
      <c r="X104" s="506">
        <f>'BH Tariffs'!W46*'P&amp;L - Concept A1'!X65</f>
        <v>3250</v>
      </c>
    </row>
    <row r="105" spans="1:24">
      <c r="A105" s="278" t="s">
        <v>145</v>
      </c>
      <c r="D105" s="507">
        <f>SUM(D71:D104)</f>
        <v>0</v>
      </c>
      <c r="E105" s="508">
        <f t="shared" ref="E105:X105" si="10">SUM(E70:E104)</f>
        <v>0</v>
      </c>
      <c r="F105" s="508">
        <f t="shared" si="10"/>
        <v>609067.14306875004</v>
      </c>
      <c r="G105" s="508">
        <f t="shared" si="10"/>
        <v>621738.48593012511</v>
      </c>
      <c r="H105" s="508">
        <f t="shared" si="10"/>
        <v>634153.25564872741</v>
      </c>
      <c r="I105" s="508">
        <f t="shared" si="10"/>
        <v>646816.32076170202</v>
      </c>
      <c r="J105" s="508">
        <f t="shared" si="10"/>
        <v>906648.14717693615</v>
      </c>
      <c r="K105" s="508">
        <f t="shared" si="10"/>
        <v>919822.80012047489</v>
      </c>
      <c r="L105" s="508">
        <f t="shared" si="10"/>
        <v>933260.94612288428</v>
      </c>
      <c r="M105" s="508">
        <f t="shared" si="10"/>
        <v>946967.85504534212</v>
      </c>
      <c r="N105" s="508">
        <f t="shared" si="10"/>
        <v>960948.90214624885</v>
      </c>
      <c r="O105" s="508">
        <f t="shared" si="10"/>
        <v>1037525.9451891738</v>
      </c>
      <c r="P105" s="508">
        <f t="shared" si="10"/>
        <v>1052071.8265929574</v>
      </c>
      <c r="Q105" s="508">
        <f t="shared" si="10"/>
        <v>1066908.6256248164</v>
      </c>
      <c r="R105" s="508">
        <f t="shared" si="10"/>
        <v>1082042.1606373126</v>
      </c>
      <c r="S105" s="508">
        <f t="shared" si="10"/>
        <v>1097478.3663500592</v>
      </c>
      <c r="T105" s="508">
        <f t="shared" si="10"/>
        <v>1175639.6711770603</v>
      </c>
      <c r="U105" s="508">
        <f t="shared" si="10"/>
        <v>1191699.4996006014</v>
      </c>
      <c r="V105" s="508">
        <f t="shared" si="10"/>
        <v>1208080.5245926136</v>
      </c>
      <c r="W105" s="508">
        <f t="shared" si="10"/>
        <v>1224789.170084466</v>
      </c>
      <c r="X105" s="508">
        <f t="shared" si="10"/>
        <v>1241831.9884861552</v>
      </c>
    </row>
    <row r="106" spans="1:24">
      <c r="D106" s="507"/>
      <c r="E106" s="413"/>
      <c r="F106" s="413"/>
      <c r="G106" s="413"/>
      <c r="H106" s="413"/>
      <c r="I106" s="413"/>
      <c r="J106" s="413"/>
      <c r="K106" s="413"/>
      <c r="L106" s="413"/>
      <c r="M106" s="413"/>
      <c r="N106" s="413"/>
      <c r="O106" s="413"/>
      <c r="P106" s="413"/>
      <c r="Q106" s="413"/>
      <c r="R106" s="413"/>
      <c r="S106" s="413"/>
      <c r="T106" s="413"/>
      <c r="U106" s="413"/>
      <c r="V106" s="413"/>
      <c r="W106" s="413"/>
      <c r="X106" s="413"/>
    </row>
    <row r="107" spans="1:24">
      <c r="A107" s="271" t="s">
        <v>146</v>
      </c>
      <c r="B107" s="149"/>
      <c r="C107" s="149"/>
      <c r="D107" s="509"/>
      <c r="E107" s="510"/>
      <c r="F107" s="510"/>
      <c r="G107" s="510"/>
      <c r="H107" s="510"/>
      <c r="I107" s="510"/>
      <c r="J107" s="510"/>
      <c r="K107" s="510"/>
      <c r="L107" s="510"/>
      <c r="M107" s="510"/>
      <c r="N107" s="510"/>
      <c r="O107" s="510"/>
      <c r="P107" s="510"/>
      <c r="Q107" s="510"/>
      <c r="R107" s="510"/>
      <c r="S107" s="510"/>
      <c r="T107" s="510"/>
      <c r="U107" s="510"/>
      <c r="V107" s="510"/>
      <c r="W107" s="510"/>
      <c r="X107" s="510"/>
    </row>
    <row r="108" spans="1:24">
      <c r="D108" s="507"/>
      <c r="E108" s="413"/>
      <c r="F108" s="413"/>
      <c r="G108" s="413"/>
      <c r="H108" s="413"/>
      <c r="I108" s="413"/>
      <c r="J108" s="413"/>
      <c r="K108" s="413"/>
      <c r="L108" s="413"/>
      <c r="M108" s="413"/>
      <c r="N108" s="413"/>
      <c r="O108" s="413"/>
      <c r="P108" s="413"/>
      <c r="Q108" s="413"/>
      <c r="R108" s="413"/>
      <c r="S108" s="413"/>
      <c r="T108" s="413"/>
      <c r="U108" s="413"/>
      <c r="V108" s="413"/>
      <c r="W108" s="413"/>
      <c r="X108" s="413"/>
    </row>
    <row r="109" spans="1:24">
      <c r="A109" s="91" t="s">
        <v>380</v>
      </c>
      <c r="B109" s="89"/>
      <c r="C109" s="89"/>
      <c r="D109" s="502"/>
      <c r="E109" s="504"/>
      <c r="F109" s="504"/>
      <c r="G109" s="504"/>
      <c r="H109" s="504"/>
      <c r="I109" s="504"/>
      <c r="J109" s="504"/>
      <c r="K109" s="504"/>
      <c r="L109" s="504"/>
      <c r="M109" s="504"/>
      <c r="N109" s="504"/>
      <c r="O109" s="504"/>
      <c r="P109" s="504"/>
      <c r="Q109" s="504"/>
      <c r="R109" s="504"/>
      <c r="S109" s="504"/>
      <c r="T109" s="504"/>
      <c r="U109" s="504"/>
      <c r="V109" s="504"/>
      <c r="W109" s="504"/>
      <c r="X109" s="504"/>
    </row>
    <row r="110" spans="1:24">
      <c r="A110" s="88" t="s">
        <v>432</v>
      </c>
      <c r="B110" s="89"/>
      <c r="C110" s="89"/>
      <c r="D110" s="502">
        <v>0</v>
      </c>
      <c r="E110" s="504">
        <v>0</v>
      </c>
      <c r="F110" s="504">
        <v>0</v>
      </c>
      <c r="G110" s="504">
        <v>0</v>
      </c>
      <c r="H110" s="504">
        <v>0</v>
      </c>
      <c r="I110" s="504">
        <v>0</v>
      </c>
      <c r="J110" s="504">
        <v>0</v>
      </c>
      <c r="K110" s="504">
        <v>0</v>
      </c>
      <c r="L110" s="504">
        <v>0</v>
      </c>
      <c r="M110" s="504">
        <v>0</v>
      </c>
      <c r="N110" s="504">
        <v>0</v>
      </c>
      <c r="O110" s="504">
        <v>0</v>
      </c>
      <c r="P110" s="504">
        <v>0</v>
      </c>
      <c r="Q110" s="504">
        <v>0</v>
      </c>
      <c r="R110" s="504">
        <v>0</v>
      </c>
      <c r="S110" s="504">
        <v>0</v>
      </c>
      <c r="T110" s="504">
        <v>0</v>
      </c>
      <c r="U110" s="504">
        <v>0</v>
      </c>
      <c r="V110" s="504">
        <v>0</v>
      </c>
      <c r="W110" s="504">
        <v>0</v>
      </c>
      <c r="X110" s="504">
        <v>0</v>
      </c>
    </row>
    <row r="111" spans="1:24">
      <c r="A111" s="88" t="s">
        <v>433</v>
      </c>
      <c r="B111" s="89"/>
      <c r="C111" s="89"/>
      <c r="D111" s="502">
        <v>0</v>
      </c>
      <c r="E111" s="504">
        <v>0</v>
      </c>
      <c r="F111" s="504">
        <v>0</v>
      </c>
      <c r="G111" s="504">
        <v>0</v>
      </c>
      <c r="H111" s="504">
        <v>0</v>
      </c>
      <c r="I111" s="504">
        <v>0</v>
      </c>
      <c r="J111" s="504">
        <v>0</v>
      </c>
      <c r="K111" s="504">
        <v>0</v>
      </c>
      <c r="L111" s="504">
        <v>0</v>
      </c>
      <c r="M111" s="504">
        <v>0</v>
      </c>
      <c r="N111" s="504">
        <v>0</v>
      </c>
      <c r="O111" s="504">
        <v>0</v>
      </c>
      <c r="P111" s="504">
        <v>0</v>
      </c>
      <c r="Q111" s="504">
        <v>0</v>
      </c>
      <c r="R111" s="504">
        <v>0</v>
      </c>
      <c r="S111" s="504">
        <v>0</v>
      </c>
      <c r="T111" s="504">
        <v>0</v>
      </c>
      <c r="U111" s="504">
        <v>0</v>
      </c>
      <c r="V111" s="504">
        <v>0</v>
      </c>
      <c r="W111" s="504">
        <v>0</v>
      </c>
      <c r="X111" s="504">
        <v>0</v>
      </c>
    </row>
    <row r="112" spans="1:24">
      <c r="A112" s="88" t="s">
        <v>434</v>
      </c>
      <c r="B112" s="89"/>
      <c r="C112" s="89"/>
      <c r="D112" s="502">
        <v>0</v>
      </c>
      <c r="E112" s="504">
        <v>0</v>
      </c>
      <c r="F112" s="504">
        <v>0</v>
      </c>
      <c r="G112" s="504">
        <v>0</v>
      </c>
      <c r="H112" s="504">
        <v>0</v>
      </c>
      <c r="I112" s="504">
        <v>0</v>
      </c>
      <c r="J112" s="504">
        <v>0</v>
      </c>
      <c r="K112" s="504">
        <v>0</v>
      </c>
      <c r="L112" s="504">
        <v>0</v>
      </c>
      <c r="M112" s="504">
        <v>0</v>
      </c>
      <c r="N112" s="504">
        <v>0</v>
      </c>
      <c r="O112" s="504">
        <v>0</v>
      </c>
      <c r="P112" s="504">
        <v>0</v>
      </c>
      <c r="Q112" s="504">
        <v>0</v>
      </c>
      <c r="R112" s="504">
        <v>0</v>
      </c>
      <c r="S112" s="504">
        <v>0</v>
      </c>
      <c r="T112" s="504">
        <v>0</v>
      </c>
      <c r="U112" s="504">
        <v>0</v>
      </c>
      <c r="V112" s="504">
        <v>0</v>
      </c>
      <c r="W112" s="504">
        <v>0</v>
      </c>
      <c r="X112" s="504">
        <v>0</v>
      </c>
    </row>
    <row r="113" spans="1:25">
      <c r="A113" s="88" t="s">
        <v>229</v>
      </c>
      <c r="B113" s="30"/>
      <c r="C113" s="89"/>
      <c r="D113" s="502">
        <v>0</v>
      </c>
      <c r="E113" s="504">
        <v>0</v>
      </c>
      <c r="F113" s="504">
        <v>0</v>
      </c>
      <c r="G113" s="504">
        <v>0</v>
      </c>
      <c r="H113" s="504">
        <v>0</v>
      </c>
      <c r="I113" s="504">
        <v>0</v>
      </c>
      <c r="J113" s="504">
        <v>0</v>
      </c>
      <c r="K113" s="504">
        <v>0</v>
      </c>
      <c r="L113" s="504">
        <v>0</v>
      </c>
      <c r="M113" s="504">
        <v>0</v>
      </c>
      <c r="N113" s="504">
        <v>0</v>
      </c>
      <c r="O113" s="504">
        <v>0</v>
      </c>
      <c r="P113" s="504">
        <v>0</v>
      </c>
      <c r="Q113" s="504">
        <v>0</v>
      </c>
      <c r="R113" s="504">
        <v>0</v>
      </c>
      <c r="S113" s="504">
        <v>0</v>
      </c>
      <c r="T113" s="504">
        <v>0</v>
      </c>
      <c r="U113" s="504">
        <v>0</v>
      </c>
      <c r="V113" s="504">
        <v>0</v>
      </c>
      <c r="W113" s="504">
        <v>0</v>
      </c>
      <c r="X113" s="504">
        <v>0</v>
      </c>
    </row>
    <row r="114" spans="1:25" s="32" customFormat="1">
      <c r="A114" s="299" t="s">
        <v>297</v>
      </c>
      <c r="B114" s="299"/>
      <c r="C114" s="299"/>
      <c r="D114" s="505">
        <v>0</v>
      </c>
      <c r="E114" s="506">
        <f t="shared" ref="E114:X114" si="11">E53</f>
        <v>0</v>
      </c>
      <c r="F114" s="506">
        <f t="shared" si="11"/>
        <v>0</v>
      </c>
      <c r="G114" s="506">
        <f t="shared" si="11"/>
        <v>100000</v>
      </c>
      <c r="H114" s="506">
        <f t="shared" si="11"/>
        <v>100000</v>
      </c>
      <c r="I114" s="506">
        <f t="shared" si="11"/>
        <v>100000</v>
      </c>
      <c r="J114" s="506">
        <f t="shared" si="11"/>
        <v>100000</v>
      </c>
      <c r="K114" s="506">
        <f t="shared" si="11"/>
        <v>100000</v>
      </c>
      <c r="L114" s="506">
        <f t="shared" si="11"/>
        <v>100000</v>
      </c>
      <c r="M114" s="506">
        <f t="shared" si="11"/>
        <v>100000</v>
      </c>
      <c r="N114" s="506">
        <f t="shared" si="11"/>
        <v>100000</v>
      </c>
      <c r="O114" s="506">
        <f t="shared" si="11"/>
        <v>100000</v>
      </c>
      <c r="P114" s="506">
        <f t="shared" si="11"/>
        <v>100000</v>
      </c>
      <c r="Q114" s="506">
        <f t="shared" si="11"/>
        <v>100000</v>
      </c>
      <c r="R114" s="506">
        <f t="shared" si="11"/>
        <v>100000</v>
      </c>
      <c r="S114" s="506">
        <f t="shared" si="11"/>
        <v>100000</v>
      </c>
      <c r="T114" s="506">
        <f t="shared" si="11"/>
        <v>100000</v>
      </c>
      <c r="U114" s="506">
        <f t="shared" si="11"/>
        <v>100000</v>
      </c>
      <c r="V114" s="506">
        <f t="shared" si="11"/>
        <v>100000</v>
      </c>
      <c r="W114" s="506">
        <f t="shared" si="11"/>
        <v>100000</v>
      </c>
      <c r="X114" s="506">
        <f t="shared" si="11"/>
        <v>100000</v>
      </c>
    </row>
    <row r="115" spans="1:25">
      <c r="A115" s="278" t="s">
        <v>147</v>
      </c>
      <c r="D115" s="507">
        <f>SUM(D113:D114)</f>
        <v>0</v>
      </c>
      <c r="E115" s="508">
        <f>SUM(E110:E114)</f>
        <v>0</v>
      </c>
      <c r="F115" s="508">
        <f t="shared" ref="F115:X115" si="12">SUM(F110:F114)</f>
        <v>0</v>
      </c>
      <c r="G115" s="508">
        <f t="shared" si="12"/>
        <v>100000</v>
      </c>
      <c r="H115" s="508">
        <f t="shared" si="12"/>
        <v>100000</v>
      </c>
      <c r="I115" s="508">
        <f t="shared" si="12"/>
        <v>100000</v>
      </c>
      <c r="J115" s="508">
        <f t="shared" si="12"/>
        <v>100000</v>
      </c>
      <c r="K115" s="508">
        <f t="shared" si="12"/>
        <v>100000</v>
      </c>
      <c r="L115" s="508">
        <f t="shared" si="12"/>
        <v>100000</v>
      </c>
      <c r="M115" s="508">
        <f t="shared" si="12"/>
        <v>100000</v>
      </c>
      <c r="N115" s="508">
        <f t="shared" si="12"/>
        <v>100000</v>
      </c>
      <c r="O115" s="508">
        <f t="shared" si="12"/>
        <v>100000</v>
      </c>
      <c r="P115" s="508">
        <f t="shared" si="12"/>
        <v>100000</v>
      </c>
      <c r="Q115" s="508">
        <f t="shared" si="12"/>
        <v>100000</v>
      </c>
      <c r="R115" s="508">
        <f t="shared" si="12"/>
        <v>100000</v>
      </c>
      <c r="S115" s="508">
        <f t="shared" si="12"/>
        <v>100000</v>
      </c>
      <c r="T115" s="508">
        <f t="shared" si="12"/>
        <v>100000</v>
      </c>
      <c r="U115" s="508">
        <f t="shared" si="12"/>
        <v>100000</v>
      </c>
      <c r="V115" s="508">
        <f t="shared" si="12"/>
        <v>100000</v>
      </c>
      <c r="W115" s="508">
        <f t="shared" si="12"/>
        <v>100000</v>
      </c>
      <c r="X115" s="508">
        <f t="shared" si="12"/>
        <v>100000</v>
      </c>
    </row>
    <row r="116" spans="1:25">
      <c r="D116" s="507"/>
      <c r="E116" s="413"/>
      <c r="F116" s="413"/>
      <c r="G116" s="413"/>
      <c r="H116" s="413"/>
      <c r="I116" s="413"/>
      <c r="J116" s="413"/>
      <c r="K116" s="413"/>
      <c r="L116" s="413"/>
      <c r="M116" s="413"/>
      <c r="N116" s="413"/>
      <c r="O116" s="413"/>
      <c r="P116" s="413"/>
      <c r="Q116" s="413"/>
      <c r="R116" s="413"/>
      <c r="S116" s="413"/>
      <c r="T116" s="413"/>
      <c r="U116" s="413"/>
      <c r="V116" s="413"/>
      <c r="W116" s="413"/>
      <c r="X116" s="413"/>
    </row>
    <row r="117" spans="1:25">
      <c r="A117" s="88" t="s">
        <v>608</v>
      </c>
      <c r="D117" s="507">
        <f t="shared" ref="D117" si="13">SUM(D115:D116)</f>
        <v>0</v>
      </c>
      <c r="E117" s="413">
        <v>58025</v>
      </c>
      <c r="F117" s="413">
        <v>0</v>
      </c>
      <c r="G117" s="413">
        <v>0</v>
      </c>
      <c r="H117" s="413">
        <v>0</v>
      </c>
      <c r="I117" s="413">
        <v>0</v>
      </c>
      <c r="J117" s="413">
        <v>0</v>
      </c>
      <c r="K117" s="413">
        <v>0</v>
      </c>
      <c r="L117" s="413">
        <v>0</v>
      </c>
      <c r="M117" s="413">
        <v>0</v>
      </c>
      <c r="N117" s="413">
        <v>0</v>
      </c>
      <c r="O117" s="413">
        <v>0</v>
      </c>
      <c r="P117" s="413">
        <v>0</v>
      </c>
      <c r="Q117" s="413">
        <v>0</v>
      </c>
      <c r="R117" s="413">
        <v>0</v>
      </c>
      <c r="S117" s="413">
        <v>0</v>
      </c>
      <c r="T117" s="413">
        <v>0</v>
      </c>
      <c r="U117" s="413">
        <v>0</v>
      </c>
      <c r="V117" s="413">
        <v>0</v>
      </c>
      <c r="W117" s="413">
        <v>0</v>
      </c>
      <c r="X117" s="413">
        <v>0</v>
      </c>
    </row>
    <row r="118" spans="1:25">
      <c r="D118" s="507"/>
      <c r="E118" s="413"/>
      <c r="F118" s="413"/>
      <c r="G118" s="413"/>
      <c r="H118" s="413"/>
      <c r="I118" s="413"/>
      <c r="J118" s="413"/>
      <c r="K118" s="413"/>
      <c r="L118" s="413"/>
      <c r="M118" s="413"/>
      <c r="N118" s="413"/>
      <c r="O118" s="413"/>
      <c r="P118" s="413"/>
      <c r="Q118" s="413"/>
      <c r="R118" s="413"/>
      <c r="S118" s="413"/>
      <c r="T118" s="413"/>
      <c r="U118" s="413"/>
      <c r="V118" s="413"/>
      <c r="W118" s="413"/>
      <c r="X118" s="413"/>
    </row>
    <row r="119" spans="1:25" s="16" customFormat="1" ht="14.25">
      <c r="A119" s="295" t="s">
        <v>148</v>
      </c>
      <c r="B119" s="295"/>
      <c r="C119" s="295"/>
      <c r="D119" s="511">
        <f>SUM(D105,D115)</f>
        <v>0</v>
      </c>
      <c r="E119" s="511">
        <f>SUM(E105,E115,E117)</f>
        <v>58025</v>
      </c>
      <c r="F119" s="511">
        <f t="shared" ref="F119:X119" si="14">SUM(F105,F115,F117)</f>
        <v>609067.14306875004</v>
      </c>
      <c r="G119" s="511">
        <f t="shared" si="14"/>
        <v>721738.48593012511</v>
      </c>
      <c r="H119" s="511">
        <f t="shared" si="14"/>
        <v>734153.25564872741</v>
      </c>
      <c r="I119" s="511">
        <f t="shared" si="14"/>
        <v>746816.32076170202</v>
      </c>
      <c r="J119" s="511">
        <f t="shared" si="14"/>
        <v>1006648.1471769362</v>
      </c>
      <c r="K119" s="511">
        <f t="shared" si="14"/>
        <v>1019822.8001204749</v>
      </c>
      <c r="L119" s="511">
        <f t="shared" si="14"/>
        <v>1033260.9461228843</v>
      </c>
      <c r="M119" s="511">
        <f t="shared" si="14"/>
        <v>1046967.8550453421</v>
      </c>
      <c r="N119" s="511">
        <f t="shared" si="14"/>
        <v>1060948.9021462488</v>
      </c>
      <c r="O119" s="511">
        <f t="shared" si="14"/>
        <v>1137525.9451891738</v>
      </c>
      <c r="P119" s="511">
        <f t="shared" si="14"/>
        <v>1152071.8265929574</v>
      </c>
      <c r="Q119" s="511">
        <f t="shared" si="14"/>
        <v>1166908.6256248164</v>
      </c>
      <c r="R119" s="511">
        <f t="shared" si="14"/>
        <v>1182042.1606373126</v>
      </c>
      <c r="S119" s="511">
        <f t="shared" si="14"/>
        <v>1197478.3663500592</v>
      </c>
      <c r="T119" s="511">
        <f t="shared" si="14"/>
        <v>1275639.6711770603</v>
      </c>
      <c r="U119" s="511">
        <f t="shared" si="14"/>
        <v>1291699.4996006014</v>
      </c>
      <c r="V119" s="511">
        <f t="shared" si="14"/>
        <v>1308080.5245926136</v>
      </c>
      <c r="W119" s="511">
        <f t="shared" si="14"/>
        <v>1324789.170084466</v>
      </c>
      <c r="X119" s="511">
        <f t="shared" si="14"/>
        <v>1341831.9884861552</v>
      </c>
      <c r="Y119" s="622">
        <f>SUM(D119:X119)</f>
        <v>20415516.634356406</v>
      </c>
    </row>
    <row r="120" spans="1:25">
      <c r="A120" s="30"/>
      <c r="B120" s="30"/>
      <c r="C120" s="30"/>
      <c r="D120" s="502"/>
      <c r="E120" s="512"/>
      <c r="F120" s="512"/>
      <c r="G120" s="512"/>
      <c r="H120" s="512"/>
      <c r="I120" s="512"/>
      <c r="J120" s="512"/>
      <c r="K120" s="512"/>
      <c r="L120" s="512"/>
      <c r="M120" s="512"/>
      <c r="N120" s="512"/>
      <c r="O120" s="512"/>
      <c r="P120" s="512"/>
      <c r="Q120" s="512"/>
      <c r="R120" s="512"/>
      <c r="S120" s="512"/>
      <c r="T120" s="512"/>
      <c r="U120" s="512"/>
      <c r="V120" s="512"/>
      <c r="W120" s="512"/>
      <c r="X120" s="512"/>
    </row>
    <row r="121" spans="1:25" s="33" customFormat="1">
      <c r="A121" s="47" t="s">
        <v>7</v>
      </c>
      <c r="B121" s="47" t="s">
        <v>7</v>
      </c>
      <c r="C121" s="78" t="s">
        <v>7</v>
      </c>
      <c r="D121" s="604" t="s">
        <v>7</v>
      </c>
      <c r="E121" s="78" t="s">
        <v>7</v>
      </c>
      <c r="F121" s="78" t="s">
        <v>7</v>
      </c>
      <c r="G121" s="78" t="s">
        <v>7</v>
      </c>
      <c r="H121" s="78" t="s">
        <v>7</v>
      </c>
      <c r="I121" s="78" t="s">
        <v>7</v>
      </c>
      <c r="J121" s="78" t="s">
        <v>7</v>
      </c>
      <c r="K121" s="78" t="s">
        <v>7</v>
      </c>
      <c r="L121" s="78" t="s">
        <v>7</v>
      </c>
      <c r="M121" s="78" t="s">
        <v>7</v>
      </c>
      <c r="N121" s="78" t="s">
        <v>7</v>
      </c>
      <c r="O121" s="78" t="s">
        <v>7</v>
      </c>
      <c r="P121" s="78" t="s">
        <v>7</v>
      </c>
      <c r="Q121" s="78" t="s">
        <v>7</v>
      </c>
      <c r="R121" s="78" t="s">
        <v>7</v>
      </c>
      <c r="S121" s="78" t="s">
        <v>7</v>
      </c>
      <c r="T121" s="78" t="s">
        <v>7</v>
      </c>
      <c r="U121" s="78" t="s">
        <v>7</v>
      </c>
      <c r="V121" s="78" t="s">
        <v>7</v>
      </c>
      <c r="W121" s="78" t="s">
        <v>7</v>
      </c>
      <c r="X121" s="78" t="s">
        <v>7</v>
      </c>
    </row>
    <row r="122" spans="1:25">
      <c r="A122" s="30"/>
      <c r="B122" s="30"/>
      <c r="C122" s="30"/>
      <c r="D122" s="502"/>
      <c r="E122" s="512"/>
      <c r="F122" s="512"/>
      <c r="G122" s="512"/>
      <c r="H122" s="512"/>
      <c r="I122" s="512"/>
      <c r="J122" s="512"/>
      <c r="K122" s="512"/>
      <c r="L122" s="512"/>
      <c r="M122" s="512"/>
      <c r="N122" s="512"/>
      <c r="O122" s="512"/>
      <c r="P122" s="512"/>
      <c r="Q122" s="512"/>
      <c r="R122" s="512"/>
      <c r="S122" s="512"/>
      <c r="T122" s="512"/>
      <c r="U122" s="512"/>
      <c r="V122" s="512"/>
      <c r="W122" s="512"/>
      <c r="X122" s="512"/>
    </row>
    <row r="123" spans="1:25">
      <c r="A123" s="269" t="s">
        <v>131</v>
      </c>
      <c r="B123" s="269"/>
      <c r="C123" s="270"/>
      <c r="D123" s="513"/>
      <c r="E123" s="513"/>
      <c r="F123" s="513"/>
      <c r="G123" s="513"/>
      <c r="H123" s="513"/>
      <c r="I123" s="513"/>
      <c r="J123" s="513"/>
      <c r="K123" s="513"/>
      <c r="L123" s="513"/>
      <c r="M123" s="513"/>
      <c r="N123" s="513"/>
      <c r="O123" s="513"/>
      <c r="P123" s="513"/>
      <c r="Q123" s="513"/>
      <c r="R123" s="513"/>
      <c r="S123" s="513"/>
      <c r="T123" s="513"/>
      <c r="U123" s="513"/>
      <c r="V123" s="513"/>
      <c r="W123" s="513"/>
      <c r="X123" s="513"/>
    </row>
    <row r="124" spans="1:25">
      <c r="A124" s="69"/>
      <c r="B124" s="69"/>
      <c r="C124" s="69"/>
      <c r="D124" s="502"/>
      <c r="E124" s="504"/>
      <c r="F124" s="504"/>
      <c r="G124" s="504"/>
      <c r="H124" s="504"/>
      <c r="I124" s="504"/>
      <c r="J124" s="504"/>
      <c r="K124" s="504"/>
      <c r="L124" s="504"/>
      <c r="M124" s="504"/>
      <c r="N124" s="504"/>
      <c r="O124" s="504"/>
      <c r="P124" s="504"/>
      <c r="Q124" s="504"/>
      <c r="R124" s="504"/>
      <c r="S124" s="504"/>
      <c r="T124" s="504"/>
      <c r="U124" s="504"/>
      <c r="V124" s="504"/>
      <c r="W124" s="504"/>
      <c r="X124" s="504"/>
    </row>
    <row r="125" spans="1:25" s="96" customFormat="1">
      <c r="A125" s="69" t="s">
        <v>13</v>
      </c>
      <c r="B125" s="69"/>
      <c r="C125" s="69"/>
      <c r="D125" s="514">
        <v>0</v>
      </c>
      <c r="E125" s="515">
        <f>'OPEX - Concept A1'!L79</f>
        <v>12250</v>
      </c>
      <c r="F125" s="515">
        <f>'OPEX - Concept A1'!M79</f>
        <v>150500</v>
      </c>
      <c r="G125" s="515">
        <f>'OPEX - Concept A1'!N79</f>
        <v>153510</v>
      </c>
      <c r="H125" s="515">
        <f>'OPEX - Concept A1'!O79</f>
        <v>156580.19999999998</v>
      </c>
      <c r="I125" s="515">
        <f>'OPEX - Concept A1'!P79</f>
        <v>159711.80399999997</v>
      </c>
      <c r="J125" s="515">
        <f>'OPEX - Concept A1'!Q79</f>
        <v>162906.04007999998</v>
      </c>
      <c r="K125" s="515">
        <f>'OPEX - Concept A1'!R79</f>
        <v>166164.16088159999</v>
      </c>
      <c r="L125" s="515">
        <f>'OPEX - Concept A1'!S79</f>
        <v>169487.444099232</v>
      </c>
      <c r="M125" s="515">
        <f>'OPEX - Concept A1'!T79</f>
        <v>172877.19298121665</v>
      </c>
      <c r="N125" s="515">
        <f>'OPEX - Concept A1'!U79</f>
        <v>176334.73684084098</v>
      </c>
      <c r="O125" s="515">
        <f>'OPEX - Concept A1'!V79</f>
        <v>179861.43157765782</v>
      </c>
      <c r="P125" s="515">
        <f>'OPEX - Concept A1'!W79</f>
        <v>183458.66020921097</v>
      </c>
      <c r="Q125" s="515">
        <f>'OPEX - Concept A1'!X79</f>
        <v>187127.83341339519</v>
      </c>
      <c r="R125" s="515">
        <f>'OPEX - Concept A1'!Y79</f>
        <v>190870.39008166309</v>
      </c>
      <c r="S125" s="515">
        <f>'OPEX - Concept A1'!Z79</f>
        <v>194687.79788329633</v>
      </c>
      <c r="T125" s="515">
        <f>'OPEX - Concept A1'!AA79</f>
        <v>198581.5538409623</v>
      </c>
      <c r="U125" s="515">
        <f>'OPEX - Concept A1'!AB79</f>
        <v>202553.18491778153</v>
      </c>
      <c r="V125" s="515">
        <f>'OPEX - Concept A1'!AC79</f>
        <v>206604.24861613716</v>
      </c>
      <c r="W125" s="515">
        <f>'OPEX - Concept A1'!AD79</f>
        <v>210736.33358845994</v>
      </c>
      <c r="X125" s="515">
        <f>'OPEX - Concept A1'!AE79</f>
        <v>214951.06026022913</v>
      </c>
    </row>
    <row r="126" spans="1:25" s="96" customFormat="1">
      <c r="A126" s="69" t="s">
        <v>41</v>
      </c>
      <c r="B126" s="69"/>
      <c r="C126" s="69"/>
      <c r="D126" s="514">
        <v>0</v>
      </c>
      <c r="E126" s="515">
        <f>'OPEX - Concept A1'!L87</f>
        <v>25000</v>
      </c>
      <c r="F126" s="515">
        <f>'OPEX - Concept A1'!M87</f>
        <v>25500</v>
      </c>
      <c r="G126" s="515">
        <f>'OPEX - Concept A1'!N87</f>
        <v>26010</v>
      </c>
      <c r="H126" s="515">
        <f>'OPEX - Concept A1'!O87</f>
        <v>26530.199999999997</v>
      </c>
      <c r="I126" s="515">
        <f>'OPEX - Concept A1'!P87</f>
        <v>27060.804</v>
      </c>
      <c r="J126" s="515">
        <f>'OPEX - Concept A1'!Q87</f>
        <v>27602.020080000002</v>
      </c>
      <c r="K126" s="515">
        <f>'OPEX - Concept A1'!R87</f>
        <v>28154.060481600001</v>
      </c>
      <c r="L126" s="515">
        <f>'OPEX - Concept A1'!S87</f>
        <v>28717.141691232002</v>
      </c>
      <c r="M126" s="515">
        <f>'OPEX - Concept A1'!T87</f>
        <v>29291.484525056643</v>
      </c>
      <c r="N126" s="515">
        <f>'OPEX - Concept A1'!U87</f>
        <v>29877.314215557777</v>
      </c>
      <c r="O126" s="515">
        <f>'OPEX - Concept A1'!V87</f>
        <v>30474.860499868933</v>
      </c>
      <c r="P126" s="515">
        <f>'OPEX - Concept A1'!W87</f>
        <v>31084.357709866312</v>
      </c>
      <c r="Q126" s="515">
        <f>'OPEX - Concept A1'!X87</f>
        <v>31706.044864063639</v>
      </c>
      <c r="R126" s="515">
        <f>'OPEX - Concept A1'!Y87</f>
        <v>32340.165761344906</v>
      </c>
      <c r="S126" s="515">
        <f>'OPEX - Concept A1'!Z87</f>
        <v>32986.969076571811</v>
      </c>
      <c r="T126" s="515">
        <f>'OPEX - Concept A1'!AA87</f>
        <v>33646.708458103247</v>
      </c>
      <c r="U126" s="515">
        <f>'OPEX - Concept A1'!AB87</f>
        <v>34319.642627265312</v>
      </c>
      <c r="V126" s="515">
        <f>'OPEX - Concept A1'!AC87</f>
        <v>35006.03547981062</v>
      </c>
      <c r="W126" s="515">
        <f>'OPEX - Concept A1'!AD87</f>
        <v>35706.156189406836</v>
      </c>
      <c r="X126" s="515">
        <f>'OPEX - Concept A1'!AE87</f>
        <v>36420.279313194973</v>
      </c>
    </row>
    <row r="127" spans="1:25" s="96" customFormat="1">
      <c r="A127" s="69" t="s">
        <v>424</v>
      </c>
      <c r="B127" s="69"/>
      <c r="C127" s="69"/>
      <c r="D127" s="514">
        <v>0</v>
      </c>
      <c r="E127" s="515">
        <f>'OPEX - Concept A1'!L88</f>
        <v>10000</v>
      </c>
      <c r="F127" s="515">
        <f>'OPEX - Concept A1'!M88</f>
        <v>500</v>
      </c>
      <c r="G127" s="515">
        <f>'OPEX - Concept A1'!N88</f>
        <v>520.20000000000005</v>
      </c>
      <c r="H127" s="515">
        <f>'OPEX - Concept A1'!O88</f>
        <v>530.60399999999993</v>
      </c>
      <c r="I127" s="515">
        <f>'OPEX - Concept A1'!P88</f>
        <v>541.21608000000003</v>
      </c>
      <c r="J127" s="515">
        <f>'OPEX - Concept A1'!Q88</f>
        <v>5000</v>
      </c>
      <c r="K127" s="515">
        <f>'OPEX - Concept A1'!R88</f>
        <v>563.08120963200008</v>
      </c>
      <c r="L127" s="515">
        <f>'OPEX - Concept A1'!S88</f>
        <v>574.34283382464002</v>
      </c>
      <c r="M127" s="515">
        <f>'OPEX - Concept A1'!T88</f>
        <v>585.82969050113286</v>
      </c>
      <c r="N127" s="515">
        <f>'OPEX - Concept A1'!U88</f>
        <v>597.54628431115555</v>
      </c>
      <c r="O127" s="515">
        <f>'OPEX - Concept A1'!V88</f>
        <v>5000</v>
      </c>
      <c r="P127" s="515">
        <f>'OPEX - Concept A1'!W88</f>
        <v>621.68715419732621</v>
      </c>
      <c r="Q127" s="515">
        <f>'OPEX - Concept A1'!X88</f>
        <v>634.12089728127273</v>
      </c>
      <c r="R127" s="515">
        <f>'OPEX - Concept A1'!Y88</f>
        <v>646.80331522689812</v>
      </c>
      <c r="S127" s="515">
        <f>'OPEX - Concept A1'!Z88</f>
        <v>659.73938153143615</v>
      </c>
      <c r="T127" s="515">
        <f>'OPEX - Concept A1'!AA88</f>
        <v>5000</v>
      </c>
      <c r="U127" s="515">
        <f>'OPEX - Concept A1'!AB88</f>
        <v>686.39285254530625</v>
      </c>
      <c r="V127" s="515">
        <f>'OPEX - Concept A1'!AC88</f>
        <v>700.12070959621246</v>
      </c>
      <c r="W127" s="515">
        <f>'OPEX - Concept A1'!AD88</f>
        <v>714.1231237881367</v>
      </c>
      <c r="X127" s="515">
        <f>'OPEX - Concept A1'!AE88</f>
        <v>728.40558626389941</v>
      </c>
    </row>
    <row r="128" spans="1:25" s="96" customFormat="1">
      <c r="A128" s="69" t="s">
        <v>42</v>
      </c>
      <c r="B128" s="69"/>
      <c r="C128" s="69"/>
      <c r="D128" s="514">
        <v>0</v>
      </c>
      <c r="E128" s="515">
        <f>'OPEX - Concept A1'!L89</f>
        <v>50000</v>
      </c>
      <c r="F128" s="515">
        <f>'OPEX - Concept A1'!M89</f>
        <v>51000</v>
      </c>
      <c r="G128" s="515">
        <f>'OPEX - Concept A1'!N89</f>
        <v>52020</v>
      </c>
      <c r="H128" s="515">
        <f>'OPEX - Concept A1'!O89</f>
        <v>53060.399999999994</v>
      </c>
      <c r="I128" s="515">
        <f>'OPEX - Concept A1'!P89</f>
        <v>54121.608</v>
      </c>
      <c r="J128" s="515">
        <f>'OPEX - Concept A1'!Q89</f>
        <v>55204.040160000004</v>
      </c>
      <c r="K128" s="515">
        <f>'OPEX - Concept A1'!R89</f>
        <v>56308.120963200003</v>
      </c>
      <c r="L128" s="515">
        <f>'OPEX - Concept A1'!S89</f>
        <v>57434.283382464004</v>
      </c>
      <c r="M128" s="515">
        <f>'OPEX - Concept A1'!T89</f>
        <v>58582.969050113286</v>
      </c>
      <c r="N128" s="515">
        <f>'OPEX - Concept A1'!U89</f>
        <v>59754.628431115554</v>
      </c>
      <c r="O128" s="515">
        <f>'OPEX - Concept A1'!V89</f>
        <v>60949.720999737867</v>
      </c>
      <c r="P128" s="515">
        <f>'OPEX - Concept A1'!W89</f>
        <v>62168.715419732624</v>
      </c>
      <c r="Q128" s="515">
        <f>'OPEX - Concept A1'!X89</f>
        <v>63412.089728127277</v>
      </c>
      <c r="R128" s="515">
        <f>'OPEX - Concept A1'!Y89</f>
        <v>64680.331522689812</v>
      </c>
      <c r="S128" s="515">
        <f>'OPEX - Concept A1'!Z89</f>
        <v>65973.938153143623</v>
      </c>
      <c r="T128" s="515">
        <f>'OPEX - Concept A1'!AA89</f>
        <v>67293.416916206494</v>
      </c>
      <c r="U128" s="515">
        <f>'OPEX - Concept A1'!AB89</f>
        <v>68639.285254530623</v>
      </c>
      <c r="V128" s="515">
        <f>'OPEX - Concept A1'!AC89</f>
        <v>70012.07095962124</v>
      </c>
      <c r="W128" s="515">
        <f>'OPEX - Concept A1'!AD89</f>
        <v>71412.312378813673</v>
      </c>
      <c r="X128" s="515">
        <f>'OPEX - Concept A1'!AE89</f>
        <v>72840.558626389946</v>
      </c>
    </row>
    <row r="129" spans="1:24" s="96" customFormat="1">
      <c r="A129" s="69" t="s">
        <v>43</v>
      </c>
      <c r="B129" s="69"/>
      <c r="C129" s="69"/>
      <c r="D129" s="514">
        <v>0</v>
      </c>
      <c r="E129" s="515">
        <f>'OPEX - Concept A1'!L90</f>
        <v>500</v>
      </c>
      <c r="F129" s="515">
        <f>'OPEX - Concept A1'!M90</f>
        <v>1530</v>
      </c>
      <c r="G129" s="515">
        <f>'OPEX - Concept A1'!N90</f>
        <v>1560.6</v>
      </c>
      <c r="H129" s="515">
        <f>'OPEX - Concept A1'!O90</f>
        <v>1591.8119999999999</v>
      </c>
      <c r="I129" s="515">
        <f>'OPEX - Concept A1'!P90</f>
        <v>1623.64824</v>
      </c>
      <c r="J129" s="515">
        <f>'OPEX - Concept A1'!Q90</f>
        <v>1656.1212048</v>
      </c>
      <c r="K129" s="515">
        <f>'OPEX - Concept A1'!R90</f>
        <v>1689.243628896</v>
      </c>
      <c r="L129" s="515">
        <f>'OPEX - Concept A1'!S90</f>
        <v>1723.02850147392</v>
      </c>
      <c r="M129" s="515">
        <f>'OPEX - Concept A1'!T90</f>
        <v>1757.4890715033987</v>
      </c>
      <c r="N129" s="515">
        <f>'OPEX - Concept A1'!U90</f>
        <v>1792.6388529334665</v>
      </c>
      <c r="O129" s="515">
        <f>'OPEX - Concept A1'!V90</f>
        <v>1828.491629992136</v>
      </c>
      <c r="P129" s="515">
        <f>'OPEX - Concept A1'!W90</f>
        <v>1865.0614625919786</v>
      </c>
      <c r="Q129" s="515">
        <f>'OPEX - Concept A1'!X90</f>
        <v>1902.3626918438183</v>
      </c>
      <c r="R129" s="515">
        <f>'OPEX - Concept A1'!Y90</f>
        <v>1940.4099456806944</v>
      </c>
      <c r="S129" s="515">
        <f>'OPEX - Concept A1'!Z90</f>
        <v>1979.2181445943086</v>
      </c>
      <c r="T129" s="515">
        <f>'OPEX - Concept A1'!AA90</f>
        <v>2018.8025074861948</v>
      </c>
      <c r="U129" s="515">
        <f>'OPEX - Concept A1'!AB90</f>
        <v>2059.1785576359189</v>
      </c>
      <c r="V129" s="515">
        <f>'OPEX - Concept A1'!AC90</f>
        <v>2100.3621287886372</v>
      </c>
      <c r="W129" s="515">
        <f>'OPEX - Concept A1'!AD90</f>
        <v>2142.3693713644102</v>
      </c>
      <c r="X129" s="515">
        <f>'OPEX - Concept A1'!AE90</f>
        <v>2185.2167587916983</v>
      </c>
    </row>
    <row r="130" spans="1:24" s="96" customFormat="1">
      <c r="A130" s="69" t="s">
        <v>44</v>
      </c>
      <c r="B130" s="69"/>
      <c r="C130" s="69"/>
      <c r="D130" s="514">
        <v>0</v>
      </c>
      <c r="E130" s="515">
        <f>'OPEX - Concept A1'!L91</f>
        <v>250</v>
      </c>
      <c r="F130" s="515">
        <f>'OPEX - Concept A1'!M91</f>
        <v>765</v>
      </c>
      <c r="G130" s="515">
        <f>'OPEX - Concept A1'!N91</f>
        <v>780.3</v>
      </c>
      <c r="H130" s="515">
        <f>'OPEX - Concept A1'!O91</f>
        <v>795.90599999999995</v>
      </c>
      <c r="I130" s="515">
        <f>'OPEX - Concept A1'!P91</f>
        <v>811.82411999999999</v>
      </c>
      <c r="J130" s="515">
        <f>'OPEX - Concept A1'!Q91</f>
        <v>828.06060239999999</v>
      </c>
      <c r="K130" s="515">
        <f>'OPEX - Concept A1'!R91</f>
        <v>844.62181444800001</v>
      </c>
      <c r="L130" s="515">
        <f>'OPEX - Concept A1'!S91</f>
        <v>861.51425073695998</v>
      </c>
      <c r="M130" s="515">
        <f>'OPEX - Concept A1'!T91</f>
        <v>878.74453575169935</v>
      </c>
      <c r="N130" s="515">
        <f>'OPEX - Concept A1'!U91</f>
        <v>896.31942646673326</v>
      </c>
      <c r="O130" s="515">
        <f>'OPEX - Concept A1'!V91</f>
        <v>914.24581499606802</v>
      </c>
      <c r="P130" s="515">
        <f>'OPEX - Concept A1'!W91</f>
        <v>932.53073129598931</v>
      </c>
      <c r="Q130" s="515">
        <f>'OPEX - Concept A1'!X91</f>
        <v>951.18134592190916</v>
      </c>
      <c r="R130" s="515">
        <f>'OPEX - Concept A1'!Y91</f>
        <v>970.20497284034718</v>
      </c>
      <c r="S130" s="515">
        <f>'OPEX - Concept A1'!Z91</f>
        <v>989.60907229715428</v>
      </c>
      <c r="T130" s="515">
        <f>'OPEX - Concept A1'!AA91</f>
        <v>1009.4012537430974</v>
      </c>
      <c r="U130" s="515">
        <f>'OPEX - Concept A1'!AB91</f>
        <v>1029.5892788179594</v>
      </c>
      <c r="V130" s="515">
        <f>'OPEX - Concept A1'!AC91</f>
        <v>1050.1810643943186</v>
      </c>
      <c r="W130" s="515">
        <f>'OPEX - Concept A1'!AD91</f>
        <v>1071.1846856822051</v>
      </c>
      <c r="X130" s="515">
        <f>'OPEX - Concept A1'!AE91</f>
        <v>1092.6083793958492</v>
      </c>
    </row>
    <row r="131" spans="1:24" s="96" customFormat="1">
      <c r="A131" s="69" t="s">
        <v>2</v>
      </c>
      <c r="B131" s="69"/>
      <c r="C131" s="69"/>
      <c r="D131" s="514">
        <v>0</v>
      </c>
      <c r="E131" s="515">
        <f>'OPEX - Concept A1'!L92</f>
        <v>1000</v>
      </c>
      <c r="F131" s="515">
        <f>'OPEX - Concept A1'!M92</f>
        <v>1020</v>
      </c>
      <c r="G131" s="515">
        <f>'OPEX - Concept A1'!N92</f>
        <v>1040.4000000000001</v>
      </c>
      <c r="H131" s="515">
        <f>'OPEX - Concept A1'!O92</f>
        <v>1061.2079999999999</v>
      </c>
      <c r="I131" s="515">
        <f>'OPEX - Concept A1'!P92</f>
        <v>1082.4321600000001</v>
      </c>
      <c r="J131" s="515">
        <f>'OPEX - Concept A1'!Q92</f>
        <v>1104.0808032</v>
      </c>
      <c r="K131" s="515">
        <f>'OPEX - Concept A1'!R92</f>
        <v>1126.1624192640002</v>
      </c>
      <c r="L131" s="515">
        <f>'OPEX - Concept A1'!S92</f>
        <v>1148.68566764928</v>
      </c>
      <c r="M131" s="515">
        <f>'OPEX - Concept A1'!T92</f>
        <v>1171.6593810022657</v>
      </c>
      <c r="N131" s="515">
        <f>'OPEX - Concept A1'!U92</f>
        <v>1195.0925686223111</v>
      </c>
      <c r="O131" s="515">
        <f>'OPEX - Concept A1'!V92</f>
        <v>1218.9944199947574</v>
      </c>
      <c r="P131" s="515">
        <f>'OPEX - Concept A1'!W92</f>
        <v>1243.3743083946524</v>
      </c>
      <c r="Q131" s="515">
        <f>'OPEX - Concept A1'!X92</f>
        <v>1268.2417945625455</v>
      </c>
      <c r="R131" s="515">
        <f>'OPEX - Concept A1'!Y92</f>
        <v>1293.6066304537962</v>
      </c>
      <c r="S131" s="515">
        <f>'OPEX - Concept A1'!Z92</f>
        <v>1319.4787630628723</v>
      </c>
      <c r="T131" s="515">
        <f>'OPEX - Concept A1'!AA92</f>
        <v>1345.8683383241298</v>
      </c>
      <c r="U131" s="515">
        <f>'OPEX - Concept A1'!AB92</f>
        <v>1372.7857050906125</v>
      </c>
      <c r="V131" s="515">
        <f>'OPEX - Concept A1'!AC92</f>
        <v>1400.2414191924249</v>
      </c>
      <c r="W131" s="515">
        <f>'OPEX - Concept A1'!AD92</f>
        <v>1428.2462475762734</v>
      </c>
      <c r="X131" s="515">
        <f>'OPEX - Concept A1'!AE92</f>
        <v>1456.8111725277988</v>
      </c>
    </row>
    <row r="132" spans="1:24" s="167" customFormat="1">
      <c r="A132" s="591"/>
      <c r="B132" s="591"/>
      <c r="C132" s="591"/>
      <c r="D132" s="592"/>
      <c r="E132" s="593"/>
      <c r="F132" s="593"/>
      <c r="G132" s="593"/>
      <c r="H132" s="593"/>
      <c r="I132" s="593"/>
      <c r="J132" s="593"/>
      <c r="K132" s="593"/>
      <c r="L132" s="593"/>
      <c r="M132" s="593"/>
      <c r="N132" s="593"/>
      <c r="O132" s="593"/>
      <c r="P132" s="593"/>
      <c r="Q132" s="593"/>
      <c r="R132" s="593"/>
      <c r="S132" s="593"/>
      <c r="T132" s="593"/>
      <c r="U132" s="593"/>
      <c r="V132" s="593"/>
      <c r="W132" s="593"/>
      <c r="X132" s="593"/>
    </row>
    <row r="133" spans="1:24" s="96" customFormat="1">
      <c r="A133" s="69" t="s">
        <v>25</v>
      </c>
      <c r="B133" s="69"/>
      <c r="C133" s="69"/>
      <c r="D133" s="514">
        <v>0</v>
      </c>
      <c r="E133" s="515">
        <f>'OPEX - Concept A1'!L108</f>
        <v>23741.666666666664</v>
      </c>
      <c r="F133" s="515">
        <f>'OPEX - Concept A1'!M108</f>
        <v>24216.499999999996</v>
      </c>
      <c r="G133" s="515">
        <f>'OPEX - Concept A1'!N108</f>
        <v>24700.829999999998</v>
      </c>
      <c r="H133" s="515">
        <f>'OPEX - Concept A1'!O108</f>
        <v>25194.846599999997</v>
      </c>
      <c r="I133" s="515">
        <f>'OPEX - Concept A1'!P108</f>
        <v>25698.743531999997</v>
      </c>
      <c r="J133" s="515">
        <f>'OPEX - Concept A1'!Q108</f>
        <v>26212.718402639999</v>
      </c>
      <c r="K133" s="515">
        <f>'OPEX - Concept A1'!R108</f>
        <v>26736.972770692799</v>
      </c>
      <c r="L133" s="515">
        <f>'OPEX - Concept A1'!S108</f>
        <v>27271.712226106654</v>
      </c>
      <c r="M133" s="515">
        <f>'OPEX - Concept A1'!T108</f>
        <v>27817.146470628788</v>
      </c>
      <c r="N133" s="515">
        <f>'OPEX - Concept A1'!U108</f>
        <v>28373.489400041366</v>
      </c>
      <c r="O133" s="515">
        <f>'OPEX - Concept A1'!V108</f>
        <v>28940.959188042194</v>
      </c>
      <c r="P133" s="515">
        <f>'OPEX - Concept A1'!W108</f>
        <v>29519.778371803037</v>
      </c>
      <c r="Q133" s="515">
        <f>'OPEX - Concept A1'!X108</f>
        <v>30110.173939239099</v>
      </c>
      <c r="R133" s="515">
        <f>'OPEX - Concept A1'!Y108</f>
        <v>30712.377418023876</v>
      </c>
      <c r="S133" s="515">
        <f>'OPEX - Concept A1'!Z108</f>
        <v>31326.624966384359</v>
      </c>
      <c r="T133" s="515">
        <f>'OPEX - Concept A1'!AA108</f>
        <v>31953.157465712047</v>
      </c>
      <c r="U133" s="515">
        <f>'OPEX - Concept A1'!AB108</f>
        <v>32592.220615026286</v>
      </c>
      <c r="V133" s="515">
        <f>'OPEX - Concept A1'!AC108</f>
        <v>33244.065027326818</v>
      </c>
      <c r="W133" s="515">
        <f>'OPEX - Concept A1'!AD108</f>
        <v>33908.946327873353</v>
      </c>
      <c r="X133" s="515">
        <f>'OPEX - Concept A1'!AE108</f>
        <v>34587.125254430823</v>
      </c>
    </row>
    <row r="134" spans="1:24" s="96" customFormat="1">
      <c r="A134" s="782" t="s">
        <v>426</v>
      </c>
      <c r="B134" s="69"/>
      <c r="C134" s="69"/>
      <c r="D134" s="514">
        <v>0</v>
      </c>
      <c r="E134" s="515">
        <f>'OPEX - Concept A1'!L96</f>
        <v>1000</v>
      </c>
      <c r="F134" s="515">
        <f>'OPEX - Concept A1'!M96</f>
        <v>1020</v>
      </c>
      <c r="G134" s="515">
        <f>'OPEX - Concept A1'!N96</f>
        <v>1040.4000000000001</v>
      </c>
      <c r="H134" s="515">
        <f>'OPEX - Concept A1'!O96</f>
        <v>1061.2079999999999</v>
      </c>
      <c r="I134" s="515">
        <f>'OPEX - Concept A1'!P96</f>
        <v>1082.4321600000001</v>
      </c>
      <c r="J134" s="515">
        <f>'OPEX - Concept A1'!Q96</f>
        <v>25000</v>
      </c>
      <c r="K134" s="515">
        <f>'OPEX - Concept A1'!R96</f>
        <v>25500</v>
      </c>
      <c r="L134" s="515">
        <f>'OPEX - Concept A1'!S96</f>
        <v>26010</v>
      </c>
      <c r="M134" s="515">
        <f>'OPEX - Concept A1'!T96</f>
        <v>26530.199999999997</v>
      </c>
      <c r="N134" s="515">
        <f>'OPEX - Concept A1'!U96</f>
        <v>27060.804</v>
      </c>
      <c r="O134" s="515">
        <f>'OPEX - Concept A1'!V96</f>
        <v>27602.020080000002</v>
      </c>
      <c r="P134" s="515">
        <f>'OPEX - Concept A1'!W96</f>
        <v>28154.060481600001</v>
      </c>
      <c r="Q134" s="515">
        <f>'OPEX - Concept A1'!X96</f>
        <v>28717.141691232002</v>
      </c>
      <c r="R134" s="515">
        <f>'OPEX - Concept A1'!Y96</f>
        <v>29291.484525056643</v>
      </c>
      <c r="S134" s="515">
        <f>'OPEX - Concept A1'!Z96</f>
        <v>29877.314215557777</v>
      </c>
      <c r="T134" s="515">
        <f>'OPEX - Concept A1'!AA96</f>
        <v>30474.860499868933</v>
      </c>
      <c r="U134" s="515">
        <f>'OPEX - Concept A1'!AB96</f>
        <v>31084.357709866312</v>
      </c>
      <c r="V134" s="515">
        <f>'OPEX - Concept A1'!AC96</f>
        <v>31706.044864063639</v>
      </c>
      <c r="W134" s="515">
        <f>'OPEX - Concept A1'!AD96</f>
        <v>32340.165761344906</v>
      </c>
      <c r="X134" s="515">
        <f>'OPEX - Concept A1'!AE96</f>
        <v>32986.969076571811</v>
      </c>
    </row>
    <row r="135" spans="1:24" s="96" customFormat="1">
      <c r="A135" s="644" t="s">
        <v>302</v>
      </c>
      <c r="B135" s="69"/>
      <c r="C135" s="69"/>
      <c r="D135" s="514">
        <v>0</v>
      </c>
      <c r="E135" s="515">
        <f>'OPEX - Concept A1'!L97</f>
        <v>233675</v>
      </c>
      <c r="F135" s="515">
        <f>'OPEX - Concept A1'!M97</f>
        <v>476697</v>
      </c>
      <c r="G135" s="515">
        <f>'OPEX - Concept A1'!N97</f>
        <v>486230.94000000006</v>
      </c>
      <c r="H135" s="515">
        <f>'OPEX - Concept A1'!O97</f>
        <v>495955.55879999994</v>
      </c>
      <c r="I135" s="515">
        <f>'OPEX - Concept A1'!P97</f>
        <v>505874.66997599998</v>
      </c>
      <c r="J135" s="515">
        <f>'OPEX - Concept A1'!Q97</f>
        <v>515992.16337552003</v>
      </c>
      <c r="K135" s="515">
        <f>'OPEX - Concept A1'!R97</f>
        <v>526312.00664303044</v>
      </c>
      <c r="L135" s="515">
        <f>'OPEX - Concept A1'!S97</f>
        <v>536838.24677589093</v>
      </c>
      <c r="M135" s="515">
        <f>'OPEX - Concept A1'!T97</f>
        <v>547575.01171140897</v>
      </c>
      <c r="N135" s="515">
        <f>'OPEX - Concept A1'!U97</f>
        <v>558526.51194563706</v>
      </c>
      <c r="O135" s="515">
        <f>'OPEX - Concept A1'!V97</f>
        <v>569697.04218454985</v>
      </c>
      <c r="P135" s="515">
        <f>'OPEX - Concept A1'!W97</f>
        <v>581090.98302824085</v>
      </c>
      <c r="Q135" s="515">
        <f>'OPEX - Concept A1'!X97</f>
        <v>592712.80268880562</v>
      </c>
      <c r="R135" s="515">
        <f>'OPEX - Concept A1'!Y97</f>
        <v>604567.05874258175</v>
      </c>
      <c r="S135" s="515">
        <f>'OPEX - Concept A1'!Z97</f>
        <v>616658.39991743339</v>
      </c>
      <c r="T135" s="515">
        <f>'OPEX - Concept A1'!AA97</f>
        <v>628991.5679157821</v>
      </c>
      <c r="U135" s="515">
        <f>'OPEX - Concept A1'!AB97</f>
        <v>641571.39927409776</v>
      </c>
      <c r="V135" s="515">
        <f>'OPEX - Concept A1'!AC97</f>
        <v>654402.82725957979</v>
      </c>
      <c r="W135" s="515">
        <f>'OPEX - Concept A1'!AD97</f>
        <v>667490.88380477135</v>
      </c>
      <c r="X135" s="515">
        <f>'OPEX - Concept A1'!AE97</f>
        <v>680840.70148086676</v>
      </c>
    </row>
    <row r="136" spans="1:24" s="16" customFormat="1" ht="14.25">
      <c r="A136" s="282" t="s">
        <v>132</v>
      </c>
      <c r="B136" s="276"/>
      <c r="C136" s="276"/>
      <c r="D136" s="516">
        <f>SUM(D124:D135)</f>
        <v>0</v>
      </c>
      <c r="E136" s="517">
        <f t="shared" ref="E136:X136" si="15">SUM(E125:E135)</f>
        <v>357416.66666666663</v>
      </c>
      <c r="F136" s="517">
        <f t="shared" si="15"/>
        <v>732748.5</v>
      </c>
      <c r="G136" s="517">
        <f t="shared" si="15"/>
        <v>747413.67</v>
      </c>
      <c r="H136" s="517">
        <f t="shared" si="15"/>
        <v>762361.94339999987</v>
      </c>
      <c r="I136" s="517">
        <f t="shared" si="15"/>
        <v>777609.18226799998</v>
      </c>
      <c r="J136" s="517">
        <f t="shared" si="15"/>
        <v>821505.24470855994</v>
      </c>
      <c r="K136" s="517">
        <f t="shared" si="15"/>
        <v>833398.43081236328</v>
      </c>
      <c r="L136" s="517">
        <f t="shared" si="15"/>
        <v>850066.39942861046</v>
      </c>
      <c r="M136" s="517">
        <f t="shared" si="15"/>
        <v>867067.72741718288</v>
      </c>
      <c r="N136" s="517">
        <f t="shared" si="15"/>
        <v>884409.08196552633</v>
      </c>
      <c r="O136" s="517">
        <f t="shared" si="15"/>
        <v>906487.76639483962</v>
      </c>
      <c r="P136" s="517">
        <f t="shared" si="15"/>
        <v>920139.20887693379</v>
      </c>
      <c r="Q136" s="517">
        <f t="shared" si="15"/>
        <v>938541.99305447238</v>
      </c>
      <c r="R136" s="517">
        <f t="shared" si="15"/>
        <v>957312.83291556174</v>
      </c>
      <c r="S136" s="517">
        <f t="shared" si="15"/>
        <v>976459.08957387297</v>
      </c>
      <c r="T136" s="517">
        <f t="shared" si="15"/>
        <v>1000315.3371961885</v>
      </c>
      <c r="U136" s="517">
        <f t="shared" si="15"/>
        <v>1015908.0367926576</v>
      </c>
      <c r="V136" s="517">
        <f t="shared" si="15"/>
        <v>1036226.1975285108</v>
      </c>
      <c r="W136" s="517">
        <f t="shared" si="15"/>
        <v>1056950.7214790811</v>
      </c>
      <c r="X136" s="517">
        <f t="shared" si="15"/>
        <v>1078089.7359086627</v>
      </c>
    </row>
    <row r="137" spans="1:24">
      <c r="A137" s="92"/>
      <c r="B137" s="69"/>
      <c r="C137" s="69"/>
      <c r="D137" s="514"/>
      <c r="E137" s="515"/>
      <c r="F137" s="515"/>
      <c r="G137" s="515"/>
      <c r="H137" s="515"/>
      <c r="I137" s="515"/>
      <c r="J137" s="515"/>
      <c r="K137" s="515"/>
      <c r="L137" s="515"/>
      <c r="M137" s="515"/>
      <c r="N137" s="515"/>
      <c r="O137" s="515"/>
      <c r="P137" s="515"/>
      <c r="Q137" s="515"/>
      <c r="R137" s="515"/>
      <c r="S137" s="515"/>
      <c r="T137" s="515"/>
      <c r="U137" s="515"/>
      <c r="V137" s="515"/>
      <c r="W137" s="515"/>
      <c r="X137" s="515"/>
    </row>
    <row r="138" spans="1:24">
      <c r="A138" s="269" t="s">
        <v>85</v>
      </c>
      <c r="B138" s="269"/>
      <c r="C138" s="270"/>
      <c r="D138" s="513"/>
      <c r="E138" s="513"/>
      <c r="F138" s="513"/>
      <c r="G138" s="513"/>
      <c r="H138" s="513"/>
      <c r="I138" s="513"/>
      <c r="J138" s="513"/>
      <c r="K138" s="513"/>
      <c r="L138" s="513"/>
      <c r="M138" s="513"/>
      <c r="N138" s="513"/>
      <c r="O138" s="513"/>
      <c r="P138" s="513"/>
      <c r="Q138" s="513"/>
      <c r="R138" s="513"/>
      <c r="S138" s="513"/>
      <c r="T138" s="513"/>
      <c r="U138" s="513"/>
      <c r="V138" s="513"/>
      <c r="W138" s="513"/>
      <c r="X138" s="513"/>
    </row>
    <row r="139" spans="1:24" s="368" customFormat="1">
      <c r="A139" s="263"/>
      <c r="B139" s="263"/>
      <c r="C139" s="367"/>
      <c r="D139" s="514"/>
      <c r="E139" s="515"/>
      <c r="F139" s="515"/>
      <c r="G139" s="515"/>
      <c r="H139" s="515"/>
      <c r="I139" s="515"/>
      <c r="J139" s="515"/>
      <c r="K139" s="515"/>
      <c r="L139" s="515"/>
      <c r="M139" s="515"/>
      <c r="N139" s="515"/>
      <c r="O139" s="515"/>
      <c r="P139" s="515"/>
      <c r="Q139" s="515"/>
      <c r="R139" s="515"/>
      <c r="S139" s="515"/>
      <c r="T139" s="515"/>
      <c r="U139" s="515"/>
      <c r="V139" s="515"/>
      <c r="W139" s="515"/>
      <c r="X139" s="515"/>
    </row>
    <row r="140" spans="1:24" s="58" customFormat="1">
      <c r="A140" s="69" t="s">
        <v>0</v>
      </c>
      <c r="B140" s="263"/>
      <c r="C140" s="783"/>
      <c r="D140" s="514">
        <v>0</v>
      </c>
      <c r="E140" s="515">
        <f>'OPEX - Concept A1'!L131</f>
        <v>0</v>
      </c>
      <c r="F140" s="515">
        <f>'OPEX - Concept A1'!M131</f>
        <v>54570</v>
      </c>
      <c r="G140" s="515">
        <f>'OPEX - Concept A1'!N131</f>
        <v>56774.628000000004</v>
      </c>
      <c r="H140" s="515">
        <f>'OPEX - Concept A1'!O131</f>
        <v>57910.120559999996</v>
      </c>
      <c r="I140" s="515">
        <f>'OPEX - Concept A1'!P131</f>
        <v>59068.322971199988</v>
      </c>
      <c r="J140" s="515">
        <f>'OPEX - Concept A1'!Q131</f>
        <v>60249.689430623999</v>
      </c>
      <c r="K140" s="515">
        <f>'OPEX - Concept A1'!R131</f>
        <v>61454.683219236475</v>
      </c>
      <c r="L140" s="515">
        <f>'OPEX - Concept A1'!S131</f>
        <v>62683.776883621205</v>
      </c>
      <c r="M140" s="515">
        <f>'OPEX - Concept A1'!T131</f>
        <v>63937.452421293638</v>
      </c>
      <c r="N140" s="515">
        <f>'OPEX - Concept A1'!U131</f>
        <v>65216.201469719512</v>
      </c>
      <c r="O140" s="515">
        <f>'OPEX - Concept A1'!V131</f>
        <v>66520.525499113894</v>
      </c>
      <c r="P140" s="515">
        <f>'OPEX - Concept A1'!W131</f>
        <v>67850.936009096185</v>
      </c>
      <c r="Q140" s="515">
        <f>'OPEX - Concept A1'!X131</f>
        <v>69207.954729278121</v>
      </c>
      <c r="R140" s="515">
        <f>'OPEX - Concept A1'!Y131</f>
        <v>70592.113823863678</v>
      </c>
      <c r="S140" s="515">
        <f>'OPEX - Concept A1'!Z131</f>
        <v>72003.956100340947</v>
      </c>
      <c r="T140" s="515">
        <f>'OPEX - Concept A1'!AA131</f>
        <v>73444.035222347768</v>
      </c>
      <c r="U140" s="515">
        <f>'OPEX - Concept A1'!AB131</f>
        <v>74912.915926794725</v>
      </c>
      <c r="V140" s="515">
        <f>'OPEX - Concept A1'!AC131</f>
        <v>76411.174245330621</v>
      </c>
      <c r="W140" s="515">
        <f>'OPEX - Concept A1'!AD131</f>
        <v>77939.397730237237</v>
      </c>
      <c r="X140" s="515">
        <f>'OPEX - Concept A1'!AE131</f>
        <v>79498.18568484197</v>
      </c>
    </row>
    <row r="141" spans="1:24" s="58" customFormat="1">
      <c r="A141" s="69" t="s">
        <v>4</v>
      </c>
      <c r="B141" s="263"/>
      <c r="C141" s="783"/>
      <c r="D141" s="514">
        <v>0</v>
      </c>
      <c r="E141" s="515">
        <f>'OPEX - Concept A1'!L154</f>
        <v>0</v>
      </c>
      <c r="F141" s="515">
        <f>'OPEX - Concept A1'!M154</f>
        <v>85335.846153846156</v>
      </c>
      <c r="G141" s="515">
        <f>'OPEX - Concept A1'!N154</f>
        <v>87042.563076923077</v>
      </c>
      <c r="H141" s="515">
        <f>'OPEX - Concept A1'!O154</f>
        <v>88783.41433846156</v>
      </c>
      <c r="I141" s="515">
        <f>'OPEX - Concept A1'!P154</f>
        <v>90559.082625230774</v>
      </c>
      <c r="J141" s="515">
        <f>'OPEX - Concept A1'!Q154</f>
        <v>92370.264277735376</v>
      </c>
      <c r="K141" s="515">
        <f>'OPEX - Concept A1'!R154</f>
        <v>94217.669563290081</v>
      </c>
      <c r="L141" s="515">
        <f>'OPEX - Concept A1'!S154</f>
        <v>96102.022954555898</v>
      </c>
      <c r="M141" s="515">
        <f>'OPEX - Concept A1'!T154</f>
        <v>98024.063413647003</v>
      </c>
      <c r="N141" s="515">
        <f>'OPEX - Concept A1'!U154</f>
        <v>99984.544681919942</v>
      </c>
      <c r="O141" s="515">
        <f>'OPEX - Concept A1'!V154</f>
        <v>101984.23557555837</v>
      </c>
      <c r="P141" s="515">
        <f>'OPEX - Concept A1'!W154</f>
        <v>104023.92028706953</v>
      </c>
      <c r="Q141" s="515">
        <f>'OPEX - Concept A1'!X154</f>
        <v>106104.39869281092</v>
      </c>
      <c r="R141" s="515">
        <f>'OPEX - Concept A1'!Y154</f>
        <v>108226.48666666714</v>
      </c>
      <c r="S141" s="515">
        <f>'OPEX - Concept A1'!Z154</f>
        <v>110391.01640000047</v>
      </c>
      <c r="T141" s="515">
        <f>'OPEX - Concept A1'!AA154</f>
        <v>112598.8367280005</v>
      </c>
      <c r="U141" s="515">
        <f>'OPEX - Concept A1'!AB154</f>
        <v>114850.8134625605</v>
      </c>
      <c r="V141" s="515">
        <f>'OPEX - Concept A1'!AC154</f>
        <v>117147.82973181173</v>
      </c>
      <c r="W141" s="515">
        <f>'OPEX - Concept A1'!AD154</f>
        <v>119490.78632644797</v>
      </c>
      <c r="X141" s="515">
        <f>'OPEX - Concept A1'!AE154</f>
        <v>121880.60205297693</v>
      </c>
    </row>
    <row r="142" spans="1:24" s="16" customFormat="1" ht="14.25">
      <c r="A142" s="282" t="s">
        <v>133</v>
      </c>
      <c r="B142" s="276"/>
      <c r="C142" s="276"/>
      <c r="D142" s="516">
        <f>SUM(D140:D141)</f>
        <v>0</v>
      </c>
      <c r="E142" s="517">
        <f>SUM(E140:E141)</f>
        <v>0</v>
      </c>
      <c r="F142" s="517">
        <f t="shared" ref="F142:X142" si="16">SUM(F140:F141)</f>
        <v>139905.84615384616</v>
      </c>
      <c r="G142" s="517">
        <f t="shared" si="16"/>
        <v>143817.19107692307</v>
      </c>
      <c r="H142" s="517">
        <f t="shared" si="16"/>
        <v>146693.53489846154</v>
      </c>
      <c r="I142" s="517">
        <f t="shared" si="16"/>
        <v>149627.40559643076</v>
      </c>
      <c r="J142" s="517">
        <f t="shared" si="16"/>
        <v>152619.95370835939</v>
      </c>
      <c r="K142" s="517">
        <f t="shared" si="16"/>
        <v>155672.35278252655</v>
      </c>
      <c r="L142" s="517">
        <f t="shared" si="16"/>
        <v>158785.7998381771</v>
      </c>
      <c r="M142" s="517">
        <f t="shared" si="16"/>
        <v>161961.51583494066</v>
      </c>
      <c r="N142" s="517">
        <f t="shared" si="16"/>
        <v>165200.74615163944</v>
      </c>
      <c r="O142" s="517">
        <f t="shared" si="16"/>
        <v>168504.76107467228</v>
      </c>
      <c r="P142" s="517">
        <f t="shared" si="16"/>
        <v>171874.85629616573</v>
      </c>
      <c r="Q142" s="517">
        <f t="shared" si="16"/>
        <v>175312.35342208904</v>
      </c>
      <c r="R142" s="517">
        <f t="shared" si="16"/>
        <v>178818.60049053084</v>
      </c>
      <c r="S142" s="517">
        <f t="shared" si="16"/>
        <v>182394.97250034142</v>
      </c>
      <c r="T142" s="517">
        <f t="shared" si="16"/>
        <v>186042.87195034826</v>
      </c>
      <c r="U142" s="517">
        <f t="shared" si="16"/>
        <v>189763.72938935523</v>
      </c>
      <c r="V142" s="517">
        <f t="shared" si="16"/>
        <v>193559.00397714233</v>
      </c>
      <c r="W142" s="517">
        <f t="shared" si="16"/>
        <v>197430.18405668519</v>
      </c>
      <c r="X142" s="517">
        <f t="shared" si="16"/>
        <v>201378.7877378189</v>
      </c>
    </row>
    <row r="143" spans="1:24">
      <c r="A143" s="92"/>
      <c r="B143" s="92"/>
      <c r="C143" s="69"/>
      <c r="D143" s="514"/>
      <c r="E143" s="515"/>
      <c r="F143" s="515"/>
      <c r="G143" s="515"/>
      <c r="H143" s="515"/>
      <c r="I143" s="515"/>
      <c r="J143" s="515"/>
      <c r="K143" s="515"/>
      <c r="L143" s="515"/>
      <c r="M143" s="515"/>
      <c r="N143" s="515"/>
      <c r="O143" s="515"/>
      <c r="P143" s="515"/>
      <c r="Q143" s="515"/>
      <c r="R143" s="515"/>
      <c r="S143" s="515"/>
      <c r="T143" s="515"/>
      <c r="U143" s="515"/>
      <c r="V143" s="515"/>
      <c r="W143" s="515"/>
      <c r="X143" s="515"/>
    </row>
    <row r="144" spans="1:24" s="16" customFormat="1" ht="14.25">
      <c r="A144" s="350" t="s">
        <v>118</v>
      </c>
      <c r="B144" s="350"/>
      <c r="C144" s="351"/>
      <c r="D144" s="519">
        <f t="shared" ref="D144" si="17">SUM(D136,D142)</f>
        <v>0</v>
      </c>
      <c r="E144" s="519">
        <f>SUM(E136,E142)</f>
        <v>357416.66666666663</v>
      </c>
      <c r="F144" s="519">
        <f t="shared" ref="F144:X144" si="18">SUM(F136,F142)</f>
        <v>872654.34615384613</v>
      </c>
      <c r="G144" s="519">
        <f t="shared" si="18"/>
        <v>891230.86107692309</v>
      </c>
      <c r="H144" s="519">
        <f t="shared" si="18"/>
        <v>909055.47829846141</v>
      </c>
      <c r="I144" s="519">
        <f t="shared" si="18"/>
        <v>927236.58786443074</v>
      </c>
      <c r="J144" s="519">
        <f t="shared" si="18"/>
        <v>974125.19841691933</v>
      </c>
      <c r="K144" s="519">
        <f t="shared" si="18"/>
        <v>989070.7835948898</v>
      </c>
      <c r="L144" s="519">
        <f t="shared" si="18"/>
        <v>1008852.1992667876</v>
      </c>
      <c r="M144" s="519">
        <f t="shared" si="18"/>
        <v>1029029.2432521235</v>
      </c>
      <c r="N144" s="519">
        <f t="shared" si="18"/>
        <v>1049609.8281171657</v>
      </c>
      <c r="O144" s="519">
        <f t="shared" si="18"/>
        <v>1074992.5274695118</v>
      </c>
      <c r="P144" s="519">
        <f t="shared" si="18"/>
        <v>1092014.0651730995</v>
      </c>
      <c r="Q144" s="519">
        <f t="shared" si="18"/>
        <v>1113854.3464765614</v>
      </c>
      <c r="R144" s="519">
        <f t="shared" si="18"/>
        <v>1136131.4334060927</v>
      </c>
      <c r="S144" s="519">
        <f t="shared" si="18"/>
        <v>1158854.0620742145</v>
      </c>
      <c r="T144" s="519">
        <f t="shared" si="18"/>
        <v>1186358.2091465369</v>
      </c>
      <c r="U144" s="519">
        <f t="shared" si="18"/>
        <v>1205671.7661820129</v>
      </c>
      <c r="V144" s="519">
        <f t="shared" si="18"/>
        <v>1229785.2015056531</v>
      </c>
      <c r="W144" s="519">
        <f t="shared" si="18"/>
        <v>1254380.9055357664</v>
      </c>
      <c r="X144" s="519">
        <f t="shared" si="18"/>
        <v>1279468.5236464816</v>
      </c>
    </row>
    <row r="145" spans="1:24" s="222" customFormat="1" ht="14.25">
      <c r="A145" s="280"/>
      <c r="B145" s="280"/>
      <c r="C145" s="263"/>
      <c r="D145" s="518"/>
      <c r="E145" s="520"/>
      <c r="F145" s="520"/>
      <c r="G145" s="520"/>
      <c r="H145" s="520"/>
      <c r="I145" s="520"/>
      <c r="J145" s="520"/>
      <c r="K145" s="520"/>
      <c r="L145" s="520"/>
      <c r="M145" s="520"/>
      <c r="N145" s="520"/>
      <c r="O145" s="520"/>
      <c r="P145" s="520"/>
      <c r="Q145" s="520"/>
      <c r="R145" s="520"/>
      <c r="S145" s="520"/>
      <c r="T145" s="520"/>
      <c r="U145" s="520"/>
      <c r="V145" s="520"/>
      <c r="W145" s="520"/>
      <c r="X145" s="520"/>
    </row>
    <row r="146" spans="1:24" s="222" customFormat="1" ht="14.25">
      <c r="A146" s="271" t="s">
        <v>295</v>
      </c>
      <c r="B146" s="271"/>
      <c r="C146" s="269"/>
      <c r="D146" s="521"/>
      <c r="E146" s="521"/>
      <c r="F146" s="521"/>
      <c r="G146" s="521"/>
      <c r="H146" s="521"/>
      <c r="I146" s="521"/>
      <c r="J146" s="521"/>
      <c r="K146" s="521"/>
      <c r="L146" s="521"/>
      <c r="M146" s="521"/>
      <c r="N146" s="521"/>
      <c r="O146" s="521"/>
      <c r="P146" s="521"/>
      <c r="Q146" s="521"/>
      <c r="R146" s="521"/>
      <c r="S146" s="521"/>
      <c r="T146" s="521"/>
      <c r="U146" s="521"/>
      <c r="V146" s="521"/>
      <c r="W146" s="521"/>
      <c r="X146" s="521"/>
    </row>
    <row r="147" spans="1:24" s="222" customFormat="1" ht="14.25">
      <c r="A147" s="280"/>
      <c r="B147" s="280"/>
      <c r="C147" s="263"/>
      <c r="D147" s="518"/>
      <c r="E147" s="520"/>
      <c r="F147" s="520"/>
      <c r="G147" s="520"/>
      <c r="H147" s="520"/>
      <c r="I147" s="520"/>
      <c r="J147" s="520"/>
      <c r="K147" s="520"/>
      <c r="L147" s="520"/>
      <c r="M147" s="520"/>
      <c r="N147" s="520"/>
      <c r="O147" s="520"/>
      <c r="P147" s="520"/>
      <c r="Q147" s="520"/>
      <c r="R147" s="520"/>
      <c r="S147" s="520"/>
      <c r="T147" s="520"/>
      <c r="U147" s="520"/>
      <c r="V147" s="520"/>
      <c r="W147" s="520"/>
      <c r="X147" s="520"/>
    </row>
    <row r="148" spans="1:24" s="725" customFormat="1">
      <c r="A148" s="353" t="s">
        <v>228</v>
      </c>
      <c r="B148" s="691"/>
      <c r="C148" s="724"/>
      <c r="D148" s="699">
        <v>0</v>
      </c>
      <c r="E148" s="700">
        <v>0</v>
      </c>
      <c r="F148" s="700">
        <v>0</v>
      </c>
      <c r="G148" s="700">
        <v>0</v>
      </c>
      <c r="H148" s="700">
        <v>0</v>
      </c>
      <c r="I148" s="700">
        <v>0</v>
      </c>
      <c r="J148" s="700">
        <v>0</v>
      </c>
      <c r="K148" s="700">
        <v>0</v>
      </c>
      <c r="L148" s="700">
        <v>0</v>
      </c>
      <c r="M148" s="700">
        <v>0</v>
      </c>
      <c r="N148" s="700">
        <v>0</v>
      </c>
      <c r="O148" s="700">
        <v>0</v>
      </c>
      <c r="P148" s="700">
        <v>0</v>
      </c>
      <c r="Q148" s="700">
        <v>0</v>
      </c>
      <c r="R148" s="700">
        <v>0</v>
      </c>
      <c r="S148" s="700">
        <v>0</v>
      </c>
      <c r="T148" s="700">
        <v>0</v>
      </c>
      <c r="U148" s="700">
        <v>0</v>
      </c>
      <c r="V148" s="700">
        <v>0</v>
      </c>
      <c r="W148" s="700">
        <v>0</v>
      </c>
      <c r="X148" s="700">
        <v>0</v>
      </c>
    </row>
    <row r="149" spans="1:24" s="725" customFormat="1">
      <c r="A149" s="726" t="s">
        <v>228</v>
      </c>
      <c r="B149" s="727"/>
      <c r="C149" s="728"/>
      <c r="D149" s="729">
        <v>0</v>
      </c>
      <c r="E149" s="730">
        <v>0</v>
      </c>
      <c r="F149" s="730">
        <v>0</v>
      </c>
      <c r="G149" s="730">
        <v>0</v>
      </c>
      <c r="H149" s="730">
        <v>0</v>
      </c>
      <c r="I149" s="730">
        <v>0</v>
      </c>
      <c r="J149" s="730">
        <v>0</v>
      </c>
      <c r="K149" s="730">
        <v>0</v>
      </c>
      <c r="L149" s="730">
        <v>0</v>
      </c>
      <c r="M149" s="730">
        <v>0</v>
      </c>
      <c r="N149" s="730">
        <v>0</v>
      </c>
      <c r="O149" s="730">
        <v>0</v>
      </c>
      <c r="P149" s="730">
        <v>0</v>
      </c>
      <c r="Q149" s="730">
        <v>0</v>
      </c>
      <c r="R149" s="730">
        <v>0</v>
      </c>
      <c r="S149" s="730">
        <v>0</v>
      </c>
      <c r="T149" s="730">
        <v>0</v>
      </c>
      <c r="U149" s="730">
        <v>0</v>
      </c>
      <c r="V149" s="730">
        <v>0</v>
      </c>
      <c r="W149" s="730">
        <v>0</v>
      </c>
      <c r="X149" s="730">
        <v>0</v>
      </c>
    </row>
    <row r="150" spans="1:24" s="725" customFormat="1" ht="14.25">
      <c r="A150" s="691" t="s">
        <v>296</v>
      </c>
      <c r="B150" s="691"/>
      <c r="C150" s="724"/>
      <c r="D150" s="731">
        <f t="shared" ref="D150" si="19">SUM(D148:D149)</f>
        <v>0</v>
      </c>
      <c r="E150" s="732">
        <f>SUM(E148:E149)</f>
        <v>0</v>
      </c>
      <c r="F150" s="732">
        <f t="shared" ref="F150:X150" si="20">SUM(F148:F149)</f>
        <v>0</v>
      </c>
      <c r="G150" s="732">
        <f t="shared" si="20"/>
        <v>0</v>
      </c>
      <c r="H150" s="732">
        <f t="shared" si="20"/>
        <v>0</v>
      </c>
      <c r="I150" s="732">
        <f t="shared" si="20"/>
        <v>0</v>
      </c>
      <c r="J150" s="732">
        <f t="shared" si="20"/>
        <v>0</v>
      </c>
      <c r="K150" s="732">
        <f t="shared" si="20"/>
        <v>0</v>
      </c>
      <c r="L150" s="732">
        <f t="shared" si="20"/>
        <v>0</v>
      </c>
      <c r="M150" s="732">
        <f t="shared" si="20"/>
        <v>0</v>
      </c>
      <c r="N150" s="732">
        <f t="shared" si="20"/>
        <v>0</v>
      </c>
      <c r="O150" s="732">
        <f t="shared" si="20"/>
        <v>0</v>
      </c>
      <c r="P150" s="732">
        <f t="shared" si="20"/>
        <v>0</v>
      </c>
      <c r="Q150" s="732">
        <f t="shared" si="20"/>
        <v>0</v>
      </c>
      <c r="R150" s="732">
        <f t="shared" si="20"/>
        <v>0</v>
      </c>
      <c r="S150" s="732">
        <f t="shared" si="20"/>
        <v>0</v>
      </c>
      <c r="T150" s="732">
        <f t="shared" si="20"/>
        <v>0</v>
      </c>
      <c r="U150" s="732">
        <f t="shared" si="20"/>
        <v>0</v>
      </c>
      <c r="V150" s="732">
        <f t="shared" si="20"/>
        <v>0</v>
      </c>
      <c r="W150" s="732">
        <f t="shared" si="20"/>
        <v>0</v>
      </c>
      <c r="X150" s="732">
        <f t="shared" si="20"/>
        <v>0</v>
      </c>
    </row>
    <row r="151" spans="1:24" s="222" customFormat="1">
      <c r="A151" s="280"/>
      <c r="B151" s="280"/>
      <c r="C151" s="263"/>
      <c r="D151" s="514"/>
      <c r="E151" s="515"/>
      <c r="F151" s="520"/>
      <c r="G151" s="520"/>
      <c r="H151" s="520"/>
      <c r="I151" s="520"/>
      <c r="J151" s="520"/>
      <c r="K151" s="520"/>
      <c r="L151" s="520"/>
      <c r="M151" s="520"/>
      <c r="N151" s="520"/>
      <c r="O151" s="520"/>
      <c r="P151" s="520"/>
      <c r="Q151" s="520"/>
      <c r="R151" s="520"/>
      <c r="S151" s="520"/>
      <c r="T151" s="520"/>
      <c r="U151" s="520"/>
      <c r="V151" s="520"/>
      <c r="W151" s="520"/>
      <c r="X151" s="520"/>
    </row>
    <row r="152" spans="1:24" s="222" customFormat="1" ht="14.25">
      <c r="A152" s="296" t="s">
        <v>140</v>
      </c>
      <c r="B152" s="296"/>
      <c r="C152" s="297"/>
      <c r="D152" s="522">
        <f t="shared" ref="D152:X152" si="21">SUM(D144,D150)</f>
        <v>0</v>
      </c>
      <c r="E152" s="522">
        <f t="shared" si="21"/>
        <v>357416.66666666663</v>
      </c>
      <c r="F152" s="522">
        <f t="shared" si="21"/>
        <v>872654.34615384613</v>
      </c>
      <c r="G152" s="522">
        <f t="shared" si="21"/>
        <v>891230.86107692309</v>
      </c>
      <c r="H152" s="522">
        <f t="shared" si="21"/>
        <v>909055.47829846141</v>
      </c>
      <c r="I152" s="522">
        <f t="shared" si="21"/>
        <v>927236.58786443074</v>
      </c>
      <c r="J152" s="522">
        <f t="shared" si="21"/>
        <v>974125.19841691933</v>
      </c>
      <c r="K152" s="522">
        <f t="shared" si="21"/>
        <v>989070.7835948898</v>
      </c>
      <c r="L152" s="522">
        <f t="shared" si="21"/>
        <v>1008852.1992667876</v>
      </c>
      <c r="M152" s="522">
        <f t="shared" si="21"/>
        <v>1029029.2432521235</v>
      </c>
      <c r="N152" s="522">
        <f t="shared" si="21"/>
        <v>1049609.8281171657</v>
      </c>
      <c r="O152" s="522">
        <f t="shared" si="21"/>
        <v>1074992.5274695118</v>
      </c>
      <c r="P152" s="522">
        <f t="shared" si="21"/>
        <v>1092014.0651730995</v>
      </c>
      <c r="Q152" s="522">
        <f t="shared" si="21"/>
        <v>1113854.3464765614</v>
      </c>
      <c r="R152" s="522">
        <f t="shared" si="21"/>
        <v>1136131.4334060927</v>
      </c>
      <c r="S152" s="522">
        <f t="shared" si="21"/>
        <v>1158854.0620742145</v>
      </c>
      <c r="T152" s="522">
        <f t="shared" si="21"/>
        <v>1186358.2091465369</v>
      </c>
      <c r="U152" s="522">
        <f t="shared" si="21"/>
        <v>1205671.7661820129</v>
      </c>
      <c r="V152" s="522">
        <f t="shared" si="21"/>
        <v>1229785.2015056531</v>
      </c>
      <c r="W152" s="522">
        <f t="shared" si="21"/>
        <v>1254380.9055357664</v>
      </c>
      <c r="X152" s="522">
        <f t="shared" si="21"/>
        <v>1279468.5236464816</v>
      </c>
    </row>
    <row r="153" spans="1:24">
      <c r="A153" s="92"/>
      <c r="B153" s="92"/>
      <c r="C153" s="69"/>
      <c r="D153" s="514"/>
      <c r="E153" s="515"/>
      <c r="F153" s="515"/>
      <c r="G153" s="515"/>
      <c r="H153" s="515"/>
      <c r="I153" s="515"/>
      <c r="J153" s="515"/>
      <c r="K153" s="515"/>
      <c r="L153" s="515"/>
      <c r="M153" s="515"/>
      <c r="N153" s="515"/>
      <c r="O153" s="515"/>
      <c r="P153" s="515"/>
      <c r="Q153" s="515"/>
      <c r="R153" s="515"/>
      <c r="S153" s="515"/>
      <c r="T153" s="515"/>
      <c r="U153" s="515"/>
      <c r="V153" s="515"/>
      <c r="W153" s="515"/>
      <c r="X153" s="515"/>
    </row>
    <row r="154" spans="1:24" s="33" customFormat="1">
      <c r="A154" s="47" t="s">
        <v>7</v>
      </c>
      <c r="B154" s="47" t="s">
        <v>7</v>
      </c>
      <c r="C154" s="78" t="s">
        <v>7</v>
      </c>
      <c r="D154" s="604" t="s">
        <v>7</v>
      </c>
      <c r="E154" s="78" t="s">
        <v>7</v>
      </c>
      <c r="F154" s="78" t="s">
        <v>7</v>
      </c>
      <c r="G154" s="78" t="s">
        <v>7</v>
      </c>
      <c r="H154" s="78" t="s">
        <v>7</v>
      </c>
      <c r="I154" s="78" t="s">
        <v>7</v>
      </c>
      <c r="J154" s="78" t="s">
        <v>7</v>
      </c>
      <c r="K154" s="78" t="s">
        <v>7</v>
      </c>
      <c r="L154" s="78" t="s">
        <v>7</v>
      </c>
      <c r="M154" s="78" t="s">
        <v>7</v>
      </c>
      <c r="N154" s="78" t="s">
        <v>7</v>
      </c>
      <c r="O154" s="78" t="s">
        <v>7</v>
      </c>
      <c r="P154" s="78" t="s">
        <v>7</v>
      </c>
      <c r="Q154" s="78" t="s">
        <v>7</v>
      </c>
      <c r="R154" s="78" t="s">
        <v>7</v>
      </c>
      <c r="S154" s="78" t="s">
        <v>7</v>
      </c>
      <c r="T154" s="78" t="s">
        <v>7</v>
      </c>
      <c r="U154" s="78" t="s">
        <v>7</v>
      </c>
      <c r="V154" s="78" t="s">
        <v>7</v>
      </c>
      <c r="W154" s="78" t="s">
        <v>7</v>
      </c>
      <c r="X154" s="78" t="s">
        <v>7</v>
      </c>
    </row>
    <row r="155" spans="1:24">
      <c r="A155" s="92"/>
      <c r="B155" s="92"/>
      <c r="C155" s="69"/>
      <c r="D155" s="518"/>
      <c r="E155" s="515"/>
      <c r="F155" s="515"/>
      <c r="G155" s="515"/>
      <c r="H155" s="515"/>
      <c r="I155" s="515"/>
      <c r="J155" s="515"/>
      <c r="K155" s="515"/>
      <c r="L155" s="515"/>
      <c r="M155" s="515"/>
      <c r="N155" s="515"/>
      <c r="O155" s="515"/>
      <c r="P155" s="515"/>
      <c r="Q155" s="515"/>
      <c r="R155" s="515"/>
      <c r="S155" s="515"/>
      <c r="T155" s="515"/>
      <c r="U155" s="515"/>
      <c r="V155" s="515"/>
      <c r="W155" s="515"/>
      <c r="X155" s="515"/>
    </row>
    <row r="156" spans="1:24" s="16" customFormat="1" ht="14.25">
      <c r="A156" s="278" t="s">
        <v>116</v>
      </c>
      <c r="B156" s="263"/>
      <c r="C156" s="263"/>
      <c r="D156" s="518">
        <f>D119-(D136+D142)</f>
        <v>0</v>
      </c>
      <c r="E156" s="520">
        <f>E119-E152</f>
        <v>-299391.66666666663</v>
      </c>
      <c r="F156" s="520">
        <f t="shared" ref="F156:X156" si="22">F119-F152</f>
        <v>-263587.20308509609</v>
      </c>
      <c r="G156" s="520">
        <f t="shared" si="22"/>
        <v>-169492.37514679797</v>
      </c>
      <c r="H156" s="520">
        <f t="shared" si="22"/>
        <v>-174902.222649734</v>
      </c>
      <c r="I156" s="520">
        <f t="shared" si="22"/>
        <v>-180420.26710272871</v>
      </c>
      <c r="J156" s="520">
        <f t="shared" si="22"/>
        <v>32522.948760016821</v>
      </c>
      <c r="K156" s="520">
        <f t="shared" si="22"/>
        <v>30752.016525585088</v>
      </c>
      <c r="L156" s="520">
        <f t="shared" si="22"/>
        <v>24408.746856096666</v>
      </c>
      <c r="M156" s="520">
        <f t="shared" si="22"/>
        <v>17938.611793218646</v>
      </c>
      <c r="N156" s="520">
        <f t="shared" si="22"/>
        <v>11339.074029083131</v>
      </c>
      <c r="O156" s="520">
        <f t="shared" si="22"/>
        <v>62533.417719661957</v>
      </c>
      <c r="P156" s="520">
        <f t="shared" si="22"/>
        <v>60057.761419857852</v>
      </c>
      <c r="Q156" s="520">
        <f t="shared" si="22"/>
        <v>53054.279148255009</v>
      </c>
      <c r="R156" s="520">
        <f t="shared" si="22"/>
        <v>45910.727231219877</v>
      </c>
      <c r="S156" s="520">
        <f t="shared" si="22"/>
        <v>38624.304275844712</v>
      </c>
      <c r="T156" s="520">
        <f t="shared" si="22"/>
        <v>89281.462030523457</v>
      </c>
      <c r="U156" s="520">
        <f t="shared" si="22"/>
        <v>86027.733418588527</v>
      </c>
      <c r="V156" s="520">
        <f t="shared" si="22"/>
        <v>78295.323086960474</v>
      </c>
      <c r="W156" s="520">
        <f t="shared" si="22"/>
        <v>70408.264548699604</v>
      </c>
      <c r="X156" s="520">
        <f t="shared" si="22"/>
        <v>62363.464839673601</v>
      </c>
    </row>
    <row r="157" spans="1:24">
      <c r="A157" s="30"/>
      <c r="B157" s="92"/>
      <c r="C157" s="69"/>
      <c r="D157" s="514"/>
      <c r="E157" s="515"/>
      <c r="F157" s="515"/>
      <c r="G157" s="515"/>
      <c r="H157" s="515"/>
      <c r="I157" s="515"/>
      <c r="J157" s="515"/>
      <c r="K157" s="515"/>
      <c r="L157" s="515"/>
      <c r="M157" s="515"/>
      <c r="N157" s="515"/>
      <c r="O157" s="515"/>
      <c r="P157" s="515"/>
      <c r="Q157" s="515"/>
      <c r="R157" s="515"/>
      <c r="S157" s="515"/>
      <c r="T157" s="515"/>
      <c r="U157" s="515"/>
      <c r="V157" s="515"/>
      <c r="W157" s="515"/>
      <c r="X157" s="515"/>
    </row>
    <row r="158" spans="1:24" s="594" customFormat="1">
      <c r="A158" s="589" t="s">
        <v>125</v>
      </c>
      <c r="B158" s="590"/>
      <c r="C158" s="591"/>
      <c r="D158" s="592">
        <v>0</v>
      </c>
      <c r="E158" s="593">
        <v>0</v>
      </c>
      <c r="F158" s="593">
        <v>0</v>
      </c>
      <c r="G158" s="593">
        <v>0</v>
      </c>
      <c r="H158" s="593">
        <v>0</v>
      </c>
      <c r="I158" s="593">
        <v>0</v>
      </c>
      <c r="J158" s="593">
        <v>0</v>
      </c>
      <c r="K158" s="593">
        <v>0</v>
      </c>
      <c r="L158" s="593">
        <v>0</v>
      </c>
      <c r="M158" s="593">
        <v>0</v>
      </c>
      <c r="N158" s="593">
        <v>0</v>
      </c>
      <c r="O158" s="593">
        <v>0</v>
      </c>
      <c r="P158" s="593">
        <v>0</v>
      </c>
      <c r="Q158" s="593">
        <v>0</v>
      </c>
      <c r="R158" s="593">
        <v>0</v>
      </c>
      <c r="S158" s="593">
        <v>0</v>
      </c>
      <c r="T158" s="593">
        <v>0</v>
      </c>
      <c r="U158" s="593">
        <v>0</v>
      </c>
      <c r="V158" s="593">
        <v>0</v>
      </c>
      <c r="W158" s="593">
        <v>0</v>
      </c>
      <c r="X158" s="593">
        <v>0</v>
      </c>
    </row>
    <row r="159" spans="1:24">
      <c r="A159" s="92"/>
      <c r="B159" s="92"/>
      <c r="C159" s="69"/>
      <c r="D159" s="514"/>
      <c r="E159" s="515"/>
      <c r="F159" s="515"/>
      <c r="G159" s="515"/>
      <c r="H159" s="515"/>
      <c r="I159" s="515"/>
      <c r="J159" s="515"/>
      <c r="K159" s="515"/>
      <c r="L159" s="515"/>
      <c r="M159" s="515"/>
      <c r="N159" s="515"/>
      <c r="O159" s="515"/>
      <c r="P159" s="515"/>
      <c r="Q159" s="515"/>
      <c r="R159" s="515"/>
      <c r="S159" s="515"/>
      <c r="T159" s="515"/>
      <c r="U159" s="515"/>
      <c r="V159" s="515"/>
      <c r="W159" s="515"/>
      <c r="X159" s="515"/>
    </row>
    <row r="160" spans="1:24" s="16" customFormat="1" ht="14.25">
      <c r="A160" s="278" t="s">
        <v>117</v>
      </c>
      <c r="B160" s="278"/>
      <c r="C160" s="263"/>
      <c r="D160" s="518">
        <v>0</v>
      </c>
      <c r="E160" s="520">
        <f>E156-E158</f>
        <v>-299391.66666666663</v>
      </c>
      <c r="F160" s="520">
        <f t="shared" ref="F160:X160" si="23">F156-F158</f>
        <v>-263587.20308509609</v>
      </c>
      <c r="G160" s="520">
        <f t="shared" si="23"/>
        <v>-169492.37514679797</v>
      </c>
      <c r="H160" s="520">
        <f t="shared" si="23"/>
        <v>-174902.222649734</v>
      </c>
      <c r="I160" s="520">
        <f t="shared" si="23"/>
        <v>-180420.26710272871</v>
      </c>
      <c r="J160" s="520">
        <f t="shared" si="23"/>
        <v>32522.948760016821</v>
      </c>
      <c r="K160" s="520">
        <f t="shared" si="23"/>
        <v>30752.016525585088</v>
      </c>
      <c r="L160" s="520">
        <f t="shared" si="23"/>
        <v>24408.746856096666</v>
      </c>
      <c r="M160" s="520">
        <f t="shared" si="23"/>
        <v>17938.611793218646</v>
      </c>
      <c r="N160" s="520">
        <f t="shared" si="23"/>
        <v>11339.074029083131</v>
      </c>
      <c r="O160" s="520">
        <f t="shared" si="23"/>
        <v>62533.417719661957</v>
      </c>
      <c r="P160" s="520">
        <f t="shared" si="23"/>
        <v>60057.761419857852</v>
      </c>
      <c r="Q160" s="520">
        <f t="shared" si="23"/>
        <v>53054.279148255009</v>
      </c>
      <c r="R160" s="520">
        <f t="shared" si="23"/>
        <v>45910.727231219877</v>
      </c>
      <c r="S160" s="520">
        <f t="shared" si="23"/>
        <v>38624.304275844712</v>
      </c>
      <c r="T160" s="520">
        <f t="shared" si="23"/>
        <v>89281.462030523457</v>
      </c>
      <c r="U160" s="520">
        <f t="shared" si="23"/>
        <v>86027.733418588527</v>
      </c>
      <c r="V160" s="520">
        <f t="shared" si="23"/>
        <v>78295.323086960474</v>
      </c>
      <c r="W160" s="520">
        <f t="shared" si="23"/>
        <v>70408.264548699604</v>
      </c>
      <c r="X160" s="520">
        <f t="shared" si="23"/>
        <v>62363.464839673601</v>
      </c>
    </row>
    <row r="161" spans="1:24">
      <c r="A161" s="92"/>
      <c r="B161" s="92"/>
      <c r="C161" s="69"/>
      <c r="D161" s="514"/>
      <c r="E161" s="515"/>
      <c r="F161" s="515"/>
      <c r="G161" s="515"/>
      <c r="H161" s="515"/>
      <c r="I161" s="515"/>
      <c r="J161" s="515"/>
      <c r="K161" s="515"/>
      <c r="L161" s="515"/>
      <c r="M161" s="515"/>
      <c r="N161" s="515"/>
      <c r="O161" s="515"/>
      <c r="P161" s="515"/>
      <c r="Q161" s="515"/>
      <c r="R161" s="515"/>
      <c r="S161" s="515"/>
      <c r="T161" s="515"/>
      <c r="U161" s="515"/>
      <c r="V161" s="515"/>
      <c r="W161" s="515"/>
      <c r="X161" s="515"/>
    </row>
    <row r="162" spans="1:24">
      <c r="A162" s="271" t="s">
        <v>126</v>
      </c>
      <c r="B162" s="272"/>
      <c r="C162" s="273"/>
      <c r="D162" s="523"/>
      <c r="E162" s="523"/>
      <c r="F162" s="523"/>
      <c r="G162" s="523"/>
      <c r="H162" s="523"/>
      <c r="I162" s="523"/>
      <c r="J162" s="523"/>
      <c r="K162" s="523"/>
      <c r="L162" s="523"/>
      <c r="M162" s="523"/>
      <c r="N162" s="523"/>
      <c r="O162" s="523"/>
      <c r="P162" s="523"/>
      <c r="Q162" s="523"/>
      <c r="R162" s="523"/>
      <c r="S162" s="523"/>
      <c r="T162" s="523"/>
      <c r="U162" s="523"/>
      <c r="V162" s="523"/>
      <c r="W162" s="523"/>
      <c r="X162" s="523"/>
    </row>
    <row r="163" spans="1:24" s="32" customFormat="1">
      <c r="A163" s="280"/>
      <c r="B163" s="91"/>
      <c r="C163" s="69"/>
      <c r="D163" s="514"/>
      <c r="E163" s="515"/>
      <c r="F163" s="515"/>
      <c r="G163" s="515"/>
      <c r="H163" s="515"/>
      <c r="I163" s="515"/>
      <c r="J163" s="515"/>
      <c r="K163" s="515"/>
      <c r="L163" s="515"/>
      <c r="M163" s="515"/>
      <c r="N163" s="515"/>
      <c r="O163" s="515"/>
      <c r="P163" s="515"/>
      <c r="Q163" s="515"/>
      <c r="R163" s="515"/>
      <c r="S163" s="515"/>
      <c r="T163" s="515"/>
      <c r="U163" s="515"/>
      <c r="V163" s="515"/>
      <c r="W163" s="515"/>
      <c r="X163" s="515"/>
    </row>
    <row r="164" spans="1:24" s="96" customFormat="1">
      <c r="A164" s="885" t="s">
        <v>136</v>
      </c>
      <c r="B164" s="719"/>
      <c r="C164" s="69"/>
      <c r="D164" s="514">
        <v>0</v>
      </c>
      <c r="E164" s="515">
        <f>'OPEX - Concept A1'!L169</f>
        <v>0</v>
      </c>
      <c r="F164" s="515">
        <f>'OPEX - Concept A1'!M169</f>
        <v>44105</v>
      </c>
      <c r="G164" s="515">
        <f>'OPEX - Concept A1'!N169</f>
        <v>44987.1</v>
      </c>
      <c r="H164" s="515">
        <f>'OPEX - Concept A1'!O169</f>
        <v>45886.841999999997</v>
      </c>
      <c r="I164" s="515">
        <f>'OPEX - Concept A1'!P169</f>
        <v>46804.578839999995</v>
      </c>
      <c r="J164" s="515">
        <f>'OPEX - Concept A1'!Q169</f>
        <v>47740.6704168</v>
      </c>
      <c r="K164" s="515">
        <f>'OPEX - Concept A1'!R169</f>
        <v>48695.483825135998</v>
      </c>
      <c r="L164" s="515">
        <f>'OPEX - Concept A1'!S169</f>
        <v>49669.393501638726</v>
      </c>
      <c r="M164" s="515">
        <f>'OPEX - Concept A1'!T169</f>
        <v>50662.781371671495</v>
      </c>
      <c r="N164" s="515">
        <f>'OPEX - Concept A1'!U169</f>
        <v>51676.03699910493</v>
      </c>
      <c r="O164" s="515">
        <f>'OPEX - Concept A1'!V169</f>
        <v>52709.557739087031</v>
      </c>
      <c r="P164" s="515">
        <f>'OPEX - Concept A1'!W169</f>
        <v>53763.748893868775</v>
      </c>
      <c r="Q164" s="515">
        <f>'OPEX - Concept A1'!X169</f>
        <v>54839.023871746147</v>
      </c>
      <c r="R164" s="515">
        <f>'OPEX - Concept A1'!Y169</f>
        <v>55935.804349181068</v>
      </c>
      <c r="S164" s="515">
        <f>'OPEX - Concept A1'!Z169</f>
        <v>57054.520436164683</v>
      </c>
      <c r="T164" s="515">
        <f>'OPEX - Concept A1'!AA169</f>
        <v>58195.61084488799</v>
      </c>
      <c r="U164" s="515">
        <f>'OPEX - Concept A1'!AB169</f>
        <v>59359.523061785745</v>
      </c>
      <c r="V164" s="515">
        <f>'OPEX - Concept A1'!AC169</f>
        <v>60546.713523021463</v>
      </c>
      <c r="W164" s="515">
        <f>'OPEX - Concept A1'!AD169</f>
        <v>61757.647793481898</v>
      </c>
      <c r="X164" s="515">
        <f>'OPEX - Concept A1'!AE169</f>
        <v>62992.80074935154</v>
      </c>
    </row>
    <row r="165" spans="1:24" s="96" customFormat="1">
      <c r="A165" s="885" t="s">
        <v>458</v>
      </c>
      <c r="B165" s="719"/>
      <c r="C165" s="69"/>
      <c r="D165" s="514">
        <v>0</v>
      </c>
      <c r="E165" s="515">
        <f>'OPEX - Concept A1'!L171</f>
        <v>563901.24</v>
      </c>
      <c r="F165" s="515">
        <f>'OPEX - Concept A1'!M171</f>
        <v>563901.24</v>
      </c>
      <c r="G165" s="515">
        <f>'OPEX - Concept A1'!N171</f>
        <v>563901.24</v>
      </c>
      <c r="H165" s="515">
        <f>'OPEX - Concept A1'!O171</f>
        <v>563901.24</v>
      </c>
      <c r="I165" s="515">
        <f>'OPEX - Concept A1'!P171</f>
        <v>563901.24</v>
      </c>
      <c r="J165" s="515">
        <f>'OPEX - Concept A1'!Q171</f>
        <v>563901.24</v>
      </c>
      <c r="K165" s="515">
        <f>'OPEX - Concept A1'!R171</f>
        <v>563901.24</v>
      </c>
      <c r="L165" s="515">
        <f>'OPEX - Concept A1'!S171</f>
        <v>563901.24</v>
      </c>
      <c r="M165" s="515">
        <f>'OPEX - Concept A1'!T171</f>
        <v>563901.24</v>
      </c>
      <c r="N165" s="515">
        <f>'OPEX - Concept A1'!U171</f>
        <v>563901.24</v>
      </c>
      <c r="O165" s="515">
        <f>'OPEX - Concept A1'!V171</f>
        <v>563901.24</v>
      </c>
      <c r="P165" s="515">
        <f>'OPEX - Concept A1'!W171</f>
        <v>563901.24</v>
      </c>
      <c r="Q165" s="515">
        <f>'OPEX - Concept A1'!X171</f>
        <v>563901.24</v>
      </c>
      <c r="R165" s="515">
        <f>'OPEX - Concept A1'!Y171</f>
        <v>563901.24</v>
      </c>
      <c r="S165" s="515">
        <f>'OPEX - Concept A1'!Z171</f>
        <v>563901.24</v>
      </c>
      <c r="T165" s="515">
        <f>'OPEX - Concept A1'!AA171</f>
        <v>563901.24</v>
      </c>
      <c r="U165" s="515">
        <f>'OPEX - Concept A1'!AB171</f>
        <v>563901.24</v>
      </c>
      <c r="V165" s="515">
        <f>'OPEX - Concept A1'!AC171</f>
        <v>563901.24</v>
      </c>
      <c r="W165" s="515">
        <f>'OPEX - Concept A1'!AD171</f>
        <v>563901.24</v>
      </c>
      <c r="X165" s="515">
        <f>'OPEX - Concept A1'!AE171</f>
        <v>563901.24</v>
      </c>
    </row>
    <row r="166" spans="1:24" s="341" customFormat="1">
      <c r="A166" s="696" t="s">
        <v>315</v>
      </c>
      <c r="B166" s="697"/>
      <c r="C166" s="698"/>
      <c r="D166" s="699">
        <v>0</v>
      </c>
      <c r="E166" s="700">
        <v>0</v>
      </c>
      <c r="F166" s="700">
        <v>0</v>
      </c>
      <c r="G166" s="700">
        <v>0</v>
      </c>
      <c r="H166" s="700">
        <v>0</v>
      </c>
      <c r="I166" s="700">
        <v>0</v>
      </c>
      <c r="J166" s="700">
        <v>0</v>
      </c>
      <c r="K166" s="700">
        <v>0</v>
      </c>
      <c r="L166" s="700">
        <v>0</v>
      </c>
      <c r="M166" s="700">
        <v>0</v>
      </c>
      <c r="N166" s="700">
        <v>0</v>
      </c>
      <c r="O166" s="700">
        <v>0</v>
      </c>
      <c r="P166" s="700">
        <v>0</v>
      </c>
      <c r="Q166" s="700">
        <v>0</v>
      </c>
      <c r="R166" s="700">
        <v>0</v>
      </c>
      <c r="S166" s="700">
        <v>0</v>
      </c>
      <c r="T166" s="700">
        <v>0</v>
      </c>
      <c r="U166" s="700">
        <v>0</v>
      </c>
      <c r="V166" s="700">
        <v>0</v>
      </c>
      <c r="W166" s="700">
        <v>0</v>
      </c>
      <c r="X166" s="700">
        <v>0</v>
      </c>
    </row>
    <row r="167" spans="1:24" s="32" customFormat="1">
      <c r="A167" s="93" t="s">
        <v>316</v>
      </c>
      <c r="B167" s="298"/>
      <c r="C167" s="298"/>
      <c r="D167" s="505">
        <v>0</v>
      </c>
      <c r="E167" s="506">
        <f>'OPEX - Concept A1'!L173</f>
        <v>246000</v>
      </c>
      <c r="F167" s="506">
        <f>'OPEX - Concept A1'!M173</f>
        <v>246000</v>
      </c>
      <c r="G167" s="506">
        <f>'OPEX - Concept A1'!N173</f>
        <v>246000</v>
      </c>
      <c r="H167" s="506">
        <f>'OPEX - Concept A1'!O173</f>
        <v>246000</v>
      </c>
      <c r="I167" s="506">
        <f>'OPEX - Concept A1'!P173</f>
        <v>246000</v>
      </c>
      <c r="J167" s="506">
        <f>'OPEX - Concept A1'!Q173</f>
        <v>246000</v>
      </c>
      <c r="K167" s="506">
        <f>'OPEX - Concept A1'!R173</f>
        <v>246000</v>
      </c>
      <c r="L167" s="506">
        <f>'OPEX - Concept A1'!S173</f>
        <v>246000</v>
      </c>
      <c r="M167" s="506">
        <f>'OPEX - Concept A1'!T173</f>
        <v>246000</v>
      </c>
      <c r="N167" s="506">
        <f>'OPEX - Concept A1'!U173</f>
        <v>246000</v>
      </c>
      <c r="O167" s="506">
        <f>'OPEX - Concept A1'!V173</f>
        <v>246000</v>
      </c>
      <c r="P167" s="506">
        <f>'OPEX - Concept A1'!W173</f>
        <v>246000</v>
      </c>
      <c r="Q167" s="506">
        <f>'OPEX - Concept A1'!X173</f>
        <v>246000</v>
      </c>
      <c r="R167" s="506">
        <f>'OPEX - Concept A1'!Y173</f>
        <v>246000</v>
      </c>
      <c r="S167" s="506">
        <f>'OPEX - Concept A1'!Z173</f>
        <v>246000</v>
      </c>
      <c r="T167" s="506">
        <f>'OPEX - Concept A1'!AA173</f>
        <v>246000</v>
      </c>
      <c r="U167" s="506">
        <f>'OPEX - Concept A1'!AB173</f>
        <v>246000</v>
      </c>
      <c r="V167" s="506">
        <f>'OPEX - Concept A1'!AC173</f>
        <v>246000</v>
      </c>
      <c r="W167" s="506">
        <f>'OPEX - Concept A1'!AD173</f>
        <v>246000</v>
      </c>
      <c r="X167" s="506">
        <f>'OPEX - Concept A1'!AE173</f>
        <v>246000</v>
      </c>
    </row>
    <row r="168" spans="1:24" s="222" customFormat="1" ht="14.25">
      <c r="A168" s="263" t="s">
        <v>134</v>
      </c>
      <c r="B168" s="264"/>
      <c r="C168" s="264"/>
      <c r="D168" s="524">
        <f>SUM(D164:D167)</f>
        <v>0</v>
      </c>
      <c r="E168" s="525">
        <f t="shared" ref="E168:X168" si="24">SUM(E164:E167)</f>
        <v>809901.24</v>
      </c>
      <c r="F168" s="525">
        <f t="shared" si="24"/>
        <v>854006.24</v>
      </c>
      <c r="G168" s="525">
        <f t="shared" si="24"/>
        <v>854888.34</v>
      </c>
      <c r="H168" s="525">
        <f t="shared" si="24"/>
        <v>855788.08199999994</v>
      </c>
      <c r="I168" s="525">
        <f t="shared" si="24"/>
        <v>856705.81883999996</v>
      </c>
      <c r="J168" s="525">
        <f t="shared" si="24"/>
        <v>857641.91041679995</v>
      </c>
      <c r="K168" s="525">
        <f t="shared" si="24"/>
        <v>858596.72382513597</v>
      </c>
      <c r="L168" s="525">
        <f t="shared" si="24"/>
        <v>859570.63350163866</v>
      </c>
      <c r="M168" s="525">
        <f t="shared" si="24"/>
        <v>860564.02137167146</v>
      </c>
      <c r="N168" s="525">
        <f t="shared" si="24"/>
        <v>861577.27699910488</v>
      </c>
      <c r="O168" s="525">
        <f t="shared" si="24"/>
        <v>862610.79773908702</v>
      </c>
      <c r="P168" s="525">
        <f t="shared" si="24"/>
        <v>863664.98889386875</v>
      </c>
      <c r="Q168" s="525">
        <f t="shared" si="24"/>
        <v>864740.26387174614</v>
      </c>
      <c r="R168" s="525">
        <f t="shared" si="24"/>
        <v>865837.044349181</v>
      </c>
      <c r="S168" s="525">
        <f t="shared" si="24"/>
        <v>866955.76043616468</v>
      </c>
      <c r="T168" s="525">
        <f t="shared" si="24"/>
        <v>868096.85084488802</v>
      </c>
      <c r="U168" s="525">
        <f t="shared" si="24"/>
        <v>869260.76306178572</v>
      </c>
      <c r="V168" s="525">
        <f t="shared" si="24"/>
        <v>870447.95352302142</v>
      </c>
      <c r="W168" s="525">
        <f t="shared" si="24"/>
        <v>871658.88779348193</v>
      </c>
      <c r="X168" s="525">
        <f t="shared" si="24"/>
        <v>872894.04074935149</v>
      </c>
    </row>
    <row r="169" spans="1:24" s="32" customFormat="1">
      <c r="A169" s="69"/>
      <c r="B169" s="90"/>
      <c r="C169" s="90"/>
      <c r="D169" s="526"/>
      <c r="E169" s="527"/>
      <c r="F169" s="527"/>
      <c r="G169" s="527"/>
      <c r="H169" s="527"/>
      <c r="I169" s="527"/>
      <c r="J169" s="527"/>
      <c r="K169" s="527"/>
      <c r="L169" s="527"/>
      <c r="M169" s="527"/>
      <c r="N169" s="527"/>
      <c r="O169" s="527"/>
      <c r="P169" s="527"/>
      <c r="Q169" s="527"/>
      <c r="R169" s="527"/>
      <c r="S169" s="527"/>
      <c r="T169" s="527"/>
      <c r="U169" s="527"/>
      <c r="V169" s="527"/>
      <c r="W169" s="527"/>
      <c r="X169" s="527"/>
    </row>
    <row r="170" spans="1:24" s="32" customFormat="1">
      <c r="A170" s="94" t="s">
        <v>137</v>
      </c>
      <c r="C170" s="69"/>
      <c r="D170" s="514">
        <v>0</v>
      </c>
      <c r="E170" s="515">
        <f>E156-E164</f>
        <v>-299391.66666666663</v>
      </c>
      <c r="F170" s="515">
        <f t="shared" ref="F170:X170" si="25">F156-F164</f>
        <v>-307692.20308509609</v>
      </c>
      <c r="G170" s="515">
        <f t="shared" si="25"/>
        <v>-214479.47514679798</v>
      </c>
      <c r="H170" s="515">
        <f t="shared" si="25"/>
        <v>-220789.06464973401</v>
      </c>
      <c r="I170" s="515">
        <f t="shared" si="25"/>
        <v>-227224.84594272872</v>
      </c>
      <c r="J170" s="515">
        <f t="shared" si="25"/>
        <v>-15217.721656783178</v>
      </c>
      <c r="K170" s="515">
        <f t="shared" si="25"/>
        <v>-17943.46729955091</v>
      </c>
      <c r="L170" s="515">
        <f t="shared" si="25"/>
        <v>-25260.64664554206</v>
      </c>
      <c r="M170" s="515">
        <f t="shared" si="25"/>
        <v>-32724.169578452849</v>
      </c>
      <c r="N170" s="515">
        <f t="shared" si="25"/>
        <v>-40336.962970021799</v>
      </c>
      <c r="O170" s="515">
        <f t="shared" si="25"/>
        <v>9823.8599805749254</v>
      </c>
      <c r="P170" s="515">
        <f t="shared" si="25"/>
        <v>6294.0125259890774</v>
      </c>
      <c r="Q170" s="515">
        <f t="shared" si="25"/>
        <v>-1784.7447234911378</v>
      </c>
      <c r="R170" s="515">
        <f t="shared" si="25"/>
        <v>-10025.077117961191</v>
      </c>
      <c r="S170" s="515">
        <f t="shared" si="25"/>
        <v>-18430.216160319971</v>
      </c>
      <c r="T170" s="515">
        <f t="shared" si="25"/>
        <v>31085.851185635467</v>
      </c>
      <c r="U170" s="515">
        <f t="shared" si="25"/>
        <v>26668.210356802781</v>
      </c>
      <c r="V170" s="515">
        <f t="shared" si="25"/>
        <v>17748.609563939011</v>
      </c>
      <c r="W170" s="515">
        <f t="shared" si="25"/>
        <v>8650.6167552177067</v>
      </c>
      <c r="X170" s="515">
        <f t="shared" si="25"/>
        <v>-629.33590967793862</v>
      </c>
    </row>
    <row r="171" spans="1:24" ht="16.5" customHeight="1">
      <c r="A171" s="88" t="s">
        <v>128</v>
      </c>
      <c r="B171" s="98"/>
      <c r="C171" s="98"/>
      <c r="D171" s="528">
        <v>0</v>
      </c>
      <c r="E171" s="529">
        <f>E160-E168</f>
        <v>-1109292.9066666667</v>
      </c>
      <c r="F171" s="529">
        <f t="shared" ref="F171:X171" si="26">F160-F168</f>
        <v>-1117593.4430850961</v>
      </c>
      <c r="G171" s="529">
        <f t="shared" si="26"/>
        <v>-1024380.7151467979</v>
      </c>
      <c r="H171" s="529">
        <f t="shared" si="26"/>
        <v>-1030690.3046497339</v>
      </c>
      <c r="I171" s="529">
        <f t="shared" si="26"/>
        <v>-1037126.0859427287</v>
      </c>
      <c r="J171" s="529">
        <f t="shared" si="26"/>
        <v>-825118.96165678313</v>
      </c>
      <c r="K171" s="529">
        <f t="shared" si="26"/>
        <v>-827844.70729955088</v>
      </c>
      <c r="L171" s="529">
        <f t="shared" si="26"/>
        <v>-835161.88664554199</v>
      </c>
      <c r="M171" s="529">
        <f t="shared" si="26"/>
        <v>-842625.40957845282</v>
      </c>
      <c r="N171" s="529">
        <f t="shared" si="26"/>
        <v>-850238.20297002175</v>
      </c>
      <c r="O171" s="529">
        <f t="shared" si="26"/>
        <v>-800077.38001942507</v>
      </c>
      <c r="P171" s="529">
        <f t="shared" si="26"/>
        <v>-803607.2274740109</v>
      </c>
      <c r="Q171" s="529">
        <f t="shared" si="26"/>
        <v>-811685.98472349113</v>
      </c>
      <c r="R171" s="529">
        <f t="shared" si="26"/>
        <v>-819926.31711796112</v>
      </c>
      <c r="S171" s="529">
        <f t="shared" si="26"/>
        <v>-828331.45616031997</v>
      </c>
      <c r="T171" s="529">
        <f t="shared" si="26"/>
        <v>-778815.38881436456</v>
      </c>
      <c r="U171" s="529">
        <f t="shared" si="26"/>
        <v>-783233.02964319719</v>
      </c>
      <c r="V171" s="529">
        <f t="shared" si="26"/>
        <v>-792152.63043606095</v>
      </c>
      <c r="W171" s="529">
        <f t="shared" si="26"/>
        <v>-801250.62324478233</v>
      </c>
      <c r="X171" s="529">
        <f t="shared" si="26"/>
        <v>-810530.57590967789</v>
      </c>
    </row>
    <row r="172" spans="1:24" ht="16.5" customHeight="1">
      <c r="A172" s="88"/>
      <c r="B172" s="88"/>
      <c r="C172" s="88"/>
      <c r="D172" s="526"/>
      <c r="E172" s="527"/>
      <c r="F172" s="527"/>
      <c r="G172" s="527"/>
      <c r="H172" s="527"/>
      <c r="I172" s="527"/>
      <c r="J172" s="527"/>
      <c r="K172" s="527"/>
      <c r="L172" s="527"/>
      <c r="M172" s="527"/>
      <c r="N172" s="527"/>
      <c r="O172" s="527"/>
      <c r="P172" s="527"/>
      <c r="Q172" s="527"/>
      <c r="R172" s="527"/>
      <c r="S172" s="527"/>
      <c r="T172" s="527"/>
      <c r="U172" s="527"/>
      <c r="V172" s="527"/>
      <c r="W172" s="527"/>
      <c r="X172" s="527"/>
    </row>
    <row r="173" spans="1:24" ht="16.5" customHeight="1">
      <c r="A173" s="88" t="s">
        <v>129</v>
      </c>
      <c r="B173" s="632">
        <f>NPV(Cost_of_Money__DPC,E160:X160)</f>
        <v>-324275.5989677381</v>
      </c>
      <c r="C173" s="88"/>
      <c r="D173" s="526"/>
      <c r="E173" s="527"/>
      <c r="F173" s="527"/>
      <c r="G173" s="527"/>
      <c r="H173" s="527"/>
      <c r="I173" s="527"/>
      <c r="J173" s="527"/>
      <c r="K173" s="527"/>
      <c r="L173" s="527"/>
      <c r="M173" s="527"/>
      <c r="N173" s="527"/>
      <c r="O173" s="527"/>
      <c r="P173" s="527"/>
      <c r="Q173" s="527"/>
      <c r="R173" s="527"/>
      <c r="S173" s="527"/>
      <c r="T173" s="527"/>
      <c r="U173" s="527"/>
      <c r="V173" s="527"/>
      <c r="W173" s="527"/>
      <c r="X173" s="527"/>
    </row>
    <row r="174" spans="1:24" ht="16.5" customHeight="1">
      <c r="A174" s="300" t="s">
        <v>130</v>
      </c>
      <c r="B174" s="733">
        <f>SUM(E171:X171)</f>
        <v>-17529683.237184666</v>
      </c>
      <c r="C174" s="301"/>
      <c r="D174" s="530">
        <v>0</v>
      </c>
      <c r="E174" s="530">
        <f>E160-E168</f>
        <v>-1109292.9066666667</v>
      </c>
      <c r="F174" s="530">
        <f t="shared" ref="F174:X174" si="27">F160-F168</f>
        <v>-1117593.4430850961</v>
      </c>
      <c r="G174" s="530">
        <f t="shared" si="27"/>
        <v>-1024380.7151467979</v>
      </c>
      <c r="H174" s="530">
        <f t="shared" si="27"/>
        <v>-1030690.3046497339</v>
      </c>
      <c r="I174" s="530">
        <f t="shared" si="27"/>
        <v>-1037126.0859427287</v>
      </c>
      <c r="J174" s="530">
        <f t="shared" si="27"/>
        <v>-825118.96165678313</v>
      </c>
      <c r="K174" s="530">
        <f t="shared" si="27"/>
        <v>-827844.70729955088</v>
      </c>
      <c r="L174" s="530">
        <f t="shared" si="27"/>
        <v>-835161.88664554199</v>
      </c>
      <c r="M174" s="530">
        <f t="shared" si="27"/>
        <v>-842625.40957845282</v>
      </c>
      <c r="N174" s="530">
        <f t="shared" si="27"/>
        <v>-850238.20297002175</v>
      </c>
      <c r="O174" s="530">
        <f t="shared" si="27"/>
        <v>-800077.38001942507</v>
      </c>
      <c r="P174" s="530">
        <f t="shared" si="27"/>
        <v>-803607.2274740109</v>
      </c>
      <c r="Q174" s="530">
        <f t="shared" si="27"/>
        <v>-811685.98472349113</v>
      </c>
      <c r="R174" s="530">
        <f t="shared" si="27"/>
        <v>-819926.31711796112</v>
      </c>
      <c r="S174" s="530">
        <f t="shared" si="27"/>
        <v>-828331.45616031997</v>
      </c>
      <c r="T174" s="530">
        <f t="shared" si="27"/>
        <v>-778815.38881436456</v>
      </c>
      <c r="U174" s="530">
        <f t="shared" si="27"/>
        <v>-783233.02964319719</v>
      </c>
      <c r="V174" s="530">
        <f t="shared" si="27"/>
        <v>-792152.63043606095</v>
      </c>
      <c r="W174" s="530">
        <f t="shared" si="27"/>
        <v>-801250.62324478233</v>
      </c>
      <c r="X174" s="530">
        <f t="shared" si="27"/>
        <v>-810530.57590967789</v>
      </c>
    </row>
    <row r="175" spans="1:24" s="58" customFormat="1" ht="16.5" customHeight="1">
      <c r="A175" s="90" t="s">
        <v>32</v>
      </c>
      <c r="B175" s="792" t="e">
        <f>IRR(E174:X174)</f>
        <v>#NUM!</v>
      </c>
      <c r="C175" s="356"/>
      <c r="D175" s="502"/>
      <c r="E175" s="504"/>
      <c r="F175" s="504"/>
      <c r="G175" s="504"/>
      <c r="H175" s="504"/>
      <c r="I175" s="504"/>
      <c r="J175" s="504"/>
      <c r="K175" s="504"/>
      <c r="L175" s="504"/>
      <c r="M175" s="504"/>
      <c r="N175" s="504"/>
      <c r="O175" s="504"/>
      <c r="P175" s="504"/>
      <c r="Q175" s="504"/>
      <c r="R175" s="504"/>
      <c r="S175" s="504"/>
      <c r="T175" s="504"/>
      <c r="U175" s="504"/>
      <c r="V175" s="504"/>
      <c r="W175" s="504"/>
      <c r="X175" s="504"/>
    </row>
    <row r="176" spans="1:24">
      <c r="A176" s="30"/>
      <c r="B176" s="30"/>
      <c r="C176" s="30"/>
      <c r="D176" s="502"/>
      <c r="E176" s="512"/>
      <c r="F176" s="512"/>
      <c r="G176" s="512"/>
      <c r="H176" s="512"/>
      <c r="I176" s="512"/>
      <c r="J176" s="512"/>
      <c r="K176" s="512"/>
      <c r="L176" s="512"/>
      <c r="M176" s="512"/>
      <c r="N176" s="512"/>
      <c r="O176" s="512"/>
      <c r="P176" s="512"/>
      <c r="Q176" s="512"/>
      <c r="R176" s="512"/>
      <c r="S176" s="512"/>
      <c r="T176" s="512"/>
      <c r="U176" s="512"/>
      <c r="V176" s="512"/>
      <c r="W176" s="512"/>
      <c r="X176" s="512"/>
    </row>
    <row r="177" spans="1:24">
      <c r="A177" s="274" t="s">
        <v>28</v>
      </c>
      <c r="B177" s="275"/>
      <c r="C177" s="275"/>
      <c r="D177" s="531"/>
      <c r="E177" s="531"/>
      <c r="F177" s="531"/>
      <c r="G177" s="531"/>
      <c r="H177" s="531"/>
      <c r="I177" s="531"/>
      <c r="J177" s="531"/>
      <c r="K177" s="531"/>
      <c r="L177" s="531"/>
      <c r="M177" s="531"/>
      <c r="N177" s="531"/>
      <c r="O177" s="531"/>
      <c r="P177" s="531"/>
      <c r="Q177" s="531"/>
      <c r="R177" s="531"/>
      <c r="S177" s="531"/>
      <c r="T177" s="531"/>
      <c r="U177" s="531"/>
      <c r="V177" s="531"/>
      <c r="W177" s="531"/>
      <c r="X177" s="531"/>
    </row>
    <row r="178" spans="1:24">
      <c r="A178" s="30"/>
      <c r="B178" s="30"/>
      <c r="C178" s="30"/>
      <c r="D178" s="502"/>
      <c r="E178" s="512"/>
      <c r="F178" s="512"/>
      <c r="G178" s="512"/>
      <c r="H178" s="512"/>
      <c r="I178" s="512"/>
      <c r="J178" s="512"/>
      <c r="K178" s="512"/>
      <c r="L178" s="512"/>
      <c r="M178" s="512"/>
      <c r="N178" s="512"/>
      <c r="O178" s="512"/>
      <c r="P178" s="512"/>
      <c r="Q178" s="512"/>
      <c r="R178" s="512"/>
      <c r="S178" s="512"/>
      <c r="T178" s="512"/>
      <c r="U178" s="512"/>
      <c r="V178" s="512"/>
      <c r="W178" s="512"/>
      <c r="X178" s="512"/>
    </row>
    <row r="179" spans="1:24">
      <c r="A179" s="30" t="s">
        <v>300</v>
      </c>
      <c r="B179" s="30"/>
      <c r="C179" s="87"/>
      <c r="D179" s="502">
        <v>0</v>
      </c>
      <c r="E179" s="512"/>
      <c r="F179" s="512"/>
      <c r="G179" s="512"/>
      <c r="H179" s="512"/>
      <c r="I179" s="512"/>
      <c r="J179" s="512"/>
      <c r="K179" s="512"/>
      <c r="L179" s="512"/>
      <c r="M179" s="512"/>
      <c r="N179" s="512"/>
      <c r="O179" s="512"/>
      <c r="P179" s="512"/>
      <c r="Q179" s="512"/>
      <c r="R179" s="512"/>
      <c r="S179" s="512"/>
      <c r="T179" s="512"/>
      <c r="U179" s="512"/>
      <c r="V179" s="512"/>
      <c r="W179" s="512"/>
      <c r="X179" s="512"/>
    </row>
    <row r="180" spans="1:24">
      <c r="A180" s="30" t="s">
        <v>301</v>
      </c>
      <c r="B180" s="30"/>
      <c r="C180" s="30"/>
      <c r="D180" s="502">
        <v>0</v>
      </c>
      <c r="E180" s="512"/>
      <c r="F180" s="512"/>
      <c r="G180" s="512"/>
      <c r="H180" s="512"/>
      <c r="I180" s="512"/>
      <c r="J180" s="512"/>
      <c r="K180" s="512"/>
      <c r="L180" s="512"/>
      <c r="M180" s="512"/>
      <c r="N180" s="512"/>
      <c r="O180" s="512"/>
      <c r="P180" s="512"/>
      <c r="Q180" s="512"/>
      <c r="R180" s="512"/>
      <c r="S180" s="512"/>
      <c r="T180" s="512"/>
      <c r="U180" s="512"/>
      <c r="V180" s="512"/>
      <c r="W180" s="512"/>
      <c r="X180" s="512"/>
    </row>
    <row r="181" spans="1:24">
      <c r="A181" s="30"/>
      <c r="B181" s="30"/>
      <c r="C181" s="30"/>
      <c r="D181" s="502"/>
      <c r="E181" s="512"/>
      <c r="F181" s="512"/>
      <c r="G181" s="512"/>
      <c r="H181" s="512"/>
      <c r="I181" s="512"/>
      <c r="J181" s="512"/>
      <c r="K181" s="512"/>
      <c r="L181" s="512"/>
      <c r="M181" s="512"/>
      <c r="N181" s="512"/>
      <c r="O181" s="512"/>
      <c r="P181" s="512"/>
      <c r="Q181" s="512"/>
      <c r="R181" s="512"/>
      <c r="S181" s="512"/>
      <c r="T181" s="512"/>
      <c r="U181" s="512"/>
      <c r="V181" s="512"/>
      <c r="W181" s="512"/>
      <c r="X181" s="512"/>
    </row>
    <row r="182" spans="1:24">
      <c r="A182" s="30" t="s">
        <v>298</v>
      </c>
      <c r="B182" s="30"/>
      <c r="C182" s="30"/>
      <c r="D182" s="502">
        <v>0</v>
      </c>
      <c r="E182" s="512"/>
      <c r="F182" s="512"/>
      <c r="G182" s="512"/>
      <c r="H182" s="512"/>
      <c r="I182" s="512"/>
      <c r="J182" s="512"/>
      <c r="K182" s="512"/>
      <c r="L182" s="512"/>
      <c r="M182" s="512"/>
      <c r="N182" s="512"/>
      <c r="O182" s="512"/>
      <c r="P182" s="512"/>
      <c r="Q182" s="512"/>
      <c r="R182" s="512"/>
      <c r="S182" s="512"/>
      <c r="T182" s="512"/>
      <c r="U182" s="512"/>
      <c r="V182" s="512"/>
      <c r="W182" s="512"/>
      <c r="X182" s="512"/>
    </row>
    <row r="183" spans="1:24">
      <c r="A183" s="30" t="s">
        <v>299</v>
      </c>
      <c r="B183" s="30"/>
      <c r="C183" s="30"/>
      <c r="D183" s="502">
        <v>0</v>
      </c>
      <c r="E183" s="512"/>
      <c r="F183" s="512"/>
      <c r="G183" s="512"/>
      <c r="H183" s="512"/>
      <c r="I183" s="512"/>
      <c r="J183" s="512"/>
      <c r="K183" s="512"/>
      <c r="L183" s="512"/>
      <c r="M183" s="512"/>
      <c r="N183" s="512"/>
      <c r="O183" s="512"/>
      <c r="P183" s="512"/>
      <c r="Q183" s="512"/>
      <c r="R183" s="512"/>
      <c r="S183" s="512"/>
      <c r="T183" s="512"/>
      <c r="U183" s="512"/>
      <c r="V183" s="512"/>
      <c r="W183" s="512"/>
      <c r="X183" s="512"/>
    </row>
    <row r="184" spans="1:24">
      <c r="D184" s="502"/>
      <c r="E184" s="532"/>
      <c r="F184" s="532"/>
      <c r="G184" s="532"/>
      <c r="H184" s="532"/>
      <c r="I184" s="532"/>
      <c r="J184" s="532"/>
      <c r="K184" s="532"/>
      <c r="L184" s="532"/>
      <c r="M184" s="532"/>
      <c r="N184" s="532"/>
      <c r="O184" s="532"/>
      <c r="P184" s="532"/>
      <c r="Q184" s="532"/>
      <c r="R184" s="532"/>
      <c r="S184" s="532"/>
      <c r="T184" s="532"/>
      <c r="U184" s="532"/>
      <c r="V184" s="532"/>
      <c r="W184" s="532"/>
      <c r="X184" s="532"/>
    </row>
    <row r="185" spans="1:24">
      <c r="A185" s="131"/>
      <c r="B185" s="131"/>
      <c r="C185" s="131"/>
      <c r="D185" s="493"/>
      <c r="E185" s="334"/>
      <c r="F185" s="334"/>
      <c r="G185" s="334"/>
      <c r="H185" s="334"/>
      <c r="I185" s="334"/>
      <c r="J185" s="334"/>
      <c r="K185" s="334"/>
      <c r="L185" s="334"/>
      <c r="M185" s="334"/>
      <c r="N185" s="334"/>
      <c r="O185" s="334"/>
      <c r="P185" s="334"/>
      <c r="Q185" s="334"/>
      <c r="R185" s="334"/>
      <c r="S185" s="334"/>
      <c r="T185" s="334"/>
      <c r="U185" s="334"/>
      <c r="V185" s="334"/>
      <c r="W185" s="334"/>
      <c r="X185" s="334"/>
    </row>
    <row r="186" spans="1:24">
      <c r="D186" s="494"/>
      <c r="E186" s="327"/>
      <c r="F186" s="327"/>
      <c r="G186" s="327"/>
      <c r="H186" s="327"/>
      <c r="I186" s="327"/>
      <c r="J186" s="327"/>
      <c r="K186" s="327"/>
      <c r="L186" s="327"/>
      <c r="M186" s="327"/>
      <c r="N186" s="327"/>
      <c r="O186" s="327"/>
      <c r="P186" s="327"/>
      <c r="Q186" s="327"/>
      <c r="R186" s="327"/>
      <c r="S186" s="327"/>
      <c r="T186" s="327"/>
      <c r="U186" s="327"/>
      <c r="V186" s="327"/>
      <c r="W186" s="327"/>
      <c r="X186" s="327"/>
    </row>
    <row r="187" spans="1:24">
      <c r="A187"/>
      <c r="D187" s="494"/>
      <c r="E187" s="327"/>
      <c r="F187" s="327"/>
      <c r="G187" s="327"/>
      <c r="H187" s="327"/>
      <c r="I187" s="327"/>
      <c r="J187" s="327"/>
      <c r="K187" s="327"/>
      <c r="L187" s="327"/>
      <c r="M187" s="327"/>
      <c r="N187" s="327"/>
      <c r="O187" s="327"/>
      <c r="P187" s="327"/>
      <c r="Q187" s="327"/>
      <c r="R187" s="327"/>
      <c r="S187" s="327"/>
      <c r="T187" s="327"/>
      <c r="U187" s="327"/>
      <c r="V187" s="327"/>
      <c r="W187" s="327"/>
      <c r="X187" s="327"/>
    </row>
    <row r="188" spans="1:24">
      <c r="A188"/>
      <c r="D188" s="494"/>
      <c r="E188" s="327"/>
      <c r="F188" s="327"/>
      <c r="G188" s="327"/>
      <c r="H188" s="327"/>
      <c r="I188" s="327"/>
      <c r="J188" s="327"/>
      <c r="K188" s="327"/>
      <c r="L188" s="327"/>
      <c r="M188" s="327"/>
      <c r="N188" s="327"/>
      <c r="O188" s="327"/>
      <c r="P188" s="327"/>
      <c r="Q188" s="327"/>
      <c r="R188" s="327"/>
      <c r="S188" s="327"/>
      <c r="T188" s="327"/>
      <c r="U188" s="327"/>
      <c r="V188" s="327"/>
      <c r="W188" s="327"/>
      <c r="X188" s="327"/>
    </row>
    <row r="189" spans="1:24">
      <c r="D189" s="494"/>
      <c r="E189" s="327"/>
      <c r="F189" s="327"/>
      <c r="G189" s="327"/>
      <c r="H189" s="362"/>
      <c r="I189" s="327"/>
      <c r="J189" s="327"/>
      <c r="K189" s="327"/>
      <c r="L189" s="327"/>
      <c r="M189" s="327"/>
      <c r="N189" s="327"/>
      <c r="O189" s="327"/>
      <c r="P189" s="327"/>
      <c r="Q189" s="327"/>
      <c r="R189" s="327"/>
      <c r="S189" s="327"/>
      <c r="T189" s="327"/>
      <c r="U189" s="327"/>
      <c r="V189" s="327"/>
      <c r="W189" s="327"/>
      <c r="X189" s="327"/>
    </row>
    <row r="190" spans="1:24">
      <c r="D190" s="326"/>
      <c r="E190" s="327"/>
      <c r="F190" s="327"/>
      <c r="G190" s="327"/>
      <c r="H190" s="359"/>
      <c r="I190" s="327"/>
      <c r="J190" s="327"/>
      <c r="K190" s="327"/>
      <c r="L190" s="327"/>
      <c r="M190" s="327"/>
      <c r="N190" s="327"/>
      <c r="O190" s="327"/>
      <c r="P190" s="327"/>
      <c r="Q190" s="327"/>
      <c r="R190" s="327"/>
      <c r="S190" s="327"/>
      <c r="T190" s="327"/>
      <c r="U190" s="327"/>
      <c r="V190" s="327"/>
      <c r="W190" s="327"/>
      <c r="X190" s="327"/>
    </row>
    <row r="191" spans="1:24">
      <c r="H191" s="305"/>
    </row>
    <row r="192" spans="1:24">
      <c r="H192" s="30"/>
    </row>
    <row r="193" spans="8:8">
      <c r="H193" s="87"/>
    </row>
    <row r="195" spans="8:8">
      <c r="H195" s="360"/>
    </row>
    <row r="196" spans="8:8">
      <c r="H196" s="361"/>
    </row>
  </sheetData>
  <pageMargins left="0.7" right="0.7" top="0.75" bottom="0.75" header="0.3" footer="0.3"/>
  <pageSetup paperSize="9" scale="20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FD194"/>
  <sheetViews>
    <sheetView topLeftCell="A76" zoomScale="70" zoomScaleNormal="70" workbookViewId="0">
      <selection activeCell="P88" sqref="P88:AE88"/>
    </sheetView>
  </sheetViews>
  <sheetFormatPr defaultColWidth="9" defaultRowHeight="16.5"/>
  <cols>
    <col min="1" max="1" width="45.625" style="33" customWidth="1"/>
    <col min="2" max="2" width="48.5" style="33" bestFit="1" customWidth="1"/>
    <col min="3" max="3" width="18.125" style="33" bestFit="1" customWidth="1"/>
    <col min="4" max="4" width="16.25" style="109" bestFit="1" customWidth="1"/>
    <col min="5" max="5" width="13.125" style="33" bestFit="1" customWidth="1"/>
    <col min="6" max="6" width="20.5" style="33" bestFit="1" customWidth="1"/>
    <col min="7" max="7" width="20.25" style="33" bestFit="1" customWidth="1"/>
    <col min="8" max="8" width="26.75" style="33" bestFit="1" customWidth="1"/>
    <col min="9" max="9" width="12.125" style="33" bestFit="1" customWidth="1"/>
    <col min="10" max="10" width="13.875" style="33" bestFit="1" customWidth="1"/>
    <col min="11" max="11" width="7.75" style="166" bestFit="1" customWidth="1"/>
    <col min="12" max="12" width="17.5" style="33" bestFit="1" customWidth="1"/>
    <col min="13" max="13" width="16.75" style="33" bestFit="1" customWidth="1"/>
    <col min="14" max="15" width="17.125" style="33" bestFit="1" customWidth="1"/>
    <col min="16" max="16" width="16.75" style="33" bestFit="1" customWidth="1"/>
    <col min="17" max="18" width="17.125" style="33" bestFit="1" customWidth="1"/>
    <col min="19" max="19" width="17.5" style="33" bestFit="1" customWidth="1"/>
    <col min="20" max="20" width="16.75" style="33" bestFit="1" customWidth="1"/>
    <col min="21" max="23" width="17.125" style="33" bestFit="1" customWidth="1"/>
    <col min="24" max="24" width="17.5" style="33" bestFit="1" customWidth="1"/>
    <col min="25" max="25" width="17.125" style="33" bestFit="1" customWidth="1"/>
    <col min="26" max="26" width="17.5" style="33" bestFit="1" customWidth="1"/>
    <col min="27" max="27" width="17.125" style="33" bestFit="1" customWidth="1"/>
    <col min="28" max="29" width="17.5" style="33" bestFit="1" customWidth="1"/>
    <col min="30" max="30" width="17.125" style="33" bestFit="1" customWidth="1"/>
    <col min="31" max="31" width="17.5" style="33" bestFit="1" customWidth="1"/>
    <col min="32" max="32" width="22.625" style="33" bestFit="1" customWidth="1"/>
    <col min="33" max="33" width="12.625" style="33" bestFit="1" customWidth="1"/>
    <col min="34" max="16384" width="9" style="33"/>
  </cols>
  <sheetData>
    <row r="1" spans="1:31" ht="18.75" thickBot="1">
      <c r="A1" s="11" t="str">
        <f>Intro!A1</f>
        <v>Town of Bar Harbor</v>
      </c>
      <c r="B1" s="13"/>
      <c r="C1" s="13"/>
      <c r="D1" s="99"/>
      <c r="E1" s="14"/>
      <c r="F1" s="14"/>
      <c r="G1" s="34"/>
      <c r="H1" s="34"/>
      <c r="I1" s="34"/>
      <c r="J1" s="34"/>
      <c r="K1" s="16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</row>
    <row r="2" spans="1:31" ht="17.25" thickBot="1">
      <c r="A2" s="380" t="str">
        <f>Intro!A2</f>
        <v>Ferry Property Business Plan</v>
      </c>
      <c r="B2" s="13"/>
      <c r="C2" s="13"/>
      <c r="D2" s="99"/>
      <c r="E2" s="14"/>
      <c r="F2" s="14"/>
      <c r="G2" s="34"/>
      <c r="H2" s="34"/>
      <c r="I2" s="34"/>
      <c r="J2" s="34"/>
      <c r="K2" s="16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</row>
    <row r="3" spans="1:31" s="392" customFormat="1" ht="14.25" thickBot="1">
      <c r="A3" s="384" t="str">
        <f>Intro!A3</f>
        <v>05.23.2018</v>
      </c>
      <c r="B3" s="2"/>
      <c r="C3" s="382"/>
      <c r="D3" s="393"/>
      <c r="E3" s="385"/>
      <c r="F3" s="385"/>
      <c r="G3" s="389"/>
      <c r="H3" s="389"/>
      <c r="I3" s="389"/>
      <c r="J3" s="389"/>
      <c r="K3" s="390"/>
      <c r="L3" s="391"/>
      <c r="M3" s="391"/>
      <c r="N3" s="391"/>
      <c r="O3" s="391"/>
      <c r="P3" s="391"/>
      <c r="Q3" s="391"/>
      <c r="R3" s="391"/>
      <c r="S3" s="391"/>
      <c r="T3" s="391"/>
      <c r="U3" s="391"/>
      <c r="V3" s="391"/>
      <c r="W3" s="391"/>
      <c r="X3" s="391"/>
      <c r="Y3" s="391"/>
      <c r="Z3" s="391"/>
      <c r="AA3" s="391"/>
      <c r="AB3" s="391"/>
      <c r="AC3" s="391"/>
      <c r="AD3" s="391"/>
      <c r="AE3" s="391"/>
    </row>
    <row r="4" spans="1:31" s="392" customFormat="1" ht="13.5">
      <c r="A4" s="384" t="str">
        <f ca="1">Intro!A4</f>
        <v>Town of Bar Harbor</v>
      </c>
      <c r="B4" s="382"/>
      <c r="C4" s="382"/>
      <c r="D4" s="393"/>
      <c r="E4" s="383">
        <f ca="1">NOW()</f>
        <v>43242.835659143515</v>
      </c>
      <c r="F4" s="383"/>
      <c r="G4" s="389"/>
      <c r="H4" s="389"/>
      <c r="I4" s="389"/>
      <c r="J4" s="389"/>
      <c r="K4" s="390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  <c r="W4" s="391"/>
      <c r="X4" s="391"/>
      <c r="Y4" s="391"/>
      <c r="Z4" s="391"/>
      <c r="AA4" s="391"/>
      <c r="AB4" s="391"/>
      <c r="AC4" s="391"/>
      <c r="AD4" s="391"/>
      <c r="AE4" s="391"/>
    </row>
    <row r="5" spans="1:31">
      <c r="A5" s="231" t="s">
        <v>342</v>
      </c>
      <c r="B5" s="231"/>
      <c r="C5" s="232"/>
      <c r="D5" s="233"/>
      <c r="E5" s="232"/>
      <c r="F5" s="232"/>
      <c r="G5" s="234"/>
      <c r="H5" s="234"/>
      <c r="I5" s="234"/>
      <c r="J5" s="234"/>
      <c r="K5" s="235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1:31">
      <c r="A6" s="237"/>
      <c r="B6" s="237"/>
      <c r="C6" s="237"/>
      <c r="D6" s="238"/>
      <c r="E6" s="237"/>
      <c r="F6" s="237"/>
      <c r="G6" s="237"/>
      <c r="H6" s="237"/>
      <c r="I6" s="237"/>
      <c r="J6" s="237"/>
      <c r="K6" s="659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</row>
    <row r="7" spans="1:31" ht="48.75" customHeight="1">
      <c r="A7" s="239"/>
      <c r="B7" s="240" t="s">
        <v>45</v>
      </c>
      <c r="C7" s="241" t="s">
        <v>46</v>
      </c>
      <c r="D7" s="242" t="s">
        <v>47</v>
      </c>
      <c r="E7" s="240" t="s">
        <v>21</v>
      </c>
      <c r="F7" s="240" t="s">
        <v>48</v>
      </c>
      <c r="G7" s="240" t="s">
        <v>49</v>
      </c>
      <c r="H7" s="240" t="s">
        <v>59</v>
      </c>
      <c r="I7" s="240" t="s">
        <v>22</v>
      </c>
      <c r="J7" s="240" t="s">
        <v>50</v>
      </c>
      <c r="K7" s="243">
        <v>2018</v>
      </c>
      <c r="L7" s="243">
        <v>2019</v>
      </c>
      <c r="M7" s="243">
        <v>2020</v>
      </c>
      <c r="N7" s="243">
        <v>2021</v>
      </c>
      <c r="O7" s="243">
        <v>2022</v>
      </c>
      <c r="P7" s="243">
        <v>2023</v>
      </c>
      <c r="Q7" s="243">
        <v>2024</v>
      </c>
      <c r="R7" s="243">
        <v>2025</v>
      </c>
      <c r="S7" s="243">
        <v>2026</v>
      </c>
      <c r="T7" s="243">
        <v>2027</v>
      </c>
      <c r="U7" s="243">
        <v>2028</v>
      </c>
      <c r="V7" s="243">
        <v>2029</v>
      </c>
      <c r="W7" s="243">
        <v>2030</v>
      </c>
      <c r="X7" s="243">
        <v>2031</v>
      </c>
      <c r="Y7" s="243">
        <v>2032</v>
      </c>
      <c r="Z7" s="243">
        <v>2033</v>
      </c>
      <c r="AA7" s="243">
        <v>2034</v>
      </c>
      <c r="AB7" s="243">
        <v>2035</v>
      </c>
      <c r="AC7" s="243">
        <v>2036</v>
      </c>
      <c r="AD7" s="243">
        <v>2037</v>
      </c>
      <c r="AE7" s="243">
        <v>2038</v>
      </c>
    </row>
    <row r="8" spans="1:31" s="18" customFormat="1" ht="17.25" thickBot="1">
      <c r="K8" s="488"/>
    </row>
    <row r="9" spans="1:31" s="18" customFormat="1" ht="17.25" thickBot="1">
      <c r="A9" s="117" t="s">
        <v>381</v>
      </c>
      <c r="B9" s="484" t="str">
        <f>'Cruise Projections'!A89</f>
        <v>Scenario 5 - Percent of 2018 Business - NCLH</v>
      </c>
      <c r="K9" s="489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  <c r="Y9" s="327"/>
      <c r="Z9" s="327"/>
      <c r="AA9" s="327"/>
      <c r="AB9" s="327"/>
      <c r="AC9" s="327"/>
      <c r="AD9" s="327"/>
      <c r="AE9" s="327"/>
    </row>
    <row r="10" spans="1:31" s="18" customFormat="1">
      <c r="A10" s="649"/>
      <c r="B10" s="372"/>
      <c r="K10" s="489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  <c r="Y10" s="327"/>
      <c r="Z10" s="327"/>
      <c r="AA10" s="327"/>
      <c r="AB10" s="327"/>
      <c r="AC10" s="327"/>
      <c r="AD10" s="327"/>
      <c r="AE10" s="327"/>
    </row>
    <row r="11" spans="1:31">
      <c r="A11" s="38" t="s">
        <v>52</v>
      </c>
      <c r="B11" s="38"/>
      <c r="C11" s="38"/>
      <c r="D11" s="101"/>
      <c r="E11" s="38"/>
      <c r="F11" s="38"/>
      <c r="G11" s="37"/>
      <c r="H11" s="37"/>
      <c r="I11" s="38"/>
      <c r="J11" s="37"/>
      <c r="K11" s="784">
        <f>'OPEX - Concept A1'!K11</f>
        <v>0</v>
      </c>
      <c r="L11" s="311">
        <f>'BH Tariffs'!D52</f>
        <v>1.02</v>
      </c>
      <c r="M11" s="311">
        <f>'BH Tariffs'!E52</f>
        <v>1.0404</v>
      </c>
      <c r="N11" s="311">
        <f>'BH Tariffs'!F52</f>
        <v>1.0612079999999999</v>
      </c>
      <c r="O11" s="311">
        <f>'BH Tariffs'!G52</f>
        <v>1.08243216</v>
      </c>
      <c r="P11" s="311">
        <f>'BH Tariffs'!H52</f>
        <v>1.1040808032</v>
      </c>
      <c r="Q11" s="311">
        <f>'BH Tariffs'!I52</f>
        <v>1.1261624192640001</v>
      </c>
      <c r="R11" s="311">
        <f>'BH Tariffs'!J52</f>
        <v>1.14868566764928</v>
      </c>
      <c r="S11" s="311">
        <f>'BH Tariffs'!K52</f>
        <v>1.1716593810022657</v>
      </c>
      <c r="T11" s="311">
        <f>'BH Tariffs'!L52</f>
        <v>1.1950925686223111</v>
      </c>
      <c r="U11" s="311">
        <f>'BH Tariffs'!M52</f>
        <v>1.2189944199947573</v>
      </c>
      <c r="V11" s="311">
        <f>'BH Tariffs'!N52</f>
        <v>1.2433743083946525</v>
      </c>
      <c r="W11" s="311">
        <f>'BH Tariffs'!O52</f>
        <v>1.2682417945625455</v>
      </c>
      <c r="X11" s="311">
        <f>'BH Tariffs'!P52</f>
        <v>1.2936066304537963</v>
      </c>
      <c r="Y11" s="311">
        <f>'BH Tariffs'!Q52</f>
        <v>1.3194787630628724</v>
      </c>
      <c r="Z11" s="311">
        <f>'BH Tariffs'!R52</f>
        <v>1.3458683383241299</v>
      </c>
      <c r="AA11" s="311">
        <f>'BH Tariffs'!S52</f>
        <v>1.3727857050906125</v>
      </c>
      <c r="AB11" s="311">
        <f>'BH Tariffs'!T52</f>
        <v>1.4002414191924248</v>
      </c>
      <c r="AC11" s="311">
        <f>'BH Tariffs'!U52</f>
        <v>1.4282462475762734</v>
      </c>
      <c r="AD11" s="311">
        <f>'BH Tariffs'!V52</f>
        <v>1.4568111725277988</v>
      </c>
      <c r="AE11" s="311">
        <f>'BH Tariffs'!W52</f>
        <v>1.4859473959783549</v>
      </c>
    </row>
    <row r="12" spans="1:31">
      <c r="A12" s="38" t="s">
        <v>58</v>
      </c>
      <c r="B12" s="38"/>
      <c r="C12" s="37"/>
      <c r="D12" s="76"/>
      <c r="E12" s="79">
        <v>0.2</v>
      </c>
      <c r="F12" s="172"/>
      <c r="G12" s="36"/>
      <c r="H12" s="36"/>
      <c r="I12" s="38"/>
      <c r="J12" s="36"/>
      <c r="K12" s="661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200"/>
      <c r="AC12" s="200"/>
      <c r="AD12" s="200"/>
      <c r="AE12" s="200"/>
    </row>
    <row r="13" spans="1:31">
      <c r="A13" s="38" t="s">
        <v>51</v>
      </c>
      <c r="B13" s="38"/>
      <c r="C13" s="37"/>
      <c r="D13" s="76"/>
      <c r="E13" s="79"/>
      <c r="F13" s="79">
        <v>0.4</v>
      </c>
      <c r="G13" s="36"/>
      <c r="H13" s="36"/>
      <c r="I13" s="38"/>
      <c r="J13" s="36"/>
      <c r="K13" s="661"/>
      <c r="L13" s="200"/>
      <c r="M13" s="200"/>
      <c r="N13" s="200"/>
      <c r="O13" s="200"/>
      <c r="P13" s="200"/>
      <c r="Q13" s="200"/>
      <c r="R13" s="200"/>
      <c r="S13" s="200"/>
      <c r="T13" s="200"/>
      <c r="U13" s="200"/>
      <c r="V13" s="200"/>
      <c r="W13" s="200"/>
      <c r="X13" s="200"/>
      <c r="Y13" s="200"/>
      <c r="Z13" s="200"/>
      <c r="AA13" s="200"/>
      <c r="AB13" s="200"/>
      <c r="AC13" s="200"/>
      <c r="AD13" s="200"/>
      <c r="AE13" s="200"/>
    </row>
    <row r="14" spans="1:31" s="18" customFormat="1">
      <c r="A14" s="649"/>
      <c r="B14" s="372"/>
      <c r="K14" s="489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7"/>
      <c r="X14" s="327"/>
      <c r="Y14" s="327"/>
      <c r="Z14" s="327"/>
      <c r="AA14" s="327"/>
      <c r="AB14" s="327"/>
      <c r="AC14" s="327"/>
      <c r="AD14" s="327"/>
      <c r="AE14" s="327"/>
    </row>
    <row r="15" spans="1:31" s="18" customFormat="1">
      <c r="K15" s="489"/>
      <c r="L15" s="327"/>
      <c r="M15" s="327"/>
      <c r="N15" s="327"/>
      <c r="O15" s="327"/>
      <c r="P15" s="327"/>
      <c r="Q15" s="327"/>
      <c r="R15" s="327"/>
      <c r="S15" s="327"/>
      <c r="T15" s="327"/>
      <c r="U15" s="327"/>
      <c r="V15" s="327"/>
      <c r="W15" s="327"/>
      <c r="X15" s="327"/>
      <c r="Y15" s="327"/>
      <c r="Z15" s="327"/>
      <c r="AA15" s="327"/>
      <c r="AB15" s="327"/>
      <c r="AC15" s="327"/>
      <c r="AD15" s="327"/>
      <c r="AE15" s="327"/>
    </row>
    <row r="16" spans="1:31" s="582" customFormat="1" ht="14.25">
      <c r="A16" s="582" t="s">
        <v>83</v>
      </c>
      <c r="K16" s="490"/>
      <c r="L16" s="785"/>
      <c r="M16" s="785"/>
      <c r="N16" s="785"/>
      <c r="O16" s="785"/>
      <c r="P16" s="785"/>
      <c r="Q16" s="785"/>
      <c r="R16" s="785"/>
      <c r="S16" s="785"/>
      <c r="T16" s="785"/>
      <c r="U16" s="785"/>
      <c r="V16" s="785"/>
      <c r="W16" s="785"/>
      <c r="X16" s="785"/>
      <c r="Y16" s="785"/>
      <c r="Z16" s="785"/>
      <c r="AA16" s="785"/>
      <c r="AB16" s="785"/>
      <c r="AC16" s="785"/>
      <c r="AD16" s="785"/>
      <c r="AE16" s="785"/>
    </row>
    <row r="17" spans="1:31" s="96" customFormat="1">
      <c r="A17" s="53" t="str">
        <f>'Cruise Projections'!A67</f>
        <v>Passengers</v>
      </c>
      <c r="B17" s="487"/>
      <c r="C17" s="487"/>
      <c r="K17" s="486">
        <f>'P&amp;L - Concept B3 - NCLH'!D12</f>
        <v>0</v>
      </c>
      <c r="L17" s="313">
        <f>'P&amp;L - Concept B3 - NCLH'!E12</f>
        <v>0</v>
      </c>
      <c r="M17" s="313">
        <f>'P&amp;L - Concept B3 - NCLH'!F12</f>
        <v>51920.067226246269</v>
      </c>
      <c r="N17" s="313">
        <f>'P&amp;L - Concept B3 - NCLH'!G12</f>
        <v>51920.067226246269</v>
      </c>
      <c r="O17" s="313">
        <f>'P&amp;L - Concept B3 - NCLH'!H12</f>
        <v>51920.067226246269</v>
      </c>
      <c r="P17" s="313">
        <f>'P&amp;L - Concept B3 - NCLH'!I12</f>
        <v>51920.067226246269</v>
      </c>
      <c r="Q17" s="313">
        <f>'P&amp;L - Concept B3 - NCLH'!J12</f>
        <v>51920.067226246269</v>
      </c>
      <c r="R17" s="313">
        <f>'P&amp;L - Concept B3 - NCLH'!K12</f>
        <v>51920.067226246269</v>
      </c>
      <c r="S17" s="313">
        <f>'P&amp;L - Concept B3 - NCLH'!L12</f>
        <v>51920.067226246269</v>
      </c>
      <c r="T17" s="313">
        <f>'P&amp;L - Concept B3 - NCLH'!M12</f>
        <v>51920.067226246269</v>
      </c>
      <c r="U17" s="313">
        <f>'P&amp;L - Concept B3 - NCLH'!N12</f>
        <v>51920.067226246269</v>
      </c>
      <c r="V17" s="313">
        <f>'P&amp;L - Concept B3 - NCLH'!O12</f>
        <v>51920.067226246269</v>
      </c>
      <c r="W17" s="313">
        <f>'P&amp;L - Concept B3 - NCLH'!P12</f>
        <v>51920.067226246269</v>
      </c>
      <c r="X17" s="313">
        <f>'P&amp;L - Concept B3 - NCLH'!Q12</f>
        <v>51920.067226246269</v>
      </c>
      <c r="Y17" s="313">
        <f>'P&amp;L - Concept B3 - NCLH'!R12</f>
        <v>51920.067226246269</v>
      </c>
      <c r="Z17" s="313">
        <f>'P&amp;L - Concept B3 - NCLH'!S12</f>
        <v>51920.067226246269</v>
      </c>
      <c r="AA17" s="313">
        <f>'P&amp;L - Concept B3 - NCLH'!T12</f>
        <v>51920.067226246269</v>
      </c>
      <c r="AB17" s="313">
        <f>'P&amp;L - Concept B3 - NCLH'!U12</f>
        <v>51920.067226246269</v>
      </c>
      <c r="AC17" s="313">
        <f>'P&amp;L - Concept B3 - NCLH'!V12</f>
        <v>51920.067226246269</v>
      </c>
      <c r="AD17" s="313">
        <f>'P&amp;L - Concept B3 - NCLH'!W12</f>
        <v>51920.067226246269</v>
      </c>
      <c r="AE17" s="313">
        <f>'P&amp;L - Concept B3 - NCLH'!X12</f>
        <v>51920.067226246269</v>
      </c>
    </row>
    <row r="18" spans="1:31" s="96" customFormat="1">
      <c r="A18" s="53" t="str">
        <f>'Cruise Projections'!A68</f>
        <v>Calls</v>
      </c>
      <c r="B18" s="487"/>
      <c r="C18" s="487"/>
      <c r="K18" s="486">
        <f>'P&amp;L - Concept B3 - NCLH'!D13</f>
        <v>0</v>
      </c>
      <c r="L18" s="313">
        <f>'P&amp;L - Concept B3 - NCLH'!E13</f>
        <v>0</v>
      </c>
      <c r="M18" s="313">
        <f>'P&amp;L - Concept B3 - NCLH'!F13</f>
        <v>27.711111111111112</v>
      </c>
      <c r="N18" s="313">
        <f>'P&amp;L - Concept B3 - NCLH'!G13</f>
        <v>27.711111111111112</v>
      </c>
      <c r="O18" s="313">
        <f>'P&amp;L - Concept B3 - NCLH'!H13</f>
        <v>27.711111111111112</v>
      </c>
      <c r="P18" s="313">
        <f>'P&amp;L - Concept B3 - NCLH'!I13</f>
        <v>27.711111111111112</v>
      </c>
      <c r="Q18" s="313">
        <f>'P&amp;L - Concept B3 - NCLH'!J13</f>
        <v>27.711111111111112</v>
      </c>
      <c r="R18" s="313">
        <f>'P&amp;L - Concept B3 - NCLH'!K13</f>
        <v>27.711111111111112</v>
      </c>
      <c r="S18" s="313">
        <f>'P&amp;L - Concept B3 - NCLH'!L13</f>
        <v>27.711111111111112</v>
      </c>
      <c r="T18" s="313">
        <f>'P&amp;L - Concept B3 - NCLH'!M13</f>
        <v>27.711111111111112</v>
      </c>
      <c r="U18" s="313">
        <f>'P&amp;L - Concept B3 - NCLH'!N13</f>
        <v>27.711111111111112</v>
      </c>
      <c r="V18" s="313">
        <f>'P&amp;L - Concept B3 - NCLH'!O13</f>
        <v>27.711111111111112</v>
      </c>
      <c r="W18" s="313">
        <f>'P&amp;L - Concept B3 - NCLH'!P13</f>
        <v>27.711111111111112</v>
      </c>
      <c r="X18" s="313">
        <f>'P&amp;L - Concept B3 - NCLH'!Q13</f>
        <v>27.711111111111112</v>
      </c>
      <c r="Y18" s="313">
        <f>'P&amp;L - Concept B3 - NCLH'!R13</f>
        <v>27.711111111111112</v>
      </c>
      <c r="Z18" s="313">
        <f>'P&amp;L - Concept B3 - NCLH'!S13</f>
        <v>27.711111111111112</v>
      </c>
      <c r="AA18" s="313">
        <f>'P&amp;L - Concept B3 - NCLH'!T13</f>
        <v>27.711111111111112</v>
      </c>
      <c r="AB18" s="313">
        <f>'P&amp;L - Concept B3 - NCLH'!U13</f>
        <v>27.711111111111112</v>
      </c>
      <c r="AC18" s="313">
        <f>'P&amp;L - Concept B3 - NCLH'!V13</f>
        <v>27.711111111111112</v>
      </c>
      <c r="AD18" s="313">
        <f>'P&amp;L - Concept B3 - NCLH'!W13</f>
        <v>27.711111111111112</v>
      </c>
      <c r="AE18" s="313">
        <f>'P&amp;L - Concept B3 - NCLH'!X13</f>
        <v>27.711111111111112</v>
      </c>
    </row>
    <row r="19" spans="1:31" s="96" customFormat="1">
      <c r="A19" s="53" t="str">
        <f>'Cruise Projections'!A69</f>
        <v>Passengers per Call</v>
      </c>
      <c r="B19" s="487"/>
      <c r="C19" s="487"/>
      <c r="K19" s="486">
        <f>'P&amp;L - Concept B3 - NCLH'!D14</f>
        <v>0</v>
      </c>
      <c r="L19" s="313">
        <f>'P&amp;L - Concept B3 - NCLH'!E14</f>
        <v>0</v>
      </c>
      <c r="M19" s="313">
        <f>'P&amp;L - Concept B3 - NCLH'!F14</f>
        <v>1873.6191059992639</v>
      </c>
      <c r="N19" s="313">
        <f>'P&amp;L - Concept B3 - NCLH'!G14</f>
        <v>1873.6191059992639</v>
      </c>
      <c r="O19" s="313">
        <f>'P&amp;L - Concept B3 - NCLH'!H14</f>
        <v>1873.6191059992639</v>
      </c>
      <c r="P19" s="313">
        <f>'P&amp;L - Concept B3 - NCLH'!I14</f>
        <v>1873.6191059992639</v>
      </c>
      <c r="Q19" s="313">
        <f>'P&amp;L - Concept B3 - NCLH'!J14</f>
        <v>1873.6191059992639</v>
      </c>
      <c r="R19" s="313">
        <f>'P&amp;L - Concept B3 - NCLH'!K14</f>
        <v>1873.6191059992639</v>
      </c>
      <c r="S19" s="313">
        <f>'P&amp;L - Concept B3 - NCLH'!L14</f>
        <v>1873.6191059992639</v>
      </c>
      <c r="T19" s="313">
        <f>'P&amp;L - Concept B3 - NCLH'!M14</f>
        <v>1873.6191059992639</v>
      </c>
      <c r="U19" s="313">
        <f>'P&amp;L - Concept B3 - NCLH'!N14</f>
        <v>1873.6191059992639</v>
      </c>
      <c r="V19" s="313">
        <f>'P&amp;L - Concept B3 - NCLH'!O14</f>
        <v>1873.6191059992639</v>
      </c>
      <c r="W19" s="313">
        <f>'P&amp;L - Concept B3 - NCLH'!P14</f>
        <v>1873.6191059992639</v>
      </c>
      <c r="X19" s="313">
        <f>'P&amp;L - Concept B3 - NCLH'!Q14</f>
        <v>1873.6191059992639</v>
      </c>
      <c r="Y19" s="313">
        <f>'P&amp;L - Concept B3 - NCLH'!R14</f>
        <v>1873.6191059992639</v>
      </c>
      <c r="Z19" s="313">
        <f>'P&amp;L - Concept B3 - NCLH'!S14</f>
        <v>1873.6191059992639</v>
      </c>
      <c r="AA19" s="313">
        <f>'P&amp;L - Concept B3 - NCLH'!T14</f>
        <v>1873.6191059992639</v>
      </c>
      <c r="AB19" s="313">
        <f>'P&amp;L - Concept B3 - NCLH'!U14</f>
        <v>1873.6191059992639</v>
      </c>
      <c r="AC19" s="313">
        <f>'P&amp;L - Concept B3 - NCLH'!V14</f>
        <v>1873.6191059992639</v>
      </c>
      <c r="AD19" s="313">
        <f>'P&amp;L - Concept B3 - NCLH'!W14</f>
        <v>1873.6191059992639</v>
      </c>
      <c r="AE19" s="313">
        <f>'P&amp;L - Concept B3 - NCLH'!X14</f>
        <v>1873.6191059992639</v>
      </c>
    </row>
    <row r="20" spans="1:31" s="96" customFormat="1">
      <c r="A20" s="54" t="s">
        <v>313</v>
      </c>
      <c r="B20" s="487"/>
      <c r="C20" s="487"/>
      <c r="K20" s="486">
        <f>'P&amp;L - Concept B3 - NCLH'!D15</f>
        <v>0</v>
      </c>
      <c r="L20" s="313">
        <f>'P&amp;L - Concept B3 - NCLH'!E15</f>
        <v>0</v>
      </c>
      <c r="M20" s="313">
        <f>'P&amp;L - Concept B3 - NCLH'!F15</f>
        <v>4120</v>
      </c>
      <c r="N20" s="313">
        <f>'P&amp;L - Concept B3 - NCLH'!G15</f>
        <v>4120</v>
      </c>
      <c r="O20" s="313">
        <f>'P&amp;L - Concept B3 - NCLH'!H15</f>
        <v>4120</v>
      </c>
      <c r="P20" s="313">
        <f>'P&amp;L - Concept B3 - NCLH'!I15</f>
        <v>4120</v>
      </c>
      <c r="Q20" s="313">
        <f>'P&amp;L - Concept B3 - NCLH'!J15</f>
        <v>4120</v>
      </c>
      <c r="R20" s="313">
        <f>'P&amp;L - Concept B3 - NCLH'!K15</f>
        <v>4120</v>
      </c>
      <c r="S20" s="313">
        <f>'P&amp;L - Concept B3 - NCLH'!L15</f>
        <v>4120</v>
      </c>
      <c r="T20" s="313">
        <f>'P&amp;L - Concept B3 - NCLH'!M15</f>
        <v>4120</v>
      </c>
      <c r="U20" s="313">
        <f>'P&amp;L - Concept B3 - NCLH'!N15</f>
        <v>4120</v>
      </c>
      <c r="V20" s="313">
        <f>'P&amp;L - Concept B3 - NCLH'!O15</f>
        <v>4120</v>
      </c>
      <c r="W20" s="313">
        <f>'P&amp;L - Concept B3 - NCLH'!P15</f>
        <v>4120</v>
      </c>
      <c r="X20" s="313">
        <f>'P&amp;L - Concept B3 - NCLH'!Q15</f>
        <v>4120</v>
      </c>
      <c r="Y20" s="313">
        <f>'P&amp;L - Concept B3 - NCLH'!R15</f>
        <v>4120</v>
      </c>
      <c r="Z20" s="313">
        <f>'P&amp;L - Concept B3 - NCLH'!S15</f>
        <v>4120</v>
      </c>
      <c r="AA20" s="313">
        <f>'P&amp;L - Concept B3 - NCLH'!T15</f>
        <v>4120</v>
      </c>
      <c r="AB20" s="313">
        <f>'P&amp;L - Concept B3 - NCLH'!U15</f>
        <v>4120</v>
      </c>
      <c r="AC20" s="313">
        <f>'P&amp;L - Concept B3 - NCLH'!V15</f>
        <v>4120</v>
      </c>
      <c r="AD20" s="313">
        <f>'P&amp;L - Concept B3 - NCLH'!W15</f>
        <v>4120</v>
      </c>
      <c r="AE20" s="313">
        <f>'P&amp;L - Concept B3 - NCLH'!X15</f>
        <v>4120</v>
      </c>
    </row>
    <row r="21" spans="1:31" s="18" customFormat="1">
      <c r="A21" s="54"/>
      <c r="B21" s="21"/>
      <c r="C21" s="21"/>
      <c r="K21" s="486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  <c r="Y21" s="313"/>
      <c r="Z21" s="313"/>
      <c r="AA21" s="313"/>
      <c r="AB21" s="313"/>
      <c r="AC21" s="313"/>
      <c r="AD21" s="313"/>
      <c r="AE21" s="313"/>
    </row>
    <row r="22" spans="1:31" s="547" customFormat="1">
      <c r="A22" s="549" t="s">
        <v>163</v>
      </c>
      <c r="B22" s="550"/>
      <c r="C22" s="550"/>
      <c r="K22" s="610"/>
      <c r="L22" s="555"/>
      <c r="M22" s="555"/>
      <c r="N22" s="555"/>
      <c r="O22" s="555"/>
      <c r="P22" s="555"/>
      <c r="Q22" s="555"/>
      <c r="R22" s="555"/>
      <c r="S22" s="555"/>
      <c r="T22" s="555"/>
      <c r="U22" s="555"/>
      <c r="V22" s="555"/>
      <c r="W22" s="555"/>
      <c r="X22" s="555"/>
      <c r="Y22" s="555"/>
      <c r="Z22" s="555"/>
      <c r="AA22" s="555"/>
      <c r="AB22" s="555"/>
      <c r="AC22" s="555"/>
      <c r="AD22" s="555"/>
      <c r="AE22" s="555"/>
    </row>
    <row r="23" spans="1:31" s="341" customFormat="1">
      <c r="A23" s="552" t="str">
        <f>'International Ferry Projections'!A11</f>
        <v>Passengers</v>
      </c>
      <c r="B23" s="553"/>
      <c r="C23" s="553"/>
      <c r="K23" s="554">
        <f>'P&amp;L - Concept B3 - NCLH'!D18</f>
        <v>0</v>
      </c>
      <c r="L23" s="555">
        <f>'P&amp;L - Concept B3 - NCLH'!E18</f>
        <v>60000</v>
      </c>
      <c r="M23" s="555">
        <f>'P&amp;L - Concept B3 - NCLH'!F18</f>
        <v>70000</v>
      </c>
      <c r="N23" s="555">
        <f>'P&amp;L - Concept B3 - NCLH'!G18</f>
        <v>80000</v>
      </c>
      <c r="O23" s="555">
        <f>'P&amp;L - Concept B3 - NCLH'!H18</f>
        <v>80000</v>
      </c>
      <c r="P23" s="555">
        <f>'P&amp;L - Concept B3 - NCLH'!I18</f>
        <v>80000</v>
      </c>
      <c r="Q23" s="555">
        <f>'P&amp;L - Concept B3 - NCLH'!J18</f>
        <v>80000</v>
      </c>
      <c r="R23" s="555">
        <f>'P&amp;L - Concept B3 - NCLH'!K18</f>
        <v>80000</v>
      </c>
      <c r="S23" s="555">
        <f>'P&amp;L - Concept B3 - NCLH'!L18</f>
        <v>80000</v>
      </c>
      <c r="T23" s="555">
        <f>'P&amp;L - Concept B3 - NCLH'!M18</f>
        <v>80000</v>
      </c>
      <c r="U23" s="555">
        <f>'P&amp;L - Concept B3 - NCLH'!N18</f>
        <v>80000</v>
      </c>
      <c r="V23" s="555">
        <f>'P&amp;L - Concept B3 - NCLH'!O18</f>
        <v>80000</v>
      </c>
      <c r="W23" s="555">
        <f>'P&amp;L - Concept B3 - NCLH'!P18</f>
        <v>80000</v>
      </c>
      <c r="X23" s="555">
        <f>'P&amp;L - Concept B3 - NCLH'!Q18</f>
        <v>80000</v>
      </c>
      <c r="Y23" s="555">
        <f>'P&amp;L - Concept B3 - NCLH'!R18</f>
        <v>80000</v>
      </c>
      <c r="Z23" s="555">
        <f>'P&amp;L - Concept B3 - NCLH'!S18</f>
        <v>80000</v>
      </c>
      <c r="AA23" s="555">
        <f>'P&amp;L - Concept B3 - NCLH'!T18</f>
        <v>80000</v>
      </c>
      <c r="AB23" s="555">
        <f>'P&amp;L - Concept B3 - NCLH'!U18</f>
        <v>80000</v>
      </c>
      <c r="AC23" s="555">
        <f>'P&amp;L - Concept B3 - NCLH'!V18</f>
        <v>80000</v>
      </c>
      <c r="AD23" s="555">
        <f>'P&amp;L - Concept B3 - NCLH'!W18</f>
        <v>80000</v>
      </c>
      <c r="AE23" s="555">
        <f>'P&amp;L - Concept B3 - NCLH'!X18</f>
        <v>80000</v>
      </c>
    </row>
    <row r="24" spans="1:31" s="341" customFormat="1">
      <c r="A24" s="552" t="str">
        <f>'International Ferry Projections'!A12</f>
        <v>Cars</v>
      </c>
      <c r="B24" s="553"/>
      <c r="C24" s="553"/>
      <c r="K24" s="554">
        <f>'P&amp;L - Concept B3 - NCLH'!D19</f>
        <v>0</v>
      </c>
      <c r="L24" s="555">
        <f>'P&amp;L - Concept B3 - NCLH'!E19</f>
        <v>24000</v>
      </c>
      <c r="M24" s="555">
        <f>'P&amp;L - Concept B3 - NCLH'!F19</f>
        <v>28000</v>
      </c>
      <c r="N24" s="555">
        <f>'P&amp;L - Concept B3 - NCLH'!G19</f>
        <v>32000</v>
      </c>
      <c r="O24" s="555">
        <f>'P&amp;L - Concept B3 - NCLH'!H19</f>
        <v>32000</v>
      </c>
      <c r="P24" s="555">
        <f>'P&amp;L - Concept B3 - NCLH'!I19</f>
        <v>32000</v>
      </c>
      <c r="Q24" s="555">
        <f>'P&amp;L - Concept B3 - NCLH'!J19</f>
        <v>32000</v>
      </c>
      <c r="R24" s="555">
        <f>'P&amp;L - Concept B3 - NCLH'!K19</f>
        <v>32000</v>
      </c>
      <c r="S24" s="555">
        <f>'P&amp;L - Concept B3 - NCLH'!L19</f>
        <v>32000</v>
      </c>
      <c r="T24" s="555">
        <f>'P&amp;L - Concept B3 - NCLH'!M19</f>
        <v>32000</v>
      </c>
      <c r="U24" s="555">
        <f>'P&amp;L - Concept B3 - NCLH'!N19</f>
        <v>32000</v>
      </c>
      <c r="V24" s="555">
        <f>'P&amp;L - Concept B3 - NCLH'!O19</f>
        <v>32000</v>
      </c>
      <c r="W24" s="555">
        <f>'P&amp;L - Concept B3 - NCLH'!P19</f>
        <v>32000</v>
      </c>
      <c r="X24" s="555">
        <f>'P&amp;L - Concept B3 - NCLH'!Q19</f>
        <v>32000</v>
      </c>
      <c r="Y24" s="555">
        <f>'P&amp;L - Concept B3 - NCLH'!R19</f>
        <v>32000</v>
      </c>
      <c r="Z24" s="555">
        <f>'P&amp;L - Concept B3 - NCLH'!S19</f>
        <v>32000</v>
      </c>
      <c r="AA24" s="555">
        <f>'P&amp;L - Concept B3 - NCLH'!T19</f>
        <v>32000</v>
      </c>
      <c r="AB24" s="555">
        <f>'P&amp;L - Concept B3 - NCLH'!U19</f>
        <v>32000</v>
      </c>
      <c r="AC24" s="555">
        <f>'P&amp;L - Concept B3 - NCLH'!V19</f>
        <v>32000</v>
      </c>
      <c r="AD24" s="555">
        <f>'P&amp;L - Concept B3 - NCLH'!W19</f>
        <v>32000</v>
      </c>
      <c r="AE24" s="555">
        <f>'P&amp;L - Concept B3 - NCLH'!X19</f>
        <v>32000</v>
      </c>
    </row>
    <row r="25" spans="1:31" s="341" customFormat="1">
      <c r="A25" s="552" t="str">
        <f>'International Ferry Projections'!A13</f>
        <v>Buses</v>
      </c>
      <c r="B25" s="553"/>
      <c r="C25" s="553"/>
      <c r="K25" s="554">
        <f>'P&amp;L - Concept B3 - NCLH'!D20</f>
        <v>0</v>
      </c>
      <c r="L25" s="555">
        <f>'P&amp;L - Concept B3 - NCLH'!E20</f>
        <v>40</v>
      </c>
      <c r="M25" s="555">
        <f>'P&amp;L - Concept B3 - NCLH'!F20</f>
        <v>50</v>
      </c>
      <c r="N25" s="555">
        <f>'P&amp;L - Concept B3 - NCLH'!G20</f>
        <v>60</v>
      </c>
      <c r="O25" s="555">
        <f>'P&amp;L - Concept B3 - NCLH'!H20</f>
        <v>60</v>
      </c>
      <c r="P25" s="555">
        <f>'P&amp;L - Concept B3 - NCLH'!I20</f>
        <v>60</v>
      </c>
      <c r="Q25" s="555">
        <f>'P&amp;L - Concept B3 - NCLH'!J20</f>
        <v>60</v>
      </c>
      <c r="R25" s="555">
        <f>'P&amp;L - Concept B3 - NCLH'!K20</f>
        <v>60</v>
      </c>
      <c r="S25" s="555">
        <f>'P&amp;L - Concept B3 - NCLH'!L20</f>
        <v>60</v>
      </c>
      <c r="T25" s="555">
        <f>'P&amp;L - Concept B3 - NCLH'!M20</f>
        <v>60</v>
      </c>
      <c r="U25" s="555">
        <f>'P&amp;L - Concept B3 - NCLH'!N20</f>
        <v>60</v>
      </c>
      <c r="V25" s="555">
        <f>'P&amp;L - Concept B3 - NCLH'!O20</f>
        <v>60</v>
      </c>
      <c r="W25" s="555">
        <f>'P&amp;L - Concept B3 - NCLH'!P20</f>
        <v>60</v>
      </c>
      <c r="X25" s="555">
        <f>'P&amp;L - Concept B3 - NCLH'!Q20</f>
        <v>60</v>
      </c>
      <c r="Y25" s="555">
        <f>'P&amp;L - Concept B3 - NCLH'!R20</f>
        <v>60</v>
      </c>
      <c r="Z25" s="555">
        <f>'P&amp;L - Concept B3 - NCLH'!S20</f>
        <v>60</v>
      </c>
      <c r="AA25" s="555">
        <f>'P&amp;L - Concept B3 - NCLH'!T20</f>
        <v>60</v>
      </c>
      <c r="AB25" s="555">
        <f>'P&amp;L - Concept B3 - NCLH'!U20</f>
        <v>60</v>
      </c>
      <c r="AC25" s="555">
        <f>'P&amp;L - Concept B3 - NCLH'!V20</f>
        <v>60</v>
      </c>
      <c r="AD25" s="555">
        <f>'P&amp;L - Concept B3 - NCLH'!W20</f>
        <v>60</v>
      </c>
      <c r="AE25" s="555">
        <f>'P&amp;L - Concept B3 - NCLH'!X20</f>
        <v>60</v>
      </c>
    </row>
    <row r="26" spans="1:31" s="18" customFormat="1">
      <c r="A26" s="54"/>
      <c r="B26" s="21"/>
      <c r="C26" s="21"/>
      <c r="K26" s="486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</row>
    <row r="27" spans="1:31" s="582" customFormat="1">
      <c r="A27" s="293" t="str">
        <f>'BH Tariffs'!A30</f>
        <v>Local Ferry</v>
      </c>
      <c r="B27" s="581"/>
      <c r="C27" s="581"/>
      <c r="K27" s="486"/>
      <c r="L27" s="313"/>
      <c r="M27" s="313"/>
      <c r="N27" s="313"/>
      <c r="O27" s="313"/>
      <c r="P27" s="313"/>
      <c r="Q27" s="313"/>
      <c r="R27" s="313"/>
      <c r="S27" s="313"/>
      <c r="T27" s="313"/>
      <c r="U27" s="313"/>
      <c r="V27" s="313"/>
      <c r="W27" s="313"/>
      <c r="X27" s="313"/>
      <c r="Y27" s="313"/>
      <c r="Z27" s="313"/>
      <c r="AA27" s="313"/>
      <c r="AB27" s="313"/>
      <c r="AC27" s="313"/>
      <c r="AD27" s="313"/>
      <c r="AE27" s="313"/>
    </row>
    <row r="28" spans="1:31" s="96" customFormat="1">
      <c r="A28" s="54" t="str">
        <f>'BH Tariffs'!A31</f>
        <v>Dock Rent (6 Months Only)</v>
      </c>
      <c r="B28" s="487"/>
      <c r="C28" s="487"/>
      <c r="K28" s="486">
        <f>'P&amp;L - Concept B3 - NCLH'!D23</f>
        <v>0</v>
      </c>
      <c r="L28" s="313" t="str">
        <f>'P&amp;L - Concept B3 - NCLH'!E23</f>
        <v>see Tariff</v>
      </c>
      <c r="M28" s="313" t="str">
        <f>'P&amp;L - Concept B3 - NCLH'!F23</f>
        <v>see Tariff</v>
      </c>
      <c r="N28" s="313" t="str">
        <f>'P&amp;L - Concept B3 - NCLH'!G23</f>
        <v>see Tariff</v>
      </c>
      <c r="O28" s="313" t="str">
        <f>'P&amp;L - Concept B3 - NCLH'!H23</f>
        <v>see Tariff</v>
      </c>
      <c r="P28" s="313" t="str">
        <f>'P&amp;L - Concept B3 - NCLH'!I23</f>
        <v>see Tariff</v>
      </c>
      <c r="Q28" s="313" t="str">
        <f>'P&amp;L - Concept B3 - NCLH'!J23</f>
        <v>see Tariff</v>
      </c>
      <c r="R28" s="313" t="str">
        <f>'P&amp;L - Concept B3 - NCLH'!K23</f>
        <v>see Tariff</v>
      </c>
      <c r="S28" s="313" t="str">
        <f>'P&amp;L - Concept B3 - NCLH'!L23</f>
        <v>see Tariff</v>
      </c>
      <c r="T28" s="313" t="str">
        <f>'P&amp;L - Concept B3 - NCLH'!M23</f>
        <v>see Tariff</v>
      </c>
      <c r="U28" s="313" t="str">
        <f>'P&amp;L - Concept B3 - NCLH'!N23</f>
        <v>see Tariff</v>
      </c>
      <c r="V28" s="313" t="str">
        <f>'P&amp;L - Concept B3 - NCLH'!O23</f>
        <v>see Tariff</v>
      </c>
      <c r="W28" s="313" t="str">
        <f>'P&amp;L - Concept B3 - NCLH'!P23</f>
        <v>see Tariff</v>
      </c>
      <c r="X28" s="313" t="str">
        <f>'P&amp;L - Concept B3 - NCLH'!Q23</f>
        <v>see Tariff</v>
      </c>
      <c r="Y28" s="313" t="str">
        <f>'P&amp;L - Concept B3 - NCLH'!R23</f>
        <v>see Tariff</v>
      </c>
      <c r="Z28" s="313" t="str">
        <f>'P&amp;L - Concept B3 - NCLH'!S23</f>
        <v>see Tariff</v>
      </c>
      <c r="AA28" s="313" t="str">
        <f>'P&amp;L - Concept B3 - NCLH'!T23</f>
        <v>see Tariff</v>
      </c>
      <c r="AB28" s="313" t="str">
        <f>'P&amp;L - Concept B3 - NCLH'!U23</f>
        <v>see Tariff</v>
      </c>
      <c r="AC28" s="313" t="str">
        <f>'P&amp;L - Concept B3 - NCLH'!V23</f>
        <v>see Tariff</v>
      </c>
      <c r="AD28" s="313" t="str">
        <f>'P&amp;L - Concept B3 - NCLH'!W23</f>
        <v>see Tariff</v>
      </c>
      <c r="AE28" s="313" t="str">
        <f>'P&amp;L - Concept B3 - NCLH'!X23</f>
        <v>see Tariff</v>
      </c>
    </row>
    <row r="29" spans="1:31" s="341" customFormat="1">
      <c r="A29" s="552"/>
      <c r="B29" s="553"/>
      <c r="C29" s="553"/>
      <c r="K29" s="554"/>
      <c r="L29" s="313"/>
      <c r="M29" s="313"/>
      <c r="N29" s="313"/>
      <c r="O29" s="313"/>
      <c r="P29" s="313"/>
      <c r="Q29" s="313"/>
      <c r="R29" s="313"/>
      <c r="S29" s="313"/>
      <c r="T29" s="313"/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</row>
    <row r="30" spans="1:31" s="96" customFormat="1">
      <c r="A30" s="559" t="s">
        <v>227</v>
      </c>
      <c r="B30" s="487"/>
      <c r="C30" s="487"/>
      <c r="K30" s="486"/>
      <c r="L30" s="313"/>
      <c r="M30" s="313"/>
      <c r="N30" s="313"/>
      <c r="O30" s="313"/>
      <c r="P30" s="313"/>
      <c r="Q30" s="313"/>
      <c r="R30" s="313"/>
      <c r="S30" s="313"/>
      <c r="T30" s="313"/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</row>
    <row r="31" spans="1:31" s="96" customFormat="1">
      <c r="A31" s="559"/>
      <c r="B31" s="487"/>
      <c r="C31" s="487"/>
      <c r="K31" s="486"/>
      <c r="L31" s="313"/>
      <c r="M31" s="313"/>
      <c r="N31" s="313"/>
      <c r="O31" s="313"/>
      <c r="P31" s="313"/>
      <c r="Q31" s="313"/>
      <c r="R31" s="313"/>
      <c r="S31" s="313"/>
      <c r="T31" s="313"/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</row>
    <row r="32" spans="1:31" s="96" customFormat="1">
      <c r="A32" s="54" t="s">
        <v>420</v>
      </c>
      <c r="B32" s="487"/>
      <c r="C32" s="487"/>
      <c r="K32" s="486">
        <f>'P&amp;L - Concept B3 - NCLH'!D27</f>
        <v>0</v>
      </c>
      <c r="L32" s="313">
        <f>'P&amp;L - Concept B3 - NCLH'!E27</f>
        <v>0</v>
      </c>
      <c r="M32" s="313">
        <f>'P&amp;L - Concept B3 - NCLH'!F27</f>
        <v>214</v>
      </c>
      <c r="N32" s="313">
        <f>'P&amp;L - Concept B3 - NCLH'!G27</f>
        <v>214</v>
      </c>
      <c r="O32" s="313">
        <f>'P&amp;L - Concept B3 - NCLH'!H27</f>
        <v>214</v>
      </c>
      <c r="P32" s="313">
        <f>'P&amp;L - Concept B3 - NCLH'!I27</f>
        <v>214</v>
      </c>
      <c r="Q32" s="313">
        <f>'P&amp;L - Concept B3 - NCLH'!J27</f>
        <v>214</v>
      </c>
      <c r="R32" s="313">
        <f>'P&amp;L - Concept B3 - NCLH'!K27</f>
        <v>214</v>
      </c>
      <c r="S32" s="313">
        <f>'P&amp;L - Concept B3 - NCLH'!L27</f>
        <v>214</v>
      </c>
      <c r="T32" s="313">
        <f>'P&amp;L - Concept B3 - NCLH'!M27</f>
        <v>214</v>
      </c>
      <c r="U32" s="313">
        <f>'P&amp;L - Concept B3 - NCLH'!N27</f>
        <v>214</v>
      </c>
      <c r="V32" s="313">
        <f>'P&amp;L - Concept B3 - NCLH'!O27</f>
        <v>214</v>
      </c>
      <c r="W32" s="313">
        <f>'P&amp;L - Concept B3 - NCLH'!P27</f>
        <v>214</v>
      </c>
      <c r="X32" s="313">
        <f>'P&amp;L - Concept B3 - NCLH'!Q27</f>
        <v>214</v>
      </c>
      <c r="Y32" s="313">
        <f>'P&amp;L - Concept B3 - NCLH'!R27</f>
        <v>214</v>
      </c>
      <c r="Z32" s="313">
        <f>'P&amp;L - Concept B3 - NCLH'!S27</f>
        <v>214</v>
      </c>
      <c r="AA32" s="313">
        <f>'P&amp;L - Concept B3 - NCLH'!T27</f>
        <v>214</v>
      </c>
      <c r="AB32" s="313">
        <f>'P&amp;L - Concept B3 - NCLH'!U27</f>
        <v>214</v>
      </c>
      <c r="AC32" s="313">
        <f>'P&amp;L - Concept B3 - NCLH'!V27</f>
        <v>214</v>
      </c>
      <c r="AD32" s="313">
        <f>'P&amp;L - Concept B3 - NCLH'!W27</f>
        <v>214</v>
      </c>
      <c r="AE32" s="313">
        <f>'P&amp;L - Concept B3 - NCLH'!X27</f>
        <v>214</v>
      </c>
    </row>
    <row r="33" spans="1:31" s="96" customFormat="1">
      <c r="A33" s="54" t="s">
        <v>205</v>
      </c>
      <c r="B33" s="487"/>
      <c r="C33" s="487"/>
      <c r="K33" s="486">
        <f>'P&amp;L - Concept B3 - NCLH'!D28</f>
        <v>0</v>
      </c>
      <c r="L33" s="313">
        <f>'P&amp;L - Concept B3 - NCLH'!E28</f>
        <v>0</v>
      </c>
      <c r="M33" s="313">
        <f>'P&amp;L - Concept B3 - NCLH'!F28</f>
        <v>27.711111111111112</v>
      </c>
      <c r="N33" s="313">
        <f>'P&amp;L - Concept B3 - NCLH'!G28</f>
        <v>27.711111111111112</v>
      </c>
      <c r="O33" s="313">
        <f>'P&amp;L - Concept B3 - NCLH'!H28</f>
        <v>27.711111111111112</v>
      </c>
      <c r="P33" s="313">
        <f>'P&amp;L - Concept B3 - NCLH'!I28</f>
        <v>27.711111111111112</v>
      </c>
      <c r="Q33" s="313">
        <f>'P&amp;L - Concept B3 - NCLH'!J28</f>
        <v>27.711111111111112</v>
      </c>
      <c r="R33" s="313">
        <f>'P&amp;L - Concept B3 - NCLH'!K28</f>
        <v>27.711111111111112</v>
      </c>
      <c r="S33" s="313">
        <f>'P&amp;L - Concept B3 - NCLH'!L28</f>
        <v>27.711111111111112</v>
      </c>
      <c r="T33" s="313">
        <f>'P&amp;L - Concept B3 - NCLH'!M28</f>
        <v>27.711111111111112</v>
      </c>
      <c r="U33" s="313">
        <f>'P&amp;L - Concept B3 - NCLH'!N28</f>
        <v>27.711111111111112</v>
      </c>
      <c r="V33" s="313">
        <f>'P&amp;L - Concept B3 - NCLH'!O28</f>
        <v>27.711111111111112</v>
      </c>
      <c r="W33" s="313">
        <f>'P&amp;L - Concept B3 - NCLH'!P28</f>
        <v>27.711111111111112</v>
      </c>
      <c r="X33" s="313">
        <f>'P&amp;L - Concept B3 - NCLH'!Q28</f>
        <v>27.711111111111112</v>
      </c>
      <c r="Y33" s="313">
        <f>'P&amp;L - Concept B3 - NCLH'!R28</f>
        <v>27.711111111111112</v>
      </c>
      <c r="Z33" s="313">
        <f>'P&amp;L - Concept B3 - NCLH'!S28</f>
        <v>27.711111111111112</v>
      </c>
      <c r="AA33" s="313">
        <f>'P&amp;L - Concept B3 - NCLH'!T28</f>
        <v>27.711111111111112</v>
      </c>
      <c r="AB33" s="313">
        <f>'P&amp;L - Concept B3 - NCLH'!U28</f>
        <v>27.711111111111112</v>
      </c>
      <c r="AC33" s="313">
        <f>'P&amp;L - Concept B3 - NCLH'!V28</f>
        <v>27.711111111111112</v>
      </c>
      <c r="AD33" s="313">
        <f>'P&amp;L - Concept B3 - NCLH'!W28</f>
        <v>27.711111111111112</v>
      </c>
      <c r="AE33" s="313">
        <f>'P&amp;L - Concept B3 - NCLH'!X28</f>
        <v>27.711111111111112</v>
      </c>
    </row>
    <row r="34" spans="1:31" s="341" customFormat="1">
      <c r="A34" s="552" t="s">
        <v>219</v>
      </c>
      <c r="B34" s="553"/>
      <c r="C34" s="553"/>
      <c r="K34" s="554">
        <f>'P&amp;L - Concept B3 - NCLH'!D29</f>
        <v>0</v>
      </c>
      <c r="L34" s="313">
        <f>'P&amp;L - Concept B3 - NCLH'!E29</f>
        <v>150</v>
      </c>
      <c r="M34" s="313">
        <f>'P&amp;L - Concept B3 - NCLH'!F29</f>
        <v>150</v>
      </c>
      <c r="N34" s="313">
        <f>'P&amp;L - Concept B3 - NCLH'!G29</f>
        <v>150</v>
      </c>
      <c r="O34" s="313">
        <f>'P&amp;L - Concept B3 - NCLH'!H29</f>
        <v>150</v>
      </c>
      <c r="P34" s="313">
        <f>'P&amp;L - Concept B3 - NCLH'!I29</f>
        <v>150</v>
      </c>
      <c r="Q34" s="313">
        <f>'P&amp;L - Concept B3 - NCLH'!J29</f>
        <v>150</v>
      </c>
      <c r="R34" s="313">
        <f>'P&amp;L - Concept B3 - NCLH'!K29</f>
        <v>150</v>
      </c>
      <c r="S34" s="313">
        <f>'P&amp;L - Concept B3 - NCLH'!L29</f>
        <v>150</v>
      </c>
      <c r="T34" s="313">
        <f>'P&amp;L - Concept B3 - NCLH'!M29</f>
        <v>150</v>
      </c>
      <c r="U34" s="313">
        <f>'P&amp;L - Concept B3 - NCLH'!N29</f>
        <v>150</v>
      </c>
      <c r="V34" s="313">
        <f>'P&amp;L - Concept B3 - NCLH'!O29</f>
        <v>150</v>
      </c>
      <c r="W34" s="313">
        <f>'P&amp;L - Concept B3 - NCLH'!P29</f>
        <v>150</v>
      </c>
      <c r="X34" s="313">
        <f>'P&amp;L - Concept B3 - NCLH'!Q29</f>
        <v>150</v>
      </c>
      <c r="Y34" s="313">
        <f>'P&amp;L - Concept B3 - NCLH'!R29</f>
        <v>150</v>
      </c>
      <c r="Z34" s="313">
        <f>'P&amp;L - Concept B3 - NCLH'!S29</f>
        <v>150</v>
      </c>
      <c r="AA34" s="313">
        <f>'P&amp;L - Concept B3 - NCLH'!T29</f>
        <v>150</v>
      </c>
      <c r="AB34" s="313">
        <f>'P&amp;L - Concept B3 - NCLH'!U29</f>
        <v>150</v>
      </c>
      <c r="AC34" s="313">
        <f>'P&amp;L - Concept B3 - NCLH'!V29</f>
        <v>150</v>
      </c>
      <c r="AD34" s="313">
        <f>'P&amp;L - Concept B3 - NCLH'!W29</f>
        <v>150</v>
      </c>
      <c r="AE34" s="313">
        <f>'P&amp;L - Concept B3 - NCLH'!X29</f>
        <v>150</v>
      </c>
    </row>
    <row r="35" spans="1:31" s="341" customFormat="1">
      <c r="A35" s="552" t="s">
        <v>220</v>
      </c>
      <c r="B35" s="553"/>
      <c r="C35" s="553"/>
      <c r="K35" s="554">
        <f>'P&amp;L - Concept B3 - NCLH'!D30</f>
        <v>0</v>
      </c>
      <c r="L35" s="788">
        <f>'P&amp;L - Concept B3 - NCLH'!E30</f>
        <v>0</v>
      </c>
      <c r="M35" s="788">
        <f>'P&amp;L - Concept B3 - NCLH'!F30</f>
        <v>0.18474074074074076</v>
      </c>
      <c r="N35" s="788">
        <f>'P&amp;L - Concept B3 - NCLH'!G30</f>
        <v>0.18474074074074076</v>
      </c>
      <c r="O35" s="788">
        <f>'P&amp;L - Concept B3 - NCLH'!H30</f>
        <v>0.18474074074074076</v>
      </c>
      <c r="P35" s="788">
        <f>'P&amp;L - Concept B3 - NCLH'!I30</f>
        <v>0.18474074074074076</v>
      </c>
      <c r="Q35" s="788">
        <f>'P&amp;L - Concept B3 - NCLH'!J30</f>
        <v>0.18474074074074076</v>
      </c>
      <c r="R35" s="788">
        <f>'P&amp;L - Concept B3 - NCLH'!K30</f>
        <v>0.18474074074074076</v>
      </c>
      <c r="S35" s="788">
        <f>'P&amp;L - Concept B3 - NCLH'!L30</f>
        <v>0.18474074074074076</v>
      </c>
      <c r="T35" s="788">
        <f>'P&amp;L - Concept B3 - NCLH'!M30</f>
        <v>0.18474074074074076</v>
      </c>
      <c r="U35" s="788">
        <f>'P&amp;L - Concept B3 - NCLH'!N30</f>
        <v>0.18474074074074076</v>
      </c>
      <c r="V35" s="788">
        <f>'P&amp;L - Concept B3 - NCLH'!O30</f>
        <v>0.18474074074074076</v>
      </c>
      <c r="W35" s="788">
        <f>'P&amp;L - Concept B3 - NCLH'!P30</f>
        <v>0.18474074074074076</v>
      </c>
      <c r="X35" s="788">
        <f>'P&amp;L - Concept B3 - NCLH'!Q30</f>
        <v>0.18474074074074076</v>
      </c>
      <c r="Y35" s="788">
        <f>'P&amp;L - Concept B3 - NCLH'!R30</f>
        <v>0.18474074074074076</v>
      </c>
      <c r="Z35" s="788">
        <f>'P&amp;L - Concept B3 - NCLH'!S30</f>
        <v>0.18474074074074076</v>
      </c>
      <c r="AA35" s="788">
        <f>'P&amp;L - Concept B3 - NCLH'!T30</f>
        <v>0.18474074074074076</v>
      </c>
      <c r="AB35" s="788">
        <f>'P&amp;L - Concept B3 - NCLH'!U30</f>
        <v>0.18474074074074076</v>
      </c>
      <c r="AC35" s="788">
        <f>'P&amp;L - Concept B3 - NCLH'!V30</f>
        <v>0.18474074074074076</v>
      </c>
      <c r="AD35" s="788">
        <f>'P&amp;L - Concept B3 - NCLH'!W30</f>
        <v>0.18474074074074076</v>
      </c>
      <c r="AE35" s="788">
        <f>'P&amp;L - Concept B3 - NCLH'!X30</f>
        <v>0.18474074074074076</v>
      </c>
    </row>
    <row r="36" spans="1:31" s="96" customFormat="1">
      <c r="A36" s="54" t="s">
        <v>226</v>
      </c>
      <c r="B36" s="487"/>
      <c r="C36" s="487"/>
      <c r="K36" s="486">
        <f>'P&amp;L - Concept B3 - NCLH'!D31</f>
        <v>0</v>
      </c>
      <c r="L36" s="313">
        <f>'P&amp;L - Concept B3 - NCLH'!E31</f>
        <v>0</v>
      </c>
      <c r="M36" s="313">
        <f>'P&amp;L - Concept B3 - NCLH'!F31</f>
        <v>125</v>
      </c>
      <c r="N36" s="313">
        <f>'P&amp;L - Concept B3 - NCLH'!G31</f>
        <v>125</v>
      </c>
      <c r="O36" s="313">
        <f>'P&amp;L - Concept B3 - NCLH'!H31</f>
        <v>125</v>
      </c>
      <c r="P36" s="313">
        <f>'P&amp;L - Concept B3 - NCLH'!I31</f>
        <v>125</v>
      </c>
      <c r="Q36" s="313">
        <f>'P&amp;L - Concept B3 - NCLH'!J31</f>
        <v>125</v>
      </c>
      <c r="R36" s="313">
        <f>'P&amp;L - Concept B3 - NCLH'!K31</f>
        <v>125</v>
      </c>
      <c r="S36" s="313">
        <f>'P&amp;L - Concept B3 - NCLH'!L31</f>
        <v>125</v>
      </c>
      <c r="T36" s="313">
        <f>'P&amp;L - Concept B3 - NCLH'!M31</f>
        <v>125</v>
      </c>
      <c r="U36" s="313">
        <f>'P&amp;L - Concept B3 - NCLH'!N31</f>
        <v>125</v>
      </c>
      <c r="V36" s="313">
        <f>'P&amp;L - Concept B3 - NCLH'!O31</f>
        <v>125</v>
      </c>
      <c r="W36" s="313">
        <f>'P&amp;L - Concept B3 - NCLH'!P31</f>
        <v>125</v>
      </c>
      <c r="X36" s="313">
        <f>'P&amp;L - Concept B3 - NCLH'!Q31</f>
        <v>125</v>
      </c>
      <c r="Y36" s="313">
        <f>'P&amp;L - Concept B3 - NCLH'!R31</f>
        <v>125</v>
      </c>
      <c r="Z36" s="313">
        <f>'P&amp;L - Concept B3 - NCLH'!S31</f>
        <v>125</v>
      </c>
      <c r="AA36" s="313">
        <f>'P&amp;L - Concept B3 - NCLH'!T31</f>
        <v>125</v>
      </c>
      <c r="AB36" s="313">
        <f>'P&amp;L - Concept B3 - NCLH'!U31</f>
        <v>125</v>
      </c>
      <c r="AC36" s="313">
        <f>'P&amp;L - Concept B3 - NCLH'!V31</f>
        <v>125</v>
      </c>
      <c r="AD36" s="313">
        <f>'P&amp;L - Concept B3 - NCLH'!W31</f>
        <v>125</v>
      </c>
      <c r="AE36" s="313">
        <f>'P&amp;L - Concept B3 - NCLH'!X31</f>
        <v>125</v>
      </c>
    </row>
    <row r="37" spans="1:31" s="18" customFormat="1">
      <c r="A37" s="54"/>
      <c r="B37" s="21"/>
      <c r="C37" s="21"/>
      <c r="K37" s="486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</row>
    <row r="38" spans="1:31" s="96" customFormat="1">
      <c r="A38" s="54" t="s">
        <v>206</v>
      </c>
      <c r="B38" s="487"/>
      <c r="C38" s="487"/>
      <c r="K38" s="486">
        <f>'P&amp;L - Concept B3 - NCLH'!D33</f>
        <v>0</v>
      </c>
      <c r="L38" s="313">
        <f>'P&amp;L - Concept B3 - NCLH'!E33</f>
        <v>0</v>
      </c>
      <c r="M38" s="313">
        <f>'P&amp;L - Concept B3 - NCLH'!F33</f>
        <v>1873.6191059992639</v>
      </c>
      <c r="N38" s="313">
        <f>'P&amp;L - Concept B3 - NCLH'!G33</f>
        <v>1873.6191059992639</v>
      </c>
      <c r="O38" s="313">
        <f>'P&amp;L - Concept B3 - NCLH'!H33</f>
        <v>1873.6191059992639</v>
      </c>
      <c r="P38" s="313">
        <f>'P&amp;L - Concept B3 - NCLH'!I33</f>
        <v>1873.6191059992639</v>
      </c>
      <c r="Q38" s="313">
        <f>'P&amp;L - Concept B3 - NCLH'!J33</f>
        <v>1873.6191059992639</v>
      </c>
      <c r="R38" s="313">
        <f>'P&amp;L - Concept B3 - NCLH'!K33</f>
        <v>1873.6191059992639</v>
      </c>
      <c r="S38" s="313">
        <f>'P&amp;L - Concept B3 - NCLH'!L33</f>
        <v>1873.6191059992639</v>
      </c>
      <c r="T38" s="313">
        <f>'P&amp;L - Concept B3 - NCLH'!M33</f>
        <v>1873.6191059992639</v>
      </c>
      <c r="U38" s="313">
        <f>'P&amp;L - Concept B3 - NCLH'!N33</f>
        <v>1873.6191059992639</v>
      </c>
      <c r="V38" s="313">
        <f>'P&amp;L - Concept B3 - NCLH'!O33</f>
        <v>1873.6191059992639</v>
      </c>
      <c r="W38" s="313">
        <f>'P&amp;L - Concept B3 - NCLH'!P33</f>
        <v>1873.6191059992639</v>
      </c>
      <c r="X38" s="313">
        <f>'P&amp;L - Concept B3 - NCLH'!Q33</f>
        <v>1873.6191059992639</v>
      </c>
      <c r="Y38" s="313">
        <f>'P&amp;L - Concept B3 - NCLH'!R33</f>
        <v>1873.6191059992639</v>
      </c>
      <c r="Z38" s="313">
        <f>'P&amp;L - Concept B3 - NCLH'!S33</f>
        <v>1873.6191059992639</v>
      </c>
      <c r="AA38" s="313">
        <f>'P&amp;L - Concept B3 - NCLH'!T33</f>
        <v>1873.6191059992639</v>
      </c>
      <c r="AB38" s="313">
        <f>'P&amp;L - Concept B3 - NCLH'!U33</f>
        <v>1873.6191059992639</v>
      </c>
      <c r="AC38" s="313">
        <f>'P&amp;L - Concept B3 - NCLH'!V33</f>
        <v>1873.6191059992639</v>
      </c>
      <c r="AD38" s="313">
        <f>'P&amp;L - Concept B3 - NCLH'!W33</f>
        <v>1873.6191059992639</v>
      </c>
      <c r="AE38" s="313">
        <f>'P&amp;L - Concept B3 - NCLH'!X33</f>
        <v>1873.6191059992639</v>
      </c>
    </row>
    <row r="39" spans="1:31" s="96" customFormat="1">
      <c r="A39" s="54" t="s">
        <v>207</v>
      </c>
      <c r="B39" s="487"/>
      <c r="C39" s="487"/>
      <c r="K39" s="486">
        <f>'P&amp;L - Concept B3 - NCLH'!D34</f>
        <v>0</v>
      </c>
      <c r="L39" s="313">
        <f>'P&amp;L - Concept B3 - NCLH'!E34</f>
        <v>0</v>
      </c>
      <c r="M39" s="313">
        <f>'P&amp;L - Concept B3 - NCLH'!F34</f>
        <v>5500</v>
      </c>
      <c r="N39" s="313">
        <f>'P&amp;L - Concept B3 - NCLH'!G34</f>
        <v>5500</v>
      </c>
      <c r="O39" s="313">
        <f>'P&amp;L - Concept B3 - NCLH'!H34</f>
        <v>5500</v>
      </c>
      <c r="P39" s="313">
        <f>'P&amp;L - Concept B3 - NCLH'!I34</f>
        <v>5500</v>
      </c>
      <c r="Q39" s="313">
        <f>'P&amp;L - Concept B3 - NCLH'!J34</f>
        <v>5500</v>
      </c>
      <c r="R39" s="313">
        <f>'P&amp;L - Concept B3 - NCLH'!K34</f>
        <v>5500</v>
      </c>
      <c r="S39" s="313">
        <f>'P&amp;L - Concept B3 - NCLH'!L34</f>
        <v>5500</v>
      </c>
      <c r="T39" s="313">
        <f>'P&amp;L - Concept B3 - NCLH'!M34</f>
        <v>5500</v>
      </c>
      <c r="U39" s="313">
        <f>'P&amp;L - Concept B3 - NCLH'!N34</f>
        <v>5500</v>
      </c>
      <c r="V39" s="313">
        <f>'P&amp;L - Concept B3 - NCLH'!O34</f>
        <v>5500</v>
      </c>
      <c r="W39" s="313">
        <f>'P&amp;L - Concept B3 - NCLH'!P34</f>
        <v>5500</v>
      </c>
      <c r="X39" s="313">
        <f>'P&amp;L - Concept B3 - NCLH'!Q34</f>
        <v>5500</v>
      </c>
      <c r="Y39" s="313">
        <f>'P&amp;L - Concept B3 - NCLH'!R34</f>
        <v>5500</v>
      </c>
      <c r="Z39" s="313">
        <f>'P&amp;L - Concept B3 - NCLH'!S34</f>
        <v>5500</v>
      </c>
      <c r="AA39" s="313">
        <f>'P&amp;L - Concept B3 - NCLH'!T34</f>
        <v>5500</v>
      </c>
      <c r="AB39" s="313">
        <f>'P&amp;L - Concept B3 - NCLH'!U34</f>
        <v>5500</v>
      </c>
      <c r="AC39" s="313">
        <f>'P&amp;L - Concept B3 - NCLH'!V34</f>
        <v>5500</v>
      </c>
      <c r="AD39" s="313">
        <f>'P&amp;L - Concept B3 - NCLH'!W34</f>
        <v>5500</v>
      </c>
      <c r="AE39" s="313">
        <f>'P&amp;L - Concept B3 - NCLH'!X34</f>
        <v>5500</v>
      </c>
    </row>
    <row r="40" spans="1:31" s="341" customFormat="1">
      <c r="A40" s="552" t="s">
        <v>221</v>
      </c>
      <c r="B40" s="553"/>
      <c r="C40" s="553"/>
      <c r="K40" s="554">
        <f>'P&amp;L - Concept B3 - NCLH'!D35</f>
        <v>0</v>
      </c>
      <c r="L40" s="555">
        <f>'P&amp;L - Concept B3 - NCLH'!E35</f>
        <v>400</v>
      </c>
      <c r="M40" s="555">
        <f>'P&amp;L - Concept B3 - NCLH'!F35</f>
        <v>466.66666666666669</v>
      </c>
      <c r="N40" s="555">
        <f>'P&amp;L - Concept B3 - NCLH'!G35</f>
        <v>533.33333333333337</v>
      </c>
      <c r="O40" s="555">
        <f>'P&amp;L - Concept B3 - NCLH'!H35</f>
        <v>533.33333333333337</v>
      </c>
      <c r="P40" s="555">
        <f>'P&amp;L - Concept B3 - NCLH'!I35</f>
        <v>533.33333333333337</v>
      </c>
      <c r="Q40" s="555">
        <f>'P&amp;L - Concept B3 - NCLH'!J35</f>
        <v>533.33333333333337</v>
      </c>
      <c r="R40" s="555">
        <f>'P&amp;L - Concept B3 - NCLH'!K35</f>
        <v>533.33333333333337</v>
      </c>
      <c r="S40" s="555">
        <f>'P&amp;L - Concept B3 - NCLH'!L35</f>
        <v>533.33333333333337</v>
      </c>
      <c r="T40" s="555">
        <f>'P&amp;L - Concept B3 - NCLH'!M35</f>
        <v>533.33333333333337</v>
      </c>
      <c r="U40" s="555">
        <f>'P&amp;L - Concept B3 - NCLH'!N35</f>
        <v>533.33333333333337</v>
      </c>
      <c r="V40" s="555">
        <f>'P&amp;L - Concept B3 - NCLH'!O35</f>
        <v>533.33333333333337</v>
      </c>
      <c r="W40" s="555">
        <f>'P&amp;L - Concept B3 - NCLH'!P35</f>
        <v>533.33333333333337</v>
      </c>
      <c r="X40" s="555">
        <f>'P&amp;L - Concept B3 - NCLH'!Q35</f>
        <v>533.33333333333337</v>
      </c>
      <c r="Y40" s="555">
        <f>'P&amp;L - Concept B3 - NCLH'!R35</f>
        <v>533.33333333333337</v>
      </c>
      <c r="Z40" s="555">
        <f>'P&amp;L - Concept B3 - NCLH'!S35</f>
        <v>533.33333333333337</v>
      </c>
      <c r="AA40" s="555">
        <f>'P&amp;L - Concept B3 - NCLH'!T35</f>
        <v>533.33333333333337</v>
      </c>
      <c r="AB40" s="555">
        <f>'P&amp;L - Concept B3 - NCLH'!U35</f>
        <v>533.33333333333337</v>
      </c>
      <c r="AC40" s="555">
        <f>'P&amp;L - Concept B3 - NCLH'!V35</f>
        <v>533.33333333333337</v>
      </c>
      <c r="AD40" s="555">
        <f>'P&amp;L - Concept B3 - NCLH'!W35</f>
        <v>533.33333333333337</v>
      </c>
      <c r="AE40" s="555">
        <f>'P&amp;L - Concept B3 - NCLH'!X35</f>
        <v>533.33333333333337</v>
      </c>
    </row>
    <row r="41" spans="1:31" s="341" customFormat="1">
      <c r="A41" s="552" t="s">
        <v>222</v>
      </c>
      <c r="B41" s="553"/>
      <c r="C41" s="553"/>
      <c r="K41" s="554">
        <f>'P&amp;L - Concept B3 - NCLH'!D36</f>
        <v>0</v>
      </c>
      <c r="L41" s="555">
        <f>'P&amp;L - Concept B3 - NCLH'!E36</f>
        <v>800</v>
      </c>
      <c r="M41" s="555">
        <f>'P&amp;L - Concept B3 - NCLH'!F36</f>
        <v>800</v>
      </c>
      <c r="N41" s="555">
        <f>'P&amp;L - Concept B3 - NCLH'!G36</f>
        <v>800</v>
      </c>
      <c r="O41" s="555">
        <f>'P&amp;L - Concept B3 - NCLH'!H36</f>
        <v>800</v>
      </c>
      <c r="P41" s="555">
        <f>'P&amp;L - Concept B3 - NCLH'!I36</f>
        <v>800</v>
      </c>
      <c r="Q41" s="555">
        <f>'P&amp;L - Concept B3 - NCLH'!J36</f>
        <v>800</v>
      </c>
      <c r="R41" s="555">
        <f>'P&amp;L - Concept B3 - NCLH'!K36</f>
        <v>800</v>
      </c>
      <c r="S41" s="555">
        <f>'P&amp;L - Concept B3 - NCLH'!L36</f>
        <v>800</v>
      </c>
      <c r="T41" s="555">
        <f>'P&amp;L - Concept B3 - NCLH'!M36</f>
        <v>800</v>
      </c>
      <c r="U41" s="555">
        <f>'P&amp;L - Concept B3 - NCLH'!N36</f>
        <v>800</v>
      </c>
      <c r="V41" s="555">
        <f>'P&amp;L - Concept B3 - NCLH'!O36</f>
        <v>800</v>
      </c>
      <c r="W41" s="555">
        <f>'P&amp;L - Concept B3 - NCLH'!P36</f>
        <v>800</v>
      </c>
      <c r="X41" s="555">
        <f>'P&amp;L - Concept B3 - NCLH'!Q36</f>
        <v>800</v>
      </c>
      <c r="Y41" s="555">
        <f>'P&amp;L - Concept B3 - NCLH'!R36</f>
        <v>800</v>
      </c>
      <c r="Z41" s="555">
        <f>'P&amp;L - Concept B3 - NCLH'!S36</f>
        <v>800</v>
      </c>
      <c r="AA41" s="555">
        <f>'P&amp;L - Concept B3 - NCLH'!T36</f>
        <v>800</v>
      </c>
      <c r="AB41" s="555">
        <f>'P&amp;L - Concept B3 - NCLH'!U36</f>
        <v>800</v>
      </c>
      <c r="AC41" s="555">
        <f>'P&amp;L - Concept B3 - NCLH'!V36</f>
        <v>800</v>
      </c>
      <c r="AD41" s="555">
        <f>'P&amp;L - Concept B3 - NCLH'!W36</f>
        <v>800</v>
      </c>
      <c r="AE41" s="555">
        <f>'P&amp;L - Concept B3 - NCLH'!X36</f>
        <v>800</v>
      </c>
    </row>
    <row r="42" spans="1:31" s="341" customFormat="1">
      <c r="A42" s="552" t="s">
        <v>208</v>
      </c>
      <c r="B42" s="553"/>
      <c r="C42" s="553"/>
      <c r="K42" s="554">
        <f>'P&amp;L - Concept B3 - NCLH'!D37</f>
        <v>0</v>
      </c>
      <c r="L42" s="555">
        <f>'P&amp;L - Concept B3 - NCLH'!E37</f>
        <v>800</v>
      </c>
      <c r="M42" s="555">
        <f>'P&amp;L - Concept B3 - NCLH'!F37</f>
        <v>6300</v>
      </c>
      <c r="N42" s="555">
        <f>'P&amp;L - Concept B3 - NCLH'!G37</f>
        <v>6300</v>
      </c>
      <c r="O42" s="555">
        <f>'P&amp;L - Concept B3 - NCLH'!H37</f>
        <v>6300</v>
      </c>
      <c r="P42" s="555">
        <f>'P&amp;L - Concept B3 - NCLH'!I37</f>
        <v>6300</v>
      </c>
      <c r="Q42" s="555">
        <f>'P&amp;L - Concept B3 - NCLH'!J37</f>
        <v>6300</v>
      </c>
      <c r="R42" s="555">
        <f>'P&amp;L - Concept B3 - NCLH'!K37</f>
        <v>6300</v>
      </c>
      <c r="S42" s="555">
        <f>'P&amp;L - Concept B3 - NCLH'!L37</f>
        <v>6300</v>
      </c>
      <c r="T42" s="555">
        <f>'P&amp;L - Concept B3 - NCLH'!M37</f>
        <v>6300</v>
      </c>
      <c r="U42" s="555">
        <f>'P&amp;L - Concept B3 - NCLH'!N37</f>
        <v>6300</v>
      </c>
      <c r="V42" s="555">
        <f>'P&amp;L - Concept B3 - NCLH'!O37</f>
        <v>6300</v>
      </c>
      <c r="W42" s="555">
        <f>'P&amp;L - Concept B3 - NCLH'!P37</f>
        <v>6300</v>
      </c>
      <c r="X42" s="555">
        <f>'P&amp;L - Concept B3 - NCLH'!Q37</f>
        <v>6300</v>
      </c>
      <c r="Y42" s="555">
        <f>'P&amp;L - Concept B3 - NCLH'!R37</f>
        <v>6300</v>
      </c>
      <c r="Z42" s="555">
        <f>'P&amp;L - Concept B3 - NCLH'!S37</f>
        <v>6300</v>
      </c>
      <c r="AA42" s="555">
        <f>'P&amp;L - Concept B3 - NCLH'!T37</f>
        <v>6300</v>
      </c>
      <c r="AB42" s="555">
        <f>'P&amp;L - Concept B3 - NCLH'!U37</f>
        <v>6300</v>
      </c>
      <c r="AC42" s="555">
        <f>'P&amp;L - Concept B3 - NCLH'!V37</f>
        <v>6300</v>
      </c>
      <c r="AD42" s="555">
        <f>'P&amp;L - Concept B3 - NCLH'!W37</f>
        <v>6300</v>
      </c>
      <c r="AE42" s="555">
        <f>'P&amp;L - Concept B3 - NCLH'!X37</f>
        <v>6300</v>
      </c>
    </row>
    <row r="43" spans="1:31" s="18" customFormat="1">
      <c r="A43" s="54"/>
      <c r="B43" s="21"/>
      <c r="C43" s="21"/>
      <c r="K43" s="486"/>
      <c r="L43" s="313"/>
      <c r="M43" s="313"/>
      <c r="N43" s="313"/>
      <c r="O43" s="313"/>
      <c r="P43" s="313"/>
      <c r="Q43" s="313"/>
      <c r="R43" s="313"/>
      <c r="S43" s="313"/>
      <c r="T43" s="313"/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</row>
    <row r="44" spans="1:31" s="341" customFormat="1">
      <c r="A44" s="552" t="s">
        <v>223</v>
      </c>
      <c r="B44" s="557"/>
      <c r="C44" s="557"/>
      <c r="K44" s="554">
        <f>'P&amp;L - Concept B3 - NCLH'!D39</f>
        <v>0</v>
      </c>
      <c r="L44" s="313">
        <f>'P&amp;L - Concept B3 - NCLH'!E39</f>
        <v>160.26666666666668</v>
      </c>
      <c r="M44" s="313">
        <f>'P&amp;L - Concept B3 - NCLH'!F39</f>
        <v>187</v>
      </c>
      <c r="N44" s="313">
        <f>'P&amp;L - Concept B3 - NCLH'!G39</f>
        <v>213.73333333333332</v>
      </c>
      <c r="O44" s="313">
        <f>'P&amp;L - Concept B3 - NCLH'!H39</f>
        <v>213.73333333333332</v>
      </c>
      <c r="P44" s="313">
        <f>'P&amp;L - Concept B3 - NCLH'!I39</f>
        <v>213.73333333333332</v>
      </c>
      <c r="Q44" s="313">
        <f>'P&amp;L - Concept B3 - NCLH'!J39</f>
        <v>213.73333333333332</v>
      </c>
      <c r="R44" s="313">
        <f>'P&amp;L - Concept B3 - NCLH'!K39</f>
        <v>213.73333333333332</v>
      </c>
      <c r="S44" s="313">
        <f>'P&amp;L - Concept B3 - NCLH'!L39</f>
        <v>213.73333333333332</v>
      </c>
      <c r="T44" s="313">
        <f>'P&amp;L - Concept B3 - NCLH'!M39</f>
        <v>213.73333333333332</v>
      </c>
      <c r="U44" s="313">
        <f>'P&amp;L - Concept B3 - NCLH'!N39</f>
        <v>213.73333333333332</v>
      </c>
      <c r="V44" s="313">
        <f>'P&amp;L - Concept B3 - NCLH'!O39</f>
        <v>213.73333333333332</v>
      </c>
      <c r="W44" s="313">
        <f>'P&amp;L - Concept B3 - NCLH'!P39</f>
        <v>213.73333333333332</v>
      </c>
      <c r="X44" s="313">
        <f>'P&amp;L - Concept B3 - NCLH'!Q39</f>
        <v>213.73333333333332</v>
      </c>
      <c r="Y44" s="313">
        <f>'P&amp;L - Concept B3 - NCLH'!R39</f>
        <v>213.73333333333332</v>
      </c>
      <c r="Z44" s="313">
        <f>'P&amp;L - Concept B3 - NCLH'!S39</f>
        <v>213.73333333333332</v>
      </c>
      <c r="AA44" s="313">
        <f>'P&amp;L - Concept B3 - NCLH'!T39</f>
        <v>213.73333333333332</v>
      </c>
      <c r="AB44" s="313">
        <f>'P&amp;L - Concept B3 - NCLH'!U39</f>
        <v>213.73333333333332</v>
      </c>
      <c r="AC44" s="313">
        <f>'P&amp;L - Concept B3 - NCLH'!V39</f>
        <v>213.73333333333332</v>
      </c>
      <c r="AD44" s="313">
        <f>'P&amp;L - Concept B3 - NCLH'!W39</f>
        <v>213.73333333333332</v>
      </c>
      <c r="AE44" s="313">
        <f>'P&amp;L - Concept B3 - NCLH'!X39</f>
        <v>213.73333333333332</v>
      </c>
    </row>
    <row r="45" spans="1:31" s="18" customFormat="1">
      <c r="A45" s="54"/>
      <c r="B45" s="74"/>
      <c r="C45" s="74"/>
      <c r="K45" s="492"/>
      <c r="L45" s="313"/>
      <c r="M45" s="313"/>
      <c r="N45" s="313"/>
      <c r="O45" s="313"/>
      <c r="P45" s="313"/>
      <c r="Q45" s="313"/>
      <c r="R45" s="313"/>
      <c r="S45" s="313"/>
      <c r="T45" s="313"/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</row>
    <row r="46" spans="1:31" s="18" customFormat="1">
      <c r="A46" s="293" t="s">
        <v>26</v>
      </c>
      <c r="B46" s="74"/>
      <c r="C46" s="74"/>
      <c r="K46" s="492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</row>
    <row r="47" spans="1:31" s="18" customFormat="1">
      <c r="A47" s="54" t="s">
        <v>264</v>
      </c>
      <c r="B47" s="277"/>
      <c r="C47" s="74"/>
      <c r="K47" s="486">
        <f>'P&amp;L - Concept B3 - NCLH'!D42</f>
        <v>0</v>
      </c>
      <c r="L47" s="313">
        <f>'P&amp;L - Concept B3 - NCLH'!E42</f>
        <v>1832.2239583333337</v>
      </c>
      <c r="M47" s="313">
        <f>'P&amp;L - Concept B3 - NCLH'!F42</f>
        <v>3664.4479166666674</v>
      </c>
      <c r="N47" s="313">
        <f>'P&amp;L - Concept B3 - NCLH'!G42</f>
        <v>3664.4479166666674</v>
      </c>
      <c r="O47" s="313">
        <f>'P&amp;L - Concept B3 - NCLH'!H42</f>
        <v>3664.4479166666674</v>
      </c>
      <c r="P47" s="313">
        <f>'P&amp;L - Concept B3 - NCLH'!I42</f>
        <v>3664.4479166666674</v>
      </c>
      <c r="Q47" s="313">
        <f>'P&amp;L - Concept B3 - NCLH'!J42</f>
        <v>3664.4479166666674</v>
      </c>
      <c r="R47" s="313">
        <f>'P&amp;L - Concept B3 - NCLH'!K42</f>
        <v>3664.4479166666674</v>
      </c>
      <c r="S47" s="313">
        <f>'P&amp;L - Concept B3 - NCLH'!L42</f>
        <v>3664.4479166666674</v>
      </c>
      <c r="T47" s="313">
        <f>'P&amp;L - Concept B3 - NCLH'!M42</f>
        <v>3664.4479166666674</v>
      </c>
      <c r="U47" s="313">
        <f>'P&amp;L - Concept B3 - NCLH'!N42</f>
        <v>3664.4479166666674</v>
      </c>
      <c r="V47" s="313">
        <f>'P&amp;L - Concept B3 - NCLH'!O42</f>
        <v>3664.4479166666674</v>
      </c>
      <c r="W47" s="313">
        <f>'P&amp;L - Concept B3 - NCLH'!P42</f>
        <v>3664.4479166666674</v>
      </c>
      <c r="X47" s="313">
        <f>'P&amp;L - Concept B3 - NCLH'!Q42</f>
        <v>3664.4479166666674</v>
      </c>
      <c r="Y47" s="313">
        <f>'P&amp;L - Concept B3 - NCLH'!R42</f>
        <v>3664.4479166666674</v>
      </c>
      <c r="Z47" s="313">
        <f>'P&amp;L - Concept B3 - NCLH'!S42</f>
        <v>3664.4479166666674</v>
      </c>
      <c r="AA47" s="313">
        <f>'P&amp;L - Concept B3 - NCLH'!T42</f>
        <v>3664.4479166666674</v>
      </c>
      <c r="AB47" s="313">
        <f>'P&amp;L - Concept B3 - NCLH'!U42</f>
        <v>3664.4479166666674</v>
      </c>
      <c r="AC47" s="313">
        <f>'P&amp;L - Concept B3 - NCLH'!V42</f>
        <v>3664.4479166666674</v>
      </c>
      <c r="AD47" s="313">
        <f>'P&amp;L - Concept B3 - NCLH'!W42</f>
        <v>3664.4479166666674</v>
      </c>
      <c r="AE47" s="313">
        <f>'P&amp;L - Concept B3 - NCLH'!X42</f>
        <v>3664.4479166666674</v>
      </c>
    </row>
    <row r="48" spans="1:31" s="18" customFormat="1">
      <c r="A48" s="54" t="s">
        <v>267</v>
      </c>
      <c r="B48" s="277"/>
      <c r="C48" s="74"/>
      <c r="K48" s="486">
        <f>'P&amp;L - Concept B3 - NCLH'!D43</f>
        <v>0</v>
      </c>
      <c r="L48" s="313">
        <f>'P&amp;L - Concept B3 - NCLH'!E43</f>
        <v>13371.166666666662</v>
      </c>
      <c r="M48" s="313">
        <f>'P&amp;L - Concept B3 - NCLH'!F43</f>
        <v>26742.333333333325</v>
      </c>
      <c r="N48" s="313">
        <f>'P&amp;L - Concept B3 - NCLH'!G43</f>
        <v>26742.333333333325</v>
      </c>
      <c r="O48" s="313">
        <f>'P&amp;L - Concept B3 - NCLH'!H43</f>
        <v>26742.333333333325</v>
      </c>
      <c r="P48" s="313">
        <f>'P&amp;L - Concept B3 - NCLH'!I43</f>
        <v>26742.333333333325</v>
      </c>
      <c r="Q48" s="313">
        <f>'P&amp;L - Concept B3 - NCLH'!J43</f>
        <v>26742.333333333325</v>
      </c>
      <c r="R48" s="313">
        <f>'P&amp;L - Concept B3 - NCLH'!K43</f>
        <v>26742.333333333325</v>
      </c>
      <c r="S48" s="313">
        <f>'P&amp;L - Concept B3 - NCLH'!L43</f>
        <v>26742.333333333325</v>
      </c>
      <c r="T48" s="313">
        <f>'P&amp;L - Concept B3 - NCLH'!M43</f>
        <v>26742.333333333325</v>
      </c>
      <c r="U48" s="313">
        <f>'P&amp;L - Concept B3 - NCLH'!N43</f>
        <v>26742.333333333325</v>
      </c>
      <c r="V48" s="313">
        <f>'P&amp;L - Concept B3 - NCLH'!O43</f>
        <v>26742.333333333325</v>
      </c>
      <c r="W48" s="313">
        <f>'P&amp;L - Concept B3 - NCLH'!P43</f>
        <v>26742.333333333325</v>
      </c>
      <c r="X48" s="313">
        <f>'P&amp;L - Concept B3 - NCLH'!Q43</f>
        <v>26742.333333333325</v>
      </c>
      <c r="Y48" s="313">
        <f>'P&amp;L - Concept B3 - NCLH'!R43</f>
        <v>26742.333333333325</v>
      </c>
      <c r="Z48" s="313">
        <f>'P&amp;L - Concept B3 - NCLH'!S43</f>
        <v>26742.333333333325</v>
      </c>
      <c r="AA48" s="313">
        <f>'P&amp;L - Concept B3 - NCLH'!T43</f>
        <v>26742.333333333325</v>
      </c>
      <c r="AB48" s="313">
        <f>'P&amp;L - Concept B3 - NCLH'!U43</f>
        <v>26742.333333333325</v>
      </c>
      <c r="AC48" s="313">
        <f>'P&amp;L - Concept B3 - NCLH'!V43</f>
        <v>26742.333333333325</v>
      </c>
      <c r="AD48" s="313">
        <f>'P&amp;L - Concept B3 - NCLH'!W43</f>
        <v>26742.333333333325</v>
      </c>
      <c r="AE48" s="313">
        <f>'P&amp;L - Concept B3 - NCLH'!X43</f>
        <v>26742.333333333325</v>
      </c>
    </row>
    <row r="49" spans="1:32 16384:16384" s="96" customFormat="1">
      <c r="A49" s="54" t="s">
        <v>274</v>
      </c>
      <c r="B49" s="435"/>
      <c r="C49" s="583"/>
      <c r="K49" s="486">
        <f>'P&amp;L - Concept B3 - NCLH'!D44</f>
        <v>0</v>
      </c>
      <c r="L49" s="313">
        <f>'P&amp;L - Concept B3 - NCLH'!E44</f>
        <v>15203.390624999996</v>
      </c>
      <c r="M49" s="313">
        <f>'P&amp;L - Concept B3 - NCLH'!F44</f>
        <v>30406.781249999993</v>
      </c>
      <c r="N49" s="313">
        <f>'P&amp;L - Concept B3 - NCLH'!G44</f>
        <v>30406.781249999993</v>
      </c>
      <c r="O49" s="313">
        <f>'P&amp;L - Concept B3 - NCLH'!H44</f>
        <v>30406.781249999993</v>
      </c>
      <c r="P49" s="313">
        <f>'P&amp;L - Concept B3 - NCLH'!I44</f>
        <v>30406.781249999993</v>
      </c>
      <c r="Q49" s="313">
        <f>'P&amp;L - Concept B3 - NCLH'!J44</f>
        <v>30406.781249999993</v>
      </c>
      <c r="R49" s="313">
        <f>'P&amp;L - Concept B3 - NCLH'!K44</f>
        <v>30406.781249999993</v>
      </c>
      <c r="S49" s="313">
        <f>'P&amp;L - Concept B3 - NCLH'!L44</f>
        <v>30406.781249999993</v>
      </c>
      <c r="T49" s="313">
        <f>'P&amp;L - Concept B3 - NCLH'!M44</f>
        <v>30406.781249999993</v>
      </c>
      <c r="U49" s="313">
        <f>'P&amp;L - Concept B3 - NCLH'!N44</f>
        <v>30406.781249999993</v>
      </c>
      <c r="V49" s="313">
        <f>'P&amp;L - Concept B3 - NCLH'!O44</f>
        <v>30406.781249999993</v>
      </c>
      <c r="W49" s="313">
        <f>'P&amp;L - Concept B3 - NCLH'!P44</f>
        <v>30406.781249999993</v>
      </c>
      <c r="X49" s="313">
        <f>'P&amp;L - Concept B3 - NCLH'!Q44</f>
        <v>30406.781249999993</v>
      </c>
      <c r="Y49" s="313">
        <f>'P&amp;L - Concept B3 - NCLH'!R44</f>
        <v>30406.781249999993</v>
      </c>
      <c r="Z49" s="313">
        <f>'P&amp;L - Concept B3 - NCLH'!S44</f>
        <v>30406.781249999993</v>
      </c>
      <c r="AA49" s="313">
        <f>'P&amp;L - Concept B3 - NCLH'!T44</f>
        <v>30406.781249999993</v>
      </c>
      <c r="AB49" s="313">
        <f>'P&amp;L - Concept B3 - NCLH'!U44</f>
        <v>30406.781249999993</v>
      </c>
      <c r="AC49" s="313">
        <f>'P&amp;L - Concept B3 - NCLH'!V44</f>
        <v>30406.781249999993</v>
      </c>
      <c r="AD49" s="313">
        <f>'P&amp;L - Concept B3 - NCLH'!W44</f>
        <v>30406.781249999993</v>
      </c>
      <c r="AE49" s="313">
        <f>'P&amp;L - Concept B3 - NCLH'!X44</f>
        <v>30406.781249999993</v>
      </c>
    </row>
    <row r="50" spans="1:32 16384:16384" s="18" customFormat="1">
      <c r="A50" s="54"/>
      <c r="B50" s="277"/>
      <c r="C50" s="74"/>
      <c r="K50" s="499"/>
      <c r="L50" s="313"/>
      <c r="M50" s="313"/>
      <c r="N50" s="313"/>
      <c r="O50" s="313"/>
      <c r="P50" s="313"/>
      <c r="Q50" s="313"/>
      <c r="R50" s="313"/>
      <c r="S50" s="313"/>
      <c r="T50" s="313"/>
      <c r="U50" s="313"/>
      <c r="V50" s="313"/>
      <c r="W50" s="313"/>
      <c r="X50" s="313"/>
      <c r="Y50" s="313"/>
      <c r="Z50" s="313"/>
      <c r="AA50" s="313"/>
      <c r="AB50" s="313"/>
      <c r="AC50" s="313"/>
      <c r="AD50" s="313"/>
      <c r="AE50" s="313"/>
    </row>
    <row r="51" spans="1:32 16384:16384" s="341" customFormat="1">
      <c r="A51" s="552" t="s">
        <v>224</v>
      </c>
      <c r="B51" s="556"/>
      <c r="C51" s="557"/>
      <c r="K51" s="554">
        <f>'P&amp;L - Concept B3 - NCLH'!D46</f>
        <v>0</v>
      </c>
      <c r="L51" s="558">
        <f>'P&amp;L - Concept B3 - NCLH'!E46</f>
        <v>3</v>
      </c>
      <c r="M51" s="558">
        <f>'P&amp;L - Concept B3 - NCLH'!F46</f>
        <v>3</v>
      </c>
      <c r="N51" s="558">
        <f>'P&amp;L - Concept B3 - NCLH'!G46</f>
        <v>3</v>
      </c>
      <c r="O51" s="558">
        <f>'P&amp;L - Concept B3 - NCLH'!H46</f>
        <v>3</v>
      </c>
      <c r="P51" s="558">
        <f>'P&amp;L - Concept B3 - NCLH'!I46</f>
        <v>3</v>
      </c>
      <c r="Q51" s="558">
        <f>'P&amp;L - Concept B3 - NCLH'!J46</f>
        <v>3</v>
      </c>
      <c r="R51" s="558">
        <f>'P&amp;L - Concept B3 - NCLH'!K46</f>
        <v>3</v>
      </c>
      <c r="S51" s="558">
        <f>'P&amp;L - Concept B3 - NCLH'!L46</f>
        <v>3</v>
      </c>
      <c r="T51" s="558">
        <f>'P&amp;L - Concept B3 - NCLH'!M46</f>
        <v>3</v>
      </c>
      <c r="U51" s="558">
        <f>'P&amp;L - Concept B3 - NCLH'!N46</f>
        <v>3</v>
      </c>
      <c r="V51" s="558">
        <f>'P&amp;L - Concept B3 - NCLH'!O46</f>
        <v>3</v>
      </c>
      <c r="W51" s="558">
        <f>'P&amp;L - Concept B3 - NCLH'!P46</f>
        <v>3</v>
      </c>
      <c r="X51" s="558">
        <f>'P&amp;L - Concept B3 - NCLH'!Q46</f>
        <v>3</v>
      </c>
      <c r="Y51" s="558">
        <f>'P&amp;L - Concept B3 - NCLH'!R46</f>
        <v>3</v>
      </c>
      <c r="Z51" s="558">
        <f>'P&amp;L - Concept B3 - NCLH'!S46</f>
        <v>3</v>
      </c>
      <c r="AA51" s="558">
        <f>'P&amp;L - Concept B3 - NCLH'!T46</f>
        <v>3</v>
      </c>
      <c r="AB51" s="558">
        <f>'P&amp;L - Concept B3 - NCLH'!U46</f>
        <v>3</v>
      </c>
      <c r="AC51" s="558">
        <f>'P&amp;L - Concept B3 - NCLH'!V46</f>
        <v>3</v>
      </c>
      <c r="AD51" s="558">
        <f>'P&amp;L - Concept B3 - NCLH'!W46</f>
        <v>3</v>
      </c>
      <c r="AE51" s="558">
        <f>'P&amp;L - Concept B3 - NCLH'!X46</f>
        <v>3</v>
      </c>
    </row>
    <row r="52" spans="1:32 16384:16384" s="96" customFormat="1">
      <c r="A52" s="54" t="s">
        <v>225</v>
      </c>
      <c r="B52" s="435"/>
      <c r="C52" s="583"/>
      <c r="K52" s="486">
        <f>'P&amp;L - Concept B3 - NCLH'!D47</f>
        <v>0</v>
      </c>
      <c r="L52" s="496">
        <f>'P&amp;L - Concept B3 - NCLH'!E47</f>
        <v>1</v>
      </c>
      <c r="M52" s="496">
        <f>'P&amp;L - Concept B3 - NCLH'!F47</f>
        <v>1</v>
      </c>
      <c r="N52" s="496">
        <f>'P&amp;L - Concept B3 - NCLH'!G47</f>
        <v>1</v>
      </c>
      <c r="O52" s="496">
        <f>'P&amp;L - Concept B3 - NCLH'!H47</f>
        <v>1</v>
      </c>
      <c r="P52" s="496">
        <f>'P&amp;L - Concept B3 - NCLH'!I47</f>
        <v>1</v>
      </c>
      <c r="Q52" s="496">
        <f>'P&amp;L - Concept B3 - NCLH'!J47</f>
        <v>1</v>
      </c>
      <c r="R52" s="496">
        <f>'P&amp;L - Concept B3 - NCLH'!K47</f>
        <v>1</v>
      </c>
      <c r="S52" s="496">
        <f>'P&amp;L - Concept B3 - NCLH'!L47</f>
        <v>1</v>
      </c>
      <c r="T52" s="496">
        <f>'P&amp;L - Concept B3 - NCLH'!M47</f>
        <v>1</v>
      </c>
      <c r="U52" s="496">
        <f>'P&amp;L - Concept B3 - NCLH'!N47</f>
        <v>1</v>
      </c>
      <c r="V52" s="496">
        <f>'P&amp;L - Concept B3 - NCLH'!O47</f>
        <v>1</v>
      </c>
      <c r="W52" s="496">
        <f>'P&amp;L - Concept B3 - NCLH'!P47</f>
        <v>1</v>
      </c>
      <c r="X52" s="496">
        <f>'P&amp;L - Concept B3 - NCLH'!Q47</f>
        <v>1</v>
      </c>
      <c r="Y52" s="496">
        <f>'P&amp;L - Concept B3 - NCLH'!R47</f>
        <v>1</v>
      </c>
      <c r="Z52" s="496">
        <f>'P&amp;L - Concept B3 - NCLH'!S47</f>
        <v>1</v>
      </c>
      <c r="AA52" s="496">
        <f>'P&amp;L - Concept B3 - NCLH'!T47</f>
        <v>1</v>
      </c>
      <c r="AB52" s="496">
        <f>'P&amp;L - Concept B3 - NCLH'!U47</f>
        <v>1</v>
      </c>
      <c r="AC52" s="496">
        <f>'P&amp;L - Concept B3 - NCLH'!V47</f>
        <v>1</v>
      </c>
      <c r="AD52" s="496">
        <f>'P&amp;L - Concept B3 - NCLH'!W47</f>
        <v>1</v>
      </c>
      <c r="AE52" s="496">
        <f>'P&amp;L - Concept B3 - NCLH'!X47</f>
        <v>1</v>
      </c>
    </row>
    <row r="53" spans="1:32 16384:16384" s="18" customFormat="1">
      <c r="A53" s="54" t="s">
        <v>209</v>
      </c>
      <c r="B53" s="277"/>
      <c r="C53" s="74"/>
      <c r="K53" s="486">
        <f>'P&amp;L - Concept B3 - NCLH'!D48</f>
        <v>0</v>
      </c>
      <c r="L53" s="496">
        <f>'P&amp;L - Concept B3 - NCLH'!E48</f>
        <v>0.5</v>
      </c>
      <c r="M53" s="496">
        <f>'P&amp;L - Concept B3 - NCLH'!F48</f>
        <v>0.5</v>
      </c>
      <c r="N53" s="496">
        <f>'P&amp;L - Concept B3 - NCLH'!G48</f>
        <v>0.5</v>
      </c>
      <c r="O53" s="496">
        <f>'P&amp;L - Concept B3 - NCLH'!H48</f>
        <v>0.5</v>
      </c>
      <c r="P53" s="496">
        <f>'P&amp;L - Concept B3 - NCLH'!I48</f>
        <v>0.5</v>
      </c>
      <c r="Q53" s="496">
        <f>'P&amp;L - Concept B3 - NCLH'!J48</f>
        <v>0.5</v>
      </c>
      <c r="R53" s="496">
        <f>'P&amp;L - Concept B3 - NCLH'!K48</f>
        <v>0.5</v>
      </c>
      <c r="S53" s="496">
        <f>'P&amp;L - Concept B3 - NCLH'!L48</f>
        <v>0.5</v>
      </c>
      <c r="T53" s="496">
        <f>'P&amp;L - Concept B3 - NCLH'!M48</f>
        <v>0.5</v>
      </c>
      <c r="U53" s="496">
        <f>'P&amp;L - Concept B3 - NCLH'!N48</f>
        <v>0.5</v>
      </c>
      <c r="V53" s="496">
        <f>'P&amp;L - Concept B3 - NCLH'!O48</f>
        <v>0.5</v>
      </c>
      <c r="W53" s="496">
        <f>'P&amp;L - Concept B3 - NCLH'!P48</f>
        <v>0.5</v>
      </c>
      <c r="X53" s="496">
        <f>'P&amp;L - Concept B3 - NCLH'!Q48</f>
        <v>0.5</v>
      </c>
      <c r="Y53" s="496">
        <f>'P&amp;L - Concept B3 - NCLH'!R48</f>
        <v>0.5</v>
      </c>
      <c r="Z53" s="496">
        <f>'P&amp;L - Concept B3 - NCLH'!S48</f>
        <v>0.5</v>
      </c>
      <c r="AA53" s="496">
        <f>'P&amp;L - Concept B3 - NCLH'!T48</f>
        <v>0.5</v>
      </c>
      <c r="AB53" s="496">
        <f>'P&amp;L - Concept B3 - NCLH'!U48</f>
        <v>0.5</v>
      </c>
      <c r="AC53" s="496">
        <f>'P&amp;L - Concept B3 - NCLH'!V48</f>
        <v>0.5</v>
      </c>
      <c r="AD53" s="496">
        <f>'P&amp;L - Concept B3 - NCLH'!W48</f>
        <v>0.5</v>
      </c>
      <c r="AE53" s="496">
        <f>'P&amp;L - Concept B3 - NCLH'!X48</f>
        <v>0.5</v>
      </c>
    </row>
    <row r="54" spans="1:32 16384:16384" s="18" customFormat="1">
      <c r="A54" s="54" t="s">
        <v>289</v>
      </c>
      <c r="B54" s="277"/>
      <c r="C54" s="74"/>
      <c r="K54" s="486">
        <f>'P&amp;L - Concept B3 - NCLH'!D49</f>
        <v>0</v>
      </c>
      <c r="L54" s="496">
        <f>'P&amp;L - Concept B3 - NCLH'!E49</f>
        <v>0.75</v>
      </c>
      <c r="M54" s="496">
        <f>'P&amp;L - Concept B3 - NCLH'!F49</f>
        <v>0.75</v>
      </c>
      <c r="N54" s="496">
        <f>'P&amp;L - Concept B3 - NCLH'!G49</f>
        <v>0.75</v>
      </c>
      <c r="O54" s="496">
        <f>'P&amp;L - Concept B3 - NCLH'!H49</f>
        <v>0.75</v>
      </c>
      <c r="P54" s="496">
        <f>'P&amp;L - Concept B3 - NCLH'!I49</f>
        <v>0.75</v>
      </c>
      <c r="Q54" s="496">
        <f>'P&amp;L - Concept B3 - NCLH'!J49</f>
        <v>0.75</v>
      </c>
      <c r="R54" s="496">
        <f>'P&amp;L - Concept B3 - NCLH'!K49</f>
        <v>0.75</v>
      </c>
      <c r="S54" s="496">
        <f>'P&amp;L - Concept B3 - NCLH'!L49</f>
        <v>0.75</v>
      </c>
      <c r="T54" s="496">
        <f>'P&amp;L - Concept B3 - NCLH'!M49</f>
        <v>0.75</v>
      </c>
      <c r="U54" s="496">
        <f>'P&amp;L - Concept B3 - NCLH'!N49</f>
        <v>0.75</v>
      </c>
      <c r="V54" s="496">
        <f>'P&amp;L - Concept B3 - NCLH'!O49</f>
        <v>0.75</v>
      </c>
      <c r="W54" s="496">
        <f>'P&amp;L - Concept B3 - NCLH'!P49</f>
        <v>0.75</v>
      </c>
      <c r="X54" s="496">
        <f>'P&amp;L - Concept B3 - NCLH'!Q49</f>
        <v>0.75</v>
      </c>
      <c r="Y54" s="496">
        <f>'P&amp;L - Concept B3 - NCLH'!R49</f>
        <v>0.75</v>
      </c>
      <c r="Z54" s="496">
        <f>'P&amp;L - Concept B3 - NCLH'!S49</f>
        <v>0.75</v>
      </c>
      <c r="AA54" s="496">
        <f>'P&amp;L - Concept B3 - NCLH'!T49</f>
        <v>0.75</v>
      </c>
      <c r="AB54" s="496">
        <f>'P&amp;L - Concept B3 - NCLH'!U49</f>
        <v>0.75</v>
      </c>
      <c r="AC54" s="496">
        <f>'P&amp;L - Concept B3 - NCLH'!V49</f>
        <v>0.75</v>
      </c>
      <c r="AD54" s="496">
        <f>'P&amp;L - Concept B3 - NCLH'!W49</f>
        <v>0.75</v>
      </c>
      <c r="AE54" s="496">
        <f>'P&amp;L - Concept B3 - NCLH'!X49</f>
        <v>0.75</v>
      </c>
      <c r="XFD54" s="570">
        <f>SUM(K54:XFC54)</f>
        <v>15</v>
      </c>
    </row>
    <row r="55" spans="1:32 16384:16384" s="18" customFormat="1">
      <c r="A55" s="54"/>
      <c r="B55" s="277"/>
      <c r="C55" s="74"/>
      <c r="K55" s="486"/>
      <c r="L55" s="313"/>
      <c r="M55" s="313"/>
      <c r="N55" s="313"/>
      <c r="O55" s="313"/>
      <c r="P55" s="313"/>
      <c r="Q55" s="313"/>
      <c r="R55" s="313"/>
      <c r="S55" s="313"/>
      <c r="T55" s="313"/>
      <c r="U55" s="313"/>
      <c r="V55" s="313"/>
      <c r="W55" s="313"/>
      <c r="X55" s="313"/>
      <c r="Y55" s="313"/>
      <c r="Z55" s="313"/>
      <c r="AA55" s="313"/>
      <c r="AB55" s="313"/>
      <c r="AC55" s="313"/>
      <c r="AD55" s="313"/>
      <c r="AE55" s="313"/>
      <c r="XFD55" s="570"/>
    </row>
    <row r="56" spans="1:32 16384:16384" s="18" customFormat="1">
      <c r="A56" s="54" t="s">
        <v>312</v>
      </c>
      <c r="B56" s="277"/>
      <c r="C56" s="74"/>
      <c r="K56" s="486">
        <f>'P&amp;L - Concept B3 - NCLH'!D51</f>
        <v>0</v>
      </c>
      <c r="L56" s="313">
        <f>'P&amp;L - Concept B3 - NCLH'!E51</f>
        <v>3595</v>
      </c>
      <c r="M56" s="313">
        <f>'P&amp;L - Concept B3 - NCLH'!F51</f>
        <v>7190</v>
      </c>
      <c r="N56" s="313">
        <f>'P&amp;L - Concept B3 - NCLH'!G51</f>
        <v>7190</v>
      </c>
      <c r="O56" s="313">
        <f>'P&amp;L - Concept B3 - NCLH'!H51</f>
        <v>7190</v>
      </c>
      <c r="P56" s="313">
        <f>'P&amp;L - Concept B3 - NCLH'!I51</f>
        <v>7190</v>
      </c>
      <c r="Q56" s="313">
        <f>'P&amp;L - Concept B3 - NCLH'!J51</f>
        <v>7190</v>
      </c>
      <c r="R56" s="313">
        <f>'P&amp;L - Concept B3 - NCLH'!K51</f>
        <v>7190</v>
      </c>
      <c r="S56" s="313">
        <f>'P&amp;L - Concept B3 - NCLH'!L51</f>
        <v>7190</v>
      </c>
      <c r="T56" s="313">
        <f>'P&amp;L - Concept B3 - NCLH'!M51</f>
        <v>7190</v>
      </c>
      <c r="U56" s="313">
        <f>'P&amp;L - Concept B3 - NCLH'!N51</f>
        <v>7190</v>
      </c>
      <c r="V56" s="313">
        <f>'P&amp;L - Concept B3 - NCLH'!O51</f>
        <v>7190</v>
      </c>
      <c r="W56" s="313">
        <f>'P&amp;L - Concept B3 - NCLH'!P51</f>
        <v>7190</v>
      </c>
      <c r="X56" s="313">
        <f>'P&amp;L - Concept B3 - NCLH'!Q51</f>
        <v>7190</v>
      </c>
      <c r="Y56" s="313">
        <f>'P&amp;L - Concept B3 - NCLH'!R51</f>
        <v>7190</v>
      </c>
      <c r="Z56" s="313">
        <f>'P&amp;L - Concept B3 - NCLH'!S51</f>
        <v>7190</v>
      </c>
      <c r="AA56" s="313">
        <f>'P&amp;L - Concept B3 - NCLH'!T51</f>
        <v>7190</v>
      </c>
      <c r="AB56" s="313">
        <f>'P&amp;L - Concept B3 - NCLH'!U51</f>
        <v>7190</v>
      </c>
      <c r="AC56" s="313">
        <f>'P&amp;L - Concept B3 - NCLH'!V51</f>
        <v>7190</v>
      </c>
      <c r="AD56" s="313">
        <f>'P&amp;L - Concept B3 - NCLH'!W51</f>
        <v>7190</v>
      </c>
      <c r="AE56" s="313">
        <f>'P&amp;L - Concept B3 - NCLH'!X51</f>
        <v>7190</v>
      </c>
      <c r="XFD56" s="570"/>
    </row>
    <row r="57" spans="1:32 16384:16384" s="18" customFormat="1">
      <c r="A57" s="54"/>
      <c r="B57" s="277"/>
      <c r="C57" s="74"/>
      <c r="K57" s="486"/>
      <c r="L57" s="313"/>
      <c r="M57" s="313"/>
      <c r="N57" s="313"/>
      <c r="O57" s="313"/>
      <c r="P57" s="313"/>
      <c r="Q57" s="313"/>
      <c r="R57" s="313"/>
      <c r="S57" s="313"/>
      <c r="T57" s="313"/>
      <c r="U57" s="313"/>
      <c r="V57" s="313"/>
      <c r="W57" s="313"/>
      <c r="X57" s="313"/>
      <c r="Y57" s="313"/>
      <c r="Z57" s="313"/>
      <c r="AA57" s="313"/>
      <c r="AB57" s="313"/>
      <c r="AC57" s="313"/>
      <c r="AD57" s="313"/>
      <c r="AE57" s="313"/>
    </row>
    <row r="58" spans="1:32 16384:16384" s="612" customFormat="1">
      <c r="A58" s="613" t="s">
        <v>292</v>
      </c>
      <c r="B58" s="614"/>
      <c r="C58" s="615"/>
      <c r="D58" s="717"/>
      <c r="E58" s="717"/>
      <c r="F58" s="717"/>
      <c r="G58" s="717"/>
      <c r="H58" s="717"/>
      <c r="I58" s="717"/>
      <c r="J58" s="717"/>
      <c r="K58" s="616">
        <f>'P&amp;L - Concept B3 - NCLH'!D53</f>
        <v>0</v>
      </c>
      <c r="L58" s="616">
        <f>'P&amp;L - Concept B3 - NCLH'!E53</f>
        <v>0</v>
      </c>
      <c r="M58" s="616">
        <f>'P&amp;L - Concept B3 - NCLH'!F53</f>
        <v>0</v>
      </c>
      <c r="N58" s="616">
        <f>'P&amp;L - Concept B3 - NCLH'!G53</f>
        <v>100000</v>
      </c>
      <c r="O58" s="616">
        <f>'P&amp;L - Concept B3 - NCLH'!H53</f>
        <v>100000</v>
      </c>
      <c r="P58" s="616">
        <f>'P&amp;L - Concept B3 - NCLH'!I53</f>
        <v>100000</v>
      </c>
      <c r="Q58" s="616">
        <f>'P&amp;L - Concept B3 - NCLH'!J53</f>
        <v>100000</v>
      </c>
      <c r="R58" s="616">
        <f>'P&amp;L - Concept B3 - NCLH'!K53</f>
        <v>100000</v>
      </c>
      <c r="S58" s="616">
        <f>'P&amp;L - Concept B3 - NCLH'!L53</f>
        <v>100000</v>
      </c>
      <c r="T58" s="616">
        <f>'P&amp;L - Concept B3 - NCLH'!M53</f>
        <v>100000</v>
      </c>
      <c r="U58" s="616">
        <f>'P&amp;L - Concept B3 - NCLH'!N53</f>
        <v>100000</v>
      </c>
      <c r="V58" s="616">
        <f>'P&amp;L - Concept B3 - NCLH'!O53</f>
        <v>100000</v>
      </c>
      <c r="W58" s="616">
        <f>'P&amp;L - Concept B3 - NCLH'!P53</f>
        <v>100000</v>
      </c>
      <c r="X58" s="616">
        <f>'P&amp;L - Concept B3 - NCLH'!Q53</f>
        <v>100000</v>
      </c>
      <c r="Y58" s="616">
        <f>'P&amp;L - Concept B3 - NCLH'!R53</f>
        <v>100000</v>
      </c>
      <c r="Z58" s="616">
        <f>'P&amp;L - Concept B3 - NCLH'!S53</f>
        <v>100000</v>
      </c>
      <c r="AA58" s="616">
        <f>'P&amp;L - Concept B3 - NCLH'!T53</f>
        <v>100000</v>
      </c>
      <c r="AB58" s="616">
        <f>'P&amp;L - Concept B3 - NCLH'!U53</f>
        <v>100000</v>
      </c>
      <c r="AC58" s="616">
        <f>'P&amp;L - Concept B3 - NCLH'!V53</f>
        <v>100000</v>
      </c>
      <c r="AD58" s="616">
        <f>'P&amp;L - Concept B3 - NCLH'!W53</f>
        <v>100000</v>
      </c>
      <c r="AE58" s="787">
        <f>'P&amp;L - Concept B3 - NCLH'!X53</f>
        <v>100000</v>
      </c>
    </row>
    <row r="59" spans="1:32 16384:16384" s="18" customFormat="1">
      <c r="A59" s="54"/>
      <c r="B59" s="277"/>
      <c r="C59" s="74"/>
      <c r="K59" s="486"/>
      <c r="L59" s="313"/>
      <c r="M59" s="313"/>
      <c r="N59" s="313"/>
      <c r="O59" s="313"/>
      <c r="P59" s="313"/>
      <c r="Q59" s="313"/>
      <c r="R59" s="313"/>
      <c r="S59" s="313"/>
      <c r="T59" s="313"/>
      <c r="U59" s="313"/>
      <c r="V59" s="313"/>
      <c r="W59" s="313"/>
      <c r="X59" s="313"/>
      <c r="Y59" s="313"/>
      <c r="Z59" s="313"/>
      <c r="AA59" s="313"/>
      <c r="AB59" s="313"/>
      <c r="AC59" s="313"/>
      <c r="AD59" s="313"/>
      <c r="AE59" s="313"/>
    </row>
    <row r="60" spans="1:32 16384:16384" s="582" customFormat="1">
      <c r="A60" s="293" t="str">
        <f>'BH Tariffs'!A33</f>
        <v>Recreational/Commercial Marina</v>
      </c>
      <c r="B60" s="584"/>
      <c r="C60" s="585"/>
      <c r="K60" s="486"/>
      <c r="L60" s="313"/>
      <c r="M60" s="313"/>
      <c r="N60" s="313"/>
      <c r="O60" s="313"/>
      <c r="P60" s="313"/>
      <c r="Q60" s="313"/>
      <c r="R60" s="313"/>
      <c r="S60" s="313"/>
      <c r="T60" s="313"/>
      <c r="U60" s="313"/>
      <c r="V60" s="313"/>
      <c r="W60" s="313"/>
      <c r="X60" s="313"/>
      <c r="Y60" s="313"/>
      <c r="Z60" s="313"/>
      <c r="AA60" s="313"/>
      <c r="AB60" s="313"/>
      <c r="AC60" s="313"/>
      <c r="AD60" s="313"/>
      <c r="AE60" s="313"/>
    </row>
    <row r="61" spans="1:32 16384:16384" s="96" customFormat="1">
      <c r="A61" s="54" t="s">
        <v>291</v>
      </c>
      <c r="B61" s="435"/>
      <c r="C61" s="583"/>
      <c r="K61" s="486">
        <f>'P&amp;L - Concept B3 - NCLH'!D56</f>
        <v>0</v>
      </c>
      <c r="L61" s="313">
        <f>'P&amp;L - Concept B3 - NCLH'!E56</f>
        <v>0</v>
      </c>
      <c r="M61" s="313">
        <f>'P&amp;L - Concept B3 - NCLH'!F56</f>
        <v>42</v>
      </c>
      <c r="N61" s="313">
        <f>'P&amp;L - Concept B3 - NCLH'!G56</f>
        <v>42</v>
      </c>
      <c r="O61" s="313">
        <f>'P&amp;L - Concept B3 - NCLH'!H56</f>
        <v>42</v>
      </c>
      <c r="P61" s="313">
        <f>'P&amp;L - Concept B3 - NCLH'!I56</f>
        <v>42</v>
      </c>
      <c r="Q61" s="313">
        <f>'P&amp;L - Concept B3 - NCLH'!J56</f>
        <v>42</v>
      </c>
      <c r="R61" s="313">
        <f>'P&amp;L - Concept B3 - NCLH'!K56</f>
        <v>42</v>
      </c>
      <c r="S61" s="313">
        <f>'P&amp;L - Concept B3 - NCLH'!L56</f>
        <v>42</v>
      </c>
      <c r="T61" s="313">
        <f>'P&amp;L - Concept B3 - NCLH'!M56</f>
        <v>42</v>
      </c>
      <c r="U61" s="313">
        <f>'P&amp;L - Concept B3 - NCLH'!N56</f>
        <v>42</v>
      </c>
      <c r="V61" s="313">
        <f>'P&amp;L - Concept B3 - NCLH'!O56</f>
        <v>42</v>
      </c>
      <c r="W61" s="313">
        <f>'P&amp;L - Concept B3 - NCLH'!P56</f>
        <v>42</v>
      </c>
      <c r="X61" s="313">
        <f>'P&amp;L - Concept B3 - NCLH'!Q56</f>
        <v>42</v>
      </c>
      <c r="Y61" s="313">
        <f>'P&amp;L - Concept B3 - NCLH'!R56</f>
        <v>42</v>
      </c>
      <c r="Z61" s="313">
        <f>'P&amp;L - Concept B3 - NCLH'!S56</f>
        <v>42</v>
      </c>
      <c r="AA61" s="313">
        <f>'P&amp;L - Concept B3 - NCLH'!T56</f>
        <v>42</v>
      </c>
      <c r="AB61" s="313">
        <f>'P&amp;L - Concept B3 - NCLH'!U56</f>
        <v>42</v>
      </c>
      <c r="AC61" s="313">
        <f>'P&amp;L - Concept B3 - NCLH'!V56</f>
        <v>42</v>
      </c>
      <c r="AD61" s="313">
        <f>'P&amp;L - Concept B3 - NCLH'!W56</f>
        <v>42</v>
      </c>
      <c r="AE61" s="313">
        <f>'P&amp;L - Concept B3 - NCLH'!X56</f>
        <v>42</v>
      </c>
    </row>
    <row r="62" spans="1:32 16384:16384" s="96" customFormat="1">
      <c r="A62" s="54" t="s">
        <v>293</v>
      </c>
      <c r="B62" s="435"/>
      <c r="C62" s="583"/>
      <c r="K62" s="486">
        <f>'P&amp;L - Concept B3 - NCLH'!D57</f>
        <v>0</v>
      </c>
      <c r="L62" s="313">
        <f>'P&amp;L - Concept B3 - NCLH'!E57</f>
        <v>0</v>
      </c>
      <c r="M62" s="313">
        <f>'P&amp;L - Concept B3 - NCLH'!F57</f>
        <v>39290.600625000006</v>
      </c>
      <c r="N62" s="313">
        <f>'P&amp;L - Concept B3 - NCLH'!G57</f>
        <v>39290.600625000006</v>
      </c>
      <c r="O62" s="313">
        <f>'P&amp;L - Concept B3 - NCLH'!H57</f>
        <v>39290.600625000006</v>
      </c>
      <c r="P62" s="313">
        <f>'P&amp;L - Concept B3 - NCLH'!I57</f>
        <v>39290.600625000006</v>
      </c>
      <c r="Q62" s="313">
        <f>'P&amp;L - Concept B3 - NCLH'!J57</f>
        <v>39290.600625000006</v>
      </c>
      <c r="R62" s="313">
        <f>'P&amp;L - Concept B3 - NCLH'!K57</f>
        <v>39290.600625000006</v>
      </c>
      <c r="S62" s="313">
        <f>'P&amp;L - Concept B3 - NCLH'!L57</f>
        <v>39290.600625000006</v>
      </c>
      <c r="T62" s="313">
        <f>'P&amp;L - Concept B3 - NCLH'!M57</f>
        <v>39290.600625000006</v>
      </c>
      <c r="U62" s="313">
        <f>'P&amp;L - Concept B3 - NCLH'!N57</f>
        <v>39290.600625000006</v>
      </c>
      <c r="V62" s="313">
        <f>'P&amp;L - Concept B3 - NCLH'!O57</f>
        <v>39290.600625000006</v>
      </c>
      <c r="W62" s="313">
        <f>'P&amp;L - Concept B3 - NCLH'!P57</f>
        <v>39290.600625000006</v>
      </c>
      <c r="X62" s="313">
        <f>'P&amp;L - Concept B3 - NCLH'!Q57</f>
        <v>39290.600625000006</v>
      </c>
      <c r="Y62" s="313">
        <f>'P&amp;L - Concept B3 - NCLH'!R57</f>
        <v>39290.600625000006</v>
      </c>
      <c r="Z62" s="313">
        <f>'P&amp;L - Concept B3 - NCLH'!S57</f>
        <v>39290.600625000006</v>
      </c>
      <c r="AA62" s="313">
        <f>'P&amp;L - Concept B3 - NCLH'!T57</f>
        <v>39290.600625000006</v>
      </c>
      <c r="AB62" s="313">
        <f>'P&amp;L - Concept B3 - NCLH'!U57</f>
        <v>39290.600625000006</v>
      </c>
      <c r="AC62" s="313">
        <f>'P&amp;L - Concept B3 - NCLH'!V57</f>
        <v>39290.600625000006</v>
      </c>
      <c r="AD62" s="313">
        <f>'P&amp;L - Concept B3 - NCLH'!W57</f>
        <v>39290.600625000006</v>
      </c>
      <c r="AE62" s="313">
        <f>'P&amp;L - Concept B3 - NCLH'!X57</f>
        <v>39290.600625000006</v>
      </c>
    </row>
    <row r="63" spans="1:32 16384:16384" s="96" customFormat="1">
      <c r="A63" s="54" t="s">
        <v>294</v>
      </c>
      <c r="B63" s="435"/>
      <c r="C63" s="583"/>
      <c r="K63" s="486">
        <f>'P&amp;L - Concept B3 - NCLH'!D58</f>
        <v>0</v>
      </c>
      <c r="L63" s="313">
        <f>'P&amp;L - Concept B3 - NCLH'!E58</f>
        <v>0</v>
      </c>
      <c r="M63" s="313">
        <f>'P&amp;L - Concept B3 - NCLH'!F58</f>
        <v>1476.3000000000002</v>
      </c>
      <c r="N63" s="313">
        <f>'P&amp;L - Concept B3 - NCLH'!G58</f>
        <v>1476.3000000000002</v>
      </c>
      <c r="O63" s="313">
        <f>'P&amp;L - Concept B3 - NCLH'!H58</f>
        <v>1476.3000000000002</v>
      </c>
      <c r="P63" s="313">
        <f>'P&amp;L - Concept B3 - NCLH'!I58</f>
        <v>1476.3000000000002</v>
      </c>
      <c r="Q63" s="313">
        <f>'P&amp;L - Concept B3 - NCLH'!J58</f>
        <v>1476.3000000000002</v>
      </c>
      <c r="R63" s="313">
        <f>'P&amp;L - Concept B3 - NCLH'!K58</f>
        <v>1476.3000000000002</v>
      </c>
      <c r="S63" s="313">
        <f>'P&amp;L - Concept B3 - NCLH'!L58</f>
        <v>1476.3000000000002</v>
      </c>
      <c r="T63" s="313">
        <f>'P&amp;L - Concept B3 - NCLH'!M58</f>
        <v>1476.3000000000002</v>
      </c>
      <c r="U63" s="313">
        <f>'P&amp;L - Concept B3 - NCLH'!N58</f>
        <v>1476.3000000000002</v>
      </c>
      <c r="V63" s="313">
        <f>'P&amp;L - Concept B3 - NCLH'!O58</f>
        <v>1476.3000000000002</v>
      </c>
      <c r="W63" s="313">
        <f>'P&amp;L - Concept B3 - NCLH'!P58</f>
        <v>1476.3000000000002</v>
      </c>
      <c r="X63" s="313">
        <f>'P&amp;L - Concept B3 - NCLH'!Q58</f>
        <v>1476.3000000000002</v>
      </c>
      <c r="Y63" s="313">
        <f>'P&amp;L - Concept B3 - NCLH'!R58</f>
        <v>1476.3000000000002</v>
      </c>
      <c r="Z63" s="313">
        <f>'P&amp;L - Concept B3 - NCLH'!S58</f>
        <v>1476.3000000000002</v>
      </c>
      <c r="AA63" s="313">
        <f>'P&amp;L - Concept B3 - NCLH'!T58</f>
        <v>1476.3000000000002</v>
      </c>
      <c r="AB63" s="313">
        <f>'P&amp;L - Concept B3 - NCLH'!U58</f>
        <v>1476.3000000000002</v>
      </c>
      <c r="AC63" s="313">
        <f>'P&amp;L - Concept B3 - NCLH'!V58</f>
        <v>1476.3000000000002</v>
      </c>
      <c r="AD63" s="313">
        <f>'P&amp;L - Concept B3 - NCLH'!W58</f>
        <v>1476.3000000000002</v>
      </c>
      <c r="AE63" s="313">
        <f>'P&amp;L - Concept B3 - NCLH'!X58</f>
        <v>1476.3000000000002</v>
      </c>
    </row>
    <row r="64" spans="1:32 16384:16384" s="167" customFormat="1">
      <c r="A64" s="497" t="s">
        <v>170</v>
      </c>
      <c r="B64" s="450"/>
      <c r="C64" s="498"/>
      <c r="K64" s="499">
        <f>'P&amp;L - Concept B3 - NCLH'!D59</f>
        <v>0</v>
      </c>
      <c r="L64" s="500">
        <f>'P&amp;L - Concept B3 - NCLH'!E59</f>
        <v>0</v>
      </c>
      <c r="M64" s="500">
        <f>'P&amp;L - Concept B3 - NCLH'!F59</f>
        <v>0</v>
      </c>
      <c r="N64" s="500">
        <f>'P&amp;L - Concept B3 - NCLH'!G59</f>
        <v>0</v>
      </c>
      <c r="O64" s="500">
        <f>'P&amp;L - Concept B3 - NCLH'!H59</f>
        <v>0</v>
      </c>
      <c r="P64" s="500">
        <f>'P&amp;L - Concept B3 - NCLH'!I59</f>
        <v>0</v>
      </c>
      <c r="Q64" s="500">
        <f>'P&amp;L - Concept B3 - NCLH'!J59</f>
        <v>0</v>
      </c>
      <c r="R64" s="500">
        <f>'P&amp;L - Concept B3 - NCLH'!K59</f>
        <v>0</v>
      </c>
      <c r="S64" s="500">
        <f>'P&amp;L - Concept B3 - NCLH'!L59</f>
        <v>0</v>
      </c>
      <c r="T64" s="500">
        <f>'P&amp;L - Concept B3 - NCLH'!M59</f>
        <v>0</v>
      </c>
      <c r="U64" s="500">
        <f>'P&amp;L - Concept B3 - NCLH'!N59</f>
        <v>0</v>
      </c>
      <c r="V64" s="500">
        <f>'P&amp;L - Concept B3 - NCLH'!O59</f>
        <v>0</v>
      </c>
      <c r="W64" s="500">
        <f>'P&amp;L - Concept B3 - NCLH'!P59</f>
        <v>0</v>
      </c>
      <c r="X64" s="500">
        <f>'P&amp;L - Concept B3 - NCLH'!Q59</f>
        <v>0</v>
      </c>
      <c r="Y64" s="500">
        <f>'P&amp;L - Concept B3 - NCLH'!R59</f>
        <v>0</v>
      </c>
      <c r="Z64" s="500">
        <f>'P&amp;L - Concept B3 - NCLH'!S59</f>
        <v>0</v>
      </c>
      <c r="AA64" s="500">
        <f>'P&amp;L - Concept B3 - NCLH'!T59</f>
        <v>0</v>
      </c>
      <c r="AB64" s="500">
        <f>'P&amp;L - Concept B3 - NCLH'!U59</f>
        <v>0</v>
      </c>
      <c r="AC64" s="500">
        <f>'P&amp;L - Concept B3 - NCLH'!V59</f>
        <v>0</v>
      </c>
      <c r="AD64" s="500">
        <f>'P&amp;L - Concept B3 - NCLH'!W59</f>
        <v>0</v>
      </c>
      <c r="AE64" s="500">
        <f>'P&amp;L - Concept B3 - NCLH'!X59</f>
        <v>0</v>
      </c>
      <c r="AF64" s="167" t="str">
        <f>'P&amp;L - Concept B3 - NCLH'!Y59</f>
        <v>cost recovery assumed</v>
      </c>
    </row>
    <row r="65" spans="1:32" s="167" customFormat="1">
      <c r="A65" s="497" t="s">
        <v>16</v>
      </c>
      <c r="B65" s="450"/>
      <c r="C65" s="498"/>
      <c r="K65" s="499">
        <f>'P&amp;L - Concept B3 - NCLH'!D60</f>
        <v>0</v>
      </c>
      <c r="L65" s="500">
        <f>'P&amp;L - Concept B3 - NCLH'!E60</f>
        <v>0</v>
      </c>
      <c r="M65" s="500">
        <f>'P&amp;L - Concept B3 - NCLH'!F60</f>
        <v>0</v>
      </c>
      <c r="N65" s="500">
        <f>'P&amp;L - Concept B3 - NCLH'!G60</f>
        <v>0</v>
      </c>
      <c r="O65" s="500">
        <f>'P&amp;L - Concept B3 - NCLH'!H60</f>
        <v>0</v>
      </c>
      <c r="P65" s="500">
        <f>'P&amp;L - Concept B3 - NCLH'!I60</f>
        <v>0</v>
      </c>
      <c r="Q65" s="500">
        <f>'P&amp;L - Concept B3 - NCLH'!J60</f>
        <v>0</v>
      </c>
      <c r="R65" s="500">
        <f>'P&amp;L - Concept B3 - NCLH'!K60</f>
        <v>0</v>
      </c>
      <c r="S65" s="500">
        <f>'P&amp;L - Concept B3 - NCLH'!L60</f>
        <v>0</v>
      </c>
      <c r="T65" s="500">
        <f>'P&amp;L - Concept B3 - NCLH'!M60</f>
        <v>0</v>
      </c>
      <c r="U65" s="500">
        <f>'P&amp;L - Concept B3 - NCLH'!N60</f>
        <v>0</v>
      </c>
      <c r="V65" s="500">
        <f>'P&amp;L - Concept B3 - NCLH'!O60</f>
        <v>0</v>
      </c>
      <c r="W65" s="500">
        <f>'P&amp;L - Concept B3 - NCLH'!P60</f>
        <v>0</v>
      </c>
      <c r="X65" s="500">
        <f>'P&amp;L - Concept B3 - NCLH'!Q60</f>
        <v>0</v>
      </c>
      <c r="Y65" s="500">
        <f>'P&amp;L - Concept B3 - NCLH'!R60</f>
        <v>0</v>
      </c>
      <c r="Z65" s="500">
        <f>'P&amp;L - Concept B3 - NCLH'!S60</f>
        <v>0</v>
      </c>
      <c r="AA65" s="500">
        <f>'P&amp;L - Concept B3 - NCLH'!T60</f>
        <v>0</v>
      </c>
      <c r="AB65" s="500">
        <f>'P&amp;L - Concept B3 - NCLH'!U60</f>
        <v>0</v>
      </c>
      <c r="AC65" s="500">
        <f>'P&amp;L - Concept B3 - NCLH'!V60</f>
        <v>0</v>
      </c>
      <c r="AD65" s="500">
        <f>'P&amp;L - Concept B3 - NCLH'!W60</f>
        <v>0</v>
      </c>
      <c r="AE65" s="500">
        <f>'P&amp;L - Concept B3 - NCLH'!X60</f>
        <v>0</v>
      </c>
      <c r="AF65" s="167" t="str">
        <f>'P&amp;L - Concept B3 - NCLH'!Y60</f>
        <v>cost recovery assumed</v>
      </c>
    </row>
    <row r="66" spans="1:32" s="18" customFormat="1">
      <c r="A66" s="54"/>
      <c r="B66" s="277"/>
      <c r="C66" s="74"/>
      <c r="K66" s="492"/>
      <c r="L66" s="313"/>
      <c r="M66" s="313"/>
      <c r="N66" s="313"/>
      <c r="O66" s="313"/>
      <c r="P66" s="313"/>
      <c r="Q66" s="313"/>
      <c r="R66" s="313"/>
      <c r="S66" s="313"/>
      <c r="T66" s="313"/>
      <c r="U66" s="313"/>
      <c r="V66" s="313"/>
      <c r="W66" s="313"/>
      <c r="X66" s="313"/>
      <c r="Y66" s="313"/>
      <c r="Z66" s="313"/>
      <c r="AA66" s="313"/>
      <c r="AB66" s="313"/>
      <c r="AC66" s="313"/>
      <c r="AD66" s="313"/>
      <c r="AE66" s="313"/>
    </row>
    <row r="67" spans="1:32" s="18" customFormat="1">
      <c r="A67" s="293" t="s">
        <v>2</v>
      </c>
      <c r="B67" s="277"/>
      <c r="C67" s="74"/>
      <c r="K67" s="492"/>
      <c r="L67" s="313"/>
      <c r="M67" s="313"/>
      <c r="N67" s="313"/>
      <c r="O67" s="313"/>
      <c r="P67" s="313"/>
      <c r="Q67" s="313"/>
      <c r="R67" s="313"/>
      <c r="S67" s="313"/>
      <c r="T67" s="313"/>
      <c r="U67" s="313"/>
      <c r="V67" s="313"/>
      <c r="W67" s="313"/>
      <c r="X67" s="313"/>
      <c r="Y67" s="313"/>
      <c r="Z67" s="313"/>
      <c r="AA67" s="313"/>
      <c r="AB67" s="313"/>
      <c r="AC67" s="313"/>
      <c r="AD67" s="313"/>
      <c r="AE67" s="313"/>
    </row>
    <row r="68" spans="1:32" s="96" customFormat="1">
      <c r="A68" s="54" t="s">
        <v>290</v>
      </c>
      <c r="B68" s="435">
        <v>500</v>
      </c>
      <c r="C68" s="487"/>
      <c r="K68" s="486">
        <f>'P&amp;L - Concept B3 - NCLH'!D63</f>
        <v>0</v>
      </c>
      <c r="L68" s="313">
        <f>'P&amp;L - Concept B3 - NCLH'!E63</f>
        <v>0</v>
      </c>
      <c r="M68" s="313">
        <f>'P&amp;L - Concept B3 - NCLH'!F63</f>
        <v>0</v>
      </c>
      <c r="N68" s="313">
        <f>'P&amp;L - Concept B3 - NCLH'!G63</f>
        <v>500</v>
      </c>
      <c r="O68" s="313">
        <f>'P&amp;L - Concept B3 - NCLH'!H63</f>
        <v>500</v>
      </c>
      <c r="P68" s="313">
        <f>'P&amp;L - Concept B3 - NCLH'!I63</f>
        <v>500</v>
      </c>
      <c r="Q68" s="313">
        <f>'P&amp;L - Concept B3 - NCLH'!J63</f>
        <v>500</v>
      </c>
      <c r="R68" s="313">
        <f>'P&amp;L - Concept B3 - NCLH'!K63</f>
        <v>500</v>
      </c>
      <c r="S68" s="313">
        <f>'P&amp;L - Concept B3 - NCLH'!L63</f>
        <v>500</v>
      </c>
      <c r="T68" s="313">
        <f>'P&amp;L - Concept B3 - NCLH'!M63</f>
        <v>500</v>
      </c>
      <c r="U68" s="313">
        <f>'P&amp;L - Concept B3 - NCLH'!N63</f>
        <v>500</v>
      </c>
      <c r="V68" s="313">
        <f>'P&amp;L - Concept B3 - NCLH'!O63</f>
        <v>500</v>
      </c>
      <c r="W68" s="313">
        <f>'P&amp;L - Concept B3 - NCLH'!P63</f>
        <v>500</v>
      </c>
      <c r="X68" s="313">
        <f>'P&amp;L - Concept B3 - NCLH'!Q63</f>
        <v>500</v>
      </c>
      <c r="Y68" s="313">
        <f>'P&amp;L - Concept B3 - NCLH'!R63</f>
        <v>500</v>
      </c>
      <c r="Z68" s="313">
        <f>'P&amp;L - Concept B3 - NCLH'!S63</f>
        <v>500</v>
      </c>
      <c r="AA68" s="313">
        <f>'P&amp;L - Concept B3 - NCLH'!T63</f>
        <v>500</v>
      </c>
      <c r="AB68" s="313">
        <f>'P&amp;L - Concept B3 - NCLH'!U63</f>
        <v>500</v>
      </c>
      <c r="AC68" s="313">
        <f>'P&amp;L - Concept B3 - NCLH'!V63</f>
        <v>500</v>
      </c>
      <c r="AD68" s="313">
        <f>'P&amp;L - Concept B3 - NCLH'!W63</f>
        <v>500</v>
      </c>
      <c r="AE68" s="313">
        <f>'P&amp;L - Concept B3 - NCLH'!X63</f>
        <v>500</v>
      </c>
    </row>
    <row r="69" spans="1:32" s="96" customFormat="1">
      <c r="A69" s="54" t="s">
        <v>210</v>
      </c>
      <c r="B69" s="487"/>
      <c r="C69" s="487"/>
      <c r="K69" s="486">
        <f>'P&amp;L - Concept B3 - NCLH'!D65</f>
        <v>0</v>
      </c>
      <c r="L69" s="313">
        <f>'P&amp;L - Concept B3 - NCLH'!E65</f>
        <v>0</v>
      </c>
      <c r="M69" s="313">
        <f>'P&amp;L - Concept B3 - NCLH'!F65</f>
        <v>1</v>
      </c>
      <c r="N69" s="313">
        <f>'P&amp;L - Concept B3 - NCLH'!G65</f>
        <v>2</v>
      </c>
      <c r="O69" s="313">
        <f>'P&amp;L - Concept B3 - NCLH'!H65</f>
        <v>2</v>
      </c>
      <c r="P69" s="313">
        <f>'P&amp;L - Concept B3 - NCLH'!I65</f>
        <v>2</v>
      </c>
      <c r="Q69" s="313">
        <f>'P&amp;L - Concept B3 - NCLH'!J65</f>
        <v>3</v>
      </c>
      <c r="R69" s="313">
        <f>'P&amp;L - Concept B3 - NCLH'!K65</f>
        <v>3</v>
      </c>
      <c r="S69" s="313">
        <f>'P&amp;L - Concept B3 - NCLH'!L65</f>
        <v>3</v>
      </c>
      <c r="T69" s="313">
        <f>'P&amp;L - Concept B3 - NCLH'!M65</f>
        <v>3</v>
      </c>
      <c r="U69" s="313">
        <f>'P&amp;L - Concept B3 - NCLH'!N65</f>
        <v>3</v>
      </c>
      <c r="V69" s="313">
        <f>'P&amp;L - Concept B3 - NCLH'!O65</f>
        <v>4</v>
      </c>
      <c r="W69" s="313">
        <f>'P&amp;L - Concept B3 - NCLH'!P65</f>
        <v>4</v>
      </c>
      <c r="X69" s="313">
        <f>'P&amp;L - Concept B3 - NCLH'!Q65</f>
        <v>4</v>
      </c>
      <c r="Y69" s="313">
        <f>'P&amp;L - Concept B3 - NCLH'!R65</f>
        <v>4</v>
      </c>
      <c r="Z69" s="313">
        <f>'P&amp;L - Concept B3 - NCLH'!S65</f>
        <v>4</v>
      </c>
      <c r="AA69" s="313">
        <f>'P&amp;L - Concept B3 - NCLH'!T65</f>
        <v>5</v>
      </c>
      <c r="AB69" s="313">
        <f>'P&amp;L - Concept B3 - NCLH'!U65</f>
        <v>5</v>
      </c>
      <c r="AC69" s="313">
        <f>'P&amp;L - Concept B3 - NCLH'!V65</f>
        <v>5</v>
      </c>
      <c r="AD69" s="313">
        <f>'P&amp;L - Concept B3 - NCLH'!W65</f>
        <v>5</v>
      </c>
      <c r="AE69" s="313">
        <f>'P&amp;L - Concept B3 - NCLH'!X65</f>
        <v>5</v>
      </c>
    </row>
    <row r="70" spans="1:32" s="96" customFormat="1">
      <c r="A70" s="96" t="s">
        <v>211</v>
      </c>
      <c r="K70" s="486">
        <f>'P&amp;L - Concept B3 - NCLH'!D66</f>
        <v>0</v>
      </c>
      <c r="L70" s="313">
        <f>'P&amp;L - Concept B3 - NCLH'!E66</f>
        <v>0</v>
      </c>
      <c r="M70" s="313">
        <f>'P&amp;L - Concept B3 - NCLH'!F66</f>
        <v>3</v>
      </c>
      <c r="N70" s="313">
        <f>'P&amp;L - Concept B3 - NCLH'!G66</f>
        <v>3</v>
      </c>
      <c r="O70" s="313">
        <f>'P&amp;L - Concept B3 - NCLH'!H66</f>
        <v>3</v>
      </c>
      <c r="P70" s="313">
        <f>'P&amp;L - Concept B3 - NCLH'!I66</f>
        <v>3</v>
      </c>
      <c r="Q70" s="313">
        <f>'P&amp;L - Concept B3 - NCLH'!J66</f>
        <v>3</v>
      </c>
      <c r="R70" s="313">
        <f>'P&amp;L - Concept B3 - NCLH'!K66</f>
        <v>3</v>
      </c>
      <c r="S70" s="313">
        <f>'P&amp;L - Concept B3 - NCLH'!L66</f>
        <v>3</v>
      </c>
      <c r="T70" s="313">
        <f>'P&amp;L - Concept B3 - NCLH'!M66</f>
        <v>3</v>
      </c>
      <c r="U70" s="313">
        <f>'P&amp;L - Concept B3 - NCLH'!N66</f>
        <v>3</v>
      </c>
      <c r="V70" s="313">
        <f>'P&amp;L - Concept B3 - NCLH'!O66</f>
        <v>3</v>
      </c>
      <c r="W70" s="313">
        <f>'P&amp;L - Concept B3 - NCLH'!P66</f>
        <v>3</v>
      </c>
      <c r="X70" s="313">
        <f>'P&amp;L - Concept B3 - NCLH'!Q66</f>
        <v>3</v>
      </c>
      <c r="Y70" s="313">
        <f>'P&amp;L - Concept B3 - NCLH'!R66</f>
        <v>3</v>
      </c>
      <c r="Z70" s="313">
        <f>'P&amp;L - Concept B3 - NCLH'!S66</f>
        <v>3</v>
      </c>
      <c r="AA70" s="313">
        <f>'P&amp;L - Concept B3 - NCLH'!T66</f>
        <v>3</v>
      </c>
      <c r="AB70" s="313">
        <f>'P&amp;L - Concept B3 - NCLH'!U66</f>
        <v>3</v>
      </c>
      <c r="AC70" s="313">
        <f>'P&amp;L - Concept B3 - NCLH'!V66</f>
        <v>3</v>
      </c>
      <c r="AD70" s="313">
        <f>'P&amp;L - Concept B3 - NCLH'!W66</f>
        <v>3</v>
      </c>
      <c r="AE70" s="313">
        <f>'P&amp;L - Concept B3 - NCLH'!X66</f>
        <v>3</v>
      </c>
    </row>
    <row r="71" spans="1:32" s="96" customFormat="1">
      <c r="K71" s="486"/>
      <c r="L71" s="435"/>
      <c r="M71" s="435"/>
      <c r="N71" s="435"/>
      <c r="O71" s="435"/>
      <c r="P71" s="435"/>
      <c r="Q71" s="435"/>
      <c r="R71" s="435"/>
      <c r="S71" s="435"/>
      <c r="T71" s="435"/>
      <c r="U71" s="435"/>
      <c r="V71" s="435"/>
      <c r="W71" s="435"/>
      <c r="X71" s="435"/>
      <c r="Y71" s="435"/>
      <c r="Z71" s="435"/>
      <c r="AA71" s="435"/>
      <c r="AB71" s="435"/>
      <c r="AC71" s="435"/>
      <c r="AD71" s="435"/>
      <c r="AE71" s="435"/>
    </row>
    <row r="72" spans="1:32" s="18" customFormat="1">
      <c r="A72" s="28"/>
      <c r="K72" s="486"/>
      <c r="L72" s="331"/>
      <c r="M72" s="333"/>
      <c r="N72" s="331"/>
      <c r="O72" s="331"/>
      <c r="P72" s="331"/>
      <c r="Q72" s="331"/>
      <c r="R72" s="331"/>
      <c r="S72" s="331"/>
      <c r="T72" s="331"/>
      <c r="U72" s="331"/>
      <c r="V72" s="331"/>
      <c r="W72" s="331"/>
      <c r="X72" s="331"/>
      <c r="Y72" s="331"/>
      <c r="Z72" s="331"/>
      <c r="AA72" s="331"/>
      <c r="AB72" s="331"/>
      <c r="AC72" s="331"/>
      <c r="AD72" s="331"/>
      <c r="AE72" s="331"/>
    </row>
    <row r="73" spans="1:32">
      <c r="A73" s="168" t="s">
        <v>131</v>
      </c>
      <c r="B73" s="168"/>
      <c r="C73" s="169"/>
      <c r="D73" s="170"/>
      <c r="E73" s="171"/>
      <c r="F73" s="171"/>
      <c r="G73" s="171"/>
      <c r="H73" s="171"/>
      <c r="I73" s="168"/>
      <c r="J73" s="171"/>
      <c r="K73" s="681"/>
      <c r="L73" s="314"/>
      <c r="M73" s="314"/>
      <c r="N73" s="314"/>
      <c r="O73" s="314"/>
      <c r="P73" s="314"/>
      <c r="Q73" s="314"/>
      <c r="R73" s="314"/>
      <c r="S73" s="314"/>
      <c r="T73" s="314"/>
      <c r="U73" s="314"/>
      <c r="V73" s="314"/>
      <c r="W73" s="314"/>
      <c r="X73" s="314"/>
      <c r="Y73" s="314"/>
      <c r="Z73" s="314"/>
      <c r="AA73" s="314"/>
      <c r="AB73" s="314"/>
      <c r="AC73" s="314"/>
      <c r="AD73" s="314"/>
      <c r="AE73" s="314"/>
    </row>
    <row r="74" spans="1:32" s="252" customFormat="1">
      <c r="A74" s="183"/>
      <c r="B74" s="183"/>
      <c r="C74" s="364"/>
      <c r="D74" s="365"/>
      <c r="E74" s="184"/>
      <c r="F74" s="184"/>
      <c r="G74" s="184"/>
      <c r="H74" s="184"/>
      <c r="I74" s="183"/>
      <c r="J74" s="184"/>
      <c r="K74" s="664"/>
      <c r="L74" s="366"/>
      <c r="M74" s="366"/>
      <c r="N74" s="366"/>
      <c r="O74" s="366"/>
      <c r="P74" s="366"/>
      <c r="Q74" s="366"/>
      <c r="R74" s="366"/>
      <c r="S74" s="366"/>
      <c r="T74" s="366"/>
      <c r="U74" s="366"/>
      <c r="V74" s="366"/>
      <c r="W74" s="366"/>
      <c r="X74" s="366"/>
      <c r="Y74" s="366"/>
      <c r="Z74" s="366"/>
      <c r="AA74" s="366"/>
      <c r="AB74" s="366"/>
      <c r="AC74" s="366"/>
      <c r="AD74" s="366"/>
      <c r="AE74" s="366"/>
    </row>
    <row r="75" spans="1:32">
      <c r="A75" s="41" t="s">
        <v>13</v>
      </c>
      <c r="B75" s="41"/>
      <c r="C75" s="105"/>
      <c r="D75" s="106"/>
      <c r="E75" s="37"/>
      <c r="F75" s="37"/>
      <c r="G75" s="37"/>
      <c r="H75" s="37"/>
      <c r="I75" s="41"/>
      <c r="J75" s="37"/>
      <c r="K75" s="683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</row>
    <row r="76" spans="1:32">
      <c r="A76" s="96" t="s">
        <v>418</v>
      </c>
      <c r="B76" s="735" t="s">
        <v>12</v>
      </c>
      <c r="C76" s="663">
        <v>75000</v>
      </c>
      <c r="D76" s="736">
        <f t="shared" ref="D76:D79" si="0">C76/2080</f>
        <v>36.057692307692307</v>
      </c>
      <c r="E76" s="663">
        <v>0</v>
      </c>
      <c r="F76" s="663">
        <f>(C76*$F$13)</f>
        <v>30000</v>
      </c>
      <c r="G76" s="663">
        <f>SUM(C76,E76:F76)</f>
        <v>105000</v>
      </c>
      <c r="H76" s="663"/>
      <c r="I76" s="736"/>
      <c r="J76" s="663"/>
      <c r="K76" s="683">
        <v>0</v>
      </c>
      <c r="L76" s="665">
        <v>0</v>
      </c>
      <c r="M76" s="666">
        <f>G76</f>
        <v>105000</v>
      </c>
      <c r="N76" s="666">
        <f>($G$76*L11)</f>
        <v>107100</v>
      </c>
      <c r="O76" s="666">
        <f t="shared" ref="O76:AE76" si="1">($G$76*M11)</f>
        <v>109242</v>
      </c>
      <c r="P76" s="666">
        <f t="shared" si="1"/>
        <v>111426.84</v>
      </c>
      <c r="Q76" s="666">
        <f t="shared" si="1"/>
        <v>113655.3768</v>
      </c>
      <c r="R76" s="666">
        <f t="shared" si="1"/>
        <v>115928.48433600001</v>
      </c>
      <c r="S76" s="666">
        <f t="shared" si="1"/>
        <v>118247.05402272001</v>
      </c>
      <c r="T76" s="666">
        <f t="shared" si="1"/>
        <v>120611.9951031744</v>
      </c>
      <c r="U76" s="666">
        <f t="shared" si="1"/>
        <v>123024.2350052379</v>
      </c>
      <c r="V76" s="666">
        <f t="shared" si="1"/>
        <v>125484.71970534266</v>
      </c>
      <c r="W76" s="666">
        <f t="shared" si="1"/>
        <v>127994.41409944952</v>
      </c>
      <c r="X76" s="666">
        <f t="shared" si="1"/>
        <v>130554.30238143851</v>
      </c>
      <c r="Y76" s="666">
        <f t="shared" si="1"/>
        <v>133165.38842906727</v>
      </c>
      <c r="Z76" s="666">
        <f t="shared" si="1"/>
        <v>135828.69619764862</v>
      </c>
      <c r="AA76" s="666">
        <f t="shared" si="1"/>
        <v>138545.27012160158</v>
      </c>
      <c r="AB76" s="666">
        <f t="shared" si="1"/>
        <v>141316.17552403364</v>
      </c>
      <c r="AC76" s="666">
        <f t="shared" si="1"/>
        <v>144142.4990345143</v>
      </c>
      <c r="AD76" s="666">
        <f t="shared" si="1"/>
        <v>147025.34901520461</v>
      </c>
      <c r="AE76" s="666">
        <f t="shared" si="1"/>
        <v>149965.8559955087</v>
      </c>
    </row>
    <row r="77" spans="1:32">
      <c r="A77" s="96" t="s">
        <v>417</v>
      </c>
      <c r="B77" s="735" t="s">
        <v>12</v>
      </c>
      <c r="C77" s="663">
        <v>35000</v>
      </c>
      <c r="D77" s="736">
        <f t="shared" si="0"/>
        <v>16.826923076923077</v>
      </c>
      <c r="E77" s="663">
        <v>0</v>
      </c>
      <c r="F77" s="663">
        <f t="shared" ref="F77:F79" si="2">(C77*$F$13)</f>
        <v>14000</v>
      </c>
      <c r="G77" s="663">
        <f t="shared" ref="G77:G79" si="3">SUM(C77,E77:F77)</f>
        <v>49000</v>
      </c>
      <c r="H77" s="663"/>
      <c r="I77" s="736"/>
      <c r="J77" s="663"/>
      <c r="K77" s="683">
        <v>0</v>
      </c>
      <c r="L77" s="665">
        <f>G77*0.25</f>
        <v>12250</v>
      </c>
      <c r="M77" s="666">
        <f>G77*0.5</f>
        <v>24500</v>
      </c>
      <c r="N77" s="666">
        <f>($G$77*0.5*L11)</f>
        <v>24990</v>
      </c>
      <c r="O77" s="666">
        <f t="shared" ref="O77:AE77" si="4">($G$77*0.5*M11)</f>
        <v>25489.8</v>
      </c>
      <c r="P77" s="666">
        <f t="shared" si="4"/>
        <v>25999.595999999998</v>
      </c>
      <c r="Q77" s="666">
        <f t="shared" si="4"/>
        <v>26519.587919999998</v>
      </c>
      <c r="R77" s="666">
        <f t="shared" si="4"/>
        <v>27049.979678399999</v>
      </c>
      <c r="S77" s="666">
        <f t="shared" si="4"/>
        <v>27590.979271968001</v>
      </c>
      <c r="T77" s="666">
        <f t="shared" si="4"/>
        <v>28142.798857407361</v>
      </c>
      <c r="U77" s="666">
        <f t="shared" si="4"/>
        <v>28705.654834555509</v>
      </c>
      <c r="V77" s="666">
        <f t="shared" si="4"/>
        <v>29279.767931246621</v>
      </c>
      <c r="W77" s="666">
        <f t="shared" si="4"/>
        <v>29865.363289871555</v>
      </c>
      <c r="X77" s="666">
        <f t="shared" si="4"/>
        <v>30462.670555668985</v>
      </c>
      <c r="Y77" s="666">
        <f t="shared" si="4"/>
        <v>31071.923966782364</v>
      </c>
      <c r="Z77" s="666">
        <f t="shared" si="4"/>
        <v>31693.362446118008</v>
      </c>
      <c r="AA77" s="666">
        <f t="shared" si="4"/>
        <v>32327.229695040372</v>
      </c>
      <c r="AB77" s="666">
        <f t="shared" si="4"/>
        <v>32973.774288941182</v>
      </c>
      <c r="AC77" s="666">
        <f t="shared" si="4"/>
        <v>33633.249774720003</v>
      </c>
      <c r="AD77" s="666">
        <f t="shared" si="4"/>
        <v>34305.914770214411</v>
      </c>
      <c r="AE77" s="666">
        <f t="shared" si="4"/>
        <v>34992.0330656187</v>
      </c>
    </row>
    <row r="78" spans="1:32">
      <c r="A78" s="96" t="s">
        <v>422</v>
      </c>
      <c r="B78" s="735" t="s">
        <v>15</v>
      </c>
      <c r="C78" s="663">
        <v>15000</v>
      </c>
      <c r="D78" s="736">
        <f t="shared" si="0"/>
        <v>7.2115384615384617</v>
      </c>
      <c r="E78" s="663">
        <f>C78*$L$15</f>
        <v>0</v>
      </c>
      <c r="F78" s="663">
        <f t="shared" si="2"/>
        <v>6000</v>
      </c>
      <c r="G78" s="663">
        <f t="shared" si="3"/>
        <v>21000</v>
      </c>
      <c r="H78" s="663"/>
      <c r="I78" s="736"/>
      <c r="J78" s="663"/>
      <c r="K78" s="683">
        <v>0</v>
      </c>
      <c r="L78" s="665">
        <v>0</v>
      </c>
      <c r="M78" s="666">
        <f t="shared" ref="M78" si="5">G78</f>
        <v>21000</v>
      </c>
      <c r="N78" s="666">
        <f>($G$78*L11)</f>
        <v>21420</v>
      </c>
      <c r="O78" s="666">
        <f t="shared" ref="O78:AE78" si="6">($G$78*M11)</f>
        <v>21848.400000000001</v>
      </c>
      <c r="P78" s="666">
        <f t="shared" si="6"/>
        <v>22285.367999999999</v>
      </c>
      <c r="Q78" s="666">
        <f t="shared" si="6"/>
        <v>22731.075359999999</v>
      </c>
      <c r="R78" s="666">
        <f t="shared" si="6"/>
        <v>23185.6968672</v>
      </c>
      <c r="S78" s="666">
        <f t="shared" si="6"/>
        <v>23649.410804544001</v>
      </c>
      <c r="T78" s="666">
        <f t="shared" si="6"/>
        <v>24122.399020634883</v>
      </c>
      <c r="U78" s="666">
        <f t="shared" si="6"/>
        <v>24604.847001047579</v>
      </c>
      <c r="V78" s="666">
        <f t="shared" si="6"/>
        <v>25096.943941068534</v>
      </c>
      <c r="W78" s="666">
        <f t="shared" si="6"/>
        <v>25598.882819889903</v>
      </c>
      <c r="X78" s="666">
        <f t="shared" si="6"/>
        <v>26110.8604762877</v>
      </c>
      <c r="Y78" s="666">
        <f t="shared" si="6"/>
        <v>26633.077685813456</v>
      </c>
      <c r="Z78" s="666">
        <f t="shared" si="6"/>
        <v>27165.739239529721</v>
      </c>
      <c r="AA78" s="666">
        <f t="shared" si="6"/>
        <v>27709.054024320321</v>
      </c>
      <c r="AB78" s="666">
        <f t="shared" si="6"/>
        <v>28263.235104806728</v>
      </c>
      <c r="AC78" s="666">
        <f t="shared" si="6"/>
        <v>28828.499806902862</v>
      </c>
      <c r="AD78" s="666">
        <f t="shared" si="6"/>
        <v>29405.069803040922</v>
      </c>
      <c r="AE78" s="666">
        <f t="shared" si="6"/>
        <v>29993.17119910174</v>
      </c>
    </row>
    <row r="79" spans="1:32">
      <c r="A79" s="737" t="s">
        <v>422</v>
      </c>
      <c r="B79" s="738" t="s">
        <v>15</v>
      </c>
      <c r="C79" s="739">
        <v>15000</v>
      </c>
      <c r="D79" s="740">
        <f t="shared" si="0"/>
        <v>7.2115384615384617</v>
      </c>
      <c r="E79" s="739">
        <f>C79*$L$15</f>
        <v>0</v>
      </c>
      <c r="F79" s="739">
        <f t="shared" si="2"/>
        <v>6000</v>
      </c>
      <c r="G79" s="739">
        <f t="shared" si="3"/>
        <v>21000</v>
      </c>
      <c r="H79" s="739"/>
      <c r="I79" s="740"/>
      <c r="J79" s="739"/>
      <c r="K79" s="741">
        <v>0</v>
      </c>
      <c r="L79" s="742">
        <v>0</v>
      </c>
      <c r="M79" s="742">
        <f t="shared" ref="M79" si="7">G79</f>
        <v>21000</v>
      </c>
      <c r="N79" s="742">
        <f>($G$79*L11)</f>
        <v>21420</v>
      </c>
      <c r="O79" s="742">
        <f t="shared" ref="O79:AE79" si="8">($G$79*M11)</f>
        <v>21848.400000000001</v>
      </c>
      <c r="P79" s="742">
        <f t="shared" si="8"/>
        <v>22285.367999999999</v>
      </c>
      <c r="Q79" s="742">
        <f t="shared" si="8"/>
        <v>22731.075359999999</v>
      </c>
      <c r="R79" s="742">
        <f t="shared" si="8"/>
        <v>23185.6968672</v>
      </c>
      <c r="S79" s="742">
        <f t="shared" si="8"/>
        <v>23649.410804544001</v>
      </c>
      <c r="T79" s="742">
        <f t="shared" si="8"/>
        <v>24122.399020634883</v>
      </c>
      <c r="U79" s="742">
        <f t="shared" si="8"/>
        <v>24604.847001047579</v>
      </c>
      <c r="V79" s="742">
        <f t="shared" si="8"/>
        <v>25096.943941068534</v>
      </c>
      <c r="W79" s="742">
        <f t="shared" si="8"/>
        <v>25598.882819889903</v>
      </c>
      <c r="X79" s="742">
        <f t="shared" si="8"/>
        <v>26110.8604762877</v>
      </c>
      <c r="Y79" s="742">
        <f t="shared" si="8"/>
        <v>26633.077685813456</v>
      </c>
      <c r="Z79" s="742">
        <f t="shared" si="8"/>
        <v>27165.739239529721</v>
      </c>
      <c r="AA79" s="742">
        <f t="shared" si="8"/>
        <v>27709.054024320321</v>
      </c>
      <c r="AB79" s="742">
        <f t="shared" si="8"/>
        <v>28263.235104806728</v>
      </c>
      <c r="AC79" s="742">
        <f t="shared" si="8"/>
        <v>28828.499806902862</v>
      </c>
      <c r="AD79" s="742">
        <f t="shared" si="8"/>
        <v>29405.069803040922</v>
      </c>
      <c r="AE79" s="742">
        <f t="shared" si="8"/>
        <v>29993.17119910174</v>
      </c>
    </row>
    <row r="80" spans="1:32" s="56" customFormat="1" ht="14.25">
      <c r="A80" s="164" t="s">
        <v>416</v>
      </c>
      <c r="B80" s="164"/>
      <c r="C80" s="667">
        <f>SUM(C76:C79)</f>
        <v>140000</v>
      </c>
      <c r="D80" s="667"/>
      <c r="E80" s="667">
        <f>SUM(E76:E79)</f>
        <v>0</v>
      </c>
      <c r="F80" s="667">
        <f>SUM(F76:F79)</f>
        <v>56000</v>
      </c>
      <c r="G80" s="667">
        <f>SUM(G76:G79)</f>
        <v>196000</v>
      </c>
      <c r="H80" s="667"/>
      <c r="I80" s="668"/>
      <c r="J80" s="667"/>
      <c r="K80" s="685">
        <f>SUMIF($B76:$B79,"FT",K76:K79)</f>
        <v>0</v>
      </c>
      <c r="L80" s="669">
        <f t="shared" ref="L80:AE80" si="9">SUM(L76:L79)</f>
        <v>12250</v>
      </c>
      <c r="M80" s="669">
        <f t="shared" si="9"/>
        <v>171500</v>
      </c>
      <c r="N80" s="669">
        <f t="shared" si="9"/>
        <v>174930</v>
      </c>
      <c r="O80" s="669">
        <f t="shared" si="9"/>
        <v>178428.59999999998</v>
      </c>
      <c r="P80" s="669">
        <f t="shared" si="9"/>
        <v>181997.17199999996</v>
      </c>
      <c r="Q80" s="669">
        <f t="shared" si="9"/>
        <v>185637.11543999997</v>
      </c>
      <c r="R80" s="669">
        <f t="shared" si="9"/>
        <v>189349.85774879999</v>
      </c>
      <c r="S80" s="669">
        <f t="shared" si="9"/>
        <v>193136.85490377599</v>
      </c>
      <c r="T80" s="669">
        <f t="shared" si="9"/>
        <v>196999.59200185153</v>
      </c>
      <c r="U80" s="669">
        <f t="shared" si="9"/>
        <v>200939.58384188855</v>
      </c>
      <c r="V80" s="669">
        <f t="shared" si="9"/>
        <v>204958.37551872636</v>
      </c>
      <c r="W80" s="669">
        <f t="shared" si="9"/>
        <v>209057.54302910087</v>
      </c>
      <c r="X80" s="669">
        <f t="shared" si="9"/>
        <v>213238.69388968288</v>
      </c>
      <c r="Y80" s="669">
        <f t="shared" si="9"/>
        <v>217503.46776747654</v>
      </c>
      <c r="Z80" s="669">
        <f t="shared" si="9"/>
        <v>221853.53712282603</v>
      </c>
      <c r="AA80" s="669">
        <f t="shared" si="9"/>
        <v>226290.60786528263</v>
      </c>
      <c r="AB80" s="669">
        <f t="shared" si="9"/>
        <v>230816.42002258825</v>
      </c>
      <c r="AC80" s="669">
        <f t="shared" si="9"/>
        <v>235432.74842304003</v>
      </c>
      <c r="AD80" s="669">
        <f t="shared" si="9"/>
        <v>240141.40339150085</v>
      </c>
      <c r="AE80" s="669">
        <f t="shared" si="9"/>
        <v>244944.23145933088</v>
      </c>
    </row>
    <row r="81" spans="1:35" s="56" customFormat="1" ht="14.25">
      <c r="A81" s="164"/>
      <c r="B81" s="164"/>
      <c r="C81" s="667"/>
      <c r="D81" s="667"/>
      <c r="E81" s="667"/>
      <c r="F81" s="667"/>
      <c r="G81" s="667"/>
      <c r="H81" s="667"/>
      <c r="I81" s="668"/>
      <c r="J81" s="667"/>
      <c r="K81" s="685"/>
      <c r="L81" s="669"/>
      <c r="M81" s="669"/>
      <c r="N81" s="669"/>
      <c r="O81" s="669"/>
      <c r="P81" s="669"/>
      <c r="Q81" s="669"/>
      <c r="R81" s="669"/>
      <c r="S81" s="669"/>
      <c r="T81" s="669"/>
      <c r="U81" s="669"/>
      <c r="V81" s="669"/>
      <c r="W81" s="669"/>
      <c r="X81" s="669"/>
      <c r="Y81" s="669"/>
      <c r="Z81" s="669"/>
      <c r="AA81" s="669"/>
      <c r="AB81" s="669"/>
      <c r="AC81" s="669"/>
      <c r="AD81" s="669"/>
      <c r="AE81" s="669"/>
    </row>
    <row r="82" spans="1:35">
      <c r="A82" s="37" t="s">
        <v>411</v>
      </c>
      <c r="B82" s="37"/>
      <c r="C82" s="57"/>
      <c r="E82" s="57"/>
      <c r="F82" s="57"/>
      <c r="G82" s="57"/>
      <c r="H82" s="57"/>
      <c r="I82" s="43"/>
      <c r="J82" s="42"/>
      <c r="K82" s="743">
        <f>COUNTIF(K76:K79,"&gt;100")</f>
        <v>0</v>
      </c>
      <c r="L82" s="496">
        <f t="shared" ref="L82:AE82" si="10">COUNTIF(L76:L77,"&gt;100")</f>
        <v>1</v>
      </c>
      <c r="M82" s="496">
        <f t="shared" si="10"/>
        <v>2</v>
      </c>
      <c r="N82" s="496">
        <f t="shared" si="10"/>
        <v>2</v>
      </c>
      <c r="O82" s="496">
        <f t="shared" si="10"/>
        <v>2</v>
      </c>
      <c r="P82" s="496">
        <f t="shared" si="10"/>
        <v>2</v>
      </c>
      <c r="Q82" s="496">
        <f t="shared" si="10"/>
        <v>2</v>
      </c>
      <c r="R82" s="496">
        <f t="shared" si="10"/>
        <v>2</v>
      </c>
      <c r="S82" s="496">
        <f t="shared" si="10"/>
        <v>2</v>
      </c>
      <c r="T82" s="496">
        <f t="shared" si="10"/>
        <v>2</v>
      </c>
      <c r="U82" s="496">
        <f t="shared" si="10"/>
        <v>2</v>
      </c>
      <c r="V82" s="496">
        <f t="shared" si="10"/>
        <v>2</v>
      </c>
      <c r="W82" s="496">
        <f t="shared" si="10"/>
        <v>2</v>
      </c>
      <c r="X82" s="496">
        <f t="shared" si="10"/>
        <v>2</v>
      </c>
      <c r="Y82" s="496">
        <f t="shared" si="10"/>
        <v>2</v>
      </c>
      <c r="Z82" s="496">
        <f t="shared" si="10"/>
        <v>2</v>
      </c>
      <c r="AA82" s="496">
        <f t="shared" si="10"/>
        <v>2</v>
      </c>
      <c r="AB82" s="496">
        <f t="shared" si="10"/>
        <v>2</v>
      </c>
      <c r="AC82" s="496">
        <f t="shared" si="10"/>
        <v>2</v>
      </c>
      <c r="AD82" s="496">
        <f t="shared" si="10"/>
        <v>2</v>
      </c>
      <c r="AE82" s="496">
        <f t="shared" si="10"/>
        <v>2</v>
      </c>
      <c r="AF82" s="744"/>
    </row>
    <row r="83" spans="1:35">
      <c r="A83" s="745" t="s">
        <v>412</v>
      </c>
      <c r="B83" s="745"/>
      <c r="C83" s="746"/>
      <c r="D83" s="116"/>
      <c r="E83" s="746"/>
      <c r="F83" s="746"/>
      <c r="G83" s="746"/>
      <c r="H83" s="746"/>
      <c r="I83" s="747"/>
      <c r="J83" s="748"/>
      <c r="K83" s="749">
        <f t="shared" ref="K83" si="11">K84-K82</f>
        <v>0</v>
      </c>
      <c r="L83" s="750">
        <f t="shared" ref="L83:AE83" si="12">COUNTIF(L78:L79,"&gt;100")</f>
        <v>0</v>
      </c>
      <c r="M83" s="750">
        <f t="shared" si="12"/>
        <v>2</v>
      </c>
      <c r="N83" s="750">
        <f t="shared" si="12"/>
        <v>2</v>
      </c>
      <c r="O83" s="750">
        <f t="shared" si="12"/>
        <v>2</v>
      </c>
      <c r="P83" s="750">
        <f t="shared" si="12"/>
        <v>2</v>
      </c>
      <c r="Q83" s="750">
        <f t="shared" si="12"/>
        <v>2</v>
      </c>
      <c r="R83" s="750">
        <f t="shared" si="12"/>
        <v>2</v>
      </c>
      <c r="S83" s="750">
        <f t="shared" si="12"/>
        <v>2</v>
      </c>
      <c r="T83" s="750">
        <f t="shared" si="12"/>
        <v>2</v>
      </c>
      <c r="U83" s="750">
        <f t="shared" si="12"/>
        <v>2</v>
      </c>
      <c r="V83" s="750">
        <f t="shared" si="12"/>
        <v>2</v>
      </c>
      <c r="W83" s="750">
        <f t="shared" si="12"/>
        <v>2</v>
      </c>
      <c r="X83" s="750">
        <f t="shared" si="12"/>
        <v>2</v>
      </c>
      <c r="Y83" s="750">
        <f t="shared" si="12"/>
        <v>2</v>
      </c>
      <c r="Z83" s="750">
        <f t="shared" si="12"/>
        <v>2</v>
      </c>
      <c r="AA83" s="750">
        <f t="shared" si="12"/>
        <v>2</v>
      </c>
      <c r="AB83" s="750">
        <f t="shared" si="12"/>
        <v>2</v>
      </c>
      <c r="AC83" s="750">
        <f t="shared" si="12"/>
        <v>2</v>
      </c>
      <c r="AD83" s="750">
        <f t="shared" si="12"/>
        <v>2</v>
      </c>
      <c r="AE83" s="750">
        <f t="shared" si="12"/>
        <v>2</v>
      </c>
    </row>
    <row r="84" spans="1:35" s="56" customFormat="1" ht="14.25">
      <c r="A84" s="164" t="s">
        <v>413</v>
      </c>
      <c r="B84" s="164"/>
      <c r="C84" s="75"/>
      <c r="D84" s="173"/>
      <c r="E84" s="75"/>
      <c r="F84" s="75"/>
      <c r="G84" s="75"/>
      <c r="H84" s="75"/>
      <c r="I84" s="174"/>
      <c r="J84" s="181"/>
      <c r="K84" s="751">
        <f>COUNTIF(K76:K79,"&gt;0")</f>
        <v>0</v>
      </c>
      <c r="L84" s="752">
        <f>SUM(L82:L83)</f>
        <v>1</v>
      </c>
      <c r="M84" s="752">
        <f t="shared" ref="M84:AE84" si="13">SUM(M82:M83)</f>
        <v>4</v>
      </c>
      <c r="N84" s="752">
        <f t="shared" si="13"/>
        <v>4</v>
      </c>
      <c r="O84" s="752">
        <f t="shared" si="13"/>
        <v>4</v>
      </c>
      <c r="P84" s="752">
        <f t="shared" si="13"/>
        <v>4</v>
      </c>
      <c r="Q84" s="752">
        <f t="shared" si="13"/>
        <v>4</v>
      </c>
      <c r="R84" s="752">
        <f t="shared" si="13"/>
        <v>4</v>
      </c>
      <c r="S84" s="752">
        <f t="shared" si="13"/>
        <v>4</v>
      </c>
      <c r="T84" s="752">
        <f t="shared" si="13"/>
        <v>4</v>
      </c>
      <c r="U84" s="752">
        <f t="shared" si="13"/>
        <v>4</v>
      </c>
      <c r="V84" s="752">
        <f t="shared" si="13"/>
        <v>4</v>
      </c>
      <c r="W84" s="752">
        <f t="shared" si="13"/>
        <v>4</v>
      </c>
      <c r="X84" s="752">
        <f t="shared" si="13"/>
        <v>4</v>
      </c>
      <c r="Y84" s="752">
        <f t="shared" si="13"/>
        <v>4</v>
      </c>
      <c r="Z84" s="752">
        <f t="shared" si="13"/>
        <v>4</v>
      </c>
      <c r="AA84" s="752">
        <f t="shared" si="13"/>
        <v>4</v>
      </c>
      <c r="AB84" s="752">
        <f t="shared" si="13"/>
        <v>4</v>
      </c>
      <c r="AC84" s="752">
        <f t="shared" si="13"/>
        <v>4</v>
      </c>
      <c r="AD84" s="752">
        <f t="shared" si="13"/>
        <v>4</v>
      </c>
      <c r="AE84" s="752">
        <f t="shared" si="13"/>
        <v>4</v>
      </c>
    </row>
    <row r="85" spans="1:35" s="56" customFormat="1" ht="14.25">
      <c r="A85" s="164"/>
      <c r="B85" s="164"/>
      <c r="C85" s="75"/>
      <c r="D85" s="173"/>
      <c r="E85" s="75"/>
      <c r="F85" s="75"/>
      <c r="G85" s="75"/>
      <c r="H85" s="75"/>
      <c r="I85" s="174"/>
      <c r="J85" s="181"/>
      <c r="K85" s="685"/>
      <c r="L85" s="315"/>
      <c r="M85" s="315"/>
      <c r="N85" s="315"/>
      <c r="O85" s="315"/>
      <c r="P85" s="315"/>
      <c r="Q85" s="315"/>
      <c r="R85" s="315"/>
      <c r="S85" s="315"/>
      <c r="T85" s="315"/>
      <c r="U85" s="315"/>
      <c r="V85" s="315"/>
      <c r="W85" s="315"/>
      <c r="X85" s="315"/>
      <c r="Y85" s="315"/>
      <c r="Z85" s="315"/>
      <c r="AA85" s="315"/>
      <c r="AB85" s="315"/>
      <c r="AC85" s="315"/>
      <c r="AD85" s="315"/>
      <c r="AE85" s="315"/>
    </row>
    <row r="86" spans="1:35">
      <c r="A86" s="48" t="s">
        <v>68</v>
      </c>
      <c r="B86" s="48"/>
      <c r="C86" s="77"/>
      <c r="D86" s="76"/>
      <c r="E86" s="57"/>
      <c r="F86" s="57"/>
      <c r="G86" s="77"/>
      <c r="H86" s="77"/>
      <c r="I86" s="50"/>
      <c r="J86" s="49"/>
      <c r="K86" s="683"/>
      <c r="L86" s="316"/>
      <c r="M86" s="316"/>
      <c r="N86" s="316"/>
      <c r="O86" s="316"/>
      <c r="P86" s="316"/>
      <c r="Q86" s="316"/>
      <c r="R86" s="316"/>
      <c r="S86" s="316"/>
      <c r="T86" s="316"/>
      <c r="U86" s="316"/>
      <c r="V86" s="316"/>
      <c r="W86" s="316"/>
      <c r="X86" s="316"/>
      <c r="Y86" s="316"/>
      <c r="Z86" s="316"/>
      <c r="AA86" s="316"/>
      <c r="AB86" s="316"/>
      <c r="AC86" s="316"/>
      <c r="AD86" s="316"/>
      <c r="AE86" s="316"/>
    </row>
    <row r="87" spans="1:35" s="68" customFormat="1" ht="14.25">
      <c r="A87" s="214" t="s">
        <v>80</v>
      </c>
      <c r="B87" s="189"/>
      <c r="C87" s="209"/>
      <c r="D87" s="210"/>
      <c r="E87" s="211"/>
      <c r="F87" s="211"/>
      <c r="G87" s="209"/>
      <c r="H87" s="209"/>
      <c r="I87" s="213"/>
      <c r="J87" s="212"/>
      <c r="K87" s="686"/>
      <c r="L87" s="317"/>
      <c r="M87" s="317"/>
      <c r="N87" s="317"/>
      <c r="O87" s="317"/>
      <c r="P87" s="317"/>
      <c r="Q87" s="317"/>
      <c r="R87" s="317"/>
      <c r="S87" s="317"/>
      <c r="T87" s="317"/>
      <c r="U87" s="317"/>
      <c r="V87" s="317"/>
      <c r="W87" s="317"/>
      <c r="X87" s="317"/>
      <c r="Y87" s="317"/>
      <c r="Z87" s="317"/>
      <c r="AA87" s="317"/>
      <c r="AB87" s="317"/>
      <c r="AC87" s="317"/>
      <c r="AD87" s="317"/>
      <c r="AE87" s="317"/>
    </row>
    <row r="88" spans="1:35">
      <c r="A88" s="37" t="s">
        <v>41</v>
      </c>
      <c r="B88" s="37"/>
      <c r="C88" s="110"/>
      <c r="D88" s="106"/>
      <c r="E88" s="57"/>
      <c r="F88" s="57"/>
      <c r="G88" s="57"/>
      <c r="H88" s="57"/>
      <c r="I88" s="51"/>
      <c r="J88" s="663"/>
      <c r="K88" s="683">
        <f>K$84*$J88*R$9</f>
        <v>0</v>
      </c>
      <c r="L88" s="666">
        <v>25000</v>
      </c>
      <c r="M88" s="666">
        <f>$L$88*L11</f>
        <v>25500</v>
      </c>
      <c r="N88" s="666">
        <f t="shared" ref="N88:P88" si="14">$L$88*M11</f>
        <v>26010</v>
      </c>
      <c r="O88" s="666">
        <f t="shared" si="14"/>
        <v>26530.199999999997</v>
      </c>
      <c r="P88" s="666">
        <f t="shared" si="14"/>
        <v>27060.804</v>
      </c>
      <c r="Q88" s="666">
        <f t="shared" ref="Q88" si="15">$L$88*P11</f>
        <v>27602.020080000002</v>
      </c>
      <c r="R88" s="666">
        <f t="shared" ref="R88" si="16">$L$88*Q11</f>
        <v>28154.060481600001</v>
      </c>
      <c r="S88" s="666">
        <f t="shared" ref="S88" si="17">$L$88*R11</f>
        <v>28717.141691232002</v>
      </c>
      <c r="T88" s="666">
        <f t="shared" ref="T88" si="18">$L$88*S11</f>
        <v>29291.484525056643</v>
      </c>
      <c r="U88" s="666">
        <f t="shared" ref="U88" si="19">$L$88*T11</f>
        <v>29877.314215557777</v>
      </c>
      <c r="V88" s="666">
        <f t="shared" ref="V88" si="20">$L$88*U11</f>
        <v>30474.860499868933</v>
      </c>
      <c r="W88" s="666">
        <f t="shared" ref="W88" si="21">$L$88*V11</f>
        <v>31084.357709866312</v>
      </c>
      <c r="X88" s="666">
        <f t="shared" ref="X88" si="22">$L$88*W11</f>
        <v>31706.044864063639</v>
      </c>
      <c r="Y88" s="666">
        <f t="shared" ref="Y88" si="23">$L$88*X11</f>
        <v>32340.165761344906</v>
      </c>
      <c r="Z88" s="666">
        <f t="shared" ref="Z88" si="24">$L$88*Y11</f>
        <v>32986.969076571811</v>
      </c>
      <c r="AA88" s="666">
        <f t="shared" ref="AA88" si="25">$L$88*Z11</f>
        <v>33646.708458103247</v>
      </c>
      <c r="AB88" s="666">
        <f t="shared" ref="AB88" si="26">$L$88*AA11</f>
        <v>34319.642627265312</v>
      </c>
      <c r="AC88" s="666">
        <f t="shared" ref="AC88" si="27">$L$88*AB11</f>
        <v>35006.03547981062</v>
      </c>
      <c r="AD88" s="666">
        <f t="shared" ref="AD88" si="28">$L$88*AC11</f>
        <v>35706.156189406836</v>
      </c>
      <c r="AE88" s="666">
        <f t="shared" ref="AE88" si="29">$L$88*AD11</f>
        <v>36420.279313194973</v>
      </c>
    </row>
    <row r="89" spans="1:35">
      <c r="A89" s="37" t="s">
        <v>424</v>
      </c>
      <c r="B89" s="37"/>
      <c r="C89" s="110"/>
      <c r="D89" s="106"/>
      <c r="E89" s="57"/>
      <c r="F89" s="57"/>
      <c r="G89" s="57"/>
      <c r="H89" s="57"/>
      <c r="I89" s="51"/>
      <c r="J89" s="663"/>
      <c r="K89" s="683">
        <f>K$84*$J89*R$9</f>
        <v>0</v>
      </c>
      <c r="L89" s="666">
        <v>10000</v>
      </c>
      <c r="M89" s="666">
        <v>500</v>
      </c>
      <c r="N89" s="666">
        <f>$M$89*M11</f>
        <v>520.20000000000005</v>
      </c>
      <c r="O89" s="666">
        <f>$M$89*N11</f>
        <v>530.60399999999993</v>
      </c>
      <c r="P89" s="666">
        <f>$M$89*O11</f>
        <v>541.21608000000003</v>
      </c>
      <c r="Q89" s="666">
        <v>5000</v>
      </c>
      <c r="R89" s="666">
        <f>$M$89*Q11</f>
        <v>563.08120963200008</v>
      </c>
      <c r="S89" s="666">
        <f>$M$89*R11</f>
        <v>574.34283382464002</v>
      </c>
      <c r="T89" s="666">
        <f>$M$89*S11</f>
        <v>585.82969050113286</v>
      </c>
      <c r="U89" s="666">
        <f>$M$89*T11</f>
        <v>597.54628431115555</v>
      </c>
      <c r="V89" s="666">
        <v>5000</v>
      </c>
      <c r="W89" s="666">
        <f>$M$89*V11</f>
        <v>621.68715419732621</v>
      </c>
      <c r="X89" s="666">
        <f>$M$89*W11</f>
        <v>634.12089728127273</v>
      </c>
      <c r="Y89" s="666">
        <f>$M$89*X11</f>
        <v>646.80331522689812</v>
      </c>
      <c r="Z89" s="666">
        <f>$M$89*Y11</f>
        <v>659.73938153143615</v>
      </c>
      <c r="AA89" s="666">
        <v>5000</v>
      </c>
      <c r="AB89" s="666">
        <f>$M$89*AA11</f>
        <v>686.39285254530625</v>
      </c>
      <c r="AC89" s="666">
        <f>$M$89*AB11</f>
        <v>700.12070959621246</v>
      </c>
      <c r="AD89" s="666">
        <f>$M$89*AC11</f>
        <v>714.1231237881367</v>
      </c>
      <c r="AE89" s="666">
        <f>$M$89*AD11</f>
        <v>728.40558626389941</v>
      </c>
    </row>
    <row r="90" spans="1:35">
      <c r="A90" s="37" t="s">
        <v>42</v>
      </c>
      <c r="B90" s="37"/>
      <c r="C90" s="110"/>
      <c r="D90" s="106"/>
      <c r="E90" s="57"/>
      <c r="F90" s="57"/>
      <c r="G90" s="57"/>
      <c r="H90" s="57"/>
      <c r="I90" s="51"/>
      <c r="J90" s="663"/>
      <c r="K90" s="683">
        <f>K$84*$J90*R$9</f>
        <v>0</v>
      </c>
      <c r="L90" s="666">
        <v>50000</v>
      </c>
      <c r="M90" s="666">
        <f t="shared" ref="M90:AE90" si="30">($L$90*L11)</f>
        <v>51000</v>
      </c>
      <c r="N90" s="666">
        <f t="shared" si="30"/>
        <v>52020</v>
      </c>
      <c r="O90" s="666">
        <f t="shared" si="30"/>
        <v>53060.399999999994</v>
      </c>
      <c r="P90" s="666">
        <f t="shared" si="30"/>
        <v>54121.608</v>
      </c>
      <c r="Q90" s="666">
        <f t="shared" si="30"/>
        <v>55204.040160000004</v>
      </c>
      <c r="R90" s="666">
        <f t="shared" si="30"/>
        <v>56308.120963200003</v>
      </c>
      <c r="S90" s="666">
        <f t="shared" si="30"/>
        <v>57434.283382464004</v>
      </c>
      <c r="T90" s="666">
        <f t="shared" si="30"/>
        <v>58582.969050113286</v>
      </c>
      <c r="U90" s="666">
        <f t="shared" si="30"/>
        <v>59754.628431115554</v>
      </c>
      <c r="V90" s="666">
        <f t="shared" si="30"/>
        <v>60949.720999737867</v>
      </c>
      <c r="W90" s="666">
        <f t="shared" si="30"/>
        <v>62168.715419732624</v>
      </c>
      <c r="X90" s="666">
        <f t="shared" si="30"/>
        <v>63412.089728127277</v>
      </c>
      <c r="Y90" s="666">
        <f t="shared" si="30"/>
        <v>64680.331522689812</v>
      </c>
      <c r="Z90" s="666">
        <f t="shared" si="30"/>
        <v>65973.938153143623</v>
      </c>
      <c r="AA90" s="666">
        <f t="shared" si="30"/>
        <v>67293.416916206494</v>
      </c>
      <c r="AB90" s="666">
        <f t="shared" si="30"/>
        <v>68639.285254530623</v>
      </c>
      <c r="AC90" s="666">
        <f t="shared" si="30"/>
        <v>70012.07095962124</v>
      </c>
      <c r="AD90" s="666">
        <f t="shared" si="30"/>
        <v>71412.312378813673</v>
      </c>
      <c r="AE90" s="666">
        <f t="shared" si="30"/>
        <v>72840.558626389946</v>
      </c>
    </row>
    <row r="91" spans="1:35">
      <c r="A91" s="37" t="s">
        <v>43</v>
      </c>
      <c r="B91" s="37"/>
      <c r="C91" s="110"/>
      <c r="D91" s="106"/>
      <c r="E91" s="57"/>
      <c r="F91" s="57"/>
      <c r="G91" s="57"/>
      <c r="H91" s="57"/>
      <c r="I91" s="51" t="s">
        <v>8</v>
      </c>
      <c r="J91" s="663">
        <v>500</v>
      </c>
      <c r="K91" s="683">
        <v>0</v>
      </c>
      <c r="L91" s="666">
        <f>J91*L84</f>
        <v>500</v>
      </c>
      <c r="M91" s="666">
        <f t="shared" ref="M91:AE91" si="31">$J$91*M84*L11</f>
        <v>2040</v>
      </c>
      <c r="N91" s="666">
        <f t="shared" si="31"/>
        <v>2080.8000000000002</v>
      </c>
      <c r="O91" s="666">
        <f t="shared" si="31"/>
        <v>2122.4159999999997</v>
      </c>
      <c r="P91" s="666">
        <f t="shared" si="31"/>
        <v>2164.8643200000001</v>
      </c>
      <c r="Q91" s="666">
        <f t="shared" si="31"/>
        <v>2208.1616064</v>
      </c>
      <c r="R91" s="666">
        <f t="shared" si="31"/>
        <v>2252.3248385280003</v>
      </c>
      <c r="S91" s="666">
        <f t="shared" si="31"/>
        <v>2297.3713352985601</v>
      </c>
      <c r="T91" s="666">
        <f t="shared" si="31"/>
        <v>2343.3187620045314</v>
      </c>
      <c r="U91" s="666">
        <f t="shared" si="31"/>
        <v>2390.1851372446222</v>
      </c>
      <c r="V91" s="666">
        <f t="shared" si="31"/>
        <v>2437.9888399895149</v>
      </c>
      <c r="W91" s="666">
        <f t="shared" si="31"/>
        <v>2486.7486167893048</v>
      </c>
      <c r="X91" s="666">
        <f t="shared" si="31"/>
        <v>2536.4835891250909</v>
      </c>
      <c r="Y91" s="666">
        <f t="shared" si="31"/>
        <v>2587.2132609075925</v>
      </c>
      <c r="Z91" s="666">
        <f t="shared" si="31"/>
        <v>2638.9575261257446</v>
      </c>
      <c r="AA91" s="666">
        <f t="shared" si="31"/>
        <v>2691.7366766482596</v>
      </c>
      <c r="AB91" s="666">
        <f t="shared" si="31"/>
        <v>2745.571410181225</v>
      </c>
      <c r="AC91" s="666">
        <f t="shared" si="31"/>
        <v>2800.4828383848499</v>
      </c>
      <c r="AD91" s="666">
        <f t="shared" si="31"/>
        <v>2856.4924951525468</v>
      </c>
      <c r="AE91" s="666">
        <f t="shared" si="31"/>
        <v>2913.6223450555976</v>
      </c>
    </row>
    <row r="92" spans="1:35">
      <c r="A92" s="37" t="s">
        <v>44</v>
      </c>
      <c r="B92" s="37"/>
      <c r="C92" s="110"/>
      <c r="D92" s="106"/>
      <c r="E92" s="57"/>
      <c r="F92" s="57"/>
      <c r="G92" s="57"/>
      <c r="H92" s="57"/>
      <c r="I92" s="51" t="s">
        <v>8</v>
      </c>
      <c r="J92" s="663">
        <v>250</v>
      </c>
      <c r="K92" s="683">
        <v>0</v>
      </c>
      <c r="L92" s="666">
        <f>J92*L84</f>
        <v>250</v>
      </c>
      <c r="M92" s="666">
        <f t="shared" ref="M92:AE92" si="32">$J$92*M84*L11</f>
        <v>1020</v>
      </c>
      <c r="N92" s="666">
        <f t="shared" si="32"/>
        <v>1040.4000000000001</v>
      </c>
      <c r="O92" s="666">
        <f t="shared" si="32"/>
        <v>1061.2079999999999</v>
      </c>
      <c r="P92" s="666">
        <f t="shared" si="32"/>
        <v>1082.4321600000001</v>
      </c>
      <c r="Q92" s="666">
        <f t="shared" si="32"/>
        <v>1104.0808032</v>
      </c>
      <c r="R92" s="666">
        <f t="shared" si="32"/>
        <v>1126.1624192640002</v>
      </c>
      <c r="S92" s="666">
        <f t="shared" si="32"/>
        <v>1148.68566764928</v>
      </c>
      <c r="T92" s="666">
        <f t="shared" si="32"/>
        <v>1171.6593810022657</v>
      </c>
      <c r="U92" s="666">
        <f t="shared" si="32"/>
        <v>1195.0925686223111</v>
      </c>
      <c r="V92" s="666">
        <f t="shared" si="32"/>
        <v>1218.9944199947574</v>
      </c>
      <c r="W92" s="666">
        <f t="shared" si="32"/>
        <v>1243.3743083946524</v>
      </c>
      <c r="X92" s="666">
        <f t="shared" si="32"/>
        <v>1268.2417945625455</v>
      </c>
      <c r="Y92" s="666">
        <f t="shared" si="32"/>
        <v>1293.6066304537962</v>
      </c>
      <c r="Z92" s="666">
        <f t="shared" si="32"/>
        <v>1319.4787630628723</v>
      </c>
      <c r="AA92" s="666">
        <f t="shared" si="32"/>
        <v>1345.8683383241298</v>
      </c>
      <c r="AB92" s="666">
        <f t="shared" si="32"/>
        <v>1372.7857050906125</v>
      </c>
      <c r="AC92" s="666">
        <f t="shared" si="32"/>
        <v>1400.2414191924249</v>
      </c>
      <c r="AD92" s="666">
        <f t="shared" si="32"/>
        <v>1428.2462475762734</v>
      </c>
      <c r="AE92" s="666">
        <f t="shared" si="32"/>
        <v>1456.8111725277988</v>
      </c>
      <c r="AF92" s="44"/>
    </row>
    <row r="93" spans="1:35">
      <c r="A93" s="745" t="s">
        <v>2</v>
      </c>
      <c r="B93" s="745"/>
      <c r="C93" s="753"/>
      <c r="D93" s="754"/>
      <c r="E93" s="746"/>
      <c r="F93" s="746"/>
      <c r="G93" s="746"/>
      <c r="H93" s="746"/>
      <c r="I93" s="755"/>
      <c r="J93" s="739"/>
      <c r="K93" s="741">
        <v>0</v>
      </c>
      <c r="L93" s="742">
        <v>1000</v>
      </c>
      <c r="M93" s="742">
        <f t="shared" ref="M93:AE93" si="33">($L$93*L11)</f>
        <v>1020</v>
      </c>
      <c r="N93" s="742">
        <f t="shared" si="33"/>
        <v>1040.4000000000001</v>
      </c>
      <c r="O93" s="742">
        <f t="shared" si="33"/>
        <v>1061.2079999999999</v>
      </c>
      <c r="P93" s="742">
        <f t="shared" si="33"/>
        <v>1082.4321600000001</v>
      </c>
      <c r="Q93" s="742">
        <f t="shared" si="33"/>
        <v>1104.0808032</v>
      </c>
      <c r="R93" s="742">
        <f t="shared" si="33"/>
        <v>1126.1624192640002</v>
      </c>
      <c r="S93" s="742">
        <f t="shared" si="33"/>
        <v>1148.68566764928</v>
      </c>
      <c r="T93" s="742">
        <f t="shared" si="33"/>
        <v>1171.6593810022657</v>
      </c>
      <c r="U93" s="742">
        <f t="shared" si="33"/>
        <v>1195.0925686223111</v>
      </c>
      <c r="V93" s="742">
        <f t="shared" si="33"/>
        <v>1218.9944199947574</v>
      </c>
      <c r="W93" s="742">
        <f t="shared" si="33"/>
        <v>1243.3743083946524</v>
      </c>
      <c r="X93" s="742">
        <f t="shared" si="33"/>
        <v>1268.2417945625455</v>
      </c>
      <c r="Y93" s="742">
        <f t="shared" si="33"/>
        <v>1293.6066304537962</v>
      </c>
      <c r="Z93" s="742">
        <f t="shared" si="33"/>
        <v>1319.4787630628723</v>
      </c>
      <c r="AA93" s="742">
        <f t="shared" si="33"/>
        <v>1345.8683383241298</v>
      </c>
      <c r="AB93" s="742">
        <f t="shared" si="33"/>
        <v>1372.7857050906125</v>
      </c>
      <c r="AC93" s="742">
        <f t="shared" si="33"/>
        <v>1400.2414191924249</v>
      </c>
      <c r="AD93" s="742">
        <f t="shared" si="33"/>
        <v>1428.2462475762734</v>
      </c>
      <c r="AE93" s="742">
        <f t="shared" si="33"/>
        <v>1456.8111725277988</v>
      </c>
    </row>
    <row r="94" spans="1:35" s="56" customFormat="1" ht="14.25">
      <c r="A94" s="164" t="s">
        <v>409</v>
      </c>
      <c r="B94" s="215"/>
      <c r="C94" s="216"/>
      <c r="D94" s="217"/>
      <c r="E94" s="218"/>
      <c r="F94" s="218"/>
      <c r="G94" s="218"/>
      <c r="H94" s="218"/>
      <c r="I94" s="219"/>
      <c r="J94" s="756"/>
      <c r="K94" s="687">
        <f>SUM(K88:K93)</f>
        <v>0</v>
      </c>
      <c r="L94" s="757">
        <f>SUM(L88:L93)</f>
        <v>86750</v>
      </c>
      <c r="M94" s="757">
        <f t="shared" ref="M94:AE94" si="34">SUM(M88:M93)</f>
        <v>81080</v>
      </c>
      <c r="N94" s="757">
        <f t="shared" si="34"/>
        <v>82711.799999999988</v>
      </c>
      <c r="O94" s="757">
        <f t="shared" si="34"/>
        <v>84366.035999999993</v>
      </c>
      <c r="P94" s="757">
        <f t="shared" si="34"/>
        <v>86053.356719999982</v>
      </c>
      <c r="Q94" s="757">
        <f t="shared" si="34"/>
        <v>92222.383452800015</v>
      </c>
      <c r="R94" s="757">
        <f t="shared" si="34"/>
        <v>89529.912331488013</v>
      </c>
      <c r="S94" s="757">
        <f t="shared" si="34"/>
        <v>91320.510578117755</v>
      </c>
      <c r="T94" s="757">
        <f t="shared" si="34"/>
        <v>93146.920789680124</v>
      </c>
      <c r="U94" s="757">
        <f t="shared" si="34"/>
        <v>95009.859205473724</v>
      </c>
      <c r="V94" s="757">
        <f t="shared" si="34"/>
        <v>101300.55917958585</v>
      </c>
      <c r="W94" s="757">
        <f t="shared" si="34"/>
        <v>98848.257517374863</v>
      </c>
      <c r="X94" s="757">
        <f t="shared" si="34"/>
        <v>100825.22266772237</v>
      </c>
      <c r="Y94" s="757">
        <f t="shared" si="34"/>
        <v>102841.72712107681</v>
      </c>
      <c r="Z94" s="757">
        <f t="shared" si="34"/>
        <v>104898.56166349835</v>
      </c>
      <c r="AA94" s="757">
        <f t="shared" si="34"/>
        <v>111323.59872760627</v>
      </c>
      <c r="AB94" s="757">
        <f t="shared" si="34"/>
        <v>109136.4635547037</v>
      </c>
      <c r="AC94" s="757">
        <f t="shared" si="34"/>
        <v>111319.19282579776</v>
      </c>
      <c r="AD94" s="757">
        <f t="shared" si="34"/>
        <v>113545.57668231374</v>
      </c>
      <c r="AE94" s="757">
        <f t="shared" si="34"/>
        <v>115816.48821596001</v>
      </c>
    </row>
    <row r="95" spans="1:35" s="56" customFormat="1" ht="14.25">
      <c r="A95" s="164"/>
      <c r="B95" s="215"/>
      <c r="C95" s="216"/>
      <c r="D95" s="217"/>
      <c r="E95" s="218"/>
      <c r="F95" s="218"/>
      <c r="G95" s="218"/>
      <c r="H95" s="218"/>
      <c r="I95" s="219"/>
      <c r="J95" s="220"/>
      <c r="K95" s="687"/>
      <c r="L95" s="318"/>
      <c r="M95" s="318"/>
      <c r="N95" s="318"/>
      <c r="O95" s="318"/>
      <c r="P95" s="318"/>
      <c r="Q95" s="318"/>
      <c r="R95" s="318"/>
      <c r="S95" s="318"/>
      <c r="T95" s="318"/>
      <c r="U95" s="318"/>
      <c r="V95" s="318"/>
      <c r="W95" s="318"/>
      <c r="X95" s="318"/>
      <c r="Y95" s="318"/>
      <c r="Z95" s="318"/>
      <c r="AA95" s="318"/>
      <c r="AB95" s="318"/>
      <c r="AC95" s="318"/>
      <c r="AD95" s="318"/>
      <c r="AE95" s="318"/>
    </row>
    <row r="96" spans="1:35" s="56" customFormat="1" ht="14.25">
      <c r="A96" s="720" t="s">
        <v>26</v>
      </c>
      <c r="B96" s="215"/>
      <c r="C96" s="218"/>
      <c r="D96" s="721"/>
      <c r="E96" s="218"/>
      <c r="F96" s="218"/>
      <c r="G96" s="218"/>
      <c r="H96" s="218"/>
      <c r="I96" s="722"/>
      <c r="J96" s="220"/>
      <c r="K96" s="687"/>
      <c r="L96" s="318"/>
      <c r="M96" s="318"/>
      <c r="N96" s="318"/>
      <c r="O96" s="318"/>
      <c r="P96" s="318"/>
      <c r="Q96" s="318"/>
      <c r="R96" s="318"/>
      <c r="S96" s="318"/>
      <c r="T96" s="318"/>
      <c r="U96" s="318"/>
      <c r="V96" s="318"/>
      <c r="W96" s="318"/>
      <c r="X96" s="318"/>
      <c r="Y96" s="318"/>
      <c r="Z96" s="318"/>
      <c r="AA96" s="318"/>
      <c r="AB96" s="318"/>
      <c r="AC96" s="318"/>
      <c r="AD96" s="318"/>
      <c r="AE96" s="318"/>
      <c r="AF96" s="723"/>
      <c r="AG96" s="723"/>
      <c r="AH96" s="723"/>
      <c r="AI96" s="723"/>
    </row>
    <row r="97" spans="1:35">
      <c r="A97" s="190" t="s">
        <v>41</v>
      </c>
      <c r="B97" s="190"/>
      <c r="C97" s="194"/>
      <c r="D97" s="758"/>
      <c r="E97" s="194"/>
      <c r="F97" s="194"/>
      <c r="G97" s="759"/>
      <c r="H97" s="759"/>
      <c r="I97" s="760"/>
      <c r="J97" s="761"/>
      <c r="K97" s="689">
        <v>0</v>
      </c>
      <c r="L97" s="665">
        <v>1000</v>
      </c>
      <c r="M97" s="665">
        <f>$L$97*L11</f>
        <v>1020</v>
      </c>
      <c r="N97" s="665">
        <f t="shared" ref="N97:P97" si="35">$L$97*M11</f>
        <v>1040.4000000000001</v>
      </c>
      <c r="O97" s="665">
        <f t="shared" si="35"/>
        <v>1061.2079999999999</v>
      </c>
      <c r="P97" s="665">
        <f t="shared" si="35"/>
        <v>1082.4321600000001</v>
      </c>
      <c r="Q97" s="665">
        <v>25000</v>
      </c>
      <c r="R97" s="665">
        <f>$Q$97*L11</f>
        <v>25500</v>
      </c>
      <c r="S97" s="665">
        <f t="shared" ref="S97:AE97" si="36">$Q$97*M11</f>
        <v>26010</v>
      </c>
      <c r="T97" s="665">
        <f t="shared" si="36"/>
        <v>26530.199999999997</v>
      </c>
      <c r="U97" s="665">
        <f t="shared" si="36"/>
        <v>27060.804</v>
      </c>
      <c r="V97" s="665">
        <f t="shared" si="36"/>
        <v>27602.020080000002</v>
      </c>
      <c r="W97" s="665">
        <f t="shared" si="36"/>
        <v>28154.060481600001</v>
      </c>
      <c r="X97" s="665">
        <f t="shared" si="36"/>
        <v>28717.141691232002</v>
      </c>
      <c r="Y97" s="665">
        <f t="shared" si="36"/>
        <v>29291.484525056643</v>
      </c>
      <c r="Z97" s="665">
        <f t="shared" si="36"/>
        <v>29877.314215557777</v>
      </c>
      <c r="AA97" s="665">
        <f t="shared" si="36"/>
        <v>30474.860499868933</v>
      </c>
      <c r="AB97" s="665">
        <f t="shared" si="36"/>
        <v>31084.357709866312</v>
      </c>
      <c r="AC97" s="665">
        <f t="shared" si="36"/>
        <v>31706.044864063639</v>
      </c>
      <c r="AD97" s="665">
        <f t="shared" si="36"/>
        <v>32340.165761344906</v>
      </c>
      <c r="AE97" s="665">
        <f t="shared" si="36"/>
        <v>32986.969076571811</v>
      </c>
      <c r="AF97" s="55"/>
      <c r="AG97" s="55"/>
      <c r="AH97" s="55"/>
      <c r="AI97" s="55"/>
    </row>
    <row r="98" spans="1:35">
      <c r="A98" s="745" t="s">
        <v>302</v>
      </c>
      <c r="B98" s="745"/>
      <c r="C98" s="746"/>
      <c r="D98" s="116"/>
      <c r="E98" s="746"/>
      <c r="F98" s="746"/>
      <c r="G98" s="753"/>
      <c r="H98" s="753"/>
      <c r="I98" s="755"/>
      <c r="J98" s="762"/>
      <c r="K98" s="741">
        <v>0</v>
      </c>
      <c r="L98" s="742">
        <f>'Shuttle Projections'!C28/2</f>
        <v>233675</v>
      </c>
      <c r="M98" s="742">
        <f>'Shuttle Projections'!D28</f>
        <v>476697</v>
      </c>
      <c r="N98" s="742">
        <f>'Shuttle Projections'!E28</f>
        <v>486230.94000000006</v>
      </c>
      <c r="O98" s="742">
        <f>'Shuttle Projections'!F28</f>
        <v>495955.55879999994</v>
      </c>
      <c r="P98" s="742">
        <f>'Shuttle Projections'!G28</f>
        <v>505874.66997599998</v>
      </c>
      <c r="Q98" s="742">
        <f>'Shuttle Projections'!H28</f>
        <v>515992.16337552003</v>
      </c>
      <c r="R98" s="742">
        <f>'Shuttle Projections'!I28</f>
        <v>526312.00664303044</v>
      </c>
      <c r="S98" s="742">
        <f>'Shuttle Projections'!J28</f>
        <v>536838.24677589093</v>
      </c>
      <c r="T98" s="742">
        <f>'Shuttle Projections'!K28</f>
        <v>547575.01171140897</v>
      </c>
      <c r="U98" s="742">
        <f>'Shuttle Projections'!L28</f>
        <v>558526.51194563706</v>
      </c>
      <c r="V98" s="742">
        <f>'Shuttle Projections'!M28</f>
        <v>569697.04218454985</v>
      </c>
      <c r="W98" s="742">
        <f>'Shuttle Projections'!N28</f>
        <v>581090.98302824085</v>
      </c>
      <c r="X98" s="742">
        <f>'Shuttle Projections'!O28</f>
        <v>592712.80268880562</v>
      </c>
      <c r="Y98" s="742">
        <f>'Shuttle Projections'!P28</f>
        <v>604567.05874258175</v>
      </c>
      <c r="Z98" s="742">
        <f>'Shuttle Projections'!Q28</f>
        <v>616658.39991743339</v>
      </c>
      <c r="AA98" s="742">
        <f>'Shuttle Projections'!R28</f>
        <v>628991.5679157821</v>
      </c>
      <c r="AB98" s="742">
        <f>'Shuttle Projections'!S28</f>
        <v>641571.39927409776</v>
      </c>
      <c r="AC98" s="742">
        <f>'Shuttle Projections'!T28</f>
        <v>654402.82725957979</v>
      </c>
      <c r="AD98" s="742">
        <f>'Shuttle Projections'!U28</f>
        <v>667490.88380477135</v>
      </c>
      <c r="AE98" s="742">
        <f>'Shuttle Projections'!V28</f>
        <v>680840.70148086676</v>
      </c>
    </row>
    <row r="99" spans="1:35" s="56" customFormat="1" ht="14.25">
      <c r="A99" s="164" t="s">
        <v>410</v>
      </c>
      <c r="B99" s="164"/>
      <c r="C99" s="75"/>
      <c r="D99" s="173"/>
      <c r="E99" s="75"/>
      <c r="F99" s="75"/>
      <c r="G99" s="75"/>
      <c r="H99" s="75"/>
      <c r="I99" s="174"/>
      <c r="J99" s="175"/>
      <c r="K99" s="685">
        <v>0</v>
      </c>
      <c r="L99" s="669">
        <f>SUM(L97:L98)</f>
        <v>234675</v>
      </c>
      <c r="M99" s="669">
        <f t="shared" ref="M99:AE99" si="37">SUM(M97:M98)</f>
        <v>477717</v>
      </c>
      <c r="N99" s="669">
        <f t="shared" si="37"/>
        <v>487271.34000000008</v>
      </c>
      <c r="O99" s="669">
        <f t="shared" si="37"/>
        <v>497016.76679999992</v>
      </c>
      <c r="P99" s="669">
        <f t="shared" si="37"/>
        <v>506957.102136</v>
      </c>
      <c r="Q99" s="669">
        <f t="shared" si="37"/>
        <v>540992.16337552003</v>
      </c>
      <c r="R99" s="669">
        <f t="shared" si="37"/>
        <v>551812.00664303044</v>
      </c>
      <c r="S99" s="669">
        <f t="shared" si="37"/>
        <v>562848.24677589093</v>
      </c>
      <c r="T99" s="669">
        <f t="shared" si="37"/>
        <v>574105.21171140892</v>
      </c>
      <c r="U99" s="669">
        <f t="shared" si="37"/>
        <v>585587.31594563706</v>
      </c>
      <c r="V99" s="669">
        <f t="shared" si="37"/>
        <v>597299.0622645499</v>
      </c>
      <c r="W99" s="669">
        <f t="shared" si="37"/>
        <v>609245.04350984085</v>
      </c>
      <c r="X99" s="669">
        <f t="shared" si="37"/>
        <v>621429.9443800376</v>
      </c>
      <c r="Y99" s="669">
        <f t="shared" si="37"/>
        <v>633858.54326763842</v>
      </c>
      <c r="Z99" s="669">
        <f t="shared" si="37"/>
        <v>646535.71413299115</v>
      </c>
      <c r="AA99" s="669">
        <f t="shared" si="37"/>
        <v>659466.42841565108</v>
      </c>
      <c r="AB99" s="669">
        <f t="shared" si="37"/>
        <v>672655.75698396412</v>
      </c>
      <c r="AC99" s="669">
        <f t="shared" si="37"/>
        <v>686108.87212364341</v>
      </c>
      <c r="AD99" s="669">
        <f t="shared" si="37"/>
        <v>699831.0495661163</v>
      </c>
      <c r="AE99" s="669">
        <f t="shared" si="37"/>
        <v>713827.67055743863</v>
      </c>
    </row>
    <row r="100" spans="1:35" s="56" customFormat="1" ht="14.25">
      <c r="A100" s="164"/>
      <c r="B100" s="164"/>
      <c r="C100" s="75"/>
      <c r="D100" s="173"/>
      <c r="E100" s="75"/>
      <c r="F100" s="75"/>
      <c r="G100" s="75"/>
      <c r="H100" s="75"/>
      <c r="I100" s="174"/>
      <c r="J100" s="175"/>
      <c r="K100" s="685"/>
      <c r="L100" s="669"/>
      <c r="M100" s="669"/>
      <c r="N100" s="669"/>
      <c r="O100" s="669"/>
      <c r="P100" s="669"/>
      <c r="Q100" s="669"/>
      <c r="R100" s="669"/>
      <c r="S100" s="669"/>
      <c r="T100" s="669"/>
      <c r="U100" s="669"/>
      <c r="V100" s="669"/>
      <c r="W100" s="669"/>
      <c r="X100" s="669"/>
      <c r="Y100" s="669"/>
      <c r="Z100" s="669"/>
      <c r="AA100" s="669"/>
      <c r="AB100" s="669"/>
      <c r="AC100" s="669"/>
      <c r="AD100" s="669"/>
      <c r="AE100" s="669"/>
    </row>
    <row r="101" spans="1:35" s="56" customFormat="1" ht="14.25">
      <c r="A101" s="164" t="s">
        <v>78</v>
      </c>
      <c r="B101" s="164"/>
      <c r="C101" s="75"/>
      <c r="D101" s="173"/>
      <c r="E101" s="75"/>
      <c r="F101" s="75"/>
      <c r="G101" s="75"/>
      <c r="H101" s="75"/>
      <c r="I101" s="174"/>
      <c r="J101" s="175"/>
      <c r="K101" s="685">
        <v>0</v>
      </c>
      <c r="L101" s="669">
        <f>SUM(L94,L99)</f>
        <v>321425</v>
      </c>
      <c r="M101" s="669">
        <f t="shared" ref="M101:AE101" si="38">SUM(M94,M99)</f>
        <v>558797</v>
      </c>
      <c r="N101" s="669">
        <f t="shared" si="38"/>
        <v>569983.14000000013</v>
      </c>
      <c r="O101" s="669">
        <f t="shared" si="38"/>
        <v>581382.80279999995</v>
      </c>
      <c r="P101" s="669">
        <f t="shared" si="38"/>
        <v>593010.45885599998</v>
      </c>
      <c r="Q101" s="669">
        <f t="shared" si="38"/>
        <v>633214.54682832002</v>
      </c>
      <c r="R101" s="669">
        <f t="shared" si="38"/>
        <v>641341.91897451843</v>
      </c>
      <c r="S101" s="669">
        <f t="shared" si="38"/>
        <v>654168.75735400873</v>
      </c>
      <c r="T101" s="669">
        <f t="shared" si="38"/>
        <v>667252.13250108901</v>
      </c>
      <c r="U101" s="669">
        <f t="shared" si="38"/>
        <v>680597.17515111074</v>
      </c>
      <c r="V101" s="669">
        <f t="shared" si="38"/>
        <v>698599.62144413579</v>
      </c>
      <c r="W101" s="669">
        <f t="shared" si="38"/>
        <v>708093.30102721567</v>
      </c>
      <c r="X101" s="669">
        <f t="shared" si="38"/>
        <v>722255.16704775998</v>
      </c>
      <c r="Y101" s="669">
        <f t="shared" si="38"/>
        <v>736700.2703887152</v>
      </c>
      <c r="Z101" s="669">
        <f t="shared" si="38"/>
        <v>751434.27579648956</v>
      </c>
      <c r="AA101" s="669">
        <f t="shared" si="38"/>
        <v>770790.02714325732</v>
      </c>
      <c r="AB101" s="669">
        <f t="shared" si="38"/>
        <v>781792.22053866787</v>
      </c>
      <c r="AC101" s="669">
        <f t="shared" si="38"/>
        <v>797428.06494944112</v>
      </c>
      <c r="AD101" s="669">
        <f t="shared" si="38"/>
        <v>813376.62624843</v>
      </c>
      <c r="AE101" s="669">
        <f t="shared" si="38"/>
        <v>829644.15877339861</v>
      </c>
    </row>
    <row r="102" spans="1:35">
      <c r="A102" s="47"/>
      <c r="B102" s="47"/>
      <c r="C102" s="78"/>
      <c r="D102" s="100"/>
      <c r="E102" s="78"/>
      <c r="F102" s="78"/>
      <c r="G102" s="78"/>
      <c r="H102" s="78"/>
      <c r="I102" s="52"/>
      <c r="J102" s="114"/>
      <c r="K102" s="683"/>
      <c r="L102" s="115"/>
      <c r="M102" s="115"/>
      <c r="N102" s="115"/>
      <c r="O102" s="115"/>
      <c r="P102" s="115"/>
      <c r="Q102" s="115"/>
      <c r="R102" s="115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</row>
    <row r="103" spans="1:35">
      <c r="A103" s="168" t="s">
        <v>25</v>
      </c>
      <c r="B103" s="168"/>
      <c r="C103" s="176"/>
      <c r="D103" s="177"/>
      <c r="E103" s="176"/>
      <c r="F103" s="176"/>
      <c r="G103" s="176"/>
      <c r="H103" s="176"/>
      <c r="I103" s="178"/>
      <c r="J103" s="179"/>
      <c r="K103" s="682"/>
      <c r="L103" s="319"/>
      <c r="M103" s="319"/>
      <c r="N103" s="319"/>
      <c r="O103" s="319"/>
      <c r="P103" s="319"/>
      <c r="Q103" s="319"/>
      <c r="R103" s="319"/>
      <c r="S103" s="319"/>
      <c r="T103" s="319"/>
      <c r="U103" s="319"/>
      <c r="V103" s="319"/>
      <c r="W103" s="319"/>
      <c r="X103" s="319"/>
      <c r="Y103" s="319"/>
      <c r="Z103" s="319"/>
      <c r="AA103" s="319"/>
      <c r="AB103" s="319"/>
      <c r="AC103" s="319"/>
      <c r="AD103" s="319"/>
      <c r="AE103" s="319"/>
    </row>
    <row r="104" spans="1:35" s="252" customFormat="1">
      <c r="A104" s="183"/>
      <c r="B104" s="183"/>
      <c r="C104" s="185"/>
      <c r="D104" s="186"/>
      <c r="E104" s="185"/>
      <c r="F104" s="185"/>
      <c r="G104" s="185"/>
      <c r="H104" s="185"/>
      <c r="I104" s="302"/>
      <c r="J104" s="188"/>
      <c r="K104" s="683"/>
      <c r="L104" s="320"/>
      <c r="M104" s="320"/>
      <c r="N104" s="320"/>
      <c r="O104" s="320"/>
      <c r="P104" s="320"/>
      <c r="Q104" s="320"/>
      <c r="R104" s="320"/>
      <c r="S104" s="320"/>
      <c r="T104" s="320"/>
      <c r="U104" s="320"/>
      <c r="V104" s="320"/>
      <c r="W104" s="320"/>
      <c r="X104" s="320"/>
      <c r="Y104" s="320"/>
      <c r="Z104" s="320"/>
      <c r="AA104" s="320"/>
      <c r="AB104" s="320"/>
      <c r="AC104" s="320"/>
      <c r="AD104" s="320"/>
      <c r="AE104" s="320"/>
    </row>
    <row r="105" spans="1:35">
      <c r="A105" s="37" t="s">
        <v>425</v>
      </c>
      <c r="B105" s="37"/>
      <c r="C105" s="57"/>
      <c r="E105" s="57"/>
      <c r="F105" s="57"/>
      <c r="G105" s="57"/>
      <c r="H105" s="998"/>
      <c r="I105" s="51" t="s">
        <v>532</v>
      </c>
      <c r="J105" s="624">
        <f>((6350/6)*7)+((6500/6)*7)</f>
        <v>14991.666666666666</v>
      </c>
      <c r="K105" s="683">
        <v>0</v>
      </c>
      <c r="L105" s="671">
        <f>J105</f>
        <v>14991.666666666666</v>
      </c>
      <c r="M105" s="671">
        <f>$L$105*L11</f>
        <v>15291.5</v>
      </c>
      <c r="N105" s="671">
        <f t="shared" ref="N105:AE105" si="39">$L$105*M11</f>
        <v>15597.33</v>
      </c>
      <c r="O105" s="671">
        <f t="shared" si="39"/>
        <v>15909.276599999997</v>
      </c>
      <c r="P105" s="671">
        <f t="shared" si="39"/>
        <v>16227.462131999999</v>
      </c>
      <c r="Q105" s="671">
        <f t="shared" si="39"/>
        <v>16552.011374639998</v>
      </c>
      <c r="R105" s="671">
        <f t="shared" si="39"/>
        <v>16883.0516021328</v>
      </c>
      <c r="S105" s="671">
        <f t="shared" si="39"/>
        <v>17220.712634175456</v>
      </c>
      <c r="T105" s="671">
        <f t="shared" si="39"/>
        <v>17565.126886858965</v>
      </c>
      <c r="U105" s="671">
        <f t="shared" si="39"/>
        <v>17916.429424596146</v>
      </c>
      <c r="V105" s="671">
        <f t="shared" si="39"/>
        <v>18274.758013088071</v>
      </c>
      <c r="W105" s="671">
        <f t="shared" si="39"/>
        <v>18640.253173349829</v>
      </c>
      <c r="X105" s="671">
        <f t="shared" si="39"/>
        <v>19013.058236816825</v>
      </c>
      <c r="Y105" s="671">
        <f t="shared" si="39"/>
        <v>19393.319401553163</v>
      </c>
      <c r="Z105" s="671">
        <f t="shared" si="39"/>
        <v>19781.185789584226</v>
      </c>
      <c r="AA105" s="671">
        <f t="shared" si="39"/>
        <v>20176.809505375913</v>
      </c>
      <c r="AB105" s="671">
        <f t="shared" si="39"/>
        <v>20580.345695483433</v>
      </c>
      <c r="AC105" s="671">
        <f t="shared" si="39"/>
        <v>20991.952609393102</v>
      </c>
      <c r="AD105" s="671">
        <f t="shared" si="39"/>
        <v>21411.791661580963</v>
      </c>
      <c r="AE105" s="671">
        <f t="shared" si="39"/>
        <v>21840.027494812584</v>
      </c>
    </row>
    <row r="106" spans="1:35">
      <c r="A106" s="37" t="s">
        <v>16</v>
      </c>
      <c r="B106" s="37"/>
      <c r="C106" s="57"/>
      <c r="E106" s="57"/>
      <c r="F106" s="57"/>
      <c r="G106" s="57"/>
      <c r="H106" s="998"/>
      <c r="I106" s="51" t="s">
        <v>17</v>
      </c>
      <c r="J106" s="624">
        <f>1250</f>
        <v>1250</v>
      </c>
      <c r="K106" s="683">
        <v>0</v>
      </c>
      <c r="L106" s="671">
        <f>J106*7</f>
        <v>8750</v>
      </c>
      <c r="M106" s="671">
        <f>$L$106*L11</f>
        <v>8925</v>
      </c>
      <c r="N106" s="671">
        <f t="shared" ref="N106:AE106" si="40">$L$106*M11</f>
        <v>9103.5</v>
      </c>
      <c r="O106" s="671">
        <f t="shared" si="40"/>
        <v>9285.57</v>
      </c>
      <c r="P106" s="671">
        <f t="shared" si="40"/>
        <v>9471.2813999999998</v>
      </c>
      <c r="Q106" s="671">
        <f t="shared" si="40"/>
        <v>9660.7070280000007</v>
      </c>
      <c r="R106" s="671">
        <f t="shared" si="40"/>
        <v>9853.9211685600003</v>
      </c>
      <c r="S106" s="671">
        <f t="shared" si="40"/>
        <v>10050.9995919312</v>
      </c>
      <c r="T106" s="671">
        <f t="shared" si="40"/>
        <v>10252.019583769825</v>
      </c>
      <c r="U106" s="671">
        <f t="shared" si="40"/>
        <v>10457.059975445221</v>
      </c>
      <c r="V106" s="671">
        <f t="shared" si="40"/>
        <v>10666.201174954127</v>
      </c>
      <c r="W106" s="671">
        <f t="shared" si="40"/>
        <v>10879.52519845321</v>
      </c>
      <c r="X106" s="671">
        <f t="shared" si="40"/>
        <v>11097.115702422274</v>
      </c>
      <c r="Y106" s="671">
        <f t="shared" si="40"/>
        <v>11319.058016470717</v>
      </c>
      <c r="Z106" s="671">
        <f t="shared" si="40"/>
        <v>11545.439176800133</v>
      </c>
      <c r="AA106" s="671">
        <f t="shared" si="40"/>
        <v>11776.347960336136</v>
      </c>
      <c r="AB106" s="671">
        <f t="shared" si="40"/>
        <v>12011.874919542859</v>
      </c>
      <c r="AC106" s="671">
        <f t="shared" si="40"/>
        <v>12252.112417933717</v>
      </c>
      <c r="AD106" s="671">
        <f t="shared" si="40"/>
        <v>12497.154666292392</v>
      </c>
      <c r="AE106" s="671">
        <f t="shared" si="40"/>
        <v>12747.09775961824</v>
      </c>
    </row>
    <row r="107" spans="1:35" s="702" customFormat="1">
      <c r="A107" s="701" t="s">
        <v>53</v>
      </c>
      <c r="B107" s="701"/>
      <c r="C107" s="705"/>
      <c r="D107" s="984"/>
      <c r="E107" s="705"/>
      <c r="F107" s="705"/>
      <c r="G107" s="705"/>
      <c r="H107" s="985"/>
      <c r="I107" s="706" t="s">
        <v>17</v>
      </c>
      <c r="J107" s="986">
        <v>0</v>
      </c>
      <c r="K107" s="987">
        <v>0</v>
      </c>
      <c r="L107" s="988">
        <f t="shared" ref="L107:L108" si="41">J107*12</f>
        <v>0</v>
      </c>
      <c r="M107" s="988">
        <f t="shared" ref="M107:AB108" si="42">L107*1.03</f>
        <v>0</v>
      </c>
      <c r="N107" s="988">
        <f t="shared" si="42"/>
        <v>0</v>
      </c>
      <c r="O107" s="988">
        <f t="shared" si="42"/>
        <v>0</v>
      </c>
      <c r="P107" s="988">
        <f t="shared" si="42"/>
        <v>0</v>
      </c>
      <c r="Q107" s="988">
        <f t="shared" si="42"/>
        <v>0</v>
      </c>
      <c r="R107" s="988">
        <f t="shared" si="42"/>
        <v>0</v>
      </c>
      <c r="S107" s="988">
        <f t="shared" si="42"/>
        <v>0</v>
      </c>
      <c r="T107" s="988">
        <f t="shared" si="42"/>
        <v>0</v>
      </c>
      <c r="U107" s="988">
        <f t="shared" si="42"/>
        <v>0</v>
      </c>
      <c r="V107" s="988">
        <f t="shared" si="42"/>
        <v>0</v>
      </c>
      <c r="W107" s="988">
        <f t="shared" si="42"/>
        <v>0</v>
      </c>
      <c r="X107" s="988">
        <f t="shared" si="42"/>
        <v>0</v>
      </c>
      <c r="Y107" s="988">
        <f t="shared" si="42"/>
        <v>0</v>
      </c>
      <c r="Z107" s="988">
        <f t="shared" si="42"/>
        <v>0</v>
      </c>
      <c r="AA107" s="988">
        <f t="shared" si="42"/>
        <v>0</v>
      </c>
      <c r="AB107" s="988">
        <f t="shared" si="42"/>
        <v>0</v>
      </c>
      <c r="AC107" s="988">
        <f t="shared" ref="AC107:AE108" si="43">AB107*1.03</f>
        <v>0</v>
      </c>
      <c r="AD107" s="988">
        <f t="shared" si="43"/>
        <v>0</v>
      </c>
      <c r="AE107" s="988">
        <f t="shared" si="43"/>
        <v>0</v>
      </c>
    </row>
    <row r="108" spans="1:35" s="702" customFormat="1">
      <c r="A108" s="989" t="s">
        <v>54</v>
      </c>
      <c r="B108" s="990"/>
      <c r="C108" s="991"/>
      <c r="D108" s="992"/>
      <c r="E108" s="991"/>
      <c r="F108" s="991"/>
      <c r="G108" s="991"/>
      <c r="H108" s="993"/>
      <c r="I108" s="994" t="s">
        <v>17</v>
      </c>
      <c r="J108" s="995">
        <v>0</v>
      </c>
      <c r="K108" s="996">
        <v>0</v>
      </c>
      <c r="L108" s="997">
        <f t="shared" si="41"/>
        <v>0</v>
      </c>
      <c r="M108" s="997">
        <f t="shared" si="42"/>
        <v>0</v>
      </c>
      <c r="N108" s="997">
        <f t="shared" si="42"/>
        <v>0</v>
      </c>
      <c r="O108" s="997">
        <f t="shared" si="42"/>
        <v>0</v>
      </c>
      <c r="P108" s="997">
        <f t="shared" si="42"/>
        <v>0</v>
      </c>
      <c r="Q108" s="997">
        <f t="shared" si="42"/>
        <v>0</v>
      </c>
      <c r="R108" s="997">
        <f t="shared" si="42"/>
        <v>0</v>
      </c>
      <c r="S108" s="997">
        <f t="shared" si="42"/>
        <v>0</v>
      </c>
      <c r="T108" s="997">
        <f t="shared" si="42"/>
        <v>0</v>
      </c>
      <c r="U108" s="997">
        <f t="shared" si="42"/>
        <v>0</v>
      </c>
      <c r="V108" s="997">
        <f t="shared" si="42"/>
        <v>0</v>
      </c>
      <c r="W108" s="997">
        <f t="shared" si="42"/>
        <v>0</v>
      </c>
      <c r="X108" s="997">
        <f t="shared" si="42"/>
        <v>0</v>
      </c>
      <c r="Y108" s="997">
        <f t="shared" si="42"/>
        <v>0</v>
      </c>
      <c r="Z108" s="997">
        <f t="shared" si="42"/>
        <v>0</v>
      </c>
      <c r="AA108" s="997">
        <f t="shared" si="42"/>
        <v>0</v>
      </c>
      <c r="AB108" s="997">
        <f t="shared" si="42"/>
        <v>0</v>
      </c>
      <c r="AC108" s="997">
        <f t="shared" si="43"/>
        <v>0</v>
      </c>
      <c r="AD108" s="997">
        <f t="shared" si="43"/>
        <v>0</v>
      </c>
      <c r="AE108" s="997">
        <f t="shared" si="43"/>
        <v>0</v>
      </c>
    </row>
    <row r="109" spans="1:35" s="56" customFormat="1" ht="14.25">
      <c r="A109" s="56" t="s">
        <v>55</v>
      </c>
      <c r="B109" s="164"/>
      <c r="C109" s="75"/>
      <c r="D109" s="173"/>
      <c r="E109" s="75"/>
      <c r="F109" s="75"/>
      <c r="G109" s="75"/>
      <c r="H109" s="75"/>
      <c r="I109" s="999"/>
      <c r="J109" s="1000"/>
      <c r="K109" s="685">
        <v>0</v>
      </c>
      <c r="L109" s="1001">
        <f>SUM(L105:L108)</f>
        <v>23741.666666666664</v>
      </c>
      <c r="M109" s="1001">
        <f t="shared" ref="M109:AE109" si="44">SUM(M105:M108)</f>
        <v>24216.5</v>
      </c>
      <c r="N109" s="1001">
        <f t="shared" si="44"/>
        <v>24700.83</v>
      </c>
      <c r="O109" s="1001">
        <f t="shared" si="44"/>
        <v>25194.846599999997</v>
      </c>
      <c r="P109" s="1001">
        <f t="shared" si="44"/>
        <v>25698.743532</v>
      </c>
      <c r="Q109" s="1001">
        <f t="shared" si="44"/>
        <v>26212.718402639999</v>
      </c>
      <c r="R109" s="1001">
        <f t="shared" si="44"/>
        <v>26736.972770692802</v>
      </c>
      <c r="S109" s="1001">
        <f t="shared" si="44"/>
        <v>27271.712226106654</v>
      </c>
      <c r="T109" s="1001">
        <f t="shared" si="44"/>
        <v>27817.146470628788</v>
      </c>
      <c r="U109" s="1001">
        <f t="shared" si="44"/>
        <v>28373.48940004137</v>
      </c>
      <c r="V109" s="1001">
        <f t="shared" si="44"/>
        <v>28940.959188042198</v>
      </c>
      <c r="W109" s="1001">
        <f t="shared" si="44"/>
        <v>29519.77837180304</v>
      </c>
      <c r="X109" s="1001">
        <f t="shared" si="44"/>
        <v>30110.173939239099</v>
      </c>
      <c r="Y109" s="1001">
        <f t="shared" si="44"/>
        <v>30712.37741802388</v>
      </c>
      <c r="Z109" s="1001">
        <f t="shared" si="44"/>
        <v>31326.624966384359</v>
      </c>
      <c r="AA109" s="1001">
        <f t="shared" si="44"/>
        <v>31953.157465712051</v>
      </c>
      <c r="AB109" s="1001">
        <f t="shared" si="44"/>
        <v>32592.220615026294</v>
      </c>
      <c r="AC109" s="1001">
        <f t="shared" si="44"/>
        <v>33244.065027326818</v>
      </c>
      <c r="AD109" s="1001">
        <f t="shared" si="44"/>
        <v>33908.946327873353</v>
      </c>
      <c r="AE109" s="1001">
        <f t="shared" si="44"/>
        <v>34587.125254430823</v>
      </c>
    </row>
    <row r="110" spans="1:35">
      <c r="A110" s="56"/>
      <c r="B110" s="37"/>
      <c r="C110" s="57"/>
      <c r="E110" s="57"/>
      <c r="F110" s="57"/>
      <c r="G110" s="57"/>
      <c r="H110" s="57"/>
      <c r="I110" s="51"/>
      <c r="J110" s="624"/>
      <c r="K110" s="683"/>
      <c r="L110" s="666"/>
      <c r="M110" s="666"/>
      <c r="N110" s="666"/>
      <c r="O110" s="666"/>
      <c r="P110" s="666"/>
      <c r="Q110" s="666"/>
      <c r="R110" s="666"/>
      <c r="S110" s="666"/>
      <c r="T110" s="666"/>
      <c r="U110" s="666"/>
      <c r="V110" s="666"/>
      <c r="W110" s="666"/>
      <c r="X110" s="666"/>
      <c r="Y110" s="666"/>
      <c r="Z110" s="666"/>
      <c r="AA110" s="666"/>
      <c r="AB110" s="666"/>
      <c r="AC110" s="666"/>
      <c r="AD110" s="666"/>
      <c r="AE110" s="666"/>
    </row>
    <row r="111" spans="1:35">
      <c r="A111" s="47" t="s">
        <v>7</v>
      </c>
      <c r="B111" s="47" t="s">
        <v>7</v>
      </c>
      <c r="C111" s="78" t="s">
        <v>7</v>
      </c>
      <c r="D111" s="100"/>
      <c r="E111" s="78" t="s">
        <v>7</v>
      </c>
      <c r="F111" s="78"/>
      <c r="G111" s="78" t="s">
        <v>7</v>
      </c>
      <c r="H111" s="78"/>
      <c r="I111" s="52" t="s">
        <v>7</v>
      </c>
      <c r="J111" s="672"/>
      <c r="K111" s="673"/>
      <c r="L111" s="672"/>
      <c r="M111" s="672"/>
      <c r="N111" s="672"/>
      <c r="O111" s="672"/>
      <c r="P111" s="672"/>
      <c r="Q111" s="672"/>
      <c r="R111" s="672"/>
      <c r="S111" s="672"/>
      <c r="T111" s="672"/>
      <c r="U111" s="672"/>
      <c r="V111" s="672"/>
      <c r="W111" s="672"/>
      <c r="X111" s="672"/>
      <c r="Y111" s="672"/>
      <c r="Z111" s="672"/>
      <c r="AA111" s="672"/>
      <c r="AB111" s="672"/>
      <c r="AC111" s="672"/>
      <c r="AD111" s="672"/>
      <c r="AE111" s="672"/>
    </row>
    <row r="112" spans="1:35">
      <c r="A112" s="47"/>
      <c r="B112" s="47"/>
      <c r="C112" s="78"/>
      <c r="D112" s="100"/>
      <c r="E112" s="78"/>
      <c r="F112" s="78"/>
      <c r="G112" s="78"/>
      <c r="H112" s="78"/>
      <c r="I112" s="52"/>
      <c r="J112" s="672"/>
      <c r="K112" s="683"/>
      <c r="L112" s="666"/>
      <c r="M112" s="666"/>
      <c r="N112" s="666"/>
      <c r="O112" s="666"/>
      <c r="P112" s="666"/>
      <c r="Q112" s="666"/>
      <c r="R112" s="666"/>
      <c r="S112" s="666"/>
      <c r="T112" s="666"/>
      <c r="U112" s="666"/>
      <c r="V112" s="666"/>
      <c r="W112" s="666"/>
      <c r="X112" s="666"/>
      <c r="Y112" s="666"/>
      <c r="Z112" s="666"/>
      <c r="AA112" s="666"/>
      <c r="AB112" s="666"/>
      <c r="AC112" s="666"/>
      <c r="AD112" s="666"/>
      <c r="AE112" s="666"/>
    </row>
    <row r="113" spans="1:33" s="56" customFormat="1" ht="14.25">
      <c r="A113" s="203" t="s">
        <v>303</v>
      </c>
      <c r="B113" s="203"/>
      <c r="C113" s="204"/>
      <c r="D113" s="205"/>
      <c r="E113" s="204"/>
      <c r="F113" s="204"/>
      <c r="G113" s="204"/>
      <c r="H113" s="204"/>
      <c r="I113" s="206"/>
      <c r="J113" s="674"/>
      <c r="K113" s="676">
        <f>SUM(K80,K101,K109)</f>
        <v>0</v>
      </c>
      <c r="L113" s="676">
        <f>SUM(L80,L101,L109)</f>
        <v>357416.66666666669</v>
      </c>
      <c r="M113" s="676">
        <f t="shared" ref="M113:AE113" si="45">SUM(M80,M101,M109)</f>
        <v>754513.5</v>
      </c>
      <c r="N113" s="676">
        <f t="shared" si="45"/>
        <v>769613.97000000009</v>
      </c>
      <c r="O113" s="676">
        <f t="shared" si="45"/>
        <v>785006.24939999997</v>
      </c>
      <c r="P113" s="676">
        <f t="shared" si="45"/>
        <v>800706.37438799988</v>
      </c>
      <c r="Q113" s="676">
        <f t="shared" si="45"/>
        <v>845064.38067095994</v>
      </c>
      <c r="R113" s="676">
        <f t="shared" si="45"/>
        <v>857428.74949401116</v>
      </c>
      <c r="S113" s="676">
        <f t="shared" si="45"/>
        <v>874577.32448389137</v>
      </c>
      <c r="T113" s="676">
        <f t="shared" si="45"/>
        <v>892068.87097356934</v>
      </c>
      <c r="U113" s="676">
        <f t="shared" si="45"/>
        <v>909910.24839304073</v>
      </c>
      <c r="V113" s="676">
        <f t="shared" si="45"/>
        <v>932498.9561509043</v>
      </c>
      <c r="W113" s="676">
        <f t="shared" si="45"/>
        <v>946670.62242811953</v>
      </c>
      <c r="X113" s="676">
        <f t="shared" si="45"/>
        <v>965604.03487668198</v>
      </c>
      <c r="Y113" s="676">
        <f t="shared" si="45"/>
        <v>984916.11557421566</v>
      </c>
      <c r="Z113" s="676">
        <f t="shared" si="45"/>
        <v>1004614.4378857</v>
      </c>
      <c r="AA113" s="676">
        <f t="shared" si="45"/>
        <v>1029033.7924742521</v>
      </c>
      <c r="AB113" s="676">
        <f t="shared" si="45"/>
        <v>1045200.8611762824</v>
      </c>
      <c r="AC113" s="676">
        <f t="shared" si="45"/>
        <v>1066104.878399808</v>
      </c>
      <c r="AD113" s="676">
        <f t="shared" si="45"/>
        <v>1087426.9759678042</v>
      </c>
      <c r="AE113" s="676">
        <f t="shared" si="45"/>
        <v>1109175.5154871603</v>
      </c>
      <c r="AG113" s="199"/>
    </row>
    <row r="114" spans="1:33">
      <c r="A114" s="37"/>
      <c r="B114" s="37"/>
      <c r="C114" s="57"/>
      <c r="E114" s="110"/>
      <c r="F114" s="110"/>
      <c r="G114" s="57"/>
      <c r="H114" s="57"/>
      <c r="I114" s="43"/>
      <c r="J114" s="44"/>
      <c r="K114" s="683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5"/>
      <c r="Z114" s="115"/>
      <c r="AA114" s="115"/>
      <c r="AB114" s="115"/>
      <c r="AC114" s="115"/>
      <c r="AD114" s="115"/>
      <c r="AE114" s="115"/>
      <c r="AG114" s="199"/>
    </row>
    <row r="115" spans="1:33">
      <c r="A115" s="47" t="s">
        <v>7</v>
      </c>
      <c r="B115" s="47" t="s">
        <v>7</v>
      </c>
      <c r="C115" s="78" t="s">
        <v>7</v>
      </c>
      <c r="D115" s="100"/>
      <c r="E115" s="78" t="s">
        <v>7</v>
      </c>
      <c r="F115" s="78"/>
      <c r="G115" s="78" t="s">
        <v>7</v>
      </c>
      <c r="H115" s="78"/>
      <c r="I115" s="52" t="s">
        <v>7</v>
      </c>
      <c r="J115" s="114"/>
      <c r="K115" s="673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G115" s="199"/>
    </row>
    <row r="116" spans="1:33">
      <c r="A116" s="47"/>
      <c r="B116" s="47"/>
      <c r="C116" s="78"/>
      <c r="D116" s="100"/>
      <c r="E116" s="78"/>
      <c r="F116" s="78"/>
      <c r="G116" s="78"/>
      <c r="H116" s="78"/>
      <c r="I116" s="52"/>
      <c r="J116" s="114"/>
      <c r="K116" s="683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5"/>
      <c r="Z116" s="115"/>
      <c r="AA116" s="115"/>
      <c r="AB116" s="115"/>
      <c r="AC116" s="115"/>
      <c r="AD116" s="115"/>
      <c r="AE116" s="115"/>
      <c r="AG116" s="199"/>
    </row>
    <row r="117" spans="1:33">
      <c r="A117" s="168" t="s">
        <v>71</v>
      </c>
      <c r="B117" s="171"/>
      <c r="C117" s="176"/>
      <c r="D117" s="177"/>
      <c r="E117" s="176"/>
      <c r="F117" s="176"/>
      <c r="G117" s="176"/>
      <c r="H117" s="176"/>
      <c r="I117" s="182"/>
      <c r="J117" s="179"/>
      <c r="K117" s="682"/>
      <c r="L117" s="319"/>
      <c r="M117" s="319"/>
      <c r="N117" s="319"/>
      <c r="O117" s="319"/>
      <c r="P117" s="319"/>
      <c r="Q117" s="319"/>
      <c r="R117" s="319"/>
      <c r="S117" s="319"/>
      <c r="T117" s="319"/>
      <c r="U117" s="319"/>
      <c r="V117" s="319"/>
      <c r="W117" s="319"/>
      <c r="X117" s="319"/>
      <c r="Y117" s="319"/>
      <c r="Z117" s="319"/>
      <c r="AA117" s="319"/>
      <c r="AB117" s="319"/>
      <c r="AC117" s="319"/>
      <c r="AD117" s="319"/>
      <c r="AE117" s="319"/>
      <c r="AG117" s="199"/>
    </row>
    <row r="118" spans="1:33" s="252" customFormat="1">
      <c r="A118" s="183"/>
      <c r="B118" s="184"/>
      <c r="C118" s="185"/>
      <c r="D118" s="186"/>
      <c r="E118" s="185"/>
      <c r="F118" s="185"/>
      <c r="G118" s="185"/>
      <c r="H118" s="185"/>
      <c r="I118" s="187"/>
      <c r="J118" s="188"/>
      <c r="K118" s="683"/>
      <c r="L118" s="320"/>
      <c r="M118" s="320"/>
      <c r="N118" s="320"/>
      <c r="O118" s="320"/>
      <c r="P118" s="320"/>
      <c r="Q118" s="320"/>
      <c r="R118" s="320"/>
      <c r="S118" s="320"/>
      <c r="T118" s="320"/>
      <c r="U118" s="320"/>
      <c r="V118" s="320"/>
      <c r="W118" s="320"/>
      <c r="X118" s="320"/>
      <c r="Y118" s="320"/>
      <c r="Z118" s="320"/>
      <c r="AA118" s="320"/>
      <c r="AB118" s="320"/>
      <c r="AC118" s="320"/>
      <c r="AD118" s="320"/>
      <c r="AE118" s="320"/>
      <c r="AG118" s="363"/>
    </row>
    <row r="119" spans="1:33">
      <c r="A119" s="39" t="s">
        <v>0</v>
      </c>
      <c r="B119" s="39"/>
      <c r="C119" s="102"/>
      <c r="D119" s="103"/>
      <c r="E119" s="104"/>
      <c r="F119" s="104"/>
      <c r="G119" s="104"/>
      <c r="H119" s="104"/>
      <c r="I119" s="39"/>
      <c r="J119" s="104"/>
      <c r="K119" s="688"/>
      <c r="L119" s="335"/>
      <c r="M119" s="335"/>
      <c r="N119" s="335"/>
      <c r="O119" s="335"/>
      <c r="P119" s="335"/>
      <c r="Q119" s="335"/>
      <c r="R119" s="335"/>
      <c r="S119" s="335"/>
      <c r="T119" s="335"/>
      <c r="U119" s="335"/>
      <c r="V119" s="335"/>
      <c r="W119" s="335"/>
      <c r="X119" s="335"/>
      <c r="Y119" s="335"/>
      <c r="Z119" s="335"/>
      <c r="AA119" s="335"/>
      <c r="AB119" s="335"/>
      <c r="AC119" s="335"/>
      <c r="AD119" s="335"/>
      <c r="AE119" s="335"/>
    </row>
    <row r="120" spans="1:33">
      <c r="A120" s="41" t="s">
        <v>13</v>
      </c>
      <c r="B120" s="41"/>
      <c r="C120" s="105"/>
      <c r="D120" s="106"/>
      <c r="E120" s="37"/>
      <c r="F120" s="37"/>
      <c r="G120" s="37"/>
      <c r="H120" s="37"/>
      <c r="I120" s="41"/>
      <c r="J120" s="37"/>
      <c r="K120" s="683"/>
      <c r="L120" s="200"/>
      <c r="M120" s="200"/>
      <c r="N120" s="200"/>
      <c r="O120" s="200"/>
      <c r="P120" s="200"/>
      <c r="Q120" s="200"/>
      <c r="R120" s="200"/>
      <c r="S120" s="200"/>
      <c r="T120" s="200"/>
      <c r="U120" s="201"/>
      <c r="V120" s="323"/>
      <c r="W120" s="200"/>
      <c r="X120" s="200"/>
      <c r="Y120" s="200"/>
      <c r="Z120" s="200"/>
      <c r="AA120" s="200"/>
      <c r="AB120" s="200"/>
      <c r="AC120" s="200"/>
      <c r="AD120" s="200"/>
      <c r="AE120" s="201"/>
    </row>
    <row r="121" spans="1:33">
      <c r="A121" s="96" t="s">
        <v>56</v>
      </c>
      <c r="B121" s="735" t="s">
        <v>12</v>
      </c>
      <c r="C121" s="663">
        <v>55000</v>
      </c>
      <c r="D121" s="736">
        <f>C121/2080</f>
        <v>26.442307692307693</v>
      </c>
      <c r="E121" s="663">
        <v>0</v>
      </c>
      <c r="F121" s="663">
        <f>C121*$F$13</f>
        <v>22000</v>
      </c>
      <c r="G121" s="663">
        <f>SUM(C121,E121:F121)</f>
        <v>77000</v>
      </c>
      <c r="H121" s="736">
        <f>G121/2080*8</f>
        <v>296.15384615384613</v>
      </c>
      <c r="I121" s="736"/>
      <c r="J121" s="663"/>
      <c r="K121" s="683">
        <v>0</v>
      </c>
      <c r="L121" s="665">
        <v>0</v>
      </c>
      <c r="M121" s="665">
        <f>$H$121*M32*0.25</f>
        <v>15844.230769230768</v>
      </c>
      <c r="N121" s="665">
        <f t="shared" ref="N121:AE121" si="46">$M$121*M11</f>
        <v>16484.33769230769</v>
      </c>
      <c r="O121" s="665">
        <f t="shared" si="46"/>
        <v>16814.024446153842</v>
      </c>
      <c r="P121" s="665">
        <f t="shared" si="46"/>
        <v>17150.304935076922</v>
      </c>
      <c r="Q121" s="665">
        <f t="shared" si="46"/>
        <v>17493.31103377846</v>
      </c>
      <c r="R121" s="665">
        <f t="shared" si="46"/>
        <v>17843.177254454029</v>
      </c>
      <c r="S121" s="665">
        <f t="shared" si="46"/>
        <v>18200.040799543109</v>
      </c>
      <c r="T121" s="665">
        <f t="shared" si="46"/>
        <v>18564.041615533974</v>
      </c>
      <c r="U121" s="665">
        <f t="shared" si="46"/>
        <v>18935.322447844654</v>
      </c>
      <c r="V121" s="665">
        <f t="shared" si="46"/>
        <v>19314.028896801548</v>
      </c>
      <c r="W121" s="665">
        <f t="shared" si="46"/>
        <v>19700.30947473758</v>
      </c>
      <c r="X121" s="665">
        <f t="shared" si="46"/>
        <v>20094.31566423233</v>
      </c>
      <c r="Y121" s="665">
        <f t="shared" si="46"/>
        <v>20496.201977516976</v>
      </c>
      <c r="Z121" s="665">
        <f t="shared" si="46"/>
        <v>20906.126017067316</v>
      </c>
      <c r="AA121" s="665">
        <f t="shared" si="46"/>
        <v>21324.248537408665</v>
      </c>
      <c r="AB121" s="665">
        <f t="shared" si="46"/>
        <v>21750.733508156838</v>
      </c>
      <c r="AC121" s="665">
        <f t="shared" si="46"/>
        <v>22185.748178319976</v>
      </c>
      <c r="AD121" s="665">
        <f t="shared" si="46"/>
        <v>22629.463141886376</v>
      </c>
      <c r="AE121" s="665">
        <f t="shared" si="46"/>
        <v>23082.052404724102</v>
      </c>
    </row>
    <row r="122" spans="1:33">
      <c r="A122" s="96" t="s">
        <v>57</v>
      </c>
      <c r="B122" s="735" t="s">
        <v>15</v>
      </c>
      <c r="C122" s="663">
        <v>15000</v>
      </c>
      <c r="D122" s="736">
        <f>C122/2080</f>
        <v>7.2115384615384617</v>
      </c>
      <c r="E122" s="663">
        <f>C122*E12</f>
        <v>3000</v>
      </c>
      <c r="F122" s="663">
        <f t="shared" ref="F122:F123" si="47">C122*$F$13</f>
        <v>6000</v>
      </c>
      <c r="G122" s="663">
        <f t="shared" ref="G122:G123" si="48">SUM(C122,E122:F122)</f>
        <v>24000</v>
      </c>
      <c r="H122" s="736">
        <f>G122/2080*12</f>
        <v>138.46153846153845</v>
      </c>
      <c r="I122" s="736"/>
      <c r="J122" s="663"/>
      <c r="K122" s="683">
        <v>0</v>
      </c>
      <c r="L122" s="665">
        <v>0</v>
      </c>
      <c r="M122" s="665">
        <f>$H$122*M32*0.5</f>
        <v>14815.384615384615</v>
      </c>
      <c r="N122" s="665">
        <f t="shared" ref="N122:AE122" si="49">$M$122*M11</f>
        <v>15413.926153846154</v>
      </c>
      <c r="O122" s="665">
        <f t="shared" si="49"/>
        <v>15722.204676923076</v>
      </c>
      <c r="P122" s="665">
        <f t="shared" si="49"/>
        <v>16036.648770461537</v>
      </c>
      <c r="Q122" s="665">
        <f t="shared" si="49"/>
        <v>16357.381745870769</v>
      </c>
      <c r="R122" s="665">
        <f t="shared" si="49"/>
        <v>16684.529380788186</v>
      </c>
      <c r="S122" s="665">
        <f t="shared" si="49"/>
        <v>17018.219968403948</v>
      </c>
      <c r="T122" s="665">
        <f t="shared" si="49"/>
        <v>17358.58436777203</v>
      </c>
      <c r="U122" s="665">
        <f t="shared" si="49"/>
        <v>17705.756055127469</v>
      </c>
      <c r="V122" s="665">
        <f t="shared" si="49"/>
        <v>18059.871176230019</v>
      </c>
      <c r="W122" s="665">
        <f t="shared" si="49"/>
        <v>18421.068599754621</v>
      </c>
      <c r="X122" s="665">
        <f t="shared" si="49"/>
        <v>18789.489971749714</v>
      </c>
      <c r="Y122" s="665">
        <f t="shared" si="49"/>
        <v>19165.279771184705</v>
      </c>
      <c r="Z122" s="665">
        <f t="shared" si="49"/>
        <v>19548.5853666084</v>
      </c>
      <c r="AA122" s="665">
        <f t="shared" si="49"/>
        <v>19939.55707394057</v>
      </c>
      <c r="AB122" s="665">
        <f t="shared" si="49"/>
        <v>20338.348215419381</v>
      </c>
      <c r="AC122" s="665">
        <f t="shared" si="49"/>
        <v>20745.115179727771</v>
      </c>
      <c r="AD122" s="665">
        <f t="shared" si="49"/>
        <v>21160.017483322328</v>
      </c>
      <c r="AE122" s="665">
        <f t="shared" si="49"/>
        <v>21583.217832988772</v>
      </c>
    </row>
    <row r="123" spans="1:33">
      <c r="A123" s="737" t="s">
        <v>57</v>
      </c>
      <c r="B123" s="738" t="s">
        <v>15</v>
      </c>
      <c r="C123" s="739">
        <v>15000</v>
      </c>
      <c r="D123" s="740">
        <f>C123/2080</f>
        <v>7.2115384615384617</v>
      </c>
      <c r="E123" s="739">
        <f>C123*$E$12</f>
        <v>3000</v>
      </c>
      <c r="F123" s="739">
        <f t="shared" si="47"/>
        <v>6000</v>
      </c>
      <c r="G123" s="739">
        <f t="shared" si="48"/>
        <v>24000</v>
      </c>
      <c r="H123" s="740">
        <f t="shared" ref="H123" si="50">G123/2080*12</f>
        <v>138.46153846153845</v>
      </c>
      <c r="I123" s="740"/>
      <c r="J123" s="739"/>
      <c r="K123" s="741">
        <v>0</v>
      </c>
      <c r="L123" s="742">
        <v>0</v>
      </c>
      <c r="M123" s="742">
        <f>$H$123*M32*0.5</f>
        <v>14815.384615384615</v>
      </c>
      <c r="N123" s="742">
        <f t="shared" ref="N123:AE123" si="51">$M$123*M11</f>
        <v>15413.926153846154</v>
      </c>
      <c r="O123" s="742">
        <f t="shared" si="51"/>
        <v>15722.204676923076</v>
      </c>
      <c r="P123" s="742">
        <f t="shared" si="51"/>
        <v>16036.648770461537</v>
      </c>
      <c r="Q123" s="742">
        <f t="shared" si="51"/>
        <v>16357.381745870769</v>
      </c>
      <c r="R123" s="742">
        <f t="shared" si="51"/>
        <v>16684.529380788186</v>
      </c>
      <c r="S123" s="742">
        <f t="shared" si="51"/>
        <v>17018.219968403948</v>
      </c>
      <c r="T123" s="742">
        <f t="shared" si="51"/>
        <v>17358.58436777203</v>
      </c>
      <c r="U123" s="742">
        <f t="shared" si="51"/>
        <v>17705.756055127469</v>
      </c>
      <c r="V123" s="742">
        <f t="shared" si="51"/>
        <v>18059.871176230019</v>
      </c>
      <c r="W123" s="742">
        <f t="shared" si="51"/>
        <v>18421.068599754621</v>
      </c>
      <c r="X123" s="742">
        <f t="shared" si="51"/>
        <v>18789.489971749714</v>
      </c>
      <c r="Y123" s="742">
        <f t="shared" si="51"/>
        <v>19165.279771184705</v>
      </c>
      <c r="Z123" s="742">
        <f t="shared" si="51"/>
        <v>19548.5853666084</v>
      </c>
      <c r="AA123" s="742">
        <f t="shared" si="51"/>
        <v>19939.55707394057</v>
      </c>
      <c r="AB123" s="742">
        <f t="shared" si="51"/>
        <v>20338.348215419381</v>
      </c>
      <c r="AC123" s="742">
        <f t="shared" si="51"/>
        <v>20745.115179727771</v>
      </c>
      <c r="AD123" s="742">
        <f t="shared" si="51"/>
        <v>21160.017483322328</v>
      </c>
      <c r="AE123" s="742">
        <f t="shared" si="51"/>
        <v>21583.217832988772</v>
      </c>
    </row>
    <row r="124" spans="1:33">
      <c r="A124" s="164" t="s">
        <v>414</v>
      </c>
      <c r="B124" s="164"/>
      <c r="C124" s="667">
        <f>SUM(C121:C123)</f>
        <v>85000</v>
      </c>
      <c r="D124" s="667"/>
      <c r="E124" s="667">
        <f>SUM(E121:E123)</f>
        <v>6000</v>
      </c>
      <c r="F124" s="667">
        <f>SUM(F121:F123)</f>
        <v>34000</v>
      </c>
      <c r="G124" s="667">
        <f>SUM(G121:G123)</f>
        <v>125000</v>
      </c>
      <c r="H124" s="667">
        <f>SUM(H121:H123)</f>
        <v>573.07692307692309</v>
      </c>
      <c r="I124" s="668"/>
      <c r="J124" s="667"/>
      <c r="K124" s="685">
        <f>SUMIF($B121:$B123,"FT",K121:K123)</f>
        <v>0</v>
      </c>
      <c r="L124" s="669">
        <f>SUM(L121:L123)</f>
        <v>0</v>
      </c>
      <c r="M124" s="669">
        <f t="shared" ref="M124:AE124" si="52">SUM(M121:M123)</f>
        <v>45475</v>
      </c>
      <c r="N124" s="669">
        <f t="shared" si="52"/>
        <v>47312.19</v>
      </c>
      <c r="O124" s="669">
        <f t="shared" si="52"/>
        <v>48258.433799999999</v>
      </c>
      <c r="P124" s="669">
        <f t="shared" si="52"/>
        <v>49223.602475999993</v>
      </c>
      <c r="Q124" s="669">
        <f t="shared" si="52"/>
        <v>50208.074525520002</v>
      </c>
      <c r="R124" s="669">
        <f t="shared" si="52"/>
        <v>51212.236016030394</v>
      </c>
      <c r="S124" s="669">
        <f t="shared" si="52"/>
        <v>52236.480736351004</v>
      </c>
      <c r="T124" s="669">
        <f t="shared" si="52"/>
        <v>53281.210351078029</v>
      </c>
      <c r="U124" s="669">
        <f t="shared" si="52"/>
        <v>54346.834558099596</v>
      </c>
      <c r="V124" s="669">
        <f t="shared" si="52"/>
        <v>55433.771249261583</v>
      </c>
      <c r="W124" s="669">
        <f t="shared" si="52"/>
        <v>56542.446674246821</v>
      </c>
      <c r="X124" s="669">
        <f t="shared" si="52"/>
        <v>57673.295607731765</v>
      </c>
      <c r="Y124" s="669">
        <f t="shared" si="52"/>
        <v>58826.761519886393</v>
      </c>
      <c r="Z124" s="669">
        <f t="shared" si="52"/>
        <v>60003.29675028412</v>
      </c>
      <c r="AA124" s="669">
        <f t="shared" si="52"/>
        <v>61203.362685289801</v>
      </c>
      <c r="AB124" s="669">
        <f t="shared" si="52"/>
        <v>62427.4299389956</v>
      </c>
      <c r="AC124" s="669">
        <f t="shared" si="52"/>
        <v>63675.978537775518</v>
      </c>
      <c r="AD124" s="669">
        <f t="shared" si="52"/>
        <v>64949.498108531028</v>
      </c>
      <c r="AE124" s="669">
        <f t="shared" si="52"/>
        <v>66248.488070701642</v>
      </c>
    </row>
    <row r="125" spans="1:33">
      <c r="A125" s="37"/>
      <c r="B125" s="37"/>
      <c r="C125" s="663"/>
      <c r="D125" s="663"/>
      <c r="E125" s="663"/>
      <c r="F125" s="663"/>
      <c r="G125" s="663"/>
      <c r="H125" s="663"/>
      <c r="I125" s="670"/>
      <c r="J125" s="663"/>
      <c r="K125" s="683"/>
      <c r="L125" s="666"/>
      <c r="M125" s="666"/>
      <c r="N125" s="666"/>
      <c r="O125" s="666"/>
      <c r="P125" s="666"/>
      <c r="Q125" s="666"/>
      <c r="R125" s="666"/>
      <c r="S125" s="666"/>
      <c r="T125" s="666"/>
      <c r="U125" s="666"/>
      <c r="V125" s="666"/>
      <c r="W125" s="666"/>
      <c r="X125" s="666"/>
      <c r="Y125" s="666"/>
      <c r="Z125" s="666"/>
      <c r="AA125" s="666"/>
      <c r="AB125" s="666"/>
      <c r="AC125" s="666"/>
      <c r="AD125" s="666"/>
      <c r="AE125" s="666"/>
    </row>
    <row r="126" spans="1:33">
      <c r="A126" s="37" t="s">
        <v>11</v>
      </c>
      <c r="B126" s="37"/>
      <c r="C126" s="663"/>
      <c r="D126" s="663"/>
      <c r="E126" s="663"/>
      <c r="F126" s="663"/>
      <c r="G126" s="663"/>
      <c r="H126" s="663"/>
      <c r="I126" s="670"/>
      <c r="J126" s="663"/>
      <c r="K126" s="743">
        <f>COUNTIF(K121:K123,"&gt;100")</f>
        <v>0</v>
      </c>
      <c r="L126" s="496">
        <f>COUNTIF(L121,"&gt;100")</f>
        <v>0</v>
      </c>
      <c r="M126" s="496">
        <f t="shared" ref="M126:AE126" si="53">COUNTIF(M121,"&gt;100")</f>
        <v>1</v>
      </c>
      <c r="N126" s="496">
        <f t="shared" si="53"/>
        <v>1</v>
      </c>
      <c r="O126" s="496">
        <f t="shared" si="53"/>
        <v>1</v>
      </c>
      <c r="P126" s="496">
        <f t="shared" si="53"/>
        <v>1</v>
      </c>
      <c r="Q126" s="496">
        <f t="shared" si="53"/>
        <v>1</v>
      </c>
      <c r="R126" s="496">
        <f t="shared" si="53"/>
        <v>1</v>
      </c>
      <c r="S126" s="496">
        <f t="shared" si="53"/>
        <v>1</v>
      </c>
      <c r="T126" s="496">
        <f t="shared" si="53"/>
        <v>1</v>
      </c>
      <c r="U126" s="496">
        <f t="shared" si="53"/>
        <v>1</v>
      </c>
      <c r="V126" s="496">
        <f t="shared" si="53"/>
        <v>1</v>
      </c>
      <c r="W126" s="496">
        <f t="shared" si="53"/>
        <v>1</v>
      </c>
      <c r="X126" s="496">
        <f t="shared" si="53"/>
        <v>1</v>
      </c>
      <c r="Y126" s="496">
        <f t="shared" si="53"/>
        <v>1</v>
      </c>
      <c r="Z126" s="496">
        <f t="shared" si="53"/>
        <v>1</v>
      </c>
      <c r="AA126" s="496">
        <f t="shared" si="53"/>
        <v>1</v>
      </c>
      <c r="AB126" s="496">
        <f t="shared" si="53"/>
        <v>1</v>
      </c>
      <c r="AC126" s="496">
        <f t="shared" si="53"/>
        <v>1</v>
      </c>
      <c r="AD126" s="496">
        <f t="shared" si="53"/>
        <v>1</v>
      </c>
      <c r="AE126" s="496">
        <f t="shared" si="53"/>
        <v>1</v>
      </c>
    </row>
    <row r="127" spans="1:33">
      <c r="A127" s="745" t="s">
        <v>10</v>
      </c>
      <c r="B127" s="745"/>
      <c r="C127" s="739"/>
      <c r="D127" s="739"/>
      <c r="E127" s="739"/>
      <c r="F127" s="739"/>
      <c r="G127" s="739"/>
      <c r="H127" s="739"/>
      <c r="I127" s="763"/>
      <c r="J127" s="739"/>
      <c r="K127" s="749">
        <f t="shared" ref="K127" si="54">K128-K126</f>
        <v>0</v>
      </c>
      <c r="L127" s="750">
        <f>COUNTIF(L122:L123,"&gt;100")</f>
        <v>0</v>
      </c>
      <c r="M127" s="750">
        <f t="shared" ref="M127:AE127" si="55">COUNTIF(M122:M123,"&gt;100")</f>
        <v>2</v>
      </c>
      <c r="N127" s="750">
        <f t="shared" si="55"/>
        <v>2</v>
      </c>
      <c r="O127" s="750">
        <f t="shared" si="55"/>
        <v>2</v>
      </c>
      <c r="P127" s="750">
        <f t="shared" si="55"/>
        <v>2</v>
      </c>
      <c r="Q127" s="750">
        <f t="shared" si="55"/>
        <v>2</v>
      </c>
      <c r="R127" s="750">
        <f t="shared" si="55"/>
        <v>2</v>
      </c>
      <c r="S127" s="750">
        <f t="shared" si="55"/>
        <v>2</v>
      </c>
      <c r="T127" s="750">
        <f t="shared" si="55"/>
        <v>2</v>
      </c>
      <c r="U127" s="750">
        <f t="shared" si="55"/>
        <v>2</v>
      </c>
      <c r="V127" s="750">
        <f t="shared" si="55"/>
        <v>2</v>
      </c>
      <c r="W127" s="750">
        <f t="shared" si="55"/>
        <v>2</v>
      </c>
      <c r="X127" s="750">
        <f t="shared" si="55"/>
        <v>2</v>
      </c>
      <c r="Y127" s="750">
        <f t="shared" si="55"/>
        <v>2</v>
      </c>
      <c r="Z127" s="750">
        <f t="shared" si="55"/>
        <v>2</v>
      </c>
      <c r="AA127" s="750">
        <f t="shared" si="55"/>
        <v>2</v>
      </c>
      <c r="AB127" s="750">
        <f t="shared" si="55"/>
        <v>2</v>
      </c>
      <c r="AC127" s="750">
        <f t="shared" si="55"/>
        <v>2</v>
      </c>
      <c r="AD127" s="750">
        <f t="shared" si="55"/>
        <v>2</v>
      </c>
      <c r="AE127" s="750">
        <f t="shared" si="55"/>
        <v>2</v>
      </c>
    </row>
    <row r="128" spans="1:33">
      <c r="A128" s="164" t="s">
        <v>9</v>
      </c>
      <c r="B128" s="164"/>
      <c r="C128" s="667"/>
      <c r="D128" s="667"/>
      <c r="E128" s="667"/>
      <c r="F128" s="667"/>
      <c r="G128" s="667"/>
      <c r="H128" s="667"/>
      <c r="I128" s="668"/>
      <c r="J128" s="667"/>
      <c r="K128" s="751">
        <f t="shared" ref="K128:AE128" si="56">COUNTIF(K121:K123,"&gt;0")</f>
        <v>0</v>
      </c>
      <c r="L128" s="752">
        <f t="shared" si="56"/>
        <v>0</v>
      </c>
      <c r="M128" s="752">
        <f t="shared" si="56"/>
        <v>3</v>
      </c>
      <c r="N128" s="752">
        <f t="shared" si="56"/>
        <v>3</v>
      </c>
      <c r="O128" s="752">
        <f t="shared" si="56"/>
        <v>3</v>
      </c>
      <c r="P128" s="752">
        <f t="shared" si="56"/>
        <v>3</v>
      </c>
      <c r="Q128" s="752">
        <f t="shared" si="56"/>
        <v>3</v>
      </c>
      <c r="R128" s="752">
        <f t="shared" si="56"/>
        <v>3</v>
      </c>
      <c r="S128" s="752">
        <f t="shared" si="56"/>
        <v>3</v>
      </c>
      <c r="T128" s="752">
        <f t="shared" si="56"/>
        <v>3</v>
      </c>
      <c r="U128" s="752">
        <f t="shared" si="56"/>
        <v>3</v>
      </c>
      <c r="V128" s="752">
        <f t="shared" si="56"/>
        <v>3</v>
      </c>
      <c r="W128" s="752">
        <f t="shared" si="56"/>
        <v>3</v>
      </c>
      <c r="X128" s="752">
        <f t="shared" si="56"/>
        <v>3</v>
      </c>
      <c r="Y128" s="752">
        <f t="shared" si="56"/>
        <v>3</v>
      </c>
      <c r="Z128" s="752">
        <f t="shared" si="56"/>
        <v>3</v>
      </c>
      <c r="AA128" s="752">
        <f t="shared" si="56"/>
        <v>3</v>
      </c>
      <c r="AB128" s="752">
        <f t="shared" si="56"/>
        <v>3</v>
      </c>
      <c r="AC128" s="752">
        <f t="shared" si="56"/>
        <v>3</v>
      </c>
      <c r="AD128" s="752">
        <f t="shared" si="56"/>
        <v>3</v>
      </c>
      <c r="AE128" s="752">
        <f t="shared" si="56"/>
        <v>3</v>
      </c>
    </row>
    <row r="129" spans="1:33">
      <c r="A129" s="37"/>
      <c r="B129" s="37"/>
      <c r="C129" s="57"/>
      <c r="E129" s="57"/>
      <c r="F129" s="57"/>
      <c r="G129" s="57"/>
      <c r="H129" s="57"/>
      <c r="I129" s="43"/>
      <c r="J129" s="42"/>
      <c r="K129" s="683"/>
      <c r="L129" s="316"/>
      <c r="M129" s="316"/>
      <c r="N129" s="316"/>
      <c r="O129" s="316"/>
      <c r="P129" s="316"/>
      <c r="Q129" s="316"/>
      <c r="R129" s="316"/>
      <c r="S129" s="316"/>
      <c r="T129" s="316"/>
      <c r="U129" s="316"/>
      <c r="V129" s="316"/>
      <c r="W129" s="316"/>
      <c r="X129" s="316"/>
      <c r="Y129" s="316"/>
      <c r="Z129" s="316"/>
      <c r="AA129" s="316"/>
      <c r="AB129" s="316"/>
      <c r="AC129" s="316"/>
      <c r="AD129" s="316"/>
      <c r="AE129" s="316"/>
    </row>
    <row r="130" spans="1:33" s="55" customFormat="1">
      <c r="A130" s="190" t="s">
        <v>60</v>
      </c>
      <c r="B130" s="191"/>
      <c r="C130" s="192"/>
      <c r="D130" s="193"/>
      <c r="E130" s="194"/>
      <c r="F130" s="194"/>
      <c r="G130" s="192"/>
      <c r="H130" s="192"/>
      <c r="I130" s="195">
        <v>0.2</v>
      </c>
      <c r="J130" s="196"/>
      <c r="K130" s="683">
        <v>0</v>
      </c>
      <c r="L130" s="665">
        <f>$I$130*L124</f>
        <v>0</v>
      </c>
      <c r="M130" s="665">
        <f t="shared" ref="M130:AE130" si="57">$I$130*M124</f>
        <v>9095</v>
      </c>
      <c r="N130" s="665">
        <f t="shared" si="57"/>
        <v>9462.4380000000001</v>
      </c>
      <c r="O130" s="665">
        <f t="shared" si="57"/>
        <v>9651.6867600000005</v>
      </c>
      <c r="P130" s="665">
        <f t="shared" si="57"/>
        <v>9844.7204951999993</v>
      </c>
      <c r="Q130" s="665">
        <f t="shared" si="57"/>
        <v>10041.614905104001</v>
      </c>
      <c r="R130" s="665">
        <f t="shared" si="57"/>
        <v>10242.44720320608</v>
      </c>
      <c r="S130" s="665">
        <f t="shared" si="57"/>
        <v>10447.296147270201</v>
      </c>
      <c r="T130" s="665">
        <f t="shared" si="57"/>
        <v>10656.242070215607</v>
      </c>
      <c r="U130" s="665">
        <f t="shared" si="57"/>
        <v>10869.36691161992</v>
      </c>
      <c r="V130" s="665">
        <f t="shared" si="57"/>
        <v>11086.754249852318</v>
      </c>
      <c r="W130" s="665">
        <f t="shared" si="57"/>
        <v>11308.489334849364</v>
      </c>
      <c r="X130" s="665">
        <f t="shared" si="57"/>
        <v>11534.659121546354</v>
      </c>
      <c r="Y130" s="665">
        <f t="shared" si="57"/>
        <v>11765.352303977279</v>
      </c>
      <c r="Z130" s="665">
        <f t="shared" si="57"/>
        <v>12000.659350056825</v>
      </c>
      <c r="AA130" s="665">
        <f t="shared" si="57"/>
        <v>12240.672537057961</v>
      </c>
      <c r="AB130" s="665">
        <f t="shared" si="57"/>
        <v>12485.48598779912</v>
      </c>
      <c r="AC130" s="665">
        <f t="shared" si="57"/>
        <v>12735.195707555104</v>
      </c>
      <c r="AD130" s="665">
        <f t="shared" si="57"/>
        <v>12989.899621706207</v>
      </c>
      <c r="AE130" s="665">
        <f t="shared" si="57"/>
        <v>13249.697614140328</v>
      </c>
    </row>
    <row r="131" spans="1:33">
      <c r="A131" s="190"/>
      <c r="B131" s="191"/>
      <c r="C131" s="192"/>
      <c r="D131" s="193"/>
      <c r="E131" s="194"/>
      <c r="F131" s="194"/>
      <c r="G131" s="192"/>
      <c r="H131" s="192"/>
      <c r="I131" s="195"/>
      <c r="J131" s="196"/>
      <c r="K131" s="685"/>
      <c r="L131" s="665"/>
      <c r="M131" s="665"/>
      <c r="N131" s="665"/>
      <c r="O131" s="665"/>
      <c r="P131" s="665"/>
      <c r="Q131" s="665"/>
      <c r="R131" s="665"/>
      <c r="S131" s="665"/>
      <c r="T131" s="665"/>
      <c r="U131" s="665"/>
      <c r="V131" s="665"/>
      <c r="W131" s="665"/>
      <c r="X131" s="665"/>
      <c r="Y131" s="665"/>
      <c r="Z131" s="665"/>
      <c r="AA131" s="665"/>
      <c r="AB131" s="665"/>
      <c r="AC131" s="665"/>
      <c r="AD131" s="665"/>
      <c r="AE131" s="665"/>
    </row>
    <row r="132" spans="1:33">
      <c r="A132" s="164" t="s">
        <v>61</v>
      </c>
      <c r="B132" s="164"/>
      <c r="C132" s="75"/>
      <c r="D132" s="173"/>
      <c r="E132" s="75"/>
      <c r="F132" s="75"/>
      <c r="G132" s="75"/>
      <c r="H132" s="75"/>
      <c r="I132" s="174"/>
      <c r="J132" s="175"/>
      <c r="K132" s="685">
        <v>0</v>
      </c>
      <c r="L132" s="669">
        <f>SUM(L124,L130)</f>
        <v>0</v>
      </c>
      <c r="M132" s="669">
        <f t="shared" ref="M132:AE132" si="58">SUM(M124,M130)</f>
        <v>54570</v>
      </c>
      <c r="N132" s="669">
        <f t="shared" si="58"/>
        <v>56774.628000000004</v>
      </c>
      <c r="O132" s="669">
        <f t="shared" si="58"/>
        <v>57910.120559999996</v>
      </c>
      <c r="P132" s="669">
        <f t="shared" si="58"/>
        <v>59068.322971199988</v>
      </c>
      <c r="Q132" s="669">
        <f t="shared" si="58"/>
        <v>60249.689430623999</v>
      </c>
      <c r="R132" s="669">
        <f t="shared" si="58"/>
        <v>61454.683219236475</v>
      </c>
      <c r="S132" s="669">
        <f t="shared" si="58"/>
        <v>62683.776883621205</v>
      </c>
      <c r="T132" s="669">
        <f t="shared" si="58"/>
        <v>63937.452421293638</v>
      </c>
      <c r="U132" s="669">
        <f t="shared" si="58"/>
        <v>65216.201469719512</v>
      </c>
      <c r="V132" s="669">
        <f t="shared" si="58"/>
        <v>66520.525499113894</v>
      </c>
      <c r="W132" s="669">
        <f t="shared" si="58"/>
        <v>67850.936009096185</v>
      </c>
      <c r="X132" s="669">
        <f t="shared" si="58"/>
        <v>69207.954729278121</v>
      </c>
      <c r="Y132" s="669">
        <f t="shared" si="58"/>
        <v>70592.113823863678</v>
      </c>
      <c r="Z132" s="669">
        <f t="shared" si="58"/>
        <v>72003.956100340947</v>
      </c>
      <c r="AA132" s="669">
        <f t="shared" si="58"/>
        <v>73444.035222347768</v>
      </c>
      <c r="AB132" s="669">
        <f t="shared" si="58"/>
        <v>74912.915926794725</v>
      </c>
      <c r="AC132" s="669">
        <f t="shared" si="58"/>
        <v>76411.174245330621</v>
      </c>
      <c r="AD132" s="669">
        <f t="shared" si="58"/>
        <v>77939.397730237237</v>
      </c>
      <c r="AE132" s="669">
        <f t="shared" si="58"/>
        <v>79498.18568484197</v>
      </c>
    </row>
    <row r="133" spans="1:33">
      <c r="A133" s="183"/>
      <c r="B133" s="184"/>
      <c r="C133" s="185"/>
      <c r="D133" s="186"/>
      <c r="E133" s="185"/>
      <c r="F133" s="185"/>
      <c r="G133" s="185"/>
      <c r="H133" s="185"/>
      <c r="I133" s="187"/>
      <c r="J133" s="188"/>
      <c r="K133" s="683"/>
      <c r="L133" s="320"/>
      <c r="M133" s="320"/>
      <c r="N133" s="320"/>
      <c r="O133" s="320"/>
      <c r="P133" s="320"/>
      <c r="Q133" s="320"/>
      <c r="R133" s="320"/>
      <c r="S133" s="320"/>
      <c r="T133" s="320"/>
      <c r="U133" s="320"/>
      <c r="V133" s="320"/>
      <c r="W133" s="320"/>
      <c r="X133" s="320"/>
      <c r="Y133" s="320"/>
      <c r="Z133" s="320"/>
      <c r="AA133" s="320"/>
      <c r="AB133" s="320"/>
      <c r="AC133" s="320"/>
      <c r="AD133" s="320"/>
      <c r="AE133" s="320"/>
    </row>
    <row r="134" spans="1:33">
      <c r="A134" s="39" t="s">
        <v>4</v>
      </c>
      <c r="B134" s="39"/>
      <c r="C134" s="111"/>
      <c r="D134" s="112"/>
      <c r="E134" s="111"/>
      <c r="F134" s="111"/>
      <c r="G134" s="111"/>
      <c r="H134" s="111"/>
      <c r="I134" s="40"/>
      <c r="J134" s="113"/>
      <c r="K134" s="688"/>
      <c r="L134" s="321"/>
      <c r="M134" s="321"/>
      <c r="N134" s="321"/>
      <c r="O134" s="321"/>
      <c r="P134" s="321"/>
      <c r="Q134" s="321"/>
      <c r="R134" s="321"/>
      <c r="S134" s="321"/>
      <c r="T134" s="321"/>
      <c r="U134" s="321"/>
      <c r="V134" s="321"/>
      <c r="W134" s="321"/>
      <c r="X134" s="321"/>
      <c r="Y134" s="321"/>
      <c r="Z134" s="321"/>
      <c r="AA134" s="321"/>
      <c r="AB134" s="321"/>
      <c r="AC134" s="321"/>
      <c r="AD134" s="321"/>
      <c r="AE134" s="321"/>
    </row>
    <row r="135" spans="1:33">
      <c r="A135" s="41" t="s">
        <v>13</v>
      </c>
      <c r="B135" s="41"/>
      <c r="C135" s="105"/>
      <c r="D135" s="106"/>
      <c r="E135" s="37"/>
      <c r="F135" s="37"/>
      <c r="G135" s="37"/>
      <c r="H135" s="37"/>
      <c r="I135" s="41"/>
      <c r="J135" s="37"/>
      <c r="K135" s="683"/>
      <c r="L135" s="200"/>
      <c r="M135" s="200"/>
      <c r="N135" s="200"/>
      <c r="O135" s="200"/>
      <c r="P135" s="200"/>
      <c r="Q135" s="200"/>
      <c r="R135" s="200"/>
      <c r="S135" s="200"/>
      <c r="T135" s="200"/>
      <c r="U135" s="201"/>
      <c r="V135" s="323"/>
      <c r="W135" s="200"/>
      <c r="X135" s="200"/>
      <c r="Y135" s="200"/>
      <c r="Z135" s="200"/>
      <c r="AA135" s="200"/>
      <c r="AB135" s="200"/>
      <c r="AC135" s="200"/>
      <c r="AD135" s="200"/>
      <c r="AE135" s="201"/>
    </row>
    <row r="136" spans="1:33">
      <c r="A136" s="33" t="s">
        <v>65</v>
      </c>
      <c r="B136" s="735" t="s">
        <v>12</v>
      </c>
      <c r="C136" s="663">
        <v>65000</v>
      </c>
      <c r="D136" s="736">
        <f>C136/2080</f>
        <v>31.25</v>
      </c>
      <c r="E136" s="663">
        <v>0</v>
      </c>
      <c r="F136" s="663">
        <f>C136*$F$13</f>
        <v>26000</v>
      </c>
      <c r="G136" s="663">
        <f>SUM(C136,E136:F136)</f>
        <v>91000</v>
      </c>
      <c r="H136" s="736">
        <f>G136/2080*8</f>
        <v>350</v>
      </c>
      <c r="I136" s="764"/>
      <c r="J136" s="765"/>
      <c r="K136" s="683">
        <v>0</v>
      </c>
      <c r="L136" s="665">
        <v>0</v>
      </c>
      <c r="M136" s="665">
        <f>$H$136*M32*0.25</f>
        <v>18725</v>
      </c>
      <c r="N136" s="665">
        <f t="shared" ref="N136:AE136" si="59">$M$136*L11</f>
        <v>19099.5</v>
      </c>
      <c r="O136" s="665">
        <f t="shared" si="59"/>
        <v>19481.490000000002</v>
      </c>
      <c r="P136" s="665">
        <f t="shared" si="59"/>
        <v>19871.1198</v>
      </c>
      <c r="Q136" s="665">
        <f t="shared" si="59"/>
        <v>20268.542195999999</v>
      </c>
      <c r="R136" s="665">
        <f t="shared" si="59"/>
        <v>20673.91303992</v>
      </c>
      <c r="S136" s="665">
        <f t="shared" si="59"/>
        <v>21087.391300718402</v>
      </c>
      <c r="T136" s="665">
        <f t="shared" si="59"/>
        <v>21509.139126732767</v>
      </c>
      <c r="U136" s="665">
        <f t="shared" si="59"/>
        <v>21939.321909267426</v>
      </c>
      <c r="V136" s="665">
        <f t="shared" si="59"/>
        <v>22378.108347452773</v>
      </c>
      <c r="W136" s="665">
        <f t="shared" si="59"/>
        <v>22825.670514401831</v>
      </c>
      <c r="X136" s="665">
        <f t="shared" si="59"/>
        <v>23282.183924689867</v>
      </c>
      <c r="Y136" s="665">
        <f t="shared" si="59"/>
        <v>23747.827603183665</v>
      </c>
      <c r="Z136" s="665">
        <f t="shared" si="59"/>
        <v>24222.784155247336</v>
      </c>
      <c r="AA136" s="665">
        <f t="shared" si="59"/>
        <v>24707.239838352285</v>
      </c>
      <c r="AB136" s="665">
        <f t="shared" si="59"/>
        <v>25201.384635119332</v>
      </c>
      <c r="AC136" s="665">
        <f t="shared" si="59"/>
        <v>25705.412327821719</v>
      </c>
      <c r="AD136" s="665">
        <f t="shared" si="59"/>
        <v>26219.520574378155</v>
      </c>
      <c r="AE136" s="665">
        <f t="shared" si="59"/>
        <v>26743.910985865718</v>
      </c>
    </row>
    <row r="137" spans="1:33">
      <c r="A137" s="37" t="s">
        <v>62</v>
      </c>
      <c r="B137" s="735" t="s">
        <v>12</v>
      </c>
      <c r="C137" s="663">
        <v>85000</v>
      </c>
      <c r="D137" s="736">
        <f>C137/2080</f>
        <v>40.865384615384613</v>
      </c>
      <c r="E137" s="663">
        <f>C137*$L$15</f>
        <v>0</v>
      </c>
      <c r="F137" s="663">
        <f t="shared" ref="F137:F140" si="60">C137*$F$13</f>
        <v>34000</v>
      </c>
      <c r="G137" s="663">
        <f t="shared" ref="G137:G140" si="61">SUM(C137,E137:F137)</f>
        <v>119000</v>
      </c>
      <c r="H137" s="736">
        <f>G137/2080*8</f>
        <v>457.69230769230768</v>
      </c>
      <c r="I137" s="764"/>
      <c r="J137" s="765"/>
      <c r="K137" s="683">
        <v>0</v>
      </c>
      <c r="L137" s="665">
        <v>0</v>
      </c>
      <c r="M137" s="665">
        <f>$H$137*M32*0.1</f>
        <v>9794.6153846153848</v>
      </c>
      <c r="N137" s="665">
        <f t="shared" ref="N137:AE137" si="62">$M$137*L11</f>
        <v>9990.5076923076922</v>
      </c>
      <c r="O137" s="665">
        <f t="shared" si="62"/>
        <v>10190.317846153846</v>
      </c>
      <c r="P137" s="665">
        <f t="shared" si="62"/>
        <v>10394.124203076923</v>
      </c>
      <c r="Q137" s="665">
        <f t="shared" si="62"/>
        <v>10602.006687138461</v>
      </c>
      <c r="R137" s="665">
        <f t="shared" si="62"/>
        <v>10814.046820881231</v>
      </c>
      <c r="S137" s="665">
        <f t="shared" si="62"/>
        <v>11030.327757298855</v>
      </c>
      <c r="T137" s="665">
        <f t="shared" si="62"/>
        <v>11250.934312444833</v>
      </c>
      <c r="U137" s="665">
        <f t="shared" si="62"/>
        <v>11475.95299869373</v>
      </c>
      <c r="V137" s="665">
        <f t="shared" si="62"/>
        <v>11705.472058667605</v>
      </c>
      <c r="W137" s="665">
        <f t="shared" si="62"/>
        <v>11939.581499840959</v>
      </c>
      <c r="X137" s="665">
        <f t="shared" si="62"/>
        <v>12178.373129837777</v>
      </c>
      <c r="Y137" s="665">
        <f t="shared" si="62"/>
        <v>12421.940592434532</v>
      </c>
      <c r="Z137" s="665">
        <f t="shared" si="62"/>
        <v>12670.379404283221</v>
      </c>
      <c r="AA137" s="665">
        <f t="shared" si="62"/>
        <v>12923.786992368889</v>
      </c>
      <c r="AB137" s="665">
        <f t="shared" si="62"/>
        <v>13182.262732216266</v>
      </c>
      <c r="AC137" s="665">
        <f t="shared" si="62"/>
        <v>13445.907986860591</v>
      </c>
      <c r="AD137" s="665">
        <f t="shared" si="62"/>
        <v>13714.826146597805</v>
      </c>
      <c r="AE137" s="665">
        <f t="shared" si="62"/>
        <v>13989.122669529761</v>
      </c>
    </row>
    <row r="138" spans="1:33">
      <c r="A138" s="37" t="s">
        <v>419</v>
      </c>
      <c r="B138" s="735" t="s">
        <v>12</v>
      </c>
      <c r="C138" s="663">
        <v>75000</v>
      </c>
      <c r="D138" s="736">
        <f>C138/2080</f>
        <v>36.057692307692307</v>
      </c>
      <c r="E138" s="663">
        <f>C138*$L$15</f>
        <v>0</v>
      </c>
      <c r="F138" s="663">
        <f t="shared" si="60"/>
        <v>30000</v>
      </c>
      <c r="G138" s="663">
        <f t="shared" si="61"/>
        <v>105000</v>
      </c>
      <c r="H138" s="736">
        <f>G138/2080*8</f>
        <v>403.84615384615387</v>
      </c>
      <c r="I138" s="764"/>
      <c r="J138" s="765"/>
      <c r="K138" s="683">
        <v>0</v>
      </c>
      <c r="L138" s="665">
        <v>0</v>
      </c>
      <c r="M138" s="665">
        <f>$H$138*M32*0.1</f>
        <v>8642.3076923076933</v>
      </c>
      <c r="N138" s="665">
        <f t="shared" ref="N138:AE138" si="63">$M$138*L11</f>
        <v>8815.1538461538476</v>
      </c>
      <c r="O138" s="665">
        <f t="shared" si="63"/>
        <v>8991.4569230769248</v>
      </c>
      <c r="P138" s="665">
        <f t="shared" si="63"/>
        <v>9171.2860615384616</v>
      </c>
      <c r="Q138" s="665">
        <f t="shared" si="63"/>
        <v>9354.7117827692309</v>
      </c>
      <c r="R138" s="665">
        <f t="shared" si="63"/>
        <v>9541.8060184246169</v>
      </c>
      <c r="S138" s="665">
        <f t="shared" si="63"/>
        <v>9732.6421387931096</v>
      </c>
      <c r="T138" s="665">
        <f t="shared" si="63"/>
        <v>9927.2949815689717</v>
      </c>
      <c r="U138" s="665">
        <f t="shared" si="63"/>
        <v>10125.840881200351</v>
      </c>
      <c r="V138" s="665">
        <f t="shared" si="63"/>
        <v>10328.357698824359</v>
      </c>
      <c r="W138" s="665">
        <f t="shared" si="63"/>
        <v>10534.924852800847</v>
      </c>
      <c r="X138" s="665">
        <f t="shared" si="63"/>
        <v>10745.623349856864</v>
      </c>
      <c r="Y138" s="665">
        <f t="shared" si="63"/>
        <v>10960.535816854001</v>
      </c>
      <c r="Z138" s="665">
        <f t="shared" si="63"/>
        <v>11179.746533191079</v>
      </c>
      <c r="AA138" s="665">
        <f t="shared" si="63"/>
        <v>11403.341463854902</v>
      </c>
      <c r="AB138" s="665">
        <f t="shared" si="63"/>
        <v>11631.408293132001</v>
      </c>
      <c r="AC138" s="665">
        <f t="shared" si="63"/>
        <v>11864.03645899464</v>
      </c>
      <c r="AD138" s="665">
        <f t="shared" si="63"/>
        <v>12101.317188174535</v>
      </c>
      <c r="AE138" s="665">
        <f t="shared" si="63"/>
        <v>12343.343531938026</v>
      </c>
    </row>
    <row r="139" spans="1:33">
      <c r="A139" s="37" t="s">
        <v>63</v>
      </c>
      <c r="B139" s="735" t="s">
        <v>15</v>
      </c>
      <c r="C139" s="663">
        <v>15000</v>
      </c>
      <c r="D139" s="736">
        <f t="shared" ref="D139:D140" si="64">C139/2080</f>
        <v>7.2115384615384617</v>
      </c>
      <c r="E139" s="663">
        <f>C139*$L$15</f>
        <v>0</v>
      </c>
      <c r="F139" s="663">
        <f t="shared" si="60"/>
        <v>6000</v>
      </c>
      <c r="G139" s="663">
        <f t="shared" si="61"/>
        <v>21000</v>
      </c>
      <c r="H139" s="736">
        <f t="shared" ref="H139:H140" si="65">G139/2080*8</f>
        <v>80.769230769230774</v>
      </c>
      <c r="I139" s="764"/>
      <c r="J139" s="765"/>
      <c r="K139" s="683">
        <v>0</v>
      </c>
      <c r="L139" s="665">
        <v>0</v>
      </c>
      <c r="M139" s="665">
        <f>($H$139*M32)*0.5</f>
        <v>8642.3076923076933</v>
      </c>
      <c r="N139" s="665">
        <f t="shared" ref="N139:AE139" si="66">$M$139*L11</f>
        <v>8815.1538461538476</v>
      </c>
      <c r="O139" s="665">
        <f t="shared" si="66"/>
        <v>8991.4569230769248</v>
      </c>
      <c r="P139" s="665">
        <f t="shared" si="66"/>
        <v>9171.2860615384616</v>
      </c>
      <c r="Q139" s="665">
        <f t="shared" si="66"/>
        <v>9354.7117827692309</v>
      </c>
      <c r="R139" s="665">
        <f t="shared" si="66"/>
        <v>9541.8060184246169</v>
      </c>
      <c r="S139" s="665">
        <f t="shared" si="66"/>
        <v>9732.6421387931096</v>
      </c>
      <c r="T139" s="665">
        <f t="shared" si="66"/>
        <v>9927.2949815689717</v>
      </c>
      <c r="U139" s="665">
        <f t="shared" si="66"/>
        <v>10125.840881200351</v>
      </c>
      <c r="V139" s="665">
        <f t="shared" si="66"/>
        <v>10328.357698824359</v>
      </c>
      <c r="W139" s="665">
        <f t="shared" si="66"/>
        <v>10534.924852800847</v>
      </c>
      <c r="X139" s="665">
        <f t="shared" si="66"/>
        <v>10745.623349856864</v>
      </c>
      <c r="Y139" s="665">
        <f t="shared" si="66"/>
        <v>10960.535816854001</v>
      </c>
      <c r="Z139" s="665">
        <f t="shared" si="66"/>
        <v>11179.746533191079</v>
      </c>
      <c r="AA139" s="665">
        <f t="shared" si="66"/>
        <v>11403.341463854902</v>
      </c>
      <c r="AB139" s="665">
        <f t="shared" si="66"/>
        <v>11631.408293132001</v>
      </c>
      <c r="AC139" s="665">
        <f t="shared" si="66"/>
        <v>11864.03645899464</v>
      </c>
      <c r="AD139" s="665">
        <f t="shared" si="66"/>
        <v>12101.317188174535</v>
      </c>
      <c r="AE139" s="665">
        <f t="shared" si="66"/>
        <v>12343.343531938026</v>
      </c>
    </row>
    <row r="140" spans="1:33">
      <c r="A140" s="745" t="s">
        <v>63</v>
      </c>
      <c r="B140" s="738" t="s">
        <v>15</v>
      </c>
      <c r="C140" s="739">
        <v>15000</v>
      </c>
      <c r="D140" s="740">
        <f t="shared" si="64"/>
        <v>7.2115384615384617</v>
      </c>
      <c r="E140" s="739">
        <f>C140*$L$15</f>
        <v>0</v>
      </c>
      <c r="F140" s="739">
        <f t="shared" si="60"/>
        <v>6000</v>
      </c>
      <c r="G140" s="739">
        <f t="shared" si="61"/>
        <v>21000</v>
      </c>
      <c r="H140" s="740">
        <f t="shared" si="65"/>
        <v>80.769230769230774</v>
      </c>
      <c r="I140" s="766"/>
      <c r="J140" s="767"/>
      <c r="K140" s="741">
        <v>0</v>
      </c>
      <c r="L140" s="742">
        <v>0</v>
      </c>
      <c r="M140" s="742">
        <f>($H$140*M32)*0.5</f>
        <v>8642.3076923076933</v>
      </c>
      <c r="N140" s="742">
        <f t="shared" ref="N140:AE140" si="67">$M$140*L11</f>
        <v>8815.1538461538476</v>
      </c>
      <c r="O140" s="742">
        <f t="shared" si="67"/>
        <v>8991.4569230769248</v>
      </c>
      <c r="P140" s="742">
        <f t="shared" si="67"/>
        <v>9171.2860615384616</v>
      </c>
      <c r="Q140" s="742">
        <f t="shared" si="67"/>
        <v>9354.7117827692309</v>
      </c>
      <c r="R140" s="742">
        <f t="shared" si="67"/>
        <v>9541.8060184246169</v>
      </c>
      <c r="S140" s="742">
        <f t="shared" si="67"/>
        <v>9732.6421387931096</v>
      </c>
      <c r="T140" s="742">
        <f t="shared" si="67"/>
        <v>9927.2949815689717</v>
      </c>
      <c r="U140" s="742">
        <f t="shared" si="67"/>
        <v>10125.840881200351</v>
      </c>
      <c r="V140" s="742">
        <f t="shared" si="67"/>
        <v>10328.357698824359</v>
      </c>
      <c r="W140" s="742">
        <f t="shared" si="67"/>
        <v>10534.924852800847</v>
      </c>
      <c r="X140" s="742">
        <f t="shared" si="67"/>
        <v>10745.623349856864</v>
      </c>
      <c r="Y140" s="742">
        <f t="shared" si="67"/>
        <v>10960.535816854001</v>
      </c>
      <c r="Z140" s="742">
        <f t="shared" si="67"/>
        <v>11179.746533191079</v>
      </c>
      <c r="AA140" s="742">
        <f t="shared" si="67"/>
        <v>11403.341463854902</v>
      </c>
      <c r="AB140" s="742">
        <f t="shared" si="67"/>
        <v>11631.408293132001</v>
      </c>
      <c r="AC140" s="742">
        <f t="shared" si="67"/>
        <v>11864.03645899464</v>
      </c>
      <c r="AD140" s="742">
        <f t="shared" si="67"/>
        <v>12101.317188174535</v>
      </c>
      <c r="AE140" s="742">
        <f t="shared" si="67"/>
        <v>12343.343531938026</v>
      </c>
    </row>
    <row r="141" spans="1:33" s="56" customFormat="1" ht="14.25">
      <c r="A141" s="164" t="s">
        <v>415</v>
      </c>
      <c r="B141" s="164"/>
      <c r="C141" s="667">
        <f>SUM(C136:C140)</f>
        <v>255000</v>
      </c>
      <c r="D141" s="667"/>
      <c r="E141" s="667">
        <f>SUM(E136:E140)</f>
        <v>0</v>
      </c>
      <c r="F141" s="667">
        <f>SUM(F136:F140)</f>
        <v>102000</v>
      </c>
      <c r="G141" s="667">
        <f>SUM(G136:G140)</f>
        <v>357000</v>
      </c>
      <c r="H141" s="667">
        <f>SUM(H136:H140)</f>
        <v>1373.0769230769229</v>
      </c>
      <c r="I141" s="768"/>
      <c r="J141" s="769"/>
      <c r="K141" s="685">
        <f>SUMIF($B136:$B140,"FT",K136:K140)</f>
        <v>0</v>
      </c>
      <c r="L141" s="669">
        <f>SUMIF($B136:$B140,"FT",L136:L140)</f>
        <v>0</v>
      </c>
      <c r="M141" s="669">
        <f>SUM(M136:M140)</f>
        <v>54446.538461538468</v>
      </c>
      <c r="N141" s="669">
        <f t="shared" ref="N141:AE141" si="68">SUM(N136:N140)</f>
        <v>55535.469230769231</v>
      </c>
      <c r="O141" s="669">
        <f t="shared" si="68"/>
        <v>56646.178615384626</v>
      </c>
      <c r="P141" s="669">
        <f t="shared" si="68"/>
        <v>57779.102187692311</v>
      </c>
      <c r="Q141" s="669">
        <f t="shared" si="68"/>
        <v>58934.684231446139</v>
      </c>
      <c r="R141" s="669">
        <f t="shared" si="68"/>
        <v>60113.377916075071</v>
      </c>
      <c r="S141" s="669">
        <f t="shared" si="68"/>
        <v>61315.645474396588</v>
      </c>
      <c r="T141" s="669">
        <f t="shared" si="68"/>
        <v>62541.958383884514</v>
      </c>
      <c r="U141" s="669">
        <f t="shared" si="68"/>
        <v>63792.797551562195</v>
      </c>
      <c r="V141" s="669">
        <f t="shared" si="68"/>
        <v>65068.653502593457</v>
      </c>
      <c r="W141" s="669">
        <f t="shared" si="68"/>
        <v>66370.026572645322</v>
      </c>
      <c r="X141" s="669">
        <f t="shared" si="68"/>
        <v>67697.427104098228</v>
      </c>
      <c r="Y141" s="669">
        <f t="shared" si="68"/>
        <v>69051.375646180197</v>
      </c>
      <c r="Z141" s="669">
        <f t="shared" si="68"/>
        <v>70432.403159103793</v>
      </c>
      <c r="AA141" s="669">
        <f t="shared" si="68"/>
        <v>71841.051222285882</v>
      </c>
      <c r="AB141" s="669">
        <f t="shared" si="68"/>
        <v>73277.872246731597</v>
      </c>
      <c r="AC141" s="669">
        <f t="shared" si="68"/>
        <v>74743.429691666228</v>
      </c>
      <c r="AD141" s="669">
        <f t="shared" si="68"/>
        <v>76238.298285499564</v>
      </c>
      <c r="AE141" s="669">
        <f t="shared" si="68"/>
        <v>77763.064251209551</v>
      </c>
    </row>
    <row r="142" spans="1:33">
      <c r="A142" s="37"/>
      <c r="B142" s="37"/>
      <c r="C142" s="663"/>
      <c r="D142" s="663"/>
      <c r="E142" s="663"/>
      <c r="F142" s="663"/>
      <c r="G142" s="663"/>
      <c r="H142" s="663"/>
      <c r="I142" s="107"/>
      <c r="J142" s="108"/>
      <c r="K142" s="683"/>
      <c r="L142" s="666"/>
      <c r="M142" s="666"/>
      <c r="N142" s="666"/>
      <c r="O142" s="666"/>
      <c r="P142" s="666"/>
      <c r="Q142" s="666"/>
      <c r="R142" s="666"/>
      <c r="S142" s="666"/>
      <c r="T142" s="666"/>
      <c r="U142" s="666"/>
      <c r="V142" s="666"/>
      <c r="W142" s="666"/>
      <c r="X142" s="666"/>
      <c r="Y142" s="666"/>
      <c r="Z142" s="666"/>
      <c r="AA142" s="666"/>
      <c r="AB142" s="666"/>
      <c r="AC142" s="666"/>
      <c r="AD142" s="666"/>
      <c r="AE142" s="666"/>
    </row>
    <row r="143" spans="1:33">
      <c r="A143" s="37" t="s">
        <v>11</v>
      </c>
      <c r="B143" s="37"/>
      <c r="C143" s="57"/>
      <c r="E143" s="57"/>
      <c r="F143" s="57"/>
      <c r="G143" s="57"/>
      <c r="H143" s="57"/>
      <c r="I143" s="43"/>
      <c r="J143" s="42"/>
      <c r="K143" s="770">
        <f>COUNTIF(K136:K140,"&gt;100")</f>
        <v>0</v>
      </c>
      <c r="L143" s="771">
        <f>COUNTIF(L136:L138,"&gt;100")</f>
        <v>0</v>
      </c>
      <c r="M143" s="771">
        <f t="shared" ref="M143:AE143" si="69">COUNTIF(M136:M138,"&gt;100")</f>
        <v>3</v>
      </c>
      <c r="N143" s="771">
        <f t="shared" si="69"/>
        <v>3</v>
      </c>
      <c r="O143" s="771">
        <f t="shared" si="69"/>
        <v>3</v>
      </c>
      <c r="P143" s="771">
        <f t="shared" si="69"/>
        <v>3</v>
      </c>
      <c r="Q143" s="771">
        <f t="shared" si="69"/>
        <v>3</v>
      </c>
      <c r="R143" s="771">
        <f t="shared" si="69"/>
        <v>3</v>
      </c>
      <c r="S143" s="771">
        <f t="shared" si="69"/>
        <v>3</v>
      </c>
      <c r="T143" s="771">
        <f t="shared" si="69"/>
        <v>3</v>
      </c>
      <c r="U143" s="771">
        <f t="shared" si="69"/>
        <v>3</v>
      </c>
      <c r="V143" s="771">
        <f t="shared" si="69"/>
        <v>3</v>
      </c>
      <c r="W143" s="771">
        <f t="shared" si="69"/>
        <v>3</v>
      </c>
      <c r="X143" s="771">
        <f t="shared" si="69"/>
        <v>3</v>
      </c>
      <c r="Y143" s="771">
        <f t="shared" si="69"/>
        <v>3</v>
      </c>
      <c r="Z143" s="771">
        <f t="shared" si="69"/>
        <v>3</v>
      </c>
      <c r="AA143" s="771">
        <f t="shared" si="69"/>
        <v>3</v>
      </c>
      <c r="AB143" s="771">
        <f t="shared" si="69"/>
        <v>3</v>
      </c>
      <c r="AC143" s="771">
        <f t="shared" si="69"/>
        <v>3</v>
      </c>
      <c r="AD143" s="771">
        <f t="shared" si="69"/>
        <v>3</v>
      </c>
      <c r="AE143" s="771">
        <f t="shared" si="69"/>
        <v>3</v>
      </c>
      <c r="AF143" s="772"/>
      <c r="AG143" s="772"/>
    </row>
    <row r="144" spans="1:33">
      <c r="A144" s="745" t="s">
        <v>10</v>
      </c>
      <c r="B144" s="745"/>
      <c r="C144" s="746"/>
      <c r="D144" s="116"/>
      <c r="E144" s="746"/>
      <c r="F144" s="746"/>
      <c r="G144" s="746"/>
      <c r="H144" s="746"/>
      <c r="I144" s="747"/>
      <c r="J144" s="748"/>
      <c r="K144" s="773">
        <v>0</v>
      </c>
      <c r="L144" s="774">
        <f>COUNTIF(L139:L140,"&gt;100")</f>
        <v>0</v>
      </c>
      <c r="M144" s="774">
        <f t="shared" ref="M144:AE144" si="70">COUNTIF(M139:M140,"&gt;100")</f>
        <v>2</v>
      </c>
      <c r="N144" s="774">
        <f t="shared" si="70"/>
        <v>2</v>
      </c>
      <c r="O144" s="774">
        <f t="shared" si="70"/>
        <v>2</v>
      </c>
      <c r="P144" s="774">
        <f t="shared" si="70"/>
        <v>2</v>
      </c>
      <c r="Q144" s="774">
        <f t="shared" si="70"/>
        <v>2</v>
      </c>
      <c r="R144" s="774">
        <f t="shared" si="70"/>
        <v>2</v>
      </c>
      <c r="S144" s="774">
        <f t="shared" si="70"/>
        <v>2</v>
      </c>
      <c r="T144" s="774">
        <f t="shared" si="70"/>
        <v>2</v>
      </c>
      <c r="U144" s="774">
        <f t="shared" si="70"/>
        <v>2</v>
      </c>
      <c r="V144" s="774">
        <f t="shared" si="70"/>
        <v>2</v>
      </c>
      <c r="W144" s="774">
        <f t="shared" si="70"/>
        <v>2</v>
      </c>
      <c r="X144" s="774">
        <f t="shared" si="70"/>
        <v>2</v>
      </c>
      <c r="Y144" s="774">
        <f t="shared" si="70"/>
        <v>2</v>
      </c>
      <c r="Z144" s="774">
        <f t="shared" si="70"/>
        <v>2</v>
      </c>
      <c r="AA144" s="774">
        <f t="shared" si="70"/>
        <v>2</v>
      </c>
      <c r="AB144" s="774">
        <f t="shared" si="70"/>
        <v>2</v>
      </c>
      <c r="AC144" s="774">
        <f t="shared" si="70"/>
        <v>2</v>
      </c>
      <c r="AD144" s="774">
        <f t="shared" si="70"/>
        <v>2</v>
      </c>
      <c r="AE144" s="774">
        <f t="shared" si="70"/>
        <v>2</v>
      </c>
      <c r="AF144" s="772"/>
      <c r="AG144" s="772"/>
    </row>
    <row r="145" spans="1:33" s="56" customFormat="1" ht="14.25">
      <c r="A145" s="164" t="s">
        <v>9</v>
      </c>
      <c r="B145" s="164"/>
      <c r="C145" s="75"/>
      <c r="D145" s="173"/>
      <c r="E145" s="75"/>
      <c r="F145" s="75"/>
      <c r="G145" s="75"/>
      <c r="H145" s="75"/>
      <c r="I145" s="174"/>
      <c r="J145" s="181"/>
      <c r="K145" s="775">
        <v>0</v>
      </c>
      <c r="L145" s="776">
        <f>SUM(L143:L144)</f>
        <v>0</v>
      </c>
      <c r="M145" s="776">
        <f t="shared" ref="M145:AE145" si="71">COUNTIF(M136:M140,"&gt;0")</f>
        <v>5</v>
      </c>
      <c r="N145" s="776">
        <f t="shared" si="71"/>
        <v>5</v>
      </c>
      <c r="O145" s="776">
        <f t="shared" si="71"/>
        <v>5</v>
      </c>
      <c r="P145" s="776">
        <f t="shared" si="71"/>
        <v>5</v>
      </c>
      <c r="Q145" s="776">
        <f t="shared" si="71"/>
        <v>5</v>
      </c>
      <c r="R145" s="776">
        <f t="shared" si="71"/>
        <v>5</v>
      </c>
      <c r="S145" s="776">
        <f t="shared" si="71"/>
        <v>5</v>
      </c>
      <c r="T145" s="776">
        <f t="shared" si="71"/>
        <v>5</v>
      </c>
      <c r="U145" s="776">
        <f t="shared" si="71"/>
        <v>5</v>
      </c>
      <c r="V145" s="776">
        <f t="shared" si="71"/>
        <v>5</v>
      </c>
      <c r="W145" s="776">
        <f t="shared" si="71"/>
        <v>5</v>
      </c>
      <c r="X145" s="776">
        <f t="shared" si="71"/>
        <v>5</v>
      </c>
      <c r="Y145" s="776">
        <f t="shared" si="71"/>
        <v>5</v>
      </c>
      <c r="Z145" s="776">
        <f t="shared" si="71"/>
        <v>5</v>
      </c>
      <c r="AA145" s="776">
        <f t="shared" si="71"/>
        <v>5</v>
      </c>
      <c r="AB145" s="776">
        <f t="shared" si="71"/>
        <v>5</v>
      </c>
      <c r="AC145" s="776">
        <f t="shared" si="71"/>
        <v>5</v>
      </c>
      <c r="AD145" s="776">
        <f t="shared" si="71"/>
        <v>5</v>
      </c>
      <c r="AE145" s="776">
        <f t="shared" si="71"/>
        <v>5</v>
      </c>
      <c r="AF145" s="723"/>
      <c r="AG145" s="723"/>
    </row>
    <row r="146" spans="1:33">
      <c r="B146" s="37"/>
      <c r="C146" s="57"/>
      <c r="E146" s="57"/>
      <c r="F146" s="57"/>
      <c r="G146" s="57"/>
      <c r="H146" s="57"/>
      <c r="I146" s="43"/>
      <c r="J146" s="42"/>
      <c r="K146" s="683"/>
      <c r="L146" s="316"/>
      <c r="M146" s="316"/>
      <c r="N146" s="316"/>
      <c r="O146" s="316"/>
      <c r="P146" s="316"/>
      <c r="Q146" s="316"/>
      <c r="R146" s="316"/>
      <c r="S146" s="316"/>
      <c r="T146" s="316"/>
      <c r="U146" s="316"/>
      <c r="V146" s="316"/>
      <c r="W146" s="316"/>
      <c r="X146" s="316"/>
      <c r="Y146" s="316"/>
      <c r="Z146" s="316"/>
      <c r="AA146" s="316"/>
      <c r="AB146" s="316"/>
      <c r="AC146" s="316"/>
      <c r="AD146" s="316"/>
      <c r="AE146" s="316"/>
    </row>
    <row r="147" spans="1:33">
      <c r="A147" s="33" t="s">
        <v>60</v>
      </c>
      <c r="B147" s="191"/>
      <c r="C147" s="192"/>
      <c r="D147" s="193"/>
      <c r="E147" s="194"/>
      <c r="F147" s="194"/>
      <c r="G147" s="192"/>
      <c r="H147" s="192"/>
      <c r="I147" s="195">
        <v>0.2</v>
      </c>
      <c r="J147" s="196"/>
      <c r="K147" s="689">
        <v>0</v>
      </c>
      <c r="L147" s="665">
        <f t="shared" ref="L147:AE147" si="72">L141*$I$147</f>
        <v>0</v>
      </c>
      <c r="M147" s="665">
        <f t="shared" si="72"/>
        <v>10889.307692307695</v>
      </c>
      <c r="N147" s="665">
        <f t="shared" si="72"/>
        <v>11107.093846153846</v>
      </c>
      <c r="O147" s="665">
        <f t="shared" si="72"/>
        <v>11329.235723076927</v>
      </c>
      <c r="P147" s="665">
        <f t="shared" si="72"/>
        <v>11555.820437538463</v>
      </c>
      <c r="Q147" s="665">
        <f t="shared" si="72"/>
        <v>11786.936846289229</v>
      </c>
      <c r="R147" s="665">
        <f t="shared" si="72"/>
        <v>12022.675583215016</v>
      </c>
      <c r="S147" s="665">
        <f t="shared" si="72"/>
        <v>12263.129094879318</v>
      </c>
      <c r="T147" s="665">
        <f t="shared" si="72"/>
        <v>12508.391676776904</v>
      </c>
      <c r="U147" s="665">
        <f t="shared" si="72"/>
        <v>12758.55951031244</v>
      </c>
      <c r="V147" s="665">
        <f t="shared" si="72"/>
        <v>13013.730700518692</v>
      </c>
      <c r="W147" s="665">
        <f t="shared" si="72"/>
        <v>13274.005314529066</v>
      </c>
      <c r="X147" s="665">
        <f t="shared" si="72"/>
        <v>13539.485420819647</v>
      </c>
      <c r="Y147" s="665">
        <f t="shared" si="72"/>
        <v>13810.275129236041</v>
      </c>
      <c r="Z147" s="665">
        <f t="shared" si="72"/>
        <v>14086.480631820759</v>
      </c>
      <c r="AA147" s="665">
        <f t="shared" si="72"/>
        <v>14368.210244457177</v>
      </c>
      <c r="AB147" s="665">
        <f t="shared" si="72"/>
        <v>14655.574449346321</v>
      </c>
      <c r="AC147" s="665">
        <f t="shared" si="72"/>
        <v>14948.685938333247</v>
      </c>
      <c r="AD147" s="665">
        <f t="shared" si="72"/>
        <v>15247.659657099914</v>
      </c>
      <c r="AE147" s="665">
        <f t="shared" si="72"/>
        <v>15552.612850241911</v>
      </c>
    </row>
    <row r="148" spans="1:33">
      <c r="B148" s="191"/>
      <c r="C148" s="192"/>
      <c r="D148" s="193"/>
      <c r="E148" s="194"/>
      <c r="F148" s="194"/>
      <c r="G148" s="192"/>
      <c r="H148" s="192"/>
      <c r="I148" s="195"/>
      <c r="J148" s="196"/>
      <c r="K148" s="689"/>
      <c r="L148" s="665"/>
      <c r="M148" s="665"/>
      <c r="N148" s="665"/>
      <c r="O148" s="665"/>
      <c r="P148" s="665"/>
      <c r="Q148" s="665"/>
      <c r="R148" s="665"/>
      <c r="S148" s="665"/>
      <c r="T148" s="665"/>
      <c r="U148" s="665"/>
      <c r="V148" s="665"/>
      <c r="W148" s="665"/>
      <c r="X148" s="665"/>
      <c r="Y148" s="665"/>
      <c r="Z148" s="665"/>
      <c r="AA148" s="665"/>
      <c r="AB148" s="665"/>
      <c r="AC148" s="665"/>
      <c r="AD148" s="665"/>
      <c r="AE148" s="665"/>
    </row>
    <row r="149" spans="1:33" s="197" customFormat="1" ht="14.25">
      <c r="A149" s="197" t="s">
        <v>68</v>
      </c>
      <c r="D149" s="198"/>
      <c r="K149" s="690"/>
      <c r="L149" s="677"/>
      <c r="M149" s="677"/>
      <c r="N149" s="677"/>
      <c r="O149" s="677"/>
      <c r="P149" s="677"/>
      <c r="Q149" s="677"/>
      <c r="R149" s="677"/>
      <c r="S149" s="677"/>
      <c r="T149" s="677"/>
      <c r="U149" s="677"/>
      <c r="V149" s="677"/>
      <c r="W149" s="677"/>
      <c r="X149" s="677"/>
      <c r="Y149" s="677"/>
      <c r="Z149" s="677"/>
      <c r="AA149" s="677"/>
      <c r="AB149" s="677"/>
      <c r="AC149" s="677"/>
      <c r="AD149" s="677"/>
      <c r="AE149" s="677"/>
    </row>
    <row r="150" spans="1:33">
      <c r="A150" s="37" t="s">
        <v>423</v>
      </c>
      <c r="B150" s="37"/>
      <c r="C150" s="110"/>
      <c r="D150" s="106"/>
      <c r="E150" s="57"/>
      <c r="F150" s="57"/>
      <c r="G150" s="57"/>
      <c r="H150" s="57"/>
      <c r="I150" s="49"/>
      <c r="J150" s="44"/>
      <c r="K150" s="683">
        <f>COUNTIF(K$116:K$123,"&gt;0")*$J150*R$9</f>
        <v>0</v>
      </c>
      <c r="L150" s="666">
        <v>0</v>
      </c>
      <c r="M150" s="666">
        <v>10000</v>
      </c>
      <c r="N150" s="666">
        <f t="shared" ref="N150:AE150" si="73">$M$150*L11</f>
        <v>10200</v>
      </c>
      <c r="O150" s="666">
        <f t="shared" si="73"/>
        <v>10404</v>
      </c>
      <c r="P150" s="666">
        <f t="shared" si="73"/>
        <v>10612.08</v>
      </c>
      <c r="Q150" s="666">
        <f t="shared" si="73"/>
        <v>10824.321599999999</v>
      </c>
      <c r="R150" s="666">
        <f t="shared" si="73"/>
        <v>11040.808032000001</v>
      </c>
      <c r="S150" s="666">
        <f t="shared" si="73"/>
        <v>11261.62419264</v>
      </c>
      <c r="T150" s="666">
        <f t="shared" si="73"/>
        <v>11486.8566764928</v>
      </c>
      <c r="U150" s="666">
        <f t="shared" si="73"/>
        <v>11716.593810022658</v>
      </c>
      <c r="V150" s="666">
        <f t="shared" si="73"/>
        <v>11950.92568622311</v>
      </c>
      <c r="W150" s="666">
        <f t="shared" si="73"/>
        <v>12189.944199947573</v>
      </c>
      <c r="X150" s="666">
        <f t="shared" si="73"/>
        <v>12433.743083946525</v>
      </c>
      <c r="Y150" s="666">
        <f t="shared" si="73"/>
        <v>12682.417945625455</v>
      </c>
      <c r="Z150" s="666">
        <f t="shared" si="73"/>
        <v>12936.066304537962</v>
      </c>
      <c r="AA150" s="666">
        <f t="shared" si="73"/>
        <v>13194.787630628723</v>
      </c>
      <c r="AB150" s="666">
        <f t="shared" si="73"/>
        <v>13458.683383241299</v>
      </c>
      <c r="AC150" s="666">
        <f t="shared" si="73"/>
        <v>13727.857050906125</v>
      </c>
      <c r="AD150" s="666">
        <f t="shared" si="73"/>
        <v>14002.414191924248</v>
      </c>
      <c r="AE150" s="666">
        <f t="shared" si="73"/>
        <v>14282.462475762733</v>
      </c>
    </row>
    <row r="151" spans="1:33">
      <c r="A151" s="37" t="s">
        <v>67</v>
      </c>
      <c r="B151" s="37"/>
      <c r="C151" s="110"/>
      <c r="D151" s="106"/>
      <c r="E151" s="57"/>
      <c r="F151" s="57"/>
      <c r="G151" s="57"/>
      <c r="H151" s="57"/>
      <c r="I151" s="51"/>
      <c r="J151" s="44"/>
      <c r="K151" s="683">
        <v>0</v>
      </c>
      <c r="L151" s="666">
        <v>0</v>
      </c>
      <c r="M151" s="666">
        <v>10000</v>
      </c>
      <c r="N151" s="666">
        <f t="shared" ref="N151:AE151" si="74">$M$151*L11</f>
        <v>10200</v>
      </c>
      <c r="O151" s="666">
        <f t="shared" si="74"/>
        <v>10404</v>
      </c>
      <c r="P151" s="666">
        <f t="shared" si="74"/>
        <v>10612.08</v>
      </c>
      <c r="Q151" s="666">
        <f t="shared" si="74"/>
        <v>10824.321599999999</v>
      </c>
      <c r="R151" s="666">
        <f t="shared" si="74"/>
        <v>11040.808032000001</v>
      </c>
      <c r="S151" s="666">
        <f t="shared" si="74"/>
        <v>11261.62419264</v>
      </c>
      <c r="T151" s="666">
        <f t="shared" si="74"/>
        <v>11486.8566764928</v>
      </c>
      <c r="U151" s="666">
        <f t="shared" si="74"/>
        <v>11716.593810022658</v>
      </c>
      <c r="V151" s="666">
        <f t="shared" si="74"/>
        <v>11950.92568622311</v>
      </c>
      <c r="W151" s="666">
        <f t="shared" si="74"/>
        <v>12189.944199947573</v>
      </c>
      <c r="X151" s="666">
        <f t="shared" si="74"/>
        <v>12433.743083946525</v>
      </c>
      <c r="Y151" s="666">
        <f t="shared" si="74"/>
        <v>12682.417945625455</v>
      </c>
      <c r="Z151" s="666">
        <f t="shared" si="74"/>
        <v>12936.066304537962</v>
      </c>
      <c r="AA151" s="666">
        <f t="shared" si="74"/>
        <v>13194.787630628723</v>
      </c>
      <c r="AB151" s="666">
        <f t="shared" si="74"/>
        <v>13458.683383241299</v>
      </c>
      <c r="AC151" s="666">
        <f t="shared" si="74"/>
        <v>13727.857050906125</v>
      </c>
      <c r="AD151" s="666">
        <f t="shared" si="74"/>
        <v>14002.414191924248</v>
      </c>
      <c r="AE151" s="666">
        <f t="shared" si="74"/>
        <v>14282.462475762733</v>
      </c>
    </row>
    <row r="152" spans="1:33">
      <c r="A152" s="180" t="s">
        <v>2</v>
      </c>
      <c r="B152" s="777"/>
      <c r="C152" s="778"/>
      <c r="D152" s="779"/>
      <c r="E152" s="746"/>
      <c r="F152" s="746"/>
      <c r="G152" s="778"/>
      <c r="H152" s="778"/>
      <c r="I152" s="780"/>
      <c r="J152" s="781"/>
      <c r="K152" s="741">
        <v>0</v>
      </c>
      <c r="L152" s="742">
        <v>0</v>
      </c>
      <c r="M152" s="742">
        <v>0</v>
      </c>
      <c r="N152" s="742">
        <v>0</v>
      </c>
      <c r="O152" s="742">
        <v>0</v>
      </c>
      <c r="P152" s="742">
        <v>0</v>
      </c>
      <c r="Q152" s="742">
        <v>0</v>
      </c>
      <c r="R152" s="742">
        <v>0</v>
      </c>
      <c r="S152" s="742">
        <v>0</v>
      </c>
      <c r="T152" s="742">
        <v>0</v>
      </c>
      <c r="U152" s="742">
        <v>0</v>
      </c>
      <c r="V152" s="742">
        <v>0</v>
      </c>
      <c r="W152" s="742">
        <v>0</v>
      </c>
      <c r="X152" s="742">
        <v>0</v>
      </c>
      <c r="Y152" s="742">
        <v>0</v>
      </c>
      <c r="Z152" s="742">
        <v>0</v>
      </c>
      <c r="AA152" s="742">
        <v>0</v>
      </c>
      <c r="AB152" s="742">
        <v>0</v>
      </c>
      <c r="AC152" s="742">
        <v>0</v>
      </c>
      <c r="AD152" s="742">
        <v>0</v>
      </c>
      <c r="AE152" s="742">
        <v>0</v>
      </c>
    </row>
    <row r="153" spans="1:33" s="56" customFormat="1" ht="14.25">
      <c r="A153" s="164" t="s">
        <v>78</v>
      </c>
      <c r="B153" s="164"/>
      <c r="C153" s="75"/>
      <c r="D153" s="173"/>
      <c r="E153" s="75"/>
      <c r="F153" s="75"/>
      <c r="G153" s="75"/>
      <c r="H153" s="75"/>
      <c r="I153" s="174"/>
      <c r="J153" s="175"/>
      <c r="K153" s="685">
        <v>0</v>
      </c>
      <c r="L153" s="669">
        <f t="shared" ref="L153:AE153" si="75">SUM(L150:L152)</f>
        <v>0</v>
      </c>
      <c r="M153" s="669">
        <f t="shared" si="75"/>
        <v>20000</v>
      </c>
      <c r="N153" s="669">
        <f t="shared" si="75"/>
        <v>20400</v>
      </c>
      <c r="O153" s="669">
        <f t="shared" si="75"/>
        <v>20808</v>
      </c>
      <c r="P153" s="669">
        <f t="shared" si="75"/>
        <v>21224.16</v>
      </c>
      <c r="Q153" s="669">
        <f t="shared" si="75"/>
        <v>21648.643199999999</v>
      </c>
      <c r="R153" s="669">
        <f t="shared" si="75"/>
        <v>22081.616064000002</v>
      </c>
      <c r="S153" s="669">
        <f t="shared" si="75"/>
        <v>22523.24838528</v>
      </c>
      <c r="T153" s="669">
        <f t="shared" si="75"/>
        <v>22973.7133529856</v>
      </c>
      <c r="U153" s="669">
        <f t="shared" si="75"/>
        <v>23433.187620045315</v>
      </c>
      <c r="V153" s="669">
        <f t="shared" si="75"/>
        <v>23901.851372446221</v>
      </c>
      <c r="W153" s="669">
        <f t="shared" si="75"/>
        <v>24379.888399895146</v>
      </c>
      <c r="X153" s="669">
        <f t="shared" si="75"/>
        <v>24867.48616789305</v>
      </c>
      <c r="Y153" s="669">
        <f t="shared" si="75"/>
        <v>25364.83589125091</v>
      </c>
      <c r="Z153" s="669">
        <f t="shared" si="75"/>
        <v>25872.132609075925</v>
      </c>
      <c r="AA153" s="669">
        <f t="shared" si="75"/>
        <v>26389.575261257447</v>
      </c>
      <c r="AB153" s="669">
        <f t="shared" si="75"/>
        <v>26917.366766482599</v>
      </c>
      <c r="AC153" s="669">
        <f t="shared" si="75"/>
        <v>27455.714101812249</v>
      </c>
      <c r="AD153" s="669">
        <f t="shared" si="75"/>
        <v>28004.828383848497</v>
      </c>
      <c r="AE153" s="669">
        <f t="shared" si="75"/>
        <v>28564.924951525467</v>
      </c>
    </row>
    <row r="154" spans="1:33" s="56" customFormat="1" ht="14.25">
      <c r="A154" s="164"/>
      <c r="B154" s="164"/>
      <c r="C154" s="75"/>
      <c r="D154" s="173"/>
      <c r="E154" s="75"/>
      <c r="F154" s="75"/>
      <c r="G154" s="75"/>
      <c r="H154" s="75"/>
      <c r="I154" s="174"/>
      <c r="J154" s="175"/>
      <c r="K154" s="685"/>
      <c r="L154" s="669"/>
      <c r="M154" s="669"/>
      <c r="N154" s="669"/>
      <c r="O154" s="669"/>
      <c r="P154" s="669"/>
      <c r="Q154" s="669"/>
      <c r="R154" s="669"/>
      <c r="S154" s="669"/>
      <c r="T154" s="669"/>
      <c r="U154" s="669"/>
      <c r="V154" s="669"/>
      <c r="W154" s="669"/>
      <c r="X154" s="669"/>
      <c r="Y154" s="669"/>
      <c r="Z154" s="669"/>
      <c r="AA154" s="669"/>
      <c r="AB154" s="669"/>
      <c r="AC154" s="669"/>
      <c r="AD154" s="669"/>
      <c r="AE154" s="669"/>
    </row>
    <row r="155" spans="1:33" s="56" customFormat="1" ht="14.25">
      <c r="A155" s="164" t="s">
        <v>66</v>
      </c>
      <c r="B155" s="164"/>
      <c r="C155" s="75"/>
      <c r="D155" s="173"/>
      <c r="E155" s="75"/>
      <c r="F155" s="75"/>
      <c r="G155" s="75"/>
      <c r="H155" s="75"/>
      <c r="I155" s="174"/>
      <c r="J155" s="175"/>
      <c r="K155" s="685">
        <v>0</v>
      </c>
      <c r="L155" s="669">
        <f>SUM(L141,L153)</f>
        <v>0</v>
      </c>
      <c r="M155" s="669">
        <f>SUM(M141,M147,M153)</f>
        <v>85335.846153846156</v>
      </c>
      <c r="N155" s="669">
        <f t="shared" ref="N155:AE155" si="76">SUM(N141,N147,N153)</f>
        <v>87042.563076923077</v>
      </c>
      <c r="O155" s="669">
        <f t="shared" si="76"/>
        <v>88783.41433846156</v>
      </c>
      <c r="P155" s="669">
        <f t="shared" si="76"/>
        <v>90559.082625230774</v>
      </c>
      <c r="Q155" s="669">
        <f t="shared" si="76"/>
        <v>92370.264277735376</v>
      </c>
      <c r="R155" s="669">
        <f t="shared" si="76"/>
        <v>94217.669563290081</v>
      </c>
      <c r="S155" s="669">
        <f t="shared" si="76"/>
        <v>96102.022954555898</v>
      </c>
      <c r="T155" s="669">
        <f t="shared" si="76"/>
        <v>98024.063413647003</v>
      </c>
      <c r="U155" s="669">
        <f t="shared" si="76"/>
        <v>99984.544681919942</v>
      </c>
      <c r="V155" s="669">
        <f t="shared" si="76"/>
        <v>101984.23557555837</v>
      </c>
      <c r="W155" s="669">
        <f t="shared" si="76"/>
        <v>104023.92028706953</v>
      </c>
      <c r="X155" s="669">
        <f t="shared" si="76"/>
        <v>106104.39869281092</v>
      </c>
      <c r="Y155" s="669">
        <f t="shared" si="76"/>
        <v>108226.48666666714</v>
      </c>
      <c r="Z155" s="669">
        <f t="shared" si="76"/>
        <v>110391.01640000047</v>
      </c>
      <c r="AA155" s="669">
        <f t="shared" si="76"/>
        <v>112598.8367280005</v>
      </c>
      <c r="AB155" s="669">
        <f t="shared" si="76"/>
        <v>114850.8134625605</v>
      </c>
      <c r="AC155" s="669">
        <f t="shared" si="76"/>
        <v>117147.82973181173</v>
      </c>
      <c r="AD155" s="669">
        <f t="shared" si="76"/>
        <v>119490.78632644797</v>
      </c>
      <c r="AE155" s="669">
        <f t="shared" si="76"/>
        <v>121880.60205297693</v>
      </c>
    </row>
    <row r="156" spans="1:33" s="56" customFormat="1" ht="14.25">
      <c r="A156" s="164"/>
      <c r="B156" s="164"/>
      <c r="C156" s="75"/>
      <c r="D156" s="173"/>
      <c r="E156" s="75"/>
      <c r="F156" s="75"/>
      <c r="G156" s="75"/>
      <c r="H156" s="75"/>
      <c r="I156" s="174"/>
      <c r="J156" s="175"/>
      <c r="K156" s="685"/>
      <c r="L156" s="669"/>
      <c r="M156" s="669"/>
      <c r="N156" s="669"/>
      <c r="O156" s="669"/>
      <c r="P156" s="669"/>
      <c r="Q156" s="669"/>
      <c r="R156" s="669"/>
      <c r="S156" s="669"/>
      <c r="T156" s="669"/>
      <c r="U156" s="669"/>
      <c r="V156" s="669"/>
      <c r="W156" s="669"/>
      <c r="X156" s="669"/>
      <c r="Y156" s="669"/>
      <c r="Z156" s="669"/>
      <c r="AA156" s="669"/>
      <c r="AB156" s="669"/>
      <c r="AC156" s="669"/>
      <c r="AD156" s="669"/>
      <c r="AE156" s="669"/>
    </row>
    <row r="157" spans="1:33">
      <c r="A157" s="47" t="s">
        <v>7</v>
      </c>
      <c r="B157" s="47" t="s">
        <v>7</v>
      </c>
      <c r="C157" s="78" t="s">
        <v>7</v>
      </c>
      <c r="D157" s="100"/>
      <c r="E157" s="78" t="s">
        <v>7</v>
      </c>
      <c r="F157" s="78"/>
      <c r="G157" s="78" t="s">
        <v>7</v>
      </c>
      <c r="H157" s="78"/>
      <c r="I157" s="52" t="s">
        <v>7</v>
      </c>
      <c r="J157" s="114"/>
      <c r="K157" s="673"/>
      <c r="L157" s="672"/>
      <c r="M157" s="672"/>
      <c r="N157" s="672"/>
      <c r="O157" s="672"/>
      <c r="P157" s="672"/>
      <c r="Q157" s="672"/>
      <c r="R157" s="672"/>
      <c r="S157" s="672"/>
      <c r="T157" s="672"/>
      <c r="U157" s="672"/>
      <c r="V157" s="672"/>
      <c r="W157" s="672"/>
      <c r="X157" s="672"/>
      <c r="Y157" s="672"/>
      <c r="Z157" s="672"/>
      <c r="AA157" s="672"/>
      <c r="AB157" s="672"/>
      <c r="AC157" s="672"/>
      <c r="AD157" s="672"/>
      <c r="AE157" s="672"/>
    </row>
    <row r="158" spans="1:33">
      <c r="A158" s="47"/>
      <c r="B158" s="47"/>
      <c r="C158" s="78"/>
      <c r="D158" s="100"/>
      <c r="E158" s="78"/>
      <c r="F158" s="78"/>
      <c r="G158" s="78"/>
      <c r="H158" s="78"/>
      <c r="I158" s="52"/>
      <c r="J158" s="114"/>
      <c r="K158" s="664"/>
      <c r="L158" s="666"/>
      <c r="M158" s="666"/>
      <c r="N158" s="666"/>
      <c r="O158" s="666"/>
      <c r="P158" s="666"/>
      <c r="Q158" s="666"/>
      <c r="R158" s="666"/>
      <c r="S158" s="666"/>
      <c r="T158" s="666"/>
      <c r="U158" s="666"/>
      <c r="V158" s="666"/>
      <c r="W158" s="666"/>
      <c r="X158" s="666"/>
      <c r="Y158" s="666"/>
      <c r="Z158" s="666"/>
      <c r="AA158" s="666"/>
      <c r="AB158" s="666"/>
      <c r="AC158" s="666"/>
      <c r="AD158" s="666"/>
      <c r="AE158" s="666"/>
    </row>
    <row r="159" spans="1:33" s="56" customFormat="1" ht="14.25">
      <c r="A159" s="203" t="s">
        <v>79</v>
      </c>
      <c r="B159" s="203"/>
      <c r="C159" s="204"/>
      <c r="D159" s="205"/>
      <c r="E159" s="204"/>
      <c r="F159" s="204"/>
      <c r="G159" s="204"/>
      <c r="H159" s="204"/>
      <c r="I159" s="206"/>
      <c r="J159" s="207"/>
      <c r="K159" s="675">
        <v>0</v>
      </c>
      <c r="L159" s="676">
        <f t="shared" ref="L159:AE159" si="77">SUM(L132,L155)</f>
        <v>0</v>
      </c>
      <c r="M159" s="676">
        <f t="shared" si="77"/>
        <v>139905.84615384616</v>
      </c>
      <c r="N159" s="676">
        <f t="shared" si="77"/>
        <v>143817.19107692307</v>
      </c>
      <c r="O159" s="676">
        <f t="shared" si="77"/>
        <v>146693.53489846154</v>
      </c>
      <c r="P159" s="676">
        <f t="shared" si="77"/>
        <v>149627.40559643076</v>
      </c>
      <c r="Q159" s="676">
        <f t="shared" si="77"/>
        <v>152619.95370835939</v>
      </c>
      <c r="R159" s="676">
        <f t="shared" si="77"/>
        <v>155672.35278252655</v>
      </c>
      <c r="S159" s="676">
        <f t="shared" si="77"/>
        <v>158785.7998381771</v>
      </c>
      <c r="T159" s="676">
        <f t="shared" si="77"/>
        <v>161961.51583494066</v>
      </c>
      <c r="U159" s="676">
        <f t="shared" si="77"/>
        <v>165200.74615163944</v>
      </c>
      <c r="V159" s="676">
        <f t="shared" si="77"/>
        <v>168504.76107467228</v>
      </c>
      <c r="W159" s="676">
        <f t="shared" si="77"/>
        <v>171874.85629616573</v>
      </c>
      <c r="X159" s="676">
        <f t="shared" si="77"/>
        <v>175312.35342208904</v>
      </c>
      <c r="Y159" s="676">
        <f t="shared" si="77"/>
        <v>178818.60049053084</v>
      </c>
      <c r="Z159" s="676">
        <f t="shared" si="77"/>
        <v>182394.97250034142</v>
      </c>
      <c r="AA159" s="676">
        <f t="shared" si="77"/>
        <v>186042.87195034826</v>
      </c>
      <c r="AB159" s="676">
        <f t="shared" si="77"/>
        <v>189763.72938935523</v>
      </c>
      <c r="AC159" s="676">
        <f t="shared" si="77"/>
        <v>193559.00397714233</v>
      </c>
      <c r="AD159" s="676">
        <f t="shared" si="77"/>
        <v>197430.18405668519</v>
      </c>
      <c r="AE159" s="676">
        <f t="shared" si="77"/>
        <v>201378.7877378189</v>
      </c>
      <c r="AG159" s="199"/>
    </row>
    <row r="160" spans="1:33">
      <c r="K160" s="664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</row>
    <row r="161" spans="1:33">
      <c r="A161" s="47" t="s">
        <v>7</v>
      </c>
      <c r="B161" s="47" t="s">
        <v>7</v>
      </c>
      <c r="C161" s="78" t="s">
        <v>7</v>
      </c>
      <c r="D161" s="100"/>
      <c r="E161" s="78" t="s">
        <v>7</v>
      </c>
      <c r="F161" s="78"/>
      <c r="G161" s="78" t="s">
        <v>7</v>
      </c>
      <c r="H161" s="78"/>
      <c r="I161" s="52" t="s">
        <v>7</v>
      </c>
      <c r="J161" s="114"/>
      <c r="K161" s="673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</row>
    <row r="162" spans="1:33">
      <c r="K162" s="664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G162" s="199"/>
    </row>
    <row r="163" spans="1:33" s="56" customFormat="1" ht="14.25">
      <c r="A163" s="208" t="s">
        <v>115</v>
      </c>
      <c r="B163" s="208"/>
      <c r="C163" s="208"/>
      <c r="D163" s="202"/>
      <c r="E163" s="208"/>
      <c r="F163" s="208"/>
      <c r="G163" s="208"/>
      <c r="H163" s="208"/>
      <c r="I163" s="208"/>
      <c r="J163" s="208"/>
      <c r="K163" s="678">
        <f>SUM(K153,K113)</f>
        <v>0</v>
      </c>
      <c r="L163" s="678">
        <f t="shared" ref="L163:AE163" si="78">SUM(L113,L159)</f>
        <v>357416.66666666669</v>
      </c>
      <c r="M163" s="678">
        <f t="shared" si="78"/>
        <v>894419.34615384613</v>
      </c>
      <c r="N163" s="678">
        <f t="shared" si="78"/>
        <v>913431.16107692313</v>
      </c>
      <c r="O163" s="678">
        <f t="shared" si="78"/>
        <v>931699.78429846151</v>
      </c>
      <c r="P163" s="678">
        <f t="shared" si="78"/>
        <v>950333.77998443064</v>
      </c>
      <c r="Q163" s="678">
        <f t="shared" si="78"/>
        <v>997684.33437931933</v>
      </c>
      <c r="R163" s="678">
        <f t="shared" si="78"/>
        <v>1013101.1022765377</v>
      </c>
      <c r="S163" s="678">
        <f t="shared" si="78"/>
        <v>1033363.1243220684</v>
      </c>
      <c r="T163" s="678">
        <f t="shared" si="78"/>
        <v>1054030.3868085099</v>
      </c>
      <c r="U163" s="678">
        <f t="shared" si="78"/>
        <v>1075110.9945446802</v>
      </c>
      <c r="V163" s="678">
        <f t="shared" si="78"/>
        <v>1101003.7172255765</v>
      </c>
      <c r="W163" s="678">
        <f t="shared" si="78"/>
        <v>1118545.4787242853</v>
      </c>
      <c r="X163" s="678">
        <f t="shared" si="78"/>
        <v>1140916.3882987711</v>
      </c>
      <c r="Y163" s="678">
        <f t="shared" si="78"/>
        <v>1163734.7160647465</v>
      </c>
      <c r="Z163" s="678">
        <f t="shared" si="78"/>
        <v>1187009.4103860415</v>
      </c>
      <c r="AA163" s="678">
        <f t="shared" si="78"/>
        <v>1215076.6644246003</v>
      </c>
      <c r="AB163" s="678">
        <f t="shared" si="78"/>
        <v>1234964.5905656377</v>
      </c>
      <c r="AC163" s="678">
        <f t="shared" si="78"/>
        <v>1259663.8823769502</v>
      </c>
      <c r="AD163" s="678">
        <f t="shared" si="78"/>
        <v>1284857.1600244893</v>
      </c>
      <c r="AE163" s="678">
        <f t="shared" si="78"/>
        <v>1310554.3032249792</v>
      </c>
      <c r="AG163" s="199"/>
    </row>
    <row r="164" spans="1:33">
      <c r="K164" s="664"/>
      <c r="L164" s="666"/>
      <c r="M164" s="666"/>
      <c r="N164" s="666"/>
      <c r="O164" s="666"/>
      <c r="P164" s="666"/>
      <c r="Q164" s="666"/>
      <c r="R164" s="666"/>
      <c r="S164" s="666"/>
      <c r="T164" s="666"/>
      <c r="U164" s="666"/>
      <c r="V164" s="666"/>
      <c r="W164" s="666"/>
      <c r="X164" s="666"/>
      <c r="Y164" s="666"/>
      <c r="Z164" s="666"/>
      <c r="AA164" s="666"/>
      <c r="AB164" s="666"/>
      <c r="AC164" s="666"/>
      <c r="AD164" s="666"/>
      <c r="AE164" s="666"/>
      <c r="AG164" s="199"/>
    </row>
    <row r="165" spans="1:33">
      <c r="A165" s="251"/>
      <c r="B165" s="251"/>
      <c r="C165" s="251"/>
      <c r="D165" s="259"/>
      <c r="E165" s="251"/>
      <c r="F165" s="251"/>
      <c r="G165" s="251"/>
      <c r="H165" s="251"/>
      <c r="I165" s="251"/>
      <c r="J165" s="251"/>
      <c r="K165" s="679"/>
      <c r="L165" s="680"/>
      <c r="M165" s="680"/>
      <c r="N165" s="680"/>
      <c r="O165" s="680"/>
      <c r="P165" s="680"/>
      <c r="Q165" s="680"/>
      <c r="R165" s="680"/>
      <c r="S165" s="680"/>
      <c r="T165" s="680"/>
      <c r="U165" s="680"/>
      <c r="V165" s="680"/>
      <c r="W165" s="680"/>
      <c r="X165" s="680"/>
      <c r="Y165" s="680"/>
      <c r="Z165" s="680"/>
      <c r="AA165" s="680"/>
      <c r="AB165" s="680"/>
      <c r="AC165" s="680"/>
      <c r="AD165" s="680"/>
      <c r="AE165" s="680"/>
      <c r="AG165" s="199"/>
    </row>
    <row r="166" spans="1:33">
      <c r="K166" s="664"/>
      <c r="L166" s="666"/>
      <c r="M166" s="666"/>
      <c r="N166" s="666"/>
      <c r="O166" s="666"/>
      <c r="P166" s="666"/>
      <c r="Q166" s="666"/>
      <c r="R166" s="666"/>
      <c r="S166" s="666"/>
      <c r="T166" s="666"/>
      <c r="U166" s="666"/>
      <c r="V166" s="666"/>
      <c r="W166" s="666"/>
      <c r="X166" s="666"/>
      <c r="Y166" s="666"/>
      <c r="Z166" s="666"/>
      <c r="AA166" s="666"/>
      <c r="AB166" s="666"/>
      <c r="AC166" s="666"/>
      <c r="AD166" s="666"/>
      <c r="AE166" s="666"/>
      <c r="AG166" s="199"/>
    </row>
    <row r="167" spans="1:33">
      <c r="A167" s="249" t="s">
        <v>84</v>
      </c>
      <c r="B167" s="281"/>
      <c r="C167" s="281"/>
      <c r="D167" s="177"/>
      <c r="E167" s="281"/>
      <c r="F167" s="281"/>
      <c r="G167" s="281"/>
      <c r="H167" s="281"/>
      <c r="I167" s="281"/>
      <c r="J167" s="281"/>
      <c r="K167" s="681"/>
      <c r="L167" s="682"/>
      <c r="M167" s="682"/>
      <c r="N167" s="682"/>
      <c r="O167" s="682"/>
      <c r="P167" s="682"/>
      <c r="Q167" s="682"/>
      <c r="R167" s="682"/>
      <c r="S167" s="682"/>
      <c r="T167" s="682"/>
      <c r="U167" s="682"/>
      <c r="V167" s="682"/>
      <c r="W167" s="682"/>
      <c r="X167" s="682"/>
      <c r="Y167" s="682"/>
      <c r="Z167" s="682"/>
      <c r="AA167" s="682"/>
      <c r="AB167" s="682"/>
      <c r="AC167" s="682"/>
      <c r="AD167" s="682"/>
      <c r="AE167" s="682"/>
      <c r="AG167" s="199"/>
    </row>
    <row r="168" spans="1:33" s="252" customFormat="1">
      <c r="A168" s="257"/>
      <c r="D168" s="186"/>
      <c r="K168" s="664"/>
      <c r="L168" s="671"/>
      <c r="M168" s="671"/>
      <c r="N168" s="671"/>
      <c r="O168" s="671"/>
      <c r="P168" s="671"/>
      <c r="Q168" s="671"/>
      <c r="R168" s="671"/>
      <c r="S168" s="671"/>
      <c r="T168" s="671"/>
      <c r="U168" s="671"/>
      <c r="V168" s="671"/>
      <c r="W168" s="671"/>
      <c r="X168" s="671"/>
      <c r="Y168" s="671"/>
      <c r="Z168" s="671"/>
      <c r="AA168" s="671"/>
      <c r="AB168" s="671"/>
      <c r="AC168" s="671"/>
      <c r="AD168" s="671"/>
      <c r="AE168" s="671"/>
      <c r="AG168" s="363"/>
    </row>
    <row r="169" spans="1:33">
      <c r="A169" s="96" t="str">
        <f>'OPEX - Concept B3 - Carnival'!A169</f>
        <v>Investment (cash)</v>
      </c>
      <c r="B169" s="96"/>
      <c r="C169" s="96"/>
      <c r="D169" s="96"/>
      <c r="E169" s="96"/>
      <c r="F169" s="96"/>
      <c r="G169" s="96"/>
      <c r="H169" s="96"/>
      <c r="I169" s="96"/>
      <c r="J169" s="96"/>
      <c r="K169" s="883"/>
      <c r="L169" s="663"/>
      <c r="M169" s="663"/>
      <c r="N169" s="663"/>
      <c r="O169" s="663"/>
      <c r="P169" s="663"/>
      <c r="Q169" s="663"/>
      <c r="R169" s="663"/>
      <c r="S169" s="663"/>
      <c r="T169" s="663"/>
      <c r="U169" s="663"/>
      <c r="V169" s="663"/>
      <c r="W169" s="663"/>
      <c r="X169" s="663"/>
      <c r="Y169" s="663"/>
      <c r="Z169" s="663"/>
      <c r="AA169" s="663"/>
      <c r="AB169" s="663"/>
      <c r="AC169" s="663"/>
      <c r="AD169" s="663"/>
      <c r="AE169" s="663"/>
      <c r="AG169" s="199"/>
    </row>
    <row r="170" spans="1:33">
      <c r="A170" s="96" t="str">
        <f>'OPEX - Concept B3 - Carnival'!A170</f>
        <v xml:space="preserve">     Site Maintenance</v>
      </c>
      <c r="B170" s="96"/>
      <c r="C170" s="96"/>
      <c r="D170" s="96"/>
      <c r="E170" s="96"/>
      <c r="F170" s="96"/>
      <c r="G170" s="96"/>
      <c r="H170" s="96"/>
      <c r="I170" s="96"/>
      <c r="J170" s="96"/>
      <c r="K170" s="883">
        <f>'OPEX - Concept B3 - Carnival'!K170</f>
        <v>0</v>
      </c>
      <c r="L170" s="663">
        <f>'OPEX - Concept B3 - Carnival'!L170</f>
        <v>0</v>
      </c>
      <c r="M170" s="663">
        <f>'OPEX - Concept B3 - Carnival'!M170</f>
        <v>67225</v>
      </c>
      <c r="N170" s="663">
        <f>'OPEX - Concept B3 - Carnival'!N170</f>
        <v>68569.5</v>
      </c>
      <c r="O170" s="663">
        <f>'OPEX - Concept B3 - Carnival'!O170</f>
        <v>69940.89</v>
      </c>
      <c r="P170" s="663">
        <f>'OPEX - Concept B3 - Carnival'!P170</f>
        <v>71339.707799999989</v>
      </c>
      <c r="Q170" s="663">
        <f>'OPEX - Concept B3 - Carnival'!Q170</f>
        <v>72766.501955999993</v>
      </c>
      <c r="R170" s="663">
        <f>'OPEX - Concept B3 - Carnival'!R170</f>
        <v>74221.831995119996</v>
      </c>
      <c r="S170" s="663">
        <f>'OPEX - Concept B3 - Carnival'!S170</f>
        <v>75706.26863502241</v>
      </c>
      <c r="T170" s="663">
        <f>'OPEX - Concept B3 - Carnival'!T170</f>
        <v>77220.394007722847</v>
      </c>
      <c r="U170" s="663">
        <f>'OPEX - Concept B3 - Carnival'!U170</f>
        <v>78764.801887877315</v>
      </c>
      <c r="V170" s="663">
        <f>'OPEX - Concept B3 - Carnival'!V170</f>
        <v>80340.097925634866</v>
      </c>
      <c r="W170" s="663">
        <f>'OPEX - Concept B3 - Carnival'!W170</f>
        <v>81946.899884147555</v>
      </c>
      <c r="X170" s="663">
        <f>'OPEX - Concept B3 - Carnival'!X170</f>
        <v>83585.837881830506</v>
      </c>
      <c r="Y170" s="663">
        <f>'OPEX - Concept B3 - Carnival'!Y170</f>
        <v>85257.554639467126</v>
      </c>
      <c r="Z170" s="663">
        <f>'OPEX - Concept B3 - Carnival'!Z170</f>
        <v>86962.705732256451</v>
      </c>
      <c r="AA170" s="663">
        <f>'OPEX - Concept B3 - Carnival'!AA170</f>
        <v>88701.959846901591</v>
      </c>
      <c r="AB170" s="663">
        <f>'OPEX - Concept B3 - Carnival'!AB170</f>
        <v>90475.999043839634</v>
      </c>
      <c r="AC170" s="663">
        <f>'OPEX - Concept B3 - Carnival'!AC170</f>
        <v>92285.519024716428</v>
      </c>
      <c r="AD170" s="663">
        <f>'OPEX - Concept B3 - Carnival'!AD170</f>
        <v>94131.229405210761</v>
      </c>
      <c r="AE170" s="663">
        <f>'OPEX - Concept B3 - Carnival'!AE170</f>
        <v>96013.853993314973</v>
      </c>
      <c r="AG170" s="199"/>
    </row>
    <row r="171" spans="1:33" s="162" customFormat="1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883"/>
      <c r="L171" s="663"/>
      <c r="M171" s="663"/>
      <c r="N171" s="663"/>
      <c r="O171" s="663"/>
      <c r="P171" s="663"/>
      <c r="Q171" s="663"/>
      <c r="R171" s="663"/>
      <c r="S171" s="663"/>
      <c r="T171" s="663"/>
      <c r="U171" s="663"/>
      <c r="V171" s="663"/>
      <c r="W171" s="663"/>
      <c r="X171" s="663"/>
      <c r="Y171" s="663"/>
      <c r="Z171" s="663"/>
      <c r="AA171" s="663"/>
      <c r="AB171" s="663"/>
      <c r="AC171" s="663"/>
      <c r="AD171" s="663"/>
      <c r="AE171" s="663"/>
      <c r="AG171" s="786"/>
    </row>
    <row r="172" spans="1:33" s="162" customFormat="1">
      <c r="A172" s="96" t="str">
        <f>'OPEX - Concept B3 - Carnival'!A172</f>
        <v>Debt Service (Site Demolition, Design, Development/Preparation &amp; Shuttles)</v>
      </c>
      <c r="B172" s="96"/>
      <c r="C172" s="96"/>
      <c r="D172" s="96"/>
      <c r="E172" s="96"/>
      <c r="F172" s="96"/>
      <c r="G172" s="96"/>
      <c r="H172" s="96"/>
      <c r="I172" s="96"/>
      <c r="J172" s="96"/>
      <c r="K172" s="883">
        <f>'OPEX - Concept B3 - Carnival'!K172</f>
        <v>0</v>
      </c>
      <c r="L172" s="663">
        <f>'OPEX - Concept B3 - Carnival'!L172</f>
        <v>706995.96</v>
      </c>
      <c r="M172" s="663">
        <f>'OPEX - Concept B3 - Carnival'!M172</f>
        <v>706995.96</v>
      </c>
      <c r="N172" s="663">
        <f>'OPEX - Concept B3 - Carnival'!N172</f>
        <v>706995.96</v>
      </c>
      <c r="O172" s="663">
        <f>'OPEX - Concept B3 - Carnival'!O172</f>
        <v>706995.96</v>
      </c>
      <c r="P172" s="663">
        <f>'OPEX - Concept B3 - Carnival'!P172</f>
        <v>706995.96</v>
      </c>
      <c r="Q172" s="663">
        <f>'OPEX - Concept B3 - Carnival'!Q172</f>
        <v>706995.96</v>
      </c>
      <c r="R172" s="663">
        <f>'OPEX - Concept B3 - Carnival'!R172</f>
        <v>706995.96</v>
      </c>
      <c r="S172" s="663">
        <f>'OPEX - Concept B3 - Carnival'!S172</f>
        <v>706995.96</v>
      </c>
      <c r="T172" s="663">
        <f>'OPEX - Concept B3 - Carnival'!T172</f>
        <v>706995.96</v>
      </c>
      <c r="U172" s="663">
        <f>'OPEX - Concept B3 - Carnival'!U172</f>
        <v>706995.96</v>
      </c>
      <c r="V172" s="663">
        <f>'OPEX - Concept B3 - Carnival'!V172</f>
        <v>706995.96</v>
      </c>
      <c r="W172" s="663">
        <f>'OPEX - Concept B3 - Carnival'!W172</f>
        <v>706995.96</v>
      </c>
      <c r="X172" s="663">
        <f>'OPEX - Concept B3 - Carnival'!X172</f>
        <v>706995.96</v>
      </c>
      <c r="Y172" s="663">
        <f>'OPEX - Concept B3 - Carnival'!Y172</f>
        <v>706995.96</v>
      </c>
      <c r="Z172" s="663">
        <f>'OPEX - Concept B3 - Carnival'!Z172</f>
        <v>706995.96</v>
      </c>
      <c r="AA172" s="663">
        <f>'OPEX - Concept B3 - Carnival'!AA172</f>
        <v>706995.96</v>
      </c>
      <c r="AB172" s="663">
        <f>'OPEX - Concept B3 - Carnival'!AB172</f>
        <v>706995.96</v>
      </c>
      <c r="AC172" s="663">
        <f>'OPEX - Concept B3 - Carnival'!AC172</f>
        <v>706995.96</v>
      </c>
      <c r="AD172" s="663">
        <f>'OPEX - Concept B3 - Carnival'!AD172</f>
        <v>706995.96</v>
      </c>
      <c r="AE172" s="663">
        <f>'OPEX - Concept B3 - Carnival'!AE172</f>
        <v>706995.96</v>
      </c>
    </row>
    <row r="173" spans="1:33" s="702" customFormat="1">
      <c r="A173" s="341" t="s">
        <v>315</v>
      </c>
      <c r="B173" s="701"/>
      <c r="C173" s="703"/>
      <c r="D173" s="704"/>
      <c r="E173" s="705"/>
      <c r="F173" s="705"/>
      <c r="G173" s="705"/>
      <c r="H173" s="705"/>
      <c r="I173" s="706"/>
      <c r="J173" s="707"/>
      <c r="K173" s="699">
        <v>0</v>
      </c>
      <c r="L173" s="700">
        <v>0</v>
      </c>
      <c r="M173" s="700">
        <v>0</v>
      </c>
      <c r="N173" s="700">
        <v>0</v>
      </c>
      <c r="O173" s="700">
        <v>0</v>
      </c>
      <c r="P173" s="700">
        <v>0</v>
      </c>
      <c r="Q173" s="700">
        <v>0</v>
      </c>
      <c r="R173" s="700">
        <v>0</v>
      </c>
      <c r="S173" s="700">
        <v>0</v>
      </c>
      <c r="T173" s="700">
        <v>0</v>
      </c>
      <c r="U173" s="700">
        <v>0</v>
      </c>
      <c r="V173" s="700">
        <v>0</v>
      </c>
      <c r="W173" s="700">
        <v>0</v>
      </c>
      <c r="X173" s="700">
        <v>0</v>
      </c>
      <c r="Y173" s="700">
        <v>0</v>
      </c>
      <c r="Z173" s="700">
        <v>0</v>
      </c>
      <c r="AA173" s="700">
        <v>0</v>
      </c>
      <c r="AB173" s="700">
        <v>0</v>
      </c>
      <c r="AC173" s="700">
        <v>0</v>
      </c>
      <c r="AD173" s="700">
        <v>0</v>
      </c>
      <c r="AE173" s="700">
        <v>0</v>
      </c>
      <c r="AG173" s="708"/>
    </row>
    <row r="174" spans="1:33">
      <c r="A174" s="180" t="s">
        <v>316</v>
      </c>
      <c r="B174" s="180"/>
      <c r="C174" s="180"/>
      <c r="D174" s="116"/>
      <c r="E174" s="180"/>
      <c r="F174" s="180"/>
      <c r="G174" s="180"/>
      <c r="H174" s="180"/>
      <c r="I174" s="180"/>
      <c r="J174" s="180"/>
      <c r="K174" s="505">
        <v>0</v>
      </c>
      <c r="L174" s="506">
        <v>246000</v>
      </c>
      <c r="M174" s="506">
        <v>246000</v>
      </c>
      <c r="N174" s="506">
        <v>246000</v>
      </c>
      <c r="O174" s="506">
        <v>246000</v>
      </c>
      <c r="P174" s="506">
        <v>246000</v>
      </c>
      <c r="Q174" s="506">
        <v>246000</v>
      </c>
      <c r="R174" s="506">
        <v>246000</v>
      </c>
      <c r="S174" s="506">
        <v>246000</v>
      </c>
      <c r="T174" s="506">
        <v>246000</v>
      </c>
      <c r="U174" s="506">
        <v>246000</v>
      </c>
      <c r="V174" s="506">
        <v>246000</v>
      </c>
      <c r="W174" s="506">
        <v>246000</v>
      </c>
      <c r="X174" s="506">
        <v>246000</v>
      </c>
      <c r="Y174" s="506">
        <v>246000</v>
      </c>
      <c r="Z174" s="506">
        <v>246000</v>
      </c>
      <c r="AA174" s="506">
        <v>246000</v>
      </c>
      <c r="AB174" s="506">
        <v>246000</v>
      </c>
      <c r="AC174" s="506">
        <v>246000</v>
      </c>
      <c r="AD174" s="506">
        <v>246000</v>
      </c>
      <c r="AE174" s="506">
        <v>246000</v>
      </c>
      <c r="AG174" s="199"/>
    </row>
    <row r="175" spans="1:33" s="56" customFormat="1" ht="14.25">
      <c r="A175" s="56" t="s">
        <v>134</v>
      </c>
      <c r="D175" s="173"/>
      <c r="K175" s="524">
        <f t="shared" ref="K175:AE175" si="79">SUM(K169:K174)</f>
        <v>0</v>
      </c>
      <c r="L175" s="525">
        <f t="shared" si="79"/>
        <v>952995.96</v>
      </c>
      <c r="M175" s="525">
        <f t="shared" si="79"/>
        <v>1020220.96</v>
      </c>
      <c r="N175" s="525">
        <f t="shared" si="79"/>
        <v>1021565.46</v>
      </c>
      <c r="O175" s="525">
        <f t="shared" si="79"/>
        <v>1022936.85</v>
      </c>
      <c r="P175" s="525">
        <f t="shared" si="79"/>
        <v>1024335.6677999999</v>
      </c>
      <c r="Q175" s="525">
        <f t="shared" si="79"/>
        <v>1025762.461956</v>
      </c>
      <c r="R175" s="525">
        <f t="shared" si="79"/>
        <v>1027217.79199512</v>
      </c>
      <c r="S175" s="525">
        <f t="shared" si="79"/>
        <v>1028702.2286350224</v>
      </c>
      <c r="T175" s="525">
        <f t="shared" si="79"/>
        <v>1030216.3540077228</v>
      </c>
      <c r="U175" s="525">
        <f t="shared" si="79"/>
        <v>1031760.7618878772</v>
      </c>
      <c r="V175" s="525">
        <f t="shared" si="79"/>
        <v>1033336.0579256348</v>
      </c>
      <c r="W175" s="525">
        <f t="shared" si="79"/>
        <v>1034942.8598841475</v>
      </c>
      <c r="X175" s="525">
        <f t="shared" si="79"/>
        <v>1036581.7978818305</v>
      </c>
      <c r="Y175" s="525">
        <f t="shared" si="79"/>
        <v>1038253.5146394671</v>
      </c>
      <c r="Z175" s="525">
        <f t="shared" si="79"/>
        <v>1039958.6657322564</v>
      </c>
      <c r="AA175" s="525">
        <f t="shared" si="79"/>
        <v>1041697.9198469016</v>
      </c>
      <c r="AB175" s="525">
        <f t="shared" si="79"/>
        <v>1043471.9590438396</v>
      </c>
      <c r="AC175" s="525">
        <f t="shared" si="79"/>
        <v>1045281.4790247164</v>
      </c>
      <c r="AD175" s="525">
        <f t="shared" si="79"/>
        <v>1047127.1894052108</v>
      </c>
      <c r="AE175" s="525">
        <f t="shared" si="79"/>
        <v>1049009.813993315</v>
      </c>
      <c r="AG175" s="199"/>
    </row>
    <row r="176" spans="1:33">
      <c r="K176" s="683"/>
      <c r="L176" s="666"/>
      <c r="M176" s="666"/>
      <c r="N176" s="666"/>
      <c r="O176" s="666"/>
      <c r="P176" s="666"/>
      <c r="Q176" s="666"/>
      <c r="R176" s="666"/>
      <c r="S176" s="666"/>
      <c r="T176" s="666"/>
      <c r="U176" s="666"/>
      <c r="V176" s="666"/>
      <c r="W176" s="666"/>
      <c r="X176" s="666"/>
      <c r="Y176" s="666"/>
      <c r="Z176" s="666"/>
      <c r="AA176" s="666"/>
      <c r="AB176" s="666"/>
      <c r="AC176" s="666"/>
      <c r="AD176" s="666"/>
      <c r="AE176" s="666"/>
      <c r="AG176" s="199"/>
    </row>
    <row r="177" spans="1:33" s="56" customFormat="1" ht="14.25">
      <c r="A177" s="208" t="s">
        <v>86</v>
      </c>
      <c r="B177" s="718">
        <f>SUM(L177:AE177)</f>
        <v>20595375.753659062</v>
      </c>
      <c r="C177" s="208"/>
      <c r="D177" s="202"/>
      <c r="E177" s="208"/>
      <c r="F177" s="208"/>
      <c r="G177" s="208"/>
      <c r="H177" s="208"/>
      <c r="I177" s="208"/>
      <c r="J177" s="208"/>
      <c r="K177" s="678">
        <f>SUM(K170:K172)</f>
        <v>0</v>
      </c>
      <c r="L177" s="678">
        <f>L175</f>
        <v>952995.96</v>
      </c>
      <c r="M177" s="678">
        <f t="shared" ref="M177:AE177" si="80">M175</f>
        <v>1020220.96</v>
      </c>
      <c r="N177" s="678">
        <f t="shared" si="80"/>
        <v>1021565.46</v>
      </c>
      <c r="O177" s="678">
        <f t="shared" si="80"/>
        <v>1022936.85</v>
      </c>
      <c r="P177" s="678">
        <f t="shared" si="80"/>
        <v>1024335.6677999999</v>
      </c>
      <c r="Q177" s="678">
        <f t="shared" si="80"/>
        <v>1025762.461956</v>
      </c>
      <c r="R177" s="678">
        <f t="shared" si="80"/>
        <v>1027217.79199512</v>
      </c>
      <c r="S177" s="678">
        <f t="shared" si="80"/>
        <v>1028702.2286350224</v>
      </c>
      <c r="T177" s="678">
        <f t="shared" si="80"/>
        <v>1030216.3540077228</v>
      </c>
      <c r="U177" s="678">
        <f t="shared" si="80"/>
        <v>1031760.7618878772</v>
      </c>
      <c r="V177" s="678">
        <f t="shared" si="80"/>
        <v>1033336.0579256348</v>
      </c>
      <c r="W177" s="678">
        <f t="shared" si="80"/>
        <v>1034942.8598841475</v>
      </c>
      <c r="X177" s="678">
        <f t="shared" si="80"/>
        <v>1036581.7978818305</v>
      </c>
      <c r="Y177" s="678">
        <f t="shared" si="80"/>
        <v>1038253.5146394671</v>
      </c>
      <c r="Z177" s="678">
        <f t="shared" si="80"/>
        <v>1039958.6657322564</v>
      </c>
      <c r="AA177" s="678">
        <f t="shared" si="80"/>
        <v>1041697.9198469016</v>
      </c>
      <c r="AB177" s="678">
        <f t="shared" si="80"/>
        <v>1043471.9590438396</v>
      </c>
      <c r="AC177" s="678">
        <f t="shared" si="80"/>
        <v>1045281.4790247164</v>
      </c>
      <c r="AD177" s="678">
        <f t="shared" si="80"/>
        <v>1047127.1894052108</v>
      </c>
      <c r="AE177" s="678">
        <f t="shared" si="80"/>
        <v>1049009.813993315</v>
      </c>
      <c r="AG177" s="199"/>
    </row>
    <row r="178" spans="1:33">
      <c r="K178" s="662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1"/>
      <c r="Y178" s="201"/>
      <c r="Z178" s="201"/>
      <c r="AA178" s="201"/>
      <c r="AB178" s="201"/>
      <c r="AC178" s="201"/>
      <c r="AD178" s="201"/>
      <c r="AE178" s="201"/>
    </row>
    <row r="179" spans="1:33">
      <c r="A179" s="251"/>
      <c r="B179" s="251"/>
      <c r="C179" s="251"/>
      <c r="D179" s="259"/>
      <c r="E179" s="251"/>
      <c r="F179" s="251"/>
      <c r="G179" s="251"/>
      <c r="H179" s="251"/>
      <c r="I179" s="251"/>
      <c r="J179" s="251"/>
      <c r="K179" s="324"/>
      <c r="L179" s="325"/>
      <c r="M179" s="325"/>
      <c r="N179" s="325"/>
      <c r="O179" s="325"/>
      <c r="P179" s="325"/>
      <c r="Q179" s="325"/>
      <c r="R179" s="325"/>
      <c r="S179" s="325"/>
      <c r="T179" s="325"/>
      <c r="U179" s="325"/>
      <c r="V179" s="325"/>
      <c r="W179" s="325"/>
      <c r="X179" s="325"/>
      <c r="Y179" s="325"/>
      <c r="Z179" s="325"/>
      <c r="AA179" s="325"/>
      <c r="AB179" s="325"/>
      <c r="AC179" s="325"/>
      <c r="AD179" s="325"/>
      <c r="AE179" s="325"/>
    </row>
    <row r="180" spans="1:33">
      <c r="K180" s="322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</row>
    <row r="181" spans="1:33">
      <c r="A181"/>
      <c r="K181" s="322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</row>
    <row r="182" spans="1:33">
      <c r="A182"/>
      <c r="K182" s="322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  <c r="AA182" s="201"/>
      <c r="AB182" s="201"/>
      <c r="AC182" s="201"/>
      <c r="AD182" s="201"/>
      <c r="AE182" s="201"/>
    </row>
    <row r="183" spans="1:33">
      <c r="K183" s="322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</row>
    <row r="184" spans="1:33">
      <c r="K184" s="322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  <c r="AA184" s="201"/>
      <c r="AB184" s="201"/>
      <c r="AC184" s="201"/>
      <c r="AD184" s="201"/>
      <c r="AE184" s="201"/>
    </row>
    <row r="185" spans="1:33">
      <c r="K185" s="322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</row>
    <row r="186" spans="1:33">
      <c r="K186" s="322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</row>
    <row r="187" spans="1:33">
      <c r="K187" s="322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</row>
    <row r="188" spans="1:33">
      <c r="K188" s="322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</row>
    <row r="189" spans="1:33">
      <c r="K189" s="322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</row>
    <row r="190" spans="1:33">
      <c r="K190" s="322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</row>
    <row r="191" spans="1:33">
      <c r="K191" s="322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</row>
    <row r="192" spans="1:33">
      <c r="K192" s="322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</row>
    <row r="193" spans="11:31">
      <c r="K193" s="322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201"/>
      <c r="AE193" s="201"/>
    </row>
    <row r="194" spans="11:31">
      <c r="K194" s="322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1"/>
      <c r="Z194" s="201"/>
      <c r="AA194" s="201"/>
      <c r="AB194" s="201"/>
      <c r="AC194" s="201"/>
      <c r="AD194" s="201"/>
      <c r="AE194" s="201"/>
    </row>
  </sheetData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FD194"/>
  <sheetViews>
    <sheetView topLeftCell="A79" zoomScale="70" zoomScaleNormal="70" workbookViewId="0">
      <selection activeCell="H92" sqref="H92"/>
    </sheetView>
  </sheetViews>
  <sheetFormatPr defaultColWidth="9" defaultRowHeight="16.5"/>
  <cols>
    <col min="1" max="1" width="45.625" style="33" customWidth="1"/>
    <col min="2" max="2" width="19.25" style="33" bestFit="1" customWidth="1"/>
    <col min="3" max="3" width="18.125" style="33" bestFit="1" customWidth="1"/>
    <col min="4" max="4" width="16.25" style="109" bestFit="1" customWidth="1"/>
    <col min="5" max="5" width="13.125" style="33" bestFit="1" customWidth="1"/>
    <col min="6" max="6" width="20.5" style="33" bestFit="1" customWidth="1"/>
    <col min="7" max="7" width="20.25" style="33" bestFit="1" customWidth="1"/>
    <col min="8" max="8" width="26.75" style="33" bestFit="1" customWidth="1"/>
    <col min="9" max="9" width="12.125" style="33" bestFit="1" customWidth="1"/>
    <col min="10" max="10" width="13.875" style="33" bestFit="1" customWidth="1"/>
    <col min="11" max="11" width="7.75" style="166" bestFit="1" customWidth="1"/>
    <col min="12" max="12" width="17.5" style="33" bestFit="1" customWidth="1"/>
    <col min="13" max="13" width="16.75" style="33" bestFit="1" customWidth="1"/>
    <col min="14" max="15" width="17.125" style="33" bestFit="1" customWidth="1"/>
    <col min="16" max="16" width="16.75" style="33" bestFit="1" customWidth="1"/>
    <col min="17" max="18" width="17.125" style="33" bestFit="1" customWidth="1"/>
    <col min="19" max="19" width="17.5" style="33" bestFit="1" customWidth="1"/>
    <col min="20" max="20" width="16.75" style="33" bestFit="1" customWidth="1"/>
    <col min="21" max="23" width="17.125" style="33" bestFit="1" customWidth="1"/>
    <col min="24" max="24" width="17.5" style="33" bestFit="1" customWidth="1"/>
    <col min="25" max="25" width="17.125" style="33" bestFit="1" customWidth="1"/>
    <col min="26" max="26" width="17.5" style="33" bestFit="1" customWidth="1"/>
    <col min="27" max="27" width="17.125" style="33" bestFit="1" customWidth="1"/>
    <col min="28" max="29" width="17.5" style="33" bestFit="1" customWidth="1"/>
    <col min="30" max="30" width="17.125" style="33" bestFit="1" customWidth="1"/>
    <col min="31" max="31" width="17.5" style="33" bestFit="1" customWidth="1"/>
    <col min="32" max="32" width="21.875" style="33" bestFit="1" customWidth="1"/>
    <col min="33" max="33" width="12.625" style="33" bestFit="1" customWidth="1"/>
    <col min="34" max="16384" width="9" style="33"/>
  </cols>
  <sheetData>
    <row r="1" spans="1:31" ht="18.75" thickBot="1">
      <c r="A1" s="11" t="str">
        <f>Intro!A1</f>
        <v>Town of Bar Harbor</v>
      </c>
      <c r="B1" s="13"/>
      <c r="C1" s="13"/>
      <c r="D1" s="99"/>
      <c r="E1" s="14"/>
      <c r="F1" s="14"/>
      <c r="G1" s="34"/>
      <c r="H1" s="34"/>
      <c r="I1" s="34"/>
      <c r="J1" s="34"/>
      <c r="K1" s="16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</row>
    <row r="2" spans="1:31" ht="17.25" thickBot="1">
      <c r="A2" s="380" t="str">
        <f>Intro!A2</f>
        <v>Ferry Property Business Plan</v>
      </c>
      <c r="B2" s="13"/>
      <c r="C2" s="13"/>
      <c r="D2" s="99"/>
      <c r="E2" s="14"/>
      <c r="F2" s="14"/>
      <c r="G2" s="34"/>
      <c r="H2" s="34"/>
      <c r="I2" s="34"/>
      <c r="J2" s="34"/>
      <c r="K2" s="16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</row>
    <row r="3" spans="1:31" s="392" customFormat="1" ht="14.25" thickBot="1">
      <c r="A3" s="384" t="str">
        <f>Intro!A3</f>
        <v>05.23.2018</v>
      </c>
      <c r="B3" s="2"/>
      <c r="C3" s="382"/>
      <c r="D3" s="393"/>
      <c r="E3" s="385"/>
      <c r="F3" s="385"/>
      <c r="G3" s="389"/>
      <c r="H3" s="389"/>
      <c r="I3" s="389"/>
      <c r="J3" s="389"/>
      <c r="K3" s="390"/>
      <c r="L3" s="391"/>
      <c r="M3" s="391"/>
      <c r="N3" s="391"/>
      <c r="O3" s="391"/>
      <c r="P3" s="391"/>
      <c r="Q3" s="391"/>
      <c r="R3" s="391"/>
      <c r="S3" s="391"/>
      <c r="T3" s="391"/>
      <c r="U3" s="391"/>
      <c r="V3" s="391"/>
      <c r="W3" s="391"/>
      <c r="X3" s="391"/>
      <c r="Y3" s="391"/>
      <c r="Z3" s="391"/>
      <c r="AA3" s="391"/>
      <c r="AB3" s="391"/>
      <c r="AC3" s="391"/>
      <c r="AD3" s="391"/>
      <c r="AE3" s="391"/>
    </row>
    <row r="4" spans="1:31" s="392" customFormat="1" ht="13.5">
      <c r="A4" s="384" t="str">
        <f ca="1">Intro!A4</f>
        <v>Town of Bar Harbor</v>
      </c>
      <c r="B4" s="382"/>
      <c r="C4" s="382"/>
      <c r="D4" s="393"/>
      <c r="E4" s="383">
        <f ca="1">NOW()</f>
        <v>43242.835659143515</v>
      </c>
      <c r="F4" s="383"/>
      <c r="G4" s="389"/>
      <c r="H4" s="389"/>
      <c r="I4" s="389"/>
      <c r="J4" s="389"/>
      <c r="K4" s="390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  <c r="W4" s="391"/>
      <c r="X4" s="391"/>
      <c r="Y4" s="391"/>
      <c r="Z4" s="391"/>
      <c r="AA4" s="391"/>
      <c r="AB4" s="391"/>
      <c r="AC4" s="391"/>
      <c r="AD4" s="391"/>
      <c r="AE4" s="391"/>
    </row>
    <row r="5" spans="1:31">
      <c r="A5" s="231" t="s">
        <v>342</v>
      </c>
      <c r="B5" s="231"/>
      <c r="C5" s="232"/>
      <c r="D5" s="233"/>
      <c r="E5" s="232"/>
      <c r="F5" s="232"/>
      <c r="G5" s="234"/>
      <c r="H5" s="234"/>
      <c r="I5" s="234"/>
      <c r="J5" s="234"/>
      <c r="K5" s="235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1:31">
      <c r="A6" s="237"/>
      <c r="B6" s="237"/>
      <c r="C6" s="237"/>
      <c r="D6" s="238"/>
      <c r="E6" s="237"/>
      <c r="F6" s="237"/>
      <c r="G6" s="237"/>
      <c r="H6" s="237"/>
      <c r="I6" s="237"/>
      <c r="J6" s="237"/>
      <c r="K6" s="659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</row>
    <row r="7" spans="1:31" ht="48.75" customHeight="1">
      <c r="A7" s="239"/>
      <c r="B7" s="240" t="s">
        <v>45</v>
      </c>
      <c r="C7" s="241" t="s">
        <v>46</v>
      </c>
      <c r="D7" s="242" t="s">
        <v>47</v>
      </c>
      <c r="E7" s="240" t="s">
        <v>21</v>
      </c>
      <c r="F7" s="240" t="s">
        <v>48</v>
      </c>
      <c r="G7" s="240" t="s">
        <v>49</v>
      </c>
      <c r="H7" s="240" t="s">
        <v>59</v>
      </c>
      <c r="I7" s="240" t="s">
        <v>22</v>
      </c>
      <c r="J7" s="240" t="s">
        <v>50</v>
      </c>
      <c r="K7" s="243">
        <v>2018</v>
      </c>
      <c r="L7" s="243">
        <v>2019</v>
      </c>
      <c r="M7" s="243">
        <v>2020</v>
      </c>
      <c r="N7" s="243">
        <v>2021</v>
      </c>
      <c r="O7" s="243">
        <v>2022</v>
      </c>
      <c r="P7" s="243">
        <v>2023</v>
      </c>
      <c r="Q7" s="243">
        <v>2024</v>
      </c>
      <c r="R7" s="243">
        <v>2025</v>
      </c>
      <c r="S7" s="243">
        <v>2026</v>
      </c>
      <c r="T7" s="243">
        <v>2027</v>
      </c>
      <c r="U7" s="243">
        <v>2028</v>
      </c>
      <c r="V7" s="243">
        <v>2029</v>
      </c>
      <c r="W7" s="243">
        <v>2030</v>
      </c>
      <c r="X7" s="243">
        <v>2031</v>
      </c>
      <c r="Y7" s="243">
        <v>2032</v>
      </c>
      <c r="Z7" s="243">
        <v>2033</v>
      </c>
      <c r="AA7" s="243">
        <v>2034</v>
      </c>
      <c r="AB7" s="243">
        <v>2035</v>
      </c>
      <c r="AC7" s="243">
        <v>2036</v>
      </c>
      <c r="AD7" s="243">
        <v>2037</v>
      </c>
      <c r="AE7" s="243">
        <v>2038</v>
      </c>
    </row>
    <row r="8" spans="1:31" s="18" customFormat="1" ht="17.25" thickBot="1">
      <c r="K8" s="488"/>
    </row>
    <row r="9" spans="1:31" s="18" customFormat="1" ht="17.25" thickBot="1">
      <c r="A9" s="117" t="s">
        <v>381</v>
      </c>
      <c r="B9" s="484" t="str">
        <f>'P&amp;L - Concept B2 - ALL'!B9</f>
        <v>Scenario 6 - All</v>
      </c>
      <c r="K9" s="489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  <c r="Y9" s="327"/>
      <c r="Z9" s="327"/>
      <c r="AA9" s="327"/>
      <c r="AB9" s="327"/>
      <c r="AC9" s="327"/>
      <c r="AD9" s="327"/>
      <c r="AE9" s="327"/>
    </row>
    <row r="10" spans="1:31" s="18" customFormat="1">
      <c r="A10" s="649"/>
      <c r="B10" s="372"/>
      <c r="K10" s="489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  <c r="Y10" s="327"/>
      <c r="Z10" s="327"/>
      <c r="AA10" s="327"/>
      <c r="AB10" s="327"/>
      <c r="AC10" s="327"/>
      <c r="AD10" s="327"/>
      <c r="AE10" s="327"/>
    </row>
    <row r="11" spans="1:31">
      <c r="A11" s="38" t="s">
        <v>52</v>
      </c>
      <c r="B11" s="38"/>
      <c r="C11" s="38"/>
      <c r="D11" s="101"/>
      <c r="E11" s="38"/>
      <c r="F11" s="38"/>
      <c r="G11" s="37"/>
      <c r="H11" s="37"/>
      <c r="I11" s="38"/>
      <c r="J11" s="37"/>
      <c r="K11" s="784">
        <f>'OPEX - Concept A1'!K11</f>
        <v>0</v>
      </c>
      <c r="L11" s="311">
        <f>'BH Tariffs'!D52</f>
        <v>1.02</v>
      </c>
      <c r="M11" s="311">
        <f>'BH Tariffs'!E52</f>
        <v>1.0404</v>
      </c>
      <c r="N11" s="311">
        <f>'BH Tariffs'!F52</f>
        <v>1.0612079999999999</v>
      </c>
      <c r="O11" s="311">
        <f>'BH Tariffs'!G52</f>
        <v>1.08243216</v>
      </c>
      <c r="P11" s="311">
        <f>'BH Tariffs'!H52</f>
        <v>1.1040808032</v>
      </c>
      <c r="Q11" s="311">
        <f>'BH Tariffs'!I52</f>
        <v>1.1261624192640001</v>
      </c>
      <c r="R11" s="311">
        <f>'BH Tariffs'!J52</f>
        <v>1.14868566764928</v>
      </c>
      <c r="S11" s="311">
        <f>'BH Tariffs'!K52</f>
        <v>1.1716593810022657</v>
      </c>
      <c r="T11" s="311">
        <f>'BH Tariffs'!L52</f>
        <v>1.1950925686223111</v>
      </c>
      <c r="U11" s="311">
        <f>'BH Tariffs'!M52</f>
        <v>1.2189944199947573</v>
      </c>
      <c r="V11" s="311">
        <f>'BH Tariffs'!N52</f>
        <v>1.2433743083946525</v>
      </c>
      <c r="W11" s="311">
        <f>'BH Tariffs'!O52</f>
        <v>1.2682417945625455</v>
      </c>
      <c r="X11" s="311">
        <f>'BH Tariffs'!P52</f>
        <v>1.2936066304537963</v>
      </c>
      <c r="Y11" s="311">
        <f>'BH Tariffs'!Q52</f>
        <v>1.3194787630628724</v>
      </c>
      <c r="Z11" s="311">
        <f>'BH Tariffs'!R52</f>
        <v>1.3458683383241299</v>
      </c>
      <c r="AA11" s="311">
        <f>'BH Tariffs'!S52</f>
        <v>1.3727857050906125</v>
      </c>
      <c r="AB11" s="311">
        <f>'BH Tariffs'!T52</f>
        <v>1.4002414191924248</v>
      </c>
      <c r="AC11" s="311">
        <f>'BH Tariffs'!U52</f>
        <v>1.4282462475762734</v>
      </c>
      <c r="AD11" s="311">
        <f>'BH Tariffs'!V52</f>
        <v>1.4568111725277988</v>
      </c>
      <c r="AE11" s="311">
        <f>'BH Tariffs'!W52</f>
        <v>1.4859473959783549</v>
      </c>
    </row>
    <row r="12" spans="1:31">
      <c r="A12" s="38" t="s">
        <v>58</v>
      </c>
      <c r="B12" s="38"/>
      <c r="C12" s="37"/>
      <c r="D12" s="76"/>
      <c r="E12" s="79">
        <v>0.2</v>
      </c>
      <c r="F12" s="172"/>
      <c r="G12" s="36"/>
      <c r="H12" s="36"/>
      <c r="I12" s="38"/>
      <c r="J12" s="36"/>
      <c r="K12" s="661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200"/>
      <c r="AC12" s="200"/>
      <c r="AD12" s="200"/>
      <c r="AE12" s="200"/>
    </row>
    <row r="13" spans="1:31">
      <c r="A13" s="38" t="s">
        <v>51</v>
      </c>
      <c r="B13" s="38"/>
      <c r="C13" s="37"/>
      <c r="D13" s="76"/>
      <c r="E13" s="79"/>
      <c r="F13" s="79">
        <v>0.4</v>
      </c>
      <c r="G13" s="36"/>
      <c r="H13" s="36"/>
      <c r="I13" s="38"/>
      <c r="J13" s="36"/>
      <c r="K13" s="661"/>
      <c r="L13" s="200"/>
      <c r="M13" s="200"/>
      <c r="N13" s="200"/>
      <c r="O13" s="200"/>
      <c r="P13" s="200"/>
      <c r="Q13" s="200"/>
      <c r="R13" s="200"/>
      <c r="S13" s="200"/>
      <c r="T13" s="200"/>
      <c r="U13" s="200"/>
      <c r="V13" s="200"/>
      <c r="W13" s="200"/>
      <c r="X13" s="200"/>
      <c r="Y13" s="200"/>
      <c r="Z13" s="200"/>
      <c r="AA13" s="200"/>
      <c r="AB13" s="200"/>
      <c r="AC13" s="200"/>
      <c r="AD13" s="200"/>
      <c r="AE13" s="200"/>
    </row>
    <row r="14" spans="1:31" s="18" customFormat="1">
      <c r="A14" s="649"/>
      <c r="B14" s="372"/>
      <c r="K14" s="489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7"/>
      <c r="X14" s="327"/>
      <c r="Y14" s="327"/>
      <c r="Z14" s="327"/>
      <c r="AA14" s="327"/>
      <c r="AB14" s="327"/>
      <c r="AC14" s="327"/>
      <c r="AD14" s="327"/>
      <c r="AE14" s="327"/>
    </row>
    <row r="15" spans="1:31" s="18" customFormat="1">
      <c r="K15" s="489"/>
      <c r="L15" s="327"/>
      <c r="M15" s="327"/>
      <c r="N15" s="327"/>
      <c r="O15" s="327"/>
      <c r="P15" s="327"/>
      <c r="Q15" s="327"/>
      <c r="R15" s="327"/>
      <c r="S15" s="327"/>
      <c r="T15" s="327"/>
      <c r="U15" s="327"/>
      <c r="V15" s="327"/>
      <c r="W15" s="327"/>
      <c r="X15" s="327"/>
      <c r="Y15" s="327"/>
      <c r="Z15" s="327"/>
      <c r="AA15" s="327"/>
      <c r="AB15" s="327"/>
      <c r="AC15" s="327"/>
      <c r="AD15" s="327"/>
      <c r="AE15" s="327"/>
    </row>
    <row r="16" spans="1:31" s="582" customFormat="1" ht="14.25">
      <c r="A16" s="582" t="s">
        <v>83</v>
      </c>
      <c r="K16" s="490"/>
      <c r="L16" s="785"/>
      <c r="M16" s="785"/>
      <c r="N16" s="785"/>
      <c r="O16" s="785"/>
      <c r="P16" s="785"/>
      <c r="Q16" s="785"/>
      <c r="R16" s="785"/>
      <c r="S16" s="785"/>
      <c r="T16" s="785"/>
      <c r="U16" s="785"/>
      <c r="V16" s="785"/>
      <c r="W16" s="785"/>
      <c r="X16" s="785"/>
      <c r="Y16" s="785"/>
      <c r="Z16" s="785"/>
      <c r="AA16" s="785"/>
      <c r="AB16" s="785"/>
      <c r="AC16" s="785"/>
      <c r="AD16" s="785"/>
      <c r="AE16" s="785"/>
    </row>
    <row r="17" spans="1:31" s="96" customFormat="1">
      <c r="A17" s="53" t="str">
        <f>'Cruise Projections'!A67</f>
        <v>Passengers</v>
      </c>
      <c r="B17" s="487"/>
      <c r="C17" s="487"/>
      <c r="K17" s="486">
        <f>'P&amp;L - Concept B3 - ALL'!D12</f>
        <v>0</v>
      </c>
      <c r="L17" s="313">
        <f>'P&amp;L - Concept B3 - ALL'!E12</f>
        <v>0</v>
      </c>
      <c r="M17" s="313">
        <f>'P&amp;L - Concept B3 - ALL'!F12</f>
        <v>261573</v>
      </c>
      <c r="N17" s="313">
        <f>'P&amp;L - Concept B3 - ALL'!G12</f>
        <v>261573</v>
      </c>
      <c r="O17" s="313">
        <f>'P&amp;L - Concept B3 - ALL'!H12</f>
        <v>261573</v>
      </c>
      <c r="P17" s="313">
        <f>'P&amp;L - Concept B3 - ALL'!I12</f>
        <v>261573</v>
      </c>
      <c r="Q17" s="313">
        <f>'P&amp;L - Concept B3 - ALL'!J12</f>
        <v>261573</v>
      </c>
      <c r="R17" s="313">
        <f>'P&amp;L - Concept B3 - ALL'!K12</f>
        <v>261573</v>
      </c>
      <c r="S17" s="313">
        <f>'P&amp;L - Concept B3 - ALL'!L12</f>
        <v>261573</v>
      </c>
      <c r="T17" s="313">
        <f>'P&amp;L - Concept B3 - ALL'!M12</f>
        <v>261573</v>
      </c>
      <c r="U17" s="313">
        <f>'P&amp;L - Concept B3 - ALL'!N12</f>
        <v>261573</v>
      </c>
      <c r="V17" s="313">
        <f>'P&amp;L - Concept B3 - ALL'!O12</f>
        <v>261573</v>
      </c>
      <c r="W17" s="313">
        <f>'P&amp;L - Concept B3 - ALL'!P12</f>
        <v>261573</v>
      </c>
      <c r="X17" s="313">
        <f>'P&amp;L - Concept B3 - ALL'!Q12</f>
        <v>261573</v>
      </c>
      <c r="Y17" s="313">
        <f>'P&amp;L - Concept B3 - ALL'!R12</f>
        <v>261573</v>
      </c>
      <c r="Z17" s="313">
        <f>'P&amp;L - Concept B3 - ALL'!S12</f>
        <v>261573</v>
      </c>
      <c r="AA17" s="313">
        <f>'P&amp;L - Concept B3 - ALL'!T12</f>
        <v>261573</v>
      </c>
      <c r="AB17" s="313">
        <f>'P&amp;L - Concept B3 - ALL'!U12</f>
        <v>261573</v>
      </c>
      <c r="AC17" s="313">
        <f>'P&amp;L - Concept B3 - ALL'!V12</f>
        <v>261573</v>
      </c>
      <c r="AD17" s="313">
        <f>'P&amp;L - Concept B3 - ALL'!W12</f>
        <v>261573</v>
      </c>
      <c r="AE17" s="313">
        <f>'P&amp;L - Concept B3 - ALL'!X12</f>
        <v>261573</v>
      </c>
    </row>
    <row r="18" spans="1:31" s="96" customFormat="1">
      <c r="A18" s="53" t="str">
        <f>'Cruise Projections'!A68</f>
        <v>Calls</v>
      </c>
      <c r="B18" s="487"/>
      <c r="C18" s="487"/>
      <c r="K18" s="486">
        <f>'P&amp;L - Concept B3 - ALL'!D13</f>
        <v>0</v>
      </c>
      <c r="L18" s="313">
        <f>'P&amp;L - Concept B3 - ALL'!E13</f>
        <v>0</v>
      </c>
      <c r="M18" s="313">
        <f>'P&amp;L - Concept B3 - ALL'!F13</f>
        <v>172</v>
      </c>
      <c r="N18" s="313">
        <f>'P&amp;L - Concept B3 - ALL'!G13</f>
        <v>172</v>
      </c>
      <c r="O18" s="313">
        <f>'P&amp;L - Concept B3 - ALL'!H13</f>
        <v>172</v>
      </c>
      <c r="P18" s="313">
        <f>'P&amp;L - Concept B3 - ALL'!I13</f>
        <v>172</v>
      </c>
      <c r="Q18" s="313">
        <f>'P&amp;L - Concept B3 - ALL'!J13</f>
        <v>172</v>
      </c>
      <c r="R18" s="313">
        <f>'P&amp;L - Concept B3 - ALL'!K13</f>
        <v>172</v>
      </c>
      <c r="S18" s="313">
        <f>'P&amp;L - Concept B3 - ALL'!L13</f>
        <v>172</v>
      </c>
      <c r="T18" s="313">
        <f>'P&amp;L - Concept B3 - ALL'!M13</f>
        <v>172</v>
      </c>
      <c r="U18" s="313">
        <f>'P&amp;L - Concept B3 - ALL'!N13</f>
        <v>172</v>
      </c>
      <c r="V18" s="313">
        <f>'P&amp;L - Concept B3 - ALL'!O13</f>
        <v>172</v>
      </c>
      <c r="W18" s="313">
        <f>'P&amp;L - Concept B3 - ALL'!P13</f>
        <v>172</v>
      </c>
      <c r="X18" s="313">
        <f>'P&amp;L - Concept B3 - ALL'!Q13</f>
        <v>172</v>
      </c>
      <c r="Y18" s="313">
        <f>'P&amp;L - Concept B3 - ALL'!R13</f>
        <v>172</v>
      </c>
      <c r="Z18" s="313">
        <f>'P&amp;L - Concept B3 - ALL'!S13</f>
        <v>172</v>
      </c>
      <c r="AA18" s="313">
        <f>'P&amp;L - Concept B3 - ALL'!T13</f>
        <v>172</v>
      </c>
      <c r="AB18" s="313">
        <f>'P&amp;L - Concept B3 - ALL'!U13</f>
        <v>172</v>
      </c>
      <c r="AC18" s="313">
        <f>'P&amp;L - Concept B3 - ALL'!V13</f>
        <v>172</v>
      </c>
      <c r="AD18" s="313">
        <f>'P&amp;L - Concept B3 - ALL'!W13</f>
        <v>172</v>
      </c>
      <c r="AE18" s="313">
        <f>'P&amp;L - Concept B3 - ALL'!X13</f>
        <v>172</v>
      </c>
    </row>
    <row r="19" spans="1:31" s="96" customFormat="1">
      <c r="A19" s="53" t="str">
        <f>'Cruise Projections'!A69</f>
        <v>Passengers per Call</v>
      </c>
      <c r="B19" s="487"/>
      <c r="C19" s="487"/>
      <c r="K19" s="486">
        <f>'P&amp;L - Concept B3 - ALL'!D14</f>
        <v>0</v>
      </c>
      <c r="L19" s="313">
        <f>'P&amp;L - Concept B3 - ALL'!E14</f>
        <v>0</v>
      </c>
      <c r="M19" s="313">
        <f>'P&amp;L - Concept B3 - ALL'!F14</f>
        <v>1520.7732558139535</v>
      </c>
      <c r="N19" s="313">
        <f>'P&amp;L - Concept B3 - ALL'!G14</f>
        <v>1520.7732558139535</v>
      </c>
      <c r="O19" s="313">
        <f>'P&amp;L - Concept B3 - ALL'!H14</f>
        <v>1520.7732558139535</v>
      </c>
      <c r="P19" s="313">
        <f>'P&amp;L - Concept B3 - ALL'!I14</f>
        <v>1520.7732558139535</v>
      </c>
      <c r="Q19" s="313">
        <f>'P&amp;L - Concept B3 - ALL'!J14</f>
        <v>1520.7732558139535</v>
      </c>
      <c r="R19" s="313">
        <f>'P&amp;L - Concept B3 - ALL'!K14</f>
        <v>1520.7732558139535</v>
      </c>
      <c r="S19" s="313">
        <f>'P&amp;L - Concept B3 - ALL'!L14</f>
        <v>1520.7732558139535</v>
      </c>
      <c r="T19" s="313">
        <f>'P&amp;L - Concept B3 - ALL'!M14</f>
        <v>1520.7732558139535</v>
      </c>
      <c r="U19" s="313">
        <f>'P&amp;L - Concept B3 - ALL'!N14</f>
        <v>1520.7732558139535</v>
      </c>
      <c r="V19" s="313">
        <f>'P&amp;L - Concept B3 - ALL'!O14</f>
        <v>1520.7732558139535</v>
      </c>
      <c r="W19" s="313">
        <f>'P&amp;L - Concept B3 - ALL'!P14</f>
        <v>1520.7732558139535</v>
      </c>
      <c r="X19" s="313">
        <f>'P&amp;L - Concept B3 - ALL'!Q14</f>
        <v>1520.7732558139535</v>
      </c>
      <c r="Y19" s="313">
        <f>'P&amp;L - Concept B3 - ALL'!R14</f>
        <v>1520.7732558139535</v>
      </c>
      <c r="Z19" s="313">
        <f>'P&amp;L - Concept B3 - ALL'!S14</f>
        <v>1520.7732558139535</v>
      </c>
      <c r="AA19" s="313">
        <f>'P&amp;L - Concept B3 - ALL'!T14</f>
        <v>1520.7732558139535</v>
      </c>
      <c r="AB19" s="313">
        <f>'P&amp;L - Concept B3 - ALL'!U14</f>
        <v>1520.7732558139535</v>
      </c>
      <c r="AC19" s="313">
        <f>'P&amp;L - Concept B3 - ALL'!V14</f>
        <v>1520.7732558139535</v>
      </c>
      <c r="AD19" s="313">
        <f>'P&amp;L - Concept B3 - ALL'!W14</f>
        <v>1520.7732558139535</v>
      </c>
      <c r="AE19" s="313">
        <f>'P&amp;L - Concept B3 - ALL'!X14</f>
        <v>1520.7732558139535</v>
      </c>
    </row>
    <row r="20" spans="1:31" s="96" customFormat="1">
      <c r="A20" s="54" t="s">
        <v>313</v>
      </c>
      <c r="B20" s="487"/>
      <c r="C20" s="487"/>
      <c r="K20" s="486">
        <f>'P&amp;L - Concept B3 - ALL'!D15</f>
        <v>0</v>
      </c>
      <c r="L20" s="313">
        <f>'P&amp;L - Concept B3 - ALL'!E15</f>
        <v>0</v>
      </c>
      <c r="M20" s="313">
        <f>'P&amp;L - Concept B3 - ALL'!F15</f>
        <v>4120</v>
      </c>
      <c r="N20" s="313">
        <f>'P&amp;L - Concept B3 - ALL'!G15</f>
        <v>4120</v>
      </c>
      <c r="O20" s="313">
        <f>'P&amp;L - Concept B3 - ALL'!H15</f>
        <v>4120</v>
      </c>
      <c r="P20" s="313">
        <f>'P&amp;L - Concept B3 - ALL'!I15</f>
        <v>4120</v>
      </c>
      <c r="Q20" s="313">
        <f>'P&amp;L - Concept B3 - ALL'!J15</f>
        <v>4120</v>
      </c>
      <c r="R20" s="313">
        <f>'P&amp;L - Concept B3 - ALL'!K15</f>
        <v>4120</v>
      </c>
      <c r="S20" s="313">
        <f>'P&amp;L - Concept B3 - ALL'!L15</f>
        <v>4120</v>
      </c>
      <c r="T20" s="313">
        <f>'P&amp;L - Concept B3 - ALL'!M15</f>
        <v>4120</v>
      </c>
      <c r="U20" s="313">
        <f>'P&amp;L - Concept B3 - ALL'!N15</f>
        <v>4120</v>
      </c>
      <c r="V20" s="313">
        <f>'P&amp;L - Concept B3 - ALL'!O15</f>
        <v>4120</v>
      </c>
      <c r="W20" s="313">
        <f>'P&amp;L - Concept B3 - ALL'!P15</f>
        <v>4120</v>
      </c>
      <c r="X20" s="313">
        <f>'P&amp;L - Concept B3 - ALL'!Q15</f>
        <v>4120</v>
      </c>
      <c r="Y20" s="313">
        <f>'P&amp;L - Concept B3 - ALL'!R15</f>
        <v>4120</v>
      </c>
      <c r="Z20" s="313">
        <f>'P&amp;L - Concept B3 - ALL'!S15</f>
        <v>4120</v>
      </c>
      <c r="AA20" s="313">
        <f>'P&amp;L - Concept B3 - ALL'!T15</f>
        <v>4120</v>
      </c>
      <c r="AB20" s="313">
        <f>'P&amp;L - Concept B3 - ALL'!U15</f>
        <v>4120</v>
      </c>
      <c r="AC20" s="313">
        <f>'P&amp;L - Concept B3 - ALL'!V15</f>
        <v>4120</v>
      </c>
      <c r="AD20" s="313">
        <f>'P&amp;L - Concept B3 - ALL'!W15</f>
        <v>4120</v>
      </c>
      <c r="AE20" s="313">
        <f>'P&amp;L - Concept B3 - ALL'!X15</f>
        <v>4120</v>
      </c>
    </row>
    <row r="21" spans="1:31" s="18" customFormat="1">
      <c r="A21" s="54"/>
      <c r="B21" s="21"/>
      <c r="C21" s="21"/>
      <c r="K21" s="486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  <c r="Y21" s="313"/>
      <c r="Z21" s="313"/>
      <c r="AA21" s="313"/>
      <c r="AB21" s="313"/>
      <c r="AC21" s="313"/>
      <c r="AD21" s="313"/>
      <c r="AE21" s="313"/>
    </row>
    <row r="22" spans="1:31" s="547" customFormat="1">
      <c r="A22" s="549" t="s">
        <v>163</v>
      </c>
      <c r="B22" s="550"/>
      <c r="C22" s="550"/>
      <c r="K22" s="610"/>
      <c r="L22" s="555"/>
      <c r="M22" s="555"/>
      <c r="N22" s="555"/>
      <c r="O22" s="555"/>
      <c r="P22" s="555"/>
      <c r="Q22" s="555"/>
      <c r="R22" s="555"/>
      <c r="S22" s="555"/>
      <c r="T22" s="555"/>
      <c r="U22" s="555"/>
      <c r="V22" s="555"/>
      <c r="W22" s="555"/>
      <c r="X22" s="555"/>
      <c r="Y22" s="555"/>
      <c r="Z22" s="555"/>
      <c r="AA22" s="555"/>
      <c r="AB22" s="555"/>
      <c r="AC22" s="555"/>
      <c r="AD22" s="555"/>
      <c r="AE22" s="555"/>
    </row>
    <row r="23" spans="1:31" s="341" customFormat="1">
      <c r="A23" s="552" t="str">
        <f>'International Ferry Projections'!A11</f>
        <v>Passengers</v>
      </c>
      <c r="B23" s="553"/>
      <c r="C23" s="553"/>
      <c r="K23" s="554">
        <f>'P&amp;L - Concept B3 - ALL'!D18</f>
        <v>0</v>
      </c>
      <c r="L23" s="555">
        <f>'P&amp;L - Concept B3 - ALL'!E18</f>
        <v>60000</v>
      </c>
      <c r="M23" s="555">
        <f>'P&amp;L - Concept B3 - ALL'!F18</f>
        <v>70000</v>
      </c>
      <c r="N23" s="555">
        <f>'P&amp;L - Concept B3 - ALL'!G18</f>
        <v>80000</v>
      </c>
      <c r="O23" s="555">
        <f>'P&amp;L - Concept B3 - ALL'!H18</f>
        <v>80000</v>
      </c>
      <c r="P23" s="555">
        <f>'P&amp;L - Concept B3 - ALL'!I18</f>
        <v>80000</v>
      </c>
      <c r="Q23" s="555">
        <f>'P&amp;L - Concept B3 - ALL'!J18</f>
        <v>80000</v>
      </c>
      <c r="R23" s="555">
        <f>'P&amp;L - Concept B3 - ALL'!K18</f>
        <v>80000</v>
      </c>
      <c r="S23" s="555">
        <f>'P&amp;L - Concept B3 - ALL'!L18</f>
        <v>80000</v>
      </c>
      <c r="T23" s="555">
        <f>'P&amp;L - Concept B3 - ALL'!M18</f>
        <v>80000</v>
      </c>
      <c r="U23" s="555">
        <f>'P&amp;L - Concept B3 - ALL'!N18</f>
        <v>80000</v>
      </c>
      <c r="V23" s="555">
        <f>'P&amp;L - Concept B3 - ALL'!O18</f>
        <v>80000</v>
      </c>
      <c r="W23" s="555">
        <f>'P&amp;L - Concept B3 - ALL'!P18</f>
        <v>80000</v>
      </c>
      <c r="X23" s="555">
        <f>'P&amp;L - Concept B3 - ALL'!Q18</f>
        <v>80000</v>
      </c>
      <c r="Y23" s="555">
        <f>'P&amp;L - Concept B3 - ALL'!R18</f>
        <v>80000</v>
      </c>
      <c r="Z23" s="555">
        <f>'P&amp;L - Concept B3 - ALL'!S18</f>
        <v>80000</v>
      </c>
      <c r="AA23" s="555">
        <f>'P&amp;L - Concept B3 - ALL'!T18</f>
        <v>80000</v>
      </c>
      <c r="AB23" s="555">
        <f>'P&amp;L - Concept B3 - ALL'!U18</f>
        <v>80000</v>
      </c>
      <c r="AC23" s="555">
        <f>'P&amp;L - Concept B3 - ALL'!V18</f>
        <v>80000</v>
      </c>
      <c r="AD23" s="555">
        <f>'P&amp;L - Concept B3 - ALL'!W18</f>
        <v>80000</v>
      </c>
      <c r="AE23" s="555">
        <f>'P&amp;L - Concept B3 - ALL'!X18</f>
        <v>80000</v>
      </c>
    </row>
    <row r="24" spans="1:31" s="341" customFormat="1">
      <c r="A24" s="552" t="str">
        <f>'International Ferry Projections'!A12</f>
        <v>Cars</v>
      </c>
      <c r="B24" s="553"/>
      <c r="C24" s="553"/>
      <c r="K24" s="554">
        <f>'P&amp;L - Concept B3 - ALL'!D19</f>
        <v>0</v>
      </c>
      <c r="L24" s="555">
        <f>'P&amp;L - Concept B3 - ALL'!E19</f>
        <v>24000</v>
      </c>
      <c r="M24" s="555">
        <f>'P&amp;L - Concept B3 - ALL'!F19</f>
        <v>28000</v>
      </c>
      <c r="N24" s="555">
        <f>'P&amp;L - Concept B3 - ALL'!G19</f>
        <v>32000</v>
      </c>
      <c r="O24" s="555">
        <f>'P&amp;L - Concept B3 - ALL'!H19</f>
        <v>32000</v>
      </c>
      <c r="P24" s="555">
        <f>'P&amp;L - Concept B3 - ALL'!I19</f>
        <v>32000</v>
      </c>
      <c r="Q24" s="555">
        <f>'P&amp;L - Concept B3 - ALL'!J19</f>
        <v>32000</v>
      </c>
      <c r="R24" s="555">
        <f>'P&amp;L - Concept B3 - ALL'!K19</f>
        <v>32000</v>
      </c>
      <c r="S24" s="555">
        <f>'P&amp;L - Concept B3 - ALL'!L19</f>
        <v>32000</v>
      </c>
      <c r="T24" s="555">
        <f>'P&amp;L - Concept B3 - ALL'!M19</f>
        <v>32000</v>
      </c>
      <c r="U24" s="555">
        <f>'P&amp;L - Concept B3 - ALL'!N19</f>
        <v>32000</v>
      </c>
      <c r="V24" s="555">
        <f>'P&amp;L - Concept B3 - ALL'!O19</f>
        <v>32000</v>
      </c>
      <c r="W24" s="555">
        <f>'P&amp;L - Concept B3 - ALL'!P19</f>
        <v>32000</v>
      </c>
      <c r="X24" s="555">
        <f>'P&amp;L - Concept B3 - ALL'!Q19</f>
        <v>32000</v>
      </c>
      <c r="Y24" s="555">
        <f>'P&amp;L - Concept B3 - ALL'!R19</f>
        <v>32000</v>
      </c>
      <c r="Z24" s="555">
        <f>'P&amp;L - Concept B3 - ALL'!S19</f>
        <v>32000</v>
      </c>
      <c r="AA24" s="555">
        <f>'P&amp;L - Concept B3 - ALL'!T19</f>
        <v>32000</v>
      </c>
      <c r="AB24" s="555">
        <f>'P&amp;L - Concept B3 - ALL'!U19</f>
        <v>32000</v>
      </c>
      <c r="AC24" s="555">
        <f>'P&amp;L - Concept B3 - ALL'!V19</f>
        <v>32000</v>
      </c>
      <c r="AD24" s="555">
        <f>'P&amp;L - Concept B3 - ALL'!W19</f>
        <v>32000</v>
      </c>
      <c r="AE24" s="555">
        <f>'P&amp;L - Concept B3 - ALL'!X19</f>
        <v>32000</v>
      </c>
    </row>
    <row r="25" spans="1:31" s="341" customFormat="1">
      <c r="A25" s="552" t="str">
        <f>'International Ferry Projections'!A13</f>
        <v>Buses</v>
      </c>
      <c r="B25" s="553"/>
      <c r="C25" s="553"/>
      <c r="K25" s="554">
        <f>'P&amp;L - Concept B3 - ALL'!D20</f>
        <v>0</v>
      </c>
      <c r="L25" s="555">
        <f>'P&amp;L - Concept B3 - ALL'!E20</f>
        <v>40</v>
      </c>
      <c r="M25" s="555">
        <f>'P&amp;L - Concept B3 - ALL'!F20</f>
        <v>50</v>
      </c>
      <c r="N25" s="555">
        <f>'P&amp;L - Concept B3 - ALL'!G20</f>
        <v>60</v>
      </c>
      <c r="O25" s="555">
        <f>'P&amp;L - Concept B3 - ALL'!H20</f>
        <v>60</v>
      </c>
      <c r="P25" s="555">
        <f>'P&amp;L - Concept B3 - ALL'!I20</f>
        <v>60</v>
      </c>
      <c r="Q25" s="555">
        <f>'P&amp;L - Concept B3 - ALL'!J20</f>
        <v>60</v>
      </c>
      <c r="R25" s="555">
        <f>'P&amp;L - Concept B3 - ALL'!K20</f>
        <v>60</v>
      </c>
      <c r="S25" s="555">
        <f>'P&amp;L - Concept B3 - ALL'!L20</f>
        <v>60</v>
      </c>
      <c r="T25" s="555">
        <f>'P&amp;L - Concept B3 - ALL'!M20</f>
        <v>60</v>
      </c>
      <c r="U25" s="555">
        <f>'P&amp;L - Concept B3 - ALL'!N20</f>
        <v>60</v>
      </c>
      <c r="V25" s="555">
        <f>'P&amp;L - Concept B3 - ALL'!O20</f>
        <v>60</v>
      </c>
      <c r="W25" s="555">
        <f>'P&amp;L - Concept B3 - ALL'!P20</f>
        <v>60</v>
      </c>
      <c r="X25" s="555">
        <f>'P&amp;L - Concept B3 - ALL'!Q20</f>
        <v>60</v>
      </c>
      <c r="Y25" s="555">
        <f>'P&amp;L - Concept B3 - ALL'!R20</f>
        <v>60</v>
      </c>
      <c r="Z25" s="555">
        <f>'P&amp;L - Concept B3 - ALL'!S20</f>
        <v>60</v>
      </c>
      <c r="AA25" s="555">
        <f>'P&amp;L - Concept B3 - ALL'!T20</f>
        <v>60</v>
      </c>
      <c r="AB25" s="555">
        <f>'P&amp;L - Concept B3 - ALL'!U20</f>
        <v>60</v>
      </c>
      <c r="AC25" s="555">
        <f>'P&amp;L - Concept B3 - ALL'!V20</f>
        <v>60</v>
      </c>
      <c r="AD25" s="555">
        <f>'P&amp;L - Concept B3 - ALL'!W20</f>
        <v>60</v>
      </c>
      <c r="AE25" s="555">
        <f>'P&amp;L - Concept B3 - ALL'!X20</f>
        <v>60</v>
      </c>
    </row>
    <row r="26" spans="1:31" s="18" customFormat="1">
      <c r="A26" s="54"/>
      <c r="B26" s="21"/>
      <c r="C26" s="21"/>
      <c r="K26" s="486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</row>
    <row r="27" spans="1:31" s="582" customFormat="1">
      <c r="A27" s="293" t="str">
        <f>'BH Tariffs'!A30</f>
        <v>Local Ferry</v>
      </c>
      <c r="B27" s="581"/>
      <c r="C27" s="581"/>
      <c r="K27" s="486"/>
      <c r="L27" s="313"/>
      <c r="M27" s="313"/>
      <c r="N27" s="313"/>
      <c r="O27" s="313"/>
      <c r="P27" s="313"/>
      <c r="Q27" s="313"/>
      <c r="R27" s="313"/>
      <c r="S27" s="313"/>
      <c r="T27" s="313"/>
      <c r="U27" s="313"/>
      <c r="V27" s="313"/>
      <c r="W27" s="313"/>
      <c r="X27" s="313"/>
      <c r="Y27" s="313"/>
      <c r="Z27" s="313"/>
      <c r="AA27" s="313"/>
      <c r="AB27" s="313"/>
      <c r="AC27" s="313"/>
      <c r="AD27" s="313"/>
      <c r="AE27" s="313"/>
    </row>
    <row r="28" spans="1:31" s="96" customFormat="1">
      <c r="A28" s="54" t="str">
        <f>'BH Tariffs'!A31</f>
        <v>Dock Rent (6 Months Only)</v>
      </c>
      <c r="B28" s="487"/>
      <c r="C28" s="487"/>
      <c r="K28" s="486">
        <f>'P&amp;L - Concept B3 - ALL'!D23</f>
        <v>0</v>
      </c>
      <c r="L28" s="313" t="str">
        <f>'P&amp;L - Concept B3 - ALL'!E23</f>
        <v>see Tariff</v>
      </c>
      <c r="M28" s="313" t="str">
        <f>'P&amp;L - Concept B3 - ALL'!F23</f>
        <v>see Tariff</v>
      </c>
      <c r="N28" s="313" t="str">
        <f>'P&amp;L - Concept B3 - ALL'!G23</f>
        <v>see Tariff</v>
      </c>
      <c r="O28" s="313" t="str">
        <f>'P&amp;L - Concept B3 - ALL'!H23</f>
        <v>see Tariff</v>
      </c>
      <c r="P28" s="313" t="str">
        <f>'P&amp;L - Concept B3 - ALL'!I23</f>
        <v>see Tariff</v>
      </c>
      <c r="Q28" s="313" t="str">
        <f>'P&amp;L - Concept B3 - ALL'!J23</f>
        <v>see Tariff</v>
      </c>
      <c r="R28" s="313" t="str">
        <f>'P&amp;L - Concept B3 - ALL'!K23</f>
        <v>see Tariff</v>
      </c>
      <c r="S28" s="313" t="str">
        <f>'P&amp;L - Concept B3 - ALL'!L23</f>
        <v>see Tariff</v>
      </c>
      <c r="T28" s="313" t="str">
        <f>'P&amp;L - Concept B3 - ALL'!M23</f>
        <v>see Tariff</v>
      </c>
      <c r="U28" s="313" t="str">
        <f>'P&amp;L - Concept B3 - ALL'!N23</f>
        <v>see Tariff</v>
      </c>
      <c r="V28" s="313" t="str">
        <f>'P&amp;L - Concept B3 - ALL'!O23</f>
        <v>see Tariff</v>
      </c>
      <c r="W28" s="313" t="str">
        <f>'P&amp;L - Concept B3 - ALL'!P23</f>
        <v>see Tariff</v>
      </c>
      <c r="X28" s="313" t="str">
        <f>'P&amp;L - Concept B3 - ALL'!Q23</f>
        <v>see Tariff</v>
      </c>
      <c r="Y28" s="313" t="str">
        <f>'P&amp;L - Concept B3 - ALL'!R23</f>
        <v>see Tariff</v>
      </c>
      <c r="Z28" s="313" t="str">
        <f>'P&amp;L - Concept B3 - ALL'!S23</f>
        <v>see Tariff</v>
      </c>
      <c r="AA28" s="313" t="str">
        <f>'P&amp;L - Concept B3 - ALL'!T23</f>
        <v>see Tariff</v>
      </c>
      <c r="AB28" s="313" t="str">
        <f>'P&amp;L - Concept B3 - ALL'!U23</f>
        <v>see Tariff</v>
      </c>
      <c r="AC28" s="313" t="str">
        <f>'P&amp;L - Concept B3 - ALL'!V23</f>
        <v>see Tariff</v>
      </c>
      <c r="AD28" s="313" t="str">
        <f>'P&amp;L - Concept B3 - ALL'!W23</f>
        <v>see Tariff</v>
      </c>
      <c r="AE28" s="313" t="str">
        <f>'P&amp;L - Concept B3 - ALL'!X23</f>
        <v>see Tariff</v>
      </c>
    </row>
    <row r="29" spans="1:31" s="341" customFormat="1">
      <c r="A29" s="552"/>
      <c r="B29" s="553"/>
      <c r="C29" s="553"/>
      <c r="K29" s="554"/>
      <c r="L29" s="313"/>
      <c r="M29" s="313"/>
      <c r="N29" s="313"/>
      <c r="O29" s="313"/>
      <c r="P29" s="313"/>
      <c r="Q29" s="313"/>
      <c r="R29" s="313"/>
      <c r="S29" s="313"/>
      <c r="T29" s="313"/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</row>
    <row r="30" spans="1:31" s="96" customFormat="1">
      <c r="A30" s="559" t="s">
        <v>227</v>
      </c>
      <c r="B30" s="487"/>
      <c r="C30" s="487"/>
      <c r="K30" s="486"/>
      <c r="L30" s="313"/>
      <c r="M30" s="313"/>
      <c r="N30" s="313"/>
      <c r="O30" s="313"/>
      <c r="P30" s="313"/>
      <c r="Q30" s="313"/>
      <c r="R30" s="313"/>
      <c r="S30" s="313"/>
      <c r="T30" s="313"/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</row>
    <row r="31" spans="1:31" s="96" customFormat="1">
      <c r="A31" s="559"/>
      <c r="B31" s="487"/>
      <c r="C31" s="487"/>
      <c r="K31" s="486"/>
      <c r="L31" s="313"/>
      <c r="M31" s="313"/>
      <c r="N31" s="313"/>
      <c r="O31" s="313"/>
      <c r="P31" s="313"/>
      <c r="Q31" s="313"/>
      <c r="R31" s="313"/>
      <c r="S31" s="313"/>
      <c r="T31" s="313"/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</row>
    <row r="32" spans="1:31" s="96" customFormat="1">
      <c r="A32" s="54" t="s">
        <v>420</v>
      </c>
      <c r="B32" s="487"/>
      <c r="C32" s="487"/>
      <c r="K32" s="486">
        <f>'P&amp;L - Concept B3 - ALL'!D27</f>
        <v>0</v>
      </c>
      <c r="L32" s="313">
        <f>'P&amp;L - Concept B3 - ALL'!E27</f>
        <v>0</v>
      </c>
      <c r="M32" s="313">
        <f>'P&amp;L - Concept B3 - ALL'!F27</f>
        <v>214</v>
      </c>
      <c r="N32" s="313">
        <f>'P&amp;L - Concept B3 - ALL'!G27</f>
        <v>214</v>
      </c>
      <c r="O32" s="313">
        <f>'P&amp;L - Concept B3 - ALL'!H27</f>
        <v>214</v>
      </c>
      <c r="P32" s="313">
        <f>'P&amp;L - Concept B3 - ALL'!I27</f>
        <v>214</v>
      </c>
      <c r="Q32" s="313">
        <f>'P&amp;L - Concept B3 - ALL'!J27</f>
        <v>214</v>
      </c>
      <c r="R32" s="313">
        <f>'P&amp;L - Concept B3 - ALL'!K27</f>
        <v>214</v>
      </c>
      <c r="S32" s="313">
        <f>'P&amp;L - Concept B3 - ALL'!L27</f>
        <v>214</v>
      </c>
      <c r="T32" s="313">
        <f>'P&amp;L - Concept B3 - ALL'!M27</f>
        <v>214</v>
      </c>
      <c r="U32" s="313">
        <f>'P&amp;L - Concept B3 - ALL'!N27</f>
        <v>214</v>
      </c>
      <c r="V32" s="313">
        <f>'P&amp;L - Concept B3 - ALL'!O27</f>
        <v>214</v>
      </c>
      <c r="W32" s="313">
        <f>'P&amp;L - Concept B3 - ALL'!P27</f>
        <v>214</v>
      </c>
      <c r="X32" s="313">
        <f>'P&amp;L - Concept B3 - ALL'!Q27</f>
        <v>214</v>
      </c>
      <c r="Y32" s="313">
        <f>'P&amp;L - Concept B3 - ALL'!R27</f>
        <v>214</v>
      </c>
      <c r="Z32" s="313">
        <f>'P&amp;L - Concept B3 - ALL'!S27</f>
        <v>214</v>
      </c>
      <c r="AA32" s="313">
        <f>'P&amp;L - Concept B3 - ALL'!T27</f>
        <v>214</v>
      </c>
      <c r="AB32" s="313">
        <f>'P&amp;L - Concept B3 - ALL'!U27</f>
        <v>214</v>
      </c>
      <c r="AC32" s="313">
        <f>'P&amp;L - Concept B3 - ALL'!V27</f>
        <v>214</v>
      </c>
      <c r="AD32" s="313">
        <f>'P&amp;L - Concept B3 - ALL'!W27</f>
        <v>214</v>
      </c>
      <c r="AE32" s="313">
        <f>'P&amp;L - Concept B3 - ALL'!X27</f>
        <v>214</v>
      </c>
    </row>
    <row r="33" spans="1:31" s="96" customFormat="1">
      <c r="A33" s="54" t="s">
        <v>205</v>
      </c>
      <c r="B33" s="487"/>
      <c r="C33" s="487"/>
      <c r="K33" s="486">
        <f>'P&amp;L - Concept B3 - ALL'!D28</f>
        <v>0</v>
      </c>
      <c r="L33" s="313">
        <f>'P&amp;L - Concept B3 - ALL'!E28</f>
        <v>0</v>
      </c>
      <c r="M33" s="313">
        <f>'P&amp;L - Concept B3 - ALL'!F28</f>
        <v>106</v>
      </c>
      <c r="N33" s="313">
        <f>'P&amp;L - Concept B3 - ALL'!G28</f>
        <v>106</v>
      </c>
      <c r="O33" s="313">
        <f>'P&amp;L - Concept B3 - ALL'!H28</f>
        <v>106</v>
      </c>
      <c r="P33" s="313">
        <f>'P&amp;L - Concept B3 - ALL'!I28</f>
        <v>106</v>
      </c>
      <c r="Q33" s="313">
        <f>'P&amp;L - Concept B3 - ALL'!J28</f>
        <v>106</v>
      </c>
      <c r="R33" s="313">
        <f>'P&amp;L - Concept B3 - ALL'!K28</f>
        <v>106</v>
      </c>
      <c r="S33" s="313">
        <f>'P&amp;L - Concept B3 - ALL'!L28</f>
        <v>106</v>
      </c>
      <c r="T33" s="313">
        <f>'P&amp;L - Concept B3 - ALL'!M28</f>
        <v>106</v>
      </c>
      <c r="U33" s="313">
        <f>'P&amp;L - Concept B3 - ALL'!N28</f>
        <v>106</v>
      </c>
      <c r="V33" s="313">
        <f>'P&amp;L - Concept B3 - ALL'!O28</f>
        <v>106</v>
      </c>
      <c r="W33" s="313">
        <f>'P&amp;L - Concept B3 - ALL'!P28</f>
        <v>106</v>
      </c>
      <c r="X33" s="313">
        <f>'P&amp;L - Concept B3 - ALL'!Q28</f>
        <v>106</v>
      </c>
      <c r="Y33" s="313">
        <f>'P&amp;L - Concept B3 - ALL'!R28</f>
        <v>106</v>
      </c>
      <c r="Z33" s="313">
        <f>'P&amp;L - Concept B3 - ALL'!S28</f>
        <v>106</v>
      </c>
      <c r="AA33" s="313">
        <f>'P&amp;L - Concept B3 - ALL'!T28</f>
        <v>106</v>
      </c>
      <c r="AB33" s="313">
        <f>'P&amp;L - Concept B3 - ALL'!U28</f>
        <v>106</v>
      </c>
      <c r="AC33" s="313">
        <f>'P&amp;L - Concept B3 - ALL'!V28</f>
        <v>106</v>
      </c>
      <c r="AD33" s="313">
        <f>'P&amp;L - Concept B3 - ALL'!W28</f>
        <v>106</v>
      </c>
      <c r="AE33" s="313">
        <f>'P&amp;L - Concept B3 - ALL'!X28</f>
        <v>106</v>
      </c>
    </row>
    <row r="34" spans="1:31" s="341" customFormat="1">
      <c r="A34" s="552" t="s">
        <v>219</v>
      </c>
      <c r="B34" s="553"/>
      <c r="C34" s="553"/>
      <c r="K34" s="554">
        <f>'P&amp;L - Concept B3 - ALL'!D29</f>
        <v>0</v>
      </c>
      <c r="L34" s="313">
        <f>'P&amp;L - Concept B3 - ALL'!E29</f>
        <v>150</v>
      </c>
      <c r="M34" s="313">
        <f>'P&amp;L - Concept B3 - ALL'!F29</f>
        <v>150</v>
      </c>
      <c r="N34" s="313">
        <f>'P&amp;L - Concept B3 - ALL'!G29</f>
        <v>150</v>
      </c>
      <c r="O34" s="313">
        <f>'P&amp;L - Concept B3 - ALL'!H29</f>
        <v>150</v>
      </c>
      <c r="P34" s="313">
        <f>'P&amp;L - Concept B3 - ALL'!I29</f>
        <v>150</v>
      </c>
      <c r="Q34" s="313">
        <f>'P&amp;L - Concept B3 - ALL'!J29</f>
        <v>150</v>
      </c>
      <c r="R34" s="313">
        <f>'P&amp;L - Concept B3 - ALL'!K29</f>
        <v>150</v>
      </c>
      <c r="S34" s="313">
        <f>'P&amp;L - Concept B3 - ALL'!L29</f>
        <v>150</v>
      </c>
      <c r="T34" s="313">
        <f>'P&amp;L - Concept B3 - ALL'!M29</f>
        <v>150</v>
      </c>
      <c r="U34" s="313">
        <f>'P&amp;L - Concept B3 - ALL'!N29</f>
        <v>150</v>
      </c>
      <c r="V34" s="313">
        <f>'P&amp;L - Concept B3 - ALL'!O29</f>
        <v>150</v>
      </c>
      <c r="W34" s="313">
        <f>'P&amp;L - Concept B3 - ALL'!P29</f>
        <v>150</v>
      </c>
      <c r="X34" s="313">
        <f>'P&amp;L - Concept B3 - ALL'!Q29</f>
        <v>150</v>
      </c>
      <c r="Y34" s="313">
        <f>'P&amp;L - Concept B3 - ALL'!R29</f>
        <v>150</v>
      </c>
      <c r="Z34" s="313">
        <f>'P&amp;L - Concept B3 - ALL'!S29</f>
        <v>150</v>
      </c>
      <c r="AA34" s="313">
        <f>'P&amp;L - Concept B3 - ALL'!T29</f>
        <v>150</v>
      </c>
      <c r="AB34" s="313">
        <f>'P&amp;L - Concept B3 - ALL'!U29</f>
        <v>150</v>
      </c>
      <c r="AC34" s="313">
        <f>'P&amp;L - Concept B3 - ALL'!V29</f>
        <v>150</v>
      </c>
      <c r="AD34" s="313">
        <f>'P&amp;L - Concept B3 - ALL'!W29</f>
        <v>150</v>
      </c>
      <c r="AE34" s="313">
        <f>'P&amp;L - Concept B3 - ALL'!X29</f>
        <v>150</v>
      </c>
    </row>
    <row r="35" spans="1:31" s="341" customFormat="1">
      <c r="A35" s="552" t="s">
        <v>220</v>
      </c>
      <c r="B35" s="553"/>
      <c r="C35" s="553"/>
      <c r="K35" s="554">
        <f>'P&amp;L - Concept B3 - ALL'!D30</f>
        <v>0</v>
      </c>
      <c r="L35" s="788">
        <f>'P&amp;L - Concept B3 - ALL'!E30</f>
        <v>0</v>
      </c>
      <c r="M35" s="788">
        <f>'P&amp;L - Concept B3 - ALL'!F30</f>
        <v>0.70666666666666667</v>
      </c>
      <c r="N35" s="788">
        <f>'P&amp;L - Concept B3 - ALL'!G30</f>
        <v>0.70666666666666667</v>
      </c>
      <c r="O35" s="788">
        <f>'P&amp;L - Concept B3 - ALL'!H30</f>
        <v>0.70666666666666667</v>
      </c>
      <c r="P35" s="788">
        <f>'P&amp;L - Concept B3 - ALL'!I30</f>
        <v>0.70666666666666667</v>
      </c>
      <c r="Q35" s="788">
        <f>'P&amp;L - Concept B3 - ALL'!J30</f>
        <v>0.70666666666666667</v>
      </c>
      <c r="R35" s="788">
        <f>'P&amp;L - Concept B3 - ALL'!K30</f>
        <v>0.70666666666666667</v>
      </c>
      <c r="S35" s="788">
        <f>'P&amp;L - Concept B3 - ALL'!L30</f>
        <v>0.70666666666666667</v>
      </c>
      <c r="T35" s="788">
        <f>'P&amp;L - Concept B3 - ALL'!M30</f>
        <v>0.70666666666666667</v>
      </c>
      <c r="U35" s="788">
        <f>'P&amp;L - Concept B3 - ALL'!N30</f>
        <v>0.70666666666666667</v>
      </c>
      <c r="V35" s="788">
        <f>'P&amp;L - Concept B3 - ALL'!O30</f>
        <v>0.70666666666666667</v>
      </c>
      <c r="W35" s="788">
        <f>'P&amp;L - Concept B3 - ALL'!P30</f>
        <v>0.70666666666666667</v>
      </c>
      <c r="X35" s="788">
        <f>'P&amp;L - Concept B3 - ALL'!Q30</f>
        <v>0.70666666666666667</v>
      </c>
      <c r="Y35" s="788">
        <f>'P&amp;L - Concept B3 - ALL'!R30</f>
        <v>0.70666666666666667</v>
      </c>
      <c r="Z35" s="788">
        <f>'P&amp;L - Concept B3 - ALL'!S30</f>
        <v>0.70666666666666667</v>
      </c>
      <c r="AA35" s="788">
        <f>'P&amp;L - Concept B3 - ALL'!T30</f>
        <v>0.70666666666666667</v>
      </c>
      <c r="AB35" s="788">
        <f>'P&amp;L - Concept B3 - ALL'!U30</f>
        <v>0.70666666666666667</v>
      </c>
      <c r="AC35" s="788">
        <f>'P&amp;L - Concept B3 - ALL'!V30</f>
        <v>0.70666666666666667</v>
      </c>
      <c r="AD35" s="788">
        <f>'P&amp;L - Concept B3 - ALL'!W30</f>
        <v>0.70666666666666667</v>
      </c>
      <c r="AE35" s="788">
        <f>'P&amp;L - Concept B3 - ALL'!X30</f>
        <v>0.70666666666666667</v>
      </c>
    </row>
    <row r="36" spans="1:31" s="96" customFormat="1">
      <c r="A36" s="54" t="s">
        <v>226</v>
      </c>
      <c r="B36" s="487"/>
      <c r="C36" s="487"/>
      <c r="K36" s="486">
        <f>'P&amp;L - Concept B3 - ALL'!D31</f>
        <v>0</v>
      </c>
      <c r="L36" s="313">
        <f>'P&amp;L - Concept B3 - ALL'!E31</f>
        <v>0</v>
      </c>
      <c r="M36" s="313">
        <f>'P&amp;L - Concept B3 - ALL'!F31</f>
        <v>125</v>
      </c>
      <c r="N36" s="313">
        <f>'P&amp;L - Concept B3 - ALL'!G31</f>
        <v>125</v>
      </c>
      <c r="O36" s="313">
        <f>'P&amp;L - Concept B3 - ALL'!H31</f>
        <v>125</v>
      </c>
      <c r="P36" s="313">
        <f>'P&amp;L - Concept B3 - ALL'!I31</f>
        <v>125</v>
      </c>
      <c r="Q36" s="313">
        <f>'P&amp;L - Concept B3 - ALL'!J31</f>
        <v>125</v>
      </c>
      <c r="R36" s="313">
        <f>'P&amp;L - Concept B3 - ALL'!K31</f>
        <v>125</v>
      </c>
      <c r="S36" s="313">
        <f>'P&amp;L - Concept B3 - ALL'!L31</f>
        <v>125</v>
      </c>
      <c r="T36" s="313">
        <f>'P&amp;L - Concept B3 - ALL'!M31</f>
        <v>125</v>
      </c>
      <c r="U36" s="313">
        <f>'P&amp;L - Concept B3 - ALL'!N31</f>
        <v>125</v>
      </c>
      <c r="V36" s="313">
        <f>'P&amp;L - Concept B3 - ALL'!O31</f>
        <v>125</v>
      </c>
      <c r="W36" s="313">
        <f>'P&amp;L - Concept B3 - ALL'!P31</f>
        <v>125</v>
      </c>
      <c r="X36" s="313">
        <f>'P&amp;L - Concept B3 - ALL'!Q31</f>
        <v>125</v>
      </c>
      <c r="Y36" s="313">
        <f>'P&amp;L - Concept B3 - ALL'!R31</f>
        <v>125</v>
      </c>
      <c r="Z36" s="313">
        <f>'P&amp;L - Concept B3 - ALL'!S31</f>
        <v>125</v>
      </c>
      <c r="AA36" s="313">
        <f>'P&amp;L - Concept B3 - ALL'!T31</f>
        <v>125</v>
      </c>
      <c r="AB36" s="313">
        <f>'P&amp;L - Concept B3 - ALL'!U31</f>
        <v>125</v>
      </c>
      <c r="AC36" s="313">
        <f>'P&amp;L - Concept B3 - ALL'!V31</f>
        <v>125</v>
      </c>
      <c r="AD36" s="313">
        <f>'P&amp;L - Concept B3 - ALL'!W31</f>
        <v>125</v>
      </c>
      <c r="AE36" s="313">
        <f>'P&amp;L - Concept B3 - ALL'!X31</f>
        <v>125</v>
      </c>
    </row>
    <row r="37" spans="1:31" s="18" customFormat="1">
      <c r="A37" s="54"/>
      <c r="B37" s="21"/>
      <c r="C37" s="21"/>
      <c r="K37" s="486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</row>
    <row r="38" spans="1:31" s="96" customFormat="1">
      <c r="A38" s="54" t="s">
        <v>206</v>
      </c>
      <c r="B38" s="487"/>
      <c r="C38" s="487"/>
      <c r="K38" s="486">
        <f>'P&amp;L - Concept B3 - ALL'!D33</f>
        <v>0</v>
      </c>
      <c r="L38" s="313">
        <f>'P&amp;L - Concept B3 - ALL'!E33</f>
        <v>0</v>
      </c>
      <c r="M38" s="313">
        <f>'P&amp;L - Concept B3 - ALL'!F33</f>
        <v>2467.6698113207549</v>
      </c>
      <c r="N38" s="313">
        <f>'P&amp;L - Concept B3 - ALL'!G33</f>
        <v>2467.6698113207549</v>
      </c>
      <c r="O38" s="313">
        <f>'P&amp;L - Concept B3 - ALL'!H33</f>
        <v>2467.6698113207549</v>
      </c>
      <c r="P38" s="313">
        <f>'P&amp;L - Concept B3 - ALL'!I33</f>
        <v>2467.6698113207549</v>
      </c>
      <c r="Q38" s="313">
        <f>'P&amp;L - Concept B3 - ALL'!J33</f>
        <v>2467.6698113207549</v>
      </c>
      <c r="R38" s="313">
        <f>'P&amp;L - Concept B3 - ALL'!K33</f>
        <v>2467.6698113207549</v>
      </c>
      <c r="S38" s="313">
        <f>'P&amp;L - Concept B3 - ALL'!L33</f>
        <v>2467.6698113207549</v>
      </c>
      <c r="T38" s="313">
        <f>'P&amp;L - Concept B3 - ALL'!M33</f>
        <v>2467.6698113207549</v>
      </c>
      <c r="U38" s="313">
        <f>'P&amp;L - Concept B3 - ALL'!N33</f>
        <v>2467.6698113207549</v>
      </c>
      <c r="V38" s="313">
        <f>'P&amp;L - Concept B3 - ALL'!O33</f>
        <v>2467.6698113207549</v>
      </c>
      <c r="W38" s="313">
        <f>'P&amp;L - Concept B3 - ALL'!P33</f>
        <v>2467.6698113207549</v>
      </c>
      <c r="X38" s="313">
        <f>'P&amp;L - Concept B3 - ALL'!Q33</f>
        <v>2467.6698113207549</v>
      </c>
      <c r="Y38" s="313">
        <f>'P&amp;L - Concept B3 - ALL'!R33</f>
        <v>2467.6698113207549</v>
      </c>
      <c r="Z38" s="313">
        <f>'P&amp;L - Concept B3 - ALL'!S33</f>
        <v>2467.6698113207549</v>
      </c>
      <c r="AA38" s="313">
        <f>'P&amp;L - Concept B3 - ALL'!T33</f>
        <v>2467.6698113207549</v>
      </c>
      <c r="AB38" s="313">
        <f>'P&amp;L - Concept B3 - ALL'!U33</f>
        <v>2467.6698113207549</v>
      </c>
      <c r="AC38" s="313">
        <f>'P&amp;L - Concept B3 - ALL'!V33</f>
        <v>2467.6698113207549</v>
      </c>
      <c r="AD38" s="313">
        <f>'P&amp;L - Concept B3 - ALL'!W33</f>
        <v>2467.6698113207549</v>
      </c>
      <c r="AE38" s="313">
        <f>'P&amp;L - Concept B3 - ALL'!X33</f>
        <v>2467.6698113207549</v>
      </c>
    </row>
    <row r="39" spans="1:31" s="96" customFormat="1">
      <c r="A39" s="54" t="s">
        <v>207</v>
      </c>
      <c r="B39" s="487"/>
      <c r="C39" s="487"/>
      <c r="K39" s="486">
        <f>'P&amp;L - Concept B3 - ALL'!D34</f>
        <v>0</v>
      </c>
      <c r="L39" s="313">
        <f>'P&amp;L - Concept B3 - ALL'!E34</f>
        <v>0</v>
      </c>
      <c r="M39" s="313">
        <f>'P&amp;L - Concept B3 - ALL'!F34</f>
        <v>5500</v>
      </c>
      <c r="N39" s="313">
        <f>'P&amp;L - Concept B3 - ALL'!G34</f>
        <v>5500</v>
      </c>
      <c r="O39" s="313">
        <f>'P&amp;L - Concept B3 - ALL'!H34</f>
        <v>5500</v>
      </c>
      <c r="P39" s="313">
        <f>'P&amp;L - Concept B3 - ALL'!I34</f>
        <v>5500</v>
      </c>
      <c r="Q39" s="313">
        <f>'P&amp;L - Concept B3 - ALL'!J34</f>
        <v>5500</v>
      </c>
      <c r="R39" s="313">
        <f>'P&amp;L - Concept B3 - ALL'!K34</f>
        <v>5500</v>
      </c>
      <c r="S39" s="313">
        <f>'P&amp;L - Concept B3 - ALL'!L34</f>
        <v>5500</v>
      </c>
      <c r="T39" s="313">
        <f>'P&amp;L - Concept B3 - ALL'!M34</f>
        <v>5500</v>
      </c>
      <c r="U39" s="313">
        <f>'P&amp;L - Concept B3 - ALL'!N34</f>
        <v>5500</v>
      </c>
      <c r="V39" s="313">
        <f>'P&amp;L - Concept B3 - ALL'!O34</f>
        <v>5500</v>
      </c>
      <c r="W39" s="313">
        <f>'P&amp;L - Concept B3 - ALL'!P34</f>
        <v>5500</v>
      </c>
      <c r="X39" s="313">
        <f>'P&amp;L - Concept B3 - ALL'!Q34</f>
        <v>5500</v>
      </c>
      <c r="Y39" s="313">
        <f>'P&amp;L - Concept B3 - ALL'!R34</f>
        <v>5500</v>
      </c>
      <c r="Z39" s="313">
        <f>'P&amp;L - Concept B3 - ALL'!S34</f>
        <v>5500</v>
      </c>
      <c r="AA39" s="313">
        <f>'P&amp;L - Concept B3 - ALL'!T34</f>
        <v>5500</v>
      </c>
      <c r="AB39" s="313">
        <f>'P&amp;L - Concept B3 - ALL'!U34</f>
        <v>5500</v>
      </c>
      <c r="AC39" s="313">
        <f>'P&amp;L - Concept B3 - ALL'!V34</f>
        <v>5500</v>
      </c>
      <c r="AD39" s="313">
        <f>'P&amp;L - Concept B3 - ALL'!W34</f>
        <v>5500</v>
      </c>
      <c r="AE39" s="313">
        <f>'P&amp;L - Concept B3 - ALL'!X34</f>
        <v>5500</v>
      </c>
    </row>
    <row r="40" spans="1:31" s="341" customFormat="1">
      <c r="A40" s="552" t="s">
        <v>221</v>
      </c>
      <c r="B40" s="553"/>
      <c r="C40" s="553"/>
      <c r="K40" s="554">
        <f>'P&amp;L - Concept B3 - ALL'!D35</f>
        <v>0</v>
      </c>
      <c r="L40" s="555">
        <f>'P&amp;L - Concept B3 - ALL'!E35</f>
        <v>400</v>
      </c>
      <c r="M40" s="555">
        <f>'P&amp;L - Concept B3 - ALL'!F35</f>
        <v>466.66666666666669</v>
      </c>
      <c r="N40" s="555">
        <f>'P&amp;L - Concept B3 - ALL'!G35</f>
        <v>533.33333333333337</v>
      </c>
      <c r="O40" s="555">
        <f>'P&amp;L - Concept B3 - ALL'!H35</f>
        <v>533.33333333333337</v>
      </c>
      <c r="P40" s="555">
        <f>'P&amp;L - Concept B3 - ALL'!I35</f>
        <v>533.33333333333337</v>
      </c>
      <c r="Q40" s="555">
        <f>'P&amp;L - Concept B3 - ALL'!J35</f>
        <v>533.33333333333337</v>
      </c>
      <c r="R40" s="555">
        <f>'P&amp;L - Concept B3 - ALL'!K35</f>
        <v>533.33333333333337</v>
      </c>
      <c r="S40" s="555">
        <f>'P&amp;L - Concept B3 - ALL'!L35</f>
        <v>533.33333333333337</v>
      </c>
      <c r="T40" s="555">
        <f>'P&amp;L - Concept B3 - ALL'!M35</f>
        <v>533.33333333333337</v>
      </c>
      <c r="U40" s="555">
        <f>'P&amp;L - Concept B3 - ALL'!N35</f>
        <v>533.33333333333337</v>
      </c>
      <c r="V40" s="555">
        <f>'P&amp;L - Concept B3 - ALL'!O35</f>
        <v>533.33333333333337</v>
      </c>
      <c r="W40" s="555">
        <f>'P&amp;L - Concept B3 - ALL'!P35</f>
        <v>533.33333333333337</v>
      </c>
      <c r="X40" s="555">
        <f>'P&amp;L - Concept B3 - ALL'!Q35</f>
        <v>533.33333333333337</v>
      </c>
      <c r="Y40" s="555">
        <f>'P&amp;L - Concept B3 - ALL'!R35</f>
        <v>533.33333333333337</v>
      </c>
      <c r="Z40" s="555">
        <f>'P&amp;L - Concept B3 - ALL'!S35</f>
        <v>533.33333333333337</v>
      </c>
      <c r="AA40" s="555">
        <f>'P&amp;L - Concept B3 - ALL'!T35</f>
        <v>533.33333333333337</v>
      </c>
      <c r="AB40" s="555">
        <f>'P&amp;L - Concept B3 - ALL'!U35</f>
        <v>533.33333333333337</v>
      </c>
      <c r="AC40" s="555">
        <f>'P&amp;L - Concept B3 - ALL'!V35</f>
        <v>533.33333333333337</v>
      </c>
      <c r="AD40" s="555">
        <f>'P&amp;L - Concept B3 - ALL'!W35</f>
        <v>533.33333333333337</v>
      </c>
      <c r="AE40" s="555">
        <f>'P&amp;L - Concept B3 - ALL'!X35</f>
        <v>533.33333333333337</v>
      </c>
    </row>
    <row r="41" spans="1:31" s="341" customFormat="1">
      <c r="A41" s="552" t="s">
        <v>222</v>
      </c>
      <c r="B41" s="553"/>
      <c r="C41" s="553"/>
      <c r="K41" s="554">
        <f>'P&amp;L - Concept B3 - ALL'!D36</f>
        <v>0</v>
      </c>
      <c r="L41" s="555">
        <f>'P&amp;L - Concept B3 - ALL'!E36</f>
        <v>800</v>
      </c>
      <c r="M41" s="555">
        <f>'P&amp;L - Concept B3 - ALL'!F36</f>
        <v>800</v>
      </c>
      <c r="N41" s="555">
        <f>'P&amp;L - Concept B3 - ALL'!G36</f>
        <v>800</v>
      </c>
      <c r="O41" s="555">
        <f>'P&amp;L - Concept B3 - ALL'!H36</f>
        <v>800</v>
      </c>
      <c r="P41" s="555">
        <f>'P&amp;L - Concept B3 - ALL'!I36</f>
        <v>800</v>
      </c>
      <c r="Q41" s="555">
        <f>'P&amp;L - Concept B3 - ALL'!J36</f>
        <v>800</v>
      </c>
      <c r="R41" s="555">
        <f>'P&amp;L - Concept B3 - ALL'!K36</f>
        <v>800</v>
      </c>
      <c r="S41" s="555">
        <f>'P&amp;L - Concept B3 - ALL'!L36</f>
        <v>800</v>
      </c>
      <c r="T41" s="555">
        <f>'P&amp;L - Concept B3 - ALL'!M36</f>
        <v>800</v>
      </c>
      <c r="U41" s="555">
        <f>'P&amp;L - Concept B3 - ALL'!N36</f>
        <v>800</v>
      </c>
      <c r="V41" s="555">
        <f>'P&amp;L - Concept B3 - ALL'!O36</f>
        <v>800</v>
      </c>
      <c r="W41" s="555">
        <f>'P&amp;L - Concept B3 - ALL'!P36</f>
        <v>800</v>
      </c>
      <c r="X41" s="555">
        <f>'P&amp;L - Concept B3 - ALL'!Q36</f>
        <v>800</v>
      </c>
      <c r="Y41" s="555">
        <f>'P&amp;L - Concept B3 - ALL'!R36</f>
        <v>800</v>
      </c>
      <c r="Z41" s="555">
        <f>'P&amp;L - Concept B3 - ALL'!S36</f>
        <v>800</v>
      </c>
      <c r="AA41" s="555">
        <f>'P&amp;L - Concept B3 - ALL'!T36</f>
        <v>800</v>
      </c>
      <c r="AB41" s="555">
        <f>'P&amp;L - Concept B3 - ALL'!U36</f>
        <v>800</v>
      </c>
      <c r="AC41" s="555">
        <f>'P&amp;L - Concept B3 - ALL'!V36</f>
        <v>800</v>
      </c>
      <c r="AD41" s="555">
        <f>'P&amp;L - Concept B3 - ALL'!W36</f>
        <v>800</v>
      </c>
      <c r="AE41" s="555">
        <f>'P&amp;L - Concept B3 - ALL'!X36</f>
        <v>800</v>
      </c>
    </row>
    <row r="42" spans="1:31" s="341" customFormat="1">
      <c r="A42" s="552" t="s">
        <v>208</v>
      </c>
      <c r="B42" s="553"/>
      <c r="C42" s="553"/>
      <c r="K42" s="554">
        <f>'P&amp;L - Concept B3 - ALL'!D37</f>
        <v>0</v>
      </c>
      <c r="L42" s="555">
        <f>'P&amp;L - Concept B3 - ALL'!E37</f>
        <v>800</v>
      </c>
      <c r="M42" s="555">
        <f>'P&amp;L - Concept B3 - ALL'!F37</f>
        <v>6300</v>
      </c>
      <c r="N42" s="555">
        <f>'P&amp;L - Concept B3 - ALL'!G37</f>
        <v>6300</v>
      </c>
      <c r="O42" s="555">
        <f>'P&amp;L - Concept B3 - ALL'!H37</f>
        <v>6300</v>
      </c>
      <c r="P42" s="555">
        <f>'P&amp;L - Concept B3 - ALL'!I37</f>
        <v>6300</v>
      </c>
      <c r="Q42" s="555">
        <f>'P&amp;L - Concept B3 - ALL'!J37</f>
        <v>6300</v>
      </c>
      <c r="R42" s="555">
        <f>'P&amp;L - Concept B3 - ALL'!K37</f>
        <v>6300</v>
      </c>
      <c r="S42" s="555">
        <f>'P&amp;L - Concept B3 - ALL'!L37</f>
        <v>6300</v>
      </c>
      <c r="T42" s="555">
        <f>'P&amp;L - Concept B3 - ALL'!M37</f>
        <v>6300</v>
      </c>
      <c r="U42" s="555">
        <f>'P&amp;L - Concept B3 - ALL'!N37</f>
        <v>6300</v>
      </c>
      <c r="V42" s="555">
        <f>'P&amp;L - Concept B3 - ALL'!O37</f>
        <v>6300</v>
      </c>
      <c r="W42" s="555">
        <f>'P&amp;L - Concept B3 - ALL'!P37</f>
        <v>6300</v>
      </c>
      <c r="X42" s="555">
        <f>'P&amp;L - Concept B3 - ALL'!Q37</f>
        <v>6300</v>
      </c>
      <c r="Y42" s="555">
        <f>'P&amp;L - Concept B3 - ALL'!R37</f>
        <v>6300</v>
      </c>
      <c r="Z42" s="555">
        <f>'P&amp;L - Concept B3 - ALL'!S37</f>
        <v>6300</v>
      </c>
      <c r="AA42" s="555">
        <f>'P&amp;L - Concept B3 - ALL'!T37</f>
        <v>6300</v>
      </c>
      <c r="AB42" s="555">
        <f>'P&amp;L - Concept B3 - ALL'!U37</f>
        <v>6300</v>
      </c>
      <c r="AC42" s="555">
        <f>'P&amp;L - Concept B3 - ALL'!V37</f>
        <v>6300</v>
      </c>
      <c r="AD42" s="555">
        <f>'P&amp;L - Concept B3 - ALL'!W37</f>
        <v>6300</v>
      </c>
      <c r="AE42" s="555">
        <f>'P&amp;L - Concept B3 - ALL'!X37</f>
        <v>6300</v>
      </c>
    </row>
    <row r="43" spans="1:31" s="18" customFormat="1">
      <c r="A43" s="54"/>
      <c r="B43" s="21"/>
      <c r="C43" s="21"/>
      <c r="K43" s="486"/>
      <c r="L43" s="313"/>
      <c r="M43" s="313"/>
      <c r="N43" s="313"/>
      <c r="O43" s="313"/>
      <c r="P43" s="313"/>
      <c r="Q43" s="313"/>
      <c r="R43" s="313"/>
      <c r="S43" s="313"/>
      <c r="T43" s="313"/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</row>
    <row r="44" spans="1:31" s="341" customFormat="1">
      <c r="A44" s="552" t="s">
        <v>223</v>
      </c>
      <c r="B44" s="557"/>
      <c r="C44" s="557"/>
      <c r="K44" s="554">
        <f>'P&amp;L - Concept B3 - ALL'!D39</f>
        <v>0</v>
      </c>
      <c r="L44" s="313">
        <f>'P&amp;L - Concept B3 - ALL'!E39</f>
        <v>160.26666666666668</v>
      </c>
      <c r="M44" s="313">
        <f>'P&amp;L - Concept B3 - ALL'!F39</f>
        <v>187</v>
      </c>
      <c r="N44" s="313">
        <f>'P&amp;L - Concept B3 - ALL'!G39</f>
        <v>213.73333333333332</v>
      </c>
      <c r="O44" s="313">
        <f>'P&amp;L - Concept B3 - ALL'!H39</f>
        <v>213.73333333333332</v>
      </c>
      <c r="P44" s="313">
        <f>'P&amp;L - Concept B3 - ALL'!I39</f>
        <v>213.73333333333332</v>
      </c>
      <c r="Q44" s="313">
        <f>'P&amp;L - Concept B3 - ALL'!J39</f>
        <v>213.73333333333332</v>
      </c>
      <c r="R44" s="313">
        <f>'P&amp;L - Concept B3 - ALL'!K39</f>
        <v>213.73333333333332</v>
      </c>
      <c r="S44" s="313">
        <f>'P&amp;L - Concept B3 - ALL'!L39</f>
        <v>213.73333333333332</v>
      </c>
      <c r="T44" s="313">
        <f>'P&amp;L - Concept B3 - ALL'!M39</f>
        <v>213.73333333333332</v>
      </c>
      <c r="U44" s="313">
        <f>'P&amp;L - Concept B3 - ALL'!N39</f>
        <v>213.73333333333332</v>
      </c>
      <c r="V44" s="313">
        <f>'P&amp;L - Concept B3 - ALL'!O39</f>
        <v>213.73333333333332</v>
      </c>
      <c r="W44" s="313">
        <f>'P&amp;L - Concept B3 - ALL'!P39</f>
        <v>213.73333333333332</v>
      </c>
      <c r="X44" s="313">
        <f>'P&amp;L - Concept B3 - ALL'!Q39</f>
        <v>213.73333333333332</v>
      </c>
      <c r="Y44" s="313">
        <f>'P&amp;L - Concept B3 - ALL'!R39</f>
        <v>213.73333333333332</v>
      </c>
      <c r="Z44" s="313">
        <f>'P&amp;L - Concept B3 - ALL'!S39</f>
        <v>213.73333333333332</v>
      </c>
      <c r="AA44" s="313">
        <f>'P&amp;L - Concept B3 - ALL'!T39</f>
        <v>213.73333333333332</v>
      </c>
      <c r="AB44" s="313">
        <f>'P&amp;L - Concept B3 - ALL'!U39</f>
        <v>213.73333333333332</v>
      </c>
      <c r="AC44" s="313">
        <f>'P&amp;L - Concept B3 - ALL'!V39</f>
        <v>213.73333333333332</v>
      </c>
      <c r="AD44" s="313">
        <f>'P&amp;L - Concept B3 - ALL'!W39</f>
        <v>213.73333333333332</v>
      </c>
      <c r="AE44" s="313">
        <f>'P&amp;L - Concept B3 - ALL'!X39</f>
        <v>213.73333333333332</v>
      </c>
    </row>
    <row r="45" spans="1:31" s="18" customFormat="1">
      <c r="A45" s="54"/>
      <c r="B45" s="74"/>
      <c r="C45" s="74"/>
      <c r="K45" s="492"/>
      <c r="L45" s="313"/>
      <c r="M45" s="313"/>
      <c r="N45" s="313"/>
      <c r="O45" s="313"/>
      <c r="P45" s="313"/>
      <c r="Q45" s="313"/>
      <c r="R45" s="313"/>
      <c r="S45" s="313"/>
      <c r="T45" s="313"/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</row>
    <row r="46" spans="1:31" s="18" customFormat="1">
      <c r="A46" s="293" t="s">
        <v>26</v>
      </c>
      <c r="B46" s="74"/>
      <c r="C46" s="74"/>
      <c r="K46" s="492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</row>
    <row r="47" spans="1:31" s="18" customFormat="1">
      <c r="A47" s="54" t="s">
        <v>264</v>
      </c>
      <c r="B47" s="277"/>
      <c r="C47" s="74"/>
      <c r="K47" s="486">
        <f>'P&amp;L - Concept B3 - ALL'!D42</f>
        <v>0</v>
      </c>
      <c r="L47" s="313">
        <f>'P&amp;L - Concept B3 - ALL'!E42</f>
        <v>1832.2239583333337</v>
      </c>
      <c r="M47" s="313">
        <f>'P&amp;L - Concept B3 - ALL'!F42</f>
        <v>3664.4479166666674</v>
      </c>
      <c r="N47" s="313">
        <f>'P&amp;L - Concept B3 - ALL'!G42</f>
        <v>3664.4479166666674</v>
      </c>
      <c r="O47" s="313">
        <f>'P&amp;L - Concept B3 - ALL'!H42</f>
        <v>3664.4479166666674</v>
      </c>
      <c r="P47" s="313">
        <f>'P&amp;L - Concept B3 - ALL'!I42</f>
        <v>3664.4479166666674</v>
      </c>
      <c r="Q47" s="313">
        <f>'P&amp;L - Concept B3 - ALL'!J42</f>
        <v>3664.4479166666674</v>
      </c>
      <c r="R47" s="313">
        <f>'P&amp;L - Concept B3 - ALL'!K42</f>
        <v>3664.4479166666674</v>
      </c>
      <c r="S47" s="313">
        <f>'P&amp;L - Concept B3 - ALL'!L42</f>
        <v>3664.4479166666674</v>
      </c>
      <c r="T47" s="313">
        <f>'P&amp;L - Concept B3 - ALL'!M42</f>
        <v>3664.4479166666674</v>
      </c>
      <c r="U47" s="313">
        <f>'P&amp;L - Concept B3 - ALL'!N42</f>
        <v>3664.4479166666674</v>
      </c>
      <c r="V47" s="313">
        <f>'P&amp;L - Concept B3 - ALL'!O42</f>
        <v>3664.4479166666674</v>
      </c>
      <c r="W47" s="313">
        <f>'P&amp;L - Concept B3 - ALL'!P42</f>
        <v>3664.4479166666674</v>
      </c>
      <c r="X47" s="313">
        <f>'P&amp;L - Concept B3 - ALL'!Q42</f>
        <v>3664.4479166666674</v>
      </c>
      <c r="Y47" s="313">
        <f>'P&amp;L - Concept B3 - ALL'!R42</f>
        <v>3664.4479166666674</v>
      </c>
      <c r="Z47" s="313">
        <f>'P&amp;L - Concept B3 - ALL'!S42</f>
        <v>3664.4479166666674</v>
      </c>
      <c r="AA47" s="313">
        <f>'P&amp;L - Concept B3 - ALL'!T42</f>
        <v>3664.4479166666674</v>
      </c>
      <c r="AB47" s="313">
        <f>'P&amp;L - Concept B3 - ALL'!U42</f>
        <v>3664.4479166666674</v>
      </c>
      <c r="AC47" s="313">
        <f>'P&amp;L - Concept B3 - ALL'!V42</f>
        <v>3664.4479166666674</v>
      </c>
      <c r="AD47" s="313">
        <f>'P&amp;L - Concept B3 - ALL'!W42</f>
        <v>3664.4479166666674</v>
      </c>
      <c r="AE47" s="313">
        <f>'P&amp;L - Concept B3 - ALL'!X42</f>
        <v>3664.4479166666674</v>
      </c>
    </row>
    <row r="48" spans="1:31" s="18" customFormat="1">
      <c r="A48" s="54" t="s">
        <v>267</v>
      </c>
      <c r="B48" s="277"/>
      <c r="C48" s="74"/>
      <c r="K48" s="486">
        <f>'P&amp;L - Concept B3 - ALL'!D43</f>
        <v>0</v>
      </c>
      <c r="L48" s="313">
        <f>'P&amp;L - Concept B3 - ALL'!E43</f>
        <v>13371.166666666662</v>
      </c>
      <c r="M48" s="313">
        <f>'P&amp;L - Concept B3 - ALL'!F43</f>
        <v>26742.333333333325</v>
      </c>
      <c r="N48" s="313">
        <f>'P&amp;L - Concept B3 - ALL'!G43</f>
        <v>26742.333333333325</v>
      </c>
      <c r="O48" s="313">
        <f>'P&amp;L - Concept B3 - ALL'!H43</f>
        <v>26742.333333333325</v>
      </c>
      <c r="P48" s="313">
        <f>'P&amp;L - Concept B3 - ALL'!I43</f>
        <v>26742.333333333325</v>
      </c>
      <c r="Q48" s="313">
        <f>'P&amp;L - Concept B3 - ALL'!J43</f>
        <v>26742.333333333325</v>
      </c>
      <c r="R48" s="313">
        <f>'P&amp;L - Concept B3 - ALL'!K43</f>
        <v>26742.333333333325</v>
      </c>
      <c r="S48" s="313">
        <f>'P&amp;L - Concept B3 - ALL'!L43</f>
        <v>26742.333333333325</v>
      </c>
      <c r="T48" s="313">
        <f>'P&amp;L - Concept B3 - ALL'!M43</f>
        <v>26742.333333333325</v>
      </c>
      <c r="U48" s="313">
        <f>'P&amp;L - Concept B3 - ALL'!N43</f>
        <v>26742.333333333325</v>
      </c>
      <c r="V48" s="313">
        <f>'P&amp;L - Concept B3 - ALL'!O43</f>
        <v>26742.333333333325</v>
      </c>
      <c r="W48" s="313">
        <f>'P&amp;L - Concept B3 - ALL'!P43</f>
        <v>26742.333333333325</v>
      </c>
      <c r="X48" s="313">
        <f>'P&amp;L - Concept B3 - ALL'!Q43</f>
        <v>26742.333333333325</v>
      </c>
      <c r="Y48" s="313">
        <f>'P&amp;L - Concept B3 - ALL'!R43</f>
        <v>26742.333333333325</v>
      </c>
      <c r="Z48" s="313">
        <f>'P&amp;L - Concept B3 - ALL'!S43</f>
        <v>26742.333333333325</v>
      </c>
      <c r="AA48" s="313">
        <f>'P&amp;L - Concept B3 - ALL'!T43</f>
        <v>26742.333333333325</v>
      </c>
      <c r="AB48" s="313">
        <f>'P&amp;L - Concept B3 - ALL'!U43</f>
        <v>26742.333333333325</v>
      </c>
      <c r="AC48" s="313">
        <f>'P&amp;L - Concept B3 - ALL'!V43</f>
        <v>26742.333333333325</v>
      </c>
      <c r="AD48" s="313">
        <f>'P&amp;L - Concept B3 - ALL'!W43</f>
        <v>26742.333333333325</v>
      </c>
      <c r="AE48" s="313">
        <f>'P&amp;L - Concept B3 - ALL'!X43</f>
        <v>26742.333333333325</v>
      </c>
    </row>
    <row r="49" spans="1:32 16384:16384" s="96" customFormat="1">
      <c r="A49" s="54" t="s">
        <v>274</v>
      </c>
      <c r="B49" s="435"/>
      <c r="C49" s="583"/>
      <c r="K49" s="486">
        <f>'P&amp;L - Concept B3 - ALL'!D44</f>
        <v>0</v>
      </c>
      <c r="L49" s="313">
        <f>'P&amp;L - Concept B3 - ALL'!E44</f>
        <v>15203.390624999996</v>
      </c>
      <c r="M49" s="313">
        <f>'P&amp;L - Concept B3 - ALL'!F44</f>
        <v>30406.781249999993</v>
      </c>
      <c r="N49" s="313">
        <f>'P&amp;L - Concept B3 - ALL'!G44</f>
        <v>30406.781249999993</v>
      </c>
      <c r="O49" s="313">
        <f>'P&amp;L - Concept B3 - ALL'!H44</f>
        <v>30406.781249999993</v>
      </c>
      <c r="P49" s="313">
        <f>'P&amp;L - Concept B3 - ALL'!I44</f>
        <v>30406.781249999993</v>
      </c>
      <c r="Q49" s="313">
        <f>'P&amp;L - Concept B3 - ALL'!J44</f>
        <v>30406.781249999993</v>
      </c>
      <c r="R49" s="313">
        <f>'P&amp;L - Concept B3 - ALL'!K44</f>
        <v>30406.781249999993</v>
      </c>
      <c r="S49" s="313">
        <f>'P&amp;L - Concept B3 - ALL'!L44</f>
        <v>30406.781249999993</v>
      </c>
      <c r="T49" s="313">
        <f>'P&amp;L - Concept B3 - ALL'!M44</f>
        <v>30406.781249999993</v>
      </c>
      <c r="U49" s="313">
        <f>'P&amp;L - Concept B3 - ALL'!N44</f>
        <v>30406.781249999993</v>
      </c>
      <c r="V49" s="313">
        <f>'P&amp;L - Concept B3 - ALL'!O44</f>
        <v>30406.781249999993</v>
      </c>
      <c r="W49" s="313">
        <f>'P&amp;L - Concept B3 - ALL'!P44</f>
        <v>30406.781249999993</v>
      </c>
      <c r="X49" s="313">
        <f>'P&amp;L - Concept B3 - ALL'!Q44</f>
        <v>30406.781249999993</v>
      </c>
      <c r="Y49" s="313">
        <f>'P&amp;L - Concept B3 - ALL'!R44</f>
        <v>30406.781249999993</v>
      </c>
      <c r="Z49" s="313">
        <f>'P&amp;L - Concept B3 - ALL'!S44</f>
        <v>30406.781249999993</v>
      </c>
      <c r="AA49" s="313">
        <f>'P&amp;L - Concept B3 - ALL'!T44</f>
        <v>30406.781249999993</v>
      </c>
      <c r="AB49" s="313">
        <f>'P&amp;L - Concept B3 - ALL'!U44</f>
        <v>30406.781249999993</v>
      </c>
      <c r="AC49" s="313">
        <f>'P&amp;L - Concept B3 - ALL'!V44</f>
        <v>30406.781249999993</v>
      </c>
      <c r="AD49" s="313">
        <f>'P&amp;L - Concept B3 - ALL'!W44</f>
        <v>30406.781249999993</v>
      </c>
      <c r="AE49" s="313">
        <f>'P&amp;L - Concept B3 - ALL'!X44</f>
        <v>30406.781249999993</v>
      </c>
    </row>
    <row r="50" spans="1:32 16384:16384" s="18" customFormat="1">
      <c r="A50" s="54"/>
      <c r="B50" s="277"/>
      <c r="C50" s="74"/>
      <c r="K50" s="499"/>
      <c r="L50" s="313"/>
      <c r="M50" s="313"/>
      <c r="N50" s="313"/>
      <c r="O50" s="313"/>
      <c r="P50" s="313"/>
      <c r="Q50" s="313"/>
      <c r="R50" s="313"/>
      <c r="S50" s="313"/>
      <c r="T50" s="313"/>
      <c r="U50" s="313"/>
      <c r="V50" s="313"/>
      <c r="W50" s="313"/>
      <c r="X50" s="313"/>
      <c r="Y50" s="313"/>
      <c r="Z50" s="313"/>
      <c r="AA50" s="313"/>
      <c r="AB50" s="313"/>
      <c r="AC50" s="313"/>
      <c r="AD50" s="313"/>
      <c r="AE50" s="313"/>
    </row>
    <row r="51" spans="1:32 16384:16384" s="341" customFormat="1">
      <c r="A51" s="552" t="s">
        <v>224</v>
      </c>
      <c r="B51" s="556"/>
      <c r="C51" s="557"/>
      <c r="K51" s="554">
        <f>'P&amp;L - Concept B3 - ALL'!D46</f>
        <v>0</v>
      </c>
      <c r="L51" s="558">
        <f>'P&amp;L - Concept B3 - ALL'!E46</f>
        <v>3</v>
      </c>
      <c r="M51" s="558">
        <f>'P&amp;L - Concept B3 - ALL'!F46</f>
        <v>3</v>
      </c>
      <c r="N51" s="558">
        <f>'P&amp;L - Concept B3 - ALL'!G46</f>
        <v>3</v>
      </c>
      <c r="O51" s="558">
        <f>'P&amp;L - Concept B3 - ALL'!H46</f>
        <v>3</v>
      </c>
      <c r="P51" s="558">
        <f>'P&amp;L - Concept B3 - ALL'!I46</f>
        <v>3</v>
      </c>
      <c r="Q51" s="558">
        <f>'P&amp;L - Concept B3 - ALL'!J46</f>
        <v>3</v>
      </c>
      <c r="R51" s="558">
        <f>'P&amp;L - Concept B3 - ALL'!K46</f>
        <v>3</v>
      </c>
      <c r="S51" s="558">
        <f>'P&amp;L - Concept B3 - ALL'!L46</f>
        <v>3</v>
      </c>
      <c r="T51" s="558">
        <f>'P&amp;L - Concept B3 - ALL'!M46</f>
        <v>3</v>
      </c>
      <c r="U51" s="558">
        <f>'P&amp;L - Concept B3 - ALL'!N46</f>
        <v>3</v>
      </c>
      <c r="V51" s="558">
        <f>'P&amp;L - Concept B3 - ALL'!O46</f>
        <v>3</v>
      </c>
      <c r="W51" s="558">
        <f>'P&amp;L - Concept B3 - ALL'!P46</f>
        <v>3</v>
      </c>
      <c r="X51" s="558">
        <f>'P&amp;L - Concept B3 - ALL'!Q46</f>
        <v>3</v>
      </c>
      <c r="Y51" s="558">
        <f>'P&amp;L - Concept B3 - ALL'!R46</f>
        <v>3</v>
      </c>
      <c r="Z51" s="558">
        <f>'P&amp;L - Concept B3 - ALL'!S46</f>
        <v>3</v>
      </c>
      <c r="AA51" s="558">
        <f>'P&amp;L - Concept B3 - ALL'!T46</f>
        <v>3</v>
      </c>
      <c r="AB51" s="558">
        <f>'P&amp;L - Concept B3 - ALL'!U46</f>
        <v>3</v>
      </c>
      <c r="AC51" s="558">
        <f>'P&amp;L - Concept B3 - ALL'!V46</f>
        <v>3</v>
      </c>
      <c r="AD51" s="558">
        <f>'P&amp;L - Concept B3 - ALL'!W46</f>
        <v>3</v>
      </c>
      <c r="AE51" s="558">
        <f>'P&amp;L - Concept B3 - ALL'!X46</f>
        <v>3</v>
      </c>
    </row>
    <row r="52" spans="1:32 16384:16384" s="96" customFormat="1">
      <c r="A52" s="54" t="s">
        <v>225</v>
      </c>
      <c r="B52" s="435"/>
      <c r="C52" s="583"/>
      <c r="K52" s="486">
        <f>'P&amp;L - Concept B3 - ALL'!D47</f>
        <v>0</v>
      </c>
      <c r="L52" s="496">
        <f>'P&amp;L - Concept B3 - ALL'!E47</f>
        <v>1</v>
      </c>
      <c r="M52" s="496">
        <f>'P&amp;L - Concept B3 - ALL'!F47</f>
        <v>1</v>
      </c>
      <c r="N52" s="496">
        <f>'P&amp;L - Concept B3 - ALL'!G47</f>
        <v>1</v>
      </c>
      <c r="O52" s="496">
        <f>'P&amp;L - Concept B3 - ALL'!H47</f>
        <v>1</v>
      </c>
      <c r="P52" s="496">
        <f>'P&amp;L - Concept B3 - ALL'!I47</f>
        <v>1</v>
      </c>
      <c r="Q52" s="496">
        <f>'P&amp;L - Concept B3 - ALL'!J47</f>
        <v>1</v>
      </c>
      <c r="R52" s="496">
        <f>'P&amp;L - Concept B3 - ALL'!K47</f>
        <v>1</v>
      </c>
      <c r="S52" s="496">
        <f>'P&amp;L - Concept B3 - ALL'!L47</f>
        <v>1</v>
      </c>
      <c r="T52" s="496">
        <f>'P&amp;L - Concept B3 - ALL'!M47</f>
        <v>1</v>
      </c>
      <c r="U52" s="496">
        <f>'P&amp;L - Concept B3 - ALL'!N47</f>
        <v>1</v>
      </c>
      <c r="V52" s="496">
        <f>'P&amp;L - Concept B3 - ALL'!O47</f>
        <v>1</v>
      </c>
      <c r="W52" s="496">
        <f>'P&amp;L - Concept B3 - ALL'!P47</f>
        <v>1</v>
      </c>
      <c r="X52" s="496">
        <f>'P&amp;L - Concept B3 - ALL'!Q47</f>
        <v>1</v>
      </c>
      <c r="Y52" s="496">
        <f>'P&amp;L - Concept B3 - ALL'!R47</f>
        <v>1</v>
      </c>
      <c r="Z52" s="496">
        <f>'P&amp;L - Concept B3 - ALL'!S47</f>
        <v>1</v>
      </c>
      <c r="AA52" s="496">
        <f>'P&amp;L - Concept B3 - ALL'!T47</f>
        <v>1</v>
      </c>
      <c r="AB52" s="496">
        <f>'P&amp;L - Concept B3 - ALL'!U47</f>
        <v>1</v>
      </c>
      <c r="AC52" s="496">
        <f>'P&amp;L - Concept B3 - ALL'!V47</f>
        <v>1</v>
      </c>
      <c r="AD52" s="496">
        <f>'P&amp;L - Concept B3 - ALL'!W47</f>
        <v>1</v>
      </c>
      <c r="AE52" s="496">
        <f>'P&amp;L - Concept B3 - ALL'!X47</f>
        <v>1</v>
      </c>
    </row>
    <row r="53" spans="1:32 16384:16384" s="18" customFormat="1">
      <c r="A53" s="54" t="s">
        <v>209</v>
      </c>
      <c r="B53" s="277"/>
      <c r="C53" s="74"/>
      <c r="K53" s="486">
        <f>'P&amp;L - Concept B3 - ALL'!D48</f>
        <v>0</v>
      </c>
      <c r="L53" s="496">
        <f>'P&amp;L - Concept B3 - ALL'!E48</f>
        <v>0.5</v>
      </c>
      <c r="M53" s="496">
        <f>'P&amp;L - Concept B3 - ALL'!F48</f>
        <v>0.5</v>
      </c>
      <c r="N53" s="496">
        <f>'P&amp;L - Concept B3 - ALL'!G48</f>
        <v>0.5</v>
      </c>
      <c r="O53" s="496">
        <f>'P&amp;L - Concept B3 - ALL'!H48</f>
        <v>0.5</v>
      </c>
      <c r="P53" s="496">
        <f>'P&amp;L - Concept B3 - ALL'!I48</f>
        <v>0.5</v>
      </c>
      <c r="Q53" s="496">
        <f>'P&amp;L - Concept B3 - ALL'!J48</f>
        <v>0.5</v>
      </c>
      <c r="R53" s="496">
        <f>'P&amp;L - Concept B3 - ALL'!K48</f>
        <v>0.5</v>
      </c>
      <c r="S53" s="496">
        <f>'P&amp;L - Concept B3 - ALL'!L48</f>
        <v>0.5</v>
      </c>
      <c r="T53" s="496">
        <f>'P&amp;L - Concept B3 - ALL'!M48</f>
        <v>0.5</v>
      </c>
      <c r="U53" s="496">
        <f>'P&amp;L - Concept B3 - ALL'!N48</f>
        <v>0.5</v>
      </c>
      <c r="V53" s="496">
        <f>'P&amp;L - Concept B3 - ALL'!O48</f>
        <v>0.5</v>
      </c>
      <c r="W53" s="496">
        <f>'P&amp;L - Concept B3 - ALL'!P48</f>
        <v>0.5</v>
      </c>
      <c r="X53" s="496">
        <f>'P&amp;L - Concept B3 - ALL'!Q48</f>
        <v>0.5</v>
      </c>
      <c r="Y53" s="496">
        <f>'P&amp;L - Concept B3 - ALL'!R48</f>
        <v>0.5</v>
      </c>
      <c r="Z53" s="496">
        <f>'P&amp;L - Concept B3 - ALL'!S48</f>
        <v>0.5</v>
      </c>
      <c r="AA53" s="496">
        <f>'P&amp;L - Concept B3 - ALL'!T48</f>
        <v>0.5</v>
      </c>
      <c r="AB53" s="496">
        <f>'P&amp;L - Concept B3 - ALL'!U48</f>
        <v>0.5</v>
      </c>
      <c r="AC53" s="496">
        <f>'P&amp;L - Concept B3 - ALL'!V48</f>
        <v>0.5</v>
      </c>
      <c r="AD53" s="496">
        <f>'P&amp;L - Concept B3 - ALL'!W48</f>
        <v>0.5</v>
      </c>
      <c r="AE53" s="496">
        <f>'P&amp;L - Concept B3 - ALL'!X48</f>
        <v>0.5</v>
      </c>
    </row>
    <row r="54" spans="1:32 16384:16384" s="18" customFormat="1">
      <c r="A54" s="54" t="s">
        <v>289</v>
      </c>
      <c r="B54" s="277"/>
      <c r="C54" s="74"/>
      <c r="K54" s="486">
        <f>'P&amp;L - Concept B3 - ALL'!D49</f>
        <v>0</v>
      </c>
      <c r="L54" s="496">
        <f>'P&amp;L - Concept B3 - ALL'!E49</f>
        <v>0.75</v>
      </c>
      <c r="M54" s="496">
        <f>'P&amp;L - Concept B3 - ALL'!F49</f>
        <v>0.75</v>
      </c>
      <c r="N54" s="496">
        <f>'P&amp;L - Concept B3 - ALL'!G49</f>
        <v>0.75</v>
      </c>
      <c r="O54" s="496">
        <f>'P&amp;L - Concept B3 - ALL'!H49</f>
        <v>0.75</v>
      </c>
      <c r="P54" s="496">
        <f>'P&amp;L - Concept B3 - ALL'!I49</f>
        <v>0.75</v>
      </c>
      <c r="Q54" s="496">
        <f>'P&amp;L - Concept B3 - ALL'!J49</f>
        <v>0.75</v>
      </c>
      <c r="R54" s="496">
        <f>'P&amp;L - Concept B3 - ALL'!K49</f>
        <v>0.75</v>
      </c>
      <c r="S54" s="496">
        <f>'P&amp;L - Concept B3 - ALL'!L49</f>
        <v>0.75</v>
      </c>
      <c r="T54" s="496">
        <f>'P&amp;L - Concept B3 - ALL'!M49</f>
        <v>0.75</v>
      </c>
      <c r="U54" s="496">
        <f>'P&amp;L - Concept B3 - ALL'!N49</f>
        <v>0.75</v>
      </c>
      <c r="V54" s="496">
        <f>'P&amp;L - Concept B3 - ALL'!O49</f>
        <v>0.75</v>
      </c>
      <c r="W54" s="496">
        <f>'P&amp;L - Concept B3 - ALL'!P49</f>
        <v>0.75</v>
      </c>
      <c r="X54" s="496">
        <f>'P&amp;L - Concept B3 - ALL'!Q49</f>
        <v>0.75</v>
      </c>
      <c r="Y54" s="496">
        <f>'P&amp;L - Concept B3 - ALL'!R49</f>
        <v>0.75</v>
      </c>
      <c r="Z54" s="496">
        <f>'P&amp;L - Concept B3 - ALL'!S49</f>
        <v>0.75</v>
      </c>
      <c r="AA54" s="496">
        <f>'P&amp;L - Concept B3 - ALL'!T49</f>
        <v>0.75</v>
      </c>
      <c r="AB54" s="496">
        <f>'P&amp;L - Concept B3 - ALL'!U49</f>
        <v>0.75</v>
      </c>
      <c r="AC54" s="496">
        <f>'P&amp;L - Concept B3 - ALL'!V49</f>
        <v>0.75</v>
      </c>
      <c r="AD54" s="496">
        <f>'P&amp;L - Concept B3 - ALL'!W49</f>
        <v>0.75</v>
      </c>
      <c r="AE54" s="496">
        <f>'P&amp;L - Concept B3 - ALL'!X49</f>
        <v>0.75</v>
      </c>
      <c r="XFD54" s="570">
        <f>SUM(K54:XFC54)</f>
        <v>15</v>
      </c>
    </row>
    <row r="55" spans="1:32 16384:16384" s="18" customFormat="1">
      <c r="A55" s="54"/>
      <c r="B55" s="277"/>
      <c r="C55" s="74"/>
      <c r="K55" s="486"/>
      <c r="L55" s="313"/>
      <c r="M55" s="313"/>
      <c r="N55" s="313"/>
      <c r="O55" s="313"/>
      <c r="P55" s="313"/>
      <c r="Q55" s="313"/>
      <c r="R55" s="313"/>
      <c r="S55" s="313"/>
      <c r="T55" s="313"/>
      <c r="U55" s="313"/>
      <c r="V55" s="313"/>
      <c r="W55" s="313"/>
      <c r="X55" s="313"/>
      <c r="Y55" s="313"/>
      <c r="Z55" s="313"/>
      <c r="AA55" s="313"/>
      <c r="AB55" s="313"/>
      <c r="AC55" s="313"/>
      <c r="AD55" s="313"/>
      <c r="AE55" s="313"/>
      <c r="XFD55" s="570"/>
    </row>
    <row r="56" spans="1:32 16384:16384" s="18" customFormat="1">
      <c r="A56" s="54" t="s">
        <v>312</v>
      </c>
      <c r="B56" s="277"/>
      <c r="C56" s="74"/>
      <c r="K56" s="486">
        <f>'P&amp;L - Concept B3 - ALL'!D51</f>
        <v>0</v>
      </c>
      <c r="L56" s="313">
        <f>'P&amp;L - Concept B3 - ALL'!E51</f>
        <v>3595</v>
      </c>
      <c r="M56" s="313">
        <f>'P&amp;L - Concept B3 - ALL'!F51</f>
        <v>7190</v>
      </c>
      <c r="N56" s="313">
        <f>'P&amp;L - Concept B3 - ALL'!G51</f>
        <v>7190</v>
      </c>
      <c r="O56" s="313">
        <f>'P&amp;L - Concept B3 - ALL'!H51</f>
        <v>7190</v>
      </c>
      <c r="P56" s="313">
        <f>'P&amp;L - Concept B3 - ALL'!I51</f>
        <v>7190</v>
      </c>
      <c r="Q56" s="313">
        <f>'P&amp;L - Concept B3 - ALL'!J51</f>
        <v>7190</v>
      </c>
      <c r="R56" s="313">
        <f>'P&amp;L - Concept B3 - ALL'!K51</f>
        <v>7190</v>
      </c>
      <c r="S56" s="313">
        <f>'P&amp;L - Concept B3 - ALL'!L51</f>
        <v>7190</v>
      </c>
      <c r="T56" s="313">
        <f>'P&amp;L - Concept B3 - ALL'!M51</f>
        <v>7190</v>
      </c>
      <c r="U56" s="313">
        <f>'P&amp;L - Concept B3 - ALL'!N51</f>
        <v>7190</v>
      </c>
      <c r="V56" s="313">
        <f>'P&amp;L - Concept B3 - ALL'!O51</f>
        <v>7190</v>
      </c>
      <c r="W56" s="313">
        <f>'P&amp;L - Concept B3 - ALL'!P51</f>
        <v>7190</v>
      </c>
      <c r="X56" s="313">
        <f>'P&amp;L - Concept B3 - ALL'!Q51</f>
        <v>7190</v>
      </c>
      <c r="Y56" s="313">
        <f>'P&amp;L - Concept B3 - ALL'!R51</f>
        <v>7190</v>
      </c>
      <c r="Z56" s="313">
        <f>'P&amp;L - Concept B3 - ALL'!S51</f>
        <v>7190</v>
      </c>
      <c r="AA56" s="313">
        <f>'P&amp;L - Concept B3 - ALL'!T51</f>
        <v>7190</v>
      </c>
      <c r="AB56" s="313">
        <f>'P&amp;L - Concept B3 - ALL'!U51</f>
        <v>7190</v>
      </c>
      <c r="AC56" s="313">
        <f>'P&amp;L - Concept B3 - ALL'!V51</f>
        <v>7190</v>
      </c>
      <c r="AD56" s="313">
        <f>'P&amp;L - Concept B3 - ALL'!W51</f>
        <v>7190</v>
      </c>
      <c r="AE56" s="313">
        <f>'P&amp;L - Concept B3 - ALL'!X51</f>
        <v>7190</v>
      </c>
      <c r="XFD56" s="570"/>
    </row>
    <row r="57" spans="1:32 16384:16384" s="18" customFormat="1">
      <c r="A57" s="54"/>
      <c r="B57" s="277"/>
      <c r="C57" s="74"/>
      <c r="K57" s="486"/>
      <c r="L57" s="313"/>
      <c r="M57" s="313"/>
      <c r="N57" s="313"/>
      <c r="O57" s="313"/>
      <c r="P57" s="313"/>
      <c r="Q57" s="313"/>
      <c r="R57" s="313"/>
      <c r="S57" s="313"/>
      <c r="T57" s="313"/>
      <c r="U57" s="313"/>
      <c r="V57" s="313"/>
      <c r="W57" s="313"/>
      <c r="X57" s="313"/>
      <c r="Y57" s="313"/>
      <c r="Z57" s="313"/>
      <c r="AA57" s="313"/>
      <c r="AB57" s="313"/>
      <c r="AC57" s="313"/>
      <c r="AD57" s="313"/>
      <c r="AE57" s="313"/>
    </row>
    <row r="58" spans="1:32 16384:16384" s="612" customFormat="1">
      <c r="A58" s="613" t="s">
        <v>292</v>
      </c>
      <c r="B58" s="614"/>
      <c r="C58" s="615"/>
      <c r="D58" s="717"/>
      <c r="E58" s="717"/>
      <c r="F58" s="717"/>
      <c r="G58" s="717"/>
      <c r="H58" s="717"/>
      <c r="I58" s="717"/>
      <c r="J58" s="717"/>
      <c r="K58" s="616">
        <f>'P&amp;L - Concept B3 - ALL'!D53</f>
        <v>0</v>
      </c>
      <c r="L58" s="616">
        <f>'P&amp;L - Concept B3 - ALL'!E53</f>
        <v>0</v>
      </c>
      <c r="M58" s="616">
        <f>'P&amp;L - Concept B3 - ALL'!F53</f>
        <v>0</v>
      </c>
      <c r="N58" s="616">
        <f>'P&amp;L - Concept B3 - ALL'!G53</f>
        <v>100000</v>
      </c>
      <c r="O58" s="616">
        <f>'P&amp;L - Concept B3 - ALL'!H53</f>
        <v>100000</v>
      </c>
      <c r="P58" s="616">
        <f>'P&amp;L - Concept B3 - ALL'!I53</f>
        <v>100000</v>
      </c>
      <c r="Q58" s="616">
        <f>'P&amp;L - Concept B3 - ALL'!J53</f>
        <v>100000</v>
      </c>
      <c r="R58" s="616">
        <f>'P&amp;L - Concept B3 - ALL'!K53</f>
        <v>100000</v>
      </c>
      <c r="S58" s="616">
        <f>'P&amp;L - Concept B3 - ALL'!L53</f>
        <v>100000</v>
      </c>
      <c r="T58" s="616">
        <f>'P&amp;L - Concept B3 - ALL'!M53</f>
        <v>100000</v>
      </c>
      <c r="U58" s="616">
        <f>'P&amp;L - Concept B3 - ALL'!N53</f>
        <v>100000</v>
      </c>
      <c r="V58" s="616">
        <f>'P&amp;L - Concept B3 - ALL'!O53</f>
        <v>100000</v>
      </c>
      <c r="W58" s="616">
        <f>'P&amp;L - Concept B3 - ALL'!P53</f>
        <v>100000</v>
      </c>
      <c r="X58" s="616">
        <f>'P&amp;L - Concept B3 - ALL'!Q53</f>
        <v>100000</v>
      </c>
      <c r="Y58" s="616">
        <f>'P&amp;L - Concept B3 - ALL'!R53</f>
        <v>100000</v>
      </c>
      <c r="Z58" s="616">
        <f>'P&amp;L - Concept B3 - ALL'!S53</f>
        <v>100000</v>
      </c>
      <c r="AA58" s="616">
        <f>'P&amp;L - Concept B3 - ALL'!T53</f>
        <v>100000</v>
      </c>
      <c r="AB58" s="616">
        <f>'P&amp;L - Concept B3 - ALL'!U53</f>
        <v>100000</v>
      </c>
      <c r="AC58" s="616">
        <f>'P&amp;L - Concept B3 - ALL'!V53</f>
        <v>100000</v>
      </c>
      <c r="AD58" s="616">
        <f>'P&amp;L - Concept B3 - ALL'!W53</f>
        <v>100000</v>
      </c>
      <c r="AE58" s="787">
        <f>'P&amp;L - Concept B3 - ALL'!X53</f>
        <v>100000</v>
      </c>
    </row>
    <row r="59" spans="1:32 16384:16384" s="18" customFormat="1">
      <c r="A59" s="54"/>
      <c r="B59" s="277"/>
      <c r="C59" s="74"/>
      <c r="K59" s="486"/>
      <c r="L59" s="313"/>
      <c r="M59" s="313"/>
      <c r="N59" s="313"/>
      <c r="O59" s="313"/>
      <c r="P59" s="313"/>
      <c r="Q59" s="313"/>
      <c r="R59" s="313"/>
      <c r="S59" s="313"/>
      <c r="T59" s="313"/>
      <c r="U59" s="313"/>
      <c r="V59" s="313"/>
      <c r="W59" s="313"/>
      <c r="X59" s="313"/>
      <c r="Y59" s="313"/>
      <c r="Z59" s="313"/>
      <c r="AA59" s="313"/>
      <c r="AB59" s="313"/>
      <c r="AC59" s="313"/>
      <c r="AD59" s="313"/>
      <c r="AE59" s="313"/>
    </row>
    <row r="60" spans="1:32 16384:16384" s="582" customFormat="1">
      <c r="A60" s="293" t="str">
        <f>'BH Tariffs'!A33</f>
        <v>Recreational/Commercial Marina</v>
      </c>
      <c r="B60" s="584"/>
      <c r="C60" s="585"/>
      <c r="K60" s="486"/>
      <c r="L60" s="313"/>
      <c r="M60" s="313"/>
      <c r="N60" s="313"/>
      <c r="O60" s="313"/>
      <c r="P60" s="313"/>
      <c r="Q60" s="313"/>
      <c r="R60" s="313"/>
      <c r="S60" s="313"/>
      <c r="T60" s="313"/>
      <c r="U60" s="313"/>
      <c r="V60" s="313"/>
      <c r="W60" s="313"/>
      <c r="X60" s="313"/>
      <c r="Y60" s="313"/>
      <c r="Z60" s="313"/>
      <c r="AA60" s="313"/>
      <c r="AB60" s="313"/>
      <c r="AC60" s="313"/>
      <c r="AD60" s="313"/>
      <c r="AE60" s="313"/>
    </row>
    <row r="61" spans="1:32 16384:16384" s="96" customFormat="1">
      <c r="A61" s="54" t="s">
        <v>291</v>
      </c>
      <c r="B61" s="435"/>
      <c r="C61" s="583"/>
      <c r="K61" s="486">
        <f>'P&amp;L - Concept B3 - ALL'!D56</f>
        <v>0</v>
      </c>
      <c r="L61" s="313">
        <f>'P&amp;L - Concept B3 - ALL'!E56</f>
        <v>0</v>
      </c>
      <c r="M61" s="313">
        <f>'P&amp;L - Concept B3 - ALL'!F56</f>
        <v>42</v>
      </c>
      <c r="N61" s="313">
        <f>'P&amp;L - Concept B3 - ALL'!G56</f>
        <v>42</v>
      </c>
      <c r="O61" s="313">
        <f>'P&amp;L - Concept B3 - ALL'!H56</f>
        <v>42</v>
      </c>
      <c r="P61" s="313">
        <f>'P&amp;L - Concept B3 - ALL'!I56</f>
        <v>42</v>
      </c>
      <c r="Q61" s="313">
        <f>'P&amp;L - Concept B3 - ALL'!J56</f>
        <v>42</v>
      </c>
      <c r="R61" s="313">
        <f>'P&amp;L - Concept B3 - ALL'!K56</f>
        <v>42</v>
      </c>
      <c r="S61" s="313">
        <f>'P&amp;L - Concept B3 - ALL'!L56</f>
        <v>42</v>
      </c>
      <c r="T61" s="313">
        <f>'P&amp;L - Concept B3 - ALL'!M56</f>
        <v>42</v>
      </c>
      <c r="U61" s="313">
        <f>'P&amp;L - Concept B3 - ALL'!N56</f>
        <v>42</v>
      </c>
      <c r="V61" s="313">
        <f>'P&amp;L - Concept B3 - ALL'!O56</f>
        <v>42</v>
      </c>
      <c r="W61" s="313">
        <f>'P&amp;L - Concept B3 - ALL'!P56</f>
        <v>42</v>
      </c>
      <c r="X61" s="313">
        <f>'P&amp;L - Concept B3 - ALL'!Q56</f>
        <v>42</v>
      </c>
      <c r="Y61" s="313">
        <f>'P&amp;L - Concept B3 - ALL'!R56</f>
        <v>42</v>
      </c>
      <c r="Z61" s="313">
        <f>'P&amp;L - Concept B3 - ALL'!S56</f>
        <v>42</v>
      </c>
      <c r="AA61" s="313">
        <f>'P&amp;L - Concept B3 - ALL'!T56</f>
        <v>42</v>
      </c>
      <c r="AB61" s="313">
        <f>'P&amp;L - Concept B3 - ALL'!U56</f>
        <v>42</v>
      </c>
      <c r="AC61" s="313">
        <f>'P&amp;L - Concept B3 - ALL'!V56</f>
        <v>42</v>
      </c>
      <c r="AD61" s="313">
        <f>'P&amp;L - Concept B3 - ALL'!W56</f>
        <v>42</v>
      </c>
      <c r="AE61" s="313">
        <f>'P&amp;L - Concept B3 - ALL'!X56</f>
        <v>42</v>
      </c>
    </row>
    <row r="62" spans="1:32 16384:16384" s="96" customFormat="1">
      <c r="A62" s="54" t="s">
        <v>293</v>
      </c>
      <c r="B62" s="435"/>
      <c r="C62" s="583"/>
      <c r="K62" s="486">
        <f>'P&amp;L - Concept B3 - ALL'!D57</f>
        <v>0</v>
      </c>
      <c r="L62" s="313">
        <f>'P&amp;L - Concept B3 - ALL'!E57</f>
        <v>0</v>
      </c>
      <c r="M62" s="313">
        <f>'P&amp;L - Concept B3 - ALL'!F57</f>
        <v>39290.600625000006</v>
      </c>
      <c r="N62" s="313">
        <f>'P&amp;L - Concept B3 - ALL'!G57</f>
        <v>39290.600625000006</v>
      </c>
      <c r="O62" s="313">
        <f>'P&amp;L - Concept B3 - ALL'!H57</f>
        <v>39290.600625000006</v>
      </c>
      <c r="P62" s="313">
        <f>'P&amp;L - Concept B3 - ALL'!I57</f>
        <v>39290.600625000006</v>
      </c>
      <c r="Q62" s="313">
        <f>'P&amp;L - Concept B3 - ALL'!J57</f>
        <v>39290.600625000006</v>
      </c>
      <c r="R62" s="313">
        <f>'P&amp;L - Concept B3 - ALL'!K57</f>
        <v>39290.600625000006</v>
      </c>
      <c r="S62" s="313">
        <f>'P&amp;L - Concept B3 - ALL'!L57</f>
        <v>39290.600625000006</v>
      </c>
      <c r="T62" s="313">
        <f>'P&amp;L - Concept B3 - ALL'!M57</f>
        <v>39290.600625000006</v>
      </c>
      <c r="U62" s="313">
        <f>'P&amp;L - Concept B3 - ALL'!N57</f>
        <v>39290.600625000006</v>
      </c>
      <c r="V62" s="313">
        <f>'P&amp;L - Concept B3 - ALL'!O57</f>
        <v>39290.600625000006</v>
      </c>
      <c r="W62" s="313">
        <f>'P&amp;L - Concept B3 - ALL'!P57</f>
        <v>39290.600625000006</v>
      </c>
      <c r="X62" s="313">
        <f>'P&amp;L - Concept B3 - ALL'!Q57</f>
        <v>39290.600625000006</v>
      </c>
      <c r="Y62" s="313">
        <f>'P&amp;L - Concept B3 - ALL'!R57</f>
        <v>39290.600625000006</v>
      </c>
      <c r="Z62" s="313">
        <f>'P&amp;L - Concept B3 - ALL'!S57</f>
        <v>39290.600625000006</v>
      </c>
      <c r="AA62" s="313">
        <f>'P&amp;L - Concept B3 - ALL'!T57</f>
        <v>39290.600625000006</v>
      </c>
      <c r="AB62" s="313">
        <f>'P&amp;L - Concept B3 - ALL'!U57</f>
        <v>39290.600625000006</v>
      </c>
      <c r="AC62" s="313">
        <f>'P&amp;L - Concept B3 - ALL'!V57</f>
        <v>39290.600625000006</v>
      </c>
      <c r="AD62" s="313">
        <f>'P&amp;L - Concept B3 - ALL'!W57</f>
        <v>39290.600625000006</v>
      </c>
      <c r="AE62" s="313">
        <f>'P&amp;L - Concept B3 - ALL'!X57</f>
        <v>39290.600625000006</v>
      </c>
    </row>
    <row r="63" spans="1:32 16384:16384" s="96" customFormat="1">
      <c r="A63" s="54" t="s">
        <v>294</v>
      </c>
      <c r="B63" s="435"/>
      <c r="C63" s="583"/>
      <c r="K63" s="486">
        <f>'P&amp;L - Concept B3 - ALL'!D58</f>
        <v>0</v>
      </c>
      <c r="L63" s="313">
        <f>'P&amp;L - Concept B3 - ALL'!E58</f>
        <v>0</v>
      </c>
      <c r="M63" s="313">
        <f>'P&amp;L - Concept B3 - ALL'!F58</f>
        <v>1476.3000000000002</v>
      </c>
      <c r="N63" s="313">
        <f>'P&amp;L - Concept B3 - ALL'!G58</f>
        <v>1476.3000000000002</v>
      </c>
      <c r="O63" s="313">
        <f>'P&amp;L - Concept B3 - ALL'!H58</f>
        <v>1476.3000000000002</v>
      </c>
      <c r="P63" s="313">
        <f>'P&amp;L - Concept B3 - ALL'!I58</f>
        <v>1476.3000000000002</v>
      </c>
      <c r="Q63" s="313">
        <f>'P&amp;L - Concept B3 - ALL'!J58</f>
        <v>1476.3000000000002</v>
      </c>
      <c r="R63" s="313">
        <f>'P&amp;L - Concept B3 - ALL'!K58</f>
        <v>1476.3000000000002</v>
      </c>
      <c r="S63" s="313">
        <f>'P&amp;L - Concept B3 - ALL'!L58</f>
        <v>1476.3000000000002</v>
      </c>
      <c r="T63" s="313">
        <f>'P&amp;L - Concept B3 - ALL'!M58</f>
        <v>1476.3000000000002</v>
      </c>
      <c r="U63" s="313">
        <f>'P&amp;L - Concept B3 - ALL'!N58</f>
        <v>1476.3000000000002</v>
      </c>
      <c r="V63" s="313">
        <f>'P&amp;L - Concept B3 - ALL'!O58</f>
        <v>1476.3000000000002</v>
      </c>
      <c r="W63" s="313">
        <f>'P&amp;L - Concept B3 - ALL'!P58</f>
        <v>1476.3000000000002</v>
      </c>
      <c r="X63" s="313">
        <f>'P&amp;L - Concept B3 - ALL'!Q58</f>
        <v>1476.3000000000002</v>
      </c>
      <c r="Y63" s="313">
        <f>'P&amp;L - Concept B3 - ALL'!R58</f>
        <v>1476.3000000000002</v>
      </c>
      <c r="Z63" s="313">
        <f>'P&amp;L - Concept B3 - ALL'!S58</f>
        <v>1476.3000000000002</v>
      </c>
      <c r="AA63" s="313">
        <f>'P&amp;L - Concept B3 - ALL'!T58</f>
        <v>1476.3000000000002</v>
      </c>
      <c r="AB63" s="313">
        <f>'P&amp;L - Concept B3 - ALL'!U58</f>
        <v>1476.3000000000002</v>
      </c>
      <c r="AC63" s="313">
        <f>'P&amp;L - Concept B3 - ALL'!V58</f>
        <v>1476.3000000000002</v>
      </c>
      <c r="AD63" s="313">
        <f>'P&amp;L - Concept B3 - ALL'!W58</f>
        <v>1476.3000000000002</v>
      </c>
      <c r="AE63" s="313">
        <f>'P&amp;L - Concept B3 - ALL'!X58</f>
        <v>1476.3000000000002</v>
      </c>
    </row>
    <row r="64" spans="1:32 16384:16384" s="167" customFormat="1">
      <c r="A64" s="497" t="s">
        <v>170</v>
      </c>
      <c r="B64" s="450"/>
      <c r="C64" s="498"/>
      <c r="K64" s="499">
        <f>'P&amp;L - Concept B3 - ALL'!D59</f>
        <v>0</v>
      </c>
      <c r="L64" s="500">
        <f>'P&amp;L - Concept B3 - ALL'!E59</f>
        <v>0</v>
      </c>
      <c r="M64" s="500">
        <f>'P&amp;L - Concept B3 - ALL'!F59</f>
        <v>0</v>
      </c>
      <c r="N64" s="500">
        <f>'P&amp;L - Concept B3 - ALL'!G59</f>
        <v>0</v>
      </c>
      <c r="O64" s="500">
        <f>'P&amp;L - Concept B3 - ALL'!H59</f>
        <v>0</v>
      </c>
      <c r="P64" s="500">
        <f>'P&amp;L - Concept B3 - ALL'!I59</f>
        <v>0</v>
      </c>
      <c r="Q64" s="500">
        <f>'P&amp;L - Concept B3 - ALL'!J59</f>
        <v>0</v>
      </c>
      <c r="R64" s="500">
        <f>'P&amp;L - Concept B3 - ALL'!K59</f>
        <v>0</v>
      </c>
      <c r="S64" s="500">
        <f>'P&amp;L - Concept B3 - ALL'!L59</f>
        <v>0</v>
      </c>
      <c r="T64" s="500">
        <f>'P&amp;L - Concept B3 - ALL'!M59</f>
        <v>0</v>
      </c>
      <c r="U64" s="500">
        <f>'P&amp;L - Concept B3 - ALL'!N59</f>
        <v>0</v>
      </c>
      <c r="V64" s="500">
        <f>'P&amp;L - Concept B3 - ALL'!O59</f>
        <v>0</v>
      </c>
      <c r="W64" s="500">
        <f>'P&amp;L - Concept B3 - ALL'!P59</f>
        <v>0</v>
      </c>
      <c r="X64" s="500">
        <f>'P&amp;L - Concept B3 - ALL'!Q59</f>
        <v>0</v>
      </c>
      <c r="Y64" s="500">
        <f>'P&amp;L - Concept B3 - ALL'!R59</f>
        <v>0</v>
      </c>
      <c r="Z64" s="500">
        <f>'P&amp;L - Concept B3 - ALL'!S59</f>
        <v>0</v>
      </c>
      <c r="AA64" s="500">
        <f>'P&amp;L - Concept B3 - ALL'!T59</f>
        <v>0</v>
      </c>
      <c r="AB64" s="500">
        <f>'P&amp;L - Concept B3 - ALL'!U59</f>
        <v>0</v>
      </c>
      <c r="AC64" s="500">
        <f>'P&amp;L - Concept B3 - ALL'!V59</f>
        <v>0</v>
      </c>
      <c r="AD64" s="500">
        <f>'P&amp;L - Concept B3 - ALL'!W59</f>
        <v>0</v>
      </c>
      <c r="AE64" s="500">
        <f>'P&amp;L - Concept B3 - ALL'!X59</f>
        <v>0</v>
      </c>
      <c r="AF64" s="167" t="str">
        <f>'P&amp;L - Concept B3 - ALL'!Y59</f>
        <v>cost recovery assumed</v>
      </c>
    </row>
    <row r="65" spans="1:32" s="167" customFormat="1">
      <c r="A65" s="497" t="s">
        <v>16</v>
      </c>
      <c r="B65" s="450"/>
      <c r="C65" s="498"/>
      <c r="K65" s="499">
        <f>'P&amp;L - Concept B3 - ALL'!D60</f>
        <v>0</v>
      </c>
      <c r="L65" s="500">
        <f>'P&amp;L - Concept B3 - ALL'!E60</f>
        <v>0</v>
      </c>
      <c r="M65" s="500">
        <f>'P&amp;L - Concept B3 - ALL'!F60</f>
        <v>0</v>
      </c>
      <c r="N65" s="500">
        <f>'P&amp;L - Concept B3 - ALL'!G60</f>
        <v>0</v>
      </c>
      <c r="O65" s="500">
        <f>'P&amp;L - Concept B3 - ALL'!H60</f>
        <v>0</v>
      </c>
      <c r="P65" s="500">
        <f>'P&amp;L - Concept B3 - ALL'!I60</f>
        <v>0</v>
      </c>
      <c r="Q65" s="500">
        <f>'P&amp;L - Concept B3 - ALL'!J60</f>
        <v>0</v>
      </c>
      <c r="R65" s="500">
        <f>'P&amp;L - Concept B3 - ALL'!K60</f>
        <v>0</v>
      </c>
      <c r="S65" s="500">
        <f>'P&amp;L - Concept B3 - ALL'!L60</f>
        <v>0</v>
      </c>
      <c r="T65" s="500">
        <f>'P&amp;L - Concept B3 - ALL'!M60</f>
        <v>0</v>
      </c>
      <c r="U65" s="500">
        <f>'P&amp;L - Concept B3 - ALL'!N60</f>
        <v>0</v>
      </c>
      <c r="V65" s="500">
        <f>'P&amp;L - Concept B3 - ALL'!O60</f>
        <v>0</v>
      </c>
      <c r="W65" s="500">
        <f>'P&amp;L - Concept B3 - ALL'!P60</f>
        <v>0</v>
      </c>
      <c r="X65" s="500">
        <f>'P&amp;L - Concept B3 - ALL'!Q60</f>
        <v>0</v>
      </c>
      <c r="Y65" s="500">
        <f>'P&amp;L - Concept B3 - ALL'!R60</f>
        <v>0</v>
      </c>
      <c r="Z65" s="500">
        <f>'P&amp;L - Concept B3 - ALL'!S60</f>
        <v>0</v>
      </c>
      <c r="AA65" s="500">
        <f>'P&amp;L - Concept B3 - ALL'!T60</f>
        <v>0</v>
      </c>
      <c r="AB65" s="500">
        <f>'P&amp;L - Concept B3 - ALL'!U60</f>
        <v>0</v>
      </c>
      <c r="AC65" s="500">
        <f>'P&amp;L - Concept B3 - ALL'!V60</f>
        <v>0</v>
      </c>
      <c r="AD65" s="500">
        <f>'P&amp;L - Concept B3 - ALL'!W60</f>
        <v>0</v>
      </c>
      <c r="AE65" s="500">
        <f>'P&amp;L - Concept B3 - ALL'!X60</f>
        <v>0</v>
      </c>
      <c r="AF65" s="167" t="str">
        <f>'P&amp;L - Concept B3 - ALL'!Y60</f>
        <v>cost recovery assumed</v>
      </c>
    </row>
    <row r="66" spans="1:32" s="18" customFormat="1">
      <c r="A66" s="54"/>
      <c r="B66" s="277"/>
      <c r="C66" s="74"/>
      <c r="K66" s="492"/>
      <c r="L66" s="313"/>
      <c r="M66" s="313"/>
      <c r="N66" s="313"/>
      <c r="O66" s="313"/>
      <c r="P66" s="313"/>
      <c r="Q66" s="313"/>
      <c r="R66" s="313"/>
      <c r="S66" s="313"/>
      <c r="T66" s="313"/>
      <c r="U66" s="313"/>
      <c r="V66" s="313"/>
      <c r="W66" s="313"/>
      <c r="X66" s="313"/>
      <c r="Y66" s="313"/>
      <c r="Z66" s="313"/>
      <c r="AA66" s="313"/>
      <c r="AB66" s="313"/>
      <c r="AC66" s="313"/>
      <c r="AD66" s="313"/>
      <c r="AE66" s="313"/>
    </row>
    <row r="67" spans="1:32" s="18" customFormat="1">
      <c r="A67" s="293" t="s">
        <v>2</v>
      </c>
      <c r="B67" s="277"/>
      <c r="C67" s="74"/>
      <c r="K67" s="492"/>
      <c r="L67" s="313"/>
      <c r="M67" s="313"/>
      <c r="N67" s="313"/>
      <c r="O67" s="313"/>
      <c r="P67" s="313"/>
      <c r="Q67" s="313"/>
      <c r="R67" s="313"/>
      <c r="S67" s="313"/>
      <c r="T67" s="313"/>
      <c r="U67" s="313"/>
      <c r="V67" s="313"/>
      <c r="W67" s="313"/>
      <c r="X67" s="313"/>
      <c r="Y67" s="313"/>
      <c r="Z67" s="313"/>
      <c r="AA67" s="313"/>
      <c r="AB67" s="313"/>
      <c r="AC67" s="313"/>
      <c r="AD67" s="313"/>
      <c r="AE67" s="313"/>
    </row>
    <row r="68" spans="1:32" s="96" customFormat="1">
      <c r="A68" s="54" t="s">
        <v>290</v>
      </c>
      <c r="B68" s="435">
        <v>500</v>
      </c>
      <c r="C68" s="487"/>
      <c r="K68" s="486">
        <f>'P&amp;L - Concept B3 - ALL'!D63</f>
        <v>0</v>
      </c>
      <c r="L68" s="313">
        <f>'P&amp;L - Concept B3 - ALL'!E63</f>
        <v>0</v>
      </c>
      <c r="M68" s="313">
        <f>'P&amp;L - Concept B3 - ALL'!F63</f>
        <v>0</v>
      </c>
      <c r="N68" s="313">
        <f>'P&amp;L - Concept B3 - ALL'!G63</f>
        <v>500</v>
      </c>
      <c r="O68" s="313">
        <f>'P&amp;L - Concept B3 - ALL'!H63</f>
        <v>500</v>
      </c>
      <c r="P68" s="313">
        <f>'P&amp;L - Concept B3 - ALL'!I63</f>
        <v>500</v>
      </c>
      <c r="Q68" s="313">
        <f>'P&amp;L - Concept B3 - ALL'!J63</f>
        <v>500</v>
      </c>
      <c r="R68" s="313">
        <f>'P&amp;L - Concept B3 - ALL'!K63</f>
        <v>500</v>
      </c>
      <c r="S68" s="313">
        <f>'P&amp;L - Concept B3 - ALL'!L63</f>
        <v>500</v>
      </c>
      <c r="T68" s="313">
        <f>'P&amp;L - Concept B3 - ALL'!M63</f>
        <v>500</v>
      </c>
      <c r="U68" s="313">
        <f>'P&amp;L - Concept B3 - ALL'!N63</f>
        <v>500</v>
      </c>
      <c r="V68" s="313">
        <f>'P&amp;L - Concept B3 - ALL'!O63</f>
        <v>500</v>
      </c>
      <c r="W68" s="313">
        <f>'P&amp;L - Concept B3 - ALL'!P63</f>
        <v>500</v>
      </c>
      <c r="X68" s="313">
        <f>'P&amp;L - Concept B3 - ALL'!Q63</f>
        <v>500</v>
      </c>
      <c r="Y68" s="313">
        <f>'P&amp;L - Concept B3 - ALL'!R63</f>
        <v>500</v>
      </c>
      <c r="Z68" s="313">
        <f>'P&amp;L - Concept B3 - ALL'!S63</f>
        <v>500</v>
      </c>
      <c r="AA68" s="313">
        <f>'P&amp;L - Concept B3 - ALL'!T63</f>
        <v>500</v>
      </c>
      <c r="AB68" s="313">
        <f>'P&amp;L - Concept B3 - ALL'!U63</f>
        <v>500</v>
      </c>
      <c r="AC68" s="313">
        <f>'P&amp;L - Concept B3 - ALL'!V63</f>
        <v>500</v>
      </c>
      <c r="AD68" s="313">
        <f>'P&amp;L - Concept B3 - ALL'!W63</f>
        <v>500</v>
      </c>
      <c r="AE68" s="313">
        <f>'P&amp;L - Concept B3 - ALL'!X63</f>
        <v>500</v>
      </c>
    </row>
    <row r="69" spans="1:32" s="96" customFormat="1">
      <c r="A69" s="54" t="s">
        <v>210</v>
      </c>
      <c r="B69" s="487"/>
      <c r="C69" s="487"/>
      <c r="K69" s="486">
        <f>'P&amp;L - Concept B3 - ALL'!D65</f>
        <v>0</v>
      </c>
      <c r="L69" s="313">
        <f>'P&amp;L - Concept B3 - ALL'!E65</f>
        <v>0</v>
      </c>
      <c r="M69" s="313">
        <f>'P&amp;L - Concept B3 - ALL'!F65</f>
        <v>1</v>
      </c>
      <c r="N69" s="313">
        <f>'P&amp;L - Concept B3 - ALL'!G65</f>
        <v>2</v>
      </c>
      <c r="O69" s="313">
        <f>'P&amp;L - Concept B3 - ALL'!H65</f>
        <v>2</v>
      </c>
      <c r="P69" s="313">
        <f>'P&amp;L - Concept B3 - ALL'!I65</f>
        <v>2</v>
      </c>
      <c r="Q69" s="313">
        <f>'P&amp;L - Concept B3 - ALL'!J65</f>
        <v>3</v>
      </c>
      <c r="R69" s="313">
        <f>'P&amp;L - Concept B3 - ALL'!K65</f>
        <v>3</v>
      </c>
      <c r="S69" s="313">
        <f>'P&amp;L - Concept B3 - ALL'!L65</f>
        <v>3</v>
      </c>
      <c r="T69" s="313">
        <f>'P&amp;L - Concept B3 - ALL'!M65</f>
        <v>3</v>
      </c>
      <c r="U69" s="313">
        <f>'P&amp;L - Concept B3 - ALL'!N65</f>
        <v>3</v>
      </c>
      <c r="V69" s="313">
        <f>'P&amp;L - Concept B3 - ALL'!O65</f>
        <v>4</v>
      </c>
      <c r="W69" s="313">
        <f>'P&amp;L - Concept B3 - ALL'!P65</f>
        <v>4</v>
      </c>
      <c r="X69" s="313">
        <f>'P&amp;L - Concept B3 - ALL'!Q65</f>
        <v>4</v>
      </c>
      <c r="Y69" s="313">
        <f>'P&amp;L - Concept B3 - ALL'!R65</f>
        <v>4</v>
      </c>
      <c r="Z69" s="313">
        <f>'P&amp;L - Concept B3 - ALL'!S65</f>
        <v>4</v>
      </c>
      <c r="AA69" s="313">
        <f>'P&amp;L - Concept B3 - ALL'!T65</f>
        <v>5</v>
      </c>
      <c r="AB69" s="313">
        <f>'P&amp;L - Concept B3 - ALL'!U65</f>
        <v>5</v>
      </c>
      <c r="AC69" s="313">
        <f>'P&amp;L - Concept B3 - ALL'!V65</f>
        <v>5</v>
      </c>
      <c r="AD69" s="313">
        <f>'P&amp;L - Concept B3 - ALL'!W65</f>
        <v>5</v>
      </c>
      <c r="AE69" s="313">
        <f>'P&amp;L - Concept B3 - ALL'!X65</f>
        <v>5</v>
      </c>
    </row>
    <row r="70" spans="1:32" s="96" customFormat="1">
      <c r="A70" s="96" t="s">
        <v>211</v>
      </c>
      <c r="K70" s="486">
        <f>'P&amp;L - Concept B3 - ALL'!D66</f>
        <v>0</v>
      </c>
      <c r="L70" s="313">
        <f>'P&amp;L - Concept B3 - ALL'!E66</f>
        <v>0</v>
      </c>
      <c r="M70" s="313">
        <f>'P&amp;L - Concept B3 - ALL'!F66</f>
        <v>3</v>
      </c>
      <c r="N70" s="313">
        <f>'P&amp;L - Concept B3 - ALL'!G66</f>
        <v>3</v>
      </c>
      <c r="O70" s="313">
        <f>'P&amp;L - Concept B3 - ALL'!H66</f>
        <v>3</v>
      </c>
      <c r="P70" s="313">
        <f>'P&amp;L - Concept B3 - ALL'!I66</f>
        <v>3</v>
      </c>
      <c r="Q70" s="313">
        <f>'P&amp;L - Concept B3 - ALL'!J66</f>
        <v>3</v>
      </c>
      <c r="R70" s="313">
        <f>'P&amp;L - Concept B3 - ALL'!K66</f>
        <v>3</v>
      </c>
      <c r="S70" s="313">
        <f>'P&amp;L - Concept B3 - ALL'!L66</f>
        <v>3</v>
      </c>
      <c r="T70" s="313">
        <f>'P&amp;L - Concept B3 - ALL'!M66</f>
        <v>3</v>
      </c>
      <c r="U70" s="313">
        <f>'P&amp;L - Concept B3 - ALL'!N66</f>
        <v>3</v>
      </c>
      <c r="V70" s="313">
        <f>'P&amp;L - Concept B3 - ALL'!O66</f>
        <v>3</v>
      </c>
      <c r="W70" s="313">
        <f>'P&amp;L - Concept B3 - ALL'!P66</f>
        <v>3</v>
      </c>
      <c r="X70" s="313">
        <f>'P&amp;L - Concept B3 - ALL'!Q66</f>
        <v>3</v>
      </c>
      <c r="Y70" s="313">
        <f>'P&amp;L - Concept B3 - ALL'!R66</f>
        <v>3</v>
      </c>
      <c r="Z70" s="313">
        <f>'P&amp;L - Concept B3 - ALL'!S66</f>
        <v>3</v>
      </c>
      <c r="AA70" s="313">
        <f>'P&amp;L - Concept B3 - ALL'!T66</f>
        <v>3</v>
      </c>
      <c r="AB70" s="313">
        <f>'P&amp;L - Concept B3 - ALL'!U66</f>
        <v>3</v>
      </c>
      <c r="AC70" s="313">
        <f>'P&amp;L - Concept B3 - ALL'!V66</f>
        <v>3</v>
      </c>
      <c r="AD70" s="313">
        <f>'P&amp;L - Concept B3 - ALL'!W66</f>
        <v>3</v>
      </c>
      <c r="AE70" s="313">
        <f>'P&amp;L - Concept B3 - ALL'!X66</f>
        <v>3</v>
      </c>
    </row>
    <row r="71" spans="1:32" s="96" customFormat="1">
      <c r="K71" s="486"/>
      <c r="L71" s="435"/>
      <c r="M71" s="435"/>
      <c r="N71" s="435"/>
      <c r="O71" s="435"/>
      <c r="P71" s="435"/>
      <c r="Q71" s="435"/>
      <c r="R71" s="435"/>
      <c r="S71" s="435"/>
      <c r="T71" s="435"/>
      <c r="U71" s="435"/>
      <c r="V71" s="435"/>
      <c r="W71" s="435"/>
      <c r="X71" s="435"/>
      <c r="Y71" s="435"/>
      <c r="Z71" s="435"/>
      <c r="AA71" s="435"/>
      <c r="AB71" s="435"/>
      <c r="AC71" s="435"/>
      <c r="AD71" s="435"/>
      <c r="AE71" s="435"/>
    </row>
    <row r="72" spans="1:32" s="18" customFormat="1">
      <c r="A72" s="28"/>
      <c r="K72" s="486"/>
      <c r="L72" s="331"/>
      <c r="M72" s="333"/>
      <c r="N72" s="331"/>
      <c r="O72" s="331"/>
      <c r="P72" s="331"/>
      <c r="Q72" s="331"/>
      <c r="R72" s="331"/>
      <c r="S72" s="331"/>
      <c r="T72" s="331"/>
      <c r="U72" s="331"/>
      <c r="V72" s="331"/>
      <c r="W72" s="331"/>
      <c r="X72" s="331"/>
      <c r="Y72" s="331"/>
      <c r="Z72" s="331"/>
      <c r="AA72" s="331"/>
      <c r="AB72" s="331"/>
      <c r="AC72" s="331"/>
      <c r="AD72" s="331"/>
      <c r="AE72" s="331"/>
    </row>
    <row r="73" spans="1:32">
      <c r="A73" s="168" t="s">
        <v>131</v>
      </c>
      <c r="B73" s="168"/>
      <c r="C73" s="169"/>
      <c r="D73" s="170"/>
      <c r="E73" s="171"/>
      <c r="F73" s="171"/>
      <c r="G73" s="171"/>
      <c r="H73" s="171"/>
      <c r="I73" s="168"/>
      <c r="J73" s="171"/>
      <c r="K73" s="681"/>
      <c r="L73" s="314"/>
      <c r="M73" s="314"/>
      <c r="N73" s="314"/>
      <c r="O73" s="314"/>
      <c r="P73" s="314"/>
      <c r="Q73" s="314"/>
      <c r="R73" s="314"/>
      <c r="S73" s="314"/>
      <c r="T73" s="314"/>
      <c r="U73" s="314"/>
      <c r="V73" s="314"/>
      <c r="W73" s="314"/>
      <c r="X73" s="314"/>
      <c r="Y73" s="314"/>
      <c r="Z73" s="314"/>
      <c r="AA73" s="314"/>
      <c r="AB73" s="314"/>
      <c r="AC73" s="314"/>
      <c r="AD73" s="314"/>
      <c r="AE73" s="314"/>
    </row>
    <row r="74" spans="1:32" s="252" customFormat="1">
      <c r="A74" s="183"/>
      <c r="B74" s="183"/>
      <c r="C74" s="364"/>
      <c r="D74" s="365"/>
      <c r="E74" s="184"/>
      <c r="F74" s="184"/>
      <c r="G74" s="184"/>
      <c r="H74" s="184"/>
      <c r="I74" s="183"/>
      <c r="J74" s="184"/>
      <c r="K74" s="664"/>
      <c r="L74" s="366"/>
      <c r="M74" s="366"/>
      <c r="N74" s="366"/>
      <c r="O74" s="366"/>
      <c r="P74" s="366"/>
      <c r="Q74" s="366"/>
      <c r="R74" s="366"/>
      <c r="S74" s="366"/>
      <c r="T74" s="366"/>
      <c r="U74" s="366"/>
      <c r="V74" s="366"/>
      <c r="W74" s="366"/>
      <c r="X74" s="366"/>
      <c r="Y74" s="366"/>
      <c r="Z74" s="366"/>
      <c r="AA74" s="366"/>
      <c r="AB74" s="366"/>
      <c r="AC74" s="366"/>
      <c r="AD74" s="366"/>
      <c r="AE74" s="366"/>
    </row>
    <row r="75" spans="1:32">
      <c r="A75" s="41" t="s">
        <v>13</v>
      </c>
      <c r="B75" s="41"/>
      <c r="C75" s="105"/>
      <c r="D75" s="106"/>
      <c r="E75" s="37"/>
      <c r="F75" s="37"/>
      <c r="G75" s="37"/>
      <c r="H75" s="37"/>
      <c r="I75" s="41"/>
      <c r="J75" s="37"/>
      <c r="K75" s="683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</row>
    <row r="76" spans="1:32">
      <c r="A76" s="96" t="s">
        <v>418</v>
      </c>
      <c r="B76" s="735" t="s">
        <v>12</v>
      </c>
      <c r="C76" s="663">
        <v>75000</v>
      </c>
      <c r="D76" s="736">
        <f t="shared" ref="D76:D79" si="0">C76/2080</f>
        <v>36.057692307692307</v>
      </c>
      <c r="E76" s="663">
        <v>0</v>
      </c>
      <c r="F76" s="663">
        <f>(C76*$F$13)</f>
        <v>30000</v>
      </c>
      <c r="G76" s="663">
        <f>SUM(C76,E76:F76)</f>
        <v>105000</v>
      </c>
      <c r="H76" s="663"/>
      <c r="I76" s="736"/>
      <c r="J76" s="663"/>
      <c r="K76" s="683">
        <v>0</v>
      </c>
      <c r="L76" s="665">
        <v>0</v>
      </c>
      <c r="M76" s="666">
        <f>G76</f>
        <v>105000</v>
      </c>
      <c r="N76" s="666">
        <f>($G$76*L11)</f>
        <v>107100</v>
      </c>
      <c r="O76" s="666">
        <f t="shared" ref="O76:AE76" si="1">($G$76*M11)</f>
        <v>109242</v>
      </c>
      <c r="P76" s="666">
        <f t="shared" si="1"/>
        <v>111426.84</v>
      </c>
      <c r="Q76" s="666">
        <f t="shared" si="1"/>
        <v>113655.3768</v>
      </c>
      <c r="R76" s="666">
        <f t="shared" si="1"/>
        <v>115928.48433600001</v>
      </c>
      <c r="S76" s="666">
        <f t="shared" si="1"/>
        <v>118247.05402272001</v>
      </c>
      <c r="T76" s="666">
        <f t="shared" si="1"/>
        <v>120611.9951031744</v>
      </c>
      <c r="U76" s="666">
        <f t="shared" si="1"/>
        <v>123024.2350052379</v>
      </c>
      <c r="V76" s="666">
        <f t="shared" si="1"/>
        <v>125484.71970534266</v>
      </c>
      <c r="W76" s="666">
        <f t="shared" si="1"/>
        <v>127994.41409944952</v>
      </c>
      <c r="X76" s="666">
        <f t="shared" si="1"/>
        <v>130554.30238143851</v>
      </c>
      <c r="Y76" s="666">
        <f t="shared" si="1"/>
        <v>133165.38842906727</v>
      </c>
      <c r="Z76" s="666">
        <f t="shared" si="1"/>
        <v>135828.69619764862</v>
      </c>
      <c r="AA76" s="666">
        <f t="shared" si="1"/>
        <v>138545.27012160158</v>
      </c>
      <c r="AB76" s="666">
        <f t="shared" si="1"/>
        <v>141316.17552403364</v>
      </c>
      <c r="AC76" s="666">
        <f t="shared" si="1"/>
        <v>144142.4990345143</v>
      </c>
      <c r="AD76" s="666">
        <f t="shared" si="1"/>
        <v>147025.34901520461</v>
      </c>
      <c r="AE76" s="666">
        <f t="shared" si="1"/>
        <v>149965.8559955087</v>
      </c>
    </row>
    <row r="77" spans="1:32">
      <c r="A77" s="96" t="s">
        <v>417</v>
      </c>
      <c r="B77" s="735" t="s">
        <v>12</v>
      </c>
      <c r="C77" s="663">
        <v>35000</v>
      </c>
      <c r="D77" s="736">
        <f t="shared" si="0"/>
        <v>16.826923076923077</v>
      </c>
      <c r="E77" s="663">
        <v>0</v>
      </c>
      <c r="F77" s="663">
        <f t="shared" ref="F77:F79" si="2">(C77*$F$13)</f>
        <v>14000</v>
      </c>
      <c r="G77" s="663">
        <f t="shared" ref="G77:G79" si="3">SUM(C77,E77:F77)</f>
        <v>49000</v>
      </c>
      <c r="H77" s="663"/>
      <c r="I77" s="736"/>
      <c r="J77" s="663"/>
      <c r="K77" s="683">
        <v>0</v>
      </c>
      <c r="L77" s="665">
        <f>G77*0.25</f>
        <v>12250</v>
      </c>
      <c r="M77" s="666">
        <f>G77*0.5</f>
        <v>24500</v>
      </c>
      <c r="N77" s="666">
        <f>($G$77*0.5*L11)</f>
        <v>24990</v>
      </c>
      <c r="O77" s="666">
        <f t="shared" ref="O77:AE77" si="4">($G$77*0.5*M11)</f>
        <v>25489.8</v>
      </c>
      <c r="P77" s="666">
        <f t="shared" si="4"/>
        <v>25999.595999999998</v>
      </c>
      <c r="Q77" s="666">
        <f t="shared" si="4"/>
        <v>26519.587919999998</v>
      </c>
      <c r="R77" s="666">
        <f t="shared" si="4"/>
        <v>27049.979678399999</v>
      </c>
      <c r="S77" s="666">
        <f t="shared" si="4"/>
        <v>27590.979271968001</v>
      </c>
      <c r="T77" s="666">
        <f t="shared" si="4"/>
        <v>28142.798857407361</v>
      </c>
      <c r="U77" s="666">
        <f t="shared" si="4"/>
        <v>28705.654834555509</v>
      </c>
      <c r="V77" s="666">
        <f t="shared" si="4"/>
        <v>29279.767931246621</v>
      </c>
      <c r="W77" s="666">
        <f t="shared" si="4"/>
        <v>29865.363289871555</v>
      </c>
      <c r="X77" s="666">
        <f t="shared" si="4"/>
        <v>30462.670555668985</v>
      </c>
      <c r="Y77" s="666">
        <f t="shared" si="4"/>
        <v>31071.923966782364</v>
      </c>
      <c r="Z77" s="666">
        <f t="shared" si="4"/>
        <v>31693.362446118008</v>
      </c>
      <c r="AA77" s="666">
        <f t="shared" si="4"/>
        <v>32327.229695040372</v>
      </c>
      <c r="AB77" s="666">
        <f t="shared" si="4"/>
        <v>32973.774288941182</v>
      </c>
      <c r="AC77" s="666">
        <f t="shared" si="4"/>
        <v>33633.249774720003</v>
      </c>
      <c r="AD77" s="666">
        <f t="shared" si="4"/>
        <v>34305.914770214411</v>
      </c>
      <c r="AE77" s="666">
        <f t="shared" si="4"/>
        <v>34992.0330656187</v>
      </c>
    </row>
    <row r="78" spans="1:32">
      <c r="A78" s="96" t="s">
        <v>422</v>
      </c>
      <c r="B78" s="735" t="s">
        <v>15</v>
      </c>
      <c r="C78" s="663">
        <v>15000</v>
      </c>
      <c r="D78" s="736">
        <f t="shared" si="0"/>
        <v>7.2115384615384617</v>
      </c>
      <c r="E78" s="663">
        <f>C78*$L$15</f>
        <v>0</v>
      </c>
      <c r="F78" s="663">
        <f t="shared" si="2"/>
        <v>6000</v>
      </c>
      <c r="G78" s="663">
        <f t="shared" si="3"/>
        <v>21000</v>
      </c>
      <c r="H78" s="663"/>
      <c r="I78" s="736"/>
      <c r="J78" s="663"/>
      <c r="K78" s="683">
        <v>0</v>
      </c>
      <c r="L78" s="665">
        <v>0</v>
      </c>
      <c r="M78" s="666">
        <f t="shared" ref="M78" si="5">G78</f>
        <v>21000</v>
      </c>
      <c r="N78" s="666">
        <f>($G$78*L11)</f>
        <v>21420</v>
      </c>
      <c r="O78" s="666">
        <f t="shared" ref="O78:AE78" si="6">($G$78*M11)</f>
        <v>21848.400000000001</v>
      </c>
      <c r="P78" s="666">
        <f t="shared" si="6"/>
        <v>22285.367999999999</v>
      </c>
      <c r="Q78" s="666">
        <f t="shared" si="6"/>
        <v>22731.075359999999</v>
      </c>
      <c r="R78" s="666">
        <f t="shared" si="6"/>
        <v>23185.6968672</v>
      </c>
      <c r="S78" s="666">
        <f t="shared" si="6"/>
        <v>23649.410804544001</v>
      </c>
      <c r="T78" s="666">
        <f t="shared" si="6"/>
        <v>24122.399020634883</v>
      </c>
      <c r="U78" s="666">
        <f t="shared" si="6"/>
        <v>24604.847001047579</v>
      </c>
      <c r="V78" s="666">
        <f t="shared" si="6"/>
        <v>25096.943941068534</v>
      </c>
      <c r="W78" s="666">
        <f t="shared" si="6"/>
        <v>25598.882819889903</v>
      </c>
      <c r="X78" s="666">
        <f t="shared" si="6"/>
        <v>26110.8604762877</v>
      </c>
      <c r="Y78" s="666">
        <f t="shared" si="6"/>
        <v>26633.077685813456</v>
      </c>
      <c r="Z78" s="666">
        <f t="shared" si="6"/>
        <v>27165.739239529721</v>
      </c>
      <c r="AA78" s="666">
        <f t="shared" si="6"/>
        <v>27709.054024320321</v>
      </c>
      <c r="AB78" s="666">
        <f t="shared" si="6"/>
        <v>28263.235104806728</v>
      </c>
      <c r="AC78" s="666">
        <f t="shared" si="6"/>
        <v>28828.499806902862</v>
      </c>
      <c r="AD78" s="666">
        <f t="shared" si="6"/>
        <v>29405.069803040922</v>
      </c>
      <c r="AE78" s="666">
        <f t="shared" si="6"/>
        <v>29993.17119910174</v>
      </c>
    </row>
    <row r="79" spans="1:32">
      <c r="A79" s="737" t="s">
        <v>422</v>
      </c>
      <c r="B79" s="738" t="s">
        <v>15</v>
      </c>
      <c r="C79" s="739">
        <v>15000</v>
      </c>
      <c r="D79" s="740">
        <f t="shared" si="0"/>
        <v>7.2115384615384617</v>
      </c>
      <c r="E79" s="739">
        <f>C79*$L$15</f>
        <v>0</v>
      </c>
      <c r="F79" s="739">
        <f t="shared" si="2"/>
        <v>6000</v>
      </c>
      <c r="G79" s="739">
        <f t="shared" si="3"/>
        <v>21000</v>
      </c>
      <c r="H79" s="739"/>
      <c r="I79" s="740"/>
      <c r="J79" s="739"/>
      <c r="K79" s="741">
        <v>0</v>
      </c>
      <c r="L79" s="742">
        <v>0</v>
      </c>
      <c r="M79" s="742">
        <f t="shared" ref="M79" si="7">G79</f>
        <v>21000</v>
      </c>
      <c r="N79" s="742">
        <f>($G$79*L11)</f>
        <v>21420</v>
      </c>
      <c r="O79" s="742">
        <f t="shared" ref="O79:AE79" si="8">($G$79*M11)</f>
        <v>21848.400000000001</v>
      </c>
      <c r="P79" s="742">
        <f t="shared" si="8"/>
        <v>22285.367999999999</v>
      </c>
      <c r="Q79" s="742">
        <f t="shared" si="8"/>
        <v>22731.075359999999</v>
      </c>
      <c r="R79" s="742">
        <f t="shared" si="8"/>
        <v>23185.6968672</v>
      </c>
      <c r="S79" s="742">
        <f t="shared" si="8"/>
        <v>23649.410804544001</v>
      </c>
      <c r="T79" s="742">
        <f t="shared" si="8"/>
        <v>24122.399020634883</v>
      </c>
      <c r="U79" s="742">
        <f t="shared" si="8"/>
        <v>24604.847001047579</v>
      </c>
      <c r="V79" s="742">
        <f t="shared" si="8"/>
        <v>25096.943941068534</v>
      </c>
      <c r="W79" s="742">
        <f t="shared" si="8"/>
        <v>25598.882819889903</v>
      </c>
      <c r="X79" s="742">
        <f t="shared" si="8"/>
        <v>26110.8604762877</v>
      </c>
      <c r="Y79" s="742">
        <f t="shared" si="8"/>
        <v>26633.077685813456</v>
      </c>
      <c r="Z79" s="742">
        <f t="shared" si="8"/>
        <v>27165.739239529721</v>
      </c>
      <c r="AA79" s="742">
        <f t="shared" si="8"/>
        <v>27709.054024320321</v>
      </c>
      <c r="AB79" s="742">
        <f t="shared" si="8"/>
        <v>28263.235104806728</v>
      </c>
      <c r="AC79" s="742">
        <f t="shared" si="8"/>
        <v>28828.499806902862</v>
      </c>
      <c r="AD79" s="742">
        <f t="shared" si="8"/>
        <v>29405.069803040922</v>
      </c>
      <c r="AE79" s="742">
        <f t="shared" si="8"/>
        <v>29993.17119910174</v>
      </c>
    </row>
    <row r="80" spans="1:32" s="56" customFormat="1" ht="14.25">
      <c r="A80" s="164" t="s">
        <v>416</v>
      </c>
      <c r="B80" s="164"/>
      <c r="C80" s="667">
        <f>SUM(C76:C79)</f>
        <v>140000</v>
      </c>
      <c r="D80" s="667"/>
      <c r="E80" s="667">
        <f>SUM(E76:E79)</f>
        <v>0</v>
      </c>
      <c r="F80" s="667">
        <f>SUM(F76:F79)</f>
        <v>56000</v>
      </c>
      <c r="G80" s="667">
        <f>SUM(G76:G79)</f>
        <v>196000</v>
      </c>
      <c r="H80" s="667"/>
      <c r="I80" s="668"/>
      <c r="J80" s="667"/>
      <c r="K80" s="685">
        <f>SUMIF($B76:$B79,"FT",K76:K79)</f>
        <v>0</v>
      </c>
      <c r="L80" s="669">
        <f t="shared" ref="L80:AE80" si="9">SUM(L76:L79)</f>
        <v>12250</v>
      </c>
      <c r="M80" s="669">
        <f t="shared" si="9"/>
        <v>171500</v>
      </c>
      <c r="N80" s="669">
        <f t="shared" si="9"/>
        <v>174930</v>
      </c>
      <c r="O80" s="669">
        <f t="shared" si="9"/>
        <v>178428.59999999998</v>
      </c>
      <c r="P80" s="669">
        <f t="shared" si="9"/>
        <v>181997.17199999996</v>
      </c>
      <c r="Q80" s="669">
        <f t="shared" si="9"/>
        <v>185637.11543999997</v>
      </c>
      <c r="R80" s="669">
        <f t="shared" si="9"/>
        <v>189349.85774879999</v>
      </c>
      <c r="S80" s="669">
        <f t="shared" si="9"/>
        <v>193136.85490377599</v>
      </c>
      <c r="T80" s="669">
        <f t="shared" si="9"/>
        <v>196999.59200185153</v>
      </c>
      <c r="U80" s="669">
        <f t="shared" si="9"/>
        <v>200939.58384188855</v>
      </c>
      <c r="V80" s="669">
        <f t="shared" si="9"/>
        <v>204958.37551872636</v>
      </c>
      <c r="W80" s="669">
        <f t="shared" si="9"/>
        <v>209057.54302910087</v>
      </c>
      <c r="X80" s="669">
        <f t="shared" si="9"/>
        <v>213238.69388968288</v>
      </c>
      <c r="Y80" s="669">
        <f t="shared" si="9"/>
        <v>217503.46776747654</v>
      </c>
      <c r="Z80" s="669">
        <f t="shared" si="9"/>
        <v>221853.53712282603</v>
      </c>
      <c r="AA80" s="669">
        <f t="shared" si="9"/>
        <v>226290.60786528263</v>
      </c>
      <c r="AB80" s="669">
        <f t="shared" si="9"/>
        <v>230816.42002258825</v>
      </c>
      <c r="AC80" s="669">
        <f t="shared" si="9"/>
        <v>235432.74842304003</v>
      </c>
      <c r="AD80" s="669">
        <f t="shared" si="9"/>
        <v>240141.40339150085</v>
      </c>
      <c r="AE80" s="669">
        <f t="shared" si="9"/>
        <v>244944.23145933088</v>
      </c>
    </row>
    <row r="81" spans="1:35" s="56" customFormat="1" ht="14.25">
      <c r="A81" s="164"/>
      <c r="B81" s="164"/>
      <c r="C81" s="667"/>
      <c r="D81" s="667"/>
      <c r="E81" s="667"/>
      <c r="F81" s="667"/>
      <c r="G81" s="667"/>
      <c r="H81" s="667"/>
      <c r="I81" s="668"/>
      <c r="J81" s="667"/>
      <c r="K81" s="685"/>
      <c r="L81" s="669"/>
      <c r="M81" s="669"/>
      <c r="N81" s="669"/>
      <c r="O81" s="669"/>
      <c r="P81" s="669"/>
      <c r="Q81" s="669"/>
      <c r="R81" s="669"/>
      <c r="S81" s="669"/>
      <c r="T81" s="669"/>
      <c r="U81" s="669"/>
      <c r="V81" s="669"/>
      <c r="W81" s="669"/>
      <c r="X81" s="669"/>
      <c r="Y81" s="669"/>
      <c r="Z81" s="669"/>
      <c r="AA81" s="669"/>
      <c r="AB81" s="669"/>
      <c r="AC81" s="669"/>
      <c r="AD81" s="669"/>
      <c r="AE81" s="669"/>
    </row>
    <row r="82" spans="1:35">
      <c r="A82" s="37" t="s">
        <v>411</v>
      </c>
      <c r="B82" s="37"/>
      <c r="C82" s="57"/>
      <c r="E82" s="57"/>
      <c r="F82" s="57"/>
      <c r="G82" s="57"/>
      <c r="H82" s="57"/>
      <c r="I82" s="43"/>
      <c r="J82" s="42"/>
      <c r="K82" s="743">
        <f>COUNTIF(K76:K79,"&gt;100")</f>
        <v>0</v>
      </c>
      <c r="L82" s="496">
        <f t="shared" ref="L82:AE82" si="10">COUNTIF(L76:L77,"&gt;100")</f>
        <v>1</v>
      </c>
      <c r="M82" s="496">
        <f t="shared" si="10"/>
        <v>2</v>
      </c>
      <c r="N82" s="496">
        <f t="shared" si="10"/>
        <v>2</v>
      </c>
      <c r="O82" s="496">
        <f t="shared" si="10"/>
        <v>2</v>
      </c>
      <c r="P82" s="496">
        <f t="shared" si="10"/>
        <v>2</v>
      </c>
      <c r="Q82" s="496">
        <f t="shared" si="10"/>
        <v>2</v>
      </c>
      <c r="R82" s="496">
        <f t="shared" si="10"/>
        <v>2</v>
      </c>
      <c r="S82" s="496">
        <f t="shared" si="10"/>
        <v>2</v>
      </c>
      <c r="T82" s="496">
        <f t="shared" si="10"/>
        <v>2</v>
      </c>
      <c r="U82" s="496">
        <f t="shared" si="10"/>
        <v>2</v>
      </c>
      <c r="V82" s="496">
        <f t="shared" si="10"/>
        <v>2</v>
      </c>
      <c r="W82" s="496">
        <f t="shared" si="10"/>
        <v>2</v>
      </c>
      <c r="X82" s="496">
        <f t="shared" si="10"/>
        <v>2</v>
      </c>
      <c r="Y82" s="496">
        <f t="shared" si="10"/>
        <v>2</v>
      </c>
      <c r="Z82" s="496">
        <f t="shared" si="10"/>
        <v>2</v>
      </c>
      <c r="AA82" s="496">
        <f t="shared" si="10"/>
        <v>2</v>
      </c>
      <c r="AB82" s="496">
        <f t="shared" si="10"/>
        <v>2</v>
      </c>
      <c r="AC82" s="496">
        <f t="shared" si="10"/>
        <v>2</v>
      </c>
      <c r="AD82" s="496">
        <f t="shared" si="10"/>
        <v>2</v>
      </c>
      <c r="AE82" s="496">
        <f t="shared" si="10"/>
        <v>2</v>
      </c>
      <c r="AF82" s="744"/>
    </row>
    <row r="83" spans="1:35">
      <c r="A83" s="745" t="s">
        <v>412</v>
      </c>
      <c r="B83" s="745"/>
      <c r="C83" s="746"/>
      <c r="D83" s="116"/>
      <c r="E83" s="746"/>
      <c r="F83" s="746"/>
      <c r="G83" s="746"/>
      <c r="H83" s="746"/>
      <c r="I83" s="747"/>
      <c r="J83" s="748"/>
      <c r="K83" s="749">
        <f t="shared" ref="K83" si="11">K84-K82</f>
        <v>0</v>
      </c>
      <c r="L83" s="750">
        <f t="shared" ref="L83:AE83" si="12">COUNTIF(L78:L79,"&gt;100")</f>
        <v>0</v>
      </c>
      <c r="M83" s="750">
        <f t="shared" si="12"/>
        <v>2</v>
      </c>
      <c r="N83" s="750">
        <f t="shared" si="12"/>
        <v>2</v>
      </c>
      <c r="O83" s="750">
        <f t="shared" si="12"/>
        <v>2</v>
      </c>
      <c r="P83" s="750">
        <f t="shared" si="12"/>
        <v>2</v>
      </c>
      <c r="Q83" s="750">
        <f t="shared" si="12"/>
        <v>2</v>
      </c>
      <c r="R83" s="750">
        <f t="shared" si="12"/>
        <v>2</v>
      </c>
      <c r="S83" s="750">
        <f t="shared" si="12"/>
        <v>2</v>
      </c>
      <c r="T83" s="750">
        <f t="shared" si="12"/>
        <v>2</v>
      </c>
      <c r="U83" s="750">
        <f t="shared" si="12"/>
        <v>2</v>
      </c>
      <c r="V83" s="750">
        <f t="shared" si="12"/>
        <v>2</v>
      </c>
      <c r="W83" s="750">
        <f t="shared" si="12"/>
        <v>2</v>
      </c>
      <c r="X83" s="750">
        <f t="shared" si="12"/>
        <v>2</v>
      </c>
      <c r="Y83" s="750">
        <f t="shared" si="12"/>
        <v>2</v>
      </c>
      <c r="Z83" s="750">
        <f t="shared" si="12"/>
        <v>2</v>
      </c>
      <c r="AA83" s="750">
        <f t="shared" si="12"/>
        <v>2</v>
      </c>
      <c r="AB83" s="750">
        <f t="shared" si="12"/>
        <v>2</v>
      </c>
      <c r="AC83" s="750">
        <f t="shared" si="12"/>
        <v>2</v>
      </c>
      <c r="AD83" s="750">
        <f t="shared" si="12"/>
        <v>2</v>
      </c>
      <c r="AE83" s="750">
        <f t="shared" si="12"/>
        <v>2</v>
      </c>
    </row>
    <row r="84" spans="1:35" s="56" customFormat="1" ht="14.25">
      <c r="A84" s="164" t="s">
        <v>413</v>
      </c>
      <c r="B84" s="164"/>
      <c r="C84" s="75"/>
      <c r="D84" s="173"/>
      <c r="E84" s="75"/>
      <c r="F84" s="75"/>
      <c r="G84" s="75"/>
      <c r="H84" s="75"/>
      <c r="I84" s="174"/>
      <c r="J84" s="181"/>
      <c r="K84" s="751">
        <f>COUNTIF(K76:K79,"&gt;0")</f>
        <v>0</v>
      </c>
      <c r="L84" s="752">
        <f>SUM(L82:L83)</f>
        <v>1</v>
      </c>
      <c r="M84" s="752">
        <f t="shared" ref="M84:AE84" si="13">SUM(M82:M83)</f>
        <v>4</v>
      </c>
      <c r="N84" s="752">
        <f t="shared" si="13"/>
        <v>4</v>
      </c>
      <c r="O84" s="752">
        <f t="shared" si="13"/>
        <v>4</v>
      </c>
      <c r="P84" s="752">
        <f t="shared" si="13"/>
        <v>4</v>
      </c>
      <c r="Q84" s="752">
        <f t="shared" si="13"/>
        <v>4</v>
      </c>
      <c r="R84" s="752">
        <f t="shared" si="13"/>
        <v>4</v>
      </c>
      <c r="S84" s="752">
        <f t="shared" si="13"/>
        <v>4</v>
      </c>
      <c r="T84" s="752">
        <f t="shared" si="13"/>
        <v>4</v>
      </c>
      <c r="U84" s="752">
        <f t="shared" si="13"/>
        <v>4</v>
      </c>
      <c r="V84" s="752">
        <f t="shared" si="13"/>
        <v>4</v>
      </c>
      <c r="W84" s="752">
        <f t="shared" si="13"/>
        <v>4</v>
      </c>
      <c r="X84" s="752">
        <f t="shared" si="13"/>
        <v>4</v>
      </c>
      <c r="Y84" s="752">
        <f t="shared" si="13"/>
        <v>4</v>
      </c>
      <c r="Z84" s="752">
        <f t="shared" si="13"/>
        <v>4</v>
      </c>
      <c r="AA84" s="752">
        <f t="shared" si="13"/>
        <v>4</v>
      </c>
      <c r="AB84" s="752">
        <f t="shared" si="13"/>
        <v>4</v>
      </c>
      <c r="AC84" s="752">
        <f t="shared" si="13"/>
        <v>4</v>
      </c>
      <c r="AD84" s="752">
        <f t="shared" si="13"/>
        <v>4</v>
      </c>
      <c r="AE84" s="752">
        <f t="shared" si="13"/>
        <v>4</v>
      </c>
    </row>
    <row r="85" spans="1:35" s="56" customFormat="1" ht="14.25">
      <c r="A85" s="164"/>
      <c r="B85" s="164"/>
      <c r="C85" s="75"/>
      <c r="D85" s="173"/>
      <c r="E85" s="75"/>
      <c r="F85" s="75"/>
      <c r="G85" s="75"/>
      <c r="H85" s="75"/>
      <c r="I85" s="174"/>
      <c r="J85" s="181"/>
      <c r="K85" s="685"/>
      <c r="L85" s="315"/>
      <c r="M85" s="315"/>
      <c r="N85" s="315"/>
      <c r="O85" s="315"/>
      <c r="P85" s="315"/>
      <c r="Q85" s="315"/>
      <c r="R85" s="315"/>
      <c r="S85" s="315"/>
      <c r="T85" s="315"/>
      <c r="U85" s="315"/>
      <c r="V85" s="315"/>
      <c r="W85" s="315"/>
      <c r="X85" s="315"/>
      <c r="Y85" s="315"/>
      <c r="Z85" s="315"/>
      <c r="AA85" s="315"/>
      <c r="AB85" s="315"/>
      <c r="AC85" s="315"/>
      <c r="AD85" s="315"/>
      <c r="AE85" s="315"/>
    </row>
    <row r="86" spans="1:35">
      <c r="A86" s="48" t="s">
        <v>68</v>
      </c>
      <c r="B86" s="48"/>
      <c r="C86" s="77"/>
      <c r="D86" s="76"/>
      <c r="E86" s="57"/>
      <c r="F86" s="57"/>
      <c r="G86" s="77"/>
      <c r="H86" s="77"/>
      <c r="I86" s="50"/>
      <c r="J86" s="49"/>
      <c r="K86" s="683"/>
      <c r="L86" s="316"/>
      <c r="M86" s="316"/>
      <c r="N86" s="316"/>
      <c r="O86" s="316"/>
      <c r="P86" s="316"/>
      <c r="Q86" s="316"/>
      <c r="R86" s="316"/>
      <c r="S86" s="316"/>
      <c r="T86" s="316"/>
      <c r="U86" s="316"/>
      <c r="V86" s="316"/>
      <c r="W86" s="316"/>
      <c r="X86" s="316"/>
      <c r="Y86" s="316"/>
      <c r="Z86" s="316"/>
      <c r="AA86" s="316"/>
      <c r="AB86" s="316"/>
      <c r="AC86" s="316"/>
      <c r="AD86" s="316"/>
      <c r="AE86" s="316"/>
    </row>
    <row r="87" spans="1:35" s="68" customFormat="1" ht="14.25">
      <c r="A87" s="214" t="s">
        <v>80</v>
      </c>
      <c r="B87" s="189"/>
      <c r="C87" s="209"/>
      <c r="D87" s="210"/>
      <c r="E87" s="211"/>
      <c r="F87" s="211"/>
      <c r="G87" s="209"/>
      <c r="H87" s="209"/>
      <c r="I87" s="213"/>
      <c r="J87" s="212"/>
      <c r="K87" s="686"/>
      <c r="L87" s="317"/>
      <c r="M87" s="317"/>
      <c r="N87" s="317"/>
      <c r="O87" s="317"/>
      <c r="P87" s="317"/>
      <c r="Q87" s="317"/>
      <c r="R87" s="317"/>
      <c r="S87" s="317"/>
      <c r="T87" s="317"/>
      <c r="U87" s="317"/>
      <c r="V87" s="317"/>
      <c r="W87" s="317"/>
      <c r="X87" s="317"/>
      <c r="Y87" s="317"/>
      <c r="Z87" s="317"/>
      <c r="AA87" s="317"/>
      <c r="AB87" s="317"/>
      <c r="AC87" s="317"/>
      <c r="AD87" s="317"/>
      <c r="AE87" s="317"/>
    </row>
    <row r="88" spans="1:35">
      <c r="A88" s="37" t="s">
        <v>41</v>
      </c>
      <c r="B88" s="37"/>
      <c r="C88" s="110"/>
      <c r="D88" s="106"/>
      <c r="E88" s="57"/>
      <c r="F88" s="57"/>
      <c r="G88" s="57"/>
      <c r="H88" s="57"/>
      <c r="I88" s="51"/>
      <c r="J88" s="663"/>
      <c r="K88" s="683">
        <f>K$84*$J88*R$9</f>
        <v>0</v>
      </c>
      <c r="L88" s="666">
        <v>25000</v>
      </c>
      <c r="M88" s="666">
        <f>$L$88*L11</f>
        <v>25500</v>
      </c>
      <c r="N88" s="666">
        <f t="shared" ref="N88:P88" si="14">$L$88*M11</f>
        <v>26010</v>
      </c>
      <c r="O88" s="666">
        <f t="shared" si="14"/>
        <v>26530.199999999997</v>
      </c>
      <c r="P88" s="666">
        <f t="shared" si="14"/>
        <v>27060.804</v>
      </c>
      <c r="Q88" s="666">
        <f t="shared" ref="Q88" si="15">$L$88*P11</f>
        <v>27602.020080000002</v>
      </c>
      <c r="R88" s="666">
        <f t="shared" ref="R88" si="16">$L$88*Q11</f>
        <v>28154.060481600001</v>
      </c>
      <c r="S88" s="666">
        <f t="shared" ref="S88" si="17">$L$88*R11</f>
        <v>28717.141691232002</v>
      </c>
      <c r="T88" s="666">
        <f t="shared" ref="T88" si="18">$L$88*S11</f>
        <v>29291.484525056643</v>
      </c>
      <c r="U88" s="666">
        <f t="shared" ref="U88" si="19">$L$88*T11</f>
        <v>29877.314215557777</v>
      </c>
      <c r="V88" s="666">
        <f t="shared" ref="V88" si="20">$L$88*U11</f>
        <v>30474.860499868933</v>
      </c>
      <c r="W88" s="666">
        <f t="shared" ref="W88" si="21">$L$88*V11</f>
        <v>31084.357709866312</v>
      </c>
      <c r="X88" s="666">
        <f t="shared" ref="X88" si="22">$L$88*W11</f>
        <v>31706.044864063639</v>
      </c>
      <c r="Y88" s="666">
        <f t="shared" ref="Y88" si="23">$L$88*X11</f>
        <v>32340.165761344906</v>
      </c>
      <c r="Z88" s="666">
        <f t="shared" ref="Z88" si="24">$L$88*Y11</f>
        <v>32986.969076571811</v>
      </c>
      <c r="AA88" s="666">
        <f t="shared" ref="AA88" si="25">$L$88*Z11</f>
        <v>33646.708458103247</v>
      </c>
      <c r="AB88" s="666">
        <f t="shared" ref="AB88" si="26">$L$88*AA11</f>
        <v>34319.642627265312</v>
      </c>
      <c r="AC88" s="666">
        <f t="shared" ref="AC88" si="27">$L$88*AB11</f>
        <v>35006.03547981062</v>
      </c>
      <c r="AD88" s="666">
        <f t="shared" ref="AD88" si="28">$L$88*AC11</f>
        <v>35706.156189406836</v>
      </c>
      <c r="AE88" s="666">
        <f t="shared" ref="AE88" si="29">$L$88*AD11</f>
        <v>36420.279313194973</v>
      </c>
    </row>
    <row r="89" spans="1:35">
      <c r="A89" s="37" t="s">
        <v>424</v>
      </c>
      <c r="B89" s="37"/>
      <c r="C89" s="110"/>
      <c r="D89" s="106"/>
      <c r="E89" s="57"/>
      <c r="F89" s="57"/>
      <c r="G89" s="57"/>
      <c r="H89" s="57"/>
      <c r="I89" s="51"/>
      <c r="J89" s="663"/>
      <c r="K89" s="683">
        <f>K$84*$J89*R$9</f>
        <v>0</v>
      </c>
      <c r="L89" s="666">
        <v>10000</v>
      </c>
      <c r="M89" s="666">
        <v>500</v>
      </c>
      <c r="N89" s="666">
        <f>$M$89*M11</f>
        <v>520.20000000000005</v>
      </c>
      <c r="O89" s="666">
        <f>$M$89*N11</f>
        <v>530.60399999999993</v>
      </c>
      <c r="P89" s="666">
        <f>$M$89*O11</f>
        <v>541.21608000000003</v>
      </c>
      <c r="Q89" s="666">
        <v>5000</v>
      </c>
      <c r="R89" s="666">
        <f>$M$89*Q11</f>
        <v>563.08120963200008</v>
      </c>
      <c r="S89" s="666">
        <f>$M$89*R11</f>
        <v>574.34283382464002</v>
      </c>
      <c r="T89" s="666">
        <f>$M$89*S11</f>
        <v>585.82969050113286</v>
      </c>
      <c r="U89" s="666">
        <f>$M$89*T11</f>
        <v>597.54628431115555</v>
      </c>
      <c r="V89" s="666">
        <v>5000</v>
      </c>
      <c r="W89" s="666">
        <f>$M$89*V11</f>
        <v>621.68715419732621</v>
      </c>
      <c r="X89" s="666">
        <f>$M$89*W11</f>
        <v>634.12089728127273</v>
      </c>
      <c r="Y89" s="666">
        <f>$M$89*X11</f>
        <v>646.80331522689812</v>
      </c>
      <c r="Z89" s="666">
        <f>$M$89*Y11</f>
        <v>659.73938153143615</v>
      </c>
      <c r="AA89" s="666">
        <v>5000</v>
      </c>
      <c r="AB89" s="666">
        <f>$M$89*AA11</f>
        <v>686.39285254530625</v>
      </c>
      <c r="AC89" s="666">
        <f>$M$89*AB11</f>
        <v>700.12070959621246</v>
      </c>
      <c r="AD89" s="666">
        <f>$M$89*AC11</f>
        <v>714.1231237881367</v>
      </c>
      <c r="AE89" s="666">
        <f>$M$89*AD11</f>
        <v>728.40558626389941</v>
      </c>
    </row>
    <row r="90" spans="1:35">
      <c r="A90" s="37" t="s">
        <v>42</v>
      </c>
      <c r="B90" s="37"/>
      <c r="C90" s="110"/>
      <c r="D90" s="106"/>
      <c r="E90" s="57"/>
      <c r="F90" s="57"/>
      <c r="G90" s="57"/>
      <c r="H90" s="57"/>
      <c r="I90" s="51"/>
      <c r="J90" s="663"/>
      <c r="K90" s="683">
        <f>K$84*$J90*R$9</f>
        <v>0</v>
      </c>
      <c r="L90" s="666">
        <v>50000</v>
      </c>
      <c r="M90" s="666">
        <f t="shared" ref="M90:AE90" si="30">($L$90*L11)</f>
        <v>51000</v>
      </c>
      <c r="N90" s="666">
        <f t="shared" si="30"/>
        <v>52020</v>
      </c>
      <c r="O90" s="666">
        <f t="shared" si="30"/>
        <v>53060.399999999994</v>
      </c>
      <c r="P90" s="666">
        <f t="shared" si="30"/>
        <v>54121.608</v>
      </c>
      <c r="Q90" s="666">
        <f t="shared" si="30"/>
        <v>55204.040160000004</v>
      </c>
      <c r="R90" s="666">
        <f t="shared" si="30"/>
        <v>56308.120963200003</v>
      </c>
      <c r="S90" s="666">
        <f t="shared" si="30"/>
        <v>57434.283382464004</v>
      </c>
      <c r="T90" s="666">
        <f t="shared" si="30"/>
        <v>58582.969050113286</v>
      </c>
      <c r="U90" s="666">
        <f t="shared" si="30"/>
        <v>59754.628431115554</v>
      </c>
      <c r="V90" s="666">
        <f t="shared" si="30"/>
        <v>60949.720999737867</v>
      </c>
      <c r="W90" s="666">
        <f t="shared" si="30"/>
        <v>62168.715419732624</v>
      </c>
      <c r="X90" s="666">
        <f t="shared" si="30"/>
        <v>63412.089728127277</v>
      </c>
      <c r="Y90" s="666">
        <f t="shared" si="30"/>
        <v>64680.331522689812</v>
      </c>
      <c r="Z90" s="666">
        <f t="shared" si="30"/>
        <v>65973.938153143623</v>
      </c>
      <c r="AA90" s="666">
        <f t="shared" si="30"/>
        <v>67293.416916206494</v>
      </c>
      <c r="AB90" s="666">
        <f t="shared" si="30"/>
        <v>68639.285254530623</v>
      </c>
      <c r="AC90" s="666">
        <f t="shared" si="30"/>
        <v>70012.07095962124</v>
      </c>
      <c r="AD90" s="666">
        <f t="shared" si="30"/>
        <v>71412.312378813673</v>
      </c>
      <c r="AE90" s="666">
        <f t="shared" si="30"/>
        <v>72840.558626389946</v>
      </c>
    </row>
    <row r="91" spans="1:35">
      <c r="A91" s="37" t="s">
        <v>43</v>
      </c>
      <c r="B91" s="37"/>
      <c r="C91" s="110"/>
      <c r="D91" s="106"/>
      <c r="E91" s="57"/>
      <c r="F91" s="57"/>
      <c r="G91" s="57"/>
      <c r="H91" s="57"/>
      <c r="I91" s="51" t="s">
        <v>8</v>
      </c>
      <c r="J91" s="663">
        <v>500</v>
      </c>
      <c r="K91" s="683">
        <v>0</v>
      </c>
      <c r="L91" s="666">
        <f>J91*L84</f>
        <v>500</v>
      </c>
      <c r="M91" s="666">
        <f t="shared" ref="M91:AE91" si="31">$J$91*M84*L11</f>
        <v>2040</v>
      </c>
      <c r="N91" s="666">
        <f t="shared" si="31"/>
        <v>2080.8000000000002</v>
      </c>
      <c r="O91" s="666">
        <f t="shared" si="31"/>
        <v>2122.4159999999997</v>
      </c>
      <c r="P91" s="666">
        <f t="shared" si="31"/>
        <v>2164.8643200000001</v>
      </c>
      <c r="Q91" s="666">
        <f t="shared" si="31"/>
        <v>2208.1616064</v>
      </c>
      <c r="R91" s="666">
        <f t="shared" si="31"/>
        <v>2252.3248385280003</v>
      </c>
      <c r="S91" s="666">
        <f t="shared" si="31"/>
        <v>2297.3713352985601</v>
      </c>
      <c r="T91" s="666">
        <f t="shared" si="31"/>
        <v>2343.3187620045314</v>
      </c>
      <c r="U91" s="666">
        <f t="shared" si="31"/>
        <v>2390.1851372446222</v>
      </c>
      <c r="V91" s="666">
        <f t="shared" si="31"/>
        <v>2437.9888399895149</v>
      </c>
      <c r="W91" s="666">
        <f t="shared" si="31"/>
        <v>2486.7486167893048</v>
      </c>
      <c r="X91" s="666">
        <f t="shared" si="31"/>
        <v>2536.4835891250909</v>
      </c>
      <c r="Y91" s="666">
        <f t="shared" si="31"/>
        <v>2587.2132609075925</v>
      </c>
      <c r="Z91" s="666">
        <f t="shared" si="31"/>
        <v>2638.9575261257446</v>
      </c>
      <c r="AA91" s="666">
        <f t="shared" si="31"/>
        <v>2691.7366766482596</v>
      </c>
      <c r="AB91" s="666">
        <f t="shared" si="31"/>
        <v>2745.571410181225</v>
      </c>
      <c r="AC91" s="666">
        <f t="shared" si="31"/>
        <v>2800.4828383848499</v>
      </c>
      <c r="AD91" s="666">
        <f t="shared" si="31"/>
        <v>2856.4924951525468</v>
      </c>
      <c r="AE91" s="666">
        <f t="shared" si="31"/>
        <v>2913.6223450555976</v>
      </c>
    </row>
    <row r="92" spans="1:35">
      <c r="A92" s="37" t="s">
        <v>44</v>
      </c>
      <c r="B92" s="37"/>
      <c r="C92" s="110"/>
      <c r="D92" s="106"/>
      <c r="E92" s="57"/>
      <c r="F92" s="57"/>
      <c r="G92" s="57"/>
      <c r="H92" s="57"/>
      <c r="I92" s="51" t="s">
        <v>8</v>
      </c>
      <c r="J92" s="663">
        <v>250</v>
      </c>
      <c r="K92" s="683">
        <v>0</v>
      </c>
      <c r="L92" s="666">
        <f>J92*L84</f>
        <v>250</v>
      </c>
      <c r="M92" s="666">
        <f t="shared" ref="M92:AE92" si="32">$J$92*M84*L11</f>
        <v>1020</v>
      </c>
      <c r="N92" s="666">
        <f t="shared" si="32"/>
        <v>1040.4000000000001</v>
      </c>
      <c r="O92" s="666">
        <f t="shared" si="32"/>
        <v>1061.2079999999999</v>
      </c>
      <c r="P92" s="666">
        <f t="shared" si="32"/>
        <v>1082.4321600000001</v>
      </c>
      <c r="Q92" s="666">
        <f t="shared" si="32"/>
        <v>1104.0808032</v>
      </c>
      <c r="R92" s="666">
        <f t="shared" si="32"/>
        <v>1126.1624192640002</v>
      </c>
      <c r="S92" s="666">
        <f t="shared" si="32"/>
        <v>1148.68566764928</v>
      </c>
      <c r="T92" s="666">
        <f t="shared" si="32"/>
        <v>1171.6593810022657</v>
      </c>
      <c r="U92" s="666">
        <f t="shared" si="32"/>
        <v>1195.0925686223111</v>
      </c>
      <c r="V92" s="666">
        <f t="shared" si="32"/>
        <v>1218.9944199947574</v>
      </c>
      <c r="W92" s="666">
        <f t="shared" si="32"/>
        <v>1243.3743083946524</v>
      </c>
      <c r="X92" s="666">
        <f t="shared" si="32"/>
        <v>1268.2417945625455</v>
      </c>
      <c r="Y92" s="666">
        <f t="shared" si="32"/>
        <v>1293.6066304537962</v>
      </c>
      <c r="Z92" s="666">
        <f t="shared" si="32"/>
        <v>1319.4787630628723</v>
      </c>
      <c r="AA92" s="666">
        <f t="shared" si="32"/>
        <v>1345.8683383241298</v>
      </c>
      <c r="AB92" s="666">
        <f t="shared" si="32"/>
        <v>1372.7857050906125</v>
      </c>
      <c r="AC92" s="666">
        <f t="shared" si="32"/>
        <v>1400.2414191924249</v>
      </c>
      <c r="AD92" s="666">
        <f t="shared" si="32"/>
        <v>1428.2462475762734</v>
      </c>
      <c r="AE92" s="666">
        <f t="shared" si="32"/>
        <v>1456.8111725277988</v>
      </c>
      <c r="AF92" s="44"/>
    </row>
    <row r="93" spans="1:35">
      <c r="A93" s="745" t="s">
        <v>2</v>
      </c>
      <c r="B93" s="745"/>
      <c r="C93" s="753"/>
      <c r="D93" s="754"/>
      <c r="E93" s="746"/>
      <c r="F93" s="746"/>
      <c r="G93" s="746"/>
      <c r="H93" s="746"/>
      <c r="I93" s="755"/>
      <c r="J93" s="739"/>
      <c r="K93" s="741">
        <v>0</v>
      </c>
      <c r="L93" s="742">
        <v>1000</v>
      </c>
      <c r="M93" s="742">
        <f t="shared" ref="M93:AE93" si="33">($L$93*L11)</f>
        <v>1020</v>
      </c>
      <c r="N93" s="742">
        <f t="shared" si="33"/>
        <v>1040.4000000000001</v>
      </c>
      <c r="O93" s="742">
        <f t="shared" si="33"/>
        <v>1061.2079999999999</v>
      </c>
      <c r="P93" s="742">
        <f t="shared" si="33"/>
        <v>1082.4321600000001</v>
      </c>
      <c r="Q93" s="742">
        <f t="shared" si="33"/>
        <v>1104.0808032</v>
      </c>
      <c r="R93" s="742">
        <f t="shared" si="33"/>
        <v>1126.1624192640002</v>
      </c>
      <c r="S93" s="742">
        <f t="shared" si="33"/>
        <v>1148.68566764928</v>
      </c>
      <c r="T93" s="742">
        <f t="shared" si="33"/>
        <v>1171.6593810022657</v>
      </c>
      <c r="U93" s="742">
        <f t="shared" si="33"/>
        <v>1195.0925686223111</v>
      </c>
      <c r="V93" s="742">
        <f t="shared" si="33"/>
        <v>1218.9944199947574</v>
      </c>
      <c r="W93" s="742">
        <f t="shared" si="33"/>
        <v>1243.3743083946524</v>
      </c>
      <c r="X93" s="742">
        <f t="shared" si="33"/>
        <v>1268.2417945625455</v>
      </c>
      <c r="Y93" s="742">
        <f t="shared" si="33"/>
        <v>1293.6066304537962</v>
      </c>
      <c r="Z93" s="742">
        <f t="shared" si="33"/>
        <v>1319.4787630628723</v>
      </c>
      <c r="AA93" s="742">
        <f t="shared" si="33"/>
        <v>1345.8683383241298</v>
      </c>
      <c r="AB93" s="742">
        <f t="shared" si="33"/>
        <v>1372.7857050906125</v>
      </c>
      <c r="AC93" s="742">
        <f t="shared" si="33"/>
        <v>1400.2414191924249</v>
      </c>
      <c r="AD93" s="742">
        <f t="shared" si="33"/>
        <v>1428.2462475762734</v>
      </c>
      <c r="AE93" s="742">
        <f t="shared" si="33"/>
        <v>1456.8111725277988</v>
      </c>
    </row>
    <row r="94" spans="1:35" s="56" customFormat="1" ht="14.25">
      <c r="A94" s="164" t="s">
        <v>409</v>
      </c>
      <c r="B94" s="215"/>
      <c r="C94" s="216"/>
      <c r="D94" s="217"/>
      <c r="E94" s="218"/>
      <c r="F94" s="218"/>
      <c r="G94" s="218"/>
      <c r="H94" s="218"/>
      <c r="I94" s="219"/>
      <c r="J94" s="756"/>
      <c r="K94" s="687">
        <f>SUM(K88:K93)</f>
        <v>0</v>
      </c>
      <c r="L94" s="757">
        <f>SUM(L88:L93)</f>
        <v>86750</v>
      </c>
      <c r="M94" s="757">
        <f t="shared" ref="M94:AE94" si="34">SUM(M88:M93)</f>
        <v>81080</v>
      </c>
      <c r="N94" s="757">
        <f t="shared" si="34"/>
        <v>82711.799999999988</v>
      </c>
      <c r="O94" s="757">
        <f t="shared" si="34"/>
        <v>84366.035999999993</v>
      </c>
      <c r="P94" s="757">
        <f t="shared" si="34"/>
        <v>86053.356719999982</v>
      </c>
      <c r="Q94" s="757">
        <f t="shared" si="34"/>
        <v>92222.383452800015</v>
      </c>
      <c r="R94" s="757">
        <f t="shared" si="34"/>
        <v>89529.912331488013</v>
      </c>
      <c r="S94" s="757">
        <f t="shared" si="34"/>
        <v>91320.510578117755</v>
      </c>
      <c r="T94" s="757">
        <f t="shared" si="34"/>
        <v>93146.920789680124</v>
      </c>
      <c r="U94" s="757">
        <f t="shared" si="34"/>
        <v>95009.859205473724</v>
      </c>
      <c r="V94" s="757">
        <f t="shared" si="34"/>
        <v>101300.55917958585</v>
      </c>
      <c r="W94" s="757">
        <f t="shared" si="34"/>
        <v>98848.257517374863</v>
      </c>
      <c r="X94" s="757">
        <f t="shared" si="34"/>
        <v>100825.22266772237</v>
      </c>
      <c r="Y94" s="757">
        <f t="shared" si="34"/>
        <v>102841.72712107681</v>
      </c>
      <c r="Z94" s="757">
        <f t="shared" si="34"/>
        <v>104898.56166349835</v>
      </c>
      <c r="AA94" s="757">
        <f t="shared" si="34"/>
        <v>111323.59872760627</v>
      </c>
      <c r="AB94" s="757">
        <f t="shared" si="34"/>
        <v>109136.4635547037</v>
      </c>
      <c r="AC94" s="757">
        <f t="shared" si="34"/>
        <v>111319.19282579776</v>
      </c>
      <c r="AD94" s="757">
        <f t="shared" si="34"/>
        <v>113545.57668231374</v>
      </c>
      <c r="AE94" s="757">
        <f t="shared" si="34"/>
        <v>115816.48821596001</v>
      </c>
    </row>
    <row r="95" spans="1:35" s="56" customFormat="1" ht="14.25">
      <c r="A95" s="164"/>
      <c r="B95" s="215"/>
      <c r="C95" s="216"/>
      <c r="D95" s="217"/>
      <c r="E95" s="218"/>
      <c r="F95" s="218"/>
      <c r="G95" s="218"/>
      <c r="H95" s="218"/>
      <c r="I95" s="219"/>
      <c r="J95" s="220"/>
      <c r="K95" s="687"/>
      <c r="L95" s="318"/>
      <c r="M95" s="318"/>
      <c r="N95" s="318"/>
      <c r="O95" s="318"/>
      <c r="P95" s="318"/>
      <c r="Q95" s="318"/>
      <c r="R95" s="318"/>
      <c r="S95" s="318"/>
      <c r="T95" s="318"/>
      <c r="U95" s="318"/>
      <c r="V95" s="318"/>
      <c r="W95" s="318"/>
      <c r="X95" s="318"/>
      <c r="Y95" s="318"/>
      <c r="Z95" s="318"/>
      <c r="AA95" s="318"/>
      <c r="AB95" s="318"/>
      <c r="AC95" s="318"/>
      <c r="AD95" s="318"/>
      <c r="AE95" s="318"/>
    </row>
    <row r="96" spans="1:35" s="56" customFormat="1" ht="14.25">
      <c r="A96" s="720" t="s">
        <v>26</v>
      </c>
      <c r="B96" s="215"/>
      <c r="C96" s="218"/>
      <c r="D96" s="721"/>
      <c r="E96" s="218"/>
      <c r="F96" s="218"/>
      <c r="G96" s="218"/>
      <c r="H96" s="218"/>
      <c r="I96" s="722"/>
      <c r="J96" s="220"/>
      <c r="K96" s="687"/>
      <c r="L96" s="318"/>
      <c r="M96" s="318"/>
      <c r="N96" s="318"/>
      <c r="O96" s="318"/>
      <c r="P96" s="318"/>
      <c r="Q96" s="318"/>
      <c r="R96" s="318"/>
      <c r="S96" s="318"/>
      <c r="T96" s="318"/>
      <c r="U96" s="318"/>
      <c r="V96" s="318"/>
      <c r="W96" s="318"/>
      <c r="X96" s="318"/>
      <c r="Y96" s="318"/>
      <c r="Z96" s="318"/>
      <c r="AA96" s="318"/>
      <c r="AB96" s="318"/>
      <c r="AC96" s="318"/>
      <c r="AD96" s="318"/>
      <c r="AE96" s="318"/>
      <c r="AF96" s="723"/>
      <c r="AG96" s="723"/>
      <c r="AH96" s="723"/>
      <c r="AI96" s="723"/>
    </row>
    <row r="97" spans="1:35">
      <c r="A97" s="190" t="s">
        <v>41</v>
      </c>
      <c r="B97" s="190"/>
      <c r="C97" s="194"/>
      <c r="D97" s="758"/>
      <c r="E97" s="194"/>
      <c r="F97" s="194"/>
      <c r="G97" s="759"/>
      <c r="H97" s="759"/>
      <c r="I97" s="760"/>
      <c r="J97" s="761"/>
      <c r="K97" s="689">
        <v>0</v>
      </c>
      <c r="L97" s="665">
        <v>1000</v>
      </c>
      <c r="M97" s="665">
        <f>$L$97*L11</f>
        <v>1020</v>
      </c>
      <c r="N97" s="665">
        <f t="shared" ref="N97:P97" si="35">$L$97*M11</f>
        <v>1040.4000000000001</v>
      </c>
      <c r="O97" s="665">
        <f t="shared" si="35"/>
        <v>1061.2079999999999</v>
      </c>
      <c r="P97" s="665">
        <f t="shared" si="35"/>
        <v>1082.4321600000001</v>
      </c>
      <c r="Q97" s="665">
        <v>25000</v>
      </c>
      <c r="R97" s="665">
        <f>$Q$97*L11</f>
        <v>25500</v>
      </c>
      <c r="S97" s="665">
        <f t="shared" ref="S97:AE97" si="36">$Q$97*M11</f>
        <v>26010</v>
      </c>
      <c r="T97" s="665">
        <f t="shared" si="36"/>
        <v>26530.199999999997</v>
      </c>
      <c r="U97" s="665">
        <f t="shared" si="36"/>
        <v>27060.804</v>
      </c>
      <c r="V97" s="665">
        <f t="shared" si="36"/>
        <v>27602.020080000002</v>
      </c>
      <c r="W97" s="665">
        <f t="shared" si="36"/>
        <v>28154.060481600001</v>
      </c>
      <c r="X97" s="665">
        <f t="shared" si="36"/>
        <v>28717.141691232002</v>
      </c>
      <c r="Y97" s="665">
        <f t="shared" si="36"/>
        <v>29291.484525056643</v>
      </c>
      <c r="Z97" s="665">
        <f t="shared" si="36"/>
        <v>29877.314215557777</v>
      </c>
      <c r="AA97" s="665">
        <f t="shared" si="36"/>
        <v>30474.860499868933</v>
      </c>
      <c r="AB97" s="665">
        <f t="shared" si="36"/>
        <v>31084.357709866312</v>
      </c>
      <c r="AC97" s="665">
        <f t="shared" si="36"/>
        <v>31706.044864063639</v>
      </c>
      <c r="AD97" s="665">
        <f t="shared" si="36"/>
        <v>32340.165761344906</v>
      </c>
      <c r="AE97" s="665">
        <f t="shared" si="36"/>
        <v>32986.969076571811</v>
      </c>
      <c r="AF97" s="55"/>
      <c r="AG97" s="55"/>
      <c r="AH97" s="55"/>
      <c r="AI97" s="55"/>
    </row>
    <row r="98" spans="1:35">
      <c r="A98" s="745" t="s">
        <v>302</v>
      </c>
      <c r="B98" s="745"/>
      <c r="C98" s="746"/>
      <c r="D98" s="116"/>
      <c r="E98" s="746"/>
      <c r="F98" s="746"/>
      <c r="G98" s="753"/>
      <c r="H98" s="753"/>
      <c r="I98" s="755"/>
      <c r="J98" s="762"/>
      <c r="K98" s="741">
        <v>0</v>
      </c>
      <c r="L98" s="742">
        <f>'Shuttle Projections'!C28/2</f>
        <v>233675</v>
      </c>
      <c r="M98" s="742">
        <f>'Shuttle Projections'!D28</f>
        <v>476697</v>
      </c>
      <c r="N98" s="742">
        <f>'Shuttle Projections'!E28</f>
        <v>486230.94000000006</v>
      </c>
      <c r="O98" s="742">
        <f>'Shuttle Projections'!F28</f>
        <v>495955.55879999994</v>
      </c>
      <c r="P98" s="742">
        <f>'Shuttle Projections'!G28</f>
        <v>505874.66997599998</v>
      </c>
      <c r="Q98" s="742">
        <f>'Shuttle Projections'!H28</f>
        <v>515992.16337552003</v>
      </c>
      <c r="R98" s="742">
        <f>'Shuttle Projections'!I28</f>
        <v>526312.00664303044</v>
      </c>
      <c r="S98" s="742">
        <f>'Shuttle Projections'!J28</f>
        <v>536838.24677589093</v>
      </c>
      <c r="T98" s="742">
        <f>'Shuttle Projections'!K28</f>
        <v>547575.01171140897</v>
      </c>
      <c r="U98" s="742">
        <f>'Shuttle Projections'!L28</f>
        <v>558526.51194563706</v>
      </c>
      <c r="V98" s="742">
        <f>'Shuttle Projections'!M28</f>
        <v>569697.04218454985</v>
      </c>
      <c r="W98" s="742">
        <f>'Shuttle Projections'!N28</f>
        <v>581090.98302824085</v>
      </c>
      <c r="X98" s="742">
        <f>'Shuttle Projections'!O28</f>
        <v>592712.80268880562</v>
      </c>
      <c r="Y98" s="742">
        <f>'Shuttle Projections'!P28</f>
        <v>604567.05874258175</v>
      </c>
      <c r="Z98" s="742">
        <f>'Shuttle Projections'!Q28</f>
        <v>616658.39991743339</v>
      </c>
      <c r="AA98" s="742">
        <f>'Shuttle Projections'!R28</f>
        <v>628991.5679157821</v>
      </c>
      <c r="AB98" s="742">
        <f>'Shuttle Projections'!S28</f>
        <v>641571.39927409776</v>
      </c>
      <c r="AC98" s="742">
        <f>'Shuttle Projections'!T28</f>
        <v>654402.82725957979</v>
      </c>
      <c r="AD98" s="742">
        <f>'Shuttle Projections'!U28</f>
        <v>667490.88380477135</v>
      </c>
      <c r="AE98" s="742">
        <f>'Shuttle Projections'!V28</f>
        <v>680840.70148086676</v>
      </c>
    </row>
    <row r="99" spans="1:35" s="56" customFormat="1" ht="14.25">
      <c r="A99" s="164" t="s">
        <v>410</v>
      </c>
      <c r="B99" s="164"/>
      <c r="C99" s="75"/>
      <c r="D99" s="173"/>
      <c r="E99" s="75"/>
      <c r="F99" s="75"/>
      <c r="G99" s="75"/>
      <c r="H99" s="75"/>
      <c r="I99" s="174"/>
      <c r="J99" s="175"/>
      <c r="K99" s="685">
        <v>0</v>
      </c>
      <c r="L99" s="669">
        <f>SUM(L97:L98)</f>
        <v>234675</v>
      </c>
      <c r="M99" s="669">
        <f t="shared" ref="M99:AE99" si="37">SUM(M97:M98)</f>
        <v>477717</v>
      </c>
      <c r="N99" s="669">
        <f t="shared" si="37"/>
        <v>487271.34000000008</v>
      </c>
      <c r="O99" s="669">
        <f t="shared" si="37"/>
        <v>497016.76679999992</v>
      </c>
      <c r="P99" s="669">
        <f t="shared" si="37"/>
        <v>506957.102136</v>
      </c>
      <c r="Q99" s="669">
        <f t="shared" si="37"/>
        <v>540992.16337552003</v>
      </c>
      <c r="R99" s="669">
        <f t="shared" si="37"/>
        <v>551812.00664303044</v>
      </c>
      <c r="S99" s="669">
        <f t="shared" si="37"/>
        <v>562848.24677589093</v>
      </c>
      <c r="T99" s="669">
        <f t="shared" si="37"/>
        <v>574105.21171140892</v>
      </c>
      <c r="U99" s="669">
        <f t="shared" si="37"/>
        <v>585587.31594563706</v>
      </c>
      <c r="V99" s="669">
        <f t="shared" si="37"/>
        <v>597299.0622645499</v>
      </c>
      <c r="W99" s="669">
        <f t="shared" si="37"/>
        <v>609245.04350984085</v>
      </c>
      <c r="X99" s="669">
        <f t="shared" si="37"/>
        <v>621429.9443800376</v>
      </c>
      <c r="Y99" s="669">
        <f t="shared" si="37"/>
        <v>633858.54326763842</v>
      </c>
      <c r="Z99" s="669">
        <f t="shared" si="37"/>
        <v>646535.71413299115</v>
      </c>
      <c r="AA99" s="669">
        <f t="shared" si="37"/>
        <v>659466.42841565108</v>
      </c>
      <c r="AB99" s="669">
        <f t="shared" si="37"/>
        <v>672655.75698396412</v>
      </c>
      <c r="AC99" s="669">
        <f t="shared" si="37"/>
        <v>686108.87212364341</v>
      </c>
      <c r="AD99" s="669">
        <f t="shared" si="37"/>
        <v>699831.0495661163</v>
      </c>
      <c r="AE99" s="669">
        <f t="shared" si="37"/>
        <v>713827.67055743863</v>
      </c>
    </row>
    <row r="100" spans="1:35" s="56" customFormat="1" ht="14.25">
      <c r="A100" s="164"/>
      <c r="B100" s="164"/>
      <c r="C100" s="75"/>
      <c r="D100" s="173"/>
      <c r="E100" s="75"/>
      <c r="F100" s="75"/>
      <c r="G100" s="75"/>
      <c r="H100" s="75"/>
      <c r="I100" s="174"/>
      <c r="J100" s="175"/>
      <c r="K100" s="685"/>
      <c r="L100" s="669"/>
      <c r="M100" s="669"/>
      <c r="N100" s="669"/>
      <c r="O100" s="669"/>
      <c r="P100" s="669"/>
      <c r="Q100" s="669"/>
      <c r="R100" s="669"/>
      <c r="S100" s="669"/>
      <c r="T100" s="669"/>
      <c r="U100" s="669"/>
      <c r="V100" s="669"/>
      <c r="W100" s="669"/>
      <c r="X100" s="669"/>
      <c r="Y100" s="669"/>
      <c r="Z100" s="669"/>
      <c r="AA100" s="669"/>
      <c r="AB100" s="669"/>
      <c r="AC100" s="669"/>
      <c r="AD100" s="669"/>
      <c r="AE100" s="669"/>
    </row>
    <row r="101" spans="1:35" s="56" customFormat="1" ht="14.25">
      <c r="A101" s="164" t="s">
        <v>78</v>
      </c>
      <c r="B101" s="164"/>
      <c r="C101" s="75"/>
      <c r="D101" s="173"/>
      <c r="E101" s="75"/>
      <c r="F101" s="75"/>
      <c r="G101" s="75"/>
      <c r="H101" s="75"/>
      <c r="I101" s="174"/>
      <c r="J101" s="175"/>
      <c r="K101" s="685">
        <v>0</v>
      </c>
      <c r="L101" s="669">
        <f>SUM(L94,L99)</f>
        <v>321425</v>
      </c>
      <c r="M101" s="669">
        <f t="shared" ref="M101:AE101" si="38">SUM(M94,M99)</f>
        <v>558797</v>
      </c>
      <c r="N101" s="669">
        <f t="shared" si="38"/>
        <v>569983.14000000013</v>
      </c>
      <c r="O101" s="669">
        <f t="shared" si="38"/>
        <v>581382.80279999995</v>
      </c>
      <c r="P101" s="669">
        <f t="shared" si="38"/>
        <v>593010.45885599998</v>
      </c>
      <c r="Q101" s="669">
        <f t="shared" si="38"/>
        <v>633214.54682832002</v>
      </c>
      <c r="R101" s="669">
        <f t="shared" si="38"/>
        <v>641341.91897451843</v>
      </c>
      <c r="S101" s="669">
        <f t="shared" si="38"/>
        <v>654168.75735400873</v>
      </c>
      <c r="T101" s="669">
        <f t="shared" si="38"/>
        <v>667252.13250108901</v>
      </c>
      <c r="U101" s="669">
        <f t="shared" si="38"/>
        <v>680597.17515111074</v>
      </c>
      <c r="V101" s="669">
        <f t="shared" si="38"/>
        <v>698599.62144413579</v>
      </c>
      <c r="W101" s="669">
        <f t="shared" si="38"/>
        <v>708093.30102721567</v>
      </c>
      <c r="X101" s="669">
        <f t="shared" si="38"/>
        <v>722255.16704775998</v>
      </c>
      <c r="Y101" s="669">
        <f t="shared" si="38"/>
        <v>736700.2703887152</v>
      </c>
      <c r="Z101" s="669">
        <f t="shared" si="38"/>
        <v>751434.27579648956</v>
      </c>
      <c r="AA101" s="669">
        <f t="shared" si="38"/>
        <v>770790.02714325732</v>
      </c>
      <c r="AB101" s="669">
        <f t="shared" si="38"/>
        <v>781792.22053866787</v>
      </c>
      <c r="AC101" s="669">
        <f t="shared" si="38"/>
        <v>797428.06494944112</v>
      </c>
      <c r="AD101" s="669">
        <f t="shared" si="38"/>
        <v>813376.62624843</v>
      </c>
      <c r="AE101" s="669">
        <f t="shared" si="38"/>
        <v>829644.15877339861</v>
      </c>
    </row>
    <row r="102" spans="1:35">
      <c r="A102" s="47"/>
      <c r="B102" s="47"/>
      <c r="C102" s="78"/>
      <c r="D102" s="100"/>
      <c r="E102" s="78"/>
      <c r="F102" s="78"/>
      <c r="G102" s="78"/>
      <c r="H102" s="78"/>
      <c r="I102" s="52"/>
      <c r="J102" s="114"/>
      <c r="K102" s="683"/>
      <c r="L102" s="115"/>
      <c r="M102" s="115"/>
      <c r="N102" s="115"/>
      <c r="O102" s="115"/>
      <c r="P102" s="115"/>
      <c r="Q102" s="115"/>
      <c r="R102" s="115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</row>
    <row r="103" spans="1:35">
      <c r="A103" s="168" t="s">
        <v>25</v>
      </c>
      <c r="B103" s="168"/>
      <c r="C103" s="176"/>
      <c r="D103" s="177"/>
      <c r="E103" s="176"/>
      <c r="F103" s="176"/>
      <c r="G103" s="176"/>
      <c r="H103" s="176"/>
      <c r="I103" s="178"/>
      <c r="J103" s="179"/>
      <c r="K103" s="682"/>
      <c r="L103" s="319"/>
      <c r="M103" s="319"/>
      <c r="N103" s="319"/>
      <c r="O103" s="319"/>
      <c r="P103" s="319"/>
      <c r="Q103" s="319"/>
      <c r="R103" s="319"/>
      <c r="S103" s="319"/>
      <c r="T103" s="319"/>
      <c r="U103" s="319"/>
      <c r="V103" s="319"/>
      <c r="W103" s="319"/>
      <c r="X103" s="319"/>
      <c r="Y103" s="319"/>
      <c r="Z103" s="319"/>
      <c r="AA103" s="319"/>
      <c r="AB103" s="319"/>
      <c r="AC103" s="319"/>
      <c r="AD103" s="319"/>
      <c r="AE103" s="319"/>
    </row>
    <row r="104" spans="1:35" s="252" customFormat="1">
      <c r="A104" s="183"/>
      <c r="B104" s="183"/>
      <c r="C104" s="185"/>
      <c r="D104" s="186"/>
      <c r="E104" s="185"/>
      <c r="F104" s="185"/>
      <c r="G104" s="185"/>
      <c r="H104" s="185"/>
      <c r="I104" s="302"/>
      <c r="J104" s="188"/>
      <c r="K104" s="683"/>
      <c r="L104" s="320"/>
      <c r="M104" s="320"/>
      <c r="N104" s="320"/>
      <c r="O104" s="320"/>
      <c r="P104" s="320"/>
      <c r="Q104" s="320"/>
      <c r="R104" s="320"/>
      <c r="S104" s="320"/>
      <c r="T104" s="320"/>
      <c r="U104" s="320"/>
      <c r="V104" s="320"/>
      <c r="W104" s="320"/>
      <c r="X104" s="320"/>
      <c r="Y104" s="320"/>
      <c r="Z104" s="320"/>
      <c r="AA104" s="320"/>
      <c r="AB104" s="320"/>
      <c r="AC104" s="320"/>
      <c r="AD104" s="320"/>
      <c r="AE104" s="320"/>
    </row>
    <row r="105" spans="1:35">
      <c r="A105" s="37" t="s">
        <v>425</v>
      </c>
      <c r="B105" s="37"/>
      <c r="C105" s="57"/>
      <c r="E105" s="57"/>
      <c r="F105" s="57"/>
      <c r="G105" s="57"/>
      <c r="H105" s="998"/>
      <c r="I105" s="51" t="s">
        <v>532</v>
      </c>
      <c r="J105" s="624">
        <f>((6350/6)*7)+((6500/6)*7)</f>
        <v>14991.666666666666</v>
      </c>
      <c r="K105" s="683">
        <v>0</v>
      </c>
      <c r="L105" s="671">
        <f>J105</f>
        <v>14991.666666666666</v>
      </c>
      <c r="M105" s="671">
        <f>$L$105*L11</f>
        <v>15291.5</v>
      </c>
      <c r="N105" s="671">
        <f t="shared" ref="N105:AE105" si="39">$L$105*M11</f>
        <v>15597.33</v>
      </c>
      <c r="O105" s="671">
        <f t="shared" si="39"/>
        <v>15909.276599999997</v>
      </c>
      <c r="P105" s="671">
        <f t="shared" si="39"/>
        <v>16227.462131999999</v>
      </c>
      <c r="Q105" s="671">
        <f t="shared" si="39"/>
        <v>16552.011374639998</v>
      </c>
      <c r="R105" s="671">
        <f t="shared" si="39"/>
        <v>16883.0516021328</v>
      </c>
      <c r="S105" s="671">
        <f t="shared" si="39"/>
        <v>17220.712634175456</v>
      </c>
      <c r="T105" s="671">
        <f t="shared" si="39"/>
        <v>17565.126886858965</v>
      </c>
      <c r="U105" s="671">
        <f t="shared" si="39"/>
        <v>17916.429424596146</v>
      </c>
      <c r="V105" s="671">
        <f t="shared" si="39"/>
        <v>18274.758013088071</v>
      </c>
      <c r="W105" s="671">
        <f t="shared" si="39"/>
        <v>18640.253173349829</v>
      </c>
      <c r="X105" s="671">
        <f t="shared" si="39"/>
        <v>19013.058236816825</v>
      </c>
      <c r="Y105" s="671">
        <f t="shared" si="39"/>
        <v>19393.319401553163</v>
      </c>
      <c r="Z105" s="671">
        <f t="shared" si="39"/>
        <v>19781.185789584226</v>
      </c>
      <c r="AA105" s="671">
        <f t="shared" si="39"/>
        <v>20176.809505375913</v>
      </c>
      <c r="AB105" s="671">
        <f t="shared" si="39"/>
        <v>20580.345695483433</v>
      </c>
      <c r="AC105" s="671">
        <f t="shared" si="39"/>
        <v>20991.952609393102</v>
      </c>
      <c r="AD105" s="671">
        <f t="shared" si="39"/>
        <v>21411.791661580963</v>
      </c>
      <c r="AE105" s="671">
        <f t="shared" si="39"/>
        <v>21840.027494812584</v>
      </c>
    </row>
    <row r="106" spans="1:35">
      <c r="A106" s="37" t="s">
        <v>16</v>
      </c>
      <c r="B106" s="37"/>
      <c r="C106" s="57"/>
      <c r="E106" s="57"/>
      <c r="F106" s="57"/>
      <c r="G106" s="57"/>
      <c r="H106" s="998"/>
      <c r="I106" s="51" t="s">
        <v>17</v>
      </c>
      <c r="J106" s="624">
        <f>1250</f>
        <v>1250</v>
      </c>
      <c r="K106" s="683">
        <v>0</v>
      </c>
      <c r="L106" s="671">
        <f>J106*7</f>
        <v>8750</v>
      </c>
      <c r="M106" s="671">
        <f>$L$106*L11</f>
        <v>8925</v>
      </c>
      <c r="N106" s="671">
        <f t="shared" ref="N106:AE106" si="40">$L$106*M11</f>
        <v>9103.5</v>
      </c>
      <c r="O106" s="671">
        <f t="shared" si="40"/>
        <v>9285.57</v>
      </c>
      <c r="P106" s="671">
        <f t="shared" si="40"/>
        <v>9471.2813999999998</v>
      </c>
      <c r="Q106" s="671">
        <f t="shared" si="40"/>
        <v>9660.7070280000007</v>
      </c>
      <c r="R106" s="671">
        <f t="shared" si="40"/>
        <v>9853.9211685600003</v>
      </c>
      <c r="S106" s="671">
        <f t="shared" si="40"/>
        <v>10050.9995919312</v>
      </c>
      <c r="T106" s="671">
        <f t="shared" si="40"/>
        <v>10252.019583769825</v>
      </c>
      <c r="U106" s="671">
        <f t="shared" si="40"/>
        <v>10457.059975445221</v>
      </c>
      <c r="V106" s="671">
        <f t="shared" si="40"/>
        <v>10666.201174954127</v>
      </c>
      <c r="W106" s="671">
        <f t="shared" si="40"/>
        <v>10879.52519845321</v>
      </c>
      <c r="X106" s="671">
        <f t="shared" si="40"/>
        <v>11097.115702422274</v>
      </c>
      <c r="Y106" s="671">
        <f t="shared" si="40"/>
        <v>11319.058016470717</v>
      </c>
      <c r="Z106" s="671">
        <f t="shared" si="40"/>
        <v>11545.439176800133</v>
      </c>
      <c r="AA106" s="671">
        <f t="shared" si="40"/>
        <v>11776.347960336136</v>
      </c>
      <c r="AB106" s="671">
        <f t="shared" si="40"/>
        <v>12011.874919542859</v>
      </c>
      <c r="AC106" s="671">
        <f t="shared" si="40"/>
        <v>12252.112417933717</v>
      </c>
      <c r="AD106" s="671">
        <f t="shared" si="40"/>
        <v>12497.154666292392</v>
      </c>
      <c r="AE106" s="671">
        <f t="shared" si="40"/>
        <v>12747.09775961824</v>
      </c>
    </row>
    <row r="107" spans="1:35" s="702" customFormat="1">
      <c r="A107" s="701" t="s">
        <v>53</v>
      </c>
      <c r="B107" s="701"/>
      <c r="C107" s="705"/>
      <c r="D107" s="984"/>
      <c r="E107" s="705"/>
      <c r="F107" s="705"/>
      <c r="G107" s="705"/>
      <c r="H107" s="985"/>
      <c r="I107" s="706" t="s">
        <v>17</v>
      </c>
      <c r="J107" s="986">
        <v>0</v>
      </c>
      <c r="K107" s="987">
        <v>0</v>
      </c>
      <c r="L107" s="988">
        <f t="shared" ref="L107:L108" si="41">J107*12</f>
        <v>0</v>
      </c>
      <c r="M107" s="988">
        <f t="shared" ref="M107:AB108" si="42">L107*1.03</f>
        <v>0</v>
      </c>
      <c r="N107" s="988">
        <f t="shared" si="42"/>
        <v>0</v>
      </c>
      <c r="O107" s="988">
        <f t="shared" si="42"/>
        <v>0</v>
      </c>
      <c r="P107" s="988">
        <f t="shared" si="42"/>
        <v>0</v>
      </c>
      <c r="Q107" s="988">
        <f t="shared" si="42"/>
        <v>0</v>
      </c>
      <c r="R107" s="988">
        <f t="shared" si="42"/>
        <v>0</v>
      </c>
      <c r="S107" s="988">
        <f t="shared" si="42"/>
        <v>0</v>
      </c>
      <c r="T107" s="988">
        <f t="shared" si="42"/>
        <v>0</v>
      </c>
      <c r="U107" s="988">
        <f t="shared" si="42"/>
        <v>0</v>
      </c>
      <c r="V107" s="988">
        <f t="shared" si="42"/>
        <v>0</v>
      </c>
      <c r="W107" s="988">
        <f t="shared" si="42"/>
        <v>0</v>
      </c>
      <c r="X107" s="988">
        <f t="shared" si="42"/>
        <v>0</v>
      </c>
      <c r="Y107" s="988">
        <f t="shared" si="42"/>
        <v>0</v>
      </c>
      <c r="Z107" s="988">
        <f t="shared" si="42"/>
        <v>0</v>
      </c>
      <c r="AA107" s="988">
        <f t="shared" si="42"/>
        <v>0</v>
      </c>
      <c r="AB107" s="988">
        <f t="shared" si="42"/>
        <v>0</v>
      </c>
      <c r="AC107" s="988">
        <f t="shared" ref="AC107:AE108" si="43">AB107*1.03</f>
        <v>0</v>
      </c>
      <c r="AD107" s="988">
        <f t="shared" si="43"/>
        <v>0</v>
      </c>
      <c r="AE107" s="988">
        <f t="shared" si="43"/>
        <v>0</v>
      </c>
    </row>
    <row r="108" spans="1:35" s="702" customFormat="1">
      <c r="A108" s="989" t="s">
        <v>54</v>
      </c>
      <c r="B108" s="990"/>
      <c r="C108" s="991"/>
      <c r="D108" s="992"/>
      <c r="E108" s="991"/>
      <c r="F108" s="991"/>
      <c r="G108" s="991"/>
      <c r="H108" s="993"/>
      <c r="I108" s="994" t="s">
        <v>17</v>
      </c>
      <c r="J108" s="995">
        <v>0</v>
      </c>
      <c r="K108" s="996">
        <v>0</v>
      </c>
      <c r="L108" s="997">
        <f t="shared" si="41"/>
        <v>0</v>
      </c>
      <c r="M108" s="997">
        <f t="shared" si="42"/>
        <v>0</v>
      </c>
      <c r="N108" s="997">
        <f t="shared" si="42"/>
        <v>0</v>
      </c>
      <c r="O108" s="997">
        <f t="shared" si="42"/>
        <v>0</v>
      </c>
      <c r="P108" s="997">
        <f t="shared" si="42"/>
        <v>0</v>
      </c>
      <c r="Q108" s="997">
        <f t="shared" si="42"/>
        <v>0</v>
      </c>
      <c r="R108" s="997">
        <f t="shared" si="42"/>
        <v>0</v>
      </c>
      <c r="S108" s="997">
        <f t="shared" si="42"/>
        <v>0</v>
      </c>
      <c r="T108" s="997">
        <f t="shared" si="42"/>
        <v>0</v>
      </c>
      <c r="U108" s="997">
        <f t="shared" si="42"/>
        <v>0</v>
      </c>
      <c r="V108" s="997">
        <f t="shared" si="42"/>
        <v>0</v>
      </c>
      <c r="W108" s="997">
        <f t="shared" si="42"/>
        <v>0</v>
      </c>
      <c r="X108" s="997">
        <f t="shared" si="42"/>
        <v>0</v>
      </c>
      <c r="Y108" s="997">
        <f t="shared" si="42"/>
        <v>0</v>
      </c>
      <c r="Z108" s="997">
        <f t="shared" si="42"/>
        <v>0</v>
      </c>
      <c r="AA108" s="997">
        <f t="shared" si="42"/>
        <v>0</v>
      </c>
      <c r="AB108" s="997">
        <f t="shared" si="42"/>
        <v>0</v>
      </c>
      <c r="AC108" s="997">
        <f t="shared" si="43"/>
        <v>0</v>
      </c>
      <c r="AD108" s="997">
        <f t="shared" si="43"/>
        <v>0</v>
      </c>
      <c r="AE108" s="997">
        <f t="shared" si="43"/>
        <v>0</v>
      </c>
    </row>
    <row r="109" spans="1:35" s="56" customFormat="1" ht="14.25">
      <c r="A109" s="56" t="s">
        <v>55</v>
      </c>
      <c r="B109" s="164"/>
      <c r="C109" s="75"/>
      <c r="D109" s="173"/>
      <c r="E109" s="75"/>
      <c r="F109" s="75"/>
      <c r="G109" s="75"/>
      <c r="H109" s="75"/>
      <c r="I109" s="999"/>
      <c r="J109" s="1000"/>
      <c r="K109" s="685">
        <v>0</v>
      </c>
      <c r="L109" s="1001">
        <f>SUM(L105:L108)</f>
        <v>23741.666666666664</v>
      </c>
      <c r="M109" s="1001">
        <f t="shared" ref="M109:AE109" si="44">SUM(M105:M108)</f>
        <v>24216.5</v>
      </c>
      <c r="N109" s="1001">
        <f t="shared" si="44"/>
        <v>24700.83</v>
      </c>
      <c r="O109" s="1001">
        <f t="shared" si="44"/>
        <v>25194.846599999997</v>
      </c>
      <c r="P109" s="1001">
        <f t="shared" si="44"/>
        <v>25698.743532</v>
      </c>
      <c r="Q109" s="1001">
        <f t="shared" si="44"/>
        <v>26212.718402639999</v>
      </c>
      <c r="R109" s="1001">
        <f t="shared" si="44"/>
        <v>26736.972770692802</v>
      </c>
      <c r="S109" s="1001">
        <f t="shared" si="44"/>
        <v>27271.712226106654</v>
      </c>
      <c r="T109" s="1001">
        <f t="shared" si="44"/>
        <v>27817.146470628788</v>
      </c>
      <c r="U109" s="1001">
        <f t="shared" si="44"/>
        <v>28373.48940004137</v>
      </c>
      <c r="V109" s="1001">
        <f t="shared" si="44"/>
        <v>28940.959188042198</v>
      </c>
      <c r="W109" s="1001">
        <f t="shared" si="44"/>
        <v>29519.77837180304</v>
      </c>
      <c r="X109" s="1001">
        <f t="shared" si="44"/>
        <v>30110.173939239099</v>
      </c>
      <c r="Y109" s="1001">
        <f t="shared" si="44"/>
        <v>30712.37741802388</v>
      </c>
      <c r="Z109" s="1001">
        <f t="shared" si="44"/>
        <v>31326.624966384359</v>
      </c>
      <c r="AA109" s="1001">
        <f t="shared" si="44"/>
        <v>31953.157465712051</v>
      </c>
      <c r="AB109" s="1001">
        <f t="shared" si="44"/>
        <v>32592.220615026294</v>
      </c>
      <c r="AC109" s="1001">
        <f t="shared" si="44"/>
        <v>33244.065027326818</v>
      </c>
      <c r="AD109" s="1001">
        <f t="shared" si="44"/>
        <v>33908.946327873353</v>
      </c>
      <c r="AE109" s="1001">
        <f t="shared" si="44"/>
        <v>34587.125254430823</v>
      </c>
    </row>
    <row r="110" spans="1:35">
      <c r="A110" s="56"/>
      <c r="B110" s="37"/>
      <c r="C110" s="57"/>
      <c r="E110" s="57"/>
      <c r="F110" s="57"/>
      <c r="G110" s="57"/>
      <c r="H110" s="57"/>
      <c r="I110" s="51"/>
      <c r="J110" s="624"/>
      <c r="K110" s="683"/>
      <c r="L110" s="666"/>
      <c r="M110" s="666"/>
      <c r="N110" s="666"/>
      <c r="O110" s="666"/>
      <c r="P110" s="666"/>
      <c r="Q110" s="666"/>
      <c r="R110" s="666"/>
      <c r="S110" s="666"/>
      <c r="T110" s="666"/>
      <c r="U110" s="666"/>
      <c r="V110" s="666"/>
      <c r="W110" s="666"/>
      <c r="X110" s="666"/>
      <c r="Y110" s="666"/>
      <c r="Z110" s="666"/>
      <c r="AA110" s="666"/>
      <c r="AB110" s="666"/>
      <c r="AC110" s="666"/>
      <c r="AD110" s="666"/>
      <c r="AE110" s="666"/>
    </row>
    <row r="111" spans="1:35">
      <c r="A111" s="47" t="s">
        <v>7</v>
      </c>
      <c r="B111" s="47" t="s">
        <v>7</v>
      </c>
      <c r="C111" s="78" t="s">
        <v>7</v>
      </c>
      <c r="D111" s="100"/>
      <c r="E111" s="78" t="s">
        <v>7</v>
      </c>
      <c r="F111" s="78"/>
      <c r="G111" s="78" t="s">
        <v>7</v>
      </c>
      <c r="H111" s="78"/>
      <c r="I111" s="52" t="s">
        <v>7</v>
      </c>
      <c r="J111" s="672"/>
      <c r="K111" s="673"/>
      <c r="L111" s="672"/>
      <c r="M111" s="672"/>
      <c r="N111" s="672"/>
      <c r="O111" s="672"/>
      <c r="P111" s="672"/>
      <c r="Q111" s="672"/>
      <c r="R111" s="672"/>
      <c r="S111" s="672"/>
      <c r="T111" s="672"/>
      <c r="U111" s="672"/>
      <c r="V111" s="672"/>
      <c r="W111" s="672"/>
      <c r="X111" s="672"/>
      <c r="Y111" s="672"/>
      <c r="Z111" s="672"/>
      <c r="AA111" s="672"/>
      <c r="AB111" s="672"/>
      <c r="AC111" s="672"/>
      <c r="AD111" s="672"/>
      <c r="AE111" s="672"/>
    </row>
    <row r="112" spans="1:35">
      <c r="A112" s="47"/>
      <c r="B112" s="47"/>
      <c r="C112" s="78"/>
      <c r="D112" s="100"/>
      <c r="E112" s="78"/>
      <c r="F112" s="78"/>
      <c r="G112" s="78"/>
      <c r="H112" s="78"/>
      <c r="I112" s="52"/>
      <c r="J112" s="672"/>
      <c r="K112" s="683"/>
      <c r="L112" s="666"/>
      <c r="M112" s="666"/>
      <c r="N112" s="666"/>
      <c r="O112" s="666"/>
      <c r="P112" s="666"/>
      <c r="Q112" s="666"/>
      <c r="R112" s="666"/>
      <c r="S112" s="666"/>
      <c r="T112" s="666"/>
      <c r="U112" s="666"/>
      <c r="V112" s="666"/>
      <c r="W112" s="666"/>
      <c r="X112" s="666"/>
      <c r="Y112" s="666"/>
      <c r="Z112" s="666"/>
      <c r="AA112" s="666"/>
      <c r="AB112" s="666"/>
      <c r="AC112" s="666"/>
      <c r="AD112" s="666"/>
      <c r="AE112" s="666"/>
    </row>
    <row r="113" spans="1:33" s="56" customFormat="1" ht="14.25">
      <c r="A113" s="203" t="s">
        <v>303</v>
      </c>
      <c r="B113" s="203"/>
      <c r="C113" s="204"/>
      <c r="D113" s="205"/>
      <c r="E113" s="204"/>
      <c r="F113" s="204"/>
      <c r="G113" s="204"/>
      <c r="H113" s="204"/>
      <c r="I113" s="206"/>
      <c r="J113" s="674"/>
      <c r="K113" s="676">
        <f>SUM(K80,K101,K109)</f>
        <v>0</v>
      </c>
      <c r="L113" s="676">
        <f>SUM(L80,L101,L109)</f>
        <v>357416.66666666669</v>
      </c>
      <c r="M113" s="676">
        <f t="shared" ref="M113:AE113" si="45">SUM(M80,M101,M109)</f>
        <v>754513.5</v>
      </c>
      <c r="N113" s="676">
        <f t="shared" si="45"/>
        <v>769613.97000000009</v>
      </c>
      <c r="O113" s="676">
        <f t="shared" si="45"/>
        <v>785006.24939999997</v>
      </c>
      <c r="P113" s="676">
        <f t="shared" si="45"/>
        <v>800706.37438799988</v>
      </c>
      <c r="Q113" s="676">
        <f t="shared" si="45"/>
        <v>845064.38067095994</v>
      </c>
      <c r="R113" s="676">
        <f t="shared" si="45"/>
        <v>857428.74949401116</v>
      </c>
      <c r="S113" s="676">
        <f t="shared" si="45"/>
        <v>874577.32448389137</v>
      </c>
      <c r="T113" s="676">
        <f t="shared" si="45"/>
        <v>892068.87097356934</v>
      </c>
      <c r="U113" s="676">
        <f t="shared" si="45"/>
        <v>909910.24839304073</v>
      </c>
      <c r="V113" s="676">
        <f t="shared" si="45"/>
        <v>932498.9561509043</v>
      </c>
      <c r="W113" s="676">
        <f t="shared" si="45"/>
        <v>946670.62242811953</v>
      </c>
      <c r="X113" s="676">
        <f t="shared" si="45"/>
        <v>965604.03487668198</v>
      </c>
      <c r="Y113" s="676">
        <f t="shared" si="45"/>
        <v>984916.11557421566</v>
      </c>
      <c r="Z113" s="676">
        <f t="shared" si="45"/>
        <v>1004614.4378857</v>
      </c>
      <c r="AA113" s="676">
        <f t="shared" si="45"/>
        <v>1029033.7924742521</v>
      </c>
      <c r="AB113" s="676">
        <f t="shared" si="45"/>
        <v>1045200.8611762824</v>
      </c>
      <c r="AC113" s="676">
        <f t="shared" si="45"/>
        <v>1066104.878399808</v>
      </c>
      <c r="AD113" s="676">
        <f t="shared" si="45"/>
        <v>1087426.9759678042</v>
      </c>
      <c r="AE113" s="676">
        <f t="shared" si="45"/>
        <v>1109175.5154871603</v>
      </c>
      <c r="AG113" s="199"/>
    </row>
    <row r="114" spans="1:33">
      <c r="A114" s="37"/>
      <c r="B114" s="37"/>
      <c r="C114" s="57"/>
      <c r="E114" s="110"/>
      <c r="F114" s="110"/>
      <c r="G114" s="57"/>
      <c r="H114" s="57"/>
      <c r="I114" s="43"/>
      <c r="J114" s="44"/>
      <c r="K114" s="683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5"/>
      <c r="Z114" s="115"/>
      <c r="AA114" s="115"/>
      <c r="AB114" s="115"/>
      <c r="AC114" s="115"/>
      <c r="AD114" s="115"/>
      <c r="AE114" s="115"/>
      <c r="AG114" s="199"/>
    </row>
    <row r="115" spans="1:33">
      <c r="A115" s="47" t="s">
        <v>7</v>
      </c>
      <c r="B115" s="47" t="s">
        <v>7</v>
      </c>
      <c r="C115" s="78" t="s">
        <v>7</v>
      </c>
      <c r="D115" s="100"/>
      <c r="E115" s="78" t="s">
        <v>7</v>
      </c>
      <c r="F115" s="78"/>
      <c r="G115" s="78" t="s">
        <v>7</v>
      </c>
      <c r="H115" s="78"/>
      <c r="I115" s="52" t="s">
        <v>7</v>
      </c>
      <c r="J115" s="114"/>
      <c r="K115" s="673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G115" s="199"/>
    </row>
    <row r="116" spans="1:33">
      <c r="A116" s="47"/>
      <c r="B116" s="47"/>
      <c r="C116" s="78"/>
      <c r="D116" s="100"/>
      <c r="E116" s="78"/>
      <c r="F116" s="78"/>
      <c r="G116" s="78"/>
      <c r="H116" s="78"/>
      <c r="I116" s="52"/>
      <c r="J116" s="114"/>
      <c r="K116" s="683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5"/>
      <c r="Z116" s="115"/>
      <c r="AA116" s="115"/>
      <c r="AB116" s="115"/>
      <c r="AC116" s="115"/>
      <c r="AD116" s="115"/>
      <c r="AE116" s="115"/>
      <c r="AG116" s="199"/>
    </row>
    <row r="117" spans="1:33">
      <c r="A117" s="168" t="s">
        <v>71</v>
      </c>
      <c r="B117" s="171"/>
      <c r="C117" s="176"/>
      <c r="D117" s="177"/>
      <c r="E117" s="176"/>
      <c r="F117" s="176"/>
      <c r="G117" s="176"/>
      <c r="H117" s="176"/>
      <c r="I117" s="182"/>
      <c r="J117" s="179"/>
      <c r="K117" s="682"/>
      <c r="L117" s="319"/>
      <c r="M117" s="319"/>
      <c r="N117" s="319"/>
      <c r="O117" s="319"/>
      <c r="P117" s="319"/>
      <c r="Q117" s="319"/>
      <c r="R117" s="319"/>
      <c r="S117" s="319"/>
      <c r="T117" s="319"/>
      <c r="U117" s="319"/>
      <c r="V117" s="319"/>
      <c r="W117" s="319"/>
      <c r="X117" s="319"/>
      <c r="Y117" s="319"/>
      <c r="Z117" s="319"/>
      <c r="AA117" s="319"/>
      <c r="AB117" s="319"/>
      <c r="AC117" s="319"/>
      <c r="AD117" s="319"/>
      <c r="AE117" s="319"/>
      <c r="AG117" s="199"/>
    </row>
    <row r="118" spans="1:33" s="252" customFormat="1">
      <c r="A118" s="183"/>
      <c r="B118" s="184"/>
      <c r="C118" s="185"/>
      <c r="D118" s="186"/>
      <c r="E118" s="185"/>
      <c r="F118" s="185"/>
      <c r="G118" s="185"/>
      <c r="H118" s="185"/>
      <c r="I118" s="187"/>
      <c r="J118" s="188"/>
      <c r="K118" s="683"/>
      <c r="L118" s="320"/>
      <c r="M118" s="320"/>
      <c r="N118" s="320"/>
      <c r="O118" s="320"/>
      <c r="P118" s="320"/>
      <c r="Q118" s="320"/>
      <c r="R118" s="320"/>
      <c r="S118" s="320"/>
      <c r="T118" s="320"/>
      <c r="U118" s="320"/>
      <c r="V118" s="320"/>
      <c r="W118" s="320"/>
      <c r="X118" s="320"/>
      <c r="Y118" s="320"/>
      <c r="Z118" s="320"/>
      <c r="AA118" s="320"/>
      <c r="AB118" s="320"/>
      <c r="AC118" s="320"/>
      <c r="AD118" s="320"/>
      <c r="AE118" s="320"/>
      <c r="AG118" s="363"/>
    </row>
    <row r="119" spans="1:33">
      <c r="A119" s="39" t="s">
        <v>0</v>
      </c>
      <c r="B119" s="39"/>
      <c r="C119" s="102"/>
      <c r="D119" s="103"/>
      <c r="E119" s="104"/>
      <c r="F119" s="104"/>
      <c r="G119" s="104"/>
      <c r="H119" s="104"/>
      <c r="I119" s="39"/>
      <c r="J119" s="104"/>
      <c r="K119" s="688"/>
      <c r="L119" s="335"/>
      <c r="M119" s="335"/>
      <c r="N119" s="335"/>
      <c r="O119" s="335"/>
      <c r="P119" s="335"/>
      <c r="Q119" s="335"/>
      <c r="R119" s="335"/>
      <c r="S119" s="335"/>
      <c r="T119" s="335"/>
      <c r="U119" s="335"/>
      <c r="V119" s="335"/>
      <c r="W119" s="335"/>
      <c r="X119" s="335"/>
      <c r="Y119" s="335"/>
      <c r="Z119" s="335"/>
      <c r="AA119" s="335"/>
      <c r="AB119" s="335"/>
      <c r="AC119" s="335"/>
      <c r="AD119" s="335"/>
      <c r="AE119" s="335"/>
    </row>
    <row r="120" spans="1:33">
      <c r="A120" s="41" t="s">
        <v>13</v>
      </c>
      <c r="B120" s="41"/>
      <c r="C120" s="105"/>
      <c r="D120" s="106"/>
      <c r="E120" s="37"/>
      <c r="F120" s="37"/>
      <c r="G120" s="37"/>
      <c r="H120" s="37"/>
      <c r="I120" s="41"/>
      <c r="J120" s="37"/>
      <c r="K120" s="683"/>
      <c r="L120" s="200"/>
      <c r="M120" s="200"/>
      <c r="N120" s="200"/>
      <c r="O120" s="200"/>
      <c r="P120" s="200"/>
      <c r="Q120" s="200"/>
      <c r="R120" s="200"/>
      <c r="S120" s="200"/>
      <c r="T120" s="200"/>
      <c r="U120" s="201"/>
      <c r="V120" s="323"/>
      <c r="W120" s="200"/>
      <c r="X120" s="200"/>
      <c r="Y120" s="200"/>
      <c r="Z120" s="200"/>
      <c r="AA120" s="200"/>
      <c r="AB120" s="200"/>
      <c r="AC120" s="200"/>
      <c r="AD120" s="200"/>
      <c r="AE120" s="201"/>
    </row>
    <row r="121" spans="1:33">
      <c r="A121" s="96" t="s">
        <v>56</v>
      </c>
      <c r="B121" s="735" t="s">
        <v>12</v>
      </c>
      <c r="C121" s="663">
        <v>55000</v>
      </c>
      <c r="D121" s="736">
        <f>C121/2080</f>
        <v>26.442307692307693</v>
      </c>
      <c r="E121" s="663">
        <v>0</v>
      </c>
      <c r="F121" s="663">
        <f>C121*$F$13</f>
        <v>22000</v>
      </c>
      <c r="G121" s="663">
        <f>SUM(C121,E121:F121)</f>
        <v>77000</v>
      </c>
      <c r="H121" s="736">
        <f>G121/2080*8</f>
        <v>296.15384615384613</v>
      </c>
      <c r="I121" s="736"/>
      <c r="J121" s="663"/>
      <c r="K121" s="683">
        <v>0</v>
      </c>
      <c r="L121" s="665">
        <v>0</v>
      </c>
      <c r="M121" s="665">
        <f>$H$121*M32*0.25</f>
        <v>15844.230769230768</v>
      </c>
      <c r="N121" s="665">
        <f t="shared" ref="N121:AE121" si="46">$M$121*M11</f>
        <v>16484.33769230769</v>
      </c>
      <c r="O121" s="665">
        <f t="shared" si="46"/>
        <v>16814.024446153842</v>
      </c>
      <c r="P121" s="665">
        <f t="shared" si="46"/>
        <v>17150.304935076922</v>
      </c>
      <c r="Q121" s="665">
        <f t="shared" si="46"/>
        <v>17493.31103377846</v>
      </c>
      <c r="R121" s="665">
        <f t="shared" si="46"/>
        <v>17843.177254454029</v>
      </c>
      <c r="S121" s="665">
        <f t="shared" si="46"/>
        <v>18200.040799543109</v>
      </c>
      <c r="T121" s="665">
        <f t="shared" si="46"/>
        <v>18564.041615533974</v>
      </c>
      <c r="U121" s="665">
        <f t="shared" si="46"/>
        <v>18935.322447844654</v>
      </c>
      <c r="V121" s="665">
        <f t="shared" si="46"/>
        <v>19314.028896801548</v>
      </c>
      <c r="W121" s="665">
        <f t="shared" si="46"/>
        <v>19700.30947473758</v>
      </c>
      <c r="X121" s="665">
        <f t="shared" si="46"/>
        <v>20094.31566423233</v>
      </c>
      <c r="Y121" s="665">
        <f t="shared" si="46"/>
        <v>20496.201977516976</v>
      </c>
      <c r="Z121" s="665">
        <f t="shared" si="46"/>
        <v>20906.126017067316</v>
      </c>
      <c r="AA121" s="665">
        <f t="shared" si="46"/>
        <v>21324.248537408665</v>
      </c>
      <c r="AB121" s="665">
        <f t="shared" si="46"/>
        <v>21750.733508156838</v>
      </c>
      <c r="AC121" s="665">
        <f t="shared" si="46"/>
        <v>22185.748178319976</v>
      </c>
      <c r="AD121" s="665">
        <f t="shared" si="46"/>
        <v>22629.463141886376</v>
      </c>
      <c r="AE121" s="665">
        <f t="shared" si="46"/>
        <v>23082.052404724102</v>
      </c>
    </row>
    <row r="122" spans="1:33">
      <c r="A122" s="96" t="s">
        <v>57</v>
      </c>
      <c r="B122" s="735" t="s">
        <v>15</v>
      </c>
      <c r="C122" s="663">
        <v>15000</v>
      </c>
      <c r="D122" s="736">
        <f>C122/2080</f>
        <v>7.2115384615384617</v>
      </c>
      <c r="E122" s="663">
        <f>C122*E12</f>
        <v>3000</v>
      </c>
      <c r="F122" s="663">
        <f t="shared" ref="F122:F123" si="47">C122*$F$13</f>
        <v>6000</v>
      </c>
      <c r="G122" s="663">
        <f t="shared" ref="G122:G123" si="48">SUM(C122,E122:F122)</f>
        <v>24000</v>
      </c>
      <c r="H122" s="736">
        <f>G122/2080*12</f>
        <v>138.46153846153845</v>
      </c>
      <c r="I122" s="736"/>
      <c r="J122" s="663"/>
      <c r="K122" s="683">
        <v>0</v>
      </c>
      <c r="L122" s="665">
        <v>0</v>
      </c>
      <c r="M122" s="665">
        <f>$H$122*M32*0.5</f>
        <v>14815.384615384615</v>
      </c>
      <c r="N122" s="665">
        <f t="shared" ref="N122:AE122" si="49">$M$122*M11</f>
        <v>15413.926153846154</v>
      </c>
      <c r="O122" s="665">
        <f t="shared" si="49"/>
        <v>15722.204676923076</v>
      </c>
      <c r="P122" s="665">
        <f t="shared" si="49"/>
        <v>16036.648770461537</v>
      </c>
      <c r="Q122" s="665">
        <f t="shared" si="49"/>
        <v>16357.381745870769</v>
      </c>
      <c r="R122" s="665">
        <f t="shared" si="49"/>
        <v>16684.529380788186</v>
      </c>
      <c r="S122" s="665">
        <f t="shared" si="49"/>
        <v>17018.219968403948</v>
      </c>
      <c r="T122" s="665">
        <f t="shared" si="49"/>
        <v>17358.58436777203</v>
      </c>
      <c r="U122" s="665">
        <f t="shared" si="49"/>
        <v>17705.756055127469</v>
      </c>
      <c r="V122" s="665">
        <f t="shared" si="49"/>
        <v>18059.871176230019</v>
      </c>
      <c r="W122" s="665">
        <f t="shared" si="49"/>
        <v>18421.068599754621</v>
      </c>
      <c r="X122" s="665">
        <f t="shared" si="49"/>
        <v>18789.489971749714</v>
      </c>
      <c r="Y122" s="665">
        <f t="shared" si="49"/>
        <v>19165.279771184705</v>
      </c>
      <c r="Z122" s="665">
        <f t="shared" si="49"/>
        <v>19548.5853666084</v>
      </c>
      <c r="AA122" s="665">
        <f t="shared" si="49"/>
        <v>19939.55707394057</v>
      </c>
      <c r="AB122" s="665">
        <f t="shared" si="49"/>
        <v>20338.348215419381</v>
      </c>
      <c r="AC122" s="665">
        <f t="shared" si="49"/>
        <v>20745.115179727771</v>
      </c>
      <c r="AD122" s="665">
        <f t="shared" si="49"/>
        <v>21160.017483322328</v>
      </c>
      <c r="AE122" s="665">
        <f t="shared" si="49"/>
        <v>21583.217832988772</v>
      </c>
    </row>
    <row r="123" spans="1:33">
      <c r="A123" s="737" t="s">
        <v>57</v>
      </c>
      <c r="B123" s="738" t="s">
        <v>15</v>
      </c>
      <c r="C123" s="739">
        <v>15000</v>
      </c>
      <c r="D123" s="740">
        <f>C123/2080</f>
        <v>7.2115384615384617</v>
      </c>
      <c r="E123" s="739">
        <f>C123*$E$12</f>
        <v>3000</v>
      </c>
      <c r="F123" s="739">
        <f t="shared" si="47"/>
        <v>6000</v>
      </c>
      <c r="G123" s="739">
        <f t="shared" si="48"/>
        <v>24000</v>
      </c>
      <c r="H123" s="740">
        <f t="shared" ref="H123" si="50">G123/2080*12</f>
        <v>138.46153846153845</v>
      </c>
      <c r="I123" s="740"/>
      <c r="J123" s="739"/>
      <c r="K123" s="741">
        <v>0</v>
      </c>
      <c r="L123" s="742">
        <v>0</v>
      </c>
      <c r="M123" s="742">
        <f>$H$123*M32*0.5</f>
        <v>14815.384615384615</v>
      </c>
      <c r="N123" s="742">
        <f t="shared" ref="N123:AE123" si="51">$M$123*M11</f>
        <v>15413.926153846154</v>
      </c>
      <c r="O123" s="742">
        <f t="shared" si="51"/>
        <v>15722.204676923076</v>
      </c>
      <c r="P123" s="742">
        <f t="shared" si="51"/>
        <v>16036.648770461537</v>
      </c>
      <c r="Q123" s="742">
        <f t="shared" si="51"/>
        <v>16357.381745870769</v>
      </c>
      <c r="R123" s="742">
        <f t="shared" si="51"/>
        <v>16684.529380788186</v>
      </c>
      <c r="S123" s="742">
        <f t="shared" si="51"/>
        <v>17018.219968403948</v>
      </c>
      <c r="T123" s="742">
        <f t="shared" si="51"/>
        <v>17358.58436777203</v>
      </c>
      <c r="U123" s="742">
        <f t="shared" si="51"/>
        <v>17705.756055127469</v>
      </c>
      <c r="V123" s="742">
        <f t="shared" si="51"/>
        <v>18059.871176230019</v>
      </c>
      <c r="W123" s="742">
        <f t="shared" si="51"/>
        <v>18421.068599754621</v>
      </c>
      <c r="X123" s="742">
        <f t="shared" si="51"/>
        <v>18789.489971749714</v>
      </c>
      <c r="Y123" s="742">
        <f t="shared" si="51"/>
        <v>19165.279771184705</v>
      </c>
      <c r="Z123" s="742">
        <f t="shared" si="51"/>
        <v>19548.5853666084</v>
      </c>
      <c r="AA123" s="742">
        <f t="shared" si="51"/>
        <v>19939.55707394057</v>
      </c>
      <c r="AB123" s="742">
        <f t="shared" si="51"/>
        <v>20338.348215419381</v>
      </c>
      <c r="AC123" s="742">
        <f t="shared" si="51"/>
        <v>20745.115179727771</v>
      </c>
      <c r="AD123" s="742">
        <f t="shared" si="51"/>
        <v>21160.017483322328</v>
      </c>
      <c r="AE123" s="742">
        <f t="shared" si="51"/>
        <v>21583.217832988772</v>
      </c>
    </row>
    <row r="124" spans="1:33">
      <c r="A124" s="164" t="s">
        <v>414</v>
      </c>
      <c r="B124" s="164"/>
      <c r="C124" s="667">
        <f>SUM(C121:C123)</f>
        <v>85000</v>
      </c>
      <c r="D124" s="667"/>
      <c r="E124" s="667">
        <f>SUM(E121:E123)</f>
        <v>6000</v>
      </c>
      <c r="F124" s="667">
        <f>SUM(F121:F123)</f>
        <v>34000</v>
      </c>
      <c r="G124" s="667">
        <f>SUM(G121:G123)</f>
        <v>125000</v>
      </c>
      <c r="H124" s="667">
        <f>SUM(H121:H123)</f>
        <v>573.07692307692309</v>
      </c>
      <c r="I124" s="668"/>
      <c r="J124" s="667"/>
      <c r="K124" s="685">
        <f>SUMIF($B121:$B123,"FT",K121:K123)</f>
        <v>0</v>
      </c>
      <c r="L124" s="669">
        <f>SUM(L121:L123)</f>
        <v>0</v>
      </c>
      <c r="M124" s="669">
        <f t="shared" ref="M124:AE124" si="52">SUM(M121:M123)</f>
        <v>45475</v>
      </c>
      <c r="N124" s="669">
        <f t="shared" si="52"/>
        <v>47312.19</v>
      </c>
      <c r="O124" s="669">
        <f t="shared" si="52"/>
        <v>48258.433799999999</v>
      </c>
      <c r="P124" s="669">
        <f t="shared" si="52"/>
        <v>49223.602475999993</v>
      </c>
      <c r="Q124" s="669">
        <f t="shared" si="52"/>
        <v>50208.074525520002</v>
      </c>
      <c r="R124" s="669">
        <f t="shared" si="52"/>
        <v>51212.236016030394</v>
      </c>
      <c r="S124" s="669">
        <f t="shared" si="52"/>
        <v>52236.480736351004</v>
      </c>
      <c r="T124" s="669">
        <f t="shared" si="52"/>
        <v>53281.210351078029</v>
      </c>
      <c r="U124" s="669">
        <f t="shared" si="52"/>
        <v>54346.834558099596</v>
      </c>
      <c r="V124" s="669">
        <f t="shared" si="52"/>
        <v>55433.771249261583</v>
      </c>
      <c r="W124" s="669">
        <f t="shared" si="52"/>
        <v>56542.446674246821</v>
      </c>
      <c r="X124" s="669">
        <f t="shared" si="52"/>
        <v>57673.295607731765</v>
      </c>
      <c r="Y124" s="669">
        <f t="shared" si="52"/>
        <v>58826.761519886393</v>
      </c>
      <c r="Z124" s="669">
        <f t="shared" si="52"/>
        <v>60003.29675028412</v>
      </c>
      <c r="AA124" s="669">
        <f t="shared" si="52"/>
        <v>61203.362685289801</v>
      </c>
      <c r="AB124" s="669">
        <f t="shared" si="52"/>
        <v>62427.4299389956</v>
      </c>
      <c r="AC124" s="669">
        <f t="shared" si="52"/>
        <v>63675.978537775518</v>
      </c>
      <c r="AD124" s="669">
        <f t="shared" si="52"/>
        <v>64949.498108531028</v>
      </c>
      <c r="AE124" s="669">
        <f t="shared" si="52"/>
        <v>66248.488070701642</v>
      </c>
    </row>
    <row r="125" spans="1:33">
      <c r="A125" s="37"/>
      <c r="B125" s="37"/>
      <c r="C125" s="663"/>
      <c r="D125" s="663"/>
      <c r="E125" s="663"/>
      <c r="F125" s="663"/>
      <c r="G125" s="663"/>
      <c r="H125" s="663"/>
      <c r="I125" s="670"/>
      <c r="J125" s="663"/>
      <c r="K125" s="683"/>
      <c r="L125" s="666"/>
      <c r="M125" s="666"/>
      <c r="N125" s="666"/>
      <c r="O125" s="666"/>
      <c r="P125" s="666"/>
      <c r="Q125" s="666"/>
      <c r="R125" s="666"/>
      <c r="S125" s="666"/>
      <c r="T125" s="666"/>
      <c r="U125" s="666"/>
      <c r="V125" s="666"/>
      <c r="W125" s="666"/>
      <c r="X125" s="666"/>
      <c r="Y125" s="666"/>
      <c r="Z125" s="666"/>
      <c r="AA125" s="666"/>
      <c r="AB125" s="666"/>
      <c r="AC125" s="666"/>
      <c r="AD125" s="666"/>
      <c r="AE125" s="666"/>
    </row>
    <row r="126" spans="1:33">
      <c r="A126" s="37" t="s">
        <v>11</v>
      </c>
      <c r="B126" s="37"/>
      <c r="C126" s="663"/>
      <c r="D126" s="663"/>
      <c r="E126" s="663"/>
      <c r="F126" s="663"/>
      <c r="G126" s="663"/>
      <c r="H126" s="663"/>
      <c r="I126" s="670"/>
      <c r="J126" s="663"/>
      <c r="K126" s="743">
        <f>COUNTIF(K121:K123,"&gt;100")</f>
        <v>0</v>
      </c>
      <c r="L126" s="496">
        <f>COUNTIF(L121,"&gt;100")</f>
        <v>0</v>
      </c>
      <c r="M126" s="496">
        <f t="shared" ref="M126:AE126" si="53">COUNTIF(M121,"&gt;100")</f>
        <v>1</v>
      </c>
      <c r="N126" s="496">
        <f t="shared" si="53"/>
        <v>1</v>
      </c>
      <c r="O126" s="496">
        <f t="shared" si="53"/>
        <v>1</v>
      </c>
      <c r="P126" s="496">
        <f t="shared" si="53"/>
        <v>1</v>
      </c>
      <c r="Q126" s="496">
        <f t="shared" si="53"/>
        <v>1</v>
      </c>
      <c r="R126" s="496">
        <f t="shared" si="53"/>
        <v>1</v>
      </c>
      <c r="S126" s="496">
        <f t="shared" si="53"/>
        <v>1</v>
      </c>
      <c r="T126" s="496">
        <f t="shared" si="53"/>
        <v>1</v>
      </c>
      <c r="U126" s="496">
        <f t="shared" si="53"/>
        <v>1</v>
      </c>
      <c r="V126" s="496">
        <f t="shared" si="53"/>
        <v>1</v>
      </c>
      <c r="W126" s="496">
        <f t="shared" si="53"/>
        <v>1</v>
      </c>
      <c r="X126" s="496">
        <f t="shared" si="53"/>
        <v>1</v>
      </c>
      <c r="Y126" s="496">
        <f t="shared" si="53"/>
        <v>1</v>
      </c>
      <c r="Z126" s="496">
        <f t="shared" si="53"/>
        <v>1</v>
      </c>
      <c r="AA126" s="496">
        <f t="shared" si="53"/>
        <v>1</v>
      </c>
      <c r="AB126" s="496">
        <f t="shared" si="53"/>
        <v>1</v>
      </c>
      <c r="AC126" s="496">
        <f t="shared" si="53"/>
        <v>1</v>
      </c>
      <c r="AD126" s="496">
        <f t="shared" si="53"/>
        <v>1</v>
      </c>
      <c r="AE126" s="496">
        <f t="shared" si="53"/>
        <v>1</v>
      </c>
    </row>
    <row r="127" spans="1:33">
      <c r="A127" s="745" t="s">
        <v>10</v>
      </c>
      <c r="B127" s="745"/>
      <c r="C127" s="739"/>
      <c r="D127" s="739"/>
      <c r="E127" s="739"/>
      <c r="F127" s="739"/>
      <c r="G127" s="739"/>
      <c r="H127" s="739"/>
      <c r="I127" s="763"/>
      <c r="J127" s="739"/>
      <c r="K127" s="749">
        <f t="shared" ref="K127" si="54">K128-K126</f>
        <v>0</v>
      </c>
      <c r="L127" s="750">
        <f>COUNTIF(L122:L123,"&gt;100")</f>
        <v>0</v>
      </c>
      <c r="M127" s="750">
        <f t="shared" ref="M127:AE127" si="55">COUNTIF(M122:M123,"&gt;100")</f>
        <v>2</v>
      </c>
      <c r="N127" s="750">
        <f t="shared" si="55"/>
        <v>2</v>
      </c>
      <c r="O127" s="750">
        <f t="shared" si="55"/>
        <v>2</v>
      </c>
      <c r="P127" s="750">
        <f t="shared" si="55"/>
        <v>2</v>
      </c>
      <c r="Q127" s="750">
        <f t="shared" si="55"/>
        <v>2</v>
      </c>
      <c r="R127" s="750">
        <f t="shared" si="55"/>
        <v>2</v>
      </c>
      <c r="S127" s="750">
        <f t="shared" si="55"/>
        <v>2</v>
      </c>
      <c r="T127" s="750">
        <f t="shared" si="55"/>
        <v>2</v>
      </c>
      <c r="U127" s="750">
        <f t="shared" si="55"/>
        <v>2</v>
      </c>
      <c r="V127" s="750">
        <f t="shared" si="55"/>
        <v>2</v>
      </c>
      <c r="W127" s="750">
        <f t="shared" si="55"/>
        <v>2</v>
      </c>
      <c r="X127" s="750">
        <f t="shared" si="55"/>
        <v>2</v>
      </c>
      <c r="Y127" s="750">
        <f t="shared" si="55"/>
        <v>2</v>
      </c>
      <c r="Z127" s="750">
        <f t="shared" si="55"/>
        <v>2</v>
      </c>
      <c r="AA127" s="750">
        <f t="shared" si="55"/>
        <v>2</v>
      </c>
      <c r="AB127" s="750">
        <f t="shared" si="55"/>
        <v>2</v>
      </c>
      <c r="AC127" s="750">
        <f t="shared" si="55"/>
        <v>2</v>
      </c>
      <c r="AD127" s="750">
        <f t="shared" si="55"/>
        <v>2</v>
      </c>
      <c r="AE127" s="750">
        <f t="shared" si="55"/>
        <v>2</v>
      </c>
    </row>
    <row r="128" spans="1:33">
      <c r="A128" s="164" t="s">
        <v>9</v>
      </c>
      <c r="B128" s="164"/>
      <c r="C128" s="667"/>
      <c r="D128" s="667"/>
      <c r="E128" s="667"/>
      <c r="F128" s="667"/>
      <c r="G128" s="667"/>
      <c r="H128" s="667"/>
      <c r="I128" s="668"/>
      <c r="J128" s="667"/>
      <c r="K128" s="751">
        <f t="shared" ref="K128:AE128" si="56">COUNTIF(K121:K123,"&gt;0")</f>
        <v>0</v>
      </c>
      <c r="L128" s="752">
        <f t="shared" si="56"/>
        <v>0</v>
      </c>
      <c r="M128" s="752">
        <f t="shared" si="56"/>
        <v>3</v>
      </c>
      <c r="N128" s="752">
        <f t="shared" si="56"/>
        <v>3</v>
      </c>
      <c r="O128" s="752">
        <f t="shared" si="56"/>
        <v>3</v>
      </c>
      <c r="P128" s="752">
        <f t="shared" si="56"/>
        <v>3</v>
      </c>
      <c r="Q128" s="752">
        <f t="shared" si="56"/>
        <v>3</v>
      </c>
      <c r="R128" s="752">
        <f t="shared" si="56"/>
        <v>3</v>
      </c>
      <c r="S128" s="752">
        <f t="shared" si="56"/>
        <v>3</v>
      </c>
      <c r="T128" s="752">
        <f t="shared" si="56"/>
        <v>3</v>
      </c>
      <c r="U128" s="752">
        <f t="shared" si="56"/>
        <v>3</v>
      </c>
      <c r="V128" s="752">
        <f t="shared" si="56"/>
        <v>3</v>
      </c>
      <c r="W128" s="752">
        <f t="shared" si="56"/>
        <v>3</v>
      </c>
      <c r="X128" s="752">
        <f t="shared" si="56"/>
        <v>3</v>
      </c>
      <c r="Y128" s="752">
        <f t="shared" si="56"/>
        <v>3</v>
      </c>
      <c r="Z128" s="752">
        <f t="shared" si="56"/>
        <v>3</v>
      </c>
      <c r="AA128" s="752">
        <f t="shared" si="56"/>
        <v>3</v>
      </c>
      <c r="AB128" s="752">
        <f t="shared" si="56"/>
        <v>3</v>
      </c>
      <c r="AC128" s="752">
        <f t="shared" si="56"/>
        <v>3</v>
      </c>
      <c r="AD128" s="752">
        <f t="shared" si="56"/>
        <v>3</v>
      </c>
      <c r="AE128" s="752">
        <f t="shared" si="56"/>
        <v>3</v>
      </c>
    </row>
    <row r="129" spans="1:33">
      <c r="A129" s="37"/>
      <c r="B129" s="37"/>
      <c r="C129" s="57"/>
      <c r="E129" s="57"/>
      <c r="F129" s="57"/>
      <c r="G129" s="57"/>
      <c r="H129" s="57"/>
      <c r="I129" s="43"/>
      <c r="J129" s="42"/>
      <c r="K129" s="683"/>
      <c r="L129" s="316"/>
      <c r="M129" s="316"/>
      <c r="N129" s="316"/>
      <c r="O129" s="316"/>
      <c r="P129" s="316"/>
      <c r="Q129" s="316"/>
      <c r="R129" s="316"/>
      <c r="S129" s="316"/>
      <c r="T129" s="316"/>
      <c r="U129" s="316"/>
      <c r="V129" s="316"/>
      <c r="W129" s="316"/>
      <c r="X129" s="316"/>
      <c r="Y129" s="316"/>
      <c r="Z129" s="316"/>
      <c r="AA129" s="316"/>
      <c r="AB129" s="316"/>
      <c r="AC129" s="316"/>
      <c r="AD129" s="316"/>
      <c r="AE129" s="316"/>
    </row>
    <row r="130" spans="1:33" s="55" customFormat="1">
      <c r="A130" s="190" t="s">
        <v>60</v>
      </c>
      <c r="B130" s="191"/>
      <c r="C130" s="192"/>
      <c r="D130" s="193"/>
      <c r="E130" s="194"/>
      <c r="F130" s="194"/>
      <c r="G130" s="192"/>
      <c r="H130" s="192"/>
      <c r="I130" s="195">
        <v>0.2</v>
      </c>
      <c r="J130" s="196"/>
      <c r="K130" s="683">
        <v>0</v>
      </c>
      <c r="L130" s="665">
        <f>$I$130*L124</f>
        <v>0</v>
      </c>
      <c r="M130" s="665">
        <f t="shared" ref="M130:AE130" si="57">$I$130*M124</f>
        <v>9095</v>
      </c>
      <c r="N130" s="665">
        <f t="shared" si="57"/>
        <v>9462.4380000000001</v>
      </c>
      <c r="O130" s="665">
        <f t="shared" si="57"/>
        <v>9651.6867600000005</v>
      </c>
      <c r="P130" s="665">
        <f t="shared" si="57"/>
        <v>9844.7204951999993</v>
      </c>
      <c r="Q130" s="665">
        <f t="shared" si="57"/>
        <v>10041.614905104001</v>
      </c>
      <c r="R130" s="665">
        <f t="shared" si="57"/>
        <v>10242.44720320608</v>
      </c>
      <c r="S130" s="665">
        <f t="shared" si="57"/>
        <v>10447.296147270201</v>
      </c>
      <c r="T130" s="665">
        <f t="shared" si="57"/>
        <v>10656.242070215607</v>
      </c>
      <c r="U130" s="665">
        <f t="shared" si="57"/>
        <v>10869.36691161992</v>
      </c>
      <c r="V130" s="665">
        <f t="shared" si="57"/>
        <v>11086.754249852318</v>
      </c>
      <c r="W130" s="665">
        <f t="shared" si="57"/>
        <v>11308.489334849364</v>
      </c>
      <c r="X130" s="665">
        <f t="shared" si="57"/>
        <v>11534.659121546354</v>
      </c>
      <c r="Y130" s="665">
        <f t="shared" si="57"/>
        <v>11765.352303977279</v>
      </c>
      <c r="Z130" s="665">
        <f t="shared" si="57"/>
        <v>12000.659350056825</v>
      </c>
      <c r="AA130" s="665">
        <f t="shared" si="57"/>
        <v>12240.672537057961</v>
      </c>
      <c r="AB130" s="665">
        <f t="shared" si="57"/>
        <v>12485.48598779912</v>
      </c>
      <c r="AC130" s="665">
        <f t="shared" si="57"/>
        <v>12735.195707555104</v>
      </c>
      <c r="AD130" s="665">
        <f t="shared" si="57"/>
        <v>12989.899621706207</v>
      </c>
      <c r="AE130" s="665">
        <f t="shared" si="57"/>
        <v>13249.697614140328</v>
      </c>
    </row>
    <row r="131" spans="1:33">
      <c r="A131" s="190"/>
      <c r="B131" s="191"/>
      <c r="C131" s="192"/>
      <c r="D131" s="193"/>
      <c r="E131" s="194"/>
      <c r="F131" s="194"/>
      <c r="G131" s="192"/>
      <c r="H131" s="192"/>
      <c r="I131" s="195"/>
      <c r="J131" s="196"/>
      <c r="K131" s="685"/>
      <c r="L131" s="665"/>
      <c r="M131" s="665"/>
      <c r="N131" s="665"/>
      <c r="O131" s="665"/>
      <c r="P131" s="665"/>
      <c r="Q131" s="665"/>
      <c r="R131" s="665"/>
      <c r="S131" s="665"/>
      <c r="T131" s="665"/>
      <c r="U131" s="665"/>
      <c r="V131" s="665"/>
      <c r="W131" s="665"/>
      <c r="X131" s="665"/>
      <c r="Y131" s="665"/>
      <c r="Z131" s="665"/>
      <c r="AA131" s="665"/>
      <c r="AB131" s="665"/>
      <c r="AC131" s="665"/>
      <c r="AD131" s="665"/>
      <c r="AE131" s="665"/>
    </row>
    <row r="132" spans="1:33">
      <c r="A132" s="164" t="s">
        <v>61</v>
      </c>
      <c r="B132" s="164"/>
      <c r="C132" s="75"/>
      <c r="D132" s="173"/>
      <c r="E132" s="75"/>
      <c r="F132" s="75"/>
      <c r="G132" s="75"/>
      <c r="H132" s="75"/>
      <c r="I132" s="174"/>
      <c r="J132" s="175"/>
      <c r="K132" s="685">
        <v>0</v>
      </c>
      <c r="L132" s="669">
        <f>SUM(L124,L130)</f>
        <v>0</v>
      </c>
      <c r="M132" s="669">
        <f t="shared" ref="M132:AE132" si="58">SUM(M124,M130)</f>
        <v>54570</v>
      </c>
      <c r="N132" s="669">
        <f t="shared" si="58"/>
        <v>56774.628000000004</v>
      </c>
      <c r="O132" s="669">
        <f t="shared" si="58"/>
        <v>57910.120559999996</v>
      </c>
      <c r="P132" s="669">
        <f t="shared" si="58"/>
        <v>59068.322971199988</v>
      </c>
      <c r="Q132" s="669">
        <f t="shared" si="58"/>
        <v>60249.689430623999</v>
      </c>
      <c r="R132" s="669">
        <f t="shared" si="58"/>
        <v>61454.683219236475</v>
      </c>
      <c r="S132" s="669">
        <f t="shared" si="58"/>
        <v>62683.776883621205</v>
      </c>
      <c r="T132" s="669">
        <f t="shared" si="58"/>
        <v>63937.452421293638</v>
      </c>
      <c r="U132" s="669">
        <f t="shared" si="58"/>
        <v>65216.201469719512</v>
      </c>
      <c r="V132" s="669">
        <f t="shared" si="58"/>
        <v>66520.525499113894</v>
      </c>
      <c r="W132" s="669">
        <f t="shared" si="58"/>
        <v>67850.936009096185</v>
      </c>
      <c r="X132" s="669">
        <f t="shared" si="58"/>
        <v>69207.954729278121</v>
      </c>
      <c r="Y132" s="669">
        <f t="shared" si="58"/>
        <v>70592.113823863678</v>
      </c>
      <c r="Z132" s="669">
        <f t="shared" si="58"/>
        <v>72003.956100340947</v>
      </c>
      <c r="AA132" s="669">
        <f t="shared" si="58"/>
        <v>73444.035222347768</v>
      </c>
      <c r="AB132" s="669">
        <f t="shared" si="58"/>
        <v>74912.915926794725</v>
      </c>
      <c r="AC132" s="669">
        <f t="shared" si="58"/>
        <v>76411.174245330621</v>
      </c>
      <c r="AD132" s="669">
        <f t="shared" si="58"/>
        <v>77939.397730237237</v>
      </c>
      <c r="AE132" s="669">
        <f t="shared" si="58"/>
        <v>79498.18568484197</v>
      </c>
    </row>
    <row r="133" spans="1:33">
      <c r="A133" s="183"/>
      <c r="B133" s="184"/>
      <c r="C133" s="185"/>
      <c r="D133" s="186"/>
      <c r="E133" s="185"/>
      <c r="F133" s="185"/>
      <c r="G133" s="185"/>
      <c r="H133" s="185"/>
      <c r="I133" s="187"/>
      <c r="J133" s="188"/>
      <c r="K133" s="683"/>
      <c r="L133" s="320"/>
      <c r="M133" s="320"/>
      <c r="N133" s="320"/>
      <c r="O133" s="320"/>
      <c r="P133" s="320"/>
      <c r="Q133" s="320"/>
      <c r="R133" s="320"/>
      <c r="S133" s="320"/>
      <c r="T133" s="320"/>
      <c r="U133" s="320"/>
      <c r="V133" s="320"/>
      <c r="W133" s="320"/>
      <c r="X133" s="320"/>
      <c r="Y133" s="320"/>
      <c r="Z133" s="320"/>
      <c r="AA133" s="320"/>
      <c r="AB133" s="320"/>
      <c r="AC133" s="320"/>
      <c r="AD133" s="320"/>
      <c r="AE133" s="320"/>
    </row>
    <row r="134" spans="1:33">
      <c r="A134" s="39" t="s">
        <v>4</v>
      </c>
      <c r="B134" s="39"/>
      <c r="C134" s="111"/>
      <c r="D134" s="112"/>
      <c r="E134" s="111"/>
      <c r="F134" s="111"/>
      <c r="G134" s="111"/>
      <c r="H134" s="111"/>
      <c r="I134" s="40"/>
      <c r="J134" s="113"/>
      <c r="K134" s="688"/>
      <c r="L134" s="321"/>
      <c r="M134" s="321"/>
      <c r="N134" s="321"/>
      <c r="O134" s="321"/>
      <c r="P134" s="321"/>
      <c r="Q134" s="321"/>
      <c r="R134" s="321"/>
      <c r="S134" s="321"/>
      <c r="T134" s="321"/>
      <c r="U134" s="321"/>
      <c r="V134" s="321"/>
      <c r="W134" s="321"/>
      <c r="X134" s="321"/>
      <c r="Y134" s="321"/>
      <c r="Z134" s="321"/>
      <c r="AA134" s="321"/>
      <c r="AB134" s="321"/>
      <c r="AC134" s="321"/>
      <c r="AD134" s="321"/>
      <c r="AE134" s="321"/>
    </row>
    <row r="135" spans="1:33">
      <c r="A135" s="41" t="s">
        <v>13</v>
      </c>
      <c r="B135" s="41"/>
      <c r="C135" s="105"/>
      <c r="D135" s="106"/>
      <c r="E135" s="37"/>
      <c r="F135" s="37"/>
      <c r="G135" s="37"/>
      <c r="H135" s="37"/>
      <c r="I135" s="41"/>
      <c r="J135" s="37"/>
      <c r="K135" s="683"/>
      <c r="L135" s="200"/>
      <c r="M135" s="200"/>
      <c r="N135" s="200"/>
      <c r="O135" s="200"/>
      <c r="P135" s="200"/>
      <c r="Q135" s="200"/>
      <c r="R135" s="200"/>
      <c r="S135" s="200"/>
      <c r="T135" s="200"/>
      <c r="U135" s="201"/>
      <c r="V135" s="323"/>
      <c r="W135" s="200"/>
      <c r="X135" s="200"/>
      <c r="Y135" s="200"/>
      <c r="Z135" s="200"/>
      <c r="AA135" s="200"/>
      <c r="AB135" s="200"/>
      <c r="AC135" s="200"/>
      <c r="AD135" s="200"/>
      <c r="AE135" s="201"/>
    </row>
    <row r="136" spans="1:33">
      <c r="A136" s="33" t="s">
        <v>65</v>
      </c>
      <c r="B136" s="735" t="s">
        <v>12</v>
      </c>
      <c r="C136" s="663">
        <v>65000</v>
      </c>
      <c r="D136" s="736">
        <f>C136/2080</f>
        <v>31.25</v>
      </c>
      <c r="E136" s="663">
        <v>0</v>
      </c>
      <c r="F136" s="663">
        <f>C136*$F$13</f>
        <v>26000</v>
      </c>
      <c r="G136" s="663">
        <f>SUM(C136,E136:F136)</f>
        <v>91000</v>
      </c>
      <c r="H136" s="736">
        <f>G136/2080*8</f>
        <v>350</v>
      </c>
      <c r="I136" s="764"/>
      <c r="J136" s="765"/>
      <c r="K136" s="683">
        <v>0</v>
      </c>
      <c r="L136" s="665">
        <v>0</v>
      </c>
      <c r="M136" s="665">
        <f>$H$136*M32*0.25</f>
        <v>18725</v>
      </c>
      <c r="N136" s="665">
        <f t="shared" ref="N136:AE136" si="59">$M$136*L11</f>
        <v>19099.5</v>
      </c>
      <c r="O136" s="665">
        <f t="shared" si="59"/>
        <v>19481.490000000002</v>
      </c>
      <c r="P136" s="665">
        <f t="shared" si="59"/>
        <v>19871.1198</v>
      </c>
      <c r="Q136" s="665">
        <f t="shared" si="59"/>
        <v>20268.542195999999</v>
      </c>
      <c r="R136" s="665">
        <f t="shared" si="59"/>
        <v>20673.91303992</v>
      </c>
      <c r="S136" s="665">
        <f t="shared" si="59"/>
        <v>21087.391300718402</v>
      </c>
      <c r="T136" s="665">
        <f t="shared" si="59"/>
        <v>21509.139126732767</v>
      </c>
      <c r="U136" s="665">
        <f t="shared" si="59"/>
        <v>21939.321909267426</v>
      </c>
      <c r="V136" s="665">
        <f t="shared" si="59"/>
        <v>22378.108347452773</v>
      </c>
      <c r="W136" s="665">
        <f t="shared" si="59"/>
        <v>22825.670514401831</v>
      </c>
      <c r="X136" s="665">
        <f t="shared" si="59"/>
        <v>23282.183924689867</v>
      </c>
      <c r="Y136" s="665">
        <f t="shared" si="59"/>
        <v>23747.827603183665</v>
      </c>
      <c r="Z136" s="665">
        <f t="shared" si="59"/>
        <v>24222.784155247336</v>
      </c>
      <c r="AA136" s="665">
        <f t="shared" si="59"/>
        <v>24707.239838352285</v>
      </c>
      <c r="AB136" s="665">
        <f t="shared" si="59"/>
        <v>25201.384635119332</v>
      </c>
      <c r="AC136" s="665">
        <f t="shared" si="59"/>
        <v>25705.412327821719</v>
      </c>
      <c r="AD136" s="665">
        <f t="shared" si="59"/>
        <v>26219.520574378155</v>
      </c>
      <c r="AE136" s="665">
        <f t="shared" si="59"/>
        <v>26743.910985865718</v>
      </c>
    </row>
    <row r="137" spans="1:33">
      <c r="A137" s="37" t="s">
        <v>62</v>
      </c>
      <c r="B137" s="735" t="s">
        <v>12</v>
      </c>
      <c r="C137" s="663">
        <v>85000</v>
      </c>
      <c r="D137" s="736">
        <f>C137/2080</f>
        <v>40.865384615384613</v>
      </c>
      <c r="E137" s="663">
        <f>C137*$L$15</f>
        <v>0</v>
      </c>
      <c r="F137" s="663">
        <f t="shared" ref="F137:F140" si="60">C137*$F$13</f>
        <v>34000</v>
      </c>
      <c r="G137" s="663">
        <f t="shared" ref="G137:G140" si="61">SUM(C137,E137:F137)</f>
        <v>119000</v>
      </c>
      <c r="H137" s="736">
        <f>G137/2080*8</f>
        <v>457.69230769230768</v>
      </c>
      <c r="I137" s="764"/>
      <c r="J137" s="765"/>
      <c r="K137" s="683">
        <v>0</v>
      </c>
      <c r="L137" s="665">
        <v>0</v>
      </c>
      <c r="M137" s="665">
        <f>$H$137*M32*0.1</f>
        <v>9794.6153846153848</v>
      </c>
      <c r="N137" s="665">
        <f t="shared" ref="N137:AE137" si="62">$M$137*L11</f>
        <v>9990.5076923076922</v>
      </c>
      <c r="O137" s="665">
        <f t="shared" si="62"/>
        <v>10190.317846153846</v>
      </c>
      <c r="P137" s="665">
        <f t="shared" si="62"/>
        <v>10394.124203076923</v>
      </c>
      <c r="Q137" s="665">
        <f t="shared" si="62"/>
        <v>10602.006687138461</v>
      </c>
      <c r="R137" s="665">
        <f t="shared" si="62"/>
        <v>10814.046820881231</v>
      </c>
      <c r="S137" s="665">
        <f t="shared" si="62"/>
        <v>11030.327757298855</v>
      </c>
      <c r="T137" s="665">
        <f t="shared" si="62"/>
        <v>11250.934312444833</v>
      </c>
      <c r="U137" s="665">
        <f t="shared" si="62"/>
        <v>11475.95299869373</v>
      </c>
      <c r="V137" s="665">
        <f t="shared" si="62"/>
        <v>11705.472058667605</v>
      </c>
      <c r="W137" s="665">
        <f t="shared" si="62"/>
        <v>11939.581499840959</v>
      </c>
      <c r="X137" s="665">
        <f t="shared" si="62"/>
        <v>12178.373129837777</v>
      </c>
      <c r="Y137" s="665">
        <f t="shared" si="62"/>
        <v>12421.940592434532</v>
      </c>
      <c r="Z137" s="665">
        <f t="shared" si="62"/>
        <v>12670.379404283221</v>
      </c>
      <c r="AA137" s="665">
        <f t="shared" si="62"/>
        <v>12923.786992368889</v>
      </c>
      <c r="AB137" s="665">
        <f t="shared" si="62"/>
        <v>13182.262732216266</v>
      </c>
      <c r="AC137" s="665">
        <f t="shared" si="62"/>
        <v>13445.907986860591</v>
      </c>
      <c r="AD137" s="665">
        <f t="shared" si="62"/>
        <v>13714.826146597805</v>
      </c>
      <c r="AE137" s="665">
        <f t="shared" si="62"/>
        <v>13989.122669529761</v>
      </c>
    </row>
    <row r="138" spans="1:33">
      <c r="A138" s="37" t="s">
        <v>419</v>
      </c>
      <c r="B138" s="735" t="s">
        <v>12</v>
      </c>
      <c r="C138" s="663">
        <v>75000</v>
      </c>
      <c r="D138" s="736">
        <f>C138/2080</f>
        <v>36.057692307692307</v>
      </c>
      <c r="E138" s="663">
        <f>C138*$L$15</f>
        <v>0</v>
      </c>
      <c r="F138" s="663">
        <f t="shared" si="60"/>
        <v>30000</v>
      </c>
      <c r="G138" s="663">
        <f t="shared" si="61"/>
        <v>105000</v>
      </c>
      <c r="H138" s="736">
        <f>G138/2080*8</f>
        <v>403.84615384615387</v>
      </c>
      <c r="I138" s="764"/>
      <c r="J138" s="765"/>
      <c r="K138" s="683">
        <v>0</v>
      </c>
      <c r="L138" s="665">
        <v>0</v>
      </c>
      <c r="M138" s="665">
        <f>$H$138*M32*0.1</f>
        <v>8642.3076923076933</v>
      </c>
      <c r="N138" s="665">
        <f t="shared" ref="N138:AE138" si="63">$M$138*L11</f>
        <v>8815.1538461538476</v>
      </c>
      <c r="O138" s="665">
        <f t="shared" si="63"/>
        <v>8991.4569230769248</v>
      </c>
      <c r="P138" s="665">
        <f t="shared" si="63"/>
        <v>9171.2860615384616</v>
      </c>
      <c r="Q138" s="665">
        <f t="shared" si="63"/>
        <v>9354.7117827692309</v>
      </c>
      <c r="R138" s="665">
        <f t="shared" si="63"/>
        <v>9541.8060184246169</v>
      </c>
      <c r="S138" s="665">
        <f t="shared" si="63"/>
        <v>9732.6421387931096</v>
      </c>
      <c r="T138" s="665">
        <f t="shared" si="63"/>
        <v>9927.2949815689717</v>
      </c>
      <c r="U138" s="665">
        <f t="shared" si="63"/>
        <v>10125.840881200351</v>
      </c>
      <c r="V138" s="665">
        <f t="shared" si="63"/>
        <v>10328.357698824359</v>
      </c>
      <c r="W138" s="665">
        <f t="shared" si="63"/>
        <v>10534.924852800847</v>
      </c>
      <c r="X138" s="665">
        <f t="shared" si="63"/>
        <v>10745.623349856864</v>
      </c>
      <c r="Y138" s="665">
        <f t="shared" si="63"/>
        <v>10960.535816854001</v>
      </c>
      <c r="Z138" s="665">
        <f t="shared" si="63"/>
        <v>11179.746533191079</v>
      </c>
      <c r="AA138" s="665">
        <f t="shared" si="63"/>
        <v>11403.341463854902</v>
      </c>
      <c r="AB138" s="665">
        <f t="shared" si="63"/>
        <v>11631.408293132001</v>
      </c>
      <c r="AC138" s="665">
        <f t="shared" si="63"/>
        <v>11864.03645899464</v>
      </c>
      <c r="AD138" s="665">
        <f t="shared" si="63"/>
        <v>12101.317188174535</v>
      </c>
      <c r="AE138" s="665">
        <f t="shared" si="63"/>
        <v>12343.343531938026</v>
      </c>
    </row>
    <row r="139" spans="1:33">
      <c r="A139" s="37" t="s">
        <v>63</v>
      </c>
      <c r="B139" s="735" t="s">
        <v>15</v>
      </c>
      <c r="C139" s="663">
        <v>15000</v>
      </c>
      <c r="D139" s="736">
        <f t="shared" ref="D139:D140" si="64">C139/2080</f>
        <v>7.2115384615384617</v>
      </c>
      <c r="E139" s="663">
        <f>C139*$L$15</f>
        <v>0</v>
      </c>
      <c r="F139" s="663">
        <f t="shared" si="60"/>
        <v>6000</v>
      </c>
      <c r="G139" s="663">
        <f t="shared" si="61"/>
        <v>21000</v>
      </c>
      <c r="H139" s="736">
        <f t="shared" ref="H139:H140" si="65">G139/2080*8</f>
        <v>80.769230769230774</v>
      </c>
      <c r="I139" s="764"/>
      <c r="J139" s="765"/>
      <c r="K139" s="683">
        <v>0</v>
      </c>
      <c r="L139" s="665">
        <v>0</v>
      </c>
      <c r="M139" s="665">
        <f>($H$139*M32)*0.5</f>
        <v>8642.3076923076933</v>
      </c>
      <c r="N139" s="665">
        <f t="shared" ref="N139:AE139" si="66">$M$139*L11</f>
        <v>8815.1538461538476</v>
      </c>
      <c r="O139" s="665">
        <f t="shared" si="66"/>
        <v>8991.4569230769248</v>
      </c>
      <c r="P139" s="665">
        <f t="shared" si="66"/>
        <v>9171.2860615384616</v>
      </c>
      <c r="Q139" s="665">
        <f t="shared" si="66"/>
        <v>9354.7117827692309</v>
      </c>
      <c r="R139" s="665">
        <f t="shared" si="66"/>
        <v>9541.8060184246169</v>
      </c>
      <c r="S139" s="665">
        <f t="shared" si="66"/>
        <v>9732.6421387931096</v>
      </c>
      <c r="T139" s="665">
        <f t="shared" si="66"/>
        <v>9927.2949815689717</v>
      </c>
      <c r="U139" s="665">
        <f t="shared" si="66"/>
        <v>10125.840881200351</v>
      </c>
      <c r="V139" s="665">
        <f t="shared" si="66"/>
        <v>10328.357698824359</v>
      </c>
      <c r="W139" s="665">
        <f t="shared" si="66"/>
        <v>10534.924852800847</v>
      </c>
      <c r="X139" s="665">
        <f t="shared" si="66"/>
        <v>10745.623349856864</v>
      </c>
      <c r="Y139" s="665">
        <f t="shared" si="66"/>
        <v>10960.535816854001</v>
      </c>
      <c r="Z139" s="665">
        <f t="shared" si="66"/>
        <v>11179.746533191079</v>
      </c>
      <c r="AA139" s="665">
        <f t="shared" si="66"/>
        <v>11403.341463854902</v>
      </c>
      <c r="AB139" s="665">
        <f t="shared" si="66"/>
        <v>11631.408293132001</v>
      </c>
      <c r="AC139" s="665">
        <f t="shared" si="66"/>
        <v>11864.03645899464</v>
      </c>
      <c r="AD139" s="665">
        <f t="shared" si="66"/>
        <v>12101.317188174535</v>
      </c>
      <c r="AE139" s="665">
        <f t="shared" si="66"/>
        <v>12343.343531938026</v>
      </c>
    </row>
    <row r="140" spans="1:33">
      <c r="A140" s="745" t="s">
        <v>63</v>
      </c>
      <c r="B140" s="738" t="s">
        <v>15</v>
      </c>
      <c r="C140" s="739">
        <v>15000</v>
      </c>
      <c r="D140" s="740">
        <f t="shared" si="64"/>
        <v>7.2115384615384617</v>
      </c>
      <c r="E140" s="739">
        <f>C140*$L$15</f>
        <v>0</v>
      </c>
      <c r="F140" s="739">
        <f t="shared" si="60"/>
        <v>6000</v>
      </c>
      <c r="G140" s="739">
        <f t="shared" si="61"/>
        <v>21000</v>
      </c>
      <c r="H140" s="740">
        <f t="shared" si="65"/>
        <v>80.769230769230774</v>
      </c>
      <c r="I140" s="766"/>
      <c r="J140" s="767"/>
      <c r="K140" s="741">
        <v>0</v>
      </c>
      <c r="L140" s="742">
        <v>0</v>
      </c>
      <c r="M140" s="742">
        <f>($H$140*M32)*0.5</f>
        <v>8642.3076923076933</v>
      </c>
      <c r="N140" s="742">
        <f t="shared" ref="N140:AE140" si="67">$M$140*L11</f>
        <v>8815.1538461538476</v>
      </c>
      <c r="O140" s="742">
        <f t="shared" si="67"/>
        <v>8991.4569230769248</v>
      </c>
      <c r="P140" s="742">
        <f t="shared" si="67"/>
        <v>9171.2860615384616</v>
      </c>
      <c r="Q140" s="742">
        <f t="shared" si="67"/>
        <v>9354.7117827692309</v>
      </c>
      <c r="R140" s="742">
        <f t="shared" si="67"/>
        <v>9541.8060184246169</v>
      </c>
      <c r="S140" s="742">
        <f t="shared" si="67"/>
        <v>9732.6421387931096</v>
      </c>
      <c r="T140" s="742">
        <f t="shared" si="67"/>
        <v>9927.2949815689717</v>
      </c>
      <c r="U140" s="742">
        <f t="shared" si="67"/>
        <v>10125.840881200351</v>
      </c>
      <c r="V140" s="742">
        <f t="shared" si="67"/>
        <v>10328.357698824359</v>
      </c>
      <c r="W140" s="742">
        <f t="shared" si="67"/>
        <v>10534.924852800847</v>
      </c>
      <c r="X140" s="742">
        <f t="shared" si="67"/>
        <v>10745.623349856864</v>
      </c>
      <c r="Y140" s="742">
        <f t="shared" si="67"/>
        <v>10960.535816854001</v>
      </c>
      <c r="Z140" s="742">
        <f t="shared" si="67"/>
        <v>11179.746533191079</v>
      </c>
      <c r="AA140" s="742">
        <f t="shared" si="67"/>
        <v>11403.341463854902</v>
      </c>
      <c r="AB140" s="742">
        <f t="shared" si="67"/>
        <v>11631.408293132001</v>
      </c>
      <c r="AC140" s="742">
        <f t="shared" si="67"/>
        <v>11864.03645899464</v>
      </c>
      <c r="AD140" s="742">
        <f t="shared" si="67"/>
        <v>12101.317188174535</v>
      </c>
      <c r="AE140" s="742">
        <f t="shared" si="67"/>
        <v>12343.343531938026</v>
      </c>
    </row>
    <row r="141" spans="1:33" s="56" customFormat="1" ht="14.25">
      <c r="A141" s="164" t="s">
        <v>415</v>
      </c>
      <c r="B141" s="164"/>
      <c r="C141" s="667">
        <f>SUM(C136:C140)</f>
        <v>255000</v>
      </c>
      <c r="D141" s="667"/>
      <c r="E141" s="667">
        <f>SUM(E136:E140)</f>
        <v>0</v>
      </c>
      <c r="F141" s="667">
        <f>SUM(F136:F140)</f>
        <v>102000</v>
      </c>
      <c r="G141" s="667">
        <f>SUM(G136:G140)</f>
        <v>357000</v>
      </c>
      <c r="H141" s="667">
        <f>SUM(H136:H140)</f>
        <v>1373.0769230769229</v>
      </c>
      <c r="I141" s="768"/>
      <c r="J141" s="769"/>
      <c r="K141" s="685">
        <f>SUMIF($B136:$B140,"FT",K136:K140)</f>
        <v>0</v>
      </c>
      <c r="L141" s="669">
        <f>SUMIF($B136:$B140,"FT",L136:L140)</f>
        <v>0</v>
      </c>
      <c r="M141" s="669">
        <f>SUM(M136:M140)</f>
        <v>54446.538461538468</v>
      </c>
      <c r="N141" s="669">
        <f t="shared" ref="N141:AE141" si="68">SUM(N136:N140)</f>
        <v>55535.469230769231</v>
      </c>
      <c r="O141" s="669">
        <f t="shared" si="68"/>
        <v>56646.178615384626</v>
      </c>
      <c r="P141" s="669">
        <f t="shared" si="68"/>
        <v>57779.102187692311</v>
      </c>
      <c r="Q141" s="669">
        <f t="shared" si="68"/>
        <v>58934.684231446139</v>
      </c>
      <c r="R141" s="669">
        <f t="shared" si="68"/>
        <v>60113.377916075071</v>
      </c>
      <c r="S141" s="669">
        <f t="shared" si="68"/>
        <v>61315.645474396588</v>
      </c>
      <c r="T141" s="669">
        <f t="shared" si="68"/>
        <v>62541.958383884514</v>
      </c>
      <c r="U141" s="669">
        <f t="shared" si="68"/>
        <v>63792.797551562195</v>
      </c>
      <c r="V141" s="669">
        <f t="shared" si="68"/>
        <v>65068.653502593457</v>
      </c>
      <c r="W141" s="669">
        <f t="shared" si="68"/>
        <v>66370.026572645322</v>
      </c>
      <c r="X141" s="669">
        <f t="shared" si="68"/>
        <v>67697.427104098228</v>
      </c>
      <c r="Y141" s="669">
        <f t="shared" si="68"/>
        <v>69051.375646180197</v>
      </c>
      <c r="Z141" s="669">
        <f t="shared" si="68"/>
        <v>70432.403159103793</v>
      </c>
      <c r="AA141" s="669">
        <f t="shared" si="68"/>
        <v>71841.051222285882</v>
      </c>
      <c r="AB141" s="669">
        <f t="shared" si="68"/>
        <v>73277.872246731597</v>
      </c>
      <c r="AC141" s="669">
        <f t="shared" si="68"/>
        <v>74743.429691666228</v>
      </c>
      <c r="AD141" s="669">
        <f t="shared" si="68"/>
        <v>76238.298285499564</v>
      </c>
      <c r="AE141" s="669">
        <f t="shared" si="68"/>
        <v>77763.064251209551</v>
      </c>
    </row>
    <row r="142" spans="1:33">
      <c r="A142" s="37"/>
      <c r="B142" s="37"/>
      <c r="C142" s="663"/>
      <c r="D142" s="663"/>
      <c r="E142" s="663"/>
      <c r="F142" s="663"/>
      <c r="G142" s="663"/>
      <c r="H142" s="663"/>
      <c r="I142" s="107"/>
      <c r="J142" s="108"/>
      <c r="K142" s="683"/>
      <c r="L142" s="666"/>
      <c r="M142" s="666"/>
      <c r="N142" s="666"/>
      <c r="O142" s="666"/>
      <c r="P142" s="666"/>
      <c r="Q142" s="666"/>
      <c r="R142" s="666"/>
      <c r="S142" s="666"/>
      <c r="T142" s="666"/>
      <c r="U142" s="666"/>
      <c r="V142" s="666"/>
      <c r="W142" s="666"/>
      <c r="X142" s="666"/>
      <c r="Y142" s="666"/>
      <c r="Z142" s="666"/>
      <c r="AA142" s="666"/>
      <c r="AB142" s="666"/>
      <c r="AC142" s="666"/>
      <c r="AD142" s="666"/>
      <c r="AE142" s="666"/>
    </row>
    <row r="143" spans="1:33">
      <c r="A143" s="37" t="s">
        <v>11</v>
      </c>
      <c r="B143" s="37"/>
      <c r="C143" s="57"/>
      <c r="E143" s="57"/>
      <c r="F143" s="57"/>
      <c r="G143" s="57"/>
      <c r="H143" s="57"/>
      <c r="I143" s="43"/>
      <c r="J143" s="42"/>
      <c r="K143" s="770">
        <f>COUNTIF(K136:K140,"&gt;100")</f>
        <v>0</v>
      </c>
      <c r="L143" s="771">
        <f>COUNTIF(L136:L138,"&gt;100")</f>
        <v>0</v>
      </c>
      <c r="M143" s="771">
        <f t="shared" ref="M143:AE143" si="69">COUNTIF(M136:M138,"&gt;100")</f>
        <v>3</v>
      </c>
      <c r="N143" s="771">
        <f t="shared" si="69"/>
        <v>3</v>
      </c>
      <c r="O143" s="771">
        <f t="shared" si="69"/>
        <v>3</v>
      </c>
      <c r="P143" s="771">
        <f t="shared" si="69"/>
        <v>3</v>
      </c>
      <c r="Q143" s="771">
        <f t="shared" si="69"/>
        <v>3</v>
      </c>
      <c r="R143" s="771">
        <f t="shared" si="69"/>
        <v>3</v>
      </c>
      <c r="S143" s="771">
        <f t="shared" si="69"/>
        <v>3</v>
      </c>
      <c r="T143" s="771">
        <f t="shared" si="69"/>
        <v>3</v>
      </c>
      <c r="U143" s="771">
        <f t="shared" si="69"/>
        <v>3</v>
      </c>
      <c r="V143" s="771">
        <f t="shared" si="69"/>
        <v>3</v>
      </c>
      <c r="W143" s="771">
        <f t="shared" si="69"/>
        <v>3</v>
      </c>
      <c r="X143" s="771">
        <f t="shared" si="69"/>
        <v>3</v>
      </c>
      <c r="Y143" s="771">
        <f t="shared" si="69"/>
        <v>3</v>
      </c>
      <c r="Z143" s="771">
        <f t="shared" si="69"/>
        <v>3</v>
      </c>
      <c r="AA143" s="771">
        <f t="shared" si="69"/>
        <v>3</v>
      </c>
      <c r="AB143" s="771">
        <f t="shared" si="69"/>
        <v>3</v>
      </c>
      <c r="AC143" s="771">
        <f t="shared" si="69"/>
        <v>3</v>
      </c>
      <c r="AD143" s="771">
        <f t="shared" si="69"/>
        <v>3</v>
      </c>
      <c r="AE143" s="771">
        <f t="shared" si="69"/>
        <v>3</v>
      </c>
      <c r="AF143" s="772"/>
      <c r="AG143" s="772"/>
    </row>
    <row r="144" spans="1:33">
      <c r="A144" s="745" t="s">
        <v>10</v>
      </c>
      <c r="B144" s="745"/>
      <c r="C144" s="746"/>
      <c r="D144" s="116"/>
      <c r="E144" s="746"/>
      <c r="F144" s="746"/>
      <c r="G144" s="746"/>
      <c r="H144" s="746"/>
      <c r="I144" s="747"/>
      <c r="J144" s="748"/>
      <c r="K144" s="773">
        <v>0</v>
      </c>
      <c r="L144" s="774">
        <f>COUNTIF(L139:L140,"&gt;100")</f>
        <v>0</v>
      </c>
      <c r="M144" s="774">
        <f t="shared" ref="M144:AE144" si="70">COUNTIF(M139:M140,"&gt;100")</f>
        <v>2</v>
      </c>
      <c r="N144" s="774">
        <f t="shared" si="70"/>
        <v>2</v>
      </c>
      <c r="O144" s="774">
        <f t="shared" si="70"/>
        <v>2</v>
      </c>
      <c r="P144" s="774">
        <f t="shared" si="70"/>
        <v>2</v>
      </c>
      <c r="Q144" s="774">
        <f t="shared" si="70"/>
        <v>2</v>
      </c>
      <c r="R144" s="774">
        <f t="shared" si="70"/>
        <v>2</v>
      </c>
      <c r="S144" s="774">
        <f t="shared" si="70"/>
        <v>2</v>
      </c>
      <c r="T144" s="774">
        <f t="shared" si="70"/>
        <v>2</v>
      </c>
      <c r="U144" s="774">
        <f t="shared" si="70"/>
        <v>2</v>
      </c>
      <c r="V144" s="774">
        <f t="shared" si="70"/>
        <v>2</v>
      </c>
      <c r="W144" s="774">
        <f t="shared" si="70"/>
        <v>2</v>
      </c>
      <c r="X144" s="774">
        <f t="shared" si="70"/>
        <v>2</v>
      </c>
      <c r="Y144" s="774">
        <f t="shared" si="70"/>
        <v>2</v>
      </c>
      <c r="Z144" s="774">
        <f t="shared" si="70"/>
        <v>2</v>
      </c>
      <c r="AA144" s="774">
        <f t="shared" si="70"/>
        <v>2</v>
      </c>
      <c r="AB144" s="774">
        <f t="shared" si="70"/>
        <v>2</v>
      </c>
      <c r="AC144" s="774">
        <f t="shared" si="70"/>
        <v>2</v>
      </c>
      <c r="AD144" s="774">
        <f t="shared" si="70"/>
        <v>2</v>
      </c>
      <c r="AE144" s="774">
        <f t="shared" si="70"/>
        <v>2</v>
      </c>
      <c r="AF144" s="772"/>
      <c r="AG144" s="772"/>
    </row>
    <row r="145" spans="1:33" s="56" customFormat="1" ht="14.25">
      <c r="A145" s="164" t="s">
        <v>9</v>
      </c>
      <c r="B145" s="164"/>
      <c r="C145" s="75"/>
      <c r="D145" s="173"/>
      <c r="E145" s="75"/>
      <c r="F145" s="75"/>
      <c r="G145" s="75"/>
      <c r="H145" s="75"/>
      <c r="I145" s="174"/>
      <c r="J145" s="181"/>
      <c r="K145" s="775">
        <v>0</v>
      </c>
      <c r="L145" s="776">
        <f>SUM(L143:L144)</f>
        <v>0</v>
      </c>
      <c r="M145" s="776">
        <f t="shared" ref="M145:AE145" si="71">COUNTIF(M136:M140,"&gt;0")</f>
        <v>5</v>
      </c>
      <c r="N145" s="776">
        <f t="shared" si="71"/>
        <v>5</v>
      </c>
      <c r="O145" s="776">
        <f t="shared" si="71"/>
        <v>5</v>
      </c>
      <c r="P145" s="776">
        <f t="shared" si="71"/>
        <v>5</v>
      </c>
      <c r="Q145" s="776">
        <f t="shared" si="71"/>
        <v>5</v>
      </c>
      <c r="R145" s="776">
        <f t="shared" si="71"/>
        <v>5</v>
      </c>
      <c r="S145" s="776">
        <f t="shared" si="71"/>
        <v>5</v>
      </c>
      <c r="T145" s="776">
        <f t="shared" si="71"/>
        <v>5</v>
      </c>
      <c r="U145" s="776">
        <f t="shared" si="71"/>
        <v>5</v>
      </c>
      <c r="V145" s="776">
        <f t="shared" si="71"/>
        <v>5</v>
      </c>
      <c r="W145" s="776">
        <f t="shared" si="71"/>
        <v>5</v>
      </c>
      <c r="X145" s="776">
        <f t="shared" si="71"/>
        <v>5</v>
      </c>
      <c r="Y145" s="776">
        <f t="shared" si="71"/>
        <v>5</v>
      </c>
      <c r="Z145" s="776">
        <f t="shared" si="71"/>
        <v>5</v>
      </c>
      <c r="AA145" s="776">
        <f t="shared" si="71"/>
        <v>5</v>
      </c>
      <c r="AB145" s="776">
        <f t="shared" si="71"/>
        <v>5</v>
      </c>
      <c r="AC145" s="776">
        <f t="shared" si="71"/>
        <v>5</v>
      </c>
      <c r="AD145" s="776">
        <f t="shared" si="71"/>
        <v>5</v>
      </c>
      <c r="AE145" s="776">
        <f t="shared" si="71"/>
        <v>5</v>
      </c>
      <c r="AF145" s="723"/>
      <c r="AG145" s="723"/>
    </row>
    <row r="146" spans="1:33">
      <c r="B146" s="37"/>
      <c r="C146" s="57"/>
      <c r="E146" s="57"/>
      <c r="F146" s="57"/>
      <c r="G146" s="57"/>
      <c r="H146" s="57"/>
      <c r="I146" s="43"/>
      <c r="J146" s="42"/>
      <c r="K146" s="683"/>
      <c r="L146" s="316"/>
      <c r="M146" s="316"/>
      <c r="N146" s="316"/>
      <c r="O146" s="316"/>
      <c r="P146" s="316"/>
      <c r="Q146" s="316"/>
      <c r="R146" s="316"/>
      <c r="S146" s="316"/>
      <c r="T146" s="316"/>
      <c r="U146" s="316"/>
      <c r="V146" s="316"/>
      <c r="W146" s="316"/>
      <c r="X146" s="316"/>
      <c r="Y146" s="316"/>
      <c r="Z146" s="316"/>
      <c r="AA146" s="316"/>
      <c r="AB146" s="316"/>
      <c r="AC146" s="316"/>
      <c r="AD146" s="316"/>
      <c r="AE146" s="316"/>
    </row>
    <row r="147" spans="1:33">
      <c r="A147" s="33" t="s">
        <v>60</v>
      </c>
      <c r="B147" s="191"/>
      <c r="C147" s="192"/>
      <c r="D147" s="193"/>
      <c r="E147" s="194"/>
      <c r="F147" s="194"/>
      <c r="G147" s="192"/>
      <c r="H147" s="192"/>
      <c r="I147" s="195">
        <v>0.2</v>
      </c>
      <c r="J147" s="196"/>
      <c r="K147" s="689">
        <v>0</v>
      </c>
      <c r="L147" s="665">
        <f t="shared" ref="L147:AE147" si="72">L141*$I$147</f>
        <v>0</v>
      </c>
      <c r="M147" s="665">
        <f t="shared" si="72"/>
        <v>10889.307692307695</v>
      </c>
      <c r="N147" s="665">
        <f t="shared" si="72"/>
        <v>11107.093846153846</v>
      </c>
      <c r="O147" s="665">
        <f t="shared" si="72"/>
        <v>11329.235723076927</v>
      </c>
      <c r="P147" s="665">
        <f t="shared" si="72"/>
        <v>11555.820437538463</v>
      </c>
      <c r="Q147" s="665">
        <f t="shared" si="72"/>
        <v>11786.936846289229</v>
      </c>
      <c r="R147" s="665">
        <f t="shared" si="72"/>
        <v>12022.675583215016</v>
      </c>
      <c r="S147" s="665">
        <f t="shared" si="72"/>
        <v>12263.129094879318</v>
      </c>
      <c r="T147" s="665">
        <f t="shared" si="72"/>
        <v>12508.391676776904</v>
      </c>
      <c r="U147" s="665">
        <f t="shared" si="72"/>
        <v>12758.55951031244</v>
      </c>
      <c r="V147" s="665">
        <f t="shared" si="72"/>
        <v>13013.730700518692</v>
      </c>
      <c r="W147" s="665">
        <f t="shared" si="72"/>
        <v>13274.005314529066</v>
      </c>
      <c r="X147" s="665">
        <f t="shared" si="72"/>
        <v>13539.485420819647</v>
      </c>
      <c r="Y147" s="665">
        <f t="shared" si="72"/>
        <v>13810.275129236041</v>
      </c>
      <c r="Z147" s="665">
        <f t="shared" si="72"/>
        <v>14086.480631820759</v>
      </c>
      <c r="AA147" s="665">
        <f t="shared" si="72"/>
        <v>14368.210244457177</v>
      </c>
      <c r="AB147" s="665">
        <f t="shared" si="72"/>
        <v>14655.574449346321</v>
      </c>
      <c r="AC147" s="665">
        <f t="shared" si="72"/>
        <v>14948.685938333247</v>
      </c>
      <c r="AD147" s="665">
        <f t="shared" si="72"/>
        <v>15247.659657099914</v>
      </c>
      <c r="AE147" s="665">
        <f t="shared" si="72"/>
        <v>15552.612850241911</v>
      </c>
    </row>
    <row r="148" spans="1:33">
      <c r="B148" s="191"/>
      <c r="C148" s="192"/>
      <c r="D148" s="193"/>
      <c r="E148" s="194"/>
      <c r="F148" s="194"/>
      <c r="G148" s="192"/>
      <c r="H148" s="192"/>
      <c r="I148" s="195"/>
      <c r="J148" s="196"/>
      <c r="K148" s="689"/>
      <c r="L148" s="665"/>
      <c r="M148" s="665"/>
      <c r="N148" s="665"/>
      <c r="O148" s="665"/>
      <c r="P148" s="665"/>
      <c r="Q148" s="665"/>
      <c r="R148" s="665"/>
      <c r="S148" s="665"/>
      <c r="T148" s="665"/>
      <c r="U148" s="665"/>
      <c r="V148" s="665"/>
      <c r="W148" s="665"/>
      <c r="X148" s="665"/>
      <c r="Y148" s="665"/>
      <c r="Z148" s="665"/>
      <c r="AA148" s="665"/>
      <c r="AB148" s="665"/>
      <c r="AC148" s="665"/>
      <c r="AD148" s="665"/>
      <c r="AE148" s="665"/>
    </row>
    <row r="149" spans="1:33" s="197" customFormat="1" ht="14.25">
      <c r="A149" s="197" t="s">
        <v>68</v>
      </c>
      <c r="D149" s="198"/>
      <c r="K149" s="690"/>
      <c r="L149" s="677"/>
      <c r="M149" s="677"/>
      <c r="N149" s="677"/>
      <c r="O149" s="677"/>
      <c r="P149" s="677"/>
      <c r="Q149" s="677"/>
      <c r="R149" s="677"/>
      <c r="S149" s="677"/>
      <c r="T149" s="677"/>
      <c r="U149" s="677"/>
      <c r="V149" s="677"/>
      <c r="W149" s="677"/>
      <c r="X149" s="677"/>
      <c r="Y149" s="677"/>
      <c r="Z149" s="677"/>
      <c r="AA149" s="677"/>
      <c r="AB149" s="677"/>
      <c r="AC149" s="677"/>
      <c r="AD149" s="677"/>
      <c r="AE149" s="677"/>
    </row>
    <row r="150" spans="1:33">
      <c r="A150" s="37" t="s">
        <v>423</v>
      </c>
      <c r="B150" s="37"/>
      <c r="C150" s="110"/>
      <c r="D150" s="106"/>
      <c r="E150" s="57"/>
      <c r="F150" s="57"/>
      <c r="G150" s="57"/>
      <c r="H150" s="57"/>
      <c r="I150" s="49"/>
      <c r="J150" s="44"/>
      <c r="K150" s="683">
        <f>COUNTIF(K$116:K$123,"&gt;0")*$J150*R$9</f>
        <v>0</v>
      </c>
      <c r="L150" s="666">
        <v>0</v>
      </c>
      <c r="M150" s="666">
        <v>10000</v>
      </c>
      <c r="N150" s="666">
        <f t="shared" ref="N150:AE150" si="73">$M$150*L11</f>
        <v>10200</v>
      </c>
      <c r="O150" s="666">
        <f t="shared" si="73"/>
        <v>10404</v>
      </c>
      <c r="P150" s="666">
        <f t="shared" si="73"/>
        <v>10612.08</v>
      </c>
      <c r="Q150" s="666">
        <f t="shared" si="73"/>
        <v>10824.321599999999</v>
      </c>
      <c r="R150" s="666">
        <f t="shared" si="73"/>
        <v>11040.808032000001</v>
      </c>
      <c r="S150" s="666">
        <f t="shared" si="73"/>
        <v>11261.62419264</v>
      </c>
      <c r="T150" s="666">
        <f t="shared" si="73"/>
        <v>11486.8566764928</v>
      </c>
      <c r="U150" s="666">
        <f t="shared" si="73"/>
        <v>11716.593810022658</v>
      </c>
      <c r="V150" s="666">
        <f t="shared" si="73"/>
        <v>11950.92568622311</v>
      </c>
      <c r="W150" s="666">
        <f t="shared" si="73"/>
        <v>12189.944199947573</v>
      </c>
      <c r="X150" s="666">
        <f t="shared" si="73"/>
        <v>12433.743083946525</v>
      </c>
      <c r="Y150" s="666">
        <f t="shared" si="73"/>
        <v>12682.417945625455</v>
      </c>
      <c r="Z150" s="666">
        <f t="shared" si="73"/>
        <v>12936.066304537962</v>
      </c>
      <c r="AA150" s="666">
        <f t="shared" si="73"/>
        <v>13194.787630628723</v>
      </c>
      <c r="AB150" s="666">
        <f t="shared" si="73"/>
        <v>13458.683383241299</v>
      </c>
      <c r="AC150" s="666">
        <f t="shared" si="73"/>
        <v>13727.857050906125</v>
      </c>
      <c r="AD150" s="666">
        <f t="shared" si="73"/>
        <v>14002.414191924248</v>
      </c>
      <c r="AE150" s="666">
        <f t="shared" si="73"/>
        <v>14282.462475762733</v>
      </c>
    </row>
    <row r="151" spans="1:33">
      <c r="A151" s="37" t="s">
        <v>67</v>
      </c>
      <c r="B151" s="37"/>
      <c r="C151" s="110"/>
      <c r="D151" s="106"/>
      <c r="E151" s="57"/>
      <c r="F151" s="57"/>
      <c r="G151" s="57"/>
      <c r="H151" s="57"/>
      <c r="I151" s="51"/>
      <c r="J151" s="44"/>
      <c r="K151" s="683">
        <v>0</v>
      </c>
      <c r="L151" s="666">
        <v>0</v>
      </c>
      <c r="M151" s="666">
        <v>10000</v>
      </c>
      <c r="N151" s="666">
        <f t="shared" ref="N151:AE151" si="74">$M$151*L11</f>
        <v>10200</v>
      </c>
      <c r="O151" s="666">
        <f t="shared" si="74"/>
        <v>10404</v>
      </c>
      <c r="P151" s="666">
        <f t="shared" si="74"/>
        <v>10612.08</v>
      </c>
      <c r="Q151" s="666">
        <f t="shared" si="74"/>
        <v>10824.321599999999</v>
      </c>
      <c r="R151" s="666">
        <f t="shared" si="74"/>
        <v>11040.808032000001</v>
      </c>
      <c r="S151" s="666">
        <f t="shared" si="74"/>
        <v>11261.62419264</v>
      </c>
      <c r="T151" s="666">
        <f t="shared" si="74"/>
        <v>11486.8566764928</v>
      </c>
      <c r="U151" s="666">
        <f t="shared" si="74"/>
        <v>11716.593810022658</v>
      </c>
      <c r="V151" s="666">
        <f t="shared" si="74"/>
        <v>11950.92568622311</v>
      </c>
      <c r="W151" s="666">
        <f t="shared" si="74"/>
        <v>12189.944199947573</v>
      </c>
      <c r="X151" s="666">
        <f t="shared" si="74"/>
        <v>12433.743083946525</v>
      </c>
      <c r="Y151" s="666">
        <f t="shared" si="74"/>
        <v>12682.417945625455</v>
      </c>
      <c r="Z151" s="666">
        <f t="shared" si="74"/>
        <v>12936.066304537962</v>
      </c>
      <c r="AA151" s="666">
        <f t="shared" si="74"/>
        <v>13194.787630628723</v>
      </c>
      <c r="AB151" s="666">
        <f t="shared" si="74"/>
        <v>13458.683383241299</v>
      </c>
      <c r="AC151" s="666">
        <f t="shared" si="74"/>
        <v>13727.857050906125</v>
      </c>
      <c r="AD151" s="666">
        <f t="shared" si="74"/>
        <v>14002.414191924248</v>
      </c>
      <c r="AE151" s="666">
        <f t="shared" si="74"/>
        <v>14282.462475762733</v>
      </c>
    </row>
    <row r="152" spans="1:33">
      <c r="A152" s="180" t="s">
        <v>2</v>
      </c>
      <c r="B152" s="777"/>
      <c r="C152" s="778"/>
      <c r="D152" s="779"/>
      <c r="E152" s="746"/>
      <c r="F152" s="746"/>
      <c r="G152" s="778"/>
      <c r="H152" s="778"/>
      <c r="I152" s="780"/>
      <c r="J152" s="781"/>
      <c r="K152" s="741">
        <v>0</v>
      </c>
      <c r="L152" s="742">
        <v>0</v>
      </c>
      <c r="M152" s="742">
        <v>0</v>
      </c>
      <c r="N152" s="742">
        <v>0</v>
      </c>
      <c r="O152" s="742">
        <v>0</v>
      </c>
      <c r="P152" s="742">
        <v>0</v>
      </c>
      <c r="Q152" s="742">
        <v>0</v>
      </c>
      <c r="R152" s="742">
        <v>0</v>
      </c>
      <c r="S152" s="742">
        <v>0</v>
      </c>
      <c r="T152" s="742">
        <v>0</v>
      </c>
      <c r="U152" s="742">
        <v>0</v>
      </c>
      <c r="V152" s="742">
        <v>0</v>
      </c>
      <c r="W152" s="742">
        <v>0</v>
      </c>
      <c r="X152" s="742">
        <v>0</v>
      </c>
      <c r="Y152" s="742">
        <v>0</v>
      </c>
      <c r="Z152" s="742">
        <v>0</v>
      </c>
      <c r="AA152" s="742">
        <v>0</v>
      </c>
      <c r="AB152" s="742">
        <v>0</v>
      </c>
      <c r="AC152" s="742">
        <v>0</v>
      </c>
      <c r="AD152" s="742">
        <v>0</v>
      </c>
      <c r="AE152" s="742">
        <v>0</v>
      </c>
    </row>
    <row r="153" spans="1:33" s="56" customFormat="1" ht="14.25">
      <c r="A153" s="164" t="s">
        <v>78</v>
      </c>
      <c r="B153" s="164"/>
      <c r="C153" s="75"/>
      <c r="D153" s="173"/>
      <c r="E153" s="75"/>
      <c r="F153" s="75"/>
      <c r="G153" s="75"/>
      <c r="H153" s="75"/>
      <c r="I153" s="174"/>
      <c r="J153" s="175"/>
      <c r="K153" s="685">
        <v>0</v>
      </c>
      <c r="L153" s="669">
        <f t="shared" ref="L153:AE153" si="75">SUM(L150:L152)</f>
        <v>0</v>
      </c>
      <c r="M153" s="669">
        <f t="shared" si="75"/>
        <v>20000</v>
      </c>
      <c r="N153" s="669">
        <f t="shared" si="75"/>
        <v>20400</v>
      </c>
      <c r="O153" s="669">
        <f t="shared" si="75"/>
        <v>20808</v>
      </c>
      <c r="P153" s="669">
        <f t="shared" si="75"/>
        <v>21224.16</v>
      </c>
      <c r="Q153" s="669">
        <f t="shared" si="75"/>
        <v>21648.643199999999</v>
      </c>
      <c r="R153" s="669">
        <f t="shared" si="75"/>
        <v>22081.616064000002</v>
      </c>
      <c r="S153" s="669">
        <f t="shared" si="75"/>
        <v>22523.24838528</v>
      </c>
      <c r="T153" s="669">
        <f t="shared" si="75"/>
        <v>22973.7133529856</v>
      </c>
      <c r="U153" s="669">
        <f t="shared" si="75"/>
        <v>23433.187620045315</v>
      </c>
      <c r="V153" s="669">
        <f t="shared" si="75"/>
        <v>23901.851372446221</v>
      </c>
      <c r="W153" s="669">
        <f t="shared" si="75"/>
        <v>24379.888399895146</v>
      </c>
      <c r="X153" s="669">
        <f t="shared" si="75"/>
        <v>24867.48616789305</v>
      </c>
      <c r="Y153" s="669">
        <f t="shared" si="75"/>
        <v>25364.83589125091</v>
      </c>
      <c r="Z153" s="669">
        <f t="shared" si="75"/>
        <v>25872.132609075925</v>
      </c>
      <c r="AA153" s="669">
        <f t="shared" si="75"/>
        <v>26389.575261257447</v>
      </c>
      <c r="AB153" s="669">
        <f t="shared" si="75"/>
        <v>26917.366766482599</v>
      </c>
      <c r="AC153" s="669">
        <f t="shared" si="75"/>
        <v>27455.714101812249</v>
      </c>
      <c r="AD153" s="669">
        <f t="shared" si="75"/>
        <v>28004.828383848497</v>
      </c>
      <c r="AE153" s="669">
        <f t="shared" si="75"/>
        <v>28564.924951525467</v>
      </c>
    </row>
    <row r="154" spans="1:33" s="56" customFormat="1" ht="14.25">
      <c r="A154" s="164"/>
      <c r="B154" s="164"/>
      <c r="C154" s="75"/>
      <c r="D154" s="173"/>
      <c r="E154" s="75"/>
      <c r="F154" s="75"/>
      <c r="G154" s="75"/>
      <c r="H154" s="75"/>
      <c r="I154" s="174"/>
      <c r="J154" s="175"/>
      <c r="K154" s="685"/>
      <c r="L154" s="669"/>
      <c r="M154" s="669"/>
      <c r="N154" s="669"/>
      <c r="O154" s="669"/>
      <c r="P154" s="669"/>
      <c r="Q154" s="669"/>
      <c r="R154" s="669"/>
      <c r="S154" s="669"/>
      <c r="T154" s="669"/>
      <c r="U154" s="669"/>
      <c r="V154" s="669"/>
      <c r="W154" s="669"/>
      <c r="X154" s="669"/>
      <c r="Y154" s="669"/>
      <c r="Z154" s="669"/>
      <c r="AA154" s="669"/>
      <c r="AB154" s="669"/>
      <c r="AC154" s="669"/>
      <c r="AD154" s="669"/>
      <c r="AE154" s="669"/>
    </row>
    <row r="155" spans="1:33" s="56" customFormat="1" ht="14.25">
      <c r="A155" s="164" t="s">
        <v>66</v>
      </c>
      <c r="B155" s="164"/>
      <c r="C155" s="75"/>
      <c r="D155" s="173"/>
      <c r="E155" s="75"/>
      <c r="F155" s="75"/>
      <c r="G155" s="75"/>
      <c r="H155" s="75"/>
      <c r="I155" s="174"/>
      <c r="J155" s="175"/>
      <c r="K155" s="685">
        <v>0</v>
      </c>
      <c r="L155" s="669">
        <f>SUM(L141,L153)</f>
        <v>0</v>
      </c>
      <c r="M155" s="669">
        <f>SUM(M141,M147,M153)</f>
        <v>85335.846153846156</v>
      </c>
      <c r="N155" s="669">
        <f t="shared" ref="N155:AE155" si="76">SUM(N141,N147,N153)</f>
        <v>87042.563076923077</v>
      </c>
      <c r="O155" s="669">
        <f t="shared" si="76"/>
        <v>88783.41433846156</v>
      </c>
      <c r="P155" s="669">
        <f t="shared" si="76"/>
        <v>90559.082625230774</v>
      </c>
      <c r="Q155" s="669">
        <f t="shared" si="76"/>
        <v>92370.264277735376</v>
      </c>
      <c r="R155" s="669">
        <f t="shared" si="76"/>
        <v>94217.669563290081</v>
      </c>
      <c r="S155" s="669">
        <f t="shared" si="76"/>
        <v>96102.022954555898</v>
      </c>
      <c r="T155" s="669">
        <f t="shared" si="76"/>
        <v>98024.063413647003</v>
      </c>
      <c r="U155" s="669">
        <f t="shared" si="76"/>
        <v>99984.544681919942</v>
      </c>
      <c r="V155" s="669">
        <f t="shared" si="76"/>
        <v>101984.23557555837</v>
      </c>
      <c r="W155" s="669">
        <f t="shared" si="76"/>
        <v>104023.92028706953</v>
      </c>
      <c r="X155" s="669">
        <f t="shared" si="76"/>
        <v>106104.39869281092</v>
      </c>
      <c r="Y155" s="669">
        <f t="shared" si="76"/>
        <v>108226.48666666714</v>
      </c>
      <c r="Z155" s="669">
        <f t="shared" si="76"/>
        <v>110391.01640000047</v>
      </c>
      <c r="AA155" s="669">
        <f t="shared" si="76"/>
        <v>112598.8367280005</v>
      </c>
      <c r="AB155" s="669">
        <f t="shared" si="76"/>
        <v>114850.8134625605</v>
      </c>
      <c r="AC155" s="669">
        <f t="shared" si="76"/>
        <v>117147.82973181173</v>
      </c>
      <c r="AD155" s="669">
        <f t="shared" si="76"/>
        <v>119490.78632644797</v>
      </c>
      <c r="AE155" s="669">
        <f t="shared" si="76"/>
        <v>121880.60205297693</v>
      </c>
    </row>
    <row r="156" spans="1:33" s="56" customFormat="1" ht="14.25">
      <c r="A156" s="164"/>
      <c r="B156" s="164"/>
      <c r="C156" s="75"/>
      <c r="D156" s="173"/>
      <c r="E156" s="75"/>
      <c r="F156" s="75"/>
      <c r="G156" s="75"/>
      <c r="H156" s="75"/>
      <c r="I156" s="174"/>
      <c r="J156" s="175"/>
      <c r="K156" s="685"/>
      <c r="L156" s="669"/>
      <c r="M156" s="669"/>
      <c r="N156" s="669"/>
      <c r="O156" s="669"/>
      <c r="P156" s="669"/>
      <c r="Q156" s="669"/>
      <c r="R156" s="669"/>
      <c r="S156" s="669"/>
      <c r="T156" s="669"/>
      <c r="U156" s="669"/>
      <c r="V156" s="669"/>
      <c r="W156" s="669"/>
      <c r="X156" s="669"/>
      <c r="Y156" s="669"/>
      <c r="Z156" s="669"/>
      <c r="AA156" s="669"/>
      <c r="AB156" s="669"/>
      <c r="AC156" s="669"/>
      <c r="AD156" s="669"/>
      <c r="AE156" s="669"/>
    </row>
    <row r="157" spans="1:33">
      <c r="A157" s="47" t="s">
        <v>7</v>
      </c>
      <c r="B157" s="47" t="s">
        <v>7</v>
      </c>
      <c r="C157" s="78" t="s">
        <v>7</v>
      </c>
      <c r="D157" s="100"/>
      <c r="E157" s="78" t="s">
        <v>7</v>
      </c>
      <c r="F157" s="78"/>
      <c r="G157" s="78" t="s">
        <v>7</v>
      </c>
      <c r="H157" s="78"/>
      <c r="I157" s="52" t="s">
        <v>7</v>
      </c>
      <c r="J157" s="114"/>
      <c r="K157" s="673"/>
      <c r="L157" s="672"/>
      <c r="M157" s="672"/>
      <c r="N157" s="672"/>
      <c r="O157" s="672"/>
      <c r="P157" s="672"/>
      <c r="Q157" s="672"/>
      <c r="R157" s="672"/>
      <c r="S157" s="672"/>
      <c r="T157" s="672"/>
      <c r="U157" s="672"/>
      <c r="V157" s="672"/>
      <c r="W157" s="672"/>
      <c r="X157" s="672"/>
      <c r="Y157" s="672"/>
      <c r="Z157" s="672"/>
      <c r="AA157" s="672"/>
      <c r="AB157" s="672"/>
      <c r="AC157" s="672"/>
      <c r="AD157" s="672"/>
      <c r="AE157" s="672"/>
    </row>
    <row r="158" spans="1:33">
      <c r="A158" s="47"/>
      <c r="B158" s="47"/>
      <c r="C158" s="78"/>
      <c r="D158" s="100"/>
      <c r="E158" s="78"/>
      <c r="F158" s="78"/>
      <c r="G158" s="78"/>
      <c r="H158" s="78"/>
      <c r="I158" s="52"/>
      <c r="J158" s="114"/>
      <c r="K158" s="664"/>
      <c r="L158" s="666"/>
      <c r="M158" s="666"/>
      <c r="N158" s="666"/>
      <c r="O158" s="666"/>
      <c r="P158" s="666"/>
      <c r="Q158" s="666"/>
      <c r="R158" s="666"/>
      <c r="S158" s="666"/>
      <c r="T158" s="666"/>
      <c r="U158" s="666"/>
      <c r="V158" s="666"/>
      <c r="W158" s="666"/>
      <c r="X158" s="666"/>
      <c r="Y158" s="666"/>
      <c r="Z158" s="666"/>
      <c r="AA158" s="666"/>
      <c r="AB158" s="666"/>
      <c r="AC158" s="666"/>
      <c r="AD158" s="666"/>
      <c r="AE158" s="666"/>
    </row>
    <row r="159" spans="1:33" s="56" customFormat="1" ht="14.25">
      <c r="A159" s="203" t="s">
        <v>79</v>
      </c>
      <c r="B159" s="203"/>
      <c r="C159" s="204"/>
      <c r="D159" s="205"/>
      <c r="E159" s="204"/>
      <c r="F159" s="204"/>
      <c r="G159" s="204"/>
      <c r="H159" s="204"/>
      <c r="I159" s="206"/>
      <c r="J159" s="207"/>
      <c r="K159" s="675">
        <v>0</v>
      </c>
      <c r="L159" s="676">
        <f t="shared" ref="L159:AE159" si="77">SUM(L132,L155)</f>
        <v>0</v>
      </c>
      <c r="M159" s="676">
        <f t="shared" si="77"/>
        <v>139905.84615384616</v>
      </c>
      <c r="N159" s="676">
        <f t="shared" si="77"/>
        <v>143817.19107692307</v>
      </c>
      <c r="O159" s="676">
        <f t="shared" si="77"/>
        <v>146693.53489846154</v>
      </c>
      <c r="P159" s="676">
        <f t="shared" si="77"/>
        <v>149627.40559643076</v>
      </c>
      <c r="Q159" s="676">
        <f t="shared" si="77"/>
        <v>152619.95370835939</v>
      </c>
      <c r="R159" s="676">
        <f t="shared" si="77"/>
        <v>155672.35278252655</v>
      </c>
      <c r="S159" s="676">
        <f t="shared" si="77"/>
        <v>158785.7998381771</v>
      </c>
      <c r="T159" s="676">
        <f t="shared" si="77"/>
        <v>161961.51583494066</v>
      </c>
      <c r="U159" s="676">
        <f t="shared" si="77"/>
        <v>165200.74615163944</v>
      </c>
      <c r="V159" s="676">
        <f t="shared" si="77"/>
        <v>168504.76107467228</v>
      </c>
      <c r="W159" s="676">
        <f t="shared" si="77"/>
        <v>171874.85629616573</v>
      </c>
      <c r="X159" s="676">
        <f t="shared" si="77"/>
        <v>175312.35342208904</v>
      </c>
      <c r="Y159" s="676">
        <f t="shared" si="77"/>
        <v>178818.60049053084</v>
      </c>
      <c r="Z159" s="676">
        <f t="shared" si="77"/>
        <v>182394.97250034142</v>
      </c>
      <c r="AA159" s="676">
        <f t="shared" si="77"/>
        <v>186042.87195034826</v>
      </c>
      <c r="AB159" s="676">
        <f t="shared" si="77"/>
        <v>189763.72938935523</v>
      </c>
      <c r="AC159" s="676">
        <f t="shared" si="77"/>
        <v>193559.00397714233</v>
      </c>
      <c r="AD159" s="676">
        <f t="shared" si="77"/>
        <v>197430.18405668519</v>
      </c>
      <c r="AE159" s="676">
        <f t="shared" si="77"/>
        <v>201378.7877378189</v>
      </c>
      <c r="AG159" s="199"/>
    </row>
    <row r="160" spans="1:33">
      <c r="K160" s="664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</row>
    <row r="161" spans="1:33">
      <c r="A161" s="47" t="s">
        <v>7</v>
      </c>
      <c r="B161" s="47" t="s">
        <v>7</v>
      </c>
      <c r="C161" s="78" t="s">
        <v>7</v>
      </c>
      <c r="D161" s="100"/>
      <c r="E161" s="78" t="s">
        <v>7</v>
      </c>
      <c r="F161" s="78"/>
      <c r="G161" s="78" t="s">
        <v>7</v>
      </c>
      <c r="H161" s="78"/>
      <c r="I161" s="52" t="s">
        <v>7</v>
      </c>
      <c r="J161" s="114"/>
      <c r="K161" s="673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</row>
    <row r="162" spans="1:33">
      <c r="K162" s="664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G162" s="199"/>
    </row>
    <row r="163" spans="1:33" s="56" customFormat="1" ht="14.25">
      <c r="A163" s="208" t="s">
        <v>115</v>
      </c>
      <c r="B163" s="208"/>
      <c r="C163" s="208"/>
      <c r="D163" s="202"/>
      <c r="E163" s="208"/>
      <c r="F163" s="208"/>
      <c r="G163" s="208"/>
      <c r="H163" s="208"/>
      <c r="I163" s="208"/>
      <c r="J163" s="208"/>
      <c r="K163" s="678">
        <f>SUM(K153,K113)</f>
        <v>0</v>
      </c>
      <c r="L163" s="678">
        <f t="shared" ref="L163:AE163" si="78">SUM(L113,L159)</f>
        <v>357416.66666666669</v>
      </c>
      <c r="M163" s="678">
        <f t="shared" si="78"/>
        <v>894419.34615384613</v>
      </c>
      <c r="N163" s="678">
        <f t="shared" si="78"/>
        <v>913431.16107692313</v>
      </c>
      <c r="O163" s="678">
        <f t="shared" si="78"/>
        <v>931699.78429846151</v>
      </c>
      <c r="P163" s="678">
        <f t="shared" si="78"/>
        <v>950333.77998443064</v>
      </c>
      <c r="Q163" s="678">
        <f t="shared" si="78"/>
        <v>997684.33437931933</v>
      </c>
      <c r="R163" s="678">
        <f t="shared" si="78"/>
        <v>1013101.1022765377</v>
      </c>
      <c r="S163" s="678">
        <f t="shared" si="78"/>
        <v>1033363.1243220684</v>
      </c>
      <c r="T163" s="678">
        <f t="shared" si="78"/>
        <v>1054030.3868085099</v>
      </c>
      <c r="U163" s="678">
        <f t="shared" si="78"/>
        <v>1075110.9945446802</v>
      </c>
      <c r="V163" s="678">
        <f t="shared" si="78"/>
        <v>1101003.7172255765</v>
      </c>
      <c r="W163" s="678">
        <f t="shared" si="78"/>
        <v>1118545.4787242853</v>
      </c>
      <c r="X163" s="678">
        <f t="shared" si="78"/>
        <v>1140916.3882987711</v>
      </c>
      <c r="Y163" s="678">
        <f t="shared" si="78"/>
        <v>1163734.7160647465</v>
      </c>
      <c r="Z163" s="678">
        <f t="shared" si="78"/>
        <v>1187009.4103860415</v>
      </c>
      <c r="AA163" s="678">
        <f t="shared" si="78"/>
        <v>1215076.6644246003</v>
      </c>
      <c r="AB163" s="678">
        <f t="shared" si="78"/>
        <v>1234964.5905656377</v>
      </c>
      <c r="AC163" s="678">
        <f t="shared" si="78"/>
        <v>1259663.8823769502</v>
      </c>
      <c r="AD163" s="678">
        <f t="shared" si="78"/>
        <v>1284857.1600244893</v>
      </c>
      <c r="AE163" s="678">
        <f t="shared" si="78"/>
        <v>1310554.3032249792</v>
      </c>
      <c r="AG163" s="199"/>
    </row>
    <row r="164" spans="1:33">
      <c r="K164" s="664"/>
      <c r="L164" s="666"/>
      <c r="M164" s="666"/>
      <c r="N164" s="666"/>
      <c r="O164" s="666"/>
      <c r="P164" s="666"/>
      <c r="Q164" s="666"/>
      <c r="R164" s="666"/>
      <c r="S164" s="666"/>
      <c r="T164" s="666"/>
      <c r="U164" s="666"/>
      <c r="V164" s="666"/>
      <c r="W164" s="666"/>
      <c r="X164" s="666"/>
      <c r="Y164" s="666"/>
      <c r="Z164" s="666"/>
      <c r="AA164" s="666"/>
      <c r="AB164" s="666"/>
      <c r="AC164" s="666"/>
      <c r="AD164" s="666"/>
      <c r="AE164" s="666"/>
      <c r="AG164" s="199"/>
    </row>
    <row r="165" spans="1:33">
      <c r="A165" s="251"/>
      <c r="B165" s="251"/>
      <c r="C165" s="251"/>
      <c r="D165" s="259"/>
      <c r="E165" s="251"/>
      <c r="F165" s="251"/>
      <c r="G165" s="251"/>
      <c r="H165" s="251"/>
      <c r="I165" s="251"/>
      <c r="J165" s="251"/>
      <c r="K165" s="679"/>
      <c r="L165" s="680"/>
      <c r="M165" s="680"/>
      <c r="N165" s="680"/>
      <c r="O165" s="680"/>
      <c r="P165" s="680"/>
      <c r="Q165" s="680"/>
      <c r="R165" s="680"/>
      <c r="S165" s="680"/>
      <c r="T165" s="680"/>
      <c r="U165" s="680"/>
      <c r="V165" s="680"/>
      <c r="W165" s="680"/>
      <c r="X165" s="680"/>
      <c r="Y165" s="680"/>
      <c r="Z165" s="680"/>
      <c r="AA165" s="680"/>
      <c r="AB165" s="680"/>
      <c r="AC165" s="680"/>
      <c r="AD165" s="680"/>
      <c r="AE165" s="680"/>
      <c r="AG165" s="199"/>
    </row>
    <row r="166" spans="1:33">
      <c r="K166" s="664"/>
      <c r="L166" s="666"/>
      <c r="M166" s="666"/>
      <c r="N166" s="666"/>
      <c r="O166" s="666"/>
      <c r="P166" s="666"/>
      <c r="Q166" s="666"/>
      <c r="R166" s="666"/>
      <c r="S166" s="666"/>
      <c r="T166" s="666"/>
      <c r="U166" s="666"/>
      <c r="V166" s="666"/>
      <c r="W166" s="666"/>
      <c r="X166" s="666"/>
      <c r="Y166" s="666"/>
      <c r="Z166" s="666"/>
      <c r="AA166" s="666"/>
      <c r="AB166" s="666"/>
      <c r="AC166" s="666"/>
      <c r="AD166" s="666"/>
      <c r="AE166" s="666"/>
      <c r="AG166" s="199"/>
    </row>
    <row r="167" spans="1:33">
      <c r="A167" s="249" t="s">
        <v>84</v>
      </c>
      <c r="B167" s="281"/>
      <c r="C167" s="281"/>
      <c r="D167" s="177"/>
      <c r="E167" s="281"/>
      <c r="F167" s="281"/>
      <c r="G167" s="281"/>
      <c r="H167" s="281"/>
      <c r="I167" s="281"/>
      <c r="J167" s="281"/>
      <c r="K167" s="681"/>
      <c r="L167" s="682"/>
      <c r="M167" s="682"/>
      <c r="N167" s="682"/>
      <c r="O167" s="682"/>
      <c r="P167" s="682"/>
      <c r="Q167" s="682"/>
      <c r="R167" s="682"/>
      <c r="S167" s="682"/>
      <c r="T167" s="682"/>
      <c r="U167" s="682"/>
      <c r="V167" s="682"/>
      <c r="W167" s="682"/>
      <c r="X167" s="682"/>
      <c r="Y167" s="682"/>
      <c r="Z167" s="682"/>
      <c r="AA167" s="682"/>
      <c r="AB167" s="682"/>
      <c r="AC167" s="682"/>
      <c r="AD167" s="682"/>
      <c r="AE167" s="682"/>
      <c r="AG167" s="199"/>
    </row>
    <row r="168" spans="1:33" s="252" customFormat="1">
      <c r="A168" s="257"/>
      <c r="D168" s="186"/>
      <c r="K168" s="664"/>
      <c r="L168" s="671"/>
      <c r="M168" s="671"/>
      <c r="N168" s="671"/>
      <c r="O168" s="671"/>
      <c r="P168" s="671"/>
      <c r="Q168" s="671"/>
      <c r="R168" s="671"/>
      <c r="S168" s="671"/>
      <c r="T168" s="671"/>
      <c r="U168" s="671"/>
      <c r="V168" s="671"/>
      <c r="W168" s="671"/>
      <c r="X168" s="671"/>
      <c r="Y168" s="671"/>
      <c r="Z168" s="671"/>
      <c r="AA168" s="671"/>
      <c r="AB168" s="671"/>
      <c r="AC168" s="671"/>
      <c r="AD168" s="671"/>
      <c r="AE168" s="671"/>
      <c r="AG168" s="363"/>
    </row>
    <row r="169" spans="1:33">
      <c r="A169" s="663" t="str">
        <f>'OPEX - Concept B3 - Carnival'!A169</f>
        <v>Investment (cash)</v>
      </c>
      <c r="B169" s="663"/>
      <c r="C169" s="663"/>
      <c r="D169" s="663"/>
      <c r="E169" s="663"/>
      <c r="F169" s="663"/>
      <c r="G169" s="663"/>
      <c r="H169" s="663"/>
      <c r="I169" s="663"/>
      <c r="J169" s="663"/>
      <c r="K169" s="883"/>
      <c r="L169" s="663"/>
      <c r="M169" s="663"/>
      <c r="N169" s="663"/>
      <c r="O169" s="663"/>
      <c r="P169" s="663"/>
      <c r="Q169" s="663"/>
      <c r="R169" s="663"/>
      <c r="S169" s="663"/>
      <c r="T169" s="663"/>
      <c r="U169" s="663"/>
      <c r="V169" s="663"/>
      <c r="W169" s="663"/>
      <c r="X169" s="663"/>
      <c r="Y169" s="663"/>
      <c r="Z169" s="663"/>
      <c r="AA169" s="663"/>
      <c r="AB169" s="663"/>
      <c r="AC169" s="663"/>
      <c r="AD169" s="663"/>
      <c r="AE169" s="663"/>
      <c r="AG169" s="199"/>
    </row>
    <row r="170" spans="1:33">
      <c r="A170" s="663" t="str">
        <f>'OPEX - Concept B3 - Carnival'!A170</f>
        <v xml:space="preserve">     Site Maintenance</v>
      </c>
      <c r="B170" s="663"/>
      <c r="C170" s="663"/>
      <c r="D170" s="663"/>
      <c r="E170" s="663"/>
      <c r="F170" s="663"/>
      <c r="G170" s="663"/>
      <c r="H170" s="663"/>
      <c r="I170" s="663"/>
      <c r="J170" s="663"/>
      <c r="K170" s="883">
        <f>'OPEX - Concept B3 - Carnival'!K170</f>
        <v>0</v>
      </c>
      <c r="L170" s="663">
        <f>'OPEX - Concept B3 - Carnival'!L170</f>
        <v>0</v>
      </c>
      <c r="M170" s="663">
        <f>'OPEX - Concept B3 - Carnival'!M170</f>
        <v>67225</v>
      </c>
      <c r="N170" s="663">
        <f>'OPEX - Concept B3 - Carnival'!N170</f>
        <v>68569.5</v>
      </c>
      <c r="O170" s="663">
        <f>'OPEX - Concept B3 - Carnival'!O170</f>
        <v>69940.89</v>
      </c>
      <c r="P170" s="663">
        <f>'OPEX - Concept B3 - Carnival'!P170</f>
        <v>71339.707799999989</v>
      </c>
      <c r="Q170" s="663">
        <f>'OPEX - Concept B3 - Carnival'!Q170</f>
        <v>72766.501955999993</v>
      </c>
      <c r="R170" s="663">
        <f>'OPEX - Concept B3 - Carnival'!R170</f>
        <v>74221.831995119996</v>
      </c>
      <c r="S170" s="663">
        <f>'OPEX - Concept B3 - Carnival'!S170</f>
        <v>75706.26863502241</v>
      </c>
      <c r="T170" s="663">
        <f>'OPEX - Concept B3 - Carnival'!T170</f>
        <v>77220.394007722847</v>
      </c>
      <c r="U170" s="663">
        <f>'OPEX - Concept B3 - Carnival'!U170</f>
        <v>78764.801887877315</v>
      </c>
      <c r="V170" s="663">
        <f>'OPEX - Concept B3 - Carnival'!V170</f>
        <v>80340.097925634866</v>
      </c>
      <c r="W170" s="663">
        <f>'OPEX - Concept B3 - Carnival'!W170</f>
        <v>81946.899884147555</v>
      </c>
      <c r="X170" s="663">
        <f>'OPEX - Concept B3 - Carnival'!X170</f>
        <v>83585.837881830506</v>
      </c>
      <c r="Y170" s="663">
        <f>'OPEX - Concept B3 - Carnival'!Y170</f>
        <v>85257.554639467126</v>
      </c>
      <c r="Z170" s="663">
        <f>'OPEX - Concept B3 - Carnival'!Z170</f>
        <v>86962.705732256451</v>
      </c>
      <c r="AA170" s="663">
        <f>'OPEX - Concept B3 - Carnival'!AA170</f>
        <v>88701.959846901591</v>
      </c>
      <c r="AB170" s="663">
        <f>'OPEX - Concept B3 - Carnival'!AB170</f>
        <v>90475.999043839634</v>
      </c>
      <c r="AC170" s="663">
        <f>'OPEX - Concept B3 - Carnival'!AC170</f>
        <v>92285.519024716428</v>
      </c>
      <c r="AD170" s="663">
        <f>'OPEX - Concept B3 - Carnival'!AD170</f>
        <v>94131.229405210761</v>
      </c>
      <c r="AE170" s="663">
        <f>'OPEX - Concept B3 - Carnival'!AE170</f>
        <v>96013.853993314973</v>
      </c>
      <c r="AG170" s="199"/>
    </row>
    <row r="171" spans="1:33" s="162" customFormat="1">
      <c r="A171" s="663"/>
      <c r="B171" s="663"/>
      <c r="C171" s="663"/>
      <c r="D171" s="663"/>
      <c r="E171" s="663"/>
      <c r="F171" s="663"/>
      <c r="G171" s="663"/>
      <c r="H171" s="663"/>
      <c r="I171" s="663"/>
      <c r="J171" s="663"/>
      <c r="K171" s="883"/>
      <c r="L171" s="663"/>
      <c r="M171" s="663"/>
      <c r="N171" s="663"/>
      <c r="O171" s="663"/>
      <c r="P171" s="663"/>
      <c r="Q171" s="663"/>
      <c r="R171" s="663"/>
      <c r="S171" s="663"/>
      <c r="T171" s="663"/>
      <c r="U171" s="663"/>
      <c r="V171" s="663"/>
      <c r="W171" s="663"/>
      <c r="X171" s="663"/>
      <c r="Y171" s="663"/>
      <c r="Z171" s="663"/>
      <c r="AA171" s="663"/>
      <c r="AB171" s="663"/>
      <c r="AC171" s="663"/>
      <c r="AD171" s="663"/>
      <c r="AE171" s="663"/>
      <c r="AG171" s="786"/>
    </row>
    <row r="172" spans="1:33" s="162" customFormat="1">
      <c r="A172" s="1103" t="str">
        <f>'OPEX - Concept B3 - Carnival'!A172</f>
        <v>Debt Service (Site Demolition, Design, Development/Preparation &amp; Shuttles)</v>
      </c>
      <c r="B172" s="663"/>
      <c r="C172" s="663"/>
      <c r="D172" s="663"/>
      <c r="E172" s="663"/>
      <c r="F172" s="663"/>
      <c r="G172" s="663"/>
      <c r="H172" s="663"/>
      <c r="I172" s="663"/>
      <c r="J172" s="663"/>
      <c r="K172" s="883">
        <f>'OPEX - Concept B3 - Carnival'!K172</f>
        <v>0</v>
      </c>
      <c r="L172" s="663">
        <f>'OPEX - Concept B3 - Carnival'!L172</f>
        <v>706995.96</v>
      </c>
      <c r="M172" s="663">
        <f>'OPEX - Concept B3 - Carnival'!M172</f>
        <v>706995.96</v>
      </c>
      <c r="N172" s="663">
        <f>'OPEX - Concept B3 - Carnival'!N172</f>
        <v>706995.96</v>
      </c>
      <c r="O172" s="663">
        <f>'OPEX - Concept B3 - Carnival'!O172</f>
        <v>706995.96</v>
      </c>
      <c r="P172" s="663">
        <f>'OPEX - Concept B3 - Carnival'!P172</f>
        <v>706995.96</v>
      </c>
      <c r="Q172" s="663">
        <f>'OPEX - Concept B3 - Carnival'!Q172</f>
        <v>706995.96</v>
      </c>
      <c r="R172" s="663">
        <f>'OPEX - Concept B3 - Carnival'!R172</f>
        <v>706995.96</v>
      </c>
      <c r="S172" s="663">
        <f>'OPEX - Concept B3 - Carnival'!S172</f>
        <v>706995.96</v>
      </c>
      <c r="T172" s="663">
        <f>'OPEX - Concept B3 - Carnival'!T172</f>
        <v>706995.96</v>
      </c>
      <c r="U172" s="663">
        <f>'OPEX - Concept B3 - Carnival'!U172</f>
        <v>706995.96</v>
      </c>
      <c r="V172" s="663">
        <f>'OPEX - Concept B3 - Carnival'!V172</f>
        <v>706995.96</v>
      </c>
      <c r="W172" s="663">
        <f>'OPEX - Concept B3 - Carnival'!W172</f>
        <v>706995.96</v>
      </c>
      <c r="X172" s="663">
        <f>'OPEX - Concept B3 - Carnival'!X172</f>
        <v>706995.96</v>
      </c>
      <c r="Y172" s="663">
        <f>'OPEX - Concept B3 - Carnival'!Y172</f>
        <v>706995.96</v>
      </c>
      <c r="Z172" s="663">
        <f>'OPEX - Concept B3 - Carnival'!Z172</f>
        <v>706995.96</v>
      </c>
      <c r="AA172" s="663">
        <f>'OPEX - Concept B3 - Carnival'!AA172</f>
        <v>706995.96</v>
      </c>
      <c r="AB172" s="663">
        <f>'OPEX - Concept B3 - Carnival'!AB172</f>
        <v>706995.96</v>
      </c>
      <c r="AC172" s="663">
        <f>'OPEX - Concept B3 - Carnival'!AC172</f>
        <v>706995.96</v>
      </c>
      <c r="AD172" s="663">
        <f>'OPEX - Concept B3 - Carnival'!AD172</f>
        <v>706995.96</v>
      </c>
      <c r="AE172" s="663">
        <f>'OPEX - Concept B3 - Carnival'!AE172</f>
        <v>706995.96</v>
      </c>
    </row>
    <row r="173" spans="1:33" s="702" customFormat="1">
      <c r="A173" s="341" t="s">
        <v>315</v>
      </c>
      <c r="B173" s="701"/>
      <c r="C173" s="703"/>
      <c r="D173" s="704"/>
      <c r="E173" s="705"/>
      <c r="F173" s="705"/>
      <c r="G173" s="705"/>
      <c r="H173" s="705"/>
      <c r="I173" s="706"/>
      <c r="J173" s="707"/>
      <c r="K173" s="699">
        <v>0</v>
      </c>
      <c r="L173" s="700">
        <v>0</v>
      </c>
      <c r="M173" s="700">
        <v>0</v>
      </c>
      <c r="N173" s="700">
        <v>0</v>
      </c>
      <c r="O173" s="700">
        <v>0</v>
      </c>
      <c r="P173" s="700">
        <v>0</v>
      </c>
      <c r="Q173" s="700">
        <v>0</v>
      </c>
      <c r="R173" s="700">
        <v>0</v>
      </c>
      <c r="S173" s="700">
        <v>0</v>
      </c>
      <c r="T173" s="700">
        <v>0</v>
      </c>
      <c r="U173" s="700">
        <v>0</v>
      </c>
      <c r="V173" s="700">
        <v>0</v>
      </c>
      <c r="W173" s="700">
        <v>0</v>
      </c>
      <c r="X173" s="700">
        <v>0</v>
      </c>
      <c r="Y173" s="700">
        <v>0</v>
      </c>
      <c r="Z173" s="700">
        <v>0</v>
      </c>
      <c r="AA173" s="700">
        <v>0</v>
      </c>
      <c r="AB173" s="700">
        <v>0</v>
      </c>
      <c r="AC173" s="700">
        <v>0</v>
      </c>
      <c r="AD173" s="700">
        <v>0</v>
      </c>
      <c r="AE173" s="700">
        <v>0</v>
      </c>
      <c r="AG173" s="708"/>
    </row>
    <row r="174" spans="1:33">
      <c r="A174" s="180" t="s">
        <v>316</v>
      </c>
      <c r="B174" s="180"/>
      <c r="C174" s="180"/>
      <c r="D174" s="116"/>
      <c r="E174" s="180"/>
      <c r="F174" s="180"/>
      <c r="G174" s="180"/>
      <c r="H174" s="180"/>
      <c r="I174" s="180"/>
      <c r="J174" s="180"/>
      <c r="K174" s="505">
        <v>0</v>
      </c>
      <c r="L174" s="506">
        <v>246000</v>
      </c>
      <c r="M174" s="506">
        <v>246000</v>
      </c>
      <c r="N174" s="506">
        <v>246000</v>
      </c>
      <c r="O174" s="506">
        <v>246000</v>
      </c>
      <c r="P174" s="506">
        <v>246000</v>
      </c>
      <c r="Q174" s="506">
        <v>246000</v>
      </c>
      <c r="R174" s="506">
        <v>246000</v>
      </c>
      <c r="S174" s="506">
        <v>246000</v>
      </c>
      <c r="T174" s="506">
        <v>246000</v>
      </c>
      <c r="U174" s="506">
        <v>246000</v>
      </c>
      <c r="V174" s="506">
        <v>246000</v>
      </c>
      <c r="W174" s="506">
        <v>246000</v>
      </c>
      <c r="X174" s="506">
        <v>246000</v>
      </c>
      <c r="Y174" s="506">
        <v>246000</v>
      </c>
      <c r="Z174" s="506">
        <v>246000</v>
      </c>
      <c r="AA174" s="506">
        <v>246000</v>
      </c>
      <c r="AB174" s="506">
        <v>246000</v>
      </c>
      <c r="AC174" s="506">
        <v>246000</v>
      </c>
      <c r="AD174" s="506">
        <v>246000</v>
      </c>
      <c r="AE174" s="506">
        <v>246000</v>
      </c>
      <c r="AG174" s="199"/>
    </row>
    <row r="175" spans="1:33" s="56" customFormat="1" ht="14.25">
      <c r="A175" s="56" t="s">
        <v>134</v>
      </c>
      <c r="D175" s="173"/>
      <c r="K175" s="524">
        <f t="shared" ref="K175:AE175" si="79">SUM(K169:K174)</f>
        <v>0</v>
      </c>
      <c r="L175" s="525">
        <f t="shared" si="79"/>
        <v>952995.96</v>
      </c>
      <c r="M175" s="525">
        <f t="shared" si="79"/>
        <v>1020220.96</v>
      </c>
      <c r="N175" s="525">
        <f t="shared" si="79"/>
        <v>1021565.46</v>
      </c>
      <c r="O175" s="525">
        <f t="shared" si="79"/>
        <v>1022936.85</v>
      </c>
      <c r="P175" s="525">
        <f t="shared" si="79"/>
        <v>1024335.6677999999</v>
      </c>
      <c r="Q175" s="525">
        <f t="shared" si="79"/>
        <v>1025762.461956</v>
      </c>
      <c r="R175" s="525">
        <f t="shared" si="79"/>
        <v>1027217.79199512</v>
      </c>
      <c r="S175" s="525">
        <f t="shared" si="79"/>
        <v>1028702.2286350224</v>
      </c>
      <c r="T175" s="525">
        <f t="shared" si="79"/>
        <v>1030216.3540077228</v>
      </c>
      <c r="U175" s="525">
        <f t="shared" si="79"/>
        <v>1031760.7618878772</v>
      </c>
      <c r="V175" s="525">
        <f t="shared" si="79"/>
        <v>1033336.0579256348</v>
      </c>
      <c r="W175" s="525">
        <f t="shared" si="79"/>
        <v>1034942.8598841475</v>
      </c>
      <c r="X175" s="525">
        <f t="shared" si="79"/>
        <v>1036581.7978818305</v>
      </c>
      <c r="Y175" s="525">
        <f t="shared" si="79"/>
        <v>1038253.5146394671</v>
      </c>
      <c r="Z175" s="525">
        <f t="shared" si="79"/>
        <v>1039958.6657322564</v>
      </c>
      <c r="AA175" s="525">
        <f t="shared" si="79"/>
        <v>1041697.9198469016</v>
      </c>
      <c r="AB175" s="525">
        <f t="shared" si="79"/>
        <v>1043471.9590438396</v>
      </c>
      <c r="AC175" s="525">
        <f t="shared" si="79"/>
        <v>1045281.4790247164</v>
      </c>
      <c r="AD175" s="525">
        <f t="shared" si="79"/>
        <v>1047127.1894052108</v>
      </c>
      <c r="AE175" s="525">
        <f t="shared" si="79"/>
        <v>1049009.813993315</v>
      </c>
      <c r="AG175" s="199"/>
    </row>
    <row r="176" spans="1:33">
      <c r="K176" s="683"/>
      <c r="L176" s="666"/>
      <c r="M176" s="666"/>
      <c r="N176" s="666"/>
      <c r="O176" s="666"/>
      <c r="P176" s="666"/>
      <c r="Q176" s="666"/>
      <c r="R176" s="666"/>
      <c r="S176" s="666"/>
      <c r="T176" s="666"/>
      <c r="U176" s="666"/>
      <c r="V176" s="666"/>
      <c r="W176" s="666"/>
      <c r="X176" s="666"/>
      <c r="Y176" s="666"/>
      <c r="Z176" s="666"/>
      <c r="AA176" s="666"/>
      <c r="AB176" s="666"/>
      <c r="AC176" s="666"/>
      <c r="AD176" s="666"/>
      <c r="AE176" s="666"/>
      <c r="AG176" s="199"/>
    </row>
    <row r="177" spans="1:33" s="56" customFormat="1" ht="14.25">
      <c r="A177" s="208" t="s">
        <v>86</v>
      </c>
      <c r="B177" s="718">
        <f>SUM(L177:AE177)</f>
        <v>20595375.753659062</v>
      </c>
      <c r="C177" s="208"/>
      <c r="D177" s="202"/>
      <c r="E177" s="208"/>
      <c r="F177" s="208"/>
      <c r="G177" s="208"/>
      <c r="H177" s="208"/>
      <c r="I177" s="208"/>
      <c r="J177" s="208"/>
      <c r="K177" s="678">
        <f>SUM(K170:K172)</f>
        <v>0</v>
      </c>
      <c r="L177" s="678">
        <f>L175</f>
        <v>952995.96</v>
      </c>
      <c r="M177" s="678">
        <f t="shared" ref="M177:AE177" si="80">M175</f>
        <v>1020220.96</v>
      </c>
      <c r="N177" s="678">
        <f t="shared" si="80"/>
        <v>1021565.46</v>
      </c>
      <c r="O177" s="678">
        <f t="shared" si="80"/>
        <v>1022936.85</v>
      </c>
      <c r="P177" s="678">
        <f t="shared" si="80"/>
        <v>1024335.6677999999</v>
      </c>
      <c r="Q177" s="678">
        <f t="shared" si="80"/>
        <v>1025762.461956</v>
      </c>
      <c r="R177" s="678">
        <f t="shared" si="80"/>
        <v>1027217.79199512</v>
      </c>
      <c r="S177" s="678">
        <f t="shared" si="80"/>
        <v>1028702.2286350224</v>
      </c>
      <c r="T177" s="678">
        <f t="shared" si="80"/>
        <v>1030216.3540077228</v>
      </c>
      <c r="U177" s="678">
        <f t="shared" si="80"/>
        <v>1031760.7618878772</v>
      </c>
      <c r="V177" s="678">
        <f t="shared" si="80"/>
        <v>1033336.0579256348</v>
      </c>
      <c r="W177" s="678">
        <f t="shared" si="80"/>
        <v>1034942.8598841475</v>
      </c>
      <c r="X177" s="678">
        <f t="shared" si="80"/>
        <v>1036581.7978818305</v>
      </c>
      <c r="Y177" s="678">
        <f t="shared" si="80"/>
        <v>1038253.5146394671</v>
      </c>
      <c r="Z177" s="678">
        <f t="shared" si="80"/>
        <v>1039958.6657322564</v>
      </c>
      <c r="AA177" s="678">
        <f t="shared" si="80"/>
        <v>1041697.9198469016</v>
      </c>
      <c r="AB177" s="678">
        <f t="shared" si="80"/>
        <v>1043471.9590438396</v>
      </c>
      <c r="AC177" s="678">
        <f t="shared" si="80"/>
        <v>1045281.4790247164</v>
      </c>
      <c r="AD177" s="678">
        <f t="shared" si="80"/>
        <v>1047127.1894052108</v>
      </c>
      <c r="AE177" s="678">
        <f t="shared" si="80"/>
        <v>1049009.813993315</v>
      </c>
      <c r="AG177" s="199"/>
    </row>
    <row r="178" spans="1:33">
      <c r="K178" s="662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1"/>
      <c r="Y178" s="201"/>
      <c r="Z178" s="201"/>
      <c r="AA178" s="201"/>
      <c r="AB178" s="201"/>
      <c r="AC178" s="201"/>
      <c r="AD178" s="201"/>
      <c r="AE178" s="201"/>
    </row>
    <row r="179" spans="1:33">
      <c r="A179" s="251"/>
      <c r="B179" s="251"/>
      <c r="C179" s="251"/>
      <c r="D179" s="259"/>
      <c r="E179" s="251"/>
      <c r="F179" s="251"/>
      <c r="G179" s="251"/>
      <c r="H179" s="251"/>
      <c r="I179" s="251"/>
      <c r="J179" s="251"/>
      <c r="K179" s="324"/>
      <c r="L179" s="325"/>
      <c r="M179" s="325"/>
      <c r="N179" s="325"/>
      <c r="O179" s="325"/>
      <c r="P179" s="325"/>
      <c r="Q179" s="325"/>
      <c r="R179" s="325"/>
      <c r="S179" s="325"/>
      <c r="T179" s="325"/>
      <c r="U179" s="325"/>
      <c r="V179" s="325"/>
      <c r="W179" s="325"/>
      <c r="X179" s="325"/>
      <c r="Y179" s="325"/>
      <c r="Z179" s="325"/>
      <c r="AA179" s="325"/>
      <c r="AB179" s="325"/>
      <c r="AC179" s="325"/>
      <c r="AD179" s="325"/>
      <c r="AE179" s="325"/>
    </row>
    <row r="180" spans="1:33">
      <c r="K180" s="322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</row>
    <row r="181" spans="1:33">
      <c r="A181"/>
      <c r="K181" s="322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</row>
    <row r="182" spans="1:33">
      <c r="A182"/>
      <c r="K182" s="322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  <c r="AA182" s="201"/>
      <c r="AB182" s="201"/>
      <c r="AC182" s="201"/>
      <c r="AD182" s="201"/>
      <c r="AE182" s="201"/>
    </row>
    <row r="183" spans="1:33">
      <c r="K183" s="322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</row>
    <row r="184" spans="1:33">
      <c r="K184" s="322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  <c r="AA184" s="201"/>
      <c r="AB184" s="201"/>
      <c r="AC184" s="201"/>
      <c r="AD184" s="201"/>
      <c r="AE184" s="201"/>
    </row>
    <row r="185" spans="1:33">
      <c r="K185" s="322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</row>
    <row r="186" spans="1:33">
      <c r="K186" s="322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</row>
    <row r="187" spans="1:33">
      <c r="K187" s="322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</row>
    <row r="188" spans="1:33">
      <c r="K188" s="322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</row>
    <row r="189" spans="1:33">
      <c r="K189" s="322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</row>
    <row r="190" spans="1:33">
      <c r="K190" s="322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</row>
    <row r="191" spans="1:33">
      <c r="K191" s="322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</row>
    <row r="192" spans="1:33">
      <c r="K192" s="322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</row>
    <row r="193" spans="11:31">
      <c r="K193" s="322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201"/>
      <c r="AE193" s="201"/>
    </row>
    <row r="194" spans="11:31">
      <c r="K194" s="322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1"/>
      <c r="Z194" s="201"/>
      <c r="AA194" s="201"/>
      <c r="AB194" s="201"/>
      <c r="AC194" s="201"/>
      <c r="AD194" s="201"/>
      <c r="AE194" s="201"/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FD193"/>
  <sheetViews>
    <sheetView topLeftCell="A79" zoomScale="70" zoomScaleNormal="70" workbookViewId="0">
      <selection activeCell="L171" sqref="L171"/>
    </sheetView>
  </sheetViews>
  <sheetFormatPr defaultColWidth="9" defaultRowHeight="16.5"/>
  <cols>
    <col min="1" max="1" width="45.625" style="33" customWidth="1"/>
    <col min="2" max="2" width="51.25" style="33" bestFit="1" customWidth="1"/>
    <col min="3" max="3" width="18.125" style="33" bestFit="1" customWidth="1"/>
    <col min="4" max="4" width="16.25" style="109" bestFit="1" customWidth="1"/>
    <col min="5" max="5" width="13.125" style="33" bestFit="1" customWidth="1"/>
    <col min="6" max="6" width="20.5" style="33" bestFit="1" customWidth="1"/>
    <col min="7" max="7" width="20.25" style="33" bestFit="1" customWidth="1"/>
    <col min="8" max="8" width="21.75" style="33" bestFit="1" customWidth="1"/>
    <col min="9" max="9" width="12.125" style="33" bestFit="1" customWidth="1"/>
    <col min="10" max="10" width="13.875" style="33" bestFit="1" customWidth="1"/>
    <col min="11" max="11" width="7.75" style="166" bestFit="1" customWidth="1"/>
    <col min="12" max="12" width="16.75" style="33" bestFit="1" customWidth="1"/>
    <col min="13" max="15" width="17.5" style="33" bestFit="1" customWidth="1"/>
    <col min="16" max="17" width="17.125" style="33" bestFit="1" customWidth="1"/>
    <col min="18" max="19" width="17.5" style="33" bestFit="1" customWidth="1"/>
    <col min="20" max="20" width="17.125" style="33" bestFit="1" customWidth="1"/>
    <col min="21" max="22" width="17.5" style="33" bestFit="1" customWidth="1"/>
    <col min="23" max="24" width="17.125" style="33" bestFit="1" customWidth="1"/>
    <col min="25" max="25" width="17.5" style="33" bestFit="1" customWidth="1"/>
    <col min="26" max="27" width="17.125" style="33" bestFit="1" customWidth="1"/>
    <col min="28" max="31" width="17.5" style="33" bestFit="1" customWidth="1"/>
    <col min="32" max="32" width="22.625" style="33" bestFit="1" customWidth="1"/>
    <col min="33" max="33" width="12.625" style="33" bestFit="1" customWidth="1"/>
    <col min="34" max="16384" width="9" style="33"/>
  </cols>
  <sheetData>
    <row r="1" spans="1:31" ht="18.75" thickBot="1">
      <c r="A1" s="11" t="str">
        <f>Intro!A1</f>
        <v>Town of Bar Harbor</v>
      </c>
      <c r="B1" s="13"/>
      <c r="C1" s="13"/>
      <c r="D1" s="99"/>
      <c r="E1" s="14"/>
      <c r="F1" s="14"/>
      <c r="G1" s="34"/>
      <c r="H1" s="34"/>
      <c r="I1" s="34"/>
      <c r="J1" s="34"/>
      <c r="K1" s="16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</row>
    <row r="2" spans="1:31" ht="17.25" thickBot="1">
      <c r="A2" s="380" t="str">
        <f>Intro!A2</f>
        <v>Ferry Property Business Plan</v>
      </c>
      <c r="B2" s="13"/>
      <c r="C2" s="13"/>
      <c r="D2" s="99"/>
      <c r="E2" s="14"/>
      <c r="F2" s="14"/>
      <c r="G2" s="34"/>
      <c r="H2" s="34"/>
      <c r="I2" s="34"/>
      <c r="J2" s="34"/>
      <c r="K2" s="16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</row>
    <row r="3" spans="1:31" s="392" customFormat="1" ht="14.25" thickBot="1">
      <c r="A3" s="384" t="str">
        <f>Intro!A3</f>
        <v>05.23.2018</v>
      </c>
      <c r="B3" s="2"/>
      <c r="C3" s="382"/>
      <c r="D3" s="393"/>
      <c r="E3" s="385"/>
      <c r="F3" s="385"/>
      <c r="G3" s="389"/>
      <c r="H3" s="389"/>
      <c r="I3" s="389"/>
      <c r="J3" s="389"/>
      <c r="K3" s="390"/>
      <c r="L3" s="391"/>
      <c r="M3" s="391"/>
      <c r="N3" s="391"/>
      <c r="O3" s="391"/>
      <c r="P3" s="391"/>
      <c r="Q3" s="391"/>
      <c r="R3" s="391"/>
      <c r="S3" s="391"/>
      <c r="T3" s="391"/>
      <c r="U3" s="391"/>
      <c r="V3" s="391"/>
      <c r="W3" s="391"/>
      <c r="X3" s="391"/>
      <c r="Y3" s="391"/>
      <c r="Z3" s="391"/>
      <c r="AA3" s="391"/>
      <c r="AB3" s="391"/>
      <c r="AC3" s="391"/>
      <c r="AD3" s="391"/>
      <c r="AE3" s="391"/>
    </row>
    <row r="4" spans="1:31" s="392" customFormat="1" ht="13.5">
      <c r="A4" s="384" t="str">
        <f ca="1">Intro!A4</f>
        <v>Town of Bar Harbor</v>
      </c>
      <c r="B4" s="382"/>
      <c r="C4" s="382"/>
      <c r="D4" s="393"/>
      <c r="E4" s="383">
        <f ca="1">NOW()</f>
        <v>43242.835659143515</v>
      </c>
      <c r="F4" s="383"/>
      <c r="G4" s="389"/>
      <c r="H4" s="389"/>
      <c r="I4" s="389"/>
      <c r="J4" s="389"/>
      <c r="K4" s="390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  <c r="W4" s="391"/>
      <c r="X4" s="391"/>
      <c r="Y4" s="391"/>
      <c r="Z4" s="391"/>
      <c r="AA4" s="391"/>
      <c r="AB4" s="391"/>
      <c r="AC4" s="391"/>
      <c r="AD4" s="391"/>
      <c r="AE4" s="391"/>
    </row>
    <row r="5" spans="1:31">
      <c r="A5" s="231" t="s">
        <v>342</v>
      </c>
      <c r="B5" s="231"/>
      <c r="C5" s="232"/>
      <c r="D5" s="233"/>
      <c r="E5" s="232"/>
      <c r="F5" s="232"/>
      <c r="G5" s="234"/>
      <c r="H5" s="234"/>
      <c r="I5" s="234"/>
      <c r="J5" s="234"/>
      <c r="K5" s="235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1:31">
      <c r="A6" s="237"/>
      <c r="B6" s="237"/>
      <c r="C6" s="237"/>
      <c r="D6" s="238"/>
      <c r="E6" s="237"/>
      <c r="F6" s="237"/>
      <c r="G6" s="237"/>
      <c r="H6" s="237"/>
      <c r="I6" s="237"/>
      <c r="J6" s="237"/>
      <c r="K6" s="659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</row>
    <row r="7" spans="1:31" ht="48.75" customHeight="1">
      <c r="A7" s="239"/>
      <c r="B7" s="240" t="s">
        <v>45</v>
      </c>
      <c r="C7" s="241" t="s">
        <v>46</v>
      </c>
      <c r="D7" s="242" t="s">
        <v>47</v>
      </c>
      <c r="E7" s="240" t="s">
        <v>21</v>
      </c>
      <c r="F7" s="240" t="s">
        <v>48</v>
      </c>
      <c r="G7" s="240" t="s">
        <v>49</v>
      </c>
      <c r="H7" s="240" t="s">
        <v>59</v>
      </c>
      <c r="I7" s="240" t="s">
        <v>22</v>
      </c>
      <c r="J7" s="240" t="s">
        <v>50</v>
      </c>
      <c r="K7" s="243">
        <v>2018</v>
      </c>
      <c r="L7" s="243">
        <v>2019</v>
      </c>
      <c r="M7" s="243">
        <v>2020</v>
      </c>
      <c r="N7" s="243">
        <v>2021</v>
      </c>
      <c r="O7" s="243">
        <v>2022</v>
      </c>
      <c r="P7" s="243">
        <v>2023</v>
      </c>
      <c r="Q7" s="243">
        <v>2024</v>
      </c>
      <c r="R7" s="243">
        <v>2025</v>
      </c>
      <c r="S7" s="243">
        <v>2026</v>
      </c>
      <c r="T7" s="243">
        <v>2027</v>
      </c>
      <c r="U7" s="243">
        <v>2028</v>
      </c>
      <c r="V7" s="243">
        <v>2029</v>
      </c>
      <c r="W7" s="243">
        <v>2030</v>
      </c>
      <c r="X7" s="243">
        <v>2031</v>
      </c>
      <c r="Y7" s="243">
        <v>2032</v>
      </c>
      <c r="Z7" s="243">
        <v>2033</v>
      </c>
      <c r="AA7" s="243">
        <v>2034</v>
      </c>
      <c r="AB7" s="243">
        <v>2035</v>
      </c>
      <c r="AC7" s="243">
        <v>2036</v>
      </c>
      <c r="AD7" s="243">
        <v>2037</v>
      </c>
      <c r="AE7" s="243">
        <v>2038</v>
      </c>
    </row>
    <row r="8" spans="1:31" s="18" customFormat="1" ht="17.25" thickBot="1">
      <c r="K8" s="488"/>
    </row>
    <row r="9" spans="1:31" s="18" customFormat="1" ht="17.25" thickBot="1">
      <c r="A9" s="117" t="s">
        <v>381</v>
      </c>
      <c r="B9" s="484" t="str">
        <f>'P&amp;L - Concept B2 - Carnival'!B9</f>
        <v>Scenario 3 - Percent of 2018 Business - Carnival</v>
      </c>
      <c r="K9" s="489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  <c r="Y9" s="327"/>
      <c r="Z9" s="327"/>
      <c r="AA9" s="327"/>
      <c r="AB9" s="327"/>
      <c r="AC9" s="327"/>
      <c r="AD9" s="327"/>
      <c r="AE9" s="327"/>
    </row>
    <row r="10" spans="1:31" s="18" customFormat="1">
      <c r="A10" s="649"/>
      <c r="B10" s="372"/>
      <c r="K10" s="489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  <c r="Y10" s="327"/>
      <c r="Z10" s="327"/>
      <c r="AA10" s="327"/>
      <c r="AB10" s="327"/>
      <c r="AC10" s="327"/>
      <c r="AD10" s="327"/>
      <c r="AE10" s="327"/>
    </row>
    <row r="11" spans="1:31">
      <c r="A11" s="38" t="s">
        <v>52</v>
      </c>
      <c r="B11" s="38"/>
      <c r="C11" s="38"/>
      <c r="D11" s="101"/>
      <c r="E11" s="38"/>
      <c r="F11" s="38"/>
      <c r="G11" s="37"/>
      <c r="H11" s="37"/>
      <c r="I11" s="38"/>
      <c r="J11" s="37"/>
      <c r="K11" s="784">
        <f>'OPEX - Concept A1'!K11</f>
        <v>0</v>
      </c>
      <c r="L11" s="311">
        <f>'BH Tariffs'!D52</f>
        <v>1.02</v>
      </c>
      <c r="M11" s="311">
        <f>'BH Tariffs'!E52</f>
        <v>1.0404</v>
      </c>
      <c r="N11" s="311">
        <f>'BH Tariffs'!F52</f>
        <v>1.0612079999999999</v>
      </c>
      <c r="O11" s="311">
        <f>'BH Tariffs'!G52</f>
        <v>1.08243216</v>
      </c>
      <c r="P11" s="311">
        <f>'BH Tariffs'!H52</f>
        <v>1.1040808032</v>
      </c>
      <c r="Q11" s="311">
        <f>'BH Tariffs'!I52</f>
        <v>1.1261624192640001</v>
      </c>
      <c r="R11" s="311">
        <f>'BH Tariffs'!J52</f>
        <v>1.14868566764928</v>
      </c>
      <c r="S11" s="311">
        <f>'BH Tariffs'!K52</f>
        <v>1.1716593810022657</v>
      </c>
      <c r="T11" s="311">
        <f>'BH Tariffs'!L52</f>
        <v>1.1950925686223111</v>
      </c>
      <c r="U11" s="311">
        <f>'BH Tariffs'!M52</f>
        <v>1.2189944199947573</v>
      </c>
      <c r="V11" s="311">
        <f>'BH Tariffs'!N52</f>
        <v>1.2433743083946525</v>
      </c>
      <c r="W11" s="311">
        <f>'BH Tariffs'!O52</f>
        <v>1.2682417945625455</v>
      </c>
      <c r="X11" s="311">
        <f>'BH Tariffs'!P52</f>
        <v>1.2936066304537963</v>
      </c>
      <c r="Y11" s="311">
        <f>'BH Tariffs'!Q52</f>
        <v>1.3194787630628724</v>
      </c>
      <c r="Z11" s="311">
        <f>'BH Tariffs'!R52</f>
        <v>1.3458683383241299</v>
      </c>
      <c r="AA11" s="311">
        <f>'BH Tariffs'!S52</f>
        <v>1.3727857050906125</v>
      </c>
      <c r="AB11" s="311">
        <f>'BH Tariffs'!T52</f>
        <v>1.4002414191924248</v>
      </c>
      <c r="AC11" s="311">
        <f>'BH Tariffs'!U52</f>
        <v>1.4282462475762734</v>
      </c>
      <c r="AD11" s="311">
        <f>'BH Tariffs'!V52</f>
        <v>1.4568111725277988</v>
      </c>
      <c r="AE11" s="311">
        <f>'BH Tariffs'!W52</f>
        <v>1.4859473959783549</v>
      </c>
    </row>
    <row r="12" spans="1:31">
      <c r="A12" s="38" t="s">
        <v>58</v>
      </c>
      <c r="B12" s="38"/>
      <c r="C12" s="37"/>
      <c r="D12" s="76"/>
      <c r="E12" s="79">
        <v>0.2</v>
      </c>
      <c r="F12" s="172"/>
      <c r="G12" s="36"/>
      <c r="H12" s="36"/>
      <c r="I12" s="38"/>
      <c r="J12" s="36"/>
      <c r="K12" s="661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200"/>
      <c r="AC12" s="200"/>
      <c r="AD12" s="200"/>
      <c r="AE12" s="200"/>
    </row>
    <row r="13" spans="1:31">
      <c r="A13" s="38" t="s">
        <v>51</v>
      </c>
      <c r="B13" s="38"/>
      <c r="C13" s="37"/>
      <c r="D13" s="76"/>
      <c r="E13" s="79"/>
      <c r="F13" s="79">
        <v>0.4</v>
      </c>
      <c r="G13" s="36"/>
      <c r="H13" s="36"/>
      <c r="I13" s="38"/>
      <c r="J13" s="36"/>
      <c r="K13" s="661"/>
      <c r="L13" s="200"/>
      <c r="M13" s="200"/>
      <c r="N13" s="200"/>
      <c r="O13" s="200"/>
      <c r="P13" s="200"/>
      <c r="Q13" s="200"/>
      <c r="R13" s="200"/>
      <c r="S13" s="200"/>
      <c r="T13" s="200"/>
      <c r="U13" s="200"/>
      <c r="V13" s="200"/>
      <c r="W13" s="200"/>
      <c r="X13" s="200"/>
      <c r="Y13" s="200"/>
      <c r="Z13" s="200"/>
      <c r="AA13" s="200"/>
      <c r="AB13" s="200"/>
      <c r="AC13" s="200"/>
      <c r="AD13" s="200"/>
      <c r="AE13" s="200"/>
    </row>
    <row r="14" spans="1:31" s="18" customFormat="1">
      <c r="A14" s="649"/>
      <c r="B14" s="372"/>
      <c r="K14" s="489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7"/>
      <c r="X14" s="327"/>
      <c r="Y14" s="327"/>
      <c r="Z14" s="327"/>
      <c r="AA14" s="327"/>
      <c r="AB14" s="327"/>
      <c r="AC14" s="327"/>
      <c r="AD14" s="327"/>
      <c r="AE14" s="327"/>
    </row>
    <row r="15" spans="1:31" s="18" customFormat="1">
      <c r="K15" s="489"/>
      <c r="L15" s="327"/>
      <c r="M15" s="327"/>
      <c r="N15" s="327"/>
      <c r="O15" s="327"/>
      <c r="P15" s="327"/>
      <c r="Q15" s="327"/>
      <c r="R15" s="327"/>
      <c r="S15" s="327"/>
      <c r="T15" s="327"/>
      <c r="U15" s="327"/>
      <c r="V15" s="327"/>
      <c r="W15" s="327"/>
      <c r="X15" s="327"/>
      <c r="Y15" s="327"/>
      <c r="Z15" s="327"/>
      <c r="AA15" s="327"/>
      <c r="AB15" s="327"/>
      <c r="AC15" s="327"/>
      <c r="AD15" s="327"/>
      <c r="AE15" s="327"/>
    </row>
    <row r="16" spans="1:31" s="582" customFormat="1" ht="14.25">
      <c r="A16" s="582" t="s">
        <v>83</v>
      </c>
      <c r="K16" s="490"/>
      <c r="L16" s="785"/>
      <c r="M16" s="785"/>
      <c r="N16" s="785"/>
      <c r="O16" s="785"/>
      <c r="P16" s="785"/>
      <c r="Q16" s="785"/>
      <c r="R16" s="785"/>
      <c r="S16" s="785"/>
      <c r="T16" s="785"/>
      <c r="U16" s="785"/>
      <c r="V16" s="785"/>
      <c r="W16" s="785"/>
      <c r="X16" s="785"/>
      <c r="Y16" s="785"/>
      <c r="Z16" s="785"/>
      <c r="AA16" s="785"/>
      <c r="AB16" s="785"/>
      <c r="AC16" s="785"/>
      <c r="AD16" s="785"/>
      <c r="AE16" s="785"/>
    </row>
    <row r="17" spans="1:31" s="96" customFormat="1">
      <c r="A17" s="53" t="str">
        <f>'Cruise Projections'!A67</f>
        <v>Passengers</v>
      </c>
      <c r="B17" s="487"/>
      <c r="C17" s="487"/>
      <c r="K17" s="486">
        <f>'P&amp;L - Concept C1 - Carnival'!D12</f>
        <v>0</v>
      </c>
      <c r="L17" s="313">
        <f>'P&amp;L - Concept C1 - Carnival'!E12</f>
        <v>0</v>
      </c>
      <c r="M17" s="313">
        <f>'P&amp;L - Concept C1 - Carnival'!F12</f>
        <v>105331.33459735833</v>
      </c>
      <c r="N17" s="313">
        <f>'P&amp;L - Concept C1 - Carnival'!G12</f>
        <v>105331.33459735833</v>
      </c>
      <c r="O17" s="313">
        <f>'P&amp;L - Concept C1 - Carnival'!H12</f>
        <v>105331.33459735833</v>
      </c>
      <c r="P17" s="313">
        <f>'P&amp;L - Concept C1 - Carnival'!I12</f>
        <v>105331.33459735833</v>
      </c>
      <c r="Q17" s="313">
        <f>'P&amp;L - Concept C1 - Carnival'!J12</f>
        <v>105331.33459735833</v>
      </c>
      <c r="R17" s="313">
        <f>'P&amp;L - Concept C1 - Carnival'!K12</f>
        <v>105331.33459735833</v>
      </c>
      <c r="S17" s="313">
        <f>'P&amp;L - Concept C1 - Carnival'!L12</f>
        <v>105331.33459735833</v>
      </c>
      <c r="T17" s="313">
        <f>'P&amp;L - Concept C1 - Carnival'!M12</f>
        <v>105331.33459735833</v>
      </c>
      <c r="U17" s="313">
        <f>'P&amp;L - Concept C1 - Carnival'!N12</f>
        <v>105331.33459735833</v>
      </c>
      <c r="V17" s="313">
        <f>'P&amp;L - Concept C1 - Carnival'!O12</f>
        <v>105331.33459735833</v>
      </c>
      <c r="W17" s="313">
        <f>'P&amp;L - Concept C1 - Carnival'!P12</f>
        <v>105331.33459735833</v>
      </c>
      <c r="X17" s="313">
        <f>'P&amp;L - Concept C1 - Carnival'!Q12</f>
        <v>105331.33459735833</v>
      </c>
      <c r="Y17" s="313">
        <f>'P&amp;L - Concept C1 - Carnival'!R12</f>
        <v>105331.33459735833</v>
      </c>
      <c r="Z17" s="313">
        <f>'P&amp;L - Concept C1 - Carnival'!S12</f>
        <v>105331.33459735833</v>
      </c>
      <c r="AA17" s="313">
        <f>'P&amp;L - Concept C1 - Carnival'!T12</f>
        <v>105331.33459735833</v>
      </c>
      <c r="AB17" s="313">
        <f>'P&amp;L - Concept C1 - Carnival'!U12</f>
        <v>105331.33459735833</v>
      </c>
      <c r="AC17" s="313">
        <f>'P&amp;L - Concept C1 - Carnival'!V12</f>
        <v>105331.33459735833</v>
      </c>
      <c r="AD17" s="313">
        <f>'P&amp;L - Concept C1 - Carnival'!W12</f>
        <v>105331.33459735833</v>
      </c>
      <c r="AE17" s="313">
        <f>'P&amp;L - Concept C1 - Carnival'!X12</f>
        <v>105331.33459735833</v>
      </c>
    </row>
    <row r="18" spans="1:31" s="96" customFormat="1">
      <c r="A18" s="53" t="str">
        <f>'Cruise Projections'!A68</f>
        <v>Calls</v>
      </c>
      <c r="B18" s="487"/>
      <c r="C18" s="487"/>
      <c r="K18" s="486">
        <f>'P&amp;L - Concept C1 - Carnival'!D13</f>
        <v>0</v>
      </c>
      <c r="L18" s="313">
        <f>'P&amp;L - Concept C1 - Carnival'!E13</f>
        <v>0</v>
      </c>
      <c r="M18" s="313">
        <f>'P&amp;L - Concept C1 - Carnival'!F13</f>
        <v>60.199999999999996</v>
      </c>
      <c r="N18" s="313">
        <f>'P&amp;L - Concept C1 - Carnival'!G13</f>
        <v>60.199999999999996</v>
      </c>
      <c r="O18" s="313">
        <f>'P&amp;L - Concept C1 - Carnival'!H13</f>
        <v>60.199999999999996</v>
      </c>
      <c r="P18" s="313">
        <f>'P&amp;L - Concept C1 - Carnival'!I13</f>
        <v>60.199999999999996</v>
      </c>
      <c r="Q18" s="313">
        <f>'P&amp;L - Concept C1 - Carnival'!J13</f>
        <v>60.199999999999996</v>
      </c>
      <c r="R18" s="313">
        <f>'P&amp;L - Concept C1 - Carnival'!K13</f>
        <v>60.199999999999996</v>
      </c>
      <c r="S18" s="313">
        <f>'P&amp;L - Concept C1 - Carnival'!L13</f>
        <v>60.199999999999996</v>
      </c>
      <c r="T18" s="313">
        <f>'P&amp;L - Concept C1 - Carnival'!M13</f>
        <v>60.199999999999996</v>
      </c>
      <c r="U18" s="313">
        <f>'P&amp;L - Concept C1 - Carnival'!N13</f>
        <v>60.199999999999996</v>
      </c>
      <c r="V18" s="313">
        <f>'P&amp;L - Concept C1 - Carnival'!O13</f>
        <v>60.199999999999996</v>
      </c>
      <c r="W18" s="313">
        <f>'P&amp;L - Concept C1 - Carnival'!P13</f>
        <v>60.199999999999996</v>
      </c>
      <c r="X18" s="313">
        <f>'P&amp;L - Concept C1 - Carnival'!Q13</f>
        <v>60.199999999999996</v>
      </c>
      <c r="Y18" s="313">
        <f>'P&amp;L - Concept C1 - Carnival'!R13</f>
        <v>60.199999999999996</v>
      </c>
      <c r="Z18" s="313">
        <f>'P&amp;L - Concept C1 - Carnival'!S13</f>
        <v>60.199999999999996</v>
      </c>
      <c r="AA18" s="313">
        <f>'P&amp;L - Concept C1 - Carnival'!T13</f>
        <v>60.199999999999996</v>
      </c>
      <c r="AB18" s="313">
        <f>'P&amp;L - Concept C1 - Carnival'!U13</f>
        <v>60.199999999999996</v>
      </c>
      <c r="AC18" s="313">
        <f>'P&amp;L - Concept C1 - Carnival'!V13</f>
        <v>60.199999999999996</v>
      </c>
      <c r="AD18" s="313">
        <f>'P&amp;L - Concept C1 - Carnival'!W13</f>
        <v>60.199999999999996</v>
      </c>
      <c r="AE18" s="313">
        <f>'P&amp;L - Concept C1 - Carnival'!X13</f>
        <v>60.199999999999996</v>
      </c>
    </row>
    <row r="19" spans="1:31" s="96" customFormat="1">
      <c r="A19" s="53" t="str">
        <f>'Cruise Projections'!A69</f>
        <v>Passengers per Call</v>
      </c>
      <c r="B19" s="487"/>
      <c r="C19" s="487"/>
      <c r="K19" s="486">
        <f>'P&amp;L - Concept C1 - Carnival'!D14</f>
        <v>0</v>
      </c>
      <c r="L19" s="313">
        <f>'P&amp;L - Concept C1 - Carnival'!E14</f>
        <v>0</v>
      </c>
      <c r="M19" s="313">
        <f>'P&amp;L - Concept C1 - Carnival'!F14</f>
        <v>1749.6899434777133</v>
      </c>
      <c r="N19" s="313">
        <f>'P&amp;L - Concept C1 - Carnival'!G14</f>
        <v>1749.6899434777133</v>
      </c>
      <c r="O19" s="313">
        <f>'P&amp;L - Concept C1 - Carnival'!H14</f>
        <v>1749.6899434777133</v>
      </c>
      <c r="P19" s="313">
        <f>'P&amp;L - Concept C1 - Carnival'!I14</f>
        <v>1749.6899434777133</v>
      </c>
      <c r="Q19" s="313">
        <f>'P&amp;L - Concept C1 - Carnival'!J14</f>
        <v>1749.6899434777133</v>
      </c>
      <c r="R19" s="313">
        <f>'P&amp;L - Concept C1 - Carnival'!K14</f>
        <v>1749.6899434777133</v>
      </c>
      <c r="S19" s="313">
        <f>'P&amp;L - Concept C1 - Carnival'!L14</f>
        <v>1749.6899434777133</v>
      </c>
      <c r="T19" s="313">
        <f>'P&amp;L - Concept C1 - Carnival'!M14</f>
        <v>1749.6899434777133</v>
      </c>
      <c r="U19" s="313">
        <f>'P&amp;L - Concept C1 - Carnival'!N14</f>
        <v>1749.6899434777133</v>
      </c>
      <c r="V19" s="313">
        <f>'P&amp;L - Concept C1 - Carnival'!O14</f>
        <v>1749.6899434777133</v>
      </c>
      <c r="W19" s="313">
        <f>'P&amp;L - Concept C1 - Carnival'!P14</f>
        <v>1749.6899434777133</v>
      </c>
      <c r="X19" s="313">
        <f>'P&amp;L - Concept C1 - Carnival'!Q14</f>
        <v>1749.6899434777133</v>
      </c>
      <c r="Y19" s="313">
        <f>'P&amp;L - Concept C1 - Carnival'!R14</f>
        <v>1749.6899434777133</v>
      </c>
      <c r="Z19" s="313">
        <f>'P&amp;L - Concept C1 - Carnival'!S14</f>
        <v>1749.6899434777133</v>
      </c>
      <c r="AA19" s="313">
        <f>'P&amp;L - Concept C1 - Carnival'!T14</f>
        <v>1749.6899434777133</v>
      </c>
      <c r="AB19" s="313">
        <f>'P&amp;L - Concept C1 - Carnival'!U14</f>
        <v>1749.6899434777133</v>
      </c>
      <c r="AC19" s="313">
        <f>'P&amp;L - Concept C1 - Carnival'!V14</f>
        <v>1749.6899434777133</v>
      </c>
      <c r="AD19" s="313">
        <f>'P&amp;L - Concept C1 - Carnival'!W14</f>
        <v>1749.6899434777133</v>
      </c>
      <c r="AE19" s="313">
        <f>'P&amp;L - Concept C1 - Carnival'!X14</f>
        <v>1749.6899434777133</v>
      </c>
    </row>
    <row r="20" spans="1:31" s="96" customFormat="1">
      <c r="A20" s="54" t="s">
        <v>313</v>
      </c>
      <c r="B20" s="487"/>
      <c r="C20" s="487"/>
      <c r="K20" s="486">
        <f>'P&amp;L - Concept C1 - Carnival'!D15</f>
        <v>0</v>
      </c>
      <c r="L20" s="313">
        <f>'P&amp;L - Concept C1 - Carnival'!E15</f>
        <v>0</v>
      </c>
      <c r="M20" s="313">
        <f>'P&amp;L - Concept C1 - Carnival'!F15</f>
        <v>4120</v>
      </c>
      <c r="N20" s="313">
        <f>'P&amp;L - Concept C1 - Carnival'!G15</f>
        <v>4120</v>
      </c>
      <c r="O20" s="313">
        <f>'P&amp;L - Concept C1 - Carnival'!H15</f>
        <v>4120</v>
      </c>
      <c r="P20" s="313">
        <f>'P&amp;L - Concept C1 - Carnival'!I15</f>
        <v>4120</v>
      </c>
      <c r="Q20" s="313">
        <f>'P&amp;L - Concept C1 - Carnival'!J15</f>
        <v>4120</v>
      </c>
      <c r="R20" s="313">
        <f>'P&amp;L - Concept C1 - Carnival'!K15</f>
        <v>4120</v>
      </c>
      <c r="S20" s="313">
        <f>'P&amp;L - Concept C1 - Carnival'!L15</f>
        <v>4120</v>
      </c>
      <c r="T20" s="313">
        <f>'P&amp;L - Concept C1 - Carnival'!M15</f>
        <v>4120</v>
      </c>
      <c r="U20" s="313">
        <f>'P&amp;L - Concept C1 - Carnival'!N15</f>
        <v>4120</v>
      </c>
      <c r="V20" s="313">
        <f>'P&amp;L - Concept C1 - Carnival'!O15</f>
        <v>4120</v>
      </c>
      <c r="W20" s="313">
        <f>'P&amp;L - Concept C1 - Carnival'!P15</f>
        <v>4120</v>
      </c>
      <c r="X20" s="313">
        <f>'P&amp;L - Concept C1 - Carnival'!Q15</f>
        <v>4120</v>
      </c>
      <c r="Y20" s="313">
        <f>'P&amp;L - Concept C1 - Carnival'!R15</f>
        <v>4120</v>
      </c>
      <c r="Z20" s="313">
        <f>'P&amp;L - Concept C1 - Carnival'!S15</f>
        <v>4120</v>
      </c>
      <c r="AA20" s="313">
        <f>'P&amp;L - Concept C1 - Carnival'!T15</f>
        <v>4120</v>
      </c>
      <c r="AB20" s="313">
        <f>'P&amp;L - Concept C1 - Carnival'!U15</f>
        <v>4120</v>
      </c>
      <c r="AC20" s="313">
        <f>'P&amp;L - Concept C1 - Carnival'!V15</f>
        <v>4120</v>
      </c>
      <c r="AD20" s="313">
        <f>'P&amp;L - Concept C1 - Carnival'!W15</f>
        <v>4120</v>
      </c>
      <c r="AE20" s="313">
        <f>'P&amp;L - Concept C1 - Carnival'!X15</f>
        <v>4120</v>
      </c>
    </row>
    <row r="21" spans="1:31" s="18" customFormat="1">
      <c r="A21" s="54"/>
      <c r="B21" s="21"/>
      <c r="C21" s="21"/>
      <c r="K21" s="486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  <c r="Y21" s="313"/>
      <c r="Z21" s="313"/>
      <c r="AA21" s="313"/>
      <c r="AB21" s="313"/>
      <c r="AC21" s="313"/>
      <c r="AD21" s="313"/>
      <c r="AE21" s="313"/>
    </row>
    <row r="22" spans="1:31" s="582" customFormat="1">
      <c r="A22" s="293" t="s">
        <v>163</v>
      </c>
      <c r="B22" s="581"/>
      <c r="C22" s="581"/>
      <c r="K22" s="491"/>
      <c r="L22" s="313"/>
      <c r="M22" s="313"/>
      <c r="N22" s="313"/>
      <c r="O22" s="313"/>
      <c r="P22" s="313"/>
      <c r="Q22" s="313"/>
      <c r="R22" s="313"/>
      <c r="S22" s="313"/>
      <c r="T22" s="313"/>
      <c r="U22" s="313"/>
      <c r="V22" s="313"/>
      <c r="W22" s="313"/>
      <c r="X22" s="313"/>
      <c r="Y22" s="313"/>
      <c r="Z22" s="313"/>
      <c r="AA22" s="313"/>
      <c r="AB22" s="313"/>
      <c r="AC22" s="313"/>
      <c r="AD22" s="313"/>
      <c r="AE22" s="313"/>
    </row>
    <row r="23" spans="1:31" s="96" customFormat="1">
      <c r="A23" s="54" t="str">
        <f>'International Ferry Projections'!A11</f>
        <v>Passengers</v>
      </c>
      <c r="B23" s="487"/>
      <c r="C23" s="487"/>
      <c r="K23" s="486">
        <f>'P&amp;L - Concept C1 - Carnival'!D18</f>
        <v>0</v>
      </c>
      <c r="L23" s="313">
        <f>'P&amp;L - Concept C1 - Carnival'!E18</f>
        <v>60000</v>
      </c>
      <c r="M23" s="313">
        <f>'P&amp;L - Concept C1 - Carnival'!F18</f>
        <v>70000</v>
      </c>
      <c r="N23" s="313">
        <f>'P&amp;L - Concept C1 - Carnival'!G18</f>
        <v>80000</v>
      </c>
      <c r="O23" s="313">
        <f>'P&amp;L - Concept C1 - Carnival'!H18</f>
        <v>80000</v>
      </c>
      <c r="P23" s="313">
        <f>'P&amp;L - Concept C1 - Carnival'!I18</f>
        <v>80000</v>
      </c>
      <c r="Q23" s="313">
        <f>'P&amp;L - Concept C1 - Carnival'!J18</f>
        <v>80000</v>
      </c>
      <c r="R23" s="313">
        <f>'P&amp;L - Concept C1 - Carnival'!K18</f>
        <v>80000</v>
      </c>
      <c r="S23" s="313">
        <f>'P&amp;L - Concept C1 - Carnival'!L18</f>
        <v>80000</v>
      </c>
      <c r="T23" s="313">
        <f>'P&amp;L - Concept C1 - Carnival'!M18</f>
        <v>80000</v>
      </c>
      <c r="U23" s="313">
        <f>'P&amp;L - Concept C1 - Carnival'!N18</f>
        <v>80000</v>
      </c>
      <c r="V23" s="313">
        <f>'P&amp;L - Concept C1 - Carnival'!O18</f>
        <v>80000</v>
      </c>
      <c r="W23" s="313">
        <f>'P&amp;L - Concept C1 - Carnival'!P18</f>
        <v>80000</v>
      </c>
      <c r="X23" s="313">
        <f>'P&amp;L - Concept C1 - Carnival'!Q18</f>
        <v>80000</v>
      </c>
      <c r="Y23" s="313">
        <f>'P&amp;L - Concept C1 - Carnival'!R18</f>
        <v>80000</v>
      </c>
      <c r="Z23" s="313">
        <f>'P&amp;L - Concept C1 - Carnival'!S18</f>
        <v>80000</v>
      </c>
      <c r="AA23" s="313">
        <f>'P&amp;L - Concept C1 - Carnival'!T18</f>
        <v>80000</v>
      </c>
      <c r="AB23" s="313">
        <f>'P&amp;L - Concept C1 - Carnival'!U18</f>
        <v>80000</v>
      </c>
      <c r="AC23" s="313">
        <f>'P&amp;L - Concept C1 - Carnival'!V18</f>
        <v>80000</v>
      </c>
      <c r="AD23" s="313">
        <f>'P&amp;L - Concept C1 - Carnival'!W18</f>
        <v>80000</v>
      </c>
      <c r="AE23" s="313">
        <f>'P&amp;L - Concept C1 - Carnival'!X18</f>
        <v>80000</v>
      </c>
    </row>
    <row r="24" spans="1:31" s="96" customFormat="1">
      <c r="A24" s="54" t="str">
        <f>'International Ferry Projections'!A12</f>
        <v>Cars</v>
      </c>
      <c r="B24" s="487"/>
      <c r="C24" s="487"/>
      <c r="K24" s="486">
        <f>'P&amp;L - Concept C1 - Carnival'!D19</f>
        <v>0</v>
      </c>
      <c r="L24" s="313">
        <f>'P&amp;L - Concept C1 - Carnival'!E19</f>
        <v>24000</v>
      </c>
      <c r="M24" s="313">
        <f>'P&amp;L - Concept C1 - Carnival'!F19</f>
        <v>28000</v>
      </c>
      <c r="N24" s="313">
        <f>'P&amp;L - Concept C1 - Carnival'!G19</f>
        <v>32000</v>
      </c>
      <c r="O24" s="313">
        <f>'P&amp;L - Concept C1 - Carnival'!H19</f>
        <v>32000</v>
      </c>
      <c r="P24" s="313">
        <f>'P&amp;L - Concept C1 - Carnival'!I19</f>
        <v>32000</v>
      </c>
      <c r="Q24" s="313">
        <f>'P&amp;L - Concept C1 - Carnival'!J19</f>
        <v>32000</v>
      </c>
      <c r="R24" s="313">
        <f>'P&amp;L - Concept C1 - Carnival'!K19</f>
        <v>32000</v>
      </c>
      <c r="S24" s="313">
        <f>'P&amp;L - Concept C1 - Carnival'!L19</f>
        <v>32000</v>
      </c>
      <c r="T24" s="313">
        <f>'P&amp;L - Concept C1 - Carnival'!M19</f>
        <v>32000</v>
      </c>
      <c r="U24" s="313">
        <f>'P&amp;L - Concept C1 - Carnival'!N19</f>
        <v>32000</v>
      </c>
      <c r="V24" s="313">
        <f>'P&amp;L - Concept C1 - Carnival'!O19</f>
        <v>32000</v>
      </c>
      <c r="W24" s="313">
        <f>'P&amp;L - Concept C1 - Carnival'!P19</f>
        <v>32000</v>
      </c>
      <c r="X24" s="313">
        <f>'P&amp;L - Concept C1 - Carnival'!Q19</f>
        <v>32000</v>
      </c>
      <c r="Y24" s="313">
        <f>'P&amp;L - Concept C1 - Carnival'!R19</f>
        <v>32000</v>
      </c>
      <c r="Z24" s="313">
        <f>'P&amp;L - Concept C1 - Carnival'!S19</f>
        <v>32000</v>
      </c>
      <c r="AA24" s="313">
        <f>'P&amp;L - Concept C1 - Carnival'!T19</f>
        <v>32000</v>
      </c>
      <c r="AB24" s="313">
        <f>'P&amp;L - Concept C1 - Carnival'!U19</f>
        <v>32000</v>
      </c>
      <c r="AC24" s="313">
        <f>'P&amp;L - Concept C1 - Carnival'!V19</f>
        <v>32000</v>
      </c>
      <c r="AD24" s="313">
        <f>'P&amp;L - Concept C1 - Carnival'!W19</f>
        <v>32000</v>
      </c>
      <c r="AE24" s="313">
        <f>'P&amp;L - Concept C1 - Carnival'!X19</f>
        <v>32000</v>
      </c>
    </row>
    <row r="25" spans="1:31" s="96" customFormat="1">
      <c r="A25" s="54" t="str">
        <f>'International Ferry Projections'!A13</f>
        <v>Buses</v>
      </c>
      <c r="B25" s="487"/>
      <c r="C25" s="487"/>
      <c r="K25" s="486">
        <f>'P&amp;L - Concept C1 - Carnival'!D20</f>
        <v>0</v>
      </c>
      <c r="L25" s="313">
        <f>'P&amp;L - Concept C1 - Carnival'!E20</f>
        <v>40</v>
      </c>
      <c r="M25" s="313">
        <f>'P&amp;L - Concept C1 - Carnival'!F20</f>
        <v>50</v>
      </c>
      <c r="N25" s="313">
        <f>'P&amp;L - Concept C1 - Carnival'!G20</f>
        <v>60</v>
      </c>
      <c r="O25" s="313">
        <f>'P&amp;L - Concept C1 - Carnival'!H20</f>
        <v>60</v>
      </c>
      <c r="P25" s="313">
        <f>'P&amp;L - Concept C1 - Carnival'!I20</f>
        <v>60</v>
      </c>
      <c r="Q25" s="313">
        <f>'P&amp;L - Concept C1 - Carnival'!J20</f>
        <v>60</v>
      </c>
      <c r="R25" s="313">
        <f>'P&amp;L - Concept C1 - Carnival'!K20</f>
        <v>60</v>
      </c>
      <c r="S25" s="313">
        <f>'P&amp;L - Concept C1 - Carnival'!L20</f>
        <v>60</v>
      </c>
      <c r="T25" s="313">
        <f>'P&amp;L - Concept C1 - Carnival'!M20</f>
        <v>60</v>
      </c>
      <c r="U25" s="313">
        <f>'P&amp;L - Concept C1 - Carnival'!N20</f>
        <v>60</v>
      </c>
      <c r="V25" s="313">
        <f>'P&amp;L - Concept C1 - Carnival'!O20</f>
        <v>60</v>
      </c>
      <c r="W25" s="313">
        <f>'P&amp;L - Concept C1 - Carnival'!P20</f>
        <v>60</v>
      </c>
      <c r="X25" s="313">
        <f>'P&amp;L - Concept C1 - Carnival'!Q20</f>
        <v>60</v>
      </c>
      <c r="Y25" s="313">
        <f>'P&amp;L - Concept C1 - Carnival'!R20</f>
        <v>60</v>
      </c>
      <c r="Z25" s="313">
        <f>'P&amp;L - Concept C1 - Carnival'!S20</f>
        <v>60</v>
      </c>
      <c r="AA25" s="313">
        <f>'P&amp;L - Concept C1 - Carnival'!T20</f>
        <v>60</v>
      </c>
      <c r="AB25" s="313">
        <f>'P&amp;L - Concept C1 - Carnival'!U20</f>
        <v>60</v>
      </c>
      <c r="AC25" s="313">
        <f>'P&amp;L - Concept C1 - Carnival'!V20</f>
        <v>60</v>
      </c>
      <c r="AD25" s="313">
        <f>'P&amp;L - Concept C1 - Carnival'!W20</f>
        <v>60</v>
      </c>
      <c r="AE25" s="313">
        <f>'P&amp;L - Concept C1 - Carnival'!X20</f>
        <v>60</v>
      </c>
    </row>
    <row r="26" spans="1:31" s="18" customFormat="1">
      <c r="A26" s="54"/>
      <c r="B26" s="21"/>
      <c r="C26" s="21"/>
      <c r="K26" s="486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</row>
    <row r="27" spans="1:31" s="582" customFormat="1">
      <c r="A27" s="293" t="str">
        <f>'BH Tariffs'!A30</f>
        <v>Local Ferry</v>
      </c>
      <c r="B27" s="581"/>
      <c r="C27" s="581"/>
      <c r="K27" s="486"/>
      <c r="L27" s="313"/>
      <c r="M27" s="313"/>
      <c r="N27" s="313"/>
      <c r="O27" s="313"/>
      <c r="P27" s="313"/>
      <c r="Q27" s="313"/>
      <c r="R27" s="313"/>
      <c r="S27" s="313"/>
      <c r="T27" s="313"/>
      <c r="U27" s="313"/>
      <c r="V27" s="313"/>
      <c r="W27" s="313"/>
      <c r="X27" s="313"/>
      <c r="Y27" s="313"/>
      <c r="Z27" s="313"/>
      <c r="AA27" s="313"/>
      <c r="AB27" s="313"/>
      <c r="AC27" s="313"/>
      <c r="AD27" s="313"/>
      <c r="AE27" s="313"/>
    </row>
    <row r="28" spans="1:31" s="96" customFormat="1">
      <c r="A28" s="54" t="str">
        <f>'BH Tariffs'!A31</f>
        <v>Dock Rent (6 Months Only)</v>
      </c>
      <c r="B28" s="487"/>
      <c r="C28" s="487"/>
      <c r="K28" s="486">
        <f>'P&amp;L - Concept C1 - Carnival'!D23</f>
        <v>0</v>
      </c>
      <c r="L28" s="313" t="str">
        <f>'P&amp;L - Concept C1 - Carnival'!E23</f>
        <v>see Tariff</v>
      </c>
      <c r="M28" s="313" t="str">
        <f>'P&amp;L - Concept C1 - Carnival'!F23</f>
        <v>see Tariff</v>
      </c>
      <c r="N28" s="313" t="str">
        <f>'P&amp;L - Concept C1 - Carnival'!G23</f>
        <v>see Tariff</v>
      </c>
      <c r="O28" s="313" t="str">
        <f>'P&amp;L - Concept C1 - Carnival'!H23</f>
        <v>see Tariff</v>
      </c>
      <c r="P28" s="313" t="str">
        <f>'P&amp;L - Concept C1 - Carnival'!I23</f>
        <v>see Tariff</v>
      </c>
      <c r="Q28" s="313" t="str">
        <f>'P&amp;L - Concept C1 - Carnival'!J23</f>
        <v>see Tariff</v>
      </c>
      <c r="R28" s="313" t="str">
        <f>'P&amp;L - Concept C1 - Carnival'!K23</f>
        <v>see Tariff</v>
      </c>
      <c r="S28" s="313" t="str">
        <f>'P&amp;L - Concept C1 - Carnival'!L23</f>
        <v>see Tariff</v>
      </c>
      <c r="T28" s="313" t="str">
        <f>'P&amp;L - Concept C1 - Carnival'!M23</f>
        <v>see Tariff</v>
      </c>
      <c r="U28" s="313" t="str">
        <f>'P&amp;L - Concept C1 - Carnival'!N23</f>
        <v>see Tariff</v>
      </c>
      <c r="V28" s="313" t="str">
        <f>'P&amp;L - Concept C1 - Carnival'!O23</f>
        <v>see Tariff</v>
      </c>
      <c r="W28" s="313" t="str">
        <f>'P&amp;L - Concept C1 - Carnival'!P23</f>
        <v>see Tariff</v>
      </c>
      <c r="X28" s="313" t="str">
        <f>'P&amp;L - Concept C1 - Carnival'!Q23</f>
        <v>see Tariff</v>
      </c>
      <c r="Y28" s="313" t="str">
        <f>'P&amp;L - Concept C1 - Carnival'!R23</f>
        <v>see Tariff</v>
      </c>
      <c r="Z28" s="313" t="str">
        <f>'P&amp;L - Concept C1 - Carnival'!S23</f>
        <v>see Tariff</v>
      </c>
      <c r="AA28" s="313" t="str">
        <f>'P&amp;L - Concept C1 - Carnival'!T23</f>
        <v>see Tariff</v>
      </c>
      <c r="AB28" s="313" t="str">
        <f>'P&amp;L - Concept C1 - Carnival'!U23</f>
        <v>see Tariff</v>
      </c>
      <c r="AC28" s="313" t="str">
        <f>'P&amp;L - Concept C1 - Carnival'!V23</f>
        <v>see Tariff</v>
      </c>
      <c r="AD28" s="313" t="str">
        <f>'P&amp;L - Concept C1 - Carnival'!W23</f>
        <v>see Tariff</v>
      </c>
      <c r="AE28" s="313" t="str">
        <f>'P&amp;L - Concept C1 - Carnival'!X23</f>
        <v>see Tariff</v>
      </c>
    </row>
    <row r="29" spans="1:31" s="341" customFormat="1">
      <c r="A29" s="552"/>
      <c r="B29" s="553"/>
      <c r="C29" s="553"/>
      <c r="K29" s="554"/>
      <c r="L29" s="313"/>
      <c r="M29" s="313"/>
      <c r="N29" s="313"/>
      <c r="O29" s="313"/>
      <c r="P29" s="313"/>
      <c r="Q29" s="313"/>
      <c r="R29" s="313"/>
      <c r="S29" s="313"/>
      <c r="T29" s="313"/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</row>
    <row r="30" spans="1:31" s="96" customFormat="1">
      <c r="A30" s="559" t="s">
        <v>227</v>
      </c>
      <c r="B30" s="487"/>
      <c r="C30" s="487"/>
      <c r="K30" s="486"/>
      <c r="L30" s="313"/>
      <c r="M30" s="313"/>
      <c r="N30" s="313"/>
      <c r="O30" s="313"/>
      <c r="P30" s="313"/>
      <c r="Q30" s="313"/>
      <c r="R30" s="313"/>
      <c r="S30" s="313"/>
      <c r="T30" s="313"/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</row>
    <row r="31" spans="1:31" s="96" customFormat="1">
      <c r="A31" s="559"/>
      <c r="B31" s="487"/>
      <c r="C31" s="487"/>
      <c r="K31" s="486"/>
      <c r="L31" s="313"/>
      <c r="M31" s="313"/>
      <c r="N31" s="313"/>
      <c r="O31" s="313"/>
      <c r="P31" s="313"/>
      <c r="Q31" s="313"/>
      <c r="R31" s="313"/>
      <c r="S31" s="313"/>
      <c r="T31" s="313"/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</row>
    <row r="32" spans="1:31" s="96" customFormat="1">
      <c r="A32" s="54" t="s">
        <v>420</v>
      </c>
      <c r="B32" s="487"/>
      <c r="C32" s="487"/>
      <c r="K32" s="486">
        <f>'P&amp;L - Concept C1 - Carnival'!D27</f>
        <v>0</v>
      </c>
      <c r="L32" s="313">
        <f>'P&amp;L - Concept C1 - Carnival'!E27</f>
        <v>0</v>
      </c>
      <c r="M32" s="313">
        <f>'P&amp;L - Concept C1 - Carnival'!F27</f>
        <v>214</v>
      </c>
      <c r="N32" s="313">
        <f>'P&amp;L - Concept C1 - Carnival'!G27</f>
        <v>214</v>
      </c>
      <c r="O32" s="313">
        <f>'P&amp;L - Concept C1 - Carnival'!H27</f>
        <v>214</v>
      </c>
      <c r="P32" s="313">
        <f>'P&amp;L - Concept C1 - Carnival'!I27</f>
        <v>214</v>
      </c>
      <c r="Q32" s="313">
        <f>'P&amp;L - Concept C1 - Carnival'!J27</f>
        <v>214</v>
      </c>
      <c r="R32" s="313">
        <f>'P&amp;L - Concept C1 - Carnival'!K27</f>
        <v>214</v>
      </c>
      <c r="S32" s="313">
        <f>'P&amp;L - Concept C1 - Carnival'!L27</f>
        <v>214</v>
      </c>
      <c r="T32" s="313">
        <f>'P&amp;L - Concept C1 - Carnival'!M27</f>
        <v>214</v>
      </c>
      <c r="U32" s="313">
        <f>'P&amp;L - Concept C1 - Carnival'!N27</f>
        <v>214</v>
      </c>
      <c r="V32" s="313">
        <f>'P&amp;L - Concept C1 - Carnival'!O27</f>
        <v>214</v>
      </c>
      <c r="W32" s="313">
        <f>'P&amp;L - Concept C1 - Carnival'!P27</f>
        <v>214</v>
      </c>
      <c r="X32" s="313">
        <f>'P&amp;L - Concept C1 - Carnival'!Q27</f>
        <v>214</v>
      </c>
      <c r="Y32" s="313">
        <f>'P&amp;L - Concept C1 - Carnival'!R27</f>
        <v>214</v>
      </c>
      <c r="Z32" s="313">
        <f>'P&amp;L - Concept C1 - Carnival'!S27</f>
        <v>214</v>
      </c>
      <c r="AA32" s="313">
        <f>'P&amp;L - Concept C1 - Carnival'!T27</f>
        <v>214</v>
      </c>
      <c r="AB32" s="313">
        <f>'P&amp;L - Concept C1 - Carnival'!U27</f>
        <v>214</v>
      </c>
      <c r="AC32" s="313">
        <f>'P&amp;L - Concept C1 - Carnival'!V27</f>
        <v>214</v>
      </c>
      <c r="AD32" s="313">
        <f>'P&amp;L - Concept C1 - Carnival'!W27</f>
        <v>214</v>
      </c>
      <c r="AE32" s="313">
        <f>'P&amp;L - Concept C1 - Carnival'!X27</f>
        <v>214</v>
      </c>
    </row>
    <row r="33" spans="1:31" s="96" customFormat="1">
      <c r="A33" s="54" t="s">
        <v>205</v>
      </c>
      <c r="B33" s="487"/>
      <c r="C33" s="487"/>
      <c r="K33" s="486">
        <f>'P&amp;L - Concept C1 - Carnival'!D28</f>
        <v>0</v>
      </c>
      <c r="L33" s="313">
        <f>'P&amp;L - Concept C1 - Carnival'!E28</f>
        <v>0</v>
      </c>
      <c r="M33" s="313">
        <f>'P&amp;L - Concept C1 - Carnival'!F28</f>
        <v>60.199999999999996</v>
      </c>
      <c r="N33" s="313">
        <f>'P&amp;L - Concept C1 - Carnival'!G28</f>
        <v>60.199999999999996</v>
      </c>
      <c r="O33" s="313">
        <f>'P&amp;L - Concept C1 - Carnival'!H28</f>
        <v>60.199999999999996</v>
      </c>
      <c r="P33" s="313">
        <f>'P&amp;L - Concept C1 - Carnival'!I28</f>
        <v>60.199999999999996</v>
      </c>
      <c r="Q33" s="313">
        <f>'P&amp;L - Concept C1 - Carnival'!J28</f>
        <v>60.199999999999996</v>
      </c>
      <c r="R33" s="313">
        <f>'P&amp;L - Concept C1 - Carnival'!K28</f>
        <v>60.199999999999996</v>
      </c>
      <c r="S33" s="313">
        <f>'P&amp;L - Concept C1 - Carnival'!L28</f>
        <v>60.199999999999996</v>
      </c>
      <c r="T33" s="313">
        <f>'P&amp;L - Concept C1 - Carnival'!M28</f>
        <v>60.199999999999996</v>
      </c>
      <c r="U33" s="313">
        <f>'P&amp;L - Concept C1 - Carnival'!N28</f>
        <v>60.199999999999996</v>
      </c>
      <c r="V33" s="313">
        <f>'P&amp;L - Concept C1 - Carnival'!O28</f>
        <v>60.199999999999996</v>
      </c>
      <c r="W33" s="313">
        <f>'P&amp;L - Concept C1 - Carnival'!P28</f>
        <v>60.199999999999996</v>
      </c>
      <c r="X33" s="313">
        <f>'P&amp;L - Concept C1 - Carnival'!Q28</f>
        <v>60.199999999999996</v>
      </c>
      <c r="Y33" s="313">
        <f>'P&amp;L - Concept C1 - Carnival'!R28</f>
        <v>60.199999999999996</v>
      </c>
      <c r="Z33" s="313">
        <f>'P&amp;L - Concept C1 - Carnival'!S28</f>
        <v>60.199999999999996</v>
      </c>
      <c r="AA33" s="313">
        <f>'P&amp;L - Concept C1 - Carnival'!T28</f>
        <v>60.199999999999996</v>
      </c>
      <c r="AB33" s="313">
        <f>'P&amp;L - Concept C1 - Carnival'!U28</f>
        <v>60.199999999999996</v>
      </c>
      <c r="AC33" s="313">
        <f>'P&amp;L - Concept C1 - Carnival'!V28</f>
        <v>60.199999999999996</v>
      </c>
      <c r="AD33" s="313">
        <f>'P&amp;L - Concept C1 - Carnival'!W28</f>
        <v>60.199999999999996</v>
      </c>
      <c r="AE33" s="313">
        <f>'P&amp;L - Concept C1 - Carnival'!X28</f>
        <v>60.199999999999996</v>
      </c>
    </row>
    <row r="34" spans="1:31" s="96" customFormat="1">
      <c r="A34" s="54" t="s">
        <v>219</v>
      </c>
      <c r="B34" s="487"/>
      <c r="C34" s="487"/>
      <c r="K34" s="486">
        <f>'P&amp;L - Concept C1 - Carnival'!D29</f>
        <v>0</v>
      </c>
      <c r="L34" s="313">
        <f>'P&amp;L - Concept C1 - Carnival'!E29</f>
        <v>150</v>
      </c>
      <c r="M34" s="313">
        <f>'P&amp;L - Concept C1 - Carnival'!F29</f>
        <v>150</v>
      </c>
      <c r="N34" s="313">
        <f>'P&amp;L - Concept C1 - Carnival'!G29</f>
        <v>150</v>
      </c>
      <c r="O34" s="313">
        <f>'P&amp;L - Concept C1 - Carnival'!H29</f>
        <v>150</v>
      </c>
      <c r="P34" s="313">
        <f>'P&amp;L - Concept C1 - Carnival'!I29</f>
        <v>150</v>
      </c>
      <c r="Q34" s="313">
        <f>'P&amp;L - Concept C1 - Carnival'!J29</f>
        <v>150</v>
      </c>
      <c r="R34" s="313">
        <f>'P&amp;L - Concept C1 - Carnival'!K29</f>
        <v>150</v>
      </c>
      <c r="S34" s="313">
        <f>'P&amp;L - Concept C1 - Carnival'!L29</f>
        <v>150</v>
      </c>
      <c r="T34" s="313">
        <f>'P&amp;L - Concept C1 - Carnival'!M29</f>
        <v>150</v>
      </c>
      <c r="U34" s="313">
        <f>'P&amp;L - Concept C1 - Carnival'!N29</f>
        <v>150</v>
      </c>
      <c r="V34" s="313">
        <f>'P&amp;L - Concept C1 - Carnival'!O29</f>
        <v>150</v>
      </c>
      <c r="W34" s="313">
        <f>'P&amp;L - Concept C1 - Carnival'!P29</f>
        <v>150</v>
      </c>
      <c r="X34" s="313">
        <f>'P&amp;L - Concept C1 - Carnival'!Q29</f>
        <v>150</v>
      </c>
      <c r="Y34" s="313">
        <f>'P&amp;L - Concept C1 - Carnival'!R29</f>
        <v>150</v>
      </c>
      <c r="Z34" s="313">
        <f>'P&amp;L - Concept C1 - Carnival'!S29</f>
        <v>150</v>
      </c>
      <c r="AA34" s="313">
        <f>'P&amp;L - Concept C1 - Carnival'!T29</f>
        <v>150</v>
      </c>
      <c r="AB34" s="313">
        <f>'P&amp;L - Concept C1 - Carnival'!U29</f>
        <v>150</v>
      </c>
      <c r="AC34" s="313">
        <f>'P&amp;L - Concept C1 - Carnival'!V29</f>
        <v>150</v>
      </c>
      <c r="AD34" s="313">
        <f>'P&amp;L - Concept C1 - Carnival'!W29</f>
        <v>150</v>
      </c>
      <c r="AE34" s="313">
        <f>'P&amp;L - Concept C1 - Carnival'!X29</f>
        <v>150</v>
      </c>
    </row>
    <row r="35" spans="1:31" s="96" customFormat="1">
      <c r="A35" s="54" t="s">
        <v>220</v>
      </c>
      <c r="B35" s="487"/>
      <c r="C35" s="487"/>
      <c r="K35" s="486">
        <f>'P&amp;L - Concept C1 - Carnival'!D30</f>
        <v>0</v>
      </c>
      <c r="L35" s="307">
        <f>L33/L34</f>
        <v>0</v>
      </c>
      <c r="M35" s="307">
        <f t="shared" ref="M35:AE35" si="0">M33/M34</f>
        <v>0.40133333333333332</v>
      </c>
      <c r="N35" s="307">
        <f t="shared" si="0"/>
        <v>0.40133333333333332</v>
      </c>
      <c r="O35" s="307">
        <f t="shared" si="0"/>
        <v>0.40133333333333332</v>
      </c>
      <c r="P35" s="307">
        <f t="shared" si="0"/>
        <v>0.40133333333333332</v>
      </c>
      <c r="Q35" s="307">
        <f t="shared" si="0"/>
        <v>0.40133333333333332</v>
      </c>
      <c r="R35" s="307">
        <f t="shared" si="0"/>
        <v>0.40133333333333332</v>
      </c>
      <c r="S35" s="307">
        <f t="shared" si="0"/>
        <v>0.40133333333333332</v>
      </c>
      <c r="T35" s="307">
        <f t="shared" si="0"/>
        <v>0.40133333333333332</v>
      </c>
      <c r="U35" s="307">
        <f t="shared" si="0"/>
        <v>0.40133333333333332</v>
      </c>
      <c r="V35" s="307">
        <f t="shared" si="0"/>
        <v>0.40133333333333332</v>
      </c>
      <c r="W35" s="307">
        <f t="shared" si="0"/>
        <v>0.40133333333333332</v>
      </c>
      <c r="X35" s="307">
        <f t="shared" si="0"/>
        <v>0.40133333333333332</v>
      </c>
      <c r="Y35" s="307">
        <f t="shared" si="0"/>
        <v>0.40133333333333332</v>
      </c>
      <c r="Z35" s="307">
        <f t="shared" si="0"/>
        <v>0.40133333333333332</v>
      </c>
      <c r="AA35" s="307">
        <f t="shared" si="0"/>
        <v>0.40133333333333332</v>
      </c>
      <c r="AB35" s="307">
        <f t="shared" si="0"/>
        <v>0.40133333333333332</v>
      </c>
      <c r="AC35" s="307">
        <f t="shared" si="0"/>
        <v>0.40133333333333332</v>
      </c>
      <c r="AD35" s="307">
        <f t="shared" si="0"/>
        <v>0.40133333333333332</v>
      </c>
      <c r="AE35" s="307">
        <f t="shared" si="0"/>
        <v>0.40133333333333332</v>
      </c>
    </row>
    <row r="36" spans="1:31" s="96" customFormat="1">
      <c r="A36" s="54" t="s">
        <v>226</v>
      </c>
      <c r="B36" s="487"/>
      <c r="C36" s="487"/>
      <c r="K36" s="486">
        <f>'P&amp;L - Concept C1 - Carnival'!D31</f>
        <v>0</v>
      </c>
      <c r="L36" s="313">
        <f>'P&amp;L - Concept C1 - Carnival'!E31</f>
        <v>0</v>
      </c>
      <c r="M36" s="313">
        <f>'P&amp;L - Concept C1 - Carnival'!F31</f>
        <v>125</v>
      </c>
      <c r="N36" s="313">
        <f>'P&amp;L - Concept C1 - Carnival'!G31</f>
        <v>125</v>
      </c>
      <c r="O36" s="313">
        <f>'P&amp;L - Concept C1 - Carnival'!H31</f>
        <v>125</v>
      </c>
      <c r="P36" s="313">
        <f>'P&amp;L - Concept C1 - Carnival'!I31</f>
        <v>125</v>
      </c>
      <c r="Q36" s="313">
        <f>'P&amp;L - Concept C1 - Carnival'!J31</f>
        <v>125</v>
      </c>
      <c r="R36" s="313">
        <f>'P&amp;L - Concept C1 - Carnival'!K31</f>
        <v>125</v>
      </c>
      <c r="S36" s="313">
        <f>'P&amp;L - Concept C1 - Carnival'!L31</f>
        <v>125</v>
      </c>
      <c r="T36" s="313">
        <f>'P&amp;L - Concept C1 - Carnival'!M31</f>
        <v>125</v>
      </c>
      <c r="U36" s="313">
        <f>'P&amp;L - Concept C1 - Carnival'!N31</f>
        <v>125</v>
      </c>
      <c r="V36" s="313">
        <f>'P&amp;L - Concept C1 - Carnival'!O31</f>
        <v>125</v>
      </c>
      <c r="W36" s="313">
        <f>'P&amp;L - Concept C1 - Carnival'!P31</f>
        <v>125</v>
      </c>
      <c r="X36" s="313">
        <f>'P&amp;L - Concept C1 - Carnival'!Q31</f>
        <v>125</v>
      </c>
      <c r="Y36" s="313">
        <f>'P&amp;L - Concept C1 - Carnival'!R31</f>
        <v>125</v>
      </c>
      <c r="Z36" s="313">
        <f>'P&amp;L - Concept C1 - Carnival'!S31</f>
        <v>125</v>
      </c>
      <c r="AA36" s="313">
        <f>'P&amp;L - Concept C1 - Carnival'!T31</f>
        <v>125</v>
      </c>
      <c r="AB36" s="313">
        <f>'P&amp;L - Concept C1 - Carnival'!U31</f>
        <v>125</v>
      </c>
      <c r="AC36" s="313">
        <f>'P&amp;L - Concept C1 - Carnival'!V31</f>
        <v>125</v>
      </c>
      <c r="AD36" s="313">
        <f>'P&amp;L - Concept C1 - Carnival'!W31</f>
        <v>125</v>
      </c>
      <c r="AE36" s="313">
        <f>'P&amp;L - Concept C1 - Carnival'!X31</f>
        <v>125</v>
      </c>
    </row>
    <row r="37" spans="1:31" s="18" customFormat="1">
      <c r="A37" s="54"/>
      <c r="B37" s="21"/>
      <c r="C37" s="21"/>
      <c r="K37" s="486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</row>
    <row r="38" spans="1:31" s="96" customFormat="1">
      <c r="A38" s="54" t="s">
        <v>206</v>
      </c>
      <c r="B38" s="487"/>
      <c r="C38" s="487"/>
      <c r="K38" s="486">
        <f>'P&amp;L - Concept C1 - Carnival'!D33</f>
        <v>0</v>
      </c>
      <c r="L38" s="313">
        <f>'P&amp;L - Concept C1 - Carnival'!E33</f>
        <v>0</v>
      </c>
      <c r="M38" s="313">
        <f>'P&amp;L - Concept C1 - Carnival'!F33</f>
        <v>1749.6899434777133</v>
      </c>
      <c r="N38" s="313">
        <f>'P&amp;L - Concept C1 - Carnival'!G33</f>
        <v>1749.6899434777133</v>
      </c>
      <c r="O38" s="313">
        <f>'P&amp;L - Concept C1 - Carnival'!H33</f>
        <v>1749.6899434777133</v>
      </c>
      <c r="P38" s="313">
        <f>'P&amp;L - Concept C1 - Carnival'!I33</f>
        <v>1749.6899434777133</v>
      </c>
      <c r="Q38" s="313">
        <f>'P&amp;L - Concept C1 - Carnival'!J33</f>
        <v>1749.6899434777133</v>
      </c>
      <c r="R38" s="313">
        <f>'P&amp;L - Concept C1 - Carnival'!K33</f>
        <v>1749.6899434777133</v>
      </c>
      <c r="S38" s="313">
        <f>'P&amp;L - Concept C1 - Carnival'!L33</f>
        <v>1749.6899434777133</v>
      </c>
      <c r="T38" s="313">
        <f>'P&amp;L - Concept C1 - Carnival'!M33</f>
        <v>1749.6899434777133</v>
      </c>
      <c r="U38" s="313">
        <f>'P&amp;L - Concept C1 - Carnival'!N33</f>
        <v>1749.6899434777133</v>
      </c>
      <c r="V38" s="313">
        <f>'P&amp;L - Concept C1 - Carnival'!O33</f>
        <v>1749.6899434777133</v>
      </c>
      <c r="W38" s="313">
        <f>'P&amp;L - Concept C1 - Carnival'!P33</f>
        <v>1749.6899434777133</v>
      </c>
      <c r="X38" s="313">
        <f>'P&amp;L - Concept C1 - Carnival'!Q33</f>
        <v>1749.6899434777133</v>
      </c>
      <c r="Y38" s="313">
        <f>'P&amp;L - Concept C1 - Carnival'!R33</f>
        <v>1749.6899434777133</v>
      </c>
      <c r="Z38" s="313">
        <f>'P&amp;L - Concept C1 - Carnival'!S33</f>
        <v>1749.6899434777133</v>
      </c>
      <c r="AA38" s="313">
        <f>'P&amp;L - Concept C1 - Carnival'!T33</f>
        <v>1749.6899434777133</v>
      </c>
      <c r="AB38" s="313">
        <f>'P&amp;L - Concept C1 - Carnival'!U33</f>
        <v>1749.6899434777133</v>
      </c>
      <c r="AC38" s="313">
        <f>'P&amp;L - Concept C1 - Carnival'!V33</f>
        <v>1749.6899434777133</v>
      </c>
      <c r="AD38" s="313">
        <f>'P&amp;L - Concept C1 - Carnival'!W33</f>
        <v>1749.6899434777133</v>
      </c>
      <c r="AE38" s="313">
        <f>'P&amp;L - Concept C1 - Carnival'!X33</f>
        <v>1749.6899434777133</v>
      </c>
    </row>
    <row r="39" spans="1:31" s="96" customFormat="1">
      <c r="A39" s="54" t="s">
        <v>207</v>
      </c>
      <c r="B39" s="487"/>
      <c r="C39" s="487"/>
      <c r="K39" s="486">
        <f>'P&amp;L - Concept C1 - Carnival'!D34</f>
        <v>0</v>
      </c>
      <c r="L39" s="313">
        <f>'P&amp;L - Concept C1 - Carnival'!E34</f>
        <v>0</v>
      </c>
      <c r="M39" s="313">
        <f>'P&amp;L - Concept C1 - Carnival'!F34</f>
        <v>5500</v>
      </c>
      <c r="N39" s="313">
        <f>'P&amp;L - Concept C1 - Carnival'!G34</f>
        <v>5500</v>
      </c>
      <c r="O39" s="313">
        <f>'P&amp;L - Concept C1 - Carnival'!H34</f>
        <v>5500</v>
      </c>
      <c r="P39" s="313">
        <f>'P&amp;L - Concept C1 - Carnival'!I34</f>
        <v>5500</v>
      </c>
      <c r="Q39" s="313">
        <f>'P&amp;L - Concept C1 - Carnival'!J34</f>
        <v>5500</v>
      </c>
      <c r="R39" s="313">
        <f>'P&amp;L - Concept C1 - Carnival'!K34</f>
        <v>5500</v>
      </c>
      <c r="S39" s="313">
        <f>'P&amp;L - Concept C1 - Carnival'!L34</f>
        <v>5500</v>
      </c>
      <c r="T39" s="313">
        <f>'P&amp;L - Concept C1 - Carnival'!M34</f>
        <v>5500</v>
      </c>
      <c r="U39" s="313">
        <f>'P&amp;L - Concept C1 - Carnival'!N34</f>
        <v>5500</v>
      </c>
      <c r="V39" s="313">
        <f>'P&amp;L - Concept C1 - Carnival'!O34</f>
        <v>5500</v>
      </c>
      <c r="W39" s="313">
        <f>'P&amp;L - Concept C1 - Carnival'!P34</f>
        <v>5500</v>
      </c>
      <c r="X39" s="313">
        <f>'P&amp;L - Concept C1 - Carnival'!Q34</f>
        <v>5500</v>
      </c>
      <c r="Y39" s="313">
        <f>'P&amp;L - Concept C1 - Carnival'!R34</f>
        <v>5500</v>
      </c>
      <c r="Z39" s="313">
        <f>'P&amp;L - Concept C1 - Carnival'!S34</f>
        <v>5500</v>
      </c>
      <c r="AA39" s="313">
        <f>'P&amp;L - Concept C1 - Carnival'!T34</f>
        <v>5500</v>
      </c>
      <c r="AB39" s="313">
        <f>'P&amp;L - Concept C1 - Carnival'!U34</f>
        <v>5500</v>
      </c>
      <c r="AC39" s="313">
        <f>'P&amp;L - Concept C1 - Carnival'!V34</f>
        <v>5500</v>
      </c>
      <c r="AD39" s="313">
        <f>'P&amp;L - Concept C1 - Carnival'!W34</f>
        <v>5500</v>
      </c>
      <c r="AE39" s="313">
        <f>'P&amp;L - Concept C1 - Carnival'!X34</f>
        <v>5500</v>
      </c>
    </row>
    <row r="40" spans="1:31" s="96" customFormat="1">
      <c r="A40" s="54" t="s">
        <v>221</v>
      </c>
      <c r="B40" s="487"/>
      <c r="C40" s="487"/>
      <c r="K40" s="486">
        <f>'P&amp;L - Concept C1 - Carnival'!D35</f>
        <v>0</v>
      </c>
      <c r="L40" s="313">
        <f>'P&amp;L - Concept C1 - Carnival'!E35</f>
        <v>400</v>
      </c>
      <c r="M40" s="313">
        <f>'P&amp;L - Concept C1 - Carnival'!F35</f>
        <v>466.66666666666669</v>
      </c>
      <c r="N40" s="313">
        <f>'P&amp;L - Concept C1 - Carnival'!G35</f>
        <v>533.33333333333337</v>
      </c>
      <c r="O40" s="313">
        <f>'P&amp;L - Concept C1 - Carnival'!H35</f>
        <v>533.33333333333337</v>
      </c>
      <c r="P40" s="313">
        <f>'P&amp;L - Concept C1 - Carnival'!I35</f>
        <v>533.33333333333337</v>
      </c>
      <c r="Q40" s="313">
        <f>'P&amp;L - Concept C1 - Carnival'!J35</f>
        <v>533.33333333333337</v>
      </c>
      <c r="R40" s="313">
        <f>'P&amp;L - Concept C1 - Carnival'!K35</f>
        <v>533.33333333333337</v>
      </c>
      <c r="S40" s="313">
        <f>'P&amp;L - Concept C1 - Carnival'!L35</f>
        <v>533.33333333333337</v>
      </c>
      <c r="T40" s="313">
        <f>'P&amp;L - Concept C1 - Carnival'!M35</f>
        <v>533.33333333333337</v>
      </c>
      <c r="U40" s="313">
        <f>'P&amp;L - Concept C1 - Carnival'!N35</f>
        <v>533.33333333333337</v>
      </c>
      <c r="V40" s="313">
        <f>'P&amp;L - Concept C1 - Carnival'!O35</f>
        <v>533.33333333333337</v>
      </c>
      <c r="W40" s="313">
        <f>'P&amp;L - Concept C1 - Carnival'!P35</f>
        <v>533.33333333333337</v>
      </c>
      <c r="X40" s="313">
        <f>'P&amp;L - Concept C1 - Carnival'!Q35</f>
        <v>533.33333333333337</v>
      </c>
      <c r="Y40" s="313">
        <f>'P&amp;L - Concept C1 - Carnival'!R35</f>
        <v>533.33333333333337</v>
      </c>
      <c r="Z40" s="313">
        <f>'P&amp;L - Concept C1 - Carnival'!S35</f>
        <v>533.33333333333337</v>
      </c>
      <c r="AA40" s="313">
        <f>'P&amp;L - Concept C1 - Carnival'!T35</f>
        <v>533.33333333333337</v>
      </c>
      <c r="AB40" s="313">
        <f>'P&amp;L - Concept C1 - Carnival'!U35</f>
        <v>533.33333333333337</v>
      </c>
      <c r="AC40" s="313">
        <f>'P&amp;L - Concept C1 - Carnival'!V35</f>
        <v>533.33333333333337</v>
      </c>
      <c r="AD40" s="313">
        <f>'P&amp;L - Concept C1 - Carnival'!W35</f>
        <v>533.33333333333337</v>
      </c>
      <c r="AE40" s="313">
        <f>'P&amp;L - Concept C1 - Carnival'!X35</f>
        <v>533.33333333333337</v>
      </c>
    </row>
    <row r="41" spans="1:31" s="96" customFormat="1">
      <c r="A41" s="54" t="s">
        <v>222</v>
      </c>
      <c r="B41" s="487"/>
      <c r="C41" s="487"/>
      <c r="K41" s="486">
        <f>'P&amp;L - Concept C1 - Carnival'!D36</f>
        <v>0</v>
      </c>
      <c r="L41" s="313">
        <f>'P&amp;L - Concept C1 - Carnival'!E36</f>
        <v>800</v>
      </c>
      <c r="M41" s="313">
        <f>'P&amp;L - Concept C1 - Carnival'!F36</f>
        <v>800</v>
      </c>
      <c r="N41" s="313">
        <f>'P&amp;L - Concept C1 - Carnival'!G36</f>
        <v>800</v>
      </c>
      <c r="O41" s="313">
        <f>'P&amp;L - Concept C1 - Carnival'!H36</f>
        <v>800</v>
      </c>
      <c r="P41" s="313">
        <f>'P&amp;L - Concept C1 - Carnival'!I36</f>
        <v>800</v>
      </c>
      <c r="Q41" s="313">
        <f>'P&amp;L - Concept C1 - Carnival'!J36</f>
        <v>800</v>
      </c>
      <c r="R41" s="313">
        <f>'P&amp;L - Concept C1 - Carnival'!K36</f>
        <v>800</v>
      </c>
      <c r="S41" s="313">
        <f>'P&amp;L - Concept C1 - Carnival'!L36</f>
        <v>800</v>
      </c>
      <c r="T41" s="313">
        <f>'P&amp;L - Concept C1 - Carnival'!M36</f>
        <v>800</v>
      </c>
      <c r="U41" s="313">
        <f>'P&amp;L - Concept C1 - Carnival'!N36</f>
        <v>800</v>
      </c>
      <c r="V41" s="313">
        <f>'P&amp;L - Concept C1 - Carnival'!O36</f>
        <v>800</v>
      </c>
      <c r="W41" s="313">
        <f>'P&amp;L - Concept C1 - Carnival'!P36</f>
        <v>800</v>
      </c>
      <c r="X41" s="313">
        <f>'P&amp;L - Concept C1 - Carnival'!Q36</f>
        <v>800</v>
      </c>
      <c r="Y41" s="313">
        <f>'P&amp;L - Concept C1 - Carnival'!R36</f>
        <v>800</v>
      </c>
      <c r="Z41" s="313">
        <f>'P&amp;L - Concept C1 - Carnival'!S36</f>
        <v>800</v>
      </c>
      <c r="AA41" s="313">
        <f>'P&amp;L - Concept C1 - Carnival'!T36</f>
        <v>800</v>
      </c>
      <c r="AB41" s="313">
        <f>'P&amp;L - Concept C1 - Carnival'!U36</f>
        <v>800</v>
      </c>
      <c r="AC41" s="313">
        <f>'P&amp;L - Concept C1 - Carnival'!V36</f>
        <v>800</v>
      </c>
      <c r="AD41" s="313">
        <f>'P&amp;L - Concept C1 - Carnival'!W36</f>
        <v>800</v>
      </c>
      <c r="AE41" s="313">
        <f>'P&amp;L - Concept C1 - Carnival'!X36</f>
        <v>800</v>
      </c>
    </row>
    <row r="42" spans="1:31" s="96" customFormat="1">
      <c r="A42" s="54" t="s">
        <v>208</v>
      </c>
      <c r="B42" s="487"/>
      <c r="C42" s="487"/>
      <c r="K42" s="486">
        <f>'P&amp;L - Concept C1 - Carnival'!D37</f>
        <v>0</v>
      </c>
      <c r="L42" s="313">
        <f>'P&amp;L - Concept C1 - Carnival'!E37</f>
        <v>800</v>
      </c>
      <c r="M42" s="313">
        <f>'P&amp;L - Concept C1 - Carnival'!F37</f>
        <v>6300</v>
      </c>
      <c r="N42" s="313">
        <f>'P&amp;L - Concept C1 - Carnival'!G37</f>
        <v>6300</v>
      </c>
      <c r="O42" s="313">
        <f>'P&amp;L - Concept C1 - Carnival'!H37</f>
        <v>6300</v>
      </c>
      <c r="P42" s="313">
        <f>'P&amp;L - Concept C1 - Carnival'!I37</f>
        <v>6300</v>
      </c>
      <c r="Q42" s="313">
        <f>'P&amp;L - Concept C1 - Carnival'!J37</f>
        <v>6300</v>
      </c>
      <c r="R42" s="313">
        <f>'P&amp;L - Concept C1 - Carnival'!K37</f>
        <v>6300</v>
      </c>
      <c r="S42" s="313">
        <f>'P&amp;L - Concept C1 - Carnival'!L37</f>
        <v>6300</v>
      </c>
      <c r="T42" s="313">
        <f>'P&amp;L - Concept C1 - Carnival'!M37</f>
        <v>6300</v>
      </c>
      <c r="U42" s="313">
        <f>'P&amp;L - Concept C1 - Carnival'!N37</f>
        <v>6300</v>
      </c>
      <c r="V42" s="313">
        <f>'P&amp;L - Concept C1 - Carnival'!O37</f>
        <v>6300</v>
      </c>
      <c r="W42" s="313">
        <f>'P&amp;L - Concept C1 - Carnival'!P37</f>
        <v>6300</v>
      </c>
      <c r="X42" s="313">
        <f>'P&amp;L - Concept C1 - Carnival'!Q37</f>
        <v>6300</v>
      </c>
      <c r="Y42" s="313">
        <f>'P&amp;L - Concept C1 - Carnival'!R37</f>
        <v>6300</v>
      </c>
      <c r="Z42" s="313">
        <f>'P&amp;L - Concept C1 - Carnival'!S37</f>
        <v>6300</v>
      </c>
      <c r="AA42" s="313">
        <f>'P&amp;L - Concept C1 - Carnival'!T37</f>
        <v>6300</v>
      </c>
      <c r="AB42" s="313">
        <f>'P&amp;L - Concept C1 - Carnival'!U37</f>
        <v>6300</v>
      </c>
      <c r="AC42" s="313">
        <f>'P&amp;L - Concept C1 - Carnival'!V37</f>
        <v>6300</v>
      </c>
      <c r="AD42" s="313">
        <f>'P&amp;L - Concept C1 - Carnival'!W37</f>
        <v>6300</v>
      </c>
      <c r="AE42" s="313">
        <f>'P&amp;L - Concept C1 - Carnival'!X37</f>
        <v>6300</v>
      </c>
    </row>
    <row r="43" spans="1:31" s="96" customFormat="1">
      <c r="A43" s="54"/>
      <c r="B43" s="487"/>
      <c r="C43" s="487"/>
      <c r="K43" s="486"/>
      <c r="L43" s="313"/>
      <c r="M43" s="313"/>
      <c r="N43" s="313"/>
      <c r="O43" s="313"/>
      <c r="P43" s="313"/>
      <c r="Q43" s="313"/>
      <c r="R43" s="313"/>
      <c r="S43" s="313"/>
      <c r="T43" s="313"/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</row>
    <row r="44" spans="1:31" s="96" customFormat="1">
      <c r="A44" s="54" t="s">
        <v>223</v>
      </c>
      <c r="B44" s="583"/>
      <c r="C44" s="583"/>
      <c r="K44" s="486">
        <f>'P&amp;L - Concept C1 - Carnival'!D39</f>
        <v>0</v>
      </c>
      <c r="L44" s="313">
        <f>'P&amp;L - Concept C1 - Carnival'!E39</f>
        <v>160.26666666666668</v>
      </c>
      <c r="M44" s="313">
        <f>'P&amp;L - Concept C1 - Carnival'!F39</f>
        <v>187</v>
      </c>
      <c r="N44" s="313">
        <f>'P&amp;L - Concept C1 - Carnival'!G39</f>
        <v>213.73333333333332</v>
      </c>
      <c r="O44" s="313">
        <f>'P&amp;L - Concept C1 - Carnival'!H39</f>
        <v>213.73333333333332</v>
      </c>
      <c r="P44" s="313">
        <f>'P&amp;L - Concept C1 - Carnival'!I39</f>
        <v>213.73333333333332</v>
      </c>
      <c r="Q44" s="313">
        <f>'P&amp;L - Concept C1 - Carnival'!J39</f>
        <v>213.73333333333332</v>
      </c>
      <c r="R44" s="313">
        <f>'P&amp;L - Concept C1 - Carnival'!K39</f>
        <v>213.73333333333332</v>
      </c>
      <c r="S44" s="313">
        <f>'P&amp;L - Concept C1 - Carnival'!L39</f>
        <v>213.73333333333332</v>
      </c>
      <c r="T44" s="313">
        <f>'P&amp;L - Concept C1 - Carnival'!M39</f>
        <v>213.73333333333332</v>
      </c>
      <c r="U44" s="313">
        <f>'P&amp;L - Concept C1 - Carnival'!N39</f>
        <v>213.73333333333332</v>
      </c>
      <c r="V44" s="313">
        <f>'P&amp;L - Concept C1 - Carnival'!O39</f>
        <v>213.73333333333332</v>
      </c>
      <c r="W44" s="313">
        <f>'P&amp;L - Concept C1 - Carnival'!P39</f>
        <v>213.73333333333332</v>
      </c>
      <c r="X44" s="313">
        <f>'P&amp;L - Concept C1 - Carnival'!Q39</f>
        <v>213.73333333333332</v>
      </c>
      <c r="Y44" s="313">
        <f>'P&amp;L - Concept C1 - Carnival'!R39</f>
        <v>213.73333333333332</v>
      </c>
      <c r="Z44" s="313">
        <f>'P&amp;L - Concept C1 - Carnival'!S39</f>
        <v>213.73333333333332</v>
      </c>
      <c r="AA44" s="313">
        <f>'P&amp;L - Concept C1 - Carnival'!T39</f>
        <v>213.73333333333332</v>
      </c>
      <c r="AB44" s="313">
        <f>'P&amp;L - Concept C1 - Carnival'!U39</f>
        <v>213.73333333333332</v>
      </c>
      <c r="AC44" s="313">
        <f>'P&amp;L - Concept C1 - Carnival'!V39</f>
        <v>213.73333333333332</v>
      </c>
      <c r="AD44" s="313">
        <f>'P&amp;L - Concept C1 - Carnival'!W39</f>
        <v>213.73333333333332</v>
      </c>
      <c r="AE44" s="313">
        <f>'P&amp;L - Concept C1 - Carnival'!X39</f>
        <v>213.73333333333332</v>
      </c>
    </row>
    <row r="45" spans="1:31" s="18" customFormat="1">
      <c r="A45" s="54"/>
      <c r="B45" s="74"/>
      <c r="C45" s="74"/>
      <c r="K45" s="492"/>
      <c r="L45" s="313"/>
      <c r="M45" s="313"/>
      <c r="N45" s="313"/>
      <c r="O45" s="313"/>
      <c r="P45" s="313"/>
      <c r="Q45" s="313"/>
      <c r="R45" s="313"/>
      <c r="S45" s="313"/>
      <c r="T45" s="313"/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</row>
    <row r="46" spans="1:31" s="18" customFormat="1">
      <c r="A46" s="293" t="s">
        <v>26</v>
      </c>
      <c r="B46" s="74"/>
      <c r="C46" s="74"/>
      <c r="K46" s="492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</row>
    <row r="47" spans="1:31" s="18" customFormat="1">
      <c r="A47" s="54" t="s">
        <v>264</v>
      </c>
      <c r="B47" s="277"/>
      <c r="C47" s="74"/>
      <c r="K47" s="486">
        <f>'P&amp;L - Concept C1 - Carnival'!D42</f>
        <v>0</v>
      </c>
      <c r="L47" s="313">
        <f>'P&amp;L - Concept C1 - Carnival'!E42</f>
        <v>13290.435763888891</v>
      </c>
      <c r="M47" s="313">
        <f>'P&amp;L - Concept C1 - Carnival'!F42</f>
        <v>13290.435763888891</v>
      </c>
      <c r="N47" s="313">
        <f>'P&amp;L - Concept C1 - Carnival'!G42</f>
        <v>13290.435763888891</v>
      </c>
      <c r="O47" s="313">
        <f>'P&amp;L - Concept C1 - Carnival'!H42</f>
        <v>13290.435763888891</v>
      </c>
      <c r="P47" s="313">
        <f>'P&amp;L - Concept C1 - Carnival'!I42</f>
        <v>13290.435763888891</v>
      </c>
      <c r="Q47" s="313">
        <f>'P&amp;L - Concept C1 - Carnival'!J42</f>
        <v>13290.435763888891</v>
      </c>
      <c r="R47" s="313">
        <f>'P&amp;L - Concept C1 - Carnival'!K42</f>
        <v>13290.435763888891</v>
      </c>
      <c r="S47" s="313">
        <f>'P&amp;L - Concept C1 - Carnival'!L42</f>
        <v>13290.435763888891</v>
      </c>
      <c r="T47" s="313">
        <f>'P&amp;L - Concept C1 - Carnival'!M42</f>
        <v>13290.435763888891</v>
      </c>
      <c r="U47" s="313">
        <f>'P&amp;L - Concept C1 - Carnival'!N42</f>
        <v>13290.435763888891</v>
      </c>
      <c r="V47" s="313">
        <f>'P&amp;L - Concept C1 - Carnival'!O42</f>
        <v>13290.435763888891</v>
      </c>
      <c r="W47" s="313">
        <f>'P&amp;L - Concept C1 - Carnival'!P42</f>
        <v>13290.435763888891</v>
      </c>
      <c r="X47" s="313">
        <f>'P&amp;L - Concept C1 - Carnival'!Q42</f>
        <v>13290.435763888891</v>
      </c>
      <c r="Y47" s="313">
        <f>'P&amp;L - Concept C1 - Carnival'!R42</f>
        <v>13290.435763888891</v>
      </c>
      <c r="Z47" s="313">
        <f>'P&amp;L - Concept C1 - Carnival'!S42</f>
        <v>13290.435763888891</v>
      </c>
      <c r="AA47" s="313">
        <f>'P&amp;L - Concept C1 - Carnival'!T42</f>
        <v>13290.435763888891</v>
      </c>
      <c r="AB47" s="313">
        <f>'P&amp;L - Concept C1 - Carnival'!U42</f>
        <v>13290.435763888891</v>
      </c>
      <c r="AC47" s="313">
        <f>'P&amp;L - Concept C1 - Carnival'!V42</f>
        <v>13290.435763888891</v>
      </c>
      <c r="AD47" s="313">
        <f>'P&amp;L - Concept C1 - Carnival'!W42</f>
        <v>13290.435763888891</v>
      </c>
      <c r="AE47" s="313">
        <f>'P&amp;L - Concept C1 - Carnival'!X42</f>
        <v>13290.435763888891</v>
      </c>
    </row>
    <row r="48" spans="1:31" s="18" customFormat="1">
      <c r="A48" s="54" t="s">
        <v>267</v>
      </c>
      <c r="B48" s="277"/>
      <c r="C48" s="74"/>
      <c r="K48" s="486">
        <f>'P&amp;L - Concept C1 - Carnival'!D43</f>
        <v>0</v>
      </c>
      <c r="L48" s="313">
        <f>'P&amp;L - Concept C1 - Carnival'!E43</f>
        <v>13967.333333333327</v>
      </c>
      <c r="M48" s="313">
        <f>'P&amp;L - Concept C1 - Carnival'!F43</f>
        <v>13967.333333333327</v>
      </c>
      <c r="N48" s="313">
        <f>'P&amp;L - Concept C1 - Carnival'!G43</f>
        <v>13967.333333333327</v>
      </c>
      <c r="O48" s="313">
        <f>'P&amp;L - Concept C1 - Carnival'!H43</f>
        <v>13967.333333333327</v>
      </c>
      <c r="P48" s="313">
        <f>'P&amp;L - Concept C1 - Carnival'!I43</f>
        <v>13967.333333333327</v>
      </c>
      <c r="Q48" s="313">
        <f>'P&amp;L - Concept C1 - Carnival'!J43</f>
        <v>13967.333333333327</v>
      </c>
      <c r="R48" s="313">
        <f>'P&amp;L - Concept C1 - Carnival'!K43</f>
        <v>13967.333333333327</v>
      </c>
      <c r="S48" s="313">
        <f>'P&amp;L - Concept C1 - Carnival'!L43</f>
        <v>13967.333333333327</v>
      </c>
      <c r="T48" s="313">
        <f>'P&amp;L - Concept C1 - Carnival'!M43</f>
        <v>13967.333333333327</v>
      </c>
      <c r="U48" s="313">
        <f>'P&amp;L - Concept C1 - Carnival'!N43</f>
        <v>13967.333333333327</v>
      </c>
      <c r="V48" s="313">
        <f>'P&amp;L - Concept C1 - Carnival'!O43</f>
        <v>13967.333333333327</v>
      </c>
      <c r="W48" s="313">
        <f>'P&amp;L - Concept C1 - Carnival'!P43</f>
        <v>13967.333333333327</v>
      </c>
      <c r="X48" s="313">
        <f>'P&amp;L - Concept C1 - Carnival'!Q43</f>
        <v>13967.333333333327</v>
      </c>
      <c r="Y48" s="313">
        <f>'P&amp;L - Concept C1 - Carnival'!R43</f>
        <v>13967.333333333327</v>
      </c>
      <c r="Z48" s="313">
        <f>'P&amp;L - Concept C1 - Carnival'!S43</f>
        <v>13967.333333333327</v>
      </c>
      <c r="AA48" s="313">
        <f>'P&amp;L - Concept C1 - Carnival'!T43</f>
        <v>13967.333333333327</v>
      </c>
      <c r="AB48" s="313">
        <f>'P&amp;L - Concept C1 - Carnival'!U43</f>
        <v>13967.333333333327</v>
      </c>
      <c r="AC48" s="313">
        <f>'P&amp;L - Concept C1 - Carnival'!V43</f>
        <v>13967.333333333327</v>
      </c>
      <c r="AD48" s="313">
        <f>'P&amp;L - Concept C1 - Carnival'!W43</f>
        <v>13967.333333333327</v>
      </c>
      <c r="AE48" s="313">
        <f>'P&amp;L - Concept C1 - Carnival'!X43</f>
        <v>13967.333333333327</v>
      </c>
    </row>
    <row r="49" spans="1:32 16384:16384" s="96" customFormat="1">
      <c r="A49" s="54" t="s">
        <v>274</v>
      </c>
      <c r="B49" s="435"/>
      <c r="C49" s="583"/>
      <c r="K49" s="486">
        <f>'P&amp;L - Concept C1 - Carnival'!D44</f>
        <v>0</v>
      </c>
      <c r="L49" s="313">
        <f>'P&amp;L - Concept C1 - Carnival'!E44</f>
        <v>27257.769097222219</v>
      </c>
      <c r="M49" s="313">
        <f>'P&amp;L - Concept C1 - Carnival'!F44</f>
        <v>27257.769097222219</v>
      </c>
      <c r="N49" s="313">
        <f>'P&amp;L - Concept C1 - Carnival'!G44</f>
        <v>27257.769097222219</v>
      </c>
      <c r="O49" s="313">
        <f>'P&amp;L - Concept C1 - Carnival'!H44</f>
        <v>27257.769097222219</v>
      </c>
      <c r="P49" s="313">
        <f>'P&amp;L - Concept C1 - Carnival'!I44</f>
        <v>27257.769097222219</v>
      </c>
      <c r="Q49" s="313">
        <f>'P&amp;L - Concept C1 - Carnival'!J44</f>
        <v>27257.769097222219</v>
      </c>
      <c r="R49" s="313">
        <f>'P&amp;L - Concept C1 - Carnival'!K44</f>
        <v>27257.769097222219</v>
      </c>
      <c r="S49" s="313">
        <f>'P&amp;L - Concept C1 - Carnival'!L44</f>
        <v>27257.769097222219</v>
      </c>
      <c r="T49" s="313">
        <f>'P&amp;L - Concept C1 - Carnival'!M44</f>
        <v>27257.769097222219</v>
      </c>
      <c r="U49" s="313">
        <f>'P&amp;L - Concept C1 - Carnival'!N44</f>
        <v>27257.769097222219</v>
      </c>
      <c r="V49" s="313">
        <f>'P&amp;L - Concept C1 - Carnival'!O44</f>
        <v>27257.769097222219</v>
      </c>
      <c r="W49" s="313">
        <f>'P&amp;L - Concept C1 - Carnival'!P44</f>
        <v>27257.769097222219</v>
      </c>
      <c r="X49" s="313">
        <f>'P&amp;L - Concept C1 - Carnival'!Q44</f>
        <v>27257.769097222219</v>
      </c>
      <c r="Y49" s="313">
        <f>'P&amp;L - Concept C1 - Carnival'!R44</f>
        <v>27257.769097222219</v>
      </c>
      <c r="Z49" s="313">
        <f>'P&amp;L - Concept C1 - Carnival'!S44</f>
        <v>27257.769097222219</v>
      </c>
      <c r="AA49" s="313">
        <f>'P&amp;L - Concept C1 - Carnival'!T44</f>
        <v>27257.769097222219</v>
      </c>
      <c r="AB49" s="313">
        <f>'P&amp;L - Concept C1 - Carnival'!U44</f>
        <v>27257.769097222219</v>
      </c>
      <c r="AC49" s="313">
        <f>'P&amp;L - Concept C1 - Carnival'!V44</f>
        <v>27257.769097222219</v>
      </c>
      <c r="AD49" s="313">
        <f>'P&amp;L - Concept C1 - Carnival'!W44</f>
        <v>27257.769097222219</v>
      </c>
      <c r="AE49" s="313">
        <f>'P&amp;L - Concept C1 - Carnival'!X44</f>
        <v>27257.769097222219</v>
      </c>
    </row>
    <row r="50" spans="1:32 16384:16384" s="18" customFormat="1">
      <c r="A50" s="54"/>
      <c r="B50" s="277"/>
      <c r="C50" s="74"/>
      <c r="K50" s="499"/>
      <c r="L50" s="313"/>
      <c r="M50" s="313"/>
      <c r="N50" s="313"/>
      <c r="O50" s="313"/>
      <c r="P50" s="313"/>
      <c r="Q50" s="313"/>
      <c r="R50" s="313"/>
      <c r="S50" s="313"/>
      <c r="T50" s="313"/>
      <c r="U50" s="313"/>
      <c r="V50" s="313"/>
      <c r="W50" s="313"/>
      <c r="X50" s="313"/>
      <c r="Y50" s="313"/>
      <c r="Z50" s="313"/>
      <c r="AA50" s="313"/>
      <c r="AB50" s="313"/>
      <c r="AC50" s="313"/>
      <c r="AD50" s="313"/>
      <c r="AE50" s="313"/>
    </row>
    <row r="51" spans="1:32 16384:16384" s="96" customFormat="1">
      <c r="A51" s="54" t="s">
        <v>224</v>
      </c>
      <c r="B51" s="435"/>
      <c r="C51" s="583"/>
      <c r="K51" s="486">
        <f>'P&amp;L - Concept C1 - Carnival'!D46</f>
        <v>0</v>
      </c>
      <c r="L51" s="496">
        <f>'P&amp;L - Concept C1 - Carnival'!E46</f>
        <v>3</v>
      </c>
      <c r="M51" s="496">
        <f>'P&amp;L - Concept C1 - Carnival'!F46</f>
        <v>3</v>
      </c>
      <c r="N51" s="496">
        <f>'P&amp;L - Concept C1 - Carnival'!G46</f>
        <v>3</v>
      </c>
      <c r="O51" s="496">
        <f>'P&amp;L - Concept C1 - Carnival'!H46</f>
        <v>3</v>
      </c>
      <c r="P51" s="496">
        <f>'P&amp;L - Concept C1 - Carnival'!I46</f>
        <v>3</v>
      </c>
      <c r="Q51" s="496">
        <f>'P&amp;L - Concept C1 - Carnival'!J46</f>
        <v>3</v>
      </c>
      <c r="R51" s="496">
        <f>'P&amp;L - Concept C1 - Carnival'!K46</f>
        <v>3</v>
      </c>
      <c r="S51" s="496">
        <f>'P&amp;L - Concept C1 - Carnival'!L46</f>
        <v>3</v>
      </c>
      <c r="T51" s="496">
        <f>'P&amp;L - Concept C1 - Carnival'!M46</f>
        <v>3</v>
      </c>
      <c r="U51" s="496">
        <f>'P&amp;L - Concept C1 - Carnival'!N46</f>
        <v>3</v>
      </c>
      <c r="V51" s="496">
        <f>'P&amp;L - Concept C1 - Carnival'!O46</f>
        <v>3</v>
      </c>
      <c r="W51" s="496">
        <f>'P&amp;L - Concept C1 - Carnival'!P46</f>
        <v>3</v>
      </c>
      <c r="X51" s="496">
        <f>'P&amp;L - Concept C1 - Carnival'!Q46</f>
        <v>3</v>
      </c>
      <c r="Y51" s="496">
        <f>'P&amp;L - Concept C1 - Carnival'!R46</f>
        <v>3</v>
      </c>
      <c r="Z51" s="496">
        <f>'P&amp;L - Concept C1 - Carnival'!S46</f>
        <v>3</v>
      </c>
      <c r="AA51" s="496">
        <f>'P&amp;L - Concept C1 - Carnival'!T46</f>
        <v>3</v>
      </c>
      <c r="AB51" s="496">
        <f>'P&amp;L - Concept C1 - Carnival'!U46</f>
        <v>3</v>
      </c>
      <c r="AC51" s="496">
        <f>'P&amp;L - Concept C1 - Carnival'!V46</f>
        <v>3</v>
      </c>
      <c r="AD51" s="496">
        <f>'P&amp;L - Concept C1 - Carnival'!W46</f>
        <v>3</v>
      </c>
      <c r="AE51" s="496">
        <f>'P&amp;L - Concept C1 - Carnival'!X46</f>
        <v>3</v>
      </c>
    </row>
    <row r="52" spans="1:32 16384:16384" s="96" customFormat="1">
      <c r="A52" s="54" t="s">
        <v>225</v>
      </c>
      <c r="B52" s="435"/>
      <c r="C52" s="583"/>
      <c r="K52" s="486">
        <f>'P&amp;L - Concept C1 - Carnival'!D47</f>
        <v>0</v>
      </c>
      <c r="L52" s="496">
        <f>'P&amp;L - Concept C1 - Carnival'!E47</f>
        <v>1</v>
      </c>
      <c r="M52" s="496">
        <f>'P&amp;L - Concept C1 - Carnival'!F47</f>
        <v>1</v>
      </c>
      <c r="N52" s="496">
        <f>'P&amp;L - Concept C1 - Carnival'!G47</f>
        <v>1</v>
      </c>
      <c r="O52" s="496">
        <f>'P&amp;L - Concept C1 - Carnival'!H47</f>
        <v>1</v>
      </c>
      <c r="P52" s="496">
        <f>'P&amp;L - Concept C1 - Carnival'!I47</f>
        <v>1</v>
      </c>
      <c r="Q52" s="496">
        <f>'P&amp;L - Concept C1 - Carnival'!J47</f>
        <v>1</v>
      </c>
      <c r="R52" s="496">
        <f>'P&amp;L - Concept C1 - Carnival'!K47</f>
        <v>1</v>
      </c>
      <c r="S52" s="496">
        <f>'P&amp;L - Concept C1 - Carnival'!L47</f>
        <v>1</v>
      </c>
      <c r="T52" s="496">
        <f>'P&amp;L - Concept C1 - Carnival'!M47</f>
        <v>1</v>
      </c>
      <c r="U52" s="496">
        <f>'P&amp;L - Concept C1 - Carnival'!N47</f>
        <v>1</v>
      </c>
      <c r="V52" s="496">
        <f>'P&amp;L - Concept C1 - Carnival'!O47</f>
        <v>1</v>
      </c>
      <c r="W52" s="496">
        <f>'P&amp;L - Concept C1 - Carnival'!P47</f>
        <v>1</v>
      </c>
      <c r="X52" s="496">
        <f>'P&amp;L - Concept C1 - Carnival'!Q47</f>
        <v>1</v>
      </c>
      <c r="Y52" s="496">
        <f>'P&amp;L - Concept C1 - Carnival'!R47</f>
        <v>1</v>
      </c>
      <c r="Z52" s="496">
        <f>'P&amp;L - Concept C1 - Carnival'!S47</f>
        <v>1</v>
      </c>
      <c r="AA52" s="496">
        <f>'P&amp;L - Concept C1 - Carnival'!T47</f>
        <v>1</v>
      </c>
      <c r="AB52" s="496">
        <f>'P&amp;L - Concept C1 - Carnival'!U47</f>
        <v>1</v>
      </c>
      <c r="AC52" s="496">
        <f>'P&amp;L - Concept C1 - Carnival'!V47</f>
        <v>1</v>
      </c>
      <c r="AD52" s="496">
        <f>'P&amp;L - Concept C1 - Carnival'!W47</f>
        <v>1</v>
      </c>
      <c r="AE52" s="496">
        <f>'P&amp;L - Concept C1 - Carnival'!X47</f>
        <v>1</v>
      </c>
    </row>
    <row r="53" spans="1:32 16384:16384" s="18" customFormat="1">
      <c r="A53" s="54" t="s">
        <v>209</v>
      </c>
      <c r="B53" s="277"/>
      <c r="C53" s="74"/>
      <c r="K53" s="486">
        <f>'P&amp;L - Concept C1 - Carnival'!D48</f>
        <v>0</v>
      </c>
      <c r="L53" s="496">
        <f>'P&amp;L - Concept C1 - Carnival'!E48</f>
        <v>0.5</v>
      </c>
      <c r="M53" s="496">
        <f>'P&amp;L - Concept C1 - Carnival'!F48</f>
        <v>0.5</v>
      </c>
      <c r="N53" s="496">
        <f>'P&amp;L - Concept C1 - Carnival'!G48</f>
        <v>0.5</v>
      </c>
      <c r="O53" s="496">
        <f>'P&amp;L - Concept C1 - Carnival'!H48</f>
        <v>0.5</v>
      </c>
      <c r="P53" s="496">
        <f>'P&amp;L - Concept C1 - Carnival'!I48</f>
        <v>0.5</v>
      </c>
      <c r="Q53" s="496">
        <f>'P&amp;L - Concept C1 - Carnival'!J48</f>
        <v>0.5</v>
      </c>
      <c r="R53" s="496">
        <f>'P&amp;L - Concept C1 - Carnival'!K48</f>
        <v>0.5</v>
      </c>
      <c r="S53" s="496">
        <f>'P&amp;L - Concept C1 - Carnival'!L48</f>
        <v>0.5</v>
      </c>
      <c r="T53" s="496">
        <f>'P&amp;L - Concept C1 - Carnival'!M48</f>
        <v>0.5</v>
      </c>
      <c r="U53" s="496">
        <f>'P&amp;L - Concept C1 - Carnival'!N48</f>
        <v>0.5</v>
      </c>
      <c r="V53" s="496">
        <f>'P&amp;L - Concept C1 - Carnival'!O48</f>
        <v>0.5</v>
      </c>
      <c r="W53" s="496">
        <f>'P&amp;L - Concept C1 - Carnival'!P48</f>
        <v>0.5</v>
      </c>
      <c r="X53" s="496">
        <f>'P&amp;L - Concept C1 - Carnival'!Q48</f>
        <v>0.5</v>
      </c>
      <c r="Y53" s="496">
        <f>'P&amp;L - Concept C1 - Carnival'!R48</f>
        <v>0.5</v>
      </c>
      <c r="Z53" s="496">
        <f>'P&amp;L - Concept C1 - Carnival'!S48</f>
        <v>0.5</v>
      </c>
      <c r="AA53" s="496">
        <f>'P&amp;L - Concept C1 - Carnival'!T48</f>
        <v>0.5</v>
      </c>
      <c r="AB53" s="496">
        <f>'P&amp;L - Concept C1 - Carnival'!U48</f>
        <v>0.5</v>
      </c>
      <c r="AC53" s="496">
        <f>'P&amp;L - Concept C1 - Carnival'!V48</f>
        <v>0.5</v>
      </c>
      <c r="AD53" s="496">
        <f>'P&amp;L - Concept C1 - Carnival'!W48</f>
        <v>0.5</v>
      </c>
      <c r="AE53" s="496">
        <f>'P&amp;L - Concept C1 - Carnival'!X48</f>
        <v>0.5</v>
      </c>
    </row>
    <row r="54" spans="1:32 16384:16384" s="18" customFormat="1">
      <c r="A54" s="54" t="s">
        <v>289</v>
      </c>
      <c r="B54" s="277"/>
      <c r="C54" s="74"/>
      <c r="K54" s="486">
        <f>'P&amp;L - Concept C1 - Carnival'!D49</f>
        <v>0</v>
      </c>
      <c r="L54" s="496">
        <f>'P&amp;L - Concept C1 - Carnival'!E49</f>
        <v>1.5</v>
      </c>
      <c r="M54" s="496">
        <f>'P&amp;L - Concept C1 - Carnival'!F49</f>
        <v>1.5</v>
      </c>
      <c r="N54" s="496">
        <f>'P&amp;L - Concept C1 - Carnival'!G49</f>
        <v>1.5</v>
      </c>
      <c r="O54" s="496">
        <f>'P&amp;L - Concept C1 - Carnival'!H49</f>
        <v>1.5</v>
      </c>
      <c r="P54" s="496">
        <f>'P&amp;L - Concept C1 - Carnival'!I49</f>
        <v>1.5</v>
      </c>
      <c r="Q54" s="496">
        <f>'P&amp;L - Concept C1 - Carnival'!J49</f>
        <v>1.5</v>
      </c>
      <c r="R54" s="496">
        <f>'P&amp;L - Concept C1 - Carnival'!K49</f>
        <v>1.5</v>
      </c>
      <c r="S54" s="496">
        <f>'P&amp;L - Concept C1 - Carnival'!L49</f>
        <v>1.5</v>
      </c>
      <c r="T54" s="496">
        <f>'P&amp;L - Concept C1 - Carnival'!M49</f>
        <v>1.5</v>
      </c>
      <c r="U54" s="496">
        <f>'P&amp;L - Concept C1 - Carnival'!N49</f>
        <v>1.5</v>
      </c>
      <c r="V54" s="496">
        <f>'P&amp;L - Concept C1 - Carnival'!O49</f>
        <v>1.5</v>
      </c>
      <c r="W54" s="496">
        <f>'P&amp;L - Concept C1 - Carnival'!P49</f>
        <v>1.5</v>
      </c>
      <c r="X54" s="496">
        <f>'P&amp;L - Concept C1 - Carnival'!Q49</f>
        <v>1.5</v>
      </c>
      <c r="Y54" s="496">
        <f>'P&amp;L - Concept C1 - Carnival'!R49</f>
        <v>1.5</v>
      </c>
      <c r="Z54" s="496">
        <f>'P&amp;L - Concept C1 - Carnival'!S49</f>
        <v>1.5</v>
      </c>
      <c r="AA54" s="496">
        <f>'P&amp;L - Concept C1 - Carnival'!T49</f>
        <v>1.5</v>
      </c>
      <c r="AB54" s="496">
        <f>'P&amp;L - Concept C1 - Carnival'!U49</f>
        <v>1.5</v>
      </c>
      <c r="AC54" s="496">
        <f>'P&amp;L - Concept C1 - Carnival'!V49</f>
        <v>1.5</v>
      </c>
      <c r="AD54" s="496">
        <f>'P&amp;L - Concept C1 - Carnival'!W49</f>
        <v>1.5</v>
      </c>
      <c r="AE54" s="496">
        <f>'P&amp;L - Concept C1 - Carnival'!X49</f>
        <v>1.5</v>
      </c>
      <c r="XFD54" s="570">
        <f>SUM(K54:XFC54)</f>
        <v>30</v>
      </c>
    </row>
    <row r="55" spans="1:32 16384:16384" s="18" customFormat="1">
      <c r="A55" s="54"/>
      <c r="B55" s="277"/>
      <c r="C55" s="74"/>
      <c r="K55" s="486"/>
      <c r="L55" s="313"/>
      <c r="M55" s="313"/>
      <c r="N55" s="313"/>
      <c r="O55" s="313"/>
      <c r="P55" s="313"/>
      <c r="Q55" s="313"/>
      <c r="R55" s="313"/>
      <c r="S55" s="313"/>
      <c r="T55" s="313"/>
      <c r="U55" s="313"/>
      <c r="V55" s="313"/>
      <c r="W55" s="313"/>
      <c r="X55" s="313"/>
      <c r="Y55" s="313"/>
      <c r="Z55" s="313"/>
      <c r="AA55" s="313"/>
      <c r="AB55" s="313"/>
      <c r="AC55" s="313"/>
      <c r="AD55" s="313"/>
      <c r="AE55" s="313"/>
      <c r="XFD55" s="570"/>
    </row>
    <row r="56" spans="1:32 16384:16384" s="18" customFormat="1">
      <c r="A56" s="54" t="s">
        <v>312</v>
      </c>
      <c r="B56" s="277"/>
      <c r="C56" s="74"/>
      <c r="K56" s="486">
        <f>'P&amp;L - Concept C1 - Carnival'!D51</f>
        <v>0</v>
      </c>
      <c r="L56" s="313">
        <f>'P&amp;L - Concept C1 - Carnival'!E51/2</f>
        <v>3595</v>
      </c>
      <c r="M56" s="313">
        <f>'P&amp;L - Concept C1 - Carnival'!F51</f>
        <v>7190</v>
      </c>
      <c r="N56" s="313">
        <f>'P&amp;L - Concept C1 - Carnival'!G51</f>
        <v>7190</v>
      </c>
      <c r="O56" s="313">
        <f>'P&amp;L - Concept C1 - Carnival'!H51</f>
        <v>7190</v>
      </c>
      <c r="P56" s="313">
        <f>'P&amp;L - Concept C1 - Carnival'!I51</f>
        <v>7190</v>
      </c>
      <c r="Q56" s="313">
        <f>'P&amp;L - Concept C1 - Carnival'!J51</f>
        <v>7190</v>
      </c>
      <c r="R56" s="313">
        <f>'P&amp;L - Concept C1 - Carnival'!K51</f>
        <v>7190</v>
      </c>
      <c r="S56" s="313">
        <f>'P&amp;L - Concept C1 - Carnival'!L51</f>
        <v>7190</v>
      </c>
      <c r="T56" s="313">
        <f>'P&amp;L - Concept C1 - Carnival'!M51</f>
        <v>7190</v>
      </c>
      <c r="U56" s="313">
        <f>'P&amp;L - Concept C1 - Carnival'!N51</f>
        <v>7190</v>
      </c>
      <c r="V56" s="313">
        <f>'P&amp;L - Concept C1 - Carnival'!O51</f>
        <v>7190</v>
      </c>
      <c r="W56" s="313">
        <f>'P&amp;L - Concept C1 - Carnival'!P51</f>
        <v>7190</v>
      </c>
      <c r="X56" s="313">
        <f>'P&amp;L - Concept C1 - Carnival'!Q51</f>
        <v>7190</v>
      </c>
      <c r="Y56" s="313">
        <f>'P&amp;L - Concept C1 - Carnival'!R51</f>
        <v>7190</v>
      </c>
      <c r="Z56" s="313">
        <f>'P&amp;L - Concept C1 - Carnival'!S51</f>
        <v>7190</v>
      </c>
      <c r="AA56" s="313">
        <f>'P&amp;L - Concept C1 - Carnival'!T51</f>
        <v>7190</v>
      </c>
      <c r="AB56" s="313">
        <f>'P&amp;L - Concept C1 - Carnival'!U51</f>
        <v>7190</v>
      </c>
      <c r="AC56" s="313">
        <f>'P&amp;L - Concept C1 - Carnival'!V51</f>
        <v>7190</v>
      </c>
      <c r="AD56" s="313">
        <f>'P&amp;L - Concept C1 - Carnival'!W51</f>
        <v>7190</v>
      </c>
      <c r="AE56" s="313">
        <f>'P&amp;L - Concept C1 - Carnival'!X51</f>
        <v>7190</v>
      </c>
      <c r="XFD56" s="570"/>
    </row>
    <row r="57" spans="1:32 16384:16384" s="18" customFormat="1">
      <c r="A57" s="54"/>
      <c r="B57" s="277"/>
      <c r="C57" s="74"/>
      <c r="K57" s="486"/>
      <c r="L57" s="313"/>
      <c r="M57" s="313"/>
      <c r="N57" s="313"/>
      <c r="O57" s="313"/>
      <c r="P57" s="313"/>
      <c r="Q57" s="313"/>
      <c r="R57" s="313"/>
      <c r="S57" s="313"/>
      <c r="T57" s="313"/>
      <c r="U57" s="313"/>
      <c r="V57" s="313"/>
      <c r="W57" s="313"/>
      <c r="X57" s="313"/>
      <c r="Y57" s="313"/>
      <c r="Z57" s="313"/>
      <c r="AA57" s="313"/>
      <c r="AB57" s="313"/>
      <c r="AC57" s="313"/>
      <c r="AD57" s="313"/>
      <c r="AE57" s="313"/>
    </row>
    <row r="58" spans="1:32 16384:16384" s="612" customFormat="1">
      <c r="A58" s="613" t="s">
        <v>292</v>
      </c>
      <c r="B58" s="614"/>
      <c r="C58" s="615"/>
      <c r="D58" s="717"/>
      <c r="E58" s="717"/>
      <c r="F58" s="717"/>
      <c r="G58" s="717"/>
      <c r="H58" s="717"/>
      <c r="I58" s="717"/>
      <c r="J58" s="717"/>
      <c r="K58" s="616">
        <f>'P&amp;L - Concept C1 - Carnival'!D53</f>
        <v>0</v>
      </c>
      <c r="L58" s="616">
        <f>'P&amp;L - Concept C1 - Carnival'!E53</f>
        <v>0</v>
      </c>
      <c r="M58" s="616">
        <f>'P&amp;L - Concept C1 - Carnival'!F53</f>
        <v>0</v>
      </c>
      <c r="N58" s="616">
        <f>'P&amp;L - Concept C1 - Carnival'!G53</f>
        <v>100000</v>
      </c>
      <c r="O58" s="616">
        <f>'P&amp;L - Concept C1 - Carnival'!H53</f>
        <v>100000</v>
      </c>
      <c r="P58" s="616">
        <f>'P&amp;L - Concept C1 - Carnival'!I53</f>
        <v>100000</v>
      </c>
      <c r="Q58" s="616">
        <f>'P&amp;L - Concept C1 - Carnival'!J53</f>
        <v>100000</v>
      </c>
      <c r="R58" s="616">
        <f>'P&amp;L - Concept C1 - Carnival'!K53</f>
        <v>100000</v>
      </c>
      <c r="S58" s="616">
        <f>'P&amp;L - Concept C1 - Carnival'!L53</f>
        <v>100000</v>
      </c>
      <c r="T58" s="616">
        <f>'P&amp;L - Concept C1 - Carnival'!M53</f>
        <v>100000</v>
      </c>
      <c r="U58" s="616">
        <f>'P&amp;L - Concept C1 - Carnival'!N53</f>
        <v>100000</v>
      </c>
      <c r="V58" s="616">
        <f>'P&amp;L - Concept C1 - Carnival'!O53</f>
        <v>100000</v>
      </c>
      <c r="W58" s="616">
        <f>'P&amp;L - Concept C1 - Carnival'!P53</f>
        <v>100000</v>
      </c>
      <c r="X58" s="616">
        <f>'P&amp;L - Concept C1 - Carnival'!Q53</f>
        <v>100000</v>
      </c>
      <c r="Y58" s="616">
        <f>'P&amp;L - Concept C1 - Carnival'!R53</f>
        <v>100000</v>
      </c>
      <c r="Z58" s="616">
        <f>'P&amp;L - Concept C1 - Carnival'!S53</f>
        <v>100000</v>
      </c>
      <c r="AA58" s="616">
        <f>'P&amp;L - Concept C1 - Carnival'!T53</f>
        <v>100000</v>
      </c>
      <c r="AB58" s="616">
        <f>'P&amp;L - Concept C1 - Carnival'!U53</f>
        <v>100000</v>
      </c>
      <c r="AC58" s="616">
        <f>'P&amp;L - Concept C1 - Carnival'!V53</f>
        <v>100000</v>
      </c>
      <c r="AD58" s="616">
        <f>'P&amp;L - Concept C1 - Carnival'!W53</f>
        <v>100000</v>
      </c>
      <c r="AE58" s="787">
        <f>'P&amp;L - Concept C1 - Carnival'!X53</f>
        <v>100000</v>
      </c>
    </row>
    <row r="59" spans="1:32 16384:16384" s="18" customFormat="1">
      <c r="A59" s="54"/>
      <c r="B59" s="277"/>
      <c r="C59" s="74"/>
      <c r="K59" s="486"/>
      <c r="L59" s="313"/>
      <c r="M59" s="313"/>
      <c r="N59" s="313"/>
      <c r="O59" s="313"/>
      <c r="P59" s="313"/>
      <c r="Q59" s="313"/>
      <c r="R59" s="313"/>
      <c r="S59" s="313"/>
      <c r="T59" s="313"/>
      <c r="U59" s="313"/>
      <c r="V59" s="313"/>
      <c r="W59" s="313"/>
      <c r="X59" s="313"/>
      <c r="Y59" s="313"/>
      <c r="Z59" s="313"/>
      <c r="AA59" s="313"/>
      <c r="AB59" s="313"/>
      <c r="AC59" s="313"/>
      <c r="AD59" s="313"/>
      <c r="AE59" s="313"/>
    </row>
    <row r="60" spans="1:32 16384:16384" s="582" customFormat="1">
      <c r="A60" s="293" t="str">
        <f>'BH Tariffs'!A33</f>
        <v>Recreational/Commercial Marina</v>
      </c>
      <c r="B60" s="584"/>
      <c r="C60" s="585"/>
      <c r="K60" s="486"/>
      <c r="L60" s="313"/>
      <c r="M60" s="313"/>
      <c r="N60" s="313"/>
      <c r="O60" s="313"/>
      <c r="P60" s="313"/>
      <c r="Q60" s="313"/>
      <c r="R60" s="313"/>
      <c r="S60" s="313"/>
      <c r="T60" s="313"/>
      <c r="U60" s="313"/>
      <c r="V60" s="313"/>
      <c r="W60" s="313"/>
      <c r="X60" s="313"/>
      <c r="Y60" s="313"/>
      <c r="Z60" s="313"/>
      <c r="AA60" s="313"/>
      <c r="AB60" s="313"/>
      <c r="AC60" s="313"/>
      <c r="AD60" s="313"/>
      <c r="AE60" s="313"/>
    </row>
    <row r="61" spans="1:32 16384:16384" s="96" customFormat="1">
      <c r="A61" s="54" t="s">
        <v>291</v>
      </c>
      <c r="B61" s="435"/>
      <c r="C61" s="583"/>
      <c r="K61" s="486">
        <f>'P&amp;L - Concept C1 - Carnival'!D56</f>
        <v>0</v>
      </c>
      <c r="L61" s="313">
        <f>'P&amp;L - Concept C1 - Carnival'!E56</f>
        <v>0</v>
      </c>
      <c r="M61" s="313">
        <f>'P&amp;L - Concept C1 - Carnival'!F56</f>
        <v>12</v>
      </c>
      <c r="N61" s="313">
        <f>'P&amp;L - Concept C1 - Carnival'!G56</f>
        <v>12</v>
      </c>
      <c r="O61" s="313">
        <f>'P&amp;L - Concept C1 - Carnival'!H56</f>
        <v>12</v>
      </c>
      <c r="P61" s="313">
        <f>'P&amp;L - Concept C1 - Carnival'!I56</f>
        <v>12</v>
      </c>
      <c r="Q61" s="313">
        <f>'P&amp;L - Concept C1 - Carnival'!J56</f>
        <v>12</v>
      </c>
      <c r="R61" s="313">
        <f>'P&amp;L - Concept C1 - Carnival'!K56</f>
        <v>12</v>
      </c>
      <c r="S61" s="313">
        <f>'P&amp;L - Concept C1 - Carnival'!L56</f>
        <v>12</v>
      </c>
      <c r="T61" s="313">
        <f>'P&amp;L - Concept C1 - Carnival'!M56</f>
        <v>12</v>
      </c>
      <c r="U61" s="313">
        <f>'P&amp;L - Concept C1 - Carnival'!N56</f>
        <v>12</v>
      </c>
      <c r="V61" s="313">
        <f>'P&amp;L - Concept C1 - Carnival'!O56</f>
        <v>12</v>
      </c>
      <c r="W61" s="313">
        <f>'P&amp;L - Concept C1 - Carnival'!P56</f>
        <v>12</v>
      </c>
      <c r="X61" s="313">
        <f>'P&amp;L - Concept C1 - Carnival'!Q56</f>
        <v>12</v>
      </c>
      <c r="Y61" s="313">
        <f>'P&amp;L - Concept C1 - Carnival'!R56</f>
        <v>12</v>
      </c>
      <c r="Z61" s="313">
        <f>'P&amp;L - Concept C1 - Carnival'!S56</f>
        <v>12</v>
      </c>
      <c r="AA61" s="313">
        <f>'P&amp;L - Concept C1 - Carnival'!T56</f>
        <v>12</v>
      </c>
      <c r="AB61" s="313">
        <f>'P&amp;L - Concept C1 - Carnival'!U56</f>
        <v>12</v>
      </c>
      <c r="AC61" s="313">
        <f>'P&amp;L - Concept C1 - Carnival'!V56</f>
        <v>12</v>
      </c>
      <c r="AD61" s="313">
        <f>'P&amp;L - Concept C1 - Carnival'!W56</f>
        <v>12</v>
      </c>
      <c r="AE61" s="313">
        <f>'P&amp;L - Concept C1 - Carnival'!X56</f>
        <v>12</v>
      </c>
    </row>
    <row r="62" spans="1:32 16384:16384" s="96" customFormat="1">
      <c r="A62" s="54" t="s">
        <v>293</v>
      </c>
      <c r="B62" s="435"/>
      <c r="C62" s="583"/>
      <c r="K62" s="486">
        <f>'P&amp;L - Concept C1 - Carnival'!D57</f>
        <v>0</v>
      </c>
      <c r="L62" s="313">
        <f>'P&amp;L - Concept C1 - Carnival'!E57</f>
        <v>0</v>
      </c>
      <c r="M62" s="313">
        <f>'P&amp;L - Concept C1 - Carnival'!F57</f>
        <v>9557.1731249999993</v>
      </c>
      <c r="N62" s="313">
        <f>'P&amp;L - Concept C1 - Carnival'!G57</f>
        <v>9557.1731249999993</v>
      </c>
      <c r="O62" s="313">
        <f>'P&amp;L - Concept C1 - Carnival'!H57</f>
        <v>9557.1731249999993</v>
      </c>
      <c r="P62" s="313">
        <f>'P&amp;L - Concept C1 - Carnival'!I57</f>
        <v>9557.1731249999993</v>
      </c>
      <c r="Q62" s="313">
        <f>'P&amp;L - Concept C1 - Carnival'!J57</f>
        <v>9557.1731249999993</v>
      </c>
      <c r="R62" s="313">
        <f>'P&amp;L - Concept C1 - Carnival'!K57</f>
        <v>9557.1731249999993</v>
      </c>
      <c r="S62" s="313">
        <f>'P&amp;L - Concept C1 - Carnival'!L57</f>
        <v>9557.1731249999993</v>
      </c>
      <c r="T62" s="313">
        <f>'P&amp;L - Concept C1 - Carnival'!M57</f>
        <v>9557.1731249999993</v>
      </c>
      <c r="U62" s="313">
        <f>'P&amp;L - Concept C1 - Carnival'!N57</f>
        <v>9557.1731249999993</v>
      </c>
      <c r="V62" s="313">
        <f>'P&amp;L - Concept C1 - Carnival'!O57</f>
        <v>9557.1731249999993</v>
      </c>
      <c r="W62" s="313">
        <f>'P&amp;L - Concept C1 - Carnival'!P57</f>
        <v>9557.1731249999993</v>
      </c>
      <c r="X62" s="313">
        <f>'P&amp;L - Concept C1 - Carnival'!Q57</f>
        <v>9557.1731249999993</v>
      </c>
      <c r="Y62" s="313">
        <f>'P&amp;L - Concept C1 - Carnival'!R57</f>
        <v>9557.1731249999993</v>
      </c>
      <c r="Z62" s="313">
        <f>'P&amp;L - Concept C1 - Carnival'!S57</f>
        <v>9557.1731249999993</v>
      </c>
      <c r="AA62" s="313">
        <f>'P&amp;L - Concept C1 - Carnival'!T57</f>
        <v>9557.1731249999993</v>
      </c>
      <c r="AB62" s="313">
        <f>'P&amp;L - Concept C1 - Carnival'!U57</f>
        <v>9557.1731249999993</v>
      </c>
      <c r="AC62" s="313">
        <f>'P&amp;L - Concept C1 - Carnival'!V57</f>
        <v>9557.1731249999993</v>
      </c>
      <c r="AD62" s="313">
        <f>'P&amp;L - Concept C1 - Carnival'!W57</f>
        <v>9557.1731249999993</v>
      </c>
      <c r="AE62" s="313">
        <f>'P&amp;L - Concept C1 - Carnival'!X57</f>
        <v>9557.1731249999993</v>
      </c>
    </row>
    <row r="63" spans="1:32 16384:16384" s="96" customFormat="1">
      <c r="A63" s="54" t="s">
        <v>294</v>
      </c>
      <c r="B63" s="435"/>
      <c r="C63" s="583"/>
      <c r="K63" s="486">
        <f>'P&amp;L - Concept C1 - Carnival'!D58</f>
        <v>0</v>
      </c>
      <c r="L63" s="313">
        <f>'P&amp;L - Concept C1 - Carnival'!E58</f>
        <v>0</v>
      </c>
      <c r="M63" s="313">
        <f>'P&amp;L - Concept C1 - Carnival'!F58</f>
        <v>359.1</v>
      </c>
      <c r="N63" s="313">
        <f>'P&amp;L - Concept C1 - Carnival'!G58</f>
        <v>359.1</v>
      </c>
      <c r="O63" s="313">
        <f>'P&amp;L - Concept C1 - Carnival'!H58</f>
        <v>359.1</v>
      </c>
      <c r="P63" s="313">
        <f>'P&amp;L - Concept C1 - Carnival'!I58</f>
        <v>359.1</v>
      </c>
      <c r="Q63" s="313">
        <f>'P&amp;L - Concept C1 - Carnival'!J58</f>
        <v>359.1</v>
      </c>
      <c r="R63" s="313">
        <f>'P&amp;L - Concept C1 - Carnival'!K58</f>
        <v>359.1</v>
      </c>
      <c r="S63" s="313">
        <f>'P&amp;L - Concept C1 - Carnival'!L58</f>
        <v>359.1</v>
      </c>
      <c r="T63" s="313">
        <f>'P&amp;L - Concept C1 - Carnival'!M58</f>
        <v>359.1</v>
      </c>
      <c r="U63" s="313">
        <f>'P&amp;L - Concept C1 - Carnival'!N58</f>
        <v>359.1</v>
      </c>
      <c r="V63" s="313">
        <f>'P&amp;L - Concept C1 - Carnival'!O58</f>
        <v>359.1</v>
      </c>
      <c r="W63" s="313">
        <f>'P&amp;L - Concept C1 - Carnival'!P58</f>
        <v>359.1</v>
      </c>
      <c r="X63" s="313">
        <f>'P&amp;L - Concept C1 - Carnival'!Q58</f>
        <v>359.1</v>
      </c>
      <c r="Y63" s="313">
        <f>'P&amp;L - Concept C1 - Carnival'!R58</f>
        <v>359.1</v>
      </c>
      <c r="Z63" s="313">
        <f>'P&amp;L - Concept C1 - Carnival'!S58</f>
        <v>359.1</v>
      </c>
      <c r="AA63" s="313">
        <f>'P&amp;L - Concept C1 - Carnival'!T58</f>
        <v>359.1</v>
      </c>
      <c r="AB63" s="313">
        <f>'P&amp;L - Concept C1 - Carnival'!U58</f>
        <v>359.1</v>
      </c>
      <c r="AC63" s="313">
        <f>'P&amp;L - Concept C1 - Carnival'!V58</f>
        <v>359.1</v>
      </c>
      <c r="AD63" s="313">
        <f>'P&amp;L - Concept C1 - Carnival'!W58</f>
        <v>359.1</v>
      </c>
      <c r="AE63" s="313">
        <f>'P&amp;L - Concept C1 - Carnival'!X58</f>
        <v>359.1</v>
      </c>
    </row>
    <row r="64" spans="1:32 16384:16384" s="167" customFormat="1">
      <c r="A64" s="497" t="s">
        <v>170</v>
      </c>
      <c r="B64" s="450"/>
      <c r="C64" s="498"/>
      <c r="K64" s="499">
        <f>'P&amp;L - Concept C1 - Carnival'!D59</f>
        <v>0</v>
      </c>
      <c r="L64" s="500">
        <f>'P&amp;L - Concept C1 - Carnival'!E59</f>
        <v>0</v>
      </c>
      <c r="M64" s="500">
        <f>'P&amp;L - Concept C1 - Carnival'!F59</f>
        <v>0</v>
      </c>
      <c r="N64" s="500">
        <f>'P&amp;L - Concept C1 - Carnival'!G59</f>
        <v>0</v>
      </c>
      <c r="O64" s="500">
        <f>'P&amp;L - Concept C1 - Carnival'!H59</f>
        <v>0</v>
      </c>
      <c r="P64" s="500">
        <f>'P&amp;L - Concept C1 - Carnival'!I59</f>
        <v>0</v>
      </c>
      <c r="Q64" s="500">
        <f>'P&amp;L - Concept C1 - Carnival'!J59</f>
        <v>0</v>
      </c>
      <c r="R64" s="500">
        <f>'P&amp;L - Concept C1 - Carnival'!K59</f>
        <v>0</v>
      </c>
      <c r="S64" s="500">
        <f>'P&amp;L - Concept C1 - Carnival'!L59</f>
        <v>0</v>
      </c>
      <c r="T64" s="500">
        <f>'P&amp;L - Concept C1 - Carnival'!M59</f>
        <v>0</v>
      </c>
      <c r="U64" s="500">
        <f>'P&amp;L - Concept C1 - Carnival'!N59</f>
        <v>0</v>
      </c>
      <c r="V64" s="500">
        <f>'P&amp;L - Concept C1 - Carnival'!O59</f>
        <v>0</v>
      </c>
      <c r="W64" s="500">
        <f>'P&amp;L - Concept C1 - Carnival'!P59</f>
        <v>0</v>
      </c>
      <c r="X64" s="500">
        <f>'P&amp;L - Concept C1 - Carnival'!Q59</f>
        <v>0</v>
      </c>
      <c r="Y64" s="500">
        <f>'P&amp;L - Concept C1 - Carnival'!R59</f>
        <v>0</v>
      </c>
      <c r="Z64" s="500">
        <f>'P&amp;L - Concept C1 - Carnival'!S59</f>
        <v>0</v>
      </c>
      <c r="AA64" s="500">
        <f>'P&amp;L - Concept C1 - Carnival'!T59</f>
        <v>0</v>
      </c>
      <c r="AB64" s="500">
        <f>'P&amp;L - Concept C1 - Carnival'!U59</f>
        <v>0</v>
      </c>
      <c r="AC64" s="500">
        <f>'P&amp;L - Concept C1 - Carnival'!V59</f>
        <v>0</v>
      </c>
      <c r="AD64" s="500">
        <f>'P&amp;L - Concept C1 - Carnival'!W59</f>
        <v>0</v>
      </c>
      <c r="AE64" s="500">
        <f>'P&amp;L - Concept C1 - Carnival'!X59</f>
        <v>0</v>
      </c>
      <c r="AF64" s="167" t="str">
        <f>'P&amp;L - Concept C1 - Carnival'!Y59</f>
        <v>cost recovery assumed</v>
      </c>
    </row>
    <row r="65" spans="1:32" s="167" customFormat="1">
      <c r="A65" s="497" t="s">
        <v>16</v>
      </c>
      <c r="B65" s="450"/>
      <c r="C65" s="498"/>
      <c r="K65" s="499">
        <f>'P&amp;L - Concept C1 - Carnival'!D60</f>
        <v>0</v>
      </c>
      <c r="L65" s="500">
        <f>'P&amp;L - Concept C1 - Carnival'!E60</f>
        <v>0</v>
      </c>
      <c r="M65" s="500">
        <f>'P&amp;L - Concept C1 - Carnival'!F60</f>
        <v>0</v>
      </c>
      <c r="N65" s="500">
        <f>'P&amp;L - Concept C1 - Carnival'!G60</f>
        <v>0</v>
      </c>
      <c r="O65" s="500">
        <f>'P&amp;L - Concept C1 - Carnival'!H60</f>
        <v>0</v>
      </c>
      <c r="P65" s="500">
        <f>'P&amp;L - Concept C1 - Carnival'!I60</f>
        <v>0</v>
      </c>
      <c r="Q65" s="500">
        <f>'P&amp;L - Concept C1 - Carnival'!J60</f>
        <v>0</v>
      </c>
      <c r="R65" s="500">
        <f>'P&amp;L - Concept C1 - Carnival'!K60</f>
        <v>0</v>
      </c>
      <c r="S65" s="500">
        <f>'P&amp;L - Concept C1 - Carnival'!L60</f>
        <v>0</v>
      </c>
      <c r="T65" s="500">
        <f>'P&amp;L - Concept C1 - Carnival'!M60</f>
        <v>0</v>
      </c>
      <c r="U65" s="500">
        <f>'P&amp;L - Concept C1 - Carnival'!N60</f>
        <v>0</v>
      </c>
      <c r="V65" s="500">
        <f>'P&amp;L - Concept C1 - Carnival'!O60</f>
        <v>0</v>
      </c>
      <c r="W65" s="500">
        <f>'P&amp;L - Concept C1 - Carnival'!P60</f>
        <v>0</v>
      </c>
      <c r="X65" s="500">
        <f>'P&amp;L - Concept C1 - Carnival'!Q60</f>
        <v>0</v>
      </c>
      <c r="Y65" s="500">
        <f>'P&amp;L - Concept C1 - Carnival'!R60</f>
        <v>0</v>
      </c>
      <c r="Z65" s="500">
        <f>'P&amp;L - Concept C1 - Carnival'!S60</f>
        <v>0</v>
      </c>
      <c r="AA65" s="500">
        <f>'P&amp;L - Concept C1 - Carnival'!T60</f>
        <v>0</v>
      </c>
      <c r="AB65" s="500">
        <f>'P&amp;L - Concept C1 - Carnival'!U60</f>
        <v>0</v>
      </c>
      <c r="AC65" s="500">
        <f>'P&amp;L - Concept C1 - Carnival'!V60</f>
        <v>0</v>
      </c>
      <c r="AD65" s="500">
        <f>'P&amp;L - Concept C1 - Carnival'!W60</f>
        <v>0</v>
      </c>
      <c r="AE65" s="500">
        <f>'P&amp;L - Concept C1 - Carnival'!X60</f>
        <v>0</v>
      </c>
      <c r="AF65" s="167" t="str">
        <f>'P&amp;L - Concept C1 - Carnival'!Y60</f>
        <v>cost recovery assumed</v>
      </c>
    </row>
    <row r="66" spans="1:32" s="18" customFormat="1">
      <c r="A66" s="54"/>
      <c r="B66" s="277"/>
      <c r="C66" s="74"/>
      <c r="K66" s="492"/>
      <c r="L66" s="313"/>
      <c r="M66" s="313"/>
      <c r="N66" s="313"/>
      <c r="O66" s="313"/>
      <c r="P66" s="313"/>
      <c r="Q66" s="313"/>
      <c r="R66" s="313"/>
      <c r="S66" s="313"/>
      <c r="T66" s="313"/>
      <c r="U66" s="313"/>
      <c r="V66" s="313"/>
      <c r="W66" s="313"/>
      <c r="X66" s="313"/>
      <c r="Y66" s="313"/>
      <c r="Z66" s="313"/>
      <c r="AA66" s="313"/>
      <c r="AB66" s="313"/>
      <c r="AC66" s="313"/>
      <c r="AD66" s="313"/>
      <c r="AE66" s="313"/>
    </row>
    <row r="67" spans="1:32" s="18" customFormat="1">
      <c r="A67" s="293" t="s">
        <v>2</v>
      </c>
      <c r="B67" s="277"/>
      <c r="C67" s="74"/>
      <c r="K67" s="492"/>
      <c r="L67" s="313"/>
      <c r="M67" s="313"/>
      <c r="N67" s="313"/>
      <c r="O67" s="313"/>
      <c r="P67" s="313"/>
      <c r="Q67" s="313"/>
      <c r="R67" s="313"/>
      <c r="S67" s="313"/>
      <c r="T67" s="313"/>
      <c r="U67" s="313"/>
      <c r="V67" s="313"/>
      <c r="W67" s="313"/>
      <c r="X67" s="313"/>
      <c r="Y67" s="313"/>
      <c r="Z67" s="313"/>
      <c r="AA67" s="313"/>
      <c r="AB67" s="313"/>
      <c r="AC67" s="313"/>
      <c r="AD67" s="313"/>
      <c r="AE67" s="313"/>
    </row>
    <row r="68" spans="1:32" s="96" customFormat="1">
      <c r="A68" s="54" t="s">
        <v>290</v>
      </c>
      <c r="B68" s="435">
        <v>500</v>
      </c>
      <c r="C68" s="487"/>
      <c r="K68" s="486">
        <f>'P&amp;L - Concept C1 - Carnival'!D63</f>
        <v>0</v>
      </c>
      <c r="L68" s="313">
        <f>'P&amp;L - Concept C1 - Carnival'!E63</f>
        <v>0</v>
      </c>
      <c r="M68" s="313">
        <f>'P&amp;L - Concept C1 - Carnival'!F63</f>
        <v>0</v>
      </c>
      <c r="N68" s="313">
        <f>'P&amp;L - Concept C1 - Carnival'!G63</f>
        <v>500</v>
      </c>
      <c r="O68" s="313">
        <f>'P&amp;L - Concept C1 - Carnival'!H63</f>
        <v>500</v>
      </c>
      <c r="P68" s="313">
        <f>'P&amp;L - Concept C1 - Carnival'!I63</f>
        <v>500</v>
      </c>
      <c r="Q68" s="313">
        <f>'P&amp;L - Concept C1 - Carnival'!J63</f>
        <v>500</v>
      </c>
      <c r="R68" s="313">
        <f>'P&amp;L - Concept C1 - Carnival'!K63</f>
        <v>500</v>
      </c>
      <c r="S68" s="313">
        <f>'P&amp;L - Concept C1 - Carnival'!L63</f>
        <v>500</v>
      </c>
      <c r="T68" s="313">
        <f>'P&amp;L - Concept C1 - Carnival'!M63</f>
        <v>500</v>
      </c>
      <c r="U68" s="313">
        <f>'P&amp;L - Concept C1 - Carnival'!N63</f>
        <v>500</v>
      </c>
      <c r="V68" s="313">
        <f>'P&amp;L - Concept C1 - Carnival'!O63</f>
        <v>500</v>
      </c>
      <c r="W68" s="313">
        <f>'P&amp;L - Concept C1 - Carnival'!P63</f>
        <v>500</v>
      </c>
      <c r="X68" s="313">
        <f>'P&amp;L - Concept C1 - Carnival'!Q63</f>
        <v>500</v>
      </c>
      <c r="Y68" s="313">
        <f>'P&amp;L - Concept C1 - Carnival'!R63</f>
        <v>500</v>
      </c>
      <c r="Z68" s="313">
        <f>'P&amp;L - Concept C1 - Carnival'!S63</f>
        <v>500</v>
      </c>
      <c r="AA68" s="313">
        <f>'P&amp;L - Concept C1 - Carnival'!T63</f>
        <v>500</v>
      </c>
      <c r="AB68" s="313">
        <f>'P&amp;L - Concept C1 - Carnival'!U63</f>
        <v>500</v>
      </c>
      <c r="AC68" s="313">
        <f>'P&amp;L - Concept C1 - Carnival'!V63</f>
        <v>500</v>
      </c>
      <c r="AD68" s="313">
        <f>'P&amp;L - Concept C1 - Carnival'!W63</f>
        <v>500</v>
      </c>
      <c r="AE68" s="313">
        <f>'P&amp;L - Concept C1 - Carnival'!X63</f>
        <v>500</v>
      </c>
    </row>
    <row r="69" spans="1:32" s="96" customFormat="1">
      <c r="A69" s="54" t="s">
        <v>210</v>
      </c>
      <c r="B69" s="487"/>
      <c r="C69" s="487"/>
      <c r="K69" s="486">
        <f>'P&amp;L - Concept C1 - Carnival'!D65</f>
        <v>0</v>
      </c>
      <c r="L69" s="313">
        <f>'P&amp;L - Concept C1 - Carnival'!E65</f>
        <v>0</v>
      </c>
      <c r="M69" s="313">
        <f>'P&amp;L - Concept C1 - Carnival'!F65</f>
        <v>1</v>
      </c>
      <c r="N69" s="313">
        <f>'P&amp;L - Concept C1 - Carnival'!G65</f>
        <v>2</v>
      </c>
      <c r="O69" s="313">
        <f>'P&amp;L - Concept C1 - Carnival'!H65</f>
        <v>2</v>
      </c>
      <c r="P69" s="313">
        <f>'P&amp;L - Concept C1 - Carnival'!I65</f>
        <v>2</v>
      </c>
      <c r="Q69" s="313">
        <f>'P&amp;L - Concept C1 - Carnival'!J65</f>
        <v>3</v>
      </c>
      <c r="R69" s="313">
        <f>'P&amp;L - Concept C1 - Carnival'!K65</f>
        <v>3</v>
      </c>
      <c r="S69" s="313">
        <f>'P&amp;L - Concept C1 - Carnival'!L65</f>
        <v>3</v>
      </c>
      <c r="T69" s="313">
        <f>'P&amp;L - Concept C1 - Carnival'!M65</f>
        <v>3</v>
      </c>
      <c r="U69" s="313">
        <f>'P&amp;L - Concept C1 - Carnival'!N65</f>
        <v>3</v>
      </c>
      <c r="V69" s="313">
        <f>'P&amp;L - Concept C1 - Carnival'!O65</f>
        <v>4</v>
      </c>
      <c r="W69" s="313">
        <f>'P&amp;L - Concept C1 - Carnival'!P65</f>
        <v>4</v>
      </c>
      <c r="X69" s="313">
        <f>'P&amp;L - Concept C1 - Carnival'!Q65</f>
        <v>4</v>
      </c>
      <c r="Y69" s="313">
        <f>'P&amp;L - Concept C1 - Carnival'!R65</f>
        <v>4</v>
      </c>
      <c r="Z69" s="313">
        <f>'P&amp;L - Concept C1 - Carnival'!S65</f>
        <v>4</v>
      </c>
      <c r="AA69" s="313">
        <f>'P&amp;L - Concept C1 - Carnival'!T65</f>
        <v>5</v>
      </c>
      <c r="AB69" s="313">
        <f>'P&amp;L - Concept C1 - Carnival'!U65</f>
        <v>5</v>
      </c>
      <c r="AC69" s="313">
        <f>'P&amp;L - Concept C1 - Carnival'!V65</f>
        <v>5</v>
      </c>
      <c r="AD69" s="313">
        <f>'P&amp;L - Concept C1 - Carnival'!W65</f>
        <v>5</v>
      </c>
      <c r="AE69" s="313">
        <f>'P&amp;L - Concept C1 - Carnival'!X65</f>
        <v>5</v>
      </c>
    </row>
    <row r="70" spans="1:32" s="96" customFormat="1">
      <c r="A70" s="96" t="s">
        <v>211</v>
      </c>
      <c r="K70" s="486">
        <f>'P&amp;L - Concept C1 - Carnival'!D66</f>
        <v>0</v>
      </c>
      <c r="L70" s="313">
        <f>'P&amp;L - Concept C1 - Carnival'!E66</f>
        <v>0</v>
      </c>
      <c r="M70" s="313">
        <f>'P&amp;L - Concept C1 - Carnival'!F66</f>
        <v>3</v>
      </c>
      <c r="N70" s="313">
        <f>'P&amp;L - Concept C1 - Carnival'!G66</f>
        <v>3</v>
      </c>
      <c r="O70" s="313">
        <f>'P&amp;L - Concept C1 - Carnival'!H66</f>
        <v>3</v>
      </c>
      <c r="P70" s="313">
        <f>'P&amp;L - Concept C1 - Carnival'!I66</f>
        <v>3</v>
      </c>
      <c r="Q70" s="313">
        <f>'P&amp;L - Concept C1 - Carnival'!J66</f>
        <v>3</v>
      </c>
      <c r="R70" s="313">
        <f>'P&amp;L - Concept C1 - Carnival'!K66</f>
        <v>3</v>
      </c>
      <c r="S70" s="313">
        <f>'P&amp;L - Concept C1 - Carnival'!L66</f>
        <v>3</v>
      </c>
      <c r="T70" s="313">
        <f>'P&amp;L - Concept C1 - Carnival'!M66</f>
        <v>3</v>
      </c>
      <c r="U70" s="313">
        <f>'P&amp;L - Concept C1 - Carnival'!N66</f>
        <v>3</v>
      </c>
      <c r="V70" s="313">
        <f>'P&amp;L - Concept C1 - Carnival'!O66</f>
        <v>3</v>
      </c>
      <c r="W70" s="313">
        <f>'P&amp;L - Concept C1 - Carnival'!P66</f>
        <v>3</v>
      </c>
      <c r="X70" s="313">
        <f>'P&amp;L - Concept C1 - Carnival'!Q66</f>
        <v>3</v>
      </c>
      <c r="Y70" s="313">
        <f>'P&amp;L - Concept C1 - Carnival'!R66</f>
        <v>3</v>
      </c>
      <c r="Z70" s="313">
        <f>'P&amp;L - Concept C1 - Carnival'!S66</f>
        <v>3</v>
      </c>
      <c r="AA70" s="313">
        <f>'P&amp;L - Concept C1 - Carnival'!T66</f>
        <v>3</v>
      </c>
      <c r="AB70" s="313">
        <f>'P&amp;L - Concept C1 - Carnival'!U66</f>
        <v>3</v>
      </c>
      <c r="AC70" s="313">
        <f>'P&amp;L - Concept C1 - Carnival'!V66</f>
        <v>3</v>
      </c>
      <c r="AD70" s="313">
        <f>'P&amp;L - Concept C1 - Carnival'!W66</f>
        <v>3</v>
      </c>
      <c r="AE70" s="313">
        <f>'P&amp;L - Concept C1 - Carnival'!X66</f>
        <v>3</v>
      </c>
    </row>
    <row r="71" spans="1:32" s="96" customFormat="1">
      <c r="K71" s="486"/>
      <c r="L71" s="435"/>
      <c r="M71" s="435"/>
      <c r="N71" s="435"/>
      <c r="O71" s="435"/>
      <c r="P71" s="435"/>
      <c r="Q71" s="435"/>
      <c r="R71" s="435"/>
      <c r="S71" s="435"/>
      <c r="T71" s="435"/>
      <c r="U71" s="435"/>
      <c r="V71" s="435"/>
      <c r="W71" s="435"/>
      <c r="X71" s="435"/>
      <c r="Y71" s="435"/>
      <c r="Z71" s="435"/>
      <c r="AA71" s="435"/>
      <c r="AB71" s="435"/>
      <c r="AC71" s="435"/>
      <c r="AD71" s="435"/>
      <c r="AE71" s="435"/>
    </row>
    <row r="72" spans="1:32" s="18" customFormat="1">
      <c r="A72" s="28"/>
      <c r="K72" s="486"/>
      <c r="L72" s="331"/>
      <c r="M72" s="333"/>
      <c r="N72" s="331"/>
      <c r="O72" s="331"/>
      <c r="P72" s="331"/>
      <c r="Q72" s="331"/>
      <c r="R72" s="331"/>
      <c r="S72" s="331"/>
      <c r="T72" s="331"/>
      <c r="U72" s="331"/>
      <c r="V72" s="331"/>
      <c r="W72" s="331"/>
      <c r="X72" s="331"/>
      <c r="Y72" s="331"/>
      <c r="Z72" s="331"/>
      <c r="AA72" s="331"/>
      <c r="AB72" s="331"/>
      <c r="AC72" s="331"/>
      <c r="AD72" s="331"/>
      <c r="AE72" s="331"/>
    </row>
    <row r="73" spans="1:32">
      <c r="A73" s="168" t="s">
        <v>131</v>
      </c>
      <c r="B73" s="168"/>
      <c r="C73" s="169"/>
      <c r="D73" s="170"/>
      <c r="E73" s="171"/>
      <c r="F73" s="171"/>
      <c r="G73" s="171"/>
      <c r="H73" s="171"/>
      <c r="I73" s="168"/>
      <c r="J73" s="171"/>
      <c r="K73" s="681"/>
      <c r="L73" s="314"/>
      <c r="M73" s="314"/>
      <c r="N73" s="314"/>
      <c r="O73" s="314"/>
      <c r="P73" s="314"/>
      <c r="Q73" s="314"/>
      <c r="R73" s="314"/>
      <c r="S73" s="314"/>
      <c r="T73" s="314"/>
      <c r="U73" s="314"/>
      <c r="V73" s="314"/>
      <c r="W73" s="314"/>
      <c r="X73" s="314"/>
      <c r="Y73" s="314"/>
      <c r="Z73" s="314"/>
      <c r="AA73" s="314"/>
      <c r="AB73" s="314"/>
      <c r="AC73" s="314"/>
      <c r="AD73" s="314"/>
      <c r="AE73" s="314"/>
    </row>
    <row r="74" spans="1:32" s="252" customFormat="1">
      <c r="A74" s="183"/>
      <c r="B74" s="183"/>
      <c r="C74" s="364"/>
      <c r="D74" s="365"/>
      <c r="E74" s="184"/>
      <c r="F74" s="184"/>
      <c r="G74" s="184"/>
      <c r="H74" s="184"/>
      <c r="I74" s="183"/>
      <c r="J74" s="184"/>
      <c r="K74" s="664"/>
      <c r="L74" s="366"/>
      <c r="M74" s="366"/>
      <c r="N74" s="366"/>
      <c r="O74" s="366"/>
      <c r="P74" s="366"/>
      <c r="Q74" s="366"/>
      <c r="R74" s="366"/>
      <c r="S74" s="366"/>
      <c r="T74" s="366"/>
      <c r="U74" s="366"/>
      <c r="V74" s="366"/>
      <c r="W74" s="366"/>
      <c r="X74" s="366"/>
      <c r="Y74" s="366"/>
      <c r="Z74" s="366"/>
      <c r="AA74" s="366"/>
      <c r="AB74" s="366"/>
      <c r="AC74" s="366"/>
      <c r="AD74" s="366"/>
      <c r="AE74" s="366"/>
    </row>
    <row r="75" spans="1:32">
      <c r="A75" s="41" t="s">
        <v>13</v>
      </c>
      <c r="B75" s="41"/>
      <c r="C75" s="105"/>
      <c r="D75" s="106"/>
      <c r="E75" s="37"/>
      <c r="F75" s="37"/>
      <c r="G75" s="37"/>
      <c r="H75" s="37"/>
      <c r="I75" s="41"/>
      <c r="J75" s="37"/>
      <c r="K75" s="683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</row>
    <row r="76" spans="1:32">
      <c r="A76" s="96" t="s">
        <v>418</v>
      </c>
      <c r="B76" s="735" t="s">
        <v>12</v>
      </c>
      <c r="C76" s="663">
        <v>75000</v>
      </c>
      <c r="D76" s="736">
        <f t="shared" ref="D76:D78" si="1">C76/2080</f>
        <v>36.057692307692307</v>
      </c>
      <c r="E76" s="663">
        <v>0</v>
      </c>
      <c r="F76" s="663">
        <f>(C76*$F$13)</f>
        <v>30000</v>
      </c>
      <c r="G76" s="663">
        <f>SUM(C76,E76:F76)</f>
        <v>105000</v>
      </c>
      <c r="H76" s="663"/>
      <c r="I76" s="736"/>
      <c r="J76" s="663"/>
      <c r="K76" s="683">
        <v>0</v>
      </c>
      <c r="L76" s="665">
        <v>0</v>
      </c>
      <c r="M76" s="666">
        <f>G76</f>
        <v>105000</v>
      </c>
      <c r="N76" s="666">
        <f>($G$76*L11)</f>
        <v>107100</v>
      </c>
      <c r="O76" s="666">
        <f t="shared" ref="O76:AE76" si="2">($G$76*M11)</f>
        <v>109242</v>
      </c>
      <c r="P76" s="666">
        <f t="shared" si="2"/>
        <v>111426.84</v>
      </c>
      <c r="Q76" s="666">
        <f t="shared" si="2"/>
        <v>113655.3768</v>
      </c>
      <c r="R76" s="666">
        <f t="shared" si="2"/>
        <v>115928.48433600001</v>
      </c>
      <c r="S76" s="666">
        <f t="shared" si="2"/>
        <v>118247.05402272001</v>
      </c>
      <c r="T76" s="666">
        <f t="shared" si="2"/>
        <v>120611.9951031744</v>
      </c>
      <c r="U76" s="666">
        <f t="shared" si="2"/>
        <v>123024.2350052379</v>
      </c>
      <c r="V76" s="666">
        <f t="shared" si="2"/>
        <v>125484.71970534266</v>
      </c>
      <c r="W76" s="666">
        <f t="shared" si="2"/>
        <v>127994.41409944952</v>
      </c>
      <c r="X76" s="666">
        <f t="shared" si="2"/>
        <v>130554.30238143851</v>
      </c>
      <c r="Y76" s="666">
        <f t="shared" si="2"/>
        <v>133165.38842906727</v>
      </c>
      <c r="Z76" s="666">
        <f t="shared" si="2"/>
        <v>135828.69619764862</v>
      </c>
      <c r="AA76" s="666">
        <f t="shared" si="2"/>
        <v>138545.27012160158</v>
      </c>
      <c r="AB76" s="666">
        <f t="shared" si="2"/>
        <v>141316.17552403364</v>
      </c>
      <c r="AC76" s="666">
        <f t="shared" si="2"/>
        <v>144142.4990345143</v>
      </c>
      <c r="AD76" s="666">
        <f t="shared" si="2"/>
        <v>147025.34901520461</v>
      </c>
      <c r="AE76" s="666">
        <f t="shared" si="2"/>
        <v>149965.8559955087</v>
      </c>
    </row>
    <row r="77" spans="1:32">
      <c r="A77" s="96" t="s">
        <v>417</v>
      </c>
      <c r="B77" s="735" t="s">
        <v>12</v>
      </c>
      <c r="C77" s="663">
        <v>35000</v>
      </c>
      <c r="D77" s="736">
        <f t="shared" si="1"/>
        <v>16.826923076923077</v>
      </c>
      <c r="E77" s="663">
        <v>0</v>
      </c>
      <c r="F77" s="663">
        <f t="shared" ref="F77:F78" si="3">(C77*$F$13)</f>
        <v>14000</v>
      </c>
      <c r="G77" s="663">
        <f t="shared" ref="G77:G78" si="4">SUM(C77,E77:F77)</f>
        <v>49000</v>
      </c>
      <c r="H77" s="663"/>
      <c r="I77" s="736"/>
      <c r="J77" s="663"/>
      <c r="K77" s="683">
        <v>0</v>
      </c>
      <c r="L77" s="665">
        <f>G77*0.25</f>
        <v>12250</v>
      </c>
      <c r="M77" s="666">
        <f>G77*0.5</f>
        <v>24500</v>
      </c>
      <c r="N77" s="666">
        <f>($G$77*0.5*L11)</f>
        <v>24990</v>
      </c>
      <c r="O77" s="666">
        <f t="shared" ref="O77:AE77" si="5">($G$77*0.5*M11)</f>
        <v>25489.8</v>
      </c>
      <c r="P77" s="666">
        <f t="shared" si="5"/>
        <v>25999.595999999998</v>
      </c>
      <c r="Q77" s="666">
        <f t="shared" si="5"/>
        <v>26519.587919999998</v>
      </c>
      <c r="R77" s="666">
        <f t="shared" si="5"/>
        <v>27049.979678399999</v>
      </c>
      <c r="S77" s="666">
        <f t="shared" si="5"/>
        <v>27590.979271968001</v>
      </c>
      <c r="T77" s="666">
        <f t="shared" si="5"/>
        <v>28142.798857407361</v>
      </c>
      <c r="U77" s="666">
        <f t="shared" si="5"/>
        <v>28705.654834555509</v>
      </c>
      <c r="V77" s="666">
        <f t="shared" si="5"/>
        <v>29279.767931246621</v>
      </c>
      <c r="W77" s="666">
        <f t="shared" si="5"/>
        <v>29865.363289871555</v>
      </c>
      <c r="X77" s="666">
        <f t="shared" si="5"/>
        <v>30462.670555668985</v>
      </c>
      <c r="Y77" s="666">
        <f t="shared" si="5"/>
        <v>31071.923966782364</v>
      </c>
      <c r="Z77" s="666">
        <f t="shared" si="5"/>
        <v>31693.362446118008</v>
      </c>
      <c r="AA77" s="666">
        <f t="shared" si="5"/>
        <v>32327.229695040372</v>
      </c>
      <c r="AB77" s="666">
        <f t="shared" si="5"/>
        <v>32973.774288941182</v>
      </c>
      <c r="AC77" s="666">
        <f t="shared" si="5"/>
        <v>33633.249774720003</v>
      </c>
      <c r="AD77" s="666">
        <f t="shared" si="5"/>
        <v>34305.914770214411</v>
      </c>
      <c r="AE77" s="666">
        <f t="shared" si="5"/>
        <v>34992.0330656187</v>
      </c>
    </row>
    <row r="78" spans="1:32">
      <c r="A78" s="737" t="s">
        <v>422</v>
      </c>
      <c r="B78" s="738" t="s">
        <v>15</v>
      </c>
      <c r="C78" s="739">
        <v>15000</v>
      </c>
      <c r="D78" s="740">
        <f t="shared" si="1"/>
        <v>7.2115384615384617</v>
      </c>
      <c r="E78" s="739">
        <f>C78*$L$15</f>
        <v>0</v>
      </c>
      <c r="F78" s="739">
        <f t="shared" si="3"/>
        <v>6000</v>
      </c>
      <c r="G78" s="739">
        <f t="shared" si="4"/>
        <v>21000</v>
      </c>
      <c r="H78" s="739"/>
      <c r="I78" s="740"/>
      <c r="J78" s="739"/>
      <c r="K78" s="741">
        <v>0</v>
      </c>
      <c r="L78" s="742">
        <v>0</v>
      </c>
      <c r="M78" s="742">
        <f t="shared" ref="M78" si="6">G78</f>
        <v>21000</v>
      </c>
      <c r="N78" s="742">
        <f>($G$78*L11)</f>
        <v>21420</v>
      </c>
      <c r="O78" s="742">
        <f t="shared" ref="O78:AE78" si="7">($G$78*M11)</f>
        <v>21848.400000000001</v>
      </c>
      <c r="P78" s="742">
        <f t="shared" si="7"/>
        <v>22285.367999999999</v>
      </c>
      <c r="Q78" s="742">
        <f t="shared" si="7"/>
        <v>22731.075359999999</v>
      </c>
      <c r="R78" s="742">
        <f t="shared" si="7"/>
        <v>23185.6968672</v>
      </c>
      <c r="S78" s="742">
        <f t="shared" si="7"/>
        <v>23649.410804544001</v>
      </c>
      <c r="T78" s="742">
        <f t="shared" si="7"/>
        <v>24122.399020634883</v>
      </c>
      <c r="U78" s="742">
        <f t="shared" si="7"/>
        <v>24604.847001047579</v>
      </c>
      <c r="V78" s="742">
        <f t="shared" si="7"/>
        <v>25096.943941068534</v>
      </c>
      <c r="W78" s="742">
        <f t="shared" si="7"/>
        <v>25598.882819889903</v>
      </c>
      <c r="X78" s="742">
        <f t="shared" si="7"/>
        <v>26110.8604762877</v>
      </c>
      <c r="Y78" s="742">
        <f t="shared" si="7"/>
        <v>26633.077685813456</v>
      </c>
      <c r="Z78" s="742">
        <f t="shared" si="7"/>
        <v>27165.739239529721</v>
      </c>
      <c r="AA78" s="742">
        <f t="shared" si="7"/>
        <v>27709.054024320321</v>
      </c>
      <c r="AB78" s="742">
        <f t="shared" si="7"/>
        <v>28263.235104806728</v>
      </c>
      <c r="AC78" s="742">
        <f t="shared" si="7"/>
        <v>28828.499806902862</v>
      </c>
      <c r="AD78" s="742">
        <f t="shared" si="7"/>
        <v>29405.069803040922</v>
      </c>
      <c r="AE78" s="742">
        <f t="shared" si="7"/>
        <v>29993.17119910174</v>
      </c>
    </row>
    <row r="79" spans="1:32" s="56" customFormat="1" ht="14.25">
      <c r="A79" s="164" t="s">
        <v>416</v>
      </c>
      <c r="B79" s="164"/>
      <c r="C79" s="667">
        <f>SUM(C76:C78)</f>
        <v>125000</v>
      </c>
      <c r="D79" s="667"/>
      <c r="E79" s="667">
        <f>SUM(E76:E78)</f>
        <v>0</v>
      </c>
      <c r="F79" s="667">
        <f>SUM(F76:F78)</f>
        <v>50000</v>
      </c>
      <c r="G79" s="667">
        <f>SUM(G76:G78)</f>
        <v>175000</v>
      </c>
      <c r="H79" s="667"/>
      <c r="I79" s="668"/>
      <c r="J79" s="667"/>
      <c r="K79" s="685">
        <f>SUMIF($B76:$B78,"FT",K76:K78)</f>
        <v>0</v>
      </c>
      <c r="L79" s="669">
        <f t="shared" ref="L79:AE79" si="8">SUM(L76:L78)</f>
        <v>12250</v>
      </c>
      <c r="M79" s="669">
        <f t="shared" si="8"/>
        <v>150500</v>
      </c>
      <c r="N79" s="669">
        <f t="shared" si="8"/>
        <v>153510</v>
      </c>
      <c r="O79" s="669">
        <f t="shared" si="8"/>
        <v>156580.19999999998</v>
      </c>
      <c r="P79" s="669">
        <f t="shared" si="8"/>
        <v>159711.80399999997</v>
      </c>
      <c r="Q79" s="669">
        <f t="shared" si="8"/>
        <v>162906.04007999998</v>
      </c>
      <c r="R79" s="669">
        <f t="shared" si="8"/>
        <v>166164.16088159999</v>
      </c>
      <c r="S79" s="669">
        <f t="shared" si="8"/>
        <v>169487.444099232</v>
      </c>
      <c r="T79" s="669">
        <f t="shared" si="8"/>
        <v>172877.19298121665</v>
      </c>
      <c r="U79" s="669">
        <f t="shared" si="8"/>
        <v>176334.73684084098</v>
      </c>
      <c r="V79" s="669">
        <f t="shared" si="8"/>
        <v>179861.43157765782</v>
      </c>
      <c r="W79" s="669">
        <f t="shared" si="8"/>
        <v>183458.66020921097</v>
      </c>
      <c r="X79" s="669">
        <f t="shared" si="8"/>
        <v>187127.83341339519</v>
      </c>
      <c r="Y79" s="669">
        <f t="shared" si="8"/>
        <v>190870.39008166309</v>
      </c>
      <c r="Z79" s="669">
        <f t="shared" si="8"/>
        <v>194687.79788329633</v>
      </c>
      <c r="AA79" s="669">
        <f t="shared" si="8"/>
        <v>198581.5538409623</v>
      </c>
      <c r="AB79" s="669">
        <f t="shared" si="8"/>
        <v>202553.18491778153</v>
      </c>
      <c r="AC79" s="669">
        <f t="shared" si="8"/>
        <v>206604.24861613716</v>
      </c>
      <c r="AD79" s="669">
        <f t="shared" si="8"/>
        <v>210736.33358845994</v>
      </c>
      <c r="AE79" s="669">
        <f t="shared" si="8"/>
        <v>214951.06026022913</v>
      </c>
    </row>
    <row r="80" spans="1:32" s="56" customFormat="1" ht="14.25">
      <c r="A80" s="164"/>
      <c r="B80" s="164"/>
      <c r="C80" s="667"/>
      <c r="D80" s="667"/>
      <c r="E80" s="667"/>
      <c r="F80" s="667"/>
      <c r="G80" s="667"/>
      <c r="H80" s="667"/>
      <c r="I80" s="668"/>
      <c r="J80" s="667"/>
      <c r="K80" s="685"/>
      <c r="L80" s="669"/>
      <c r="M80" s="669"/>
      <c r="N80" s="669"/>
      <c r="O80" s="669"/>
      <c r="P80" s="669"/>
      <c r="Q80" s="669"/>
      <c r="R80" s="669"/>
      <c r="S80" s="669"/>
      <c r="T80" s="669"/>
      <c r="U80" s="669"/>
      <c r="V80" s="669"/>
      <c r="W80" s="669"/>
      <c r="X80" s="669"/>
      <c r="Y80" s="669"/>
      <c r="Z80" s="669"/>
      <c r="AA80" s="669"/>
      <c r="AB80" s="669"/>
      <c r="AC80" s="669"/>
      <c r="AD80" s="669"/>
      <c r="AE80" s="669"/>
    </row>
    <row r="81" spans="1:35">
      <c r="A81" s="37" t="s">
        <v>411</v>
      </c>
      <c r="B81" s="37"/>
      <c r="C81" s="57"/>
      <c r="E81" s="57"/>
      <c r="F81" s="57"/>
      <c r="G81" s="57"/>
      <c r="H81" s="57"/>
      <c r="I81" s="43"/>
      <c r="J81" s="42"/>
      <c r="K81" s="743">
        <f>COUNTIF(K76:K78,"&gt;100")</f>
        <v>0</v>
      </c>
      <c r="L81" s="496">
        <f t="shared" ref="L81:AE81" si="9">COUNTIF(L76:L77,"&gt;100")</f>
        <v>1</v>
      </c>
      <c r="M81" s="496">
        <f t="shared" si="9"/>
        <v>2</v>
      </c>
      <c r="N81" s="496">
        <f t="shared" si="9"/>
        <v>2</v>
      </c>
      <c r="O81" s="496">
        <f t="shared" si="9"/>
        <v>2</v>
      </c>
      <c r="P81" s="496">
        <f t="shared" si="9"/>
        <v>2</v>
      </c>
      <c r="Q81" s="496">
        <f t="shared" si="9"/>
        <v>2</v>
      </c>
      <c r="R81" s="496">
        <f t="shared" si="9"/>
        <v>2</v>
      </c>
      <c r="S81" s="496">
        <f t="shared" si="9"/>
        <v>2</v>
      </c>
      <c r="T81" s="496">
        <f t="shared" si="9"/>
        <v>2</v>
      </c>
      <c r="U81" s="496">
        <f t="shared" si="9"/>
        <v>2</v>
      </c>
      <c r="V81" s="496">
        <f t="shared" si="9"/>
        <v>2</v>
      </c>
      <c r="W81" s="496">
        <f t="shared" si="9"/>
        <v>2</v>
      </c>
      <c r="X81" s="496">
        <f t="shared" si="9"/>
        <v>2</v>
      </c>
      <c r="Y81" s="496">
        <f t="shared" si="9"/>
        <v>2</v>
      </c>
      <c r="Z81" s="496">
        <f t="shared" si="9"/>
        <v>2</v>
      </c>
      <c r="AA81" s="496">
        <f t="shared" si="9"/>
        <v>2</v>
      </c>
      <c r="AB81" s="496">
        <f t="shared" si="9"/>
        <v>2</v>
      </c>
      <c r="AC81" s="496">
        <f t="shared" si="9"/>
        <v>2</v>
      </c>
      <c r="AD81" s="496">
        <f t="shared" si="9"/>
        <v>2</v>
      </c>
      <c r="AE81" s="496">
        <f t="shared" si="9"/>
        <v>2</v>
      </c>
      <c r="AF81" s="744"/>
    </row>
    <row r="82" spans="1:35">
      <c r="A82" s="745" t="s">
        <v>412</v>
      </c>
      <c r="B82" s="745"/>
      <c r="C82" s="746"/>
      <c r="D82" s="116"/>
      <c r="E82" s="746"/>
      <c r="F82" s="746"/>
      <c r="G82" s="746"/>
      <c r="H82" s="746"/>
      <c r="I82" s="747"/>
      <c r="J82" s="748"/>
      <c r="K82" s="749">
        <f t="shared" ref="K82" si="10">K83-K81</f>
        <v>0</v>
      </c>
      <c r="L82" s="750">
        <f t="shared" ref="L82:AE82" si="11">COUNTIF(L78:L78,"&gt;100")</f>
        <v>0</v>
      </c>
      <c r="M82" s="750">
        <f t="shared" si="11"/>
        <v>1</v>
      </c>
      <c r="N82" s="750">
        <f t="shared" si="11"/>
        <v>1</v>
      </c>
      <c r="O82" s="750">
        <f t="shared" si="11"/>
        <v>1</v>
      </c>
      <c r="P82" s="750">
        <f t="shared" si="11"/>
        <v>1</v>
      </c>
      <c r="Q82" s="750">
        <f t="shared" si="11"/>
        <v>1</v>
      </c>
      <c r="R82" s="750">
        <f t="shared" si="11"/>
        <v>1</v>
      </c>
      <c r="S82" s="750">
        <f t="shared" si="11"/>
        <v>1</v>
      </c>
      <c r="T82" s="750">
        <f t="shared" si="11"/>
        <v>1</v>
      </c>
      <c r="U82" s="750">
        <f t="shared" si="11"/>
        <v>1</v>
      </c>
      <c r="V82" s="750">
        <f t="shared" si="11"/>
        <v>1</v>
      </c>
      <c r="W82" s="750">
        <f t="shared" si="11"/>
        <v>1</v>
      </c>
      <c r="X82" s="750">
        <f t="shared" si="11"/>
        <v>1</v>
      </c>
      <c r="Y82" s="750">
        <f t="shared" si="11"/>
        <v>1</v>
      </c>
      <c r="Z82" s="750">
        <f t="shared" si="11"/>
        <v>1</v>
      </c>
      <c r="AA82" s="750">
        <f t="shared" si="11"/>
        <v>1</v>
      </c>
      <c r="AB82" s="750">
        <f t="shared" si="11"/>
        <v>1</v>
      </c>
      <c r="AC82" s="750">
        <f t="shared" si="11"/>
        <v>1</v>
      </c>
      <c r="AD82" s="750">
        <f t="shared" si="11"/>
        <v>1</v>
      </c>
      <c r="AE82" s="750">
        <f t="shared" si="11"/>
        <v>1</v>
      </c>
    </row>
    <row r="83" spans="1:35" s="56" customFormat="1" ht="14.25">
      <c r="A83" s="164" t="s">
        <v>413</v>
      </c>
      <c r="B83" s="164"/>
      <c r="C83" s="75"/>
      <c r="D83" s="173"/>
      <c r="E83" s="75"/>
      <c r="F83" s="75"/>
      <c r="G83" s="75"/>
      <c r="H83" s="75"/>
      <c r="I83" s="174"/>
      <c r="J83" s="181"/>
      <c r="K83" s="751">
        <f>COUNTIF(K76:K78,"&gt;0")</f>
        <v>0</v>
      </c>
      <c r="L83" s="752">
        <f>SUM(L81:L82)</f>
        <v>1</v>
      </c>
      <c r="M83" s="752">
        <f t="shared" ref="M83:AE83" si="12">SUM(M81:M82)</f>
        <v>3</v>
      </c>
      <c r="N83" s="752">
        <f t="shared" si="12"/>
        <v>3</v>
      </c>
      <c r="O83" s="752">
        <f t="shared" si="12"/>
        <v>3</v>
      </c>
      <c r="P83" s="752">
        <f t="shared" si="12"/>
        <v>3</v>
      </c>
      <c r="Q83" s="752">
        <f t="shared" si="12"/>
        <v>3</v>
      </c>
      <c r="R83" s="752">
        <f t="shared" si="12"/>
        <v>3</v>
      </c>
      <c r="S83" s="752">
        <f t="shared" si="12"/>
        <v>3</v>
      </c>
      <c r="T83" s="752">
        <f t="shared" si="12"/>
        <v>3</v>
      </c>
      <c r="U83" s="752">
        <f t="shared" si="12"/>
        <v>3</v>
      </c>
      <c r="V83" s="752">
        <f t="shared" si="12"/>
        <v>3</v>
      </c>
      <c r="W83" s="752">
        <f t="shared" si="12"/>
        <v>3</v>
      </c>
      <c r="X83" s="752">
        <f t="shared" si="12"/>
        <v>3</v>
      </c>
      <c r="Y83" s="752">
        <f t="shared" si="12"/>
        <v>3</v>
      </c>
      <c r="Z83" s="752">
        <f t="shared" si="12"/>
        <v>3</v>
      </c>
      <c r="AA83" s="752">
        <f t="shared" si="12"/>
        <v>3</v>
      </c>
      <c r="AB83" s="752">
        <f t="shared" si="12"/>
        <v>3</v>
      </c>
      <c r="AC83" s="752">
        <f t="shared" si="12"/>
        <v>3</v>
      </c>
      <c r="AD83" s="752">
        <f t="shared" si="12"/>
        <v>3</v>
      </c>
      <c r="AE83" s="752">
        <f t="shared" si="12"/>
        <v>3</v>
      </c>
    </row>
    <row r="84" spans="1:35" s="56" customFormat="1" ht="14.25">
      <c r="A84" s="164"/>
      <c r="B84" s="164"/>
      <c r="C84" s="75"/>
      <c r="D84" s="173"/>
      <c r="E84" s="75"/>
      <c r="F84" s="75"/>
      <c r="G84" s="75"/>
      <c r="H84" s="75"/>
      <c r="I84" s="174"/>
      <c r="J84" s="181"/>
      <c r="K84" s="685"/>
      <c r="L84" s="315"/>
      <c r="M84" s="315"/>
      <c r="N84" s="315"/>
      <c r="O84" s="315"/>
      <c r="P84" s="315"/>
      <c r="Q84" s="315"/>
      <c r="R84" s="315"/>
      <c r="S84" s="315"/>
      <c r="T84" s="315"/>
      <c r="U84" s="315"/>
      <c r="V84" s="315"/>
      <c r="W84" s="315"/>
      <c r="X84" s="315"/>
      <c r="Y84" s="315"/>
      <c r="Z84" s="315"/>
      <c r="AA84" s="315"/>
      <c r="AB84" s="315"/>
      <c r="AC84" s="315"/>
      <c r="AD84" s="315"/>
      <c r="AE84" s="315"/>
    </row>
    <row r="85" spans="1:35">
      <c r="A85" s="48" t="s">
        <v>68</v>
      </c>
      <c r="B85" s="48"/>
      <c r="C85" s="77"/>
      <c r="D85" s="76"/>
      <c r="E85" s="57"/>
      <c r="F85" s="57"/>
      <c r="G85" s="77"/>
      <c r="H85" s="77"/>
      <c r="I85" s="50"/>
      <c r="J85" s="49"/>
      <c r="K85" s="683"/>
      <c r="L85" s="316"/>
      <c r="M85" s="316"/>
      <c r="N85" s="316"/>
      <c r="O85" s="316"/>
      <c r="P85" s="316"/>
      <c r="Q85" s="316"/>
      <c r="R85" s="316"/>
      <c r="S85" s="316"/>
      <c r="T85" s="316"/>
      <c r="U85" s="316"/>
      <c r="V85" s="316"/>
      <c r="W85" s="316"/>
      <c r="X85" s="316"/>
      <c r="Y85" s="316"/>
      <c r="Z85" s="316"/>
      <c r="AA85" s="316"/>
      <c r="AB85" s="316"/>
      <c r="AC85" s="316"/>
      <c r="AD85" s="316"/>
      <c r="AE85" s="316"/>
    </row>
    <row r="86" spans="1:35" s="68" customFormat="1" ht="14.25">
      <c r="A86" s="214" t="s">
        <v>80</v>
      </c>
      <c r="B86" s="189"/>
      <c r="C86" s="209"/>
      <c r="D86" s="210"/>
      <c r="E86" s="211"/>
      <c r="F86" s="211"/>
      <c r="G86" s="209"/>
      <c r="H86" s="209"/>
      <c r="I86" s="213"/>
      <c r="J86" s="212"/>
      <c r="K86" s="686"/>
      <c r="L86" s="317"/>
      <c r="M86" s="317"/>
      <c r="N86" s="317"/>
      <c r="O86" s="317"/>
      <c r="P86" s="317"/>
      <c r="Q86" s="317"/>
      <c r="R86" s="317"/>
      <c r="S86" s="317"/>
      <c r="T86" s="317"/>
      <c r="U86" s="317"/>
      <c r="V86" s="317"/>
      <c r="W86" s="317"/>
      <c r="X86" s="317"/>
      <c r="Y86" s="317"/>
      <c r="Z86" s="317"/>
      <c r="AA86" s="317"/>
      <c r="AB86" s="317"/>
      <c r="AC86" s="317"/>
      <c r="AD86" s="317"/>
      <c r="AE86" s="317"/>
    </row>
    <row r="87" spans="1:35">
      <c r="A87" s="37" t="s">
        <v>41</v>
      </c>
      <c r="B87" s="37"/>
      <c r="C87" s="110"/>
      <c r="D87" s="106"/>
      <c r="E87" s="57"/>
      <c r="F87" s="57"/>
      <c r="G87" s="57"/>
      <c r="H87" s="57"/>
      <c r="I87" s="51"/>
      <c r="J87" s="663"/>
      <c r="K87" s="683">
        <f>K$83*$J87*R$9</f>
        <v>0</v>
      </c>
      <c r="L87" s="666">
        <v>25000</v>
      </c>
      <c r="M87" s="666">
        <f>$L$87*L11</f>
        <v>25500</v>
      </c>
      <c r="N87" s="666">
        <f t="shared" ref="N87:AE87" si="13">$L$87*M11</f>
        <v>26010</v>
      </c>
      <c r="O87" s="666">
        <f t="shared" si="13"/>
        <v>26530.199999999997</v>
      </c>
      <c r="P87" s="666">
        <f t="shared" si="13"/>
        <v>27060.804</v>
      </c>
      <c r="Q87" s="666">
        <f t="shared" si="13"/>
        <v>27602.020080000002</v>
      </c>
      <c r="R87" s="666">
        <f t="shared" si="13"/>
        <v>28154.060481600001</v>
      </c>
      <c r="S87" s="666">
        <f t="shared" si="13"/>
        <v>28717.141691232002</v>
      </c>
      <c r="T87" s="666">
        <f t="shared" si="13"/>
        <v>29291.484525056643</v>
      </c>
      <c r="U87" s="666">
        <f t="shared" si="13"/>
        <v>29877.314215557777</v>
      </c>
      <c r="V87" s="666">
        <f t="shared" si="13"/>
        <v>30474.860499868933</v>
      </c>
      <c r="W87" s="666">
        <f t="shared" si="13"/>
        <v>31084.357709866312</v>
      </c>
      <c r="X87" s="666">
        <f t="shared" si="13"/>
        <v>31706.044864063639</v>
      </c>
      <c r="Y87" s="666">
        <f t="shared" si="13"/>
        <v>32340.165761344906</v>
      </c>
      <c r="Z87" s="666">
        <f t="shared" si="13"/>
        <v>32986.969076571811</v>
      </c>
      <c r="AA87" s="666">
        <f t="shared" si="13"/>
        <v>33646.708458103247</v>
      </c>
      <c r="AB87" s="666">
        <f t="shared" si="13"/>
        <v>34319.642627265312</v>
      </c>
      <c r="AC87" s="666">
        <f t="shared" si="13"/>
        <v>35006.03547981062</v>
      </c>
      <c r="AD87" s="666">
        <f t="shared" si="13"/>
        <v>35706.156189406836</v>
      </c>
      <c r="AE87" s="666">
        <f t="shared" si="13"/>
        <v>36420.279313194973</v>
      </c>
    </row>
    <row r="88" spans="1:35">
      <c r="A88" s="37" t="s">
        <v>424</v>
      </c>
      <c r="B88" s="37"/>
      <c r="C88" s="110"/>
      <c r="D88" s="106"/>
      <c r="E88" s="57"/>
      <c r="F88" s="57"/>
      <c r="G88" s="57"/>
      <c r="H88" s="57"/>
      <c r="I88" s="51"/>
      <c r="J88" s="663"/>
      <c r="K88" s="683">
        <f>K$83*$J88*R$9</f>
        <v>0</v>
      </c>
      <c r="L88" s="666">
        <v>10000</v>
      </c>
      <c r="M88" s="666">
        <v>500</v>
      </c>
      <c r="N88" s="666">
        <f>$M$88*M11</f>
        <v>520.20000000000005</v>
      </c>
      <c r="O88" s="666">
        <f>$M$88*N11</f>
        <v>530.60399999999993</v>
      </c>
      <c r="P88" s="666">
        <f>$M$88*O11</f>
        <v>541.21608000000003</v>
      </c>
      <c r="Q88" s="666">
        <v>5000</v>
      </c>
      <c r="R88" s="666">
        <f>$M$88*Q11</f>
        <v>563.08120963200008</v>
      </c>
      <c r="S88" s="666">
        <f>$M$88*R11</f>
        <v>574.34283382464002</v>
      </c>
      <c r="T88" s="666">
        <f>$M$88*S11</f>
        <v>585.82969050113286</v>
      </c>
      <c r="U88" s="666">
        <f>$M$88*T11</f>
        <v>597.54628431115555</v>
      </c>
      <c r="V88" s="666">
        <v>5000</v>
      </c>
      <c r="W88" s="666">
        <f>$M$88*V11</f>
        <v>621.68715419732621</v>
      </c>
      <c r="X88" s="666">
        <f>$M$88*W11</f>
        <v>634.12089728127273</v>
      </c>
      <c r="Y88" s="666">
        <f>$M$88*X11</f>
        <v>646.80331522689812</v>
      </c>
      <c r="Z88" s="666">
        <f>$M$88*Y11</f>
        <v>659.73938153143615</v>
      </c>
      <c r="AA88" s="666">
        <v>5000</v>
      </c>
      <c r="AB88" s="666">
        <f>$M$88*AA11</f>
        <v>686.39285254530625</v>
      </c>
      <c r="AC88" s="666">
        <f>$M$88*AB11</f>
        <v>700.12070959621246</v>
      </c>
      <c r="AD88" s="666">
        <f>$M$88*AC11</f>
        <v>714.1231237881367</v>
      </c>
      <c r="AE88" s="666">
        <f>$M$88*AD11</f>
        <v>728.40558626389941</v>
      </c>
    </row>
    <row r="89" spans="1:35">
      <c r="A89" s="37" t="s">
        <v>42</v>
      </c>
      <c r="B89" s="37"/>
      <c r="C89" s="110"/>
      <c r="D89" s="106"/>
      <c r="E89" s="57"/>
      <c r="F89" s="57"/>
      <c r="G89" s="57"/>
      <c r="H89" s="57"/>
      <c r="I89" s="51"/>
      <c r="J89" s="663"/>
      <c r="K89" s="683">
        <f>K$83*$J89*R$9</f>
        <v>0</v>
      </c>
      <c r="L89" s="666">
        <v>50000</v>
      </c>
      <c r="M89" s="666">
        <f t="shared" ref="M89:AE89" si="14">($L$89*L11)</f>
        <v>51000</v>
      </c>
      <c r="N89" s="666">
        <f t="shared" si="14"/>
        <v>52020</v>
      </c>
      <c r="O89" s="666">
        <f t="shared" si="14"/>
        <v>53060.399999999994</v>
      </c>
      <c r="P89" s="666">
        <f t="shared" si="14"/>
        <v>54121.608</v>
      </c>
      <c r="Q89" s="666">
        <f t="shared" si="14"/>
        <v>55204.040160000004</v>
      </c>
      <c r="R89" s="666">
        <f t="shared" si="14"/>
        <v>56308.120963200003</v>
      </c>
      <c r="S89" s="666">
        <f t="shared" si="14"/>
        <v>57434.283382464004</v>
      </c>
      <c r="T89" s="666">
        <f t="shared" si="14"/>
        <v>58582.969050113286</v>
      </c>
      <c r="U89" s="666">
        <f t="shared" si="14"/>
        <v>59754.628431115554</v>
      </c>
      <c r="V89" s="666">
        <f t="shared" si="14"/>
        <v>60949.720999737867</v>
      </c>
      <c r="W89" s="666">
        <f t="shared" si="14"/>
        <v>62168.715419732624</v>
      </c>
      <c r="X89" s="666">
        <f t="shared" si="14"/>
        <v>63412.089728127277</v>
      </c>
      <c r="Y89" s="666">
        <f t="shared" si="14"/>
        <v>64680.331522689812</v>
      </c>
      <c r="Z89" s="666">
        <f t="shared" si="14"/>
        <v>65973.938153143623</v>
      </c>
      <c r="AA89" s="666">
        <f t="shared" si="14"/>
        <v>67293.416916206494</v>
      </c>
      <c r="AB89" s="666">
        <f t="shared" si="14"/>
        <v>68639.285254530623</v>
      </c>
      <c r="AC89" s="666">
        <f t="shared" si="14"/>
        <v>70012.07095962124</v>
      </c>
      <c r="AD89" s="666">
        <f t="shared" si="14"/>
        <v>71412.312378813673</v>
      </c>
      <c r="AE89" s="666">
        <f t="shared" si="14"/>
        <v>72840.558626389946</v>
      </c>
    </row>
    <row r="90" spans="1:35">
      <c r="A90" s="37" t="s">
        <v>43</v>
      </c>
      <c r="B90" s="37"/>
      <c r="C90" s="110"/>
      <c r="D90" s="106"/>
      <c r="E90" s="57"/>
      <c r="F90" s="57"/>
      <c r="G90" s="57"/>
      <c r="H90" s="57"/>
      <c r="I90" s="51" t="s">
        <v>8</v>
      </c>
      <c r="J90" s="663">
        <v>500</v>
      </c>
      <c r="K90" s="683">
        <v>0</v>
      </c>
      <c r="L90" s="666">
        <f>J90*L83</f>
        <v>500</v>
      </c>
      <c r="M90" s="666">
        <f t="shared" ref="M90:AE90" si="15">$J$90*M83*L11</f>
        <v>1530</v>
      </c>
      <c r="N90" s="666">
        <f t="shared" si="15"/>
        <v>1560.6</v>
      </c>
      <c r="O90" s="666">
        <f t="shared" si="15"/>
        <v>1591.8119999999999</v>
      </c>
      <c r="P90" s="666">
        <f t="shared" si="15"/>
        <v>1623.64824</v>
      </c>
      <c r="Q90" s="666">
        <f t="shared" si="15"/>
        <v>1656.1212048</v>
      </c>
      <c r="R90" s="666">
        <f t="shared" si="15"/>
        <v>1689.243628896</v>
      </c>
      <c r="S90" s="666">
        <f t="shared" si="15"/>
        <v>1723.02850147392</v>
      </c>
      <c r="T90" s="666">
        <f t="shared" si="15"/>
        <v>1757.4890715033987</v>
      </c>
      <c r="U90" s="666">
        <f t="shared" si="15"/>
        <v>1792.6388529334665</v>
      </c>
      <c r="V90" s="666">
        <f t="shared" si="15"/>
        <v>1828.491629992136</v>
      </c>
      <c r="W90" s="666">
        <f t="shared" si="15"/>
        <v>1865.0614625919786</v>
      </c>
      <c r="X90" s="666">
        <f t="shared" si="15"/>
        <v>1902.3626918438183</v>
      </c>
      <c r="Y90" s="666">
        <f t="shared" si="15"/>
        <v>1940.4099456806944</v>
      </c>
      <c r="Z90" s="666">
        <f t="shared" si="15"/>
        <v>1979.2181445943086</v>
      </c>
      <c r="AA90" s="666">
        <f t="shared" si="15"/>
        <v>2018.8025074861948</v>
      </c>
      <c r="AB90" s="666">
        <f t="shared" si="15"/>
        <v>2059.1785576359189</v>
      </c>
      <c r="AC90" s="666">
        <f t="shared" si="15"/>
        <v>2100.3621287886372</v>
      </c>
      <c r="AD90" s="666">
        <f t="shared" si="15"/>
        <v>2142.3693713644102</v>
      </c>
      <c r="AE90" s="666">
        <f t="shared" si="15"/>
        <v>2185.2167587916983</v>
      </c>
    </row>
    <row r="91" spans="1:35">
      <c r="A91" s="37" t="s">
        <v>44</v>
      </c>
      <c r="B91" s="37"/>
      <c r="C91" s="110"/>
      <c r="D91" s="106"/>
      <c r="E91" s="57"/>
      <c r="F91" s="57"/>
      <c r="G91" s="57"/>
      <c r="H91" s="57"/>
      <c r="I91" s="51" t="s">
        <v>8</v>
      </c>
      <c r="J91" s="663">
        <v>250</v>
      </c>
      <c r="K91" s="683">
        <v>0</v>
      </c>
      <c r="L91" s="666">
        <f>J91*L83</f>
        <v>250</v>
      </c>
      <c r="M91" s="666">
        <f t="shared" ref="M91:AE91" si="16">$J$91*M83*L11</f>
        <v>765</v>
      </c>
      <c r="N91" s="666">
        <f t="shared" si="16"/>
        <v>780.3</v>
      </c>
      <c r="O91" s="666">
        <f t="shared" si="16"/>
        <v>795.90599999999995</v>
      </c>
      <c r="P91" s="666">
        <f t="shared" si="16"/>
        <v>811.82411999999999</v>
      </c>
      <c r="Q91" s="666">
        <f t="shared" si="16"/>
        <v>828.06060239999999</v>
      </c>
      <c r="R91" s="666">
        <f t="shared" si="16"/>
        <v>844.62181444800001</v>
      </c>
      <c r="S91" s="666">
        <f t="shared" si="16"/>
        <v>861.51425073695998</v>
      </c>
      <c r="T91" s="666">
        <f t="shared" si="16"/>
        <v>878.74453575169935</v>
      </c>
      <c r="U91" s="666">
        <f t="shared" si="16"/>
        <v>896.31942646673326</v>
      </c>
      <c r="V91" s="666">
        <f t="shared" si="16"/>
        <v>914.24581499606802</v>
      </c>
      <c r="W91" s="666">
        <f t="shared" si="16"/>
        <v>932.53073129598931</v>
      </c>
      <c r="X91" s="666">
        <f t="shared" si="16"/>
        <v>951.18134592190916</v>
      </c>
      <c r="Y91" s="666">
        <f t="shared" si="16"/>
        <v>970.20497284034718</v>
      </c>
      <c r="Z91" s="666">
        <f t="shared" si="16"/>
        <v>989.60907229715428</v>
      </c>
      <c r="AA91" s="666">
        <f t="shared" si="16"/>
        <v>1009.4012537430974</v>
      </c>
      <c r="AB91" s="666">
        <f t="shared" si="16"/>
        <v>1029.5892788179594</v>
      </c>
      <c r="AC91" s="666">
        <f t="shared" si="16"/>
        <v>1050.1810643943186</v>
      </c>
      <c r="AD91" s="666">
        <f t="shared" si="16"/>
        <v>1071.1846856822051</v>
      </c>
      <c r="AE91" s="666">
        <f t="shared" si="16"/>
        <v>1092.6083793958492</v>
      </c>
      <c r="AF91" s="44"/>
    </row>
    <row r="92" spans="1:35">
      <c r="A92" s="745" t="s">
        <v>2</v>
      </c>
      <c r="B92" s="745"/>
      <c r="C92" s="753"/>
      <c r="D92" s="754"/>
      <c r="E92" s="746"/>
      <c r="F92" s="746"/>
      <c r="G92" s="746"/>
      <c r="H92" s="746"/>
      <c r="I92" s="755"/>
      <c r="J92" s="739"/>
      <c r="K92" s="741">
        <v>0</v>
      </c>
      <c r="L92" s="742">
        <v>1000</v>
      </c>
      <c r="M92" s="742">
        <f t="shared" ref="M92:AE92" si="17">($L$92*L11)</f>
        <v>1020</v>
      </c>
      <c r="N92" s="742">
        <f t="shared" si="17"/>
        <v>1040.4000000000001</v>
      </c>
      <c r="O92" s="742">
        <f t="shared" si="17"/>
        <v>1061.2079999999999</v>
      </c>
      <c r="P92" s="742">
        <f t="shared" si="17"/>
        <v>1082.4321600000001</v>
      </c>
      <c r="Q92" s="742">
        <f t="shared" si="17"/>
        <v>1104.0808032</v>
      </c>
      <c r="R92" s="742">
        <f t="shared" si="17"/>
        <v>1126.1624192640002</v>
      </c>
      <c r="S92" s="742">
        <f t="shared" si="17"/>
        <v>1148.68566764928</v>
      </c>
      <c r="T92" s="742">
        <f t="shared" si="17"/>
        <v>1171.6593810022657</v>
      </c>
      <c r="U92" s="742">
        <f t="shared" si="17"/>
        <v>1195.0925686223111</v>
      </c>
      <c r="V92" s="742">
        <f t="shared" si="17"/>
        <v>1218.9944199947574</v>
      </c>
      <c r="W92" s="742">
        <f t="shared" si="17"/>
        <v>1243.3743083946524</v>
      </c>
      <c r="X92" s="742">
        <f t="shared" si="17"/>
        <v>1268.2417945625455</v>
      </c>
      <c r="Y92" s="742">
        <f t="shared" si="17"/>
        <v>1293.6066304537962</v>
      </c>
      <c r="Z92" s="742">
        <f t="shared" si="17"/>
        <v>1319.4787630628723</v>
      </c>
      <c r="AA92" s="742">
        <f t="shared" si="17"/>
        <v>1345.8683383241298</v>
      </c>
      <c r="AB92" s="742">
        <f t="shared" si="17"/>
        <v>1372.7857050906125</v>
      </c>
      <c r="AC92" s="742">
        <f t="shared" si="17"/>
        <v>1400.2414191924249</v>
      </c>
      <c r="AD92" s="742">
        <f t="shared" si="17"/>
        <v>1428.2462475762734</v>
      </c>
      <c r="AE92" s="742">
        <f t="shared" si="17"/>
        <v>1456.8111725277988</v>
      </c>
    </row>
    <row r="93" spans="1:35" s="56" customFormat="1" ht="14.25">
      <c r="A93" s="164" t="s">
        <v>409</v>
      </c>
      <c r="B93" s="215"/>
      <c r="C93" s="216"/>
      <c r="D93" s="217"/>
      <c r="E93" s="218"/>
      <c r="F93" s="218"/>
      <c r="G93" s="218"/>
      <c r="H93" s="218"/>
      <c r="I93" s="219"/>
      <c r="J93" s="756"/>
      <c r="K93" s="687">
        <f>SUM(K87:K92)</f>
        <v>0</v>
      </c>
      <c r="L93" s="757">
        <f>SUM(L87:L92)</f>
        <v>86750</v>
      </c>
      <c r="M93" s="757">
        <f t="shared" ref="M93:AE93" si="18">SUM(M87:M92)</f>
        <v>80315</v>
      </c>
      <c r="N93" s="757">
        <f t="shared" si="18"/>
        <v>81931.5</v>
      </c>
      <c r="O93" s="757">
        <f t="shared" si="18"/>
        <v>83570.13</v>
      </c>
      <c r="P93" s="757">
        <f t="shared" si="18"/>
        <v>85241.532599999991</v>
      </c>
      <c r="Q93" s="757">
        <f t="shared" si="18"/>
        <v>91394.322850400014</v>
      </c>
      <c r="R93" s="757">
        <f t="shared" si="18"/>
        <v>88685.290517040004</v>
      </c>
      <c r="S93" s="757">
        <f t="shared" si="18"/>
        <v>90458.996327380795</v>
      </c>
      <c r="T93" s="757">
        <f t="shared" si="18"/>
        <v>92268.176253928425</v>
      </c>
      <c r="U93" s="757">
        <f t="shared" si="18"/>
        <v>94113.539779006998</v>
      </c>
      <c r="V93" s="757">
        <f t="shared" si="18"/>
        <v>100386.31336458978</v>
      </c>
      <c r="W93" s="757">
        <f t="shared" si="18"/>
        <v>97915.726786078885</v>
      </c>
      <c r="X93" s="757">
        <f t="shared" si="18"/>
        <v>99874.041321800469</v>
      </c>
      <c r="Y93" s="757">
        <f t="shared" si="18"/>
        <v>101871.52214823647</v>
      </c>
      <c r="Z93" s="757">
        <f t="shared" si="18"/>
        <v>103908.9525912012</v>
      </c>
      <c r="AA93" s="757">
        <f t="shared" si="18"/>
        <v>110314.19747386317</v>
      </c>
      <c r="AB93" s="757">
        <f t="shared" si="18"/>
        <v>108106.87427588576</v>
      </c>
      <c r="AC93" s="757">
        <f t="shared" si="18"/>
        <v>110269.01176140344</v>
      </c>
      <c r="AD93" s="757">
        <f t="shared" si="18"/>
        <v>112474.39199663154</v>
      </c>
      <c r="AE93" s="757">
        <f t="shared" si="18"/>
        <v>114723.87983656416</v>
      </c>
    </row>
    <row r="94" spans="1:35" s="56" customFormat="1" ht="14.25">
      <c r="A94" s="164"/>
      <c r="B94" s="215"/>
      <c r="C94" s="216"/>
      <c r="D94" s="217"/>
      <c r="E94" s="218"/>
      <c r="F94" s="218"/>
      <c r="G94" s="218"/>
      <c r="H94" s="218"/>
      <c r="I94" s="219"/>
      <c r="J94" s="220"/>
      <c r="K94" s="687"/>
      <c r="L94" s="318"/>
      <c r="M94" s="318"/>
      <c r="N94" s="318"/>
      <c r="O94" s="318"/>
      <c r="P94" s="318"/>
      <c r="Q94" s="318"/>
      <c r="R94" s="318"/>
      <c r="S94" s="318"/>
      <c r="T94" s="318"/>
      <c r="U94" s="318"/>
      <c r="V94" s="318"/>
      <c r="W94" s="318"/>
      <c r="X94" s="318"/>
      <c r="Y94" s="318"/>
      <c r="Z94" s="318"/>
      <c r="AA94" s="318"/>
      <c r="AB94" s="318"/>
      <c r="AC94" s="318"/>
      <c r="AD94" s="318"/>
      <c r="AE94" s="318"/>
    </row>
    <row r="95" spans="1:35" s="56" customFormat="1" ht="14.25">
      <c r="A95" s="720" t="s">
        <v>26</v>
      </c>
      <c r="B95" s="215"/>
      <c r="C95" s="218"/>
      <c r="D95" s="721"/>
      <c r="E95" s="218"/>
      <c r="F95" s="218"/>
      <c r="G95" s="218"/>
      <c r="H95" s="218"/>
      <c r="I95" s="722"/>
      <c r="J95" s="220"/>
      <c r="K95" s="687"/>
      <c r="L95" s="318"/>
      <c r="M95" s="318"/>
      <c r="N95" s="318"/>
      <c r="O95" s="318"/>
      <c r="P95" s="318"/>
      <c r="Q95" s="318"/>
      <c r="R95" s="318"/>
      <c r="S95" s="318"/>
      <c r="T95" s="318"/>
      <c r="U95" s="318"/>
      <c r="V95" s="318"/>
      <c r="W95" s="318"/>
      <c r="X95" s="318"/>
      <c r="Y95" s="318"/>
      <c r="Z95" s="318"/>
      <c r="AA95" s="318"/>
      <c r="AB95" s="318"/>
      <c r="AC95" s="318"/>
      <c r="AD95" s="318"/>
      <c r="AE95" s="318"/>
      <c r="AF95" s="723"/>
      <c r="AG95" s="723"/>
      <c r="AH95" s="723"/>
      <c r="AI95" s="723"/>
    </row>
    <row r="96" spans="1:35">
      <c r="A96" s="190" t="s">
        <v>41</v>
      </c>
      <c r="B96" s="190"/>
      <c r="C96" s="194"/>
      <c r="D96" s="758"/>
      <c r="E96" s="194"/>
      <c r="F96" s="194"/>
      <c r="G96" s="759"/>
      <c r="H96" s="759"/>
      <c r="I96" s="760"/>
      <c r="J96" s="761"/>
      <c r="K96" s="689">
        <v>0</v>
      </c>
      <c r="L96" s="665">
        <v>1000</v>
      </c>
      <c r="M96" s="665">
        <f>$L$96*L11</f>
        <v>1020</v>
      </c>
      <c r="N96" s="665">
        <f t="shared" ref="N96:P96" si="19">$L$96*M11</f>
        <v>1040.4000000000001</v>
      </c>
      <c r="O96" s="665">
        <f t="shared" si="19"/>
        <v>1061.2079999999999</v>
      </c>
      <c r="P96" s="665">
        <f t="shared" si="19"/>
        <v>1082.4321600000001</v>
      </c>
      <c r="Q96" s="665">
        <v>25000</v>
      </c>
      <c r="R96" s="665">
        <f>$Q$96*L11</f>
        <v>25500</v>
      </c>
      <c r="S96" s="665">
        <f t="shared" ref="S96:AE96" si="20">$Q$96*M11</f>
        <v>26010</v>
      </c>
      <c r="T96" s="665">
        <f t="shared" si="20"/>
        <v>26530.199999999997</v>
      </c>
      <c r="U96" s="665">
        <f t="shared" si="20"/>
        <v>27060.804</v>
      </c>
      <c r="V96" s="665">
        <f t="shared" si="20"/>
        <v>27602.020080000002</v>
      </c>
      <c r="W96" s="665">
        <f t="shared" si="20"/>
        <v>28154.060481600001</v>
      </c>
      <c r="X96" s="665">
        <f t="shared" si="20"/>
        <v>28717.141691232002</v>
      </c>
      <c r="Y96" s="665">
        <f t="shared" si="20"/>
        <v>29291.484525056643</v>
      </c>
      <c r="Z96" s="665">
        <f t="shared" si="20"/>
        <v>29877.314215557777</v>
      </c>
      <c r="AA96" s="665">
        <f t="shared" si="20"/>
        <v>30474.860499868933</v>
      </c>
      <c r="AB96" s="665">
        <f t="shared" si="20"/>
        <v>31084.357709866312</v>
      </c>
      <c r="AC96" s="665">
        <f t="shared" si="20"/>
        <v>31706.044864063639</v>
      </c>
      <c r="AD96" s="665">
        <f t="shared" si="20"/>
        <v>32340.165761344906</v>
      </c>
      <c r="AE96" s="665">
        <f t="shared" si="20"/>
        <v>32986.969076571811</v>
      </c>
      <c r="AF96" s="55"/>
      <c r="AG96" s="55"/>
      <c r="AH96" s="55"/>
      <c r="AI96" s="55"/>
    </row>
    <row r="97" spans="1:33">
      <c r="A97" s="745" t="s">
        <v>302</v>
      </c>
      <c r="B97" s="745"/>
      <c r="C97" s="746"/>
      <c r="D97" s="116"/>
      <c r="E97" s="746"/>
      <c r="F97" s="746"/>
      <c r="G97" s="753"/>
      <c r="H97" s="753"/>
      <c r="I97" s="755"/>
      <c r="J97" s="762"/>
      <c r="K97" s="741">
        <v>0</v>
      </c>
      <c r="L97" s="742">
        <f>'Shuttle Projections'!C39/2</f>
        <v>233675</v>
      </c>
      <c r="M97" s="742">
        <f>'Shuttle Projections'!D39</f>
        <v>476697</v>
      </c>
      <c r="N97" s="742">
        <f>'Shuttle Projections'!E39</f>
        <v>486230.94000000006</v>
      </c>
      <c r="O97" s="742">
        <f>'Shuttle Projections'!F39</f>
        <v>495955.55879999994</v>
      </c>
      <c r="P97" s="742">
        <f>'Shuttle Projections'!G39</f>
        <v>505874.66997599998</v>
      </c>
      <c r="Q97" s="742">
        <f>'Shuttle Projections'!H39</f>
        <v>515992.16337552003</v>
      </c>
      <c r="R97" s="742">
        <f>'Shuttle Projections'!I39</f>
        <v>526312.00664303044</v>
      </c>
      <c r="S97" s="742">
        <f>'Shuttle Projections'!J39</f>
        <v>536838.24677589093</v>
      </c>
      <c r="T97" s="742">
        <f>'Shuttle Projections'!K39</f>
        <v>547575.01171140897</v>
      </c>
      <c r="U97" s="742">
        <f>'Shuttle Projections'!L39</f>
        <v>558526.51194563706</v>
      </c>
      <c r="V97" s="742">
        <f>'Shuttle Projections'!M39</f>
        <v>569697.04218454985</v>
      </c>
      <c r="W97" s="742">
        <f>'Shuttle Projections'!N39</f>
        <v>581090.98302824085</v>
      </c>
      <c r="X97" s="742">
        <f>'Shuttle Projections'!O39</f>
        <v>592712.80268880562</v>
      </c>
      <c r="Y97" s="742">
        <f>'Shuttle Projections'!P39</f>
        <v>604567.05874258175</v>
      </c>
      <c r="Z97" s="742">
        <f>'Shuttle Projections'!Q39</f>
        <v>616658.39991743339</v>
      </c>
      <c r="AA97" s="742">
        <f>'Shuttle Projections'!R39</f>
        <v>628991.5679157821</v>
      </c>
      <c r="AB97" s="742">
        <f>'Shuttle Projections'!S39</f>
        <v>641571.39927409776</v>
      </c>
      <c r="AC97" s="742">
        <f>'Shuttle Projections'!T39</f>
        <v>654402.82725957979</v>
      </c>
      <c r="AD97" s="742">
        <f>'Shuttle Projections'!U39</f>
        <v>667490.88380477135</v>
      </c>
      <c r="AE97" s="742">
        <f>'Shuttle Projections'!V39</f>
        <v>680840.70148086676</v>
      </c>
    </row>
    <row r="98" spans="1:33" s="56" customFormat="1" ht="14.25">
      <c r="A98" s="164" t="s">
        <v>410</v>
      </c>
      <c r="B98" s="164"/>
      <c r="C98" s="75"/>
      <c r="D98" s="173"/>
      <c r="E98" s="75"/>
      <c r="F98" s="75"/>
      <c r="G98" s="75"/>
      <c r="H98" s="75"/>
      <c r="I98" s="174"/>
      <c r="J98" s="175"/>
      <c r="K98" s="685">
        <v>0</v>
      </c>
      <c r="L98" s="669">
        <f>SUM(L96:L97)</f>
        <v>234675</v>
      </c>
      <c r="M98" s="669">
        <f t="shared" ref="M98:AE98" si="21">SUM(M96:M97)</f>
        <v>477717</v>
      </c>
      <c r="N98" s="669">
        <f t="shared" si="21"/>
        <v>487271.34000000008</v>
      </c>
      <c r="O98" s="669">
        <f t="shared" si="21"/>
        <v>497016.76679999992</v>
      </c>
      <c r="P98" s="669">
        <f t="shared" si="21"/>
        <v>506957.102136</v>
      </c>
      <c r="Q98" s="669">
        <f t="shared" si="21"/>
        <v>540992.16337552003</v>
      </c>
      <c r="R98" s="669">
        <f t="shared" si="21"/>
        <v>551812.00664303044</v>
      </c>
      <c r="S98" s="669">
        <f t="shared" si="21"/>
        <v>562848.24677589093</v>
      </c>
      <c r="T98" s="669">
        <f t="shared" si="21"/>
        <v>574105.21171140892</v>
      </c>
      <c r="U98" s="669">
        <f t="shared" si="21"/>
        <v>585587.31594563706</v>
      </c>
      <c r="V98" s="669">
        <f t="shared" si="21"/>
        <v>597299.0622645499</v>
      </c>
      <c r="W98" s="669">
        <f t="shared" si="21"/>
        <v>609245.04350984085</v>
      </c>
      <c r="X98" s="669">
        <f t="shared" si="21"/>
        <v>621429.9443800376</v>
      </c>
      <c r="Y98" s="669">
        <f t="shared" si="21"/>
        <v>633858.54326763842</v>
      </c>
      <c r="Z98" s="669">
        <f t="shared" si="21"/>
        <v>646535.71413299115</v>
      </c>
      <c r="AA98" s="669">
        <f t="shared" si="21"/>
        <v>659466.42841565108</v>
      </c>
      <c r="AB98" s="669">
        <f t="shared" si="21"/>
        <v>672655.75698396412</v>
      </c>
      <c r="AC98" s="669">
        <f t="shared" si="21"/>
        <v>686108.87212364341</v>
      </c>
      <c r="AD98" s="669">
        <f t="shared" si="21"/>
        <v>699831.0495661163</v>
      </c>
      <c r="AE98" s="669">
        <f t="shared" si="21"/>
        <v>713827.67055743863</v>
      </c>
    </row>
    <row r="99" spans="1:33" s="56" customFormat="1" ht="14.25">
      <c r="A99" s="164"/>
      <c r="B99" s="164"/>
      <c r="C99" s="75"/>
      <c r="D99" s="173"/>
      <c r="E99" s="75"/>
      <c r="F99" s="75"/>
      <c r="G99" s="75"/>
      <c r="H99" s="75"/>
      <c r="I99" s="174"/>
      <c r="J99" s="175"/>
      <c r="K99" s="685"/>
      <c r="L99" s="669"/>
      <c r="M99" s="669"/>
      <c r="N99" s="669"/>
      <c r="O99" s="669"/>
      <c r="P99" s="669"/>
      <c r="Q99" s="669"/>
      <c r="R99" s="669"/>
      <c r="S99" s="669"/>
      <c r="T99" s="669"/>
      <c r="U99" s="669"/>
      <c r="V99" s="669"/>
      <c r="W99" s="669"/>
      <c r="X99" s="669"/>
      <c r="Y99" s="669"/>
      <c r="Z99" s="669"/>
      <c r="AA99" s="669"/>
      <c r="AB99" s="669"/>
      <c r="AC99" s="669"/>
      <c r="AD99" s="669"/>
      <c r="AE99" s="669"/>
    </row>
    <row r="100" spans="1:33" s="56" customFormat="1" ht="14.25">
      <c r="A100" s="164" t="s">
        <v>78</v>
      </c>
      <c r="B100" s="164"/>
      <c r="C100" s="75"/>
      <c r="D100" s="173"/>
      <c r="E100" s="75"/>
      <c r="F100" s="75"/>
      <c r="G100" s="75"/>
      <c r="H100" s="75"/>
      <c r="I100" s="174"/>
      <c r="J100" s="175"/>
      <c r="K100" s="685">
        <v>0</v>
      </c>
      <c r="L100" s="669">
        <f>SUM(L93,L98)</f>
        <v>321425</v>
      </c>
      <c r="M100" s="669">
        <f t="shared" ref="M100:AE100" si="22">SUM(M93,M98)</f>
        <v>558032</v>
      </c>
      <c r="N100" s="669">
        <f t="shared" si="22"/>
        <v>569202.84000000008</v>
      </c>
      <c r="O100" s="669">
        <f t="shared" si="22"/>
        <v>580586.89679999999</v>
      </c>
      <c r="P100" s="669">
        <f t="shared" si="22"/>
        <v>592198.63473599998</v>
      </c>
      <c r="Q100" s="669">
        <f t="shared" si="22"/>
        <v>632386.48622592003</v>
      </c>
      <c r="R100" s="669">
        <f t="shared" si="22"/>
        <v>640497.29716007039</v>
      </c>
      <c r="S100" s="669">
        <f t="shared" si="22"/>
        <v>653307.2431032717</v>
      </c>
      <c r="T100" s="669">
        <f t="shared" si="22"/>
        <v>666373.38796533737</v>
      </c>
      <c r="U100" s="669">
        <f t="shared" si="22"/>
        <v>679700.85572464403</v>
      </c>
      <c r="V100" s="669">
        <f t="shared" si="22"/>
        <v>697685.37562913971</v>
      </c>
      <c r="W100" s="669">
        <f t="shared" si="22"/>
        <v>707160.77029591973</v>
      </c>
      <c r="X100" s="669">
        <f t="shared" si="22"/>
        <v>721303.98570183804</v>
      </c>
      <c r="Y100" s="669">
        <f t="shared" si="22"/>
        <v>735730.06541587494</v>
      </c>
      <c r="Z100" s="669">
        <f t="shared" si="22"/>
        <v>750444.66672419233</v>
      </c>
      <c r="AA100" s="669">
        <f t="shared" si="22"/>
        <v>769780.62588951422</v>
      </c>
      <c r="AB100" s="669">
        <f t="shared" si="22"/>
        <v>780762.63125984988</v>
      </c>
      <c r="AC100" s="669">
        <f t="shared" si="22"/>
        <v>796377.88388504682</v>
      </c>
      <c r="AD100" s="669">
        <f t="shared" si="22"/>
        <v>812305.44156274782</v>
      </c>
      <c r="AE100" s="669">
        <f t="shared" si="22"/>
        <v>828551.55039400281</v>
      </c>
    </row>
    <row r="101" spans="1:33">
      <c r="A101" s="47"/>
      <c r="B101" s="47"/>
      <c r="C101" s="78"/>
      <c r="D101" s="100"/>
      <c r="E101" s="78"/>
      <c r="F101" s="78"/>
      <c r="G101" s="78"/>
      <c r="H101" s="78"/>
      <c r="I101" s="52"/>
      <c r="J101" s="114"/>
      <c r="K101" s="683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</row>
    <row r="102" spans="1:33">
      <c r="A102" s="168" t="s">
        <v>25</v>
      </c>
      <c r="B102" s="168"/>
      <c r="C102" s="176"/>
      <c r="D102" s="177"/>
      <c r="E102" s="176"/>
      <c r="F102" s="176"/>
      <c r="G102" s="176"/>
      <c r="H102" s="176"/>
      <c r="I102" s="178"/>
      <c r="J102" s="179"/>
      <c r="K102" s="682"/>
      <c r="L102" s="319"/>
      <c r="M102" s="319"/>
      <c r="N102" s="319"/>
      <c r="O102" s="319"/>
      <c r="P102" s="319"/>
      <c r="Q102" s="319"/>
      <c r="R102" s="319"/>
      <c r="S102" s="319"/>
      <c r="T102" s="319"/>
      <c r="U102" s="319"/>
      <c r="V102" s="319"/>
      <c r="W102" s="319"/>
      <c r="X102" s="319"/>
      <c r="Y102" s="319"/>
      <c r="Z102" s="319"/>
      <c r="AA102" s="319"/>
      <c r="AB102" s="319"/>
      <c r="AC102" s="319"/>
      <c r="AD102" s="319"/>
      <c r="AE102" s="319"/>
    </row>
    <row r="103" spans="1:33" s="252" customFormat="1">
      <c r="A103" s="183"/>
      <c r="B103" s="183"/>
      <c r="C103" s="185"/>
      <c r="D103" s="186"/>
      <c r="E103" s="185"/>
      <c r="F103" s="185"/>
      <c r="G103" s="185"/>
      <c r="H103" s="185"/>
      <c r="I103" s="302"/>
      <c r="J103" s="188"/>
      <c r="K103" s="683"/>
      <c r="L103" s="320"/>
      <c r="M103" s="320"/>
      <c r="N103" s="320"/>
      <c r="O103" s="320"/>
      <c r="P103" s="320"/>
      <c r="Q103" s="320"/>
      <c r="R103" s="320"/>
      <c r="S103" s="320"/>
      <c r="T103" s="320"/>
      <c r="U103" s="320"/>
      <c r="V103" s="320"/>
      <c r="W103" s="320"/>
      <c r="X103" s="320"/>
      <c r="Y103" s="320"/>
      <c r="Z103" s="320"/>
      <c r="AA103" s="320"/>
      <c r="AB103" s="320"/>
      <c r="AC103" s="320"/>
      <c r="AD103" s="320"/>
      <c r="AE103" s="320"/>
    </row>
    <row r="104" spans="1:33">
      <c r="A104" s="37" t="s">
        <v>425</v>
      </c>
      <c r="B104" s="37"/>
      <c r="C104" s="57"/>
      <c r="E104" s="57"/>
      <c r="F104" s="57"/>
      <c r="G104" s="57"/>
      <c r="H104" s="998"/>
      <c r="I104" s="51" t="s">
        <v>532</v>
      </c>
      <c r="J104" s="624">
        <f>((10800/6)*7)+((11000/6)*7)</f>
        <v>25433.333333333332</v>
      </c>
      <c r="K104" s="683">
        <v>0</v>
      </c>
      <c r="L104" s="671">
        <f>J104</f>
        <v>25433.333333333332</v>
      </c>
      <c r="M104" s="671">
        <f>$L$104*L11</f>
        <v>25942</v>
      </c>
      <c r="N104" s="671">
        <f t="shared" ref="N104:AE104" si="23">$L$104*M11</f>
        <v>26460.84</v>
      </c>
      <c r="O104" s="671">
        <f t="shared" si="23"/>
        <v>26990.056799999998</v>
      </c>
      <c r="P104" s="671">
        <f t="shared" si="23"/>
        <v>27529.857935999997</v>
      </c>
      <c r="Q104" s="671">
        <f t="shared" si="23"/>
        <v>28080.45509472</v>
      </c>
      <c r="R104" s="671">
        <f t="shared" si="23"/>
        <v>28642.064196614399</v>
      </c>
      <c r="S104" s="671">
        <f t="shared" si="23"/>
        <v>29214.905480546688</v>
      </c>
      <c r="T104" s="671">
        <f t="shared" si="23"/>
        <v>29799.203590157624</v>
      </c>
      <c r="U104" s="671">
        <f t="shared" si="23"/>
        <v>30395.187661960776</v>
      </c>
      <c r="V104" s="671">
        <f t="shared" si="23"/>
        <v>31003.091415199993</v>
      </c>
      <c r="W104" s="671">
        <f t="shared" si="23"/>
        <v>31623.153243503992</v>
      </c>
      <c r="X104" s="671">
        <f t="shared" si="23"/>
        <v>32255.616308374072</v>
      </c>
      <c r="Y104" s="671">
        <f t="shared" si="23"/>
        <v>32900.728634541549</v>
      </c>
      <c r="Z104" s="671">
        <f t="shared" si="23"/>
        <v>33558.743207232386</v>
      </c>
      <c r="AA104" s="671">
        <f t="shared" si="23"/>
        <v>34229.918071377033</v>
      </c>
      <c r="AB104" s="671">
        <f t="shared" si="23"/>
        <v>34914.516432804579</v>
      </c>
      <c r="AC104" s="671">
        <f t="shared" si="23"/>
        <v>35612.80676146067</v>
      </c>
      <c r="AD104" s="671">
        <f t="shared" si="23"/>
        <v>36325.062896689888</v>
      </c>
      <c r="AE104" s="671">
        <f t="shared" si="23"/>
        <v>37051.56415462368</v>
      </c>
    </row>
    <row r="105" spans="1:33">
      <c r="A105" s="37" t="s">
        <v>16</v>
      </c>
      <c r="B105" s="37"/>
      <c r="C105" s="57"/>
      <c r="E105" s="57"/>
      <c r="F105" s="57"/>
      <c r="G105" s="57"/>
      <c r="H105" s="998"/>
      <c r="I105" s="51" t="s">
        <v>17</v>
      </c>
      <c r="J105" s="624">
        <f>1250</f>
        <v>1250</v>
      </c>
      <c r="K105" s="683">
        <v>0</v>
      </c>
      <c r="L105" s="671">
        <f>J105*7</f>
        <v>8750</v>
      </c>
      <c r="M105" s="671">
        <f>$L$105*L11</f>
        <v>8925</v>
      </c>
      <c r="N105" s="671">
        <f t="shared" ref="N105:AE105" si="24">$L$105*M11</f>
        <v>9103.5</v>
      </c>
      <c r="O105" s="671">
        <f t="shared" si="24"/>
        <v>9285.57</v>
      </c>
      <c r="P105" s="671">
        <f t="shared" si="24"/>
        <v>9471.2813999999998</v>
      </c>
      <c r="Q105" s="671">
        <f t="shared" si="24"/>
        <v>9660.7070280000007</v>
      </c>
      <c r="R105" s="671">
        <f t="shared" si="24"/>
        <v>9853.9211685600003</v>
      </c>
      <c r="S105" s="671">
        <f t="shared" si="24"/>
        <v>10050.9995919312</v>
      </c>
      <c r="T105" s="671">
        <f t="shared" si="24"/>
        <v>10252.019583769825</v>
      </c>
      <c r="U105" s="671">
        <f t="shared" si="24"/>
        <v>10457.059975445221</v>
      </c>
      <c r="V105" s="671">
        <f t="shared" si="24"/>
        <v>10666.201174954127</v>
      </c>
      <c r="W105" s="671">
        <f t="shared" si="24"/>
        <v>10879.52519845321</v>
      </c>
      <c r="X105" s="671">
        <f t="shared" si="24"/>
        <v>11097.115702422274</v>
      </c>
      <c r="Y105" s="671">
        <f t="shared" si="24"/>
        <v>11319.058016470717</v>
      </c>
      <c r="Z105" s="671">
        <f t="shared" si="24"/>
        <v>11545.439176800133</v>
      </c>
      <c r="AA105" s="671">
        <f t="shared" si="24"/>
        <v>11776.347960336136</v>
      </c>
      <c r="AB105" s="671">
        <f t="shared" si="24"/>
        <v>12011.874919542859</v>
      </c>
      <c r="AC105" s="671">
        <f t="shared" si="24"/>
        <v>12252.112417933717</v>
      </c>
      <c r="AD105" s="671">
        <f t="shared" si="24"/>
        <v>12497.154666292392</v>
      </c>
      <c r="AE105" s="671">
        <f t="shared" si="24"/>
        <v>12747.09775961824</v>
      </c>
    </row>
    <row r="106" spans="1:33" s="702" customFormat="1">
      <c r="A106" s="701" t="s">
        <v>53</v>
      </c>
      <c r="B106" s="701"/>
      <c r="C106" s="705"/>
      <c r="D106" s="984"/>
      <c r="E106" s="705"/>
      <c r="F106" s="705"/>
      <c r="G106" s="705"/>
      <c r="H106" s="985"/>
      <c r="I106" s="706" t="s">
        <v>17</v>
      </c>
      <c r="J106" s="986">
        <v>0</v>
      </c>
      <c r="K106" s="987">
        <v>0</v>
      </c>
      <c r="L106" s="988">
        <f t="shared" ref="L106:L107" si="25">J106*12</f>
        <v>0</v>
      </c>
      <c r="M106" s="988">
        <f t="shared" ref="M106:M107" si="26">L106*1.03</f>
        <v>0</v>
      </c>
      <c r="N106" s="988">
        <f t="shared" ref="N106:N107" si="27">M106*1.03</f>
        <v>0</v>
      </c>
      <c r="O106" s="988">
        <f t="shared" ref="O106:O107" si="28">N106*1.03</f>
        <v>0</v>
      </c>
      <c r="P106" s="988">
        <f t="shared" ref="P106:P107" si="29">O106*1.03</f>
        <v>0</v>
      </c>
      <c r="Q106" s="988">
        <f t="shared" ref="Q106:Q107" si="30">P106*1.03</f>
        <v>0</v>
      </c>
      <c r="R106" s="988">
        <f t="shared" ref="R106:R107" si="31">Q106*1.03</f>
        <v>0</v>
      </c>
      <c r="S106" s="988">
        <f t="shared" ref="S106:S107" si="32">R106*1.03</f>
        <v>0</v>
      </c>
      <c r="T106" s="988">
        <f t="shared" ref="T106:T107" si="33">S106*1.03</f>
        <v>0</v>
      </c>
      <c r="U106" s="988">
        <f t="shared" ref="U106:U107" si="34">T106*1.03</f>
        <v>0</v>
      </c>
      <c r="V106" s="988">
        <f t="shared" ref="V106:V107" si="35">U106*1.03</f>
        <v>0</v>
      </c>
      <c r="W106" s="988">
        <f t="shared" ref="W106:W107" si="36">V106*1.03</f>
        <v>0</v>
      </c>
      <c r="X106" s="988">
        <f t="shared" ref="X106:X107" si="37">W106*1.03</f>
        <v>0</v>
      </c>
      <c r="Y106" s="988">
        <f t="shared" ref="Y106:Y107" si="38">X106*1.03</f>
        <v>0</v>
      </c>
      <c r="Z106" s="988">
        <f t="shared" ref="Z106:Z107" si="39">Y106*1.03</f>
        <v>0</v>
      </c>
      <c r="AA106" s="988">
        <f t="shared" ref="AA106:AA107" si="40">Z106*1.03</f>
        <v>0</v>
      </c>
      <c r="AB106" s="988">
        <f t="shared" ref="AB106:AB107" si="41">AA106*1.03</f>
        <v>0</v>
      </c>
      <c r="AC106" s="988">
        <f t="shared" ref="AC106:AC107" si="42">AB106*1.03</f>
        <v>0</v>
      </c>
      <c r="AD106" s="988">
        <f t="shared" ref="AD106:AD107" si="43">AC106*1.03</f>
        <v>0</v>
      </c>
      <c r="AE106" s="988">
        <f t="shared" ref="AE106:AE107" si="44">AD106*1.03</f>
        <v>0</v>
      </c>
    </row>
    <row r="107" spans="1:33" s="702" customFormat="1">
      <c r="A107" s="989" t="s">
        <v>54</v>
      </c>
      <c r="B107" s="990"/>
      <c r="C107" s="991"/>
      <c r="D107" s="992"/>
      <c r="E107" s="991"/>
      <c r="F107" s="991"/>
      <c r="G107" s="991"/>
      <c r="H107" s="993"/>
      <c r="I107" s="994" t="s">
        <v>17</v>
      </c>
      <c r="J107" s="995">
        <v>0</v>
      </c>
      <c r="K107" s="996">
        <v>0</v>
      </c>
      <c r="L107" s="997">
        <f t="shared" si="25"/>
        <v>0</v>
      </c>
      <c r="M107" s="997">
        <f t="shared" si="26"/>
        <v>0</v>
      </c>
      <c r="N107" s="997">
        <f t="shared" si="27"/>
        <v>0</v>
      </c>
      <c r="O107" s="997">
        <f t="shared" si="28"/>
        <v>0</v>
      </c>
      <c r="P107" s="997">
        <f t="shared" si="29"/>
        <v>0</v>
      </c>
      <c r="Q107" s="997">
        <f t="shared" si="30"/>
        <v>0</v>
      </c>
      <c r="R107" s="997">
        <f t="shared" si="31"/>
        <v>0</v>
      </c>
      <c r="S107" s="997">
        <f t="shared" si="32"/>
        <v>0</v>
      </c>
      <c r="T107" s="997">
        <f t="shared" si="33"/>
        <v>0</v>
      </c>
      <c r="U107" s="997">
        <f t="shared" si="34"/>
        <v>0</v>
      </c>
      <c r="V107" s="997">
        <f t="shared" si="35"/>
        <v>0</v>
      </c>
      <c r="W107" s="997">
        <f t="shared" si="36"/>
        <v>0</v>
      </c>
      <c r="X107" s="997">
        <f t="shared" si="37"/>
        <v>0</v>
      </c>
      <c r="Y107" s="997">
        <f t="shared" si="38"/>
        <v>0</v>
      </c>
      <c r="Z107" s="997">
        <f t="shared" si="39"/>
        <v>0</v>
      </c>
      <c r="AA107" s="997">
        <f t="shared" si="40"/>
        <v>0</v>
      </c>
      <c r="AB107" s="997">
        <f t="shared" si="41"/>
        <v>0</v>
      </c>
      <c r="AC107" s="997">
        <f t="shared" si="42"/>
        <v>0</v>
      </c>
      <c r="AD107" s="997">
        <f t="shared" si="43"/>
        <v>0</v>
      </c>
      <c r="AE107" s="997">
        <f t="shared" si="44"/>
        <v>0</v>
      </c>
    </row>
    <row r="108" spans="1:33" s="56" customFormat="1" ht="14.25">
      <c r="A108" s="56" t="s">
        <v>55</v>
      </c>
      <c r="B108" s="164"/>
      <c r="C108" s="75"/>
      <c r="D108" s="173"/>
      <c r="E108" s="75"/>
      <c r="F108" s="75"/>
      <c r="G108" s="75"/>
      <c r="H108" s="75"/>
      <c r="I108" s="999"/>
      <c r="J108" s="1000"/>
      <c r="K108" s="685">
        <v>0</v>
      </c>
      <c r="L108" s="1001">
        <f>SUM(L104:L107)</f>
        <v>34183.333333333328</v>
      </c>
      <c r="M108" s="1001">
        <f t="shared" ref="M108" si="45">SUM(M104:M107)</f>
        <v>34867</v>
      </c>
      <c r="N108" s="1001">
        <f t="shared" ref="N108" si="46">SUM(N104:N107)</f>
        <v>35564.339999999997</v>
      </c>
      <c r="O108" s="1001">
        <f t="shared" ref="O108" si="47">SUM(O104:O107)</f>
        <v>36275.626799999998</v>
      </c>
      <c r="P108" s="1001">
        <f t="shared" ref="P108" si="48">SUM(P104:P107)</f>
        <v>37001.139335999993</v>
      </c>
      <c r="Q108" s="1001">
        <f t="shared" ref="Q108" si="49">SUM(Q104:Q107)</f>
        <v>37741.162122720001</v>
      </c>
      <c r="R108" s="1001">
        <f t="shared" ref="R108" si="50">SUM(R104:R107)</f>
        <v>38495.985365174398</v>
      </c>
      <c r="S108" s="1001">
        <f t="shared" ref="S108" si="51">SUM(S104:S107)</f>
        <v>39265.905072477886</v>
      </c>
      <c r="T108" s="1001">
        <f t="shared" ref="T108" si="52">SUM(T104:T107)</f>
        <v>40051.22317392745</v>
      </c>
      <c r="U108" s="1001">
        <f t="shared" ref="U108" si="53">SUM(U104:U107)</f>
        <v>40852.247637405999</v>
      </c>
      <c r="V108" s="1001">
        <f t="shared" ref="V108" si="54">SUM(V104:V107)</f>
        <v>41669.292590154117</v>
      </c>
      <c r="W108" s="1001">
        <f t="shared" ref="W108" si="55">SUM(W104:W107)</f>
        <v>42502.6784419572</v>
      </c>
      <c r="X108" s="1001">
        <f t="shared" ref="X108" si="56">SUM(X104:X107)</f>
        <v>43352.732010796346</v>
      </c>
      <c r="Y108" s="1001">
        <f t="shared" ref="Y108" si="57">SUM(Y104:Y107)</f>
        <v>44219.786651012269</v>
      </c>
      <c r="Z108" s="1001">
        <f t="shared" ref="Z108" si="58">SUM(Z104:Z107)</f>
        <v>45104.182384032523</v>
      </c>
      <c r="AA108" s="1001">
        <f t="shared" ref="AA108" si="59">SUM(AA104:AA107)</f>
        <v>46006.266031713167</v>
      </c>
      <c r="AB108" s="1001">
        <f t="shared" ref="AB108" si="60">SUM(AB104:AB107)</f>
        <v>46926.39135234744</v>
      </c>
      <c r="AC108" s="1001">
        <f t="shared" ref="AC108" si="61">SUM(AC104:AC107)</f>
        <v>47864.91917939439</v>
      </c>
      <c r="AD108" s="1001">
        <f t="shared" ref="AD108" si="62">SUM(AD104:AD107)</f>
        <v>48822.217562982281</v>
      </c>
      <c r="AE108" s="1001">
        <f t="shared" ref="AE108" si="63">SUM(AE104:AE107)</f>
        <v>49798.661914241922</v>
      </c>
    </row>
    <row r="109" spans="1:33">
      <c r="A109" s="56"/>
      <c r="B109" s="37"/>
      <c r="C109" s="57"/>
      <c r="E109" s="57"/>
      <c r="F109" s="57"/>
      <c r="G109" s="57"/>
      <c r="H109" s="57"/>
      <c r="I109" s="51"/>
      <c r="J109" s="624"/>
      <c r="K109" s="683"/>
      <c r="L109" s="666"/>
      <c r="M109" s="666"/>
      <c r="N109" s="666"/>
      <c r="O109" s="666"/>
      <c r="P109" s="666"/>
      <c r="Q109" s="666"/>
      <c r="R109" s="666"/>
      <c r="S109" s="666"/>
      <c r="T109" s="666"/>
      <c r="U109" s="666"/>
      <c r="V109" s="666"/>
      <c r="W109" s="666"/>
      <c r="X109" s="666"/>
      <c r="Y109" s="666"/>
      <c r="Z109" s="666"/>
      <c r="AA109" s="666"/>
      <c r="AB109" s="666"/>
      <c r="AC109" s="666"/>
      <c r="AD109" s="666"/>
      <c r="AE109" s="666"/>
    </row>
    <row r="110" spans="1:33">
      <c r="A110" s="47" t="s">
        <v>7</v>
      </c>
      <c r="B110" s="47" t="s">
        <v>7</v>
      </c>
      <c r="C110" s="78" t="s">
        <v>7</v>
      </c>
      <c r="D110" s="100"/>
      <c r="E110" s="78" t="s">
        <v>7</v>
      </c>
      <c r="F110" s="78"/>
      <c r="G110" s="78" t="s">
        <v>7</v>
      </c>
      <c r="H110" s="78"/>
      <c r="I110" s="52" t="s">
        <v>7</v>
      </c>
      <c r="J110" s="672"/>
      <c r="K110" s="673"/>
      <c r="L110" s="672"/>
      <c r="M110" s="672"/>
      <c r="N110" s="672"/>
      <c r="O110" s="672"/>
      <c r="P110" s="672"/>
      <c r="Q110" s="672"/>
      <c r="R110" s="672"/>
      <c r="S110" s="672"/>
      <c r="T110" s="672"/>
      <c r="U110" s="672"/>
      <c r="V110" s="672"/>
      <c r="W110" s="672"/>
      <c r="X110" s="672"/>
      <c r="Y110" s="672"/>
      <c r="Z110" s="672"/>
      <c r="AA110" s="672"/>
      <c r="AB110" s="672"/>
      <c r="AC110" s="672"/>
      <c r="AD110" s="672"/>
      <c r="AE110" s="672"/>
    </row>
    <row r="111" spans="1:33">
      <c r="A111" s="47"/>
      <c r="B111" s="47"/>
      <c r="C111" s="78"/>
      <c r="D111" s="100"/>
      <c r="E111" s="78"/>
      <c r="F111" s="78"/>
      <c r="G111" s="78"/>
      <c r="H111" s="78"/>
      <c r="I111" s="52"/>
      <c r="J111" s="672"/>
      <c r="K111" s="683"/>
      <c r="L111" s="666"/>
      <c r="M111" s="666"/>
      <c r="N111" s="666"/>
      <c r="O111" s="666"/>
      <c r="P111" s="666"/>
      <c r="Q111" s="666"/>
      <c r="R111" s="666"/>
      <c r="S111" s="666"/>
      <c r="T111" s="666"/>
      <c r="U111" s="666"/>
      <c r="V111" s="666"/>
      <c r="W111" s="666"/>
      <c r="X111" s="666"/>
      <c r="Y111" s="666"/>
      <c r="Z111" s="666"/>
      <c r="AA111" s="666"/>
      <c r="AB111" s="666"/>
      <c r="AC111" s="666"/>
      <c r="AD111" s="666"/>
      <c r="AE111" s="666"/>
    </row>
    <row r="112" spans="1:33" s="56" customFormat="1" ht="14.25">
      <c r="A112" s="203" t="s">
        <v>303</v>
      </c>
      <c r="B112" s="203"/>
      <c r="C112" s="204"/>
      <c r="D112" s="205"/>
      <c r="E112" s="204"/>
      <c r="F112" s="204"/>
      <c r="G112" s="204"/>
      <c r="H112" s="204"/>
      <c r="I112" s="206"/>
      <c r="J112" s="674"/>
      <c r="K112" s="676">
        <f>SUM(K79,K100,K108)</f>
        <v>0</v>
      </c>
      <c r="L112" s="676">
        <f>SUM(L79,L100,L108)</f>
        <v>367858.33333333331</v>
      </c>
      <c r="M112" s="676">
        <f t="shared" ref="M112:AE112" si="64">SUM(M79,M100,M108)</f>
        <v>743399</v>
      </c>
      <c r="N112" s="676">
        <f t="shared" si="64"/>
        <v>758277.18</v>
      </c>
      <c r="O112" s="676">
        <f t="shared" si="64"/>
        <v>773442.72359999991</v>
      </c>
      <c r="P112" s="676">
        <f t="shared" si="64"/>
        <v>788911.57807199995</v>
      </c>
      <c r="Q112" s="676">
        <f t="shared" si="64"/>
        <v>833033.68842864002</v>
      </c>
      <c r="R112" s="676">
        <f t="shared" si="64"/>
        <v>845157.44340684474</v>
      </c>
      <c r="S112" s="676">
        <f t="shared" si="64"/>
        <v>862060.59227498155</v>
      </c>
      <c r="T112" s="676">
        <f t="shared" si="64"/>
        <v>879301.80412048136</v>
      </c>
      <c r="U112" s="676">
        <f t="shared" si="64"/>
        <v>896887.84020289104</v>
      </c>
      <c r="V112" s="676">
        <f t="shared" si="64"/>
        <v>919216.09979695163</v>
      </c>
      <c r="W112" s="676">
        <f t="shared" si="64"/>
        <v>933122.10894708789</v>
      </c>
      <c r="X112" s="676">
        <f t="shared" si="64"/>
        <v>951784.55112602958</v>
      </c>
      <c r="Y112" s="676">
        <f t="shared" si="64"/>
        <v>970820.24214855023</v>
      </c>
      <c r="Z112" s="676">
        <f t="shared" si="64"/>
        <v>990236.64699152112</v>
      </c>
      <c r="AA112" s="676">
        <f t="shared" si="64"/>
        <v>1014368.4457621898</v>
      </c>
      <c r="AB112" s="676">
        <f t="shared" si="64"/>
        <v>1030242.2075299788</v>
      </c>
      <c r="AC112" s="676">
        <f t="shared" si="64"/>
        <v>1050847.0516805784</v>
      </c>
      <c r="AD112" s="676">
        <f t="shared" si="64"/>
        <v>1071863.9927141902</v>
      </c>
      <c r="AE112" s="676">
        <f t="shared" si="64"/>
        <v>1093301.2725684738</v>
      </c>
      <c r="AG112" s="199"/>
    </row>
    <row r="113" spans="1:33">
      <c r="A113" s="37"/>
      <c r="B113" s="37"/>
      <c r="C113" s="57"/>
      <c r="E113" s="110"/>
      <c r="F113" s="110"/>
      <c r="G113" s="57"/>
      <c r="H113" s="57"/>
      <c r="I113" s="43"/>
      <c r="J113" s="44"/>
      <c r="K113" s="683"/>
      <c r="L113" s="115"/>
      <c r="M113" s="115"/>
      <c r="N113" s="115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5"/>
      <c r="Z113" s="115"/>
      <c r="AA113" s="115"/>
      <c r="AB113" s="115"/>
      <c r="AC113" s="115"/>
      <c r="AD113" s="115"/>
      <c r="AE113" s="115"/>
      <c r="AG113" s="199"/>
    </row>
    <row r="114" spans="1:33">
      <c r="A114" s="47" t="s">
        <v>7</v>
      </c>
      <c r="B114" s="47" t="s">
        <v>7</v>
      </c>
      <c r="C114" s="78" t="s">
        <v>7</v>
      </c>
      <c r="D114" s="100"/>
      <c r="E114" s="78" t="s">
        <v>7</v>
      </c>
      <c r="F114" s="78"/>
      <c r="G114" s="78" t="s">
        <v>7</v>
      </c>
      <c r="H114" s="78"/>
      <c r="I114" s="52" t="s">
        <v>7</v>
      </c>
      <c r="J114" s="114"/>
      <c r="K114" s="673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G114" s="199"/>
    </row>
    <row r="115" spans="1:33">
      <c r="A115" s="47"/>
      <c r="B115" s="47"/>
      <c r="C115" s="78"/>
      <c r="D115" s="100"/>
      <c r="E115" s="78"/>
      <c r="F115" s="78"/>
      <c r="G115" s="78"/>
      <c r="H115" s="78"/>
      <c r="I115" s="52"/>
      <c r="J115" s="114"/>
      <c r="K115" s="683"/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5"/>
      <c r="Z115" s="115"/>
      <c r="AA115" s="115"/>
      <c r="AB115" s="115"/>
      <c r="AC115" s="115"/>
      <c r="AD115" s="115"/>
      <c r="AE115" s="115"/>
      <c r="AG115" s="199"/>
    </row>
    <row r="116" spans="1:33">
      <c r="A116" s="168" t="s">
        <v>71</v>
      </c>
      <c r="B116" s="171"/>
      <c r="C116" s="176"/>
      <c r="D116" s="177"/>
      <c r="E116" s="176"/>
      <c r="F116" s="176"/>
      <c r="G116" s="176"/>
      <c r="H116" s="176"/>
      <c r="I116" s="182"/>
      <c r="J116" s="179"/>
      <c r="K116" s="682"/>
      <c r="L116" s="319"/>
      <c r="M116" s="319"/>
      <c r="N116" s="319"/>
      <c r="O116" s="319"/>
      <c r="P116" s="319"/>
      <c r="Q116" s="319"/>
      <c r="R116" s="319"/>
      <c r="S116" s="319"/>
      <c r="T116" s="319"/>
      <c r="U116" s="319"/>
      <c r="V116" s="319"/>
      <c r="W116" s="319"/>
      <c r="X116" s="319"/>
      <c r="Y116" s="319"/>
      <c r="Z116" s="319"/>
      <c r="AA116" s="319"/>
      <c r="AB116" s="319"/>
      <c r="AC116" s="319"/>
      <c r="AD116" s="319"/>
      <c r="AE116" s="319"/>
      <c r="AG116" s="199"/>
    </row>
    <row r="117" spans="1:33" s="252" customFormat="1">
      <c r="A117" s="183"/>
      <c r="B117" s="184"/>
      <c r="C117" s="185"/>
      <c r="D117" s="186"/>
      <c r="E117" s="185"/>
      <c r="F117" s="185"/>
      <c r="G117" s="185"/>
      <c r="H117" s="185"/>
      <c r="I117" s="187"/>
      <c r="J117" s="188"/>
      <c r="K117" s="683"/>
      <c r="L117" s="320"/>
      <c r="M117" s="320"/>
      <c r="N117" s="320"/>
      <c r="O117" s="320"/>
      <c r="P117" s="320"/>
      <c r="Q117" s="320"/>
      <c r="R117" s="320"/>
      <c r="S117" s="320"/>
      <c r="T117" s="320"/>
      <c r="U117" s="320"/>
      <c r="V117" s="320"/>
      <c r="W117" s="320"/>
      <c r="X117" s="320"/>
      <c r="Y117" s="320"/>
      <c r="Z117" s="320"/>
      <c r="AA117" s="320"/>
      <c r="AB117" s="320"/>
      <c r="AC117" s="320"/>
      <c r="AD117" s="320"/>
      <c r="AE117" s="320"/>
      <c r="AG117" s="363"/>
    </row>
    <row r="118" spans="1:33">
      <c r="A118" s="39" t="s">
        <v>0</v>
      </c>
      <c r="B118" s="39"/>
      <c r="C118" s="102"/>
      <c r="D118" s="103"/>
      <c r="E118" s="104"/>
      <c r="F118" s="104"/>
      <c r="G118" s="104"/>
      <c r="H118" s="104"/>
      <c r="I118" s="39"/>
      <c r="J118" s="104"/>
      <c r="K118" s="688"/>
      <c r="L118" s="335"/>
      <c r="M118" s="335"/>
      <c r="N118" s="335"/>
      <c r="O118" s="335"/>
      <c r="P118" s="335"/>
      <c r="Q118" s="335"/>
      <c r="R118" s="335"/>
      <c r="S118" s="335"/>
      <c r="T118" s="335"/>
      <c r="U118" s="335"/>
      <c r="V118" s="335"/>
      <c r="W118" s="335"/>
      <c r="X118" s="335"/>
      <c r="Y118" s="335"/>
      <c r="Z118" s="335"/>
      <c r="AA118" s="335"/>
      <c r="AB118" s="335"/>
      <c r="AC118" s="335"/>
      <c r="AD118" s="335"/>
      <c r="AE118" s="335"/>
    </row>
    <row r="119" spans="1:33">
      <c r="A119" s="41" t="s">
        <v>13</v>
      </c>
      <c r="B119" s="41"/>
      <c r="C119" s="105"/>
      <c r="D119" s="106"/>
      <c r="E119" s="37"/>
      <c r="F119" s="37"/>
      <c r="G119" s="37"/>
      <c r="H119" s="37"/>
      <c r="I119" s="41"/>
      <c r="J119" s="37"/>
      <c r="K119" s="683"/>
      <c r="L119" s="200"/>
      <c r="M119" s="200"/>
      <c r="N119" s="200"/>
      <c r="O119" s="200"/>
      <c r="P119" s="200"/>
      <c r="Q119" s="200"/>
      <c r="R119" s="200"/>
      <c r="S119" s="200"/>
      <c r="T119" s="200"/>
      <c r="U119" s="201"/>
      <c r="V119" s="323"/>
      <c r="W119" s="200"/>
      <c r="X119" s="200"/>
      <c r="Y119" s="200"/>
      <c r="Z119" s="200"/>
      <c r="AA119" s="200"/>
      <c r="AB119" s="200"/>
      <c r="AC119" s="200"/>
      <c r="AD119" s="200"/>
      <c r="AE119" s="201"/>
    </row>
    <row r="120" spans="1:33">
      <c r="A120" s="96" t="s">
        <v>56</v>
      </c>
      <c r="B120" s="735" t="s">
        <v>12</v>
      </c>
      <c r="C120" s="663">
        <v>55000</v>
      </c>
      <c r="D120" s="736">
        <f>C120/2080</f>
        <v>26.442307692307693</v>
      </c>
      <c r="E120" s="663">
        <v>0</v>
      </c>
      <c r="F120" s="663">
        <f>C120*$F$13</f>
        <v>22000</v>
      </c>
      <c r="G120" s="663">
        <f>SUM(C120,E120:F120)</f>
        <v>77000</v>
      </c>
      <c r="H120" s="736">
        <f>G120/2080*8</f>
        <v>296.15384615384613</v>
      </c>
      <c r="I120" s="736"/>
      <c r="J120" s="663"/>
      <c r="K120" s="683">
        <v>0</v>
      </c>
      <c r="L120" s="665">
        <v>0</v>
      </c>
      <c r="M120" s="665">
        <f>$H$120*M32*0.25</f>
        <v>15844.230769230768</v>
      </c>
      <c r="N120" s="665">
        <f t="shared" ref="N120:AE120" si="65">$M$120*M11</f>
        <v>16484.33769230769</v>
      </c>
      <c r="O120" s="665">
        <f t="shared" si="65"/>
        <v>16814.024446153842</v>
      </c>
      <c r="P120" s="665">
        <f t="shared" si="65"/>
        <v>17150.304935076922</v>
      </c>
      <c r="Q120" s="665">
        <f t="shared" si="65"/>
        <v>17493.31103377846</v>
      </c>
      <c r="R120" s="665">
        <f t="shared" si="65"/>
        <v>17843.177254454029</v>
      </c>
      <c r="S120" s="665">
        <f t="shared" si="65"/>
        <v>18200.040799543109</v>
      </c>
      <c r="T120" s="665">
        <f t="shared" si="65"/>
        <v>18564.041615533974</v>
      </c>
      <c r="U120" s="665">
        <f t="shared" si="65"/>
        <v>18935.322447844654</v>
      </c>
      <c r="V120" s="665">
        <f t="shared" si="65"/>
        <v>19314.028896801548</v>
      </c>
      <c r="W120" s="665">
        <f t="shared" si="65"/>
        <v>19700.30947473758</v>
      </c>
      <c r="X120" s="665">
        <f t="shared" si="65"/>
        <v>20094.31566423233</v>
      </c>
      <c r="Y120" s="665">
        <f t="shared" si="65"/>
        <v>20496.201977516976</v>
      </c>
      <c r="Z120" s="665">
        <f t="shared" si="65"/>
        <v>20906.126017067316</v>
      </c>
      <c r="AA120" s="665">
        <f t="shared" si="65"/>
        <v>21324.248537408665</v>
      </c>
      <c r="AB120" s="665">
        <f t="shared" si="65"/>
        <v>21750.733508156838</v>
      </c>
      <c r="AC120" s="665">
        <f t="shared" si="65"/>
        <v>22185.748178319976</v>
      </c>
      <c r="AD120" s="665">
        <f t="shared" si="65"/>
        <v>22629.463141886376</v>
      </c>
      <c r="AE120" s="665">
        <f t="shared" si="65"/>
        <v>23082.052404724102</v>
      </c>
    </row>
    <row r="121" spans="1:33">
      <c r="A121" s="96" t="s">
        <v>57</v>
      </c>
      <c r="B121" s="735" t="s">
        <v>15</v>
      </c>
      <c r="C121" s="663">
        <v>15000</v>
      </c>
      <c r="D121" s="736">
        <f>C121/2080</f>
        <v>7.2115384615384617</v>
      </c>
      <c r="E121" s="663">
        <f>C121*E12</f>
        <v>3000</v>
      </c>
      <c r="F121" s="663">
        <f t="shared" ref="F121:F122" si="66">C121*$F$13</f>
        <v>6000</v>
      </c>
      <c r="G121" s="663">
        <f t="shared" ref="G121:G122" si="67">SUM(C121,E121:F121)</f>
        <v>24000</v>
      </c>
      <c r="H121" s="736">
        <f>G121/2080*12</f>
        <v>138.46153846153845</v>
      </c>
      <c r="I121" s="736"/>
      <c r="J121" s="663"/>
      <c r="K121" s="683">
        <v>0</v>
      </c>
      <c r="L121" s="665">
        <v>0</v>
      </c>
      <c r="M121" s="665">
        <f>$H$121*M32*0.5</f>
        <v>14815.384615384615</v>
      </c>
      <c r="N121" s="665">
        <f t="shared" ref="N121:AE121" si="68">$M$121*M11</f>
        <v>15413.926153846154</v>
      </c>
      <c r="O121" s="665">
        <f t="shared" si="68"/>
        <v>15722.204676923076</v>
      </c>
      <c r="P121" s="665">
        <f t="shared" si="68"/>
        <v>16036.648770461537</v>
      </c>
      <c r="Q121" s="665">
        <f t="shared" si="68"/>
        <v>16357.381745870769</v>
      </c>
      <c r="R121" s="665">
        <f t="shared" si="68"/>
        <v>16684.529380788186</v>
      </c>
      <c r="S121" s="665">
        <f t="shared" si="68"/>
        <v>17018.219968403948</v>
      </c>
      <c r="T121" s="665">
        <f t="shared" si="68"/>
        <v>17358.58436777203</v>
      </c>
      <c r="U121" s="665">
        <f t="shared" si="68"/>
        <v>17705.756055127469</v>
      </c>
      <c r="V121" s="665">
        <f t="shared" si="68"/>
        <v>18059.871176230019</v>
      </c>
      <c r="W121" s="665">
        <f t="shared" si="68"/>
        <v>18421.068599754621</v>
      </c>
      <c r="X121" s="665">
        <f t="shared" si="68"/>
        <v>18789.489971749714</v>
      </c>
      <c r="Y121" s="665">
        <f t="shared" si="68"/>
        <v>19165.279771184705</v>
      </c>
      <c r="Z121" s="665">
        <f t="shared" si="68"/>
        <v>19548.5853666084</v>
      </c>
      <c r="AA121" s="665">
        <f t="shared" si="68"/>
        <v>19939.55707394057</v>
      </c>
      <c r="AB121" s="665">
        <f t="shared" si="68"/>
        <v>20338.348215419381</v>
      </c>
      <c r="AC121" s="665">
        <f t="shared" si="68"/>
        <v>20745.115179727771</v>
      </c>
      <c r="AD121" s="665">
        <f t="shared" si="68"/>
        <v>21160.017483322328</v>
      </c>
      <c r="AE121" s="665">
        <f t="shared" si="68"/>
        <v>21583.217832988772</v>
      </c>
    </row>
    <row r="122" spans="1:33">
      <c r="A122" s="737" t="s">
        <v>57</v>
      </c>
      <c r="B122" s="738" t="s">
        <v>15</v>
      </c>
      <c r="C122" s="739">
        <v>15000</v>
      </c>
      <c r="D122" s="740">
        <f>C122/2080</f>
        <v>7.2115384615384617</v>
      </c>
      <c r="E122" s="739">
        <f>C122*$E$12</f>
        <v>3000</v>
      </c>
      <c r="F122" s="739">
        <f t="shared" si="66"/>
        <v>6000</v>
      </c>
      <c r="G122" s="739">
        <f t="shared" si="67"/>
        <v>24000</v>
      </c>
      <c r="H122" s="740">
        <f t="shared" ref="H122" si="69">G122/2080*12</f>
        <v>138.46153846153845</v>
      </c>
      <c r="I122" s="740"/>
      <c r="J122" s="739"/>
      <c r="K122" s="741">
        <v>0</v>
      </c>
      <c r="L122" s="742">
        <v>0</v>
      </c>
      <c r="M122" s="742">
        <f>$H$122*M32*0.5</f>
        <v>14815.384615384615</v>
      </c>
      <c r="N122" s="742">
        <f t="shared" ref="N122:AE122" si="70">$M$122*M11</f>
        <v>15413.926153846154</v>
      </c>
      <c r="O122" s="742">
        <f t="shared" si="70"/>
        <v>15722.204676923076</v>
      </c>
      <c r="P122" s="742">
        <f t="shared" si="70"/>
        <v>16036.648770461537</v>
      </c>
      <c r="Q122" s="742">
        <f t="shared" si="70"/>
        <v>16357.381745870769</v>
      </c>
      <c r="R122" s="742">
        <f t="shared" si="70"/>
        <v>16684.529380788186</v>
      </c>
      <c r="S122" s="742">
        <f t="shared" si="70"/>
        <v>17018.219968403948</v>
      </c>
      <c r="T122" s="742">
        <f t="shared" si="70"/>
        <v>17358.58436777203</v>
      </c>
      <c r="U122" s="742">
        <f t="shared" si="70"/>
        <v>17705.756055127469</v>
      </c>
      <c r="V122" s="742">
        <f t="shared" si="70"/>
        <v>18059.871176230019</v>
      </c>
      <c r="W122" s="742">
        <f t="shared" si="70"/>
        <v>18421.068599754621</v>
      </c>
      <c r="X122" s="742">
        <f t="shared" si="70"/>
        <v>18789.489971749714</v>
      </c>
      <c r="Y122" s="742">
        <f t="shared" si="70"/>
        <v>19165.279771184705</v>
      </c>
      <c r="Z122" s="742">
        <f t="shared" si="70"/>
        <v>19548.5853666084</v>
      </c>
      <c r="AA122" s="742">
        <f t="shared" si="70"/>
        <v>19939.55707394057</v>
      </c>
      <c r="AB122" s="742">
        <f t="shared" si="70"/>
        <v>20338.348215419381</v>
      </c>
      <c r="AC122" s="742">
        <f t="shared" si="70"/>
        <v>20745.115179727771</v>
      </c>
      <c r="AD122" s="742">
        <f t="shared" si="70"/>
        <v>21160.017483322328</v>
      </c>
      <c r="AE122" s="742">
        <f t="shared" si="70"/>
        <v>21583.217832988772</v>
      </c>
    </row>
    <row r="123" spans="1:33">
      <c r="A123" s="164" t="s">
        <v>414</v>
      </c>
      <c r="B123" s="164"/>
      <c r="C123" s="667">
        <f>SUM(C120:C122)</f>
        <v>85000</v>
      </c>
      <c r="D123" s="667"/>
      <c r="E123" s="667">
        <f>SUM(E120:E122)</f>
        <v>6000</v>
      </c>
      <c r="F123" s="667">
        <f>SUM(F120:F122)</f>
        <v>34000</v>
      </c>
      <c r="G123" s="667">
        <f>SUM(G120:G122)</f>
        <v>125000</v>
      </c>
      <c r="H123" s="667">
        <f>SUM(H120:H122)</f>
        <v>573.07692307692309</v>
      </c>
      <c r="I123" s="668"/>
      <c r="J123" s="667"/>
      <c r="K123" s="685">
        <f>SUMIF($B120:$B122,"FT",K120:K122)</f>
        <v>0</v>
      </c>
      <c r="L123" s="669">
        <f>SUM(L120:L122)</f>
        <v>0</v>
      </c>
      <c r="M123" s="669">
        <f t="shared" ref="M123:AE123" si="71">SUM(M120:M122)</f>
        <v>45475</v>
      </c>
      <c r="N123" s="669">
        <f t="shared" si="71"/>
        <v>47312.19</v>
      </c>
      <c r="O123" s="669">
        <f t="shared" si="71"/>
        <v>48258.433799999999</v>
      </c>
      <c r="P123" s="669">
        <f t="shared" si="71"/>
        <v>49223.602475999993</v>
      </c>
      <c r="Q123" s="669">
        <f t="shared" si="71"/>
        <v>50208.074525520002</v>
      </c>
      <c r="R123" s="669">
        <f t="shared" si="71"/>
        <v>51212.236016030394</v>
      </c>
      <c r="S123" s="669">
        <f t="shared" si="71"/>
        <v>52236.480736351004</v>
      </c>
      <c r="T123" s="669">
        <f t="shared" si="71"/>
        <v>53281.210351078029</v>
      </c>
      <c r="U123" s="669">
        <f t="shared" si="71"/>
        <v>54346.834558099596</v>
      </c>
      <c r="V123" s="669">
        <f t="shared" si="71"/>
        <v>55433.771249261583</v>
      </c>
      <c r="W123" s="669">
        <f t="shared" si="71"/>
        <v>56542.446674246821</v>
      </c>
      <c r="X123" s="669">
        <f t="shared" si="71"/>
        <v>57673.295607731765</v>
      </c>
      <c r="Y123" s="669">
        <f t="shared" si="71"/>
        <v>58826.761519886393</v>
      </c>
      <c r="Z123" s="669">
        <f t="shared" si="71"/>
        <v>60003.29675028412</v>
      </c>
      <c r="AA123" s="669">
        <f t="shared" si="71"/>
        <v>61203.362685289801</v>
      </c>
      <c r="AB123" s="669">
        <f t="shared" si="71"/>
        <v>62427.4299389956</v>
      </c>
      <c r="AC123" s="669">
        <f t="shared" si="71"/>
        <v>63675.978537775518</v>
      </c>
      <c r="AD123" s="669">
        <f t="shared" si="71"/>
        <v>64949.498108531028</v>
      </c>
      <c r="AE123" s="669">
        <f t="shared" si="71"/>
        <v>66248.488070701642</v>
      </c>
    </row>
    <row r="124" spans="1:33">
      <c r="A124" s="37"/>
      <c r="B124" s="37"/>
      <c r="C124" s="663"/>
      <c r="D124" s="663"/>
      <c r="E124" s="663"/>
      <c r="F124" s="663"/>
      <c r="G124" s="663"/>
      <c r="H124" s="663"/>
      <c r="I124" s="670"/>
      <c r="J124" s="663"/>
      <c r="K124" s="683"/>
      <c r="L124" s="666"/>
      <c r="M124" s="666"/>
      <c r="N124" s="666"/>
      <c r="O124" s="666"/>
      <c r="P124" s="666"/>
      <c r="Q124" s="666"/>
      <c r="R124" s="666"/>
      <c r="S124" s="666"/>
      <c r="T124" s="666"/>
      <c r="U124" s="666"/>
      <c r="V124" s="666"/>
      <c r="W124" s="666"/>
      <c r="X124" s="666"/>
      <c r="Y124" s="666"/>
      <c r="Z124" s="666"/>
      <c r="AA124" s="666"/>
      <c r="AB124" s="666"/>
      <c r="AC124" s="666"/>
      <c r="AD124" s="666"/>
      <c r="AE124" s="666"/>
    </row>
    <row r="125" spans="1:33">
      <c r="A125" s="37" t="s">
        <v>11</v>
      </c>
      <c r="B125" s="37"/>
      <c r="C125" s="663"/>
      <c r="D125" s="663"/>
      <c r="E125" s="663"/>
      <c r="F125" s="663"/>
      <c r="G125" s="663"/>
      <c r="H125" s="663"/>
      <c r="I125" s="670"/>
      <c r="J125" s="663"/>
      <c r="K125" s="743">
        <f>COUNTIF(K120:K122,"&gt;100")</f>
        <v>0</v>
      </c>
      <c r="L125" s="496">
        <f>COUNTIF(L120,"&gt;100")</f>
        <v>0</v>
      </c>
      <c r="M125" s="496">
        <f t="shared" ref="M125:AE125" si="72">COUNTIF(M120,"&gt;100")</f>
        <v>1</v>
      </c>
      <c r="N125" s="496">
        <f t="shared" si="72"/>
        <v>1</v>
      </c>
      <c r="O125" s="496">
        <f t="shared" si="72"/>
        <v>1</v>
      </c>
      <c r="P125" s="496">
        <f t="shared" si="72"/>
        <v>1</v>
      </c>
      <c r="Q125" s="496">
        <f t="shared" si="72"/>
        <v>1</v>
      </c>
      <c r="R125" s="496">
        <f t="shared" si="72"/>
        <v>1</v>
      </c>
      <c r="S125" s="496">
        <f t="shared" si="72"/>
        <v>1</v>
      </c>
      <c r="T125" s="496">
        <f t="shared" si="72"/>
        <v>1</v>
      </c>
      <c r="U125" s="496">
        <f t="shared" si="72"/>
        <v>1</v>
      </c>
      <c r="V125" s="496">
        <f t="shared" si="72"/>
        <v>1</v>
      </c>
      <c r="W125" s="496">
        <f t="shared" si="72"/>
        <v>1</v>
      </c>
      <c r="X125" s="496">
        <f t="shared" si="72"/>
        <v>1</v>
      </c>
      <c r="Y125" s="496">
        <f t="shared" si="72"/>
        <v>1</v>
      </c>
      <c r="Z125" s="496">
        <f t="shared" si="72"/>
        <v>1</v>
      </c>
      <c r="AA125" s="496">
        <f t="shared" si="72"/>
        <v>1</v>
      </c>
      <c r="AB125" s="496">
        <f t="shared" si="72"/>
        <v>1</v>
      </c>
      <c r="AC125" s="496">
        <f t="shared" si="72"/>
        <v>1</v>
      </c>
      <c r="AD125" s="496">
        <f t="shared" si="72"/>
        <v>1</v>
      </c>
      <c r="AE125" s="496">
        <f t="shared" si="72"/>
        <v>1</v>
      </c>
    </row>
    <row r="126" spans="1:33">
      <c r="A126" s="745" t="s">
        <v>10</v>
      </c>
      <c r="B126" s="745"/>
      <c r="C126" s="739"/>
      <c r="D126" s="739"/>
      <c r="E126" s="739"/>
      <c r="F126" s="739"/>
      <c r="G126" s="739"/>
      <c r="H126" s="739"/>
      <c r="I126" s="763"/>
      <c r="J126" s="739"/>
      <c r="K126" s="749">
        <f t="shared" ref="K126" si="73">K127-K125</f>
        <v>0</v>
      </c>
      <c r="L126" s="750">
        <f>COUNTIF(L121:L122,"&gt;100")</f>
        <v>0</v>
      </c>
      <c r="M126" s="750">
        <f t="shared" ref="M126:AE126" si="74">COUNTIF(M121:M122,"&gt;100")</f>
        <v>2</v>
      </c>
      <c r="N126" s="750">
        <f t="shared" si="74"/>
        <v>2</v>
      </c>
      <c r="O126" s="750">
        <f t="shared" si="74"/>
        <v>2</v>
      </c>
      <c r="P126" s="750">
        <f t="shared" si="74"/>
        <v>2</v>
      </c>
      <c r="Q126" s="750">
        <f t="shared" si="74"/>
        <v>2</v>
      </c>
      <c r="R126" s="750">
        <f t="shared" si="74"/>
        <v>2</v>
      </c>
      <c r="S126" s="750">
        <f t="shared" si="74"/>
        <v>2</v>
      </c>
      <c r="T126" s="750">
        <f t="shared" si="74"/>
        <v>2</v>
      </c>
      <c r="U126" s="750">
        <f t="shared" si="74"/>
        <v>2</v>
      </c>
      <c r="V126" s="750">
        <f t="shared" si="74"/>
        <v>2</v>
      </c>
      <c r="W126" s="750">
        <f t="shared" si="74"/>
        <v>2</v>
      </c>
      <c r="X126" s="750">
        <f t="shared" si="74"/>
        <v>2</v>
      </c>
      <c r="Y126" s="750">
        <f t="shared" si="74"/>
        <v>2</v>
      </c>
      <c r="Z126" s="750">
        <f t="shared" si="74"/>
        <v>2</v>
      </c>
      <c r="AA126" s="750">
        <f t="shared" si="74"/>
        <v>2</v>
      </c>
      <c r="AB126" s="750">
        <f t="shared" si="74"/>
        <v>2</v>
      </c>
      <c r="AC126" s="750">
        <f t="shared" si="74"/>
        <v>2</v>
      </c>
      <c r="AD126" s="750">
        <f t="shared" si="74"/>
        <v>2</v>
      </c>
      <c r="AE126" s="750">
        <f t="shared" si="74"/>
        <v>2</v>
      </c>
    </row>
    <row r="127" spans="1:33">
      <c r="A127" s="164" t="s">
        <v>9</v>
      </c>
      <c r="B127" s="164"/>
      <c r="C127" s="667"/>
      <c r="D127" s="667"/>
      <c r="E127" s="667"/>
      <c r="F127" s="667"/>
      <c r="G127" s="667"/>
      <c r="H127" s="667"/>
      <c r="I127" s="668"/>
      <c r="J127" s="667"/>
      <c r="K127" s="751">
        <f t="shared" ref="K127:AE127" si="75">COUNTIF(K120:K122,"&gt;0")</f>
        <v>0</v>
      </c>
      <c r="L127" s="752">
        <f t="shared" si="75"/>
        <v>0</v>
      </c>
      <c r="M127" s="752">
        <f t="shared" si="75"/>
        <v>3</v>
      </c>
      <c r="N127" s="752">
        <f t="shared" si="75"/>
        <v>3</v>
      </c>
      <c r="O127" s="752">
        <f t="shared" si="75"/>
        <v>3</v>
      </c>
      <c r="P127" s="752">
        <f t="shared" si="75"/>
        <v>3</v>
      </c>
      <c r="Q127" s="752">
        <f t="shared" si="75"/>
        <v>3</v>
      </c>
      <c r="R127" s="752">
        <f t="shared" si="75"/>
        <v>3</v>
      </c>
      <c r="S127" s="752">
        <f t="shared" si="75"/>
        <v>3</v>
      </c>
      <c r="T127" s="752">
        <f t="shared" si="75"/>
        <v>3</v>
      </c>
      <c r="U127" s="752">
        <f t="shared" si="75"/>
        <v>3</v>
      </c>
      <c r="V127" s="752">
        <f t="shared" si="75"/>
        <v>3</v>
      </c>
      <c r="W127" s="752">
        <f t="shared" si="75"/>
        <v>3</v>
      </c>
      <c r="X127" s="752">
        <f t="shared" si="75"/>
        <v>3</v>
      </c>
      <c r="Y127" s="752">
        <f t="shared" si="75"/>
        <v>3</v>
      </c>
      <c r="Z127" s="752">
        <f t="shared" si="75"/>
        <v>3</v>
      </c>
      <c r="AA127" s="752">
        <f t="shared" si="75"/>
        <v>3</v>
      </c>
      <c r="AB127" s="752">
        <f t="shared" si="75"/>
        <v>3</v>
      </c>
      <c r="AC127" s="752">
        <f t="shared" si="75"/>
        <v>3</v>
      </c>
      <c r="AD127" s="752">
        <f t="shared" si="75"/>
        <v>3</v>
      </c>
      <c r="AE127" s="752">
        <f t="shared" si="75"/>
        <v>3</v>
      </c>
    </row>
    <row r="128" spans="1:33">
      <c r="A128" s="37"/>
      <c r="B128" s="37"/>
      <c r="C128" s="57"/>
      <c r="E128" s="57"/>
      <c r="F128" s="57"/>
      <c r="G128" s="57"/>
      <c r="H128" s="57"/>
      <c r="I128" s="43"/>
      <c r="J128" s="42"/>
      <c r="K128" s="683"/>
      <c r="L128" s="316"/>
      <c r="M128" s="316"/>
      <c r="N128" s="316"/>
      <c r="O128" s="316"/>
      <c r="P128" s="316"/>
      <c r="Q128" s="316"/>
      <c r="R128" s="316"/>
      <c r="S128" s="316"/>
      <c r="T128" s="316"/>
      <c r="U128" s="316"/>
      <c r="V128" s="316"/>
      <c r="W128" s="316"/>
      <c r="X128" s="316"/>
      <c r="Y128" s="316"/>
      <c r="Z128" s="316"/>
      <c r="AA128" s="316"/>
      <c r="AB128" s="316"/>
      <c r="AC128" s="316"/>
      <c r="AD128" s="316"/>
      <c r="AE128" s="316"/>
    </row>
    <row r="129" spans="1:33" s="55" customFormat="1">
      <c r="A129" s="190" t="s">
        <v>60</v>
      </c>
      <c r="B129" s="191"/>
      <c r="C129" s="192"/>
      <c r="D129" s="193"/>
      <c r="E129" s="194"/>
      <c r="F129" s="194"/>
      <c r="G129" s="192"/>
      <c r="H129" s="192"/>
      <c r="I129" s="195">
        <v>0.2</v>
      </c>
      <c r="J129" s="196"/>
      <c r="K129" s="683">
        <v>0</v>
      </c>
      <c r="L129" s="665">
        <f>$I$129*L123</f>
        <v>0</v>
      </c>
      <c r="M129" s="665">
        <f t="shared" ref="M129:AE129" si="76">$I$129*M123</f>
        <v>9095</v>
      </c>
      <c r="N129" s="665">
        <f t="shared" si="76"/>
        <v>9462.4380000000001</v>
      </c>
      <c r="O129" s="665">
        <f t="shared" si="76"/>
        <v>9651.6867600000005</v>
      </c>
      <c r="P129" s="665">
        <f t="shared" si="76"/>
        <v>9844.7204951999993</v>
      </c>
      <c r="Q129" s="665">
        <f t="shared" si="76"/>
        <v>10041.614905104001</v>
      </c>
      <c r="R129" s="665">
        <f t="shared" si="76"/>
        <v>10242.44720320608</v>
      </c>
      <c r="S129" s="665">
        <f t="shared" si="76"/>
        <v>10447.296147270201</v>
      </c>
      <c r="T129" s="665">
        <f t="shared" si="76"/>
        <v>10656.242070215607</v>
      </c>
      <c r="U129" s="665">
        <f t="shared" si="76"/>
        <v>10869.36691161992</v>
      </c>
      <c r="V129" s="665">
        <f t="shared" si="76"/>
        <v>11086.754249852318</v>
      </c>
      <c r="W129" s="665">
        <f t="shared" si="76"/>
        <v>11308.489334849364</v>
      </c>
      <c r="X129" s="665">
        <f t="shared" si="76"/>
        <v>11534.659121546354</v>
      </c>
      <c r="Y129" s="665">
        <f t="shared" si="76"/>
        <v>11765.352303977279</v>
      </c>
      <c r="Z129" s="665">
        <f t="shared" si="76"/>
        <v>12000.659350056825</v>
      </c>
      <c r="AA129" s="665">
        <f t="shared" si="76"/>
        <v>12240.672537057961</v>
      </c>
      <c r="AB129" s="665">
        <f t="shared" si="76"/>
        <v>12485.48598779912</v>
      </c>
      <c r="AC129" s="665">
        <f t="shared" si="76"/>
        <v>12735.195707555104</v>
      </c>
      <c r="AD129" s="665">
        <f t="shared" si="76"/>
        <v>12989.899621706207</v>
      </c>
      <c r="AE129" s="665">
        <f t="shared" si="76"/>
        <v>13249.697614140328</v>
      </c>
    </row>
    <row r="130" spans="1:33">
      <c r="A130" s="190"/>
      <c r="B130" s="191"/>
      <c r="C130" s="192"/>
      <c r="D130" s="193"/>
      <c r="E130" s="194"/>
      <c r="F130" s="194"/>
      <c r="G130" s="192"/>
      <c r="H130" s="192"/>
      <c r="I130" s="195"/>
      <c r="J130" s="196"/>
      <c r="K130" s="685"/>
      <c r="L130" s="665"/>
      <c r="M130" s="665"/>
      <c r="N130" s="665"/>
      <c r="O130" s="665"/>
      <c r="P130" s="665"/>
      <c r="Q130" s="665"/>
      <c r="R130" s="665"/>
      <c r="S130" s="665"/>
      <c r="T130" s="665"/>
      <c r="U130" s="665"/>
      <c r="V130" s="665"/>
      <c r="W130" s="665"/>
      <c r="X130" s="665"/>
      <c r="Y130" s="665"/>
      <c r="Z130" s="665"/>
      <c r="AA130" s="665"/>
      <c r="AB130" s="665"/>
      <c r="AC130" s="665"/>
      <c r="AD130" s="665"/>
      <c r="AE130" s="665"/>
    </row>
    <row r="131" spans="1:33">
      <c r="A131" s="164" t="s">
        <v>61</v>
      </c>
      <c r="B131" s="164"/>
      <c r="C131" s="75"/>
      <c r="D131" s="173"/>
      <c r="E131" s="75"/>
      <c r="F131" s="75"/>
      <c r="G131" s="75"/>
      <c r="H131" s="75"/>
      <c r="I131" s="174"/>
      <c r="J131" s="175"/>
      <c r="K131" s="685">
        <v>0</v>
      </c>
      <c r="L131" s="669">
        <f>SUM(L123,L129)</f>
        <v>0</v>
      </c>
      <c r="M131" s="669">
        <f t="shared" ref="M131:AE131" si="77">SUM(M123,M129)</f>
        <v>54570</v>
      </c>
      <c r="N131" s="669">
        <f t="shared" si="77"/>
        <v>56774.628000000004</v>
      </c>
      <c r="O131" s="669">
        <f t="shared" si="77"/>
        <v>57910.120559999996</v>
      </c>
      <c r="P131" s="669">
        <f t="shared" si="77"/>
        <v>59068.322971199988</v>
      </c>
      <c r="Q131" s="669">
        <f t="shared" si="77"/>
        <v>60249.689430623999</v>
      </c>
      <c r="R131" s="669">
        <f t="shared" si="77"/>
        <v>61454.683219236475</v>
      </c>
      <c r="S131" s="669">
        <f t="shared" si="77"/>
        <v>62683.776883621205</v>
      </c>
      <c r="T131" s="669">
        <f t="shared" si="77"/>
        <v>63937.452421293638</v>
      </c>
      <c r="U131" s="669">
        <f t="shared" si="77"/>
        <v>65216.201469719512</v>
      </c>
      <c r="V131" s="669">
        <f t="shared" si="77"/>
        <v>66520.525499113894</v>
      </c>
      <c r="W131" s="669">
        <f t="shared" si="77"/>
        <v>67850.936009096185</v>
      </c>
      <c r="X131" s="669">
        <f t="shared" si="77"/>
        <v>69207.954729278121</v>
      </c>
      <c r="Y131" s="669">
        <f t="shared" si="77"/>
        <v>70592.113823863678</v>
      </c>
      <c r="Z131" s="669">
        <f t="shared" si="77"/>
        <v>72003.956100340947</v>
      </c>
      <c r="AA131" s="669">
        <f t="shared" si="77"/>
        <v>73444.035222347768</v>
      </c>
      <c r="AB131" s="669">
        <f t="shared" si="77"/>
        <v>74912.915926794725</v>
      </c>
      <c r="AC131" s="669">
        <f t="shared" si="77"/>
        <v>76411.174245330621</v>
      </c>
      <c r="AD131" s="669">
        <f t="shared" si="77"/>
        <v>77939.397730237237</v>
      </c>
      <c r="AE131" s="669">
        <f t="shared" si="77"/>
        <v>79498.18568484197</v>
      </c>
    </row>
    <row r="132" spans="1:33">
      <c r="A132" s="183"/>
      <c r="B132" s="184"/>
      <c r="C132" s="185"/>
      <c r="D132" s="186"/>
      <c r="E132" s="185"/>
      <c r="F132" s="185"/>
      <c r="G132" s="185"/>
      <c r="H132" s="185"/>
      <c r="I132" s="187"/>
      <c r="J132" s="188"/>
      <c r="K132" s="683"/>
      <c r="L132" s="320"/>
      <c r="M132" s="320"/>
      <c r="N132" s="320"/>
      <c r="O132" s="320"/>
      <c r="P132" s="320"/>
      <c r="Q132" s="320"/>
      <c r="R132" s="320"/>
      <c r="S132" s="320"/>
      <c r="T132" s="320"/>
      <c r="U132" s="320"/>
      <c r="V132" s="320"/>
      <c r="W132" s="320"/>
      <c r="X132" s="320"/>
      <c r="Y132" s="320"/>
      <c r="Z132" s="320"/>
      <c r="AA132" s="320"/>
      <c r="AB132" s="320"/>
      <c r="AC132" s="320"/>
      <c r="AD132" s="320"/>
      <c r="AE132" s="320"/>
    </row>
    <row r="133" spans="1:33">
      <c r="A133" s="39" t="s">
        <v>4</v>
      </c>
      <c r="B133" s="39"/>
      <c r="C133" s="111"/>
      <c r="D133" s="112"/>
      <c r="E133" s="111"/>
      <c r="F133" s="111"/>
      <c r="G133" s="111"/>
      <c r="H133" s="111"/>
      <c r="I133" s="40"/>
      <c r="J133" s="113"/>
      <c r="K133" s="688"/>
      <c r="L133" s="321"/>
      <c r="M133" s="321"/>
      <c r="N133" s="321"/>
      <c r="O133" s="321"/>
      <c r="P133" s="321"/>
      <c r="Q133" s="321"/>
      <c r="R133" s="321"/>
      <c r="S133" s="321"/>
      <c r="T133" s="321"/>
      <c r="U133" s="321"/>
      <c r="V133" s="321"/>
      <c r="W133" s="321"/>
      <c r="X133" s="321"/>
      <c r="Y133" s="321"/>
      <c r="Z133" s="321"/>
      <c r="AA133" s="321"/>
      <c r="AB133" s="321"/>
      <c r="AC133" s="321"/>
      <c r="AD133" s="321"/>
      <c r="AE133" s="321"/>
    </row>
    <row r="134" spans="1:33">
      <c r="A134" s="41" t="s">
        <v>13</v>
      </c>
      <c r="B134" s="41"/>
      <c r="C134" s="105"/>
      <c r="D134" s="106"/>
      <c r="E134" s="37"/>
      <c r="F134" s="37"/>
      <c r="G134" s="37"/>
      <c r="H134" s="37"/>
      <c r="I134" s="41"/>
      <c r="J134" s="37"/>
      <c r="K134" s="683"/>
      <c r="L134" s="200"/>
      <c r="M134" s="200"/>
      <c r="N134" s="200"/>
      <c r="O134" s="200"/>
      <c r="P134" s="200"/>
      <c r="Q134" s="200"/>
      <c r="R134" s="200"/>
      <c r="S134" s="200"/>
      <c r="T134" s="200"/>
      <c r="U134" s="201"/>
      <c r="V134" s="323"/>
      <c r="W134" s="200"/>
      <c r="X134" s="200"/>
      <c r="Y134" s="200"/>
      <c r="Z134" s="200"/>
      <c r="AA134" s="200"/>
      <c r="AB134" s="200"/>
      <c r="AC134" s="200"/>
      <c r="AD134" s="200"/>
      <c r="AE134" s="201"/>
    </row>
    <row r="135" spans="1:33">
      <c r="A135" s="33" t="s">
        <v>65</v>
      </c>
      <c r="B135" s="735" t="s">
        <v>12</v>
      </c>
      <c r="C135" s="663">
        <v>65000</v>
      </c>
      <c r="D135" s="736">
        <f>C135/2080</f>
        <v>31.25</v>
      </c>
      <c r="E135" s="663">
        <v>0</v>
      </c>
      <c r="F135" s="663">
        <f>C135*$F$13</f>
        <v>26000</v>
      </c>
      <c r="G135" s="663">
        <f>SUM(C135,E135:F135)</f>
        <v>91000</v>
      </c>
      <c r="H135" s="736">
        <f>G135/2080*8</f>
        <v>350</v>
      </c>
      <c r="I135" s="764"/>
      <c r="J135" s="765"/>
      <c r="K135" s="683">
        <v>0</v>
      </c>
      <c r="L135" s="665">
        <v>0</v>
      </c>
      <c r="M135" s="665">
        <f>$H$135*M32*0.25</f>
        <v>18725</v>
      </c>
      <c r="N135" s="665">
        <f t="shared" ref="N135:AE135" si="78">$M$135*L11</f>
        <v>19099.5</v>
      </c>
      <c r="O135" s="665">
        <f t="shared" si="78"/>
        <v>19481.490000000002</v>
      </c>
      <c r="P135" s="665">
        <f t="shared" si="78"/>
        <v>19871.1198</v>
      </c>
      <c r="Q135" s="665">
        <f t="shared" si="78"/>
        <v>20268.542195999999</v>
      </c>
      <c r="R135" s="665">
        <f t="shared" si="78"/>
        <v>20673.91303992</v>
      </c>
      <c r="S135" s="665">
        <f t="shared" si="78"/>
        <v>21087.391300718402</v>
      </c>
      <c r="T135" s="665">
        <f t="shared" si="78"/>
        <v>21509.139126732767</v>
      </c>
      <c r="U135" s="665">
        <f t="shared" si="78"/>
        <v>21939.321909267426</v>
      </c>
      <c r="V135" s="665">
        <f t="shared" si="78"/>
        <v>22378.108347452773</v>
      </c>
      <c r="W135" s="665">
        <f t="shared" si="78"/>
        <v>22825.670514401831</v>
      </c>
      <c r="X135" s="665">
        <f t="shared" si="78"/>
        <v>23282.183924689867</v>
      </c>
      <c r="Y135" s="665">
        <f t="shared" si="78"/>
        <v>23747.827603183665</v>
      </c>
      <c r="Z135" s="665">
        <f t="shared" si="78"/>
        <v>24222.784155247336</v>
      </c>
      <c r="AA135" s="665">
        <f t="shared" si="78"/>
        <v>24707.239838352285</v>
      </c>
      <c r="AB135" s="665">
        <f t="shared" si="78"/>
        <v>25201.384635119332</v>
      </c>
      <c r="AC135" s="665">
        <f t="shared" si="78"/>
        <v>25705.412327821719</v>
      </c>
      <c r="AD135" s="665">
        <f t="shared" si="78"/>
        <v>26219.520574378155</v>
      </c>
      <c r="AE135" s="665">
        <f t="shared" si="78"/>
        <v>26743.910985865718</v>
      </c>
    </row>
    <row r="136" spans="1:33">
      <c r="A136" s="37" t="s">
        <v>62</v>
      </c>
      <c r="B136" s="735" t="s">
        <v>12</v>
      </c>
      <c r="C136" s="663">
        <v>85000</v>
      </c>
      <c r="D136" s="736">
        <f>C136/2080</f>
        <v>40.865384615384613</v>
      </c>
      <c r="E136" s="663">
        <f>C136*$L$15</f>
        <v>0</v>
      </c>
      <c r="F136" s="663">
        <f t="shared" ref="F136:F139" si="79">C136*$F$13</f>
        <v>34000</v>
      </c>
      <c r="G136" s="663">
        <f t="shared" ref="G136:G139" si="80">SUM(C136,E136:F136)</f>
        <v>119000</v>
      </c>
      <c r="H136" s="736">
        <f>G136/2080*8</f>
        <v>457.69230769230768</v>
      </c>
      <c r="I136" s="764"/>
      <c r="J136" s="765"/>
      <c r="K136" s="683">
        <v>0</v>
      </c>
      <c r="L136" s="665">
        <v>0</v>
      </c>
      <c r="M136" s="665">
        <f>$H$136*M32*0.1</f>
        <v>9794.6153846153848</v>
      </c>
      <c r="N136" s="665">
        <f t="shared" ref="N136:AE136" si="81">$M$136*L11</f>
        <v>9990.5076923076922</v>
      </c>
      <c r="O136" s="665">
        <f t="shared" si="81"/>
        <v>10190.317846153846</v>
      </c>
      <c r="P136" s="665">
        <f t="shared" si="81"/>
        <v>10394.124203076923</v>
      </c>
      <c r="Q136" s="665">
        <f t="shared" si="81"/>
        <v>10602.006687138461</v>
      </c>
      <c r="R136" s="665">
        <f t="shared" si="81"/>
        <v>10814.046820881231</v>
      </c>
      <c r="S136" s="665">
        <f t="shared" si="81"/>
        <v>11030.327757298855</v>
      </c>
      <c r="T136" s="665">
        <f t="shared" si="81"/>
        <v>11250.934312444833</v>
      </c>
      <c r="U136" s="665">
        <f t="shared" si="81"/>
        <v>11475.95299869373</v>
      </c>
      <c r="V136" s="665">
        <f t="shared" si="81"/>
        <v>11705.472058667605</v>
      </c>
      <c r="W136" s="665">
        <f t="shared" si="81"/>
        <v>11939.581499840959</v>
      </c>
      <c r="X136" s="665">
        <f t="shared" si="81"/>
        <v>12178.373129837777</v>
      </c>
      <c r="Y136" s="665">
        <f t="shared" si="81"/>
        <v>12421.940592434532</v>
      </c>
      <c r="Z136" s="665">
        <f t="shared" si="81"/>
        <v>12670.379404283221</v>
      </c>
      <c r="AA136" s="665">
        <f t="shared" si="81"/>
        <v>12923.786992368889</v>
      </c>
      <c r="AB136" s="665">
        <f t="shared" si="81"/>
        <v>13182.262732216266</v>
      </c>
      <c r="AC136" s="665">
        <f t="shared" si="81"/>
        <v>13445.907986860591</v>
      </c>
      <c r="AD136" s="665">
        <f t="shared" si="81"/>
        <v>13714.826146597805</v>
      </c>
      <c r="AE136" s="665">
        <f t="shared" si="81"/>
        <v>13989.122669529761</v>
      </c>
    </row>
    <row r="137" spans="1:33">
      <c r="A137" s="37" t="s">
        <v>419</v>
      </c>
      <c r="B137" s="735" t="s">
        <v>12</v>
      </c>
      <c r="C137" s="663">
        <v>75000</v>
      </c>
      <c r="D137" s="736">
        <f>C137/2080</f>
        <v>36.057692307692307</v>
      </c>
      <c r="E137" s="663">
        <f>C137*$L$15</f>
        <v>0</v>
      </c>
      <c r="F137" s="663">
        <f t="shared" si="79"/>
        <v>30000</v>
      </c>
      <c r="G137" s="663">
        <f t="shared" si="80"/>
        <v>105000</v>
      </c>
      <c r="H137" s="736">
        <f>G137/2080*8</f>
        <v>403.84615384615387</v>
      </c>
      <c r="I137" s="764"/>
      <c r="J137" s="765"/>
      <c r="K137" s="683">
        <v>0</v>
      </c>
      <c r="L137" s="665">
        <v>0</v>
      </c>
      <c r="M137" s="665">
        <f>$H$137*M32*0.1</f>
        <v>8642.3076923076933</v>
      </c>
      <c r="N137" s="665">
        <f t="shared" ref="N137:AE137" si="82">$M$137*L11</f>
        <v>8815.1538461538476</v>
      </c>
      <c r="O137" s="665">
        <f t="shared" si="82"/>
        <v>8991.4569230769248</v>
      </c>
      <c r="P137" s="665">
        <f t="shared" si="82"/>
        <v>9171.2860615384616</v>
      </c>
      <c r="Q137" s="665">
        <f t="shared" si="82"/>
        <v>9354.7117827692309</v>
      </c>
      <c r="R137" s="665">
        <f t="shared" si="82"/>
        <v>9541.8060184246169</v>
      </c>
      <c r="S137" s="665">
        <f t="shared" si="82"/>
        <v>9732.6421387931096</v>
      </c>
      <c r="T137" s="665">
        <f t="shared" si="82"/>
        <v>9927.2949815689717</v>
      </c>
      <c r="U137" s="665">
        <f t="shared" si="82"/>
        <v>10125.840881200351</v>
      </c>
      <c r="V137" s="665">
        <f t="shared" si="82"/>
        <v>10328.357698824359</v>
      </c>
      <c r="W137" s="665">
        <f t="shared" si="82"/>
        <v>10534.924852800847</v>
      </c>
      <c r="X137" s="665">
        <f t="shared" si="82"/>
        <v>10745.623349856864</v>
      </c>
      <c r="Y137" s="665">
        <f t="shared" si="82"/>
        <v>10960.535816854001</v>
      </c>
      <c r="Z137" s="665">
        <f t="shared" si="82"/>
        <v>11179.746533191079</v>
      </c>
      <c r="AA137" s="665">
        <f t="shared" si="82"/>
        <v>11403.341463854902</v>
      </c>
      <c r="AB137" s="665">
        <f t="shared" si="82"/>
        <v>11631.408293132001</v>
      </c>
      <c r="AC137" s="665">
        <f t="shared" si="82"/>
        <v>11864.03645899464</v>
      </c>
      <c r="AD137" s="665">
        <f t="shared" si="82"/>
        <v>12101.317188174535</v>
      </c>
      <c r="AE137" s="665">
        <f t="shared" si="82"/>
        <v>12343.343531938026</v>
      </c>
    </row>
    <row r="138" spans="1:33">
      <c r="A138" s="37" t="s">
        <v>63</v>
      </c>
      <c r="B138" s="735" t="s">
        <v>15</v>
      </c>
      <c r="C138" s="663">
        <v>15000</v>
      </c>
      <c r="D138" s="736">
        <f t="shared" ref="D138:D139" si="83">C138/2080</f>
        <v>7.2115384615384617</v>
      </c>
      <c r="E138" s="663">
        <f>C138*$L$15</f>
        <v>0</v>
      </c>
      <c r="F138" s="663">
        <f t="shared" si="79"/>
        <v>6000</v>
      </c>
      <c r="G138" s="663">
        <f t="shared" si="80"/>
        <v>21000</v>
      </c>
      <c r="H138" s="736">
        <f t="shared" ref="H138:H139" si="84">G138/2080*8</f>
        <v>80.769230769230774</v>
      </c>
      <c r="I138" s="764"/>
      <c r="J138" s="765"/>
      <c r="K138" s="683">
        <v>0</v>
      </c>
      <c r="L138" s="665">
        <v>0</v>
      </c>
      <c r="M138" s="665">
        <f>($H$138*M32)*0.5</f>
        <v>8642.3076923076933</v>
      </c>
      <c r="N138" s="665">
        <f t="shared" ref="N138:AE138" si="85">$M$138*L11</f>
        <v>8815.1538461538476</v>
      </c>
      <c r="O138" s="665">
        <f t="shared" si="85"/>
        <v>8991.4569230769248</v>
      </c>
      <c r="P138" s="665">
        <f t="shared" si="85"/>
        <v>9171.2860615384616</v>
      </c>
      <c r="Q138" s="665">
        <f t="shared" si="85"/>
        <v>9354.7117827692309</v>
      </c>
      <c r="R138" s="665">
        <f t="shared" si="85"/>
        <v>9541.8060184246169</v>
      </c>
      <c r="S138" s="665">
        <f t="shared" si="85"/>
        <v>9732.6421387931096</v>
      </c>
      <c r="T138" s="665">
        <f t="shared" si="85"/>
        <v>9927.2949815689717</v>
      </c>
      <c r="U138" s="665">
        <f t="shared" si="85"/>
        <v>10125.840881200351</v>
      </c>
      <c r="V138" s="665">
        <f t="shared" si="85"/>
        <v>10328.357698824359</v>
      </c>
      <c r="W138" s="665">
        <f t="shared" si="85"/>
        <v>10534.924852800847</v>
      </c>
      <c r="X138" s="665">
        <f t="shared" si="85"/>
        <v>10745.623349856864</v>
      </c>
      <c r="Y138" s="665">
        <f t="shared" si="85"/>
        <v>10960.535816854001</v>
      </c>
      <c r="Z138" s="665">
        <f t="shared" si="85"/>
        <v>11179.746533191079</v>
      </c>
      <c r="AA138" s="665">
        <f t="shared" si="85"/>
        <v>11403.341463854902</v>
      </c>
      <c r="AB138" s="665">
        <f t="shared" si="85"/>
        <v>11631.408293132001</v>
      </c>
      <c r="AC138" s="665">
        <f t="shared" si="85"/>
        <v>11864.03645899464</v>
      </c>
      <c r="AD138" s="665">
        <f t="shared" si="85"/>
        <v>12101.317188174535</v>
      </c>
      <c r="AE138" s="665">
        <f t="shared" si="85"/>
        <v>12343.343531938026</v>
      </c>
    </row>
    <row r="139" spans="1:33">
      <c r="A139" s="745" t="s">
        <v>63</v>
      </c>
      <c r="B139" s="738" t="s">
        <v>15</v>
      </c>
      <c r="C139" s="739">
        <v>15000</v>
      </c>
      <c r="D139" s="740">
        <f t="shared" si="83"/>
        <v>7.2115384615384617</v>
      </c>
      <c r="E139" s="739">
        <f>C139*$L$15</f>
        <v>0</v>
      </c>
      <c r="F139" s="739">
        <f t="shared" si="79"/>
        <v>6000</v>
      </c>
      <c r="G139" s="739">
        <f t="shared" si="80"/>
        <v>21000</v>
      </c>
      <c r="H139" s="740">
        <f t="shared" si="84"/>
        <v>80.769230769230774</v>
      </c>
      <c r="I139" s="766"/>
      <c r="J139" s="767"/>
      <c r="K139" s="741">
        <v>0</v>
      </c>
      <c r="L139" s="742">
        <v>0</v>
      </c>
      <c r="M139" s="742">
        <f>($H$139*M32)*0.5</f>
        <v>8642.3076923076933</v>
      </c>
      <c r="N139" s="742">
        <f t="shared" ref="N139:AE139" si="86">$M$139*L11</f>
        <v>8815.1538461538476</v>
      </c>
      <c r="O139" s="742">
        <f t="shared" si="86"/>
        <v>8991.4569230769248</v>
      </c>
      <c r="P139" s="742">
        <f t="shared" si="86"/>
        <v>9171.2860615384616</v>
      </c>
      <c r="Q139" s="742">
        <f t="shared" si="86"/>
        <v>9354.7117827692309</v>
      </c>
      <c r="R139" s="742">
        <f t="shared" si="86"/>
        <v>9541.8060184246169</v>
      </c>
      <c r="S139" s="742">
        <f t="shared" si="86"/>
        <v>9732.6421387931096</v>
      </c>
      <c r="T139" s="742">
        <f t="shared" si="86"/>
        <v>9927.2949815689717</v>
      </c>
      <c r="U139" s="742">
        <f t="shared" si="86"/>
        <v>10125.840881200351</v>
      </c>
      <c r="V139" s="742">
        <f t="shared" si="86"/>
        <v>10328.357698824359</v>
      </c>
      <c r="W139" s="742">
        <f t="shared" si="86"/>
        <v>10534.924852800847</v>
      </c>
      <c r="X139" s="742">
        <f t="shared" si="86"/>
        <v>10745.623349856864</v>
      </c>
      <c r="Y139" s="742">
        <f t="shared" si="86"/>
        <v>10960.535816854001</v>
      </c>
      <c r="Z139" s="742">
        <f t="shared" si="86"/>
        <v>11179.746533191079</v>
      </c>
      <c r="AA139" s="742">
        <f t="shared" si="86"/>
        <v>11403.341463854902</v>
      </c>
      <c r="AB139" s="742">
        <f t="shared" si="86"/>
        <v>11631.408293132001</v>
      </c>
      <c r="AC139" s="742">
        <f t="shared" si="86"/>
        <v>11864.03645899464</v>
      </c>
      <c r="AD139" s="742">
        <f t="shared" si="86"/>
        <v>12101.317188174535</v>
      </c>
      <c r="AE139" s="742">
        <f t="shared" si="86"/>
        <v>12343.343531938026</v>
      </c>
    </row>
    <row r="140" spans="1:33" s="56" customFormat="1" ht="14.25">
      <c r="A140" s="164" t="s">
        <v>415</v>
      </c>
      <c r="B140" s="164"/>
      <c r="C140" s="667">
        <f>SUM(C135:C139)</f>
        <v>255000</v>
      </c>
      <c r="D140" s="667"/>
      <c r="E140" s="667">
        <f>SUM(E135:E139)</f>
        <v>0</v>
      </c>
      <c r="F140" s="667">
        <f>SUM(F135:F139)</f>
        <v>102000</v>
      </c>
      <c r="G140" s="667">
        <f>SUM(G135:G139)</f>
        <v>357000</v>
      </c>
      <c r="H140" s="667">
        <f>SUM(H135:H139)</f>
        <v>1373.0769230769229</v>
      </c>
      <c r="I140" s="768"/>
      <c r="J140" s="769"/>
      <c r="K140" s="685">
        <f>SUMIF($B135:$B139,"FT",K135:K139)</f>
        <v>0</v>
      </c>
      <c r="L140" s="669">
        <f>SUMIF($B135:$B139,"FT",L135:L139)</f>
        <v>0</v>
      </c>
      <c r="M140" s="669">
        <f>SUM(M135:M139)</f>
        <v>54446.538461538468</v>
      </c>
      <c r="N140" s="669">
        <f t="shared" ref="N140:AE140" si="87">SUM(N135:N139)</f>
        <v>55535.469230769231</v>
      </c>
      <c r="O140" s="669">
        <f t="shared" si="87"/>
        <v>56646.178615384626</v>
      </c>
      <c r="P140" s="669">
        <f t="shared" si="87"/>
        <v>57779.102187692311</v>
      </c>
      <c r="Q140" s="669">
        <f t="shared" si="87"/>
        <v>58934.684231446139</v>
      </c>
      <c r="R140" s="669">
        <f t="shared" si="87"/>
        <v>60113.377916075071</v>
      </c>
      <c r="S140" s="669">
        <f t="shared" si="87"/>
        <v>61315.645474396588</v>
      </c>
      <c r="T140" s="669">
        <f t="shared" si="87"/>
        <v>62541.958383884514</v>
      </c>
      <c r="U140" s="669">
        <f t="shared" si="87"/>
        <v>63792.797551562195</v>
      </c>
      <c r="V140" s="669">
        <f t="shared" si="87"/>
        <v>65068.653502593457</v>
      </c>
      <c r="W140" s="669">
        <f t="shared" si="87"/>
        <v>66370.026572645322</v>
      </c>
      <c r="X140" s="669">
        <f t="shared" si="87"/>
        <v>67697.427104098228</v>
      </c>
      <c r="Y140" s="669">
        <f t="shared" si="87"/>
        <v>69051.375646180197</v>
      </c>
      <c r="Z140" s="669">
        <f t="shared" si="87"/>
        <v>70432.403159103793</v>
      </c>
      <c r="AA140" s="669">
        <f t="shared" si="87"/>
        <v>71841.051222285882</v>
      </c>
      <c r="AB140" s="669">
        <f t="shared" si="87"/>
        <v>73277.872246731597</v>
      </c>
      <c r="AC140" s="669">
        <f t="shared" si="87"/>
        <v>74743.429691666228</v>
      </c>
      <c r="AD140" s="669">
        <f t="shared" si="87"/>
        <v>76238.298285499564</v>
      </c>
      <c r="AE140" s="669">
        <f t="shared" si="87"/>
        <v>77763.064251209551</v>
      </c>
    </row>
    <row r="141" spans="1:33">
      <c r="A141" s="37"/>
      <c r="B141" s="37"/>
      <c r="C141" s="663"/>
      <c r="D141" s="663"/>
      <c r="E141" s="663"/>
      <c r="F141" s="663"/>
      <c r="G141" s="663"/>
      <c r="H141" s="663"/>
      <c r="I141" s="107"/>
      <c r="J141" s="108"/>
      <c r="K141" s="683"/>
      <c r="L141" s="666"/>
      <c r="M141" s="666"/>
      <c r="N141" s="666"/>
      <c r="O141" s="666"/>
      <c r="P141" s="666"/>
      <c r="Q141" s="666"/>
      <c r="R141" s="666"/>
      <c r="S141" s="666"/>
      <c r="T141" s="666"/>
      <c r="U141" s="666"/>
      <c r="V141" s="666"/>
      <c r="W141" s="666"/>
      <c r="X141" s="666"/>
      <c r="Y141" s="666"/>
      <c r="Z141" s="666"/>
      <c r="AA141" s="666"/>
      <c r="AB141" s="666"/>
      <c r="AC141" s="666"/>
      <c r="AD141" s="666"/>
      <c r="AE141" s="666"/>
    </row>
    <row r="142" spans="1:33">
      <c r="A142" s="37" t="s">
        <v>11</v>
      </c>
      <c r="B142" s="37"/>
      <c r="C142" s="57"/>
      <c r="E142" s="57"/>
      <c r="F142" s="57"/>
      <c r="G142" s="57"/>
      <c r="H142" s="57"/>
      <c r="I142" s="43"/>
      <c r="J142" s="42"/>
      <c r="K142" s="770">
        <f>COUNTIF(K135:K139,"&gt;100")</f>
        <v>0</v>
      </c>
      <c r="L142" s="771">
        <f>COUNTIF(L135:L137,"&gt;100")</f>
        <v>0</v>
      </c>
      <c r="M142" s="771">
        <f t="shared" ref="M142:AE142" si="88">COUNTIF(M135:M137,"&gt;100")</f>
        <v>3</v>
      </c>
      <c r="N142" s="771">
        <f t="shared" si="88"/>
        <v>3</v>
      </c>
      <c r="O142" s="771">
        <f t="shared" si="88"/>
        <v>3</v>
      </c>
      <c r="P142" s="771">
        <f t="shared" si="88"/>
        <v>3</v>
      </c>
      <c r="Q142" s="771">
        <f t="shared" si="88"/>
        <v>3</v>
      </c>
      <c r="R142" s="771">
        <f t="shared" si="88"/>
        <v>3</v>
      </c>
      <c r="S142" s="771">
        <f t="shared" si="88"/>
        <v>3</v>
      </c>
      <c r="T142" s="771">
        <f t="shared" si="88"/>
        <v>3</v>
      </c>
      <c r="U142" s="771">
        <f t="shared" si="88"/>
        <v>3</v>
      </c>
      <c r="V142" s="771">
        <f t="shared" si="88"/>
        <v>3</v>
      </c>
      <c r="W142" s="771">
        <f t="shared" si="88"/>
        <v>3</v>
      </c>
      <c r="X142" s="771">
        <f t="shared" si="88"/>
        <v>3</v>
      </c>
      <c r="Y142" s="771">
        <f t="shared" si="88"/>
        <v>3</v>
      </c>
      <c r="Z142" s="771">
        <f t="shared" si="88"/>
        <v>3</v>
      </c>
      <c r="AA142" s="771">
        <f t="shared" si="88"/>
        <v>3</v>
      </c>
      <c r="AB142" s="771">
        <f t="shared" si="88"/>
        <v>3</v>
      </c>
      <c r="AC142" s="771">
        <f t="shared" si="88"/>
        <v>3</v>
      </c>
      <c r="AD142" s="771">
        <f t="shared" si="88"/>
        <v>3</v>
      </c>
      <c r="AE142" s="771">
        <f t="shared" si="88"/>
        <v>3</v>
      </c>
      <c r="AF142" s="772"/>
      <c r="AG142" s="772"/>
    </row>
    <row r="143" spans="1:33">
      <c r="A143" s="745" t="s">
        <v>10</v>
      </c>
      <c r="B143" s="745"/>
      <c r="C143" s="746"/>
      <c r="D143" s="116"/>
      <c r="E143" s="746"/>
      <c r="F143" s="746"/>
      <c r="G143" s="746"/>
      <c r="H143" s="746"/>
      <c r="I143" s="747"/>
      <c r="J143" s="748"/>
      <c r="K143" s="773">
        <v>0</v>
      </c>
      <c r="L143" s="774">
        <f>COUNTIF(L138:L139,"&gt;100")</f>
        <v>0</v>
      </c>
      <c r="M143" s="774">
        <f t="shared" ref="M143:AE143" si="89">COUNTIF(M138:M139,"&gt;100")</f>
        <v>2</v>
      </c>
      <c r="N143" s="774">
        <f t="shared" si="89"/>
        <v>2</v>
      </c>
      <c r="O143" s="774">
        <f t="shared" si="89"/>
        <v>2</v>
      </c>
      <c r="P143" s="774">
        <f t="shared" si="89"/>
        <v>2</v>
      </c>
      <c r="Q143" s="774">
        <f t="shared" si="89"/>
        <v>2</v>
      </c>
      <c r="R143" s="774">
        <f t="shared" si="89"/>
        <v>2</v>
      </c>
      <c r="S143" s="774">
        <f t="shared" si="89"/>
        <v>2</v>
      </c>
      <c r="T143" s="774">
        <f t="shared" si="89"/>
        <v>2</v>
      </c>
      <c r="U143" s="774">
        <f t="shared" si="89"/>
        <v>2</v>
      </c>
      <c r="V143" s="774">
        <f t="shared" si="89"/>
        <v>2</v>
      </c>
      <c r="W143" s="774">
        <f t="shared" si="89"/>
        <v>2</v>
      </c>
      <c r="X143" s="774">
        <f t="shared" si="89"/>
        <v>2</v>
      </c>
      <c r="Y143" s="774">
        <f t="shared" si="89"/>
        <v>2</v>
      </c>
      <c r="Z143" s="774">
        <f t="shared" si="89"/>
        <v>2</v>
      </c>
      <c r="AA143" s="774">
        <f t="shared" si="89"/>
        <v>2</v>
      </c>
      <c r="AB143" s="774">
        <f t="shared" si="89"/>
        <v>2</v>
      </c>
      <c r="AC143" s="774">
        <f t="shared" si="89"/>
        <v>2</v>
      </c>
      <c r="AD143" s="774">
        <f t="shared" si="89"/>
        <v>2</v>
      </c>
      <c r="AE143" s="774">
        <f t="shared" si="89"/>
        <v>2</v>
      </c>
      <c r="AF143" s="772"/>
      <c r="AG143" s="772"/>
    </row>
    <row r="144" spans="1:33" s="56" customFormat="1" ht="14.25">
      <c r="A144" s="164" t="s">
        <v>9</v>
      </c>
      <c r="B144" s="164"/>
      <c r="C144" s="75"/>
      <c r="D144" s="173"/>
      <c r="E144" s="75"/>
      <c r="F144" s="75"/>
      <c r="G144" s="75"/>
      <c r="H144" s="75"/>
      <c r="I144" s="174"/>
      <c r="J144" s="181"/>
      <c r="K144" s="775">
        <v>0</v>
      </c>
      <c r="L144" s="776">
        <f>SUM(L142:L143)</f>
        <v>0</v>
      </c>
      <c r="M144" s="776">
        <f t="shared" ref="M144:AE144" si="90">COUNTIF(M135:M139,"&gt;0")</f>
        <v>5</v>
      </c>
      <c r="N144" s="776">
        <f t="shared" si="90"/>
        <v>5</v>
      </c>
      <c r="O144" s="776">
        <f t="shared" si="90"/>
        <v>5</v>
      </c>
      <c r="P144" s="776">
        <f t="shared" si="90"/>
        <v>5</v>
      </c>
      <c r="Q144" s="776">
        <f t="shared" si="90"/>
        <v>5</v>
      </c>
      <c r="R144" s="776">
        <f t="shared" si="90"/>
        <v>5</v>
      </c>
      <c r="S144" s="776">
        <f t="shared" si="90"/>
        <v>5</v>
      </c>
      <c r="T144" s="776">
        <f t="shared" si="90"/>
        <v>5</v>
      </c>
      <c r="U144" s="776">
        <f t="shared" si="90"/>
        <v>5</v>
      </c>
      <c r="V144" s="776">
        <f t="shared" si="90"/>
        <v>5</v>
      </c>
      <c r="W144" s="776">
        <f t="shared" si="90"/>
        <v>5</v>
      </c>
      <c r="X144" s="776">
        <f t="shared" si="90"/>
        <v>5</v>
      </c>
      <c r="Y144" s="776">
        <f t="shared" si="90"/>
        <v>5</v>
      </c>
      <c r="Z144" s="776">
        <f t="shared" si="90"/>
        <v>5</v>
      </c>
      <c r="AA144" s="776">
        <f t="shared" si="90"/>
        <v>5</v>
      </c>
      <c r="AB144" s="776">
        <f t="shared" si="90"/>
        <v>5</v>
      </c>
      <c r="AC144" s="776">
        <f t="shared" si="90"/>
        <v>5</v>
      </c>
      <c r="AD144" s="776">
        <f t="shared" si="90"/>
        <v>5</v>
      </c>
      <c r="AE144" s="776">
        <f t="shared" si="90"/>
        <v>5</v>
      </c>
      <c r="AF144" s="723"/>
      <c r="AG144" s="723"/>
    </row>
    <row r="145" spans="1:33">
      <c r="B145" s="37"/>
      <c r="C145" s="57"/>
      <c r="E145" s="57"/>
      <c r="F145" s="57"/>
      <c r="G145" s="57"/>
      <c r="H145" s="57"/>
      <c r="I145" s="43"/>
      <c r="J145" s="42"/>
      <c r="K145" s="683"/>
      <c r="L145" s="316"/>
      <c r="M145" s="316"/>
      <c r="N145" s="316"/>
      <c r="O145" s="316"/>
      <c r="P145" s="316"/>
      <c r="Q145" s="316"/>
      <c r="R145" s="316"/>
      <c r="S145" s="316"/>
      <c r="T145" s="316"/>
      <c r="U145" s="316"/>
      <c r="V145" s="316"/>
      <c r="W145" s="316"/>
      <c r="X145" s="316"/>
      <c r="Y145" s="316"/>
      <c r="Z145" s="316"/>
      <c r="AA145" s="316"/>
      <c r="AB145" s="316"/>
      <c r="AC145" s="316"/>
      <c r="AD145" s="316"/>
      <c r="AE145" s="316"/>
    </row>
    <row r="146" spans="1:33">
      <c r="A146" s="33" t="s">
        <v>60</v>
      </c>
      <c r="B146" s="191"/>
      <c r="C146" s="192"/>
      <c r="D146" s="193"/>
      <c r="E146" s="194"/>
      <c r="F146" s="194"/>
      <c r="G146" s="192"/>
      <c r="H146" s="192"/>
      <c r="I146" s="195">
        <v>0.2</v>
      </c>
      <c r="J146" s="196"/>
      <c r="K146" s="689">
        <v>0</v>
      </c>
      <c r="L146" s="665">
        <f t="shared" ref="L146:AE146" si="91">L140*$I$146</f>
        <v>0</v>
      </c>
      <c r="M146" s="665">
        <f t="shared" si="91"/>
        <v>10889.307692307695</v>
      </c>
      <c r="N146" s="665">
        <f t="shared" si="91"/>
        <v>11107.093846153846</v>
      </c>
      <c r="O146" s="665">
        <f t="shared" si="91"/>
        <v>11329.235723076927</v>
      </c>
      <c r="P146" s="665">
        <f t="shared" si="91"/>
        <v>11555.820437538463</v>
      </c>
      <c r="Q146" s="665">
        <f t="shared" si="91"/>
        <v>11786.936846289229</v>
      </c>
      <c r="R146" s="665">
        <f t="shared" si="91"/>
        <v>12022.675583215016</v>
      </c>
      <c r="S146" s="665">
        <f t="shared" si="91"/>
        <v>12263.129094879318</v>
      </c>
      <c r="T146" s="665">
        <f t="shared" si="91"/>
        <v>12508.391676776904</v>
      </c>
      <c r="U146" s="665">
        <f t="shared" si="91"/>
        <v>12758.55951031244</v>
      </c>
      <c r="V146" s="665">
        <f t="shared" si="91"/>
        <v>13013.730700518692</v>
      </c>
      <c r="W146" s="665">
        <f t="shared" si="91"/>
        <v>13274.005314529066</v>
      </c>
      <c r="X146" s="665">
        <f t="shared" si="91"/>
        <v>13539.485420819647</v>
      </c>
      <c r="Y146" s="665">
        <f t="shared" si="91"/>
        <v>13810.275129236041</v>
      </c>
      <c r="Z146" s="665">
        <f t="shared" si="91"/>
        <v>14086.480631820759</v>
      </c>
      <c r="AA146" s="665">
        <f t="shared" si="91"/>
        <v>14368.210244457177</v>
      </c>
      <c r="AB146" s="665">
        <f t="shared" si="91"/>
        <v>14655.574449346321</v>
      </c>
      <c r="AC146" s="665">
        <f t="shared" si="91"/>
        <v>14948.685938333247</v>
      </c>
      <c r="AD146" s="665">
        <f t="shared" si="91"/>
        <v>15247.659657099914</v>
      </c>
      <c r="AE146" s="665">
        <f t="shared" si="91"/>
        <v>15552.612850241911</v>
      </c>
    </row>
    <row r="147" spans="1:33">
      <c r="B147" s="191"/>
      <c r="C147" s="192"/>
      <c r="D147" s="193"/>
      <c r="E147" s="194"/>
      <c r="F147" s="194"/>
      <c r="G147" s="192"/>
      <c r="H147" s="192"/>
      <c r="I147" s="195"/>
      <c r="J147" s="196"/>
      <c r="K147" s="689"/>
      <c r="L147" s="665"/>
      <c r="M147" s="665"/>
      <c r="N147" s="665"/>
      <c r="O147" s="665"/>
      <c r="P147" s="665"/>
      <c r="Q147" s="665"/>
      <c r="R147" s="665"/>
      <c r="S147" s="665"/>
      <c r="T147" s="665"/>
      <c r="U147" s="665"/>
      <c r="V147" s="665"/>
      <c r="W147" s="665"/>
      <c r="X147" s="665"/>
      <c r="Y147" s="665"/>
      <c r="Z147" s="665"/>
      <c r="AA147" s="665"/>
      <c r="AB147" s="665"/>
      <c r="AC147" s="665"/>
      <c r="AD147" s="665"/>
      <c r="AE147" s="665"/>
    </row>
    <row r="148" spans="1:33" s="197" customFormat="1" ht="14.25">
      <c r="A148" s="197" t="s">
        <v>68</v>
      </c>
      <c r="D148" s="198"/>
      <c r="K148" s="690"/>
      <c r="L148" s="677"/>
      <c r="M148" s="677"/>
      <c r="N148" s="677"/>
      <c r="O148" s="677"/>
      <c r="P148" s="677"/>
      <c r="Q148" s="677"/>
      <c r="R148" s="677"/>
      <c r="S148" s="677"/>
      <c r="T148" s="677"/>
      <c r="U148" s="677"/>
      <c r="V148" s="677"/>
      <c r="W148" s="677"/>
      <c r="X148" s="677"/>
      <c r="Y148" s="677"/>
      <c r="Z148" s="677"/>
      <c r="AA148" s="677"/>
      <c r="AB148" s="677"/>
      <c r="AC148" s="677"/>
      <c r="AD148" s="677"/>
      <c r="AE148" s="677"/>
    </row>
    <row r="149" spans="1:33">
      <c r="A149" s="37" t="s">
        <v>423</v>
      </c>
      <c r="B149" s="37"/>
      <c r="C149" s="110"/>
      <c r="D149" s="106"/>
      <c r="E149" s="57"/>
      <c r="F149" s="57"/>
      <c r="G149" s="57"/>
      <c r="H149" s="57"/>
      <c r="I149" s="49"/>
      <c r="J149" s="44"/>
      <c r="K149" s="683">
        <f>COUNTIF(K$115:K$122,"&gt;0")*$J149*R$9</f>
        <v>0</v>
      </c>
      <c r="L149" s="666">
        <v>0</v>
      </c>
      <c r="M149" s="666">
        <v>10000</v>
      </c>
      <c r="N149" s="666">
        <f t="shared" ref="N149:AE149" si="92">$M$149*L11</f>
        <v>10200</v>
      </c>
      <c r="O149" s="666">
        <f t="shared" si="92"/>
        <v>10404</v>
      </c>
      <c r="P149" s="666">
        <f t="shared" si="92"/>
        <v>10612.08</v>
      </c>
      <c r="Q149" s="666">
        <f t="shared" si="92"/>
        <v>10824.321599999999</v>
      </c>
      <c r="R149" s="666">
        <f t="shared" si="92"/>
        <v>11040.808032000001</v>
      </c>
      <c r="S149" s="666">
        <f t="shared" si="92"/>
        <v>11261.62419264</v>
      </c>
      <c r="T149" s="666">
        <f t="shared" si="92"/>
        <v>11486.8566764928</v>
      </c>
      <c r="U149" s="666">
        <f t="shared" si="92"/>
        <v>11716.593810022658</v>
      </c>
      <c r="V149" s="666">
        <f t="shared" si="92"/>
        <v>11950.92568622311</v>
      </c>
      <c r="W149" s="666">
        <f t="shared" si="92"/>
        <v>12189.944199947573</v>
      </c>
      <c r="X149" s="666">
        <f t="shared" si="92"/>
        <v>12433.743083946525</v>
      </c>
      <c r="Y149" s="666">
        <f t="shared" si="92"/>
        <v>12682.417945625455</v>
      </c>
      <c r="Z149" s="666">
        <f t="shared" si="92"/>
        <v>12936.066304537962</v>
      </c>
      <c r="AA149" s="666">
        <f t="shared" si="92"/>
        <v>13194.787630628723</v>
      </c>
      <c r="AB149" s="666">
        <f t="shared" si="92"/>
        <v>13458.683383241299</v>
      </c>
      <c r="AC149" s="666">
        <f t="shared" si="92"/>
        <v>13727.857050906125</v>
      </c>
      <c r="AD149" s="666">
        <f t="shared" si="92"/>
        <v>14002.414191924248</v>
      </c>
      <c r="AE149" s="666">
        <f t="shared" si="92"/>
        <v>14282.462475762733</v>
      </c>
    </row>
    <row r="150" spans="1:33">
      <c r="A150" s="37" t="s">
        <v>67</v>
      </c>
      <c r="B150" s="37"/>
      <c r="C150" s="110"/>
      <c r="D150" s="106"/>
      <c r="E150" s="57"/>
      <c r="F150" s="57"/>
      <c r="G150" s="57"/>
      <c r="H150" s="57"/>
      <c r="I150" s="51"/>
      <c r="J150" s="44"/>
      <c r="K150" s="683">
        <v>0</v>
      </c>
      <c r="L150" s="666">
        <v>0</v>
      </c>
      <c r="M150" s="666">
        <v>10000</v>
      </c>
      <c r="N150" s="666">
        <f t="shared" ref="N150:AE150" si="93">$M$150*L11</f>
        <v>10200</v>
      </c>
      <c r="O150" s="666">
        <f t="shared" si="93"/>
        <v>10404</v>
      </c>
      <c r="P150" s="666">
        <f t="shared" si="93"/>
        <v>10612.08</v>
      </c>
      <c r="Q150" s="666">
        <f t="shared" si="93"/>
        <v>10824.321599999999</v>
      </c>
      <c r="R150" s="666">
        <f t="shared" si="93"/>
        <v>11040.808032000001</v>
      </c>
      <c r="S150" s="666">
        <f t="shared" si="93"/>
        <v>11261.62419264</v>
      </c>
      <c r="T150" s="666">
        <f t="shared" si="93"/>
        <v>11486.8566764928</v>
      </c>
      <c r="U150" s="666">
        <f t="shared" si="93"/>
        <v>11716.593810022658</v>
      </c>
      <c r="V150" s="666">
        <f t="shared" si="93"/>
        <v>11950.92568622311</v>
      </c>
      <c r="W150" s="666">
        <f t="shared" si="93"/>
        <v>12189.944199947573</v>
      </c>
      <c r="X150" s="666">
        <f t="shared" si="93"/>
        <v>12433.743083946525</v>
      </c>
      <c r="Y150" s="666">
        <f t="shared" si="93"/>
        <v>12682.417945625455</v>
      </c>
      <c r="Z150" s="666">
        <f t="shared" si="93"/>
        <v>12936.066304537962</v>
      </c>
      <c r="AA150" s="666">
        <f t="shared" si="93"/>
        <v>13194.787630628723</v>
      </c>
      <c r="AB150" s="666">
        <f t="shared" si="93"/>
        <v>13458.683383241299</v>
      </c>
      <c r="AC150" s="666">
        <f t="shared" si="93"/>
        <v>13727.857050906125</v>
      </c>
      <c r="AD150" s="666">
        <f t="shared" si="93"/>
        <v>14002.414191924248</v>
      </c>
      <c r="AE150" s="666">
        <f t="shared" si="93"/>
        <v>14282.462475762733</v>
      </c>
    </row>
    <row r="151" spans="1:33">
      <c r="A151" s="180" t="s">
        <v>2</v>
      </c>
      <c r="B151" s="777"/>
      <c r="C151" s="778"/>
      <c r="D151" s="779"/>
      <c r="E151" s="746"/>
      <c r="F151" s="746"/>
      <c r="G151" s="778"/>
      <c r="H151" s="778"/>
      <c r="I151" s="780"/>
      <c r="J151" s="781"/>
      <c r="K151" s="741">
        <v>0</v>
      </c>
      <c r="L151" s="742">
        <v>0</v>
      </c>
      <c r="M151" s="742">
        <v>0</v>
      </c>
      <c r="N151" s="742">
        <v>0</v>
      </c>
      <c r="O151" s="742">
        <v>0</v>
      </c>
      <c r="P151" s="742">
        <v>0</v>
      </c>
      <c r="Q151" s="742">
        <v>0</v>
      </c>
      <c r="R151" s="742">
        <v>0</v>
      </c>
      <c r="S151" s="742">
        <v>0</v>
      </c>
      <c r="T151" s="742">
        <v>0</v>
      </c>
      <c r="U151" s="742">
        <v>0</v>
      </c>
      <c r="V151" s="742">
        <v>0</v>
      </c>
      <c r="W151" s="742">
        <v>0</v>
      </c>
      <c r="X151" s="742">
        <v>0</v>
      </c>
      <c r="Y151" s="742">
        <v>0</v>
      </c>
      <c r="Z151" s="742">
        <v>0</v>
      </c>
      <c r="AA151" s="742">
        <v>0</v>
      </c>
      <c r="AB151" s="742">
        <v>0</v>
      </c>
      <c r="AC151" s="742">
        <v>0</v>
      </c>
      <c r="AD151" s="742">
        <v>0</v>
      </c>
      <c r="AE151" s="742">
        <v>0</v>
      </c>
    </row>
    <row r="152" spans="1:33" s="56" customFormat="1" ht="14.25">
      <c r="A152" s="164" t="s">
        <v>78</v>
      </c>
      <c r="B152" s="164"/>
      <c r="C152" s="75"/>
      <c r="D152" s="173"/>
      <c r="E152" s="75"/>
      <c r="F152" s="75"/>
      <c r="G152" s="75"/>
      <c r="H152" s="75"/>
      <c r="I152" s="174"/>
      <c r="J152" s="175"/>
      <c r="K152" s="685">
        <v>0</v>
      </c>
      <c r="L152" s="669">
        <f t="shared" ref="L152:AE152" si="94">SUM(L149:L151)</f>
        <v>0</v>
      </c>
      <c r="M152" s="669">
        <f t="shared" si="94"/>
        <v>20000</v>
      </c>
      <c r="N152" s="669">
        <f t="shared" si="94"/>
        <v>20400</v>
      </c>
      <c r="O152" s="669">
        <f t="shared" si="94"/>
        <v>20808</v>
      </c>
      <c r="P152" s="669">
        <f t="shared" si="94"/>
        <v>21224.16</v>
      </c>
      <c r="Q152" s="669">
        <f t="shared" si="94"/>
        <v>21648.643199999999</v>
      </c>
      <c r="R152" s="669">
        <f t="shared" si="94"/>
        <v>22081.616064000002</v>
      </c>
      <c r="S152" s="669">
        <f t="shared" si="94"/>
        <v>22523.24838528</v>
      </c>
      <c r="T152" s="669">
        <f t="shared" si="94"/>
        <v>22973.7133529856</v>
      </c>
      <c r="U152" s="669">
        <f t="shared" si="94"/>
        <v>23433.187620045315</v>
      </c>
      <c r="V152" s="669">
        <f t="shared" si="94"/>
        <v>23901.851372446221</v>
      </c>
      <c r="W152" s="669">
        <f t="shared" si="94"/>
        <v>24379.888399895146</v>
      </c>
      <c r="X152" s="669">
        <f t="shared" si="94"/>
        <v>24867.48616789305</v>
      </c>
      <c r="Y152" s="669">
        <f t="shared" si="94"/>
        <v>25364.83589125091</v>
      </c>
      <c r="Z152" s="669">
        <f t="shared" si="94"/>
        <v>25872.132609075925</v>
      </c>
      <c r="AA152" s="669">
        <f t="shared" si="94"/>
        <v>26389.575261257447</v>
      </c>
      <c r="AB152" s="669">
        <f t="shared" si="94"/>
        <v>26917.366766482599</v>
      </c>
      <c r="AC152" s="669">
        <f t="shared" si="94"/>
        <v>27455.714101812249</v>
      </c>
      <c r="AD152" s="669">
        <f t="shared" si="94"/>
        <v>28004.828383848497</v>
      </c>
      <c r="AE152" s="669">
        <f t="shared" si="94"/>
        <v>28564.924951525467</v>
      </c>
    </row>
    <row r="153" spans="1:33" s="56" customFormat="1" ht="14.25">
      <c r="A153" s="164"/>
      <c r="B153" s="164"/>
      <c r="C153" s="75"/>
      <c r="D153" s="173"/>
      <c r="E153" s="75"/>
      <c r="F153" s="75"/>
      <c r="G153" s="75"/>
      <c r="H153" s="75"/>
      <c r="I153" s="174"/>
      <c r="J153" s="175"/>
      <c r="K153" s="685"/>
      <c r="L153" s="669"/>
      <c r="M153" s="669"/>
      <c r="N153" s="669"/>
      <c r="O153" s="669"/>
      <c r="P153" s="669"/>
      <c r="Q153" s="669"/>
      <c r="R153" s="669"/>
      <c r="S153" s="669"/>
      <c r="T153" s="669"/>
      <c r="U153" s="669"/>
      <c r="V153" s="669"/>
      <c r="W153" s="669"/>
      <c r="X153" s="669"/>
      <c r="Y153" s="669"/>
      <c r="Z153" s="669"/>
      <c r="AA153" s="669"/>
      <c r="AB153" s="669"/>
      <c r="AC153" s="669"/>
      <c r="AD153" s="669"/>
      <c r="AE153" s="669"/>
    </row>
    <row r="154" spans="1:33" s="56" customFormat="1" ht="14.25">
      <c r="A154" s="164" t="s">
        <v>66</v>
      </c>
      <c r="B154" s="164"/>
      <c r="C154" s="75"/>
      <c r="D154" s="173"/>
      <c r="E154" s="75"/>
      <c r="F154" s="75"/>
      <c r="G154" s="75"/>
      <c r="H154" s="75"/>
      <c r="I154" s="174"/>
      <c r="J154" s="175"/>
      <c r="K154" s="685">
        <v>0</v>
      </c>
      <c r="L154" s="669">
        <f>SUM(L140,L152)</f>
        <v>0</v>
      </c>
      <c r="M154" s="669">
        <f>SUM(M140,M146,M152)</f>
        <v>85335.846153846156</v>
      </c>
      <c r="N154" s="669">
        <f t="shared" ref="N154:AE154" si="95">SUM(N140,N146,N152)</f>
        <v>87042.563076923077</v>
      </c>
      <c r="O154" s="669">
        <f t="shared" si="95"/>
        <v>88783.41433846156</v>
      </c>
      <c r="P154" s="669">
        <f t="shared" si="95"/>
        <v>90559.082625230774</v>
      </c>
      <c r="Q154" s="669">
        <f t="shared" si="95"/>
        <v>92370.264277735376</v>
      </c>
      <c r="R154" s="669">
        <f t="shared" si="95"/>
        <v>94217.669563290081</v>
      </c>
      <c r="S154" s="669">
        <f t="shared" si="95"/>
        <v>96102.022954555898</v>
      </c>
      <c r="T154" s="669">
        <f t="shared" si="95"/>
        <v>98024.063413647003</v>
      </c>
      <c r="U154" s="669">
        <f t="shared" si="95"/>
        <v>99984.544681919942</v>
      </c>
      <c r="V154" s="669">
        <f t="shared" si="95"/>
        <v>101984.23557555837</v>
      </c>
      <c r="W154" s="669">
        <f t="shared" si="95"/>
        <v>104023.92028706953</v>
      </c>
      <c r="X154" s="669">
        <f t="shared" si="95"/>
        <v>106104.39869281092</v>
      </c>
      <c r="Y154" s="669">
        <f t="shared" si="95"/>
        <v>108226.48666666714</v>
      </c>
      <c r="Z154" s="669">
        <f t="shared" si="95"/>
        <v>110391.01640000047</v>
      </c>
      <c r="AA154" s="669">
        <f t="shared" si="95"/>
        <v>112598.8367280005</v>
      </c>
      <c r="AB154" s="669">
        <f t="shared" si="95"/>
        <v>114850.8134625605</v>
      </c>
      <c r="AC154" s="669">
        <f t="shared" si="95"/>
        <v>117147.82973181173</v>
      </c>
      <c r="AD154" s="669">
        <f t="shared" si="95"/>
        <v>119490.78632644797</v>
      </c>
      <c r="AE154" s="669">
        <f t="shared" si="95"/>
        <v>121880.60205297693</v>
      </c>
    </row>
    <row r="155" spans="1:33" s="56" customFormat="1" ht="14.25">
      <c r="A155" s="164"/>
      <c r="B155" s="164"/>
      <c r="C155" s="75"/>
      <c r="D155" s="173"/>
      <c r="E155" s="75"/>
      <c r="F155" s="75"/>
      <c r="G155" s="75"/>
      <c r="H155" s="75"/>
      <c r="I155" s="174"/>
      <c r="J155" s="175"/>
      <c r="K155" s="685"/>
      <c r="L155" s="669"/>
      <c r="M155" s="669"/>
      <c r="N155" s="669"/>
      <c r="O155" s="669"/>
      <c r="P155" s="669"/>
      <c r="Q155" s="669"/>
      <c r="R155" s="669"/>
      <c r="S155" s="669"/>
      <c r="T155" s="669"/>
      <c r="U155" s="669"/>
      <c r="V155" s="669"/>
      <c r="W155" s="669"/>
      <c r="X155" s="669"/>
      <c r="Y155" s="669"/>
      <c r="Z155" s="669"/>
      <c r="AA155" s="669"/>
      <c r="AB155" s="669"/>
      <c r="AC155" s="669"/>
      <c r="AD155" s="669"/>
      <c r="AE155" s="669"/>
    </row>
    <row r="156" spans="1:33">
      <c r="A156" s="47" t="s">
        <v>7</v>
      </c>
      <c r="B156" s="47" t="s">
        <v>7</v>
      </c>
      <c r="C156" s="78" t="s">
        <v>7</v>
      </c>
      <c r="D156" s="100"/>
      <c r="E156" s="78" t="s">
        <v>7</v>
      </c>
      <c r="F156" s="78"/>
      <c r="G156" s="78" t="s">
        <v>7</v>
      </c>
      <c r="H156" s="78"/>
      <c r="I156" s="52" t="s">
        <v>7</v>
      </c>
      <c r="J156" s="114"/>
      <c r="K156" s="673"/>
      <c r="L156" s="672"/>
      <c r="M156" s="672"/>
      <c r="N156" s="672"/>
      <c r="O156" s="672"/>
      <c r="P156" s="672"/>
      <c r="Q156" s="672"/>
      <c r="R156" s="672"/>
      <c r="S156" s="672"/>
      <c r="T156" s="672"/>
      <c r="U156" s="672"/>
      <c r="V156" s="672"/>
      <c r="W156" s="672"/>
      <c r="X156" s="672"/>
      <c r="Y156" s="672"/>
      <c r="Z156" s="672"/>
      <c r="AA156" s="672"/>
      <c r="AB156" s="672"/>
      <c r="AC156" s="672"/>
      <c r="AD156" s="672"/>
      <c r="AE156" s="672"/>
    </row>
    <row r="157" spans="1:33">
      <c r="A157" s="47"/>
      <c r="B157" s="47"/>
      <c r="C157" s="78"/>
      <c r="D157" s="100"/>
      <c r="E157" s="78"/>
      <c r="F157" s="78"/>
      <c r="G157" s="78"/>
      <c r="H157" s="78"/>
      <c r="I157" s="52"/>
      <c r="J157" s="114"/>
      <c r="K157" s="664"/>
      <c r="L157" s="666"/>
      <c r="M157" s="666"/>
      <c r="N157" s="666"/>
      <c r="O157" s="666"/>
      <c r="P157" s="666"/>
      <c r="Q157" s="666"/>
      <c r="R157" s="666"/>
      <c r="S157" s="666"/>
      <c r="T157" s="666"/>
      <c r="U157" s="666"/>
      <c r="V157" s="666"/>
      <c r="W157" s="666"/>
      <c r="X157" s="666"/>
      <c r="Y157" s="666"/>
      <c r="Z157" s="666"/>
      <c r="AA157" s="666"/>
      <c r="AB157" s="666"/>
      <c r="AC157" s="666"/>
      <c r="AD157" s="666"/>
      <c r="AE157" s="666"/>
    </row>
    <row r="158" spans="1:33" s="56" customFormat="1" ht="14.25">
      <c r="A158" s="203" t="s">
        <v>79</v>
      </c>
      <c r="B158" s="203"/>
      <c r="C158" s="204"/>
      <c r="D158" s="205"/>
      <c r="E158" s="204"/>
      <c r="F158" s="204"/>
      <c r="G158" s="204"/>
      <c r="H158" s="204"/>
      <c r="I158" s="206"/>
      <c r="J158" s="207"/>
      <c r="K158" s="675">
        <v>0</v>
      </c>
      <c r="L158" s="676">
        <f t="shared" ref="L158:AE158" si="96">SUM(L131,L154)</f>
        <v>0</v>
      </c>
      <c r="M158" s="676">
        <f t="shared" si="96"/>
        <v>139905.84615384616</v>
      </c>
      <c r="N158" s="676">
        <f t="shared" si="96"/>
        <v>143817.19107692307</v>
      </c>
      <c r="O158" s="676">
        <f t="shared" si="96"/>
        <v>146693.53489846154</v>
      </c>
      <c r="P158" s="676">
        <f t="shared" si="96"/>
        <v>149627.40559643076</v>
      </c>
      <c r="Q158" s="676">
        <f t="shared" si="96"/>
        <v>152619.95370835939</v>
      </c>
      <c r="R158" s="676">
        <f t="shared" si="96"/>
        <v>155672.35278252655</v>
      </c>
      <c r="S158" s="676">
        <f t="shared" si="96"/>
        <v>158785.7998381771</v>
      </c>
      <c r="T158" s="676">
        <f t="shared" si="96"/>
        <v>161961.51583494066</v>
      </c>
      <c r="U158" s="676">
        <f t="shared" si="96"/>
        <v>165200.74615163944</v>
      </c>
      <c r="V158" s="676">
        <f t="shared" si="96"/>
        <v>168504.76107467228</v>
      </c>
      <c r="W158" s="676">
        <f t="shared" si="96"/>
        <v>171874.85629616573</v>
      </c>
      <c r="X158" s="676">
        <f t="shared" si="96"/>
        <v>175312.35342208904</v>
      </c>
      <c r="Y158" s="676">
        <f t="shared" si="96"/>
        <v>178818.60049053084</v>
      </c>
      <c r="Z158" s="676">
        <f t="shared" si="96"/>
        <v>182394.97250034142</v>
      </c>
      <c r="AA158" s="676">
        <f t="shared" si="96"/>
        <v>186042.87195034826</v>
      </c>
      <c r="AB158" s="676">
        <f t="shared" si="96"/>
        <v>189763.72938935523</v>
      </c>
      <c r="AC158" s="676">
        <f t="shared" si="96"/>
        <v>193559.00397714233</v>
      </c>
      <c r="AD158" s="676">
        <f t="shared" si="96"/>
        <v>197430.18405668519</v>
      </c>
      <c r="AE158" s="676">
        <f t="shared" si="96"/>
        <v>201378.7877378189</v>
      </c>
      <c r="AG158" s="199"/>
    </row>
    <row r="159" spans="1:33">
      <c r="K159" s="664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</row>
    <row r="160" spans="1:33">
      <c r="A160" s="47" t="s">
        <v>7</v>
      </c>
      <c r="B160" s="47" t="s">
        <v>7</v>
      </c>
      <c r="C160" s="78" t="s">
        <v>7</v>
      </c>
      <c r="D160" s="100"/>
      <c r="E160" s="78" t="s">
        <v>7</v>
      </c>
      <c r="F160" s="78"/>
      <c r="G160" s="78" t="s">
        <v>7</v>
      </c>
      <c r="H160" s="78"/>
      <c r="I160" s="52" t="s">
        <v>7</v>
      </c>
      <c r="J160" s="114"/>
      <c r="K160" s="673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</row>
    <row r="161" spans="1:33">
      <c r="K161" s="664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G161" s="199"/>
    </row>
    <row r="162" spans="1:33" s="56" customFormat="1" ht="14.25">
      <c r="A162" s="208" t="s">
        <v>115</v>
      </c>
      <c r="B162" s="208"/>
      <c r="C162" s="208"/>
      <c r="D162" s="202"/>
      <c r="E162" s="208"/>
      <c r="F162" s="208"/>
      <c r="G162" s="208"/>
      <c r="H162" s="208"/>
      <c r="I162" s="208"/>
      <c r="J162" s="208"/>
      <c r="K162" s="678">
        <f>SUM(K152,K112)</f>
        <v>0</v>
      </c>
      <c r="L162" s="678">
        <f t="shared" ref="L162:AE162" si="97">SUM(L112,L158)</f>
        <v>367858.33333333331</v>
      </c>
      <c r="M162" s="678">
        <f t="shared" si="97"/>
        <v>883304.84615384613</v>
      </c>
      <c r="N162" s="678">
        <f t="shared" si="97"/>
        <v>902094.3710769231</v>
      </c>
      <c r="O162" s="678">
        <f t="shared" si="97"/>
        <v>920136.25849846145</v>
      </c>
      <c r="P162" s="678">
        <f t="shared" si="97"/>
        <v>938538.98366843071</v>
      </c>
      <c r="Q162" s="678">
        <f t="shared" si="97"/>
        <v>985653.64213699941</v>
      </c>
      <c r="R162" s="678">
        <f t="shared" si="97"/>
        <v>1000829.7961893713</v>
      </c>
      <c r="S162" s="678">
        <f t="shared" si="97"/>
        <v>1020846.3921131587</v>
      </c>
      <c r="T162" s="678">
        <f t="shared" si="97"/>
        <v>1041263.3199554221</v>
      </c>
      <c r="U162" s="678">
        <f t="shared" si="97"/>
        <v>1062088.5863545304</v>
      </c>
      <c r="V162" s="678">
        <f t="shared" si="97"/>
        <v>1087720.860871624</v>
      </c>
      <c r="W162" s="678">
        <f t="shared" si="97"/>
        <v>1104996.9652432536</v>
      </c>
      <c r="X162" s="678">
        <f t="shared" si="97"/>
        <v>1127096.9045481186</v>
      </c>
      <c r="Y162" s="678">
        <f t="shared" si="97"/>
        <v>1149638.8426390812</v>
      </c>
      <c r="Z162" s="678">
        <f t="shared" si="97"/>
        <v>1172631.6194918626</v>
      </c>
      <c r="AA162" s="678">
        <f t="shared" si="97"/>
        <v>1200411.3177125379</v>
      </c>
      <c r="AB162" s="678">
        <f t="shared" si="97"/>
        <v>1220005.9369193341</v>
      </c>
      <c r="AC162" s="678">
        <f t="shared" si="97"/>
        <v>1244406.0556577207</v>
      </c>
      <c r="AD162" s="678">
        <f t="shared" si="97"/>
        <v>1269294.1767708752</v>
      </c>
      <c r="AE162" s="678">
        <f t="shared" si="97"/>
        <v>1294680.0603062927</v>
      </c>
      <c r="AG162" s="199"/>
    </row>
    <row r="163" spans="1:33">
      <c r="K163" s="664"/>
      <c r="L163" s="666"/>
      <c r="M163" s="666"/>
      <c r="N163" s="666"/>
      <c r="O163" s="666"/>
      <c r="P163" s="666"/>
      <c r="Q163" s="666"/>
      <c r="R163" s="666"/>
      <c r="S163" s="666"/>
      <c r="T163" s="666"/>
      <c r="U163" s="666"/>
      <c r="V163" s="666"/>
      <c r="W163" s="666"/>
      <c r="X163" s="666"/>
      <c r="Y163" s="666"/>
      <c r="Z163" s="666"/>
      <c r="AA163" s="666"/>
      <c r="AB163" s="666"/>
      <c r="AC163" s="666"/>
      <c r="AD163" s="666"/>
      <c r="AE163" s="666"/>
      <c r="AG163" s="199"/>
    </row>
    <row r="164" spans="1:33">
      <c r="A164" s="251"/>
      <c r="B164" s="251"/>
      <c r="C164" s="251"/>
      <c r="D164" s="259"/>
      <c r="E164" s="251"/>
      <c r="F164" s="251"/>
      <c r="G164" s="251"/>
      <c r="H164" s="251"/>
      <c r="I164" s="251"/>
      <c r="J164" s="251"/>
      <c r="K164" s="679"/>
      <c r="L164" s="680"/>
      <c r="M164" s="680"/>
      <c r="N164" s="680"/>
      <c r="O164" s="680"/>
      <c r="P164" s="680"/>
      <c r="Q164" s="680"/>
      <c r="R164" s="680"/>
      <c r="S164" s="680"/>
      <c r="T164" s="680"/>
      <c r="U164" s="680"/>
      <c r="V164" s="680"/>
      <c r="W164" s="680"/>
      <c r="X164" s="680"/>
      <c r="Y164" s="680"/>
      <c r="Z164" s="680"/>
      <c r="AA164" s="680"/>
      <c r="AB164" s="680"/>
      <c r="AC164" s="680"/>
      <c r="AD164" s="680"/>
      <c r="AE164" s="680"/>
      <c r="AG164" s="199"/>
    </row>
    <row r="165" spans="1:33">
      <c r="K165" s="664"/>
      <c r="L165" s="666"/>
      <c r="M165" s="666"/>
      <c r="N165" s="666"/>
      <c r="O165" s="666"/>
      <c r="P165" s="666"/>
      <c r="Q165" s="666"/>
      <c r="R165" s="666"/>
      <c r="S165" s="666"/>
      <c r="T165" s="666"/>
      <c r="U165" s="666"/>
      <c r="V165" s="666"/>
      <c r="W165" s="666"/>
      <c r="X165" s="666"/>
      <c r="Y165" s="666"/>
      <c r="Z165" s="666"/>
      <c r="AA165" s="666"/>
      <c r="AB165" s="666"/>
      <c r="AC165" s="666"/>
      <c r="AD165" s="666"/>
      <c r="AE165" s="666"/>
      <c r="AG165" s="199"/>
    </row>
    <row r="166" spans="1:33">
      <c r="A166" s="249" t="s">
        <v>84</v>
      </c>
      <c r="B166" s="281"/>
      <c r="C166" s="281"/>
      <c r="D166" s="177"/>
      <c r="E166" s="281"/>
      <c r="F166" s="281"/>
      <c r="G166" s="281"/>
      <c r="H166" s="281"/>
      <c r="I166" s="281"/>
      <c r="J166" s="281"/>
      <c r="K166" s="681"/>
      <c r="L166" s="682"/>
      <c r="M166" s="682"/>
      <c r="N166" s="682"/>
      <c r="O166" s="682"/>
      <c r="P166" s="682"/>
      <c r="Q166" s="682"/>
      <c r="R166" s="682"/>
      <c r="S166" s="682"/>
      <c r="T166" s="682"/>
      <c r="U166" s="682"/>
      <c r="V166" s="682"/>
      <c r="W166" s="682"/>
      <c r="X166" s="682"/>
      <c r="Y166" s="682"/>
      <c r="Z166" s="682"/>
      <c r="AA166" s="682"/>
      <c r="AB166" s="682"/>
      <c r="AC166" s="682"/>
      <c r="AD166" s="682"/>
      <c r="AE166" s="682"/>
      <c r="AG166" s="199"/>
    </row>
    <row r="167" spans="1:33" s="252" customFormat="1">
      <c r="A167" s="257"/>
      <c r="D167" s="186"/>
      <c r="K167" s="664"/>
      <c r="L167" s="671"/>
      <c r="M167" s="671"/>
      <c r="N167" s="671"/>
      <c r="O167" s="671"/>
      <c r="P167" s="671"/>
      <c r="Q167" s="671"/>
      <c r="R167" s="671"/>
      <c r="S167" s="671"/>
      <c r="T167" s="671"/>
      <c r="U167" s="671"/>
      <c r="V167" s="671"/>
      <c r="W167" s="671"/>
      <c r="X167" s="671"/>
      <c r="Y167" s="671"/>
      <c r="Z167" s="671"/>
      <c r="AA167" s="671"/>
      <c r="AB167" s="671"/>
      <c r="AC167" s="671"/>
      <c r="AD167" s="671"/>
      <c r="AE167" s="671"/>
      <c r="AG167" s="363"/>
    </row>
    <row r="168" spans="1:33">
      <c r="A168" s="96" t="s">
        <v>136</v>
      </c>
      <c r="B168" s="37"/>
      <c r="C168" s="110"/>
      <c r="D168" s="106"/>
      <c r="E168" s="57"/>
      <c r="F168" s="57"/>
      <c r="G168" s="57"/>
      <c r="H168" s="57"/>
      <c r="I168" s="51"/>
      <c r="J168" s="44"/>
      <c r="K168" s="514"/>
      <c r="L168" s="515"/>
      <c r="M168" s="515"/>
      <c r="N168" s="515"/>
      <c r="O168" s="515"/>
      <c r="P168" s="515"/>
      <c r="Q168" s="515"/>
      <c r="R168" s="515"/>
      <c r="S168" s="515"/>
      <c r="T168" s="515"/>
      <c r="U168" s="515"/>
      <c r="V168" s="515"/>
      <c r="W168" s="515"/>
      <c r="X168" s="515"/>
      <c r="Y168" s="515"/>
      <c r="Z168" s="515"/>
      <c r="AA168" s="515"/>
      <c r="AB168" s="515"/>
      <c r="AC168" s="515"/>
      <c r="AD168" s="515"/>
      <c r="AE168" s="515"/>
      <c r="AG168" s="199"/>
    </row>
    <row r="169" spans="1:33">
      <c r="A169" s="37" t="s">
        <v>456</v>
      </c>
      <c r="K169" s="683">
        <v>0</v>
      </c>
      <c r="L169" s="663">
        <v>0</v>
      </c>
      <c r="M169" s="663">
        <v>85775</v>
      </c>
      <c r="N169" s="663">
        <f>$M$169*L11</f>
        <v>87490.5</v>
      </c>
      <c r="O169" s="663">
        <f t="shared" ref="O169:AE169" si="98">$M$169*M11</f>
        <v>89240.31</v>
      </c>
      <c r="P169" s="663">
        <f t="shared" si="98"/>
        <v>91025.116199999989</v>
      </c>
      <c r="Q169" s="663">
        <f t="shared" si="98"/>
        <v>92845.618524000005</v>
      </c>
      <c r="R169" s="663">
        <f t="shared" si="98"/>
        <v>94702.530894480005</v>
      </c>
      <c r="S169" s="663">
        <f t="shared" si="98"/>
        <v>96596.581512369608</v>
      </c>
      <c r="T169" s="663">
        <f t="shared" si="98"/>
        <v>98528.513142616997</v>
      </c>
      <c r="U169" s="663">
        <f t="shared" si="98"/>
        <v>100499.08340546934</v>
      </c>
      <c r="V169" s="663">
        <f t="shared" si="98"/>
        <v>102509.06507357873</v>
      </c>
      <c r="W169" s="663">
        <f t="shared" si="98"/>
        <v>104559.24637505031</v>
      </c>
      <c r="X169" s="663">
        <f t="shared" si="98"/>
        <v>106650.43130255131</v>
      </c>
      <c r="Y169" s="663">
        <f t="shared" si="98"/>
        <v>108783.43992860234</v>
      </c>
      <c r="Z169" s="663">
        <f t="shared" si="98"/>
        <v>110959.10872717437</v>
      </c>
      <c r="AA169" s="663">
        <f t="shared" si="98"/>
        <v>113178.29090171788</v>
      </c>
      <c r="AB169" s="663">
        <f t="shared" si="98"/>
        <v>115441.85671975224</v>
      </c>
      <c r="AC169" s="663">
        <f t="shared" si="98"/>
        <v>117750.69385414729</v>
      </c>
      <c r="AD169" s="663">
        <f t="shared" si="98"/>
        <v>120105.70773123024</v>
      </c>
      <c r="AE169" s="663">
        <f t="shared" si="98"/>
        <v>122507.82188585485</v>
      </c>
    </row>
    <row r="170" spans="1:33">
      <c r="K170" s="683"/>
    </row>
    <row r="171" spans="1:33">
      <c r="A171" s="1103" t="s">
        <v>576</v>
      </c>
      <c r="K171" s="683">
        <v>0</v>
      </c>
      <c r="L171" s="882">
        <f>'Capital Financing'!$B$66</f>
        <v>635662.67999999993</v>
      </c>
      <c r="M171" s="882">
        <f>'Capital Financing'!$B$66</f>
        <v>635662.67999999993</v>
      </c>
      <c r="N171" s="882">
        <f>'Capital Financing'!$B$66</f>
        <v>635662.67999999993</v>
      </c>
      <c r="O171" s="882">
        <f>'Capital Financing'!$B$66</f>
        <v>635662.67999999993</v>
      </c>
      <c r="P171" s="882">
        <f>'Capital Financing'!$B$66</f>
        <v>635662.67999999993</v>
      </c>
      <c r="Q171" s="882">
        <f>'Capital Financing'!$B$66</f>
        <v>635662.67999999993</v>
      </c>
      <c r="R171" s="882">
        <f>'Capital Financing'!$B$66</f>
        <v>635662.67999999993</v>
      </c>
      <c r="S171" s="882">
        <f>'Capital Financing'!$B$66</f>
        <v>635662.67999999993</v>
      </c>
      <c r="T171" s="882">
        <f>'Capital Financing'!$B$66</f>
        <v>635662.67999999993</v>
      </c>
      <c r="U171" s="882">
        <f>'Capital Financing'!$B$66</f>
        <v>635662.67999999993</v>
      </c>
      <c r="V171" s="882">
        <f>'Capital Financing'!$B$66</f>
        <v>635662.67999999993</v>
      </c>
      <c r="W171" s="882">
        <f>'Capital Financing'!$B$66</f>
        <v>635662.67999999993</v>
      </c>
      <c r="X171" s="882">
        <f>'Capital Financing'!$B$66</f>
        <v>635662.67999999993</v>
      </c>
      <c r="Y171" s="882">
        <f>'Capital Financing'!$B$66</f>
        <v>635662.67999999993</v>
      </c>
      <c r="Z171" s="882">
        <f>'Capital Financing'!$B$66</f>
        <v>635662.67999999993</v>
      </c>
      <c r="AA171" s="882">
        <f>'Capital Financing'!$B$66</f>
        <v>635662.67999999993</v>
      </c>
      <c r="AB171" s="882">
        <f>'Capital Financing'!$B$66</f>
        <v>635662.67999999993</v>
      </c>
      <c r="AC171" s="882">
        <f>'Capital Financing'!$B$66</f>
        <v>635662.67999999993</v>
      </c>
      <c r="AD171" s="882">
        <f>'Capital Financing'!$B$66</f>
        <v>635662.67999999993</v>
      </c>
      <c r="AE171" s="882">
        <f>'Capital Financing'!$B$66</f>
        <v>635662.67999999993</v>
      </c>
    </row>
    <row r="172" spans="1:33" s="702" customFormat="1">
      <c r="A172" s="341" t="s">
        <v>315</v>
      </c>
      <c r="B172" s="701"/>
      <c r="C172" s="703"/>
      <c r="D172" s="704"/>
      <c r="E172" s="705"/>
      <c r="F172" s="705"/>
      <c r="G172" s="705"/>
      <c r="H172" s="705"/>
      <c r="I172" s="706"/>
      <c r="J172" s="707"/>
      <c r="K172" s="699">
        <v>0</v>
      </c>
      <c r="L172" s="700">
        <v>0</v>
      </c>
      <c r="M172" s="700">
        <v>0</v>
      </c>
      <c r="N172" s="700">
        <v>0</v>
      </c>
      <c r="O172" s="700">
        <v>0</v>
      </c>
      <c r="P172" s="700">
        <v>0</v>
      </c>
      <c r="Q172" s="700">
        <v>0</v>
      </c>
      <c r="R172" s="700">
        <v>0</v>
      </c>
      <c r="S172" s="700">
        <v>0</v>
      </c>
      <c r="T172" s="700">
        <v>0</v>
      </c>
      <c r="U172" s="700">
        <v>0</v>
      </c>
      <c r="V172" s="700">
        <v>0</v>
      </c>
      <c r="W172" s="700">
        <v>0</v>
      </c>
      <c r="X172" s="700">
        <v>0</v>
      </c>
      <c r="Y172" s="700">
        <v>0</v>
      </c>
      <c r="Z172" s="700">
        <v>0</v>
      </c>
      <c r="AA172" s="700">
        <v>0</v>
      </c>
      <c r="AB172" s="700">
        <v>0</v>
      </c>
      <c r="AC172" s="700">
        <v>0</v>
      </c>
      <c r="AD172" s="700">
        <v>0</v>
      </c>
      <c r="AE172" s="700">
        <v>0</v>
      </c>
      <c r="AG172" s="708"/>
    </row>
    <row r="173" spans="1:33">
      <c r="A173" s="180" t="s">
        <v>316</v>
      </c>
      <c r="B173" s="180"/>
      <c r="C173" s="180"/>
      <c r="D173" s="116"/>
      <c r="E173" s="180"/>
      <c r="F173" s="180"/>
      <c r="G173" s="180"/>
      <c r="H173" s="180"/>
      <c r="I173" s="180"/>
      <c r="J173" s="180"/>
      <c r="K173" s="505">
        <v>0</v>
      </c>
      <c r="L173" s="506">
        <v>246000</v>
      </c>
      <c r="M173" s="506">
        <v>246000</v>
      </c>
      <c r="N173" s="506">
        <v>246000</v>
      </c>
      <c r="O173" s="506">
        <v>246000</v>
      </c>
      <c r="P173" s="506">
        <v>246000</v>
      </c>
      <c r="Q173" s="506">
        <v>246000</v>
      </c>
      <c r="R173" s="506">
        <v>246000</v>
      </c>
      <c r="S173" s="506">
        <v>246000</v>
      </c>
      <c r="T173" s="506">
        <v>246000</v>
      </c>
      <c r="U173" s="506">
        <v>246000</v>
      </c>
      <c r="V173" s="506">
        <v>246000</v>
      </c>
      <c r="W173" s="506">
        <v>246000</v>
      </c>
      <c r="X173" s="506">
        <v>246000</v>
      </c>
      <c r="Y173" s="506">
        <v>246000</v>
      </c>
      <c r="Z173" s="506">
        <v>246000</v>
      </c>
      <c r="AA173" s="506">
        <v>246000</v>
      </c>
      <c r="AB173" s="506">
        <v>246000</v>
      </c>
      <c r="AC173" s="506">
        <v>246000</v>
      </c>
      <c r="AD173" s="506">
        <v>246000</v>
      </c>
      <c r="AE173" s="506">
        <v>246000</v>
      </c>
      <c r="AG173" s="199"/>
    </row>
    <row r="174" spans="1:33" s="56" customFormat="1" ht="14.25">
      <c r="A174" s="56" t="s">
        <v>134</v>
      </c>
      <c r="D174" s="173"/>
      <c r="K174" s="524">
        <f t="shared" ref="K174:AE174" si="99">SUM(K168:K173)</f>
        <v>0</v>
      </c>
      <c r="L174" s="525">
        <f t="shared" si="99"/>
        <v>881662.67999999993</v>
      </c>
      <c r="M174" s="525">
        <f t="shared" si="99"/>
        <v>967437.67999999993</v>
      </c>
      <c r="N174" s="525">
        <f t="shared" si="99"/>
        <v>969153.17999999993</v>
      </c>
      <c r="O174" s="525">
        <f t="shared" si="99"/>
        <v>970902.99</v>
      </c>
      <c r="P174" s="525">
        <f t="shared" si="99"/>
        <v>972687.79619999998</v>
      </c>
      <c r="Q174" s="525">
        <f t="shared" si="99"/>
        <v>974508.29852399998</v>
      </c>
      <c r="R174" s="525">
        <f t="shared" si="99"/>
        <v>976365.21089447988</v>
      </c>
      <c r="S174" s="525">
        <f t="shared" si="99"/>
        <v>978259.2615123695</v>
      </c>
      <c r="T174" s="525">
        <f t="shared" si="99"/>
        <v>980191.19314261689</v>
      </c>
      <c r="U174" s="525">
        <f t="shared" si="99"/>
        <v>982161.76340546925</v>
      </c>
      <c r="V174" s="525">
        <f t="shared" si="99"/>
        <v>984171.74507357867</v>
      </c>
      <c r="W174" s="525">
        <f t="shared" si="99"/>
        <v>986221.92637505021</v>
      </c>
      <c r="X174" s="525">
        <f t="shared" si="99"/>
        <v>988313.11130255123</v>
      </c>
      <c r="Y174" s="525">
        <f t="shared" si="99"/>
        <v>990446.11992860225</v>
      </c>
      <c r="Z174" s="525">
        <f t="shared" si="99"/>
        <v>992621.78872717428</v>
      </c>
      <c r="AA174" s="525">
        <f t="shared" si="99"/>
        <v>994840.97090171778</v>
      </c>
      <c r="AB174" s="525">
        <f t="shared" si="99"/>
        <v>997104.53671975213</v>
      </c>
      <c r="AC174" s="525">
        <f t="shared" si="99"/>
        <v>999413.37385414727</v>
      </c>
      <c r="AD174" s="525">
        <f t="shared" si="99"/>
        <v>1001768.3877312301</v>
      </c>
      <c r="AE174" s="525">
        <f t="shared" si="99"/>
        <v>1004170.5018858548</v>
      </c>
      <c r="AG174" s="199"/>
    </row>
    <row r="175" spans="1:33">
      <c r="K175" s="683"/>
      <c r="L175" s="666"/>
      <c r="M175" s="666"/>
      <c r="N175" s="666"/>
      <c r="O175" s="666"/>
      <c r="P175" s="666"/>
      <c r="Q175" s="666"/>
      <c r="R175" s="666"/>
      <c r="S175" s="666"/>
      <c r="T175" s="666"/>
      <c r="U175" s="666"/>
      <c r="V175" s="666"/>
      <c r="W175" s="666"/>
      <c r="X175" s="666"/>
      <c r="Y175" s="666"/>
      <c r="Z175" s="666"/>
      <c r="AA175" s="666"/>
      <c r="AB175" s="666"/>
      <c r="AC175" s="666"/>
      <c r="AD175" s="666"/>
      <c r="AE175" s="666"/>
      <c r="AG175" s="199"/>
    </row>
    <row r="176" spans="1:33" s="56" customFormat="1" ht="14.25">
      <c r="A176" s="208" t="s">
        <v>86</v>
      </c>
      <c r="B176" s="718">
        <f>SUM(L176:AE176)</f>
        <v>19592402.516178593</v>
      </c>
      <c r="C176" s="208"/>
      <c r="D176" s="202"/>
      <c r="E176" s="208"/>
      <c r="F176" s="208"/>
      <c r="G176" s="208"/>
      <c r="H176" s="208"/>
      <c r="I176" s="208"/>
      <c r="J176" s="208"/>
      <c r="K176" s="678">
        <f>SUM(K169:K169)</f>
        <v>0</v>
      </c>
      <c r="L176" s="678">
        <f>L174</f>
        <v>881662.67999999993</v>
      </c>
      <c r="M176" s="678">
        <f t="shared" ref="M176:AE176" si="100">M174</f>
        <v>967437.67999999993</v>
      </c>
      <c r="N176" s="678">
        <f t="shared" si="100"/>
        <v>969153.17999999993</v>
      </c>
      <c r="O176" s="678">
        <f t="shared" si="100"/>
        <v>970902.99</v>
      </c>
      <c r="P176" s="678">
        <f t="shared" si="100"/>
        <v>972687.79619999998</v>
      </c>
      <c r="Q176" s="678">
        <f t="shared" si="100"/>
        <v>974508.29852399998</v>
      </c>
      <c r="R176" s="678">
        <f t="shared" si="100"/>
        <v>976365.21089447988</v>
      </c>
      <c r="S176" s="678">
        <f t="shared" si="100"/>
        <v>978259.2615123695</v>
      </c>
      <c r="T176" s="678">
        <f t="shared" si="100"/>
        <v>980191.19314261689</v>
      </c>
      <c r="U176" s="678">
        <f t="shared" si="100"/>
        <v>982161.76340546925</v>
      </c>
      <c r="V176" s="678">
        <f t="shared" si="100"/>
        <v>984171.74507357867</v>
      </c>
      <c r="W176" s="678">
        <f t="shared" si="100"/>
        <v>986221.92637505021</v>
      </c>
      <c r="X176" s="678">
        <f t="shared" si="100"/>
        <v>988313.11130255123</v>
      </c>
      <c r="Y176" s="678">
        <f t="shared" si="100"/>
        <v>990446.11992860225</v>
      </c>
      <c r="Z176" s="678">
        <f t="shared" si="100"/>
        <v>992621.78872717428</v>
      </c>
      <c r="AA176" s="678">
        <f t="shared" si="100"/>
        <v>994840.97090171778</v>
      </c>
      <c r="AB176" s="678">
        <f t="shared" si="100"/>
        <v>997104.53671975213</v>
      </c>
      <c r="AC176" s="678">
        <f t="shared" si="100"/>
        <v>999413.37385414727</v>
      </c>
      <c r="AD176" s="678">
        <f t="shared" si="100"/>
        <v>1001768.3877312301</v>
      </c>
      <c r="AE176" s="678">
        <f t="shared" si="100"/>
        <v>1004170.5018858548</v>
      </c>
      <c r="AG176" s="199"/>
    </row>
    <row r="177" spans="1:31">
      <c r="K177" s="662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1"/>
      <c r="Y177" s="201"/>
      <c r="Z177" s="201"/>
      <c r="AA177" s="201"/>
      <c r="AB177" s="201"/>
      <c r="AC177" s="201"/>
      <c r="AD177" s="201"/>
      <c r="AE177" s="201"/>
    </row>
    <row r="178" spans="1:31">
      <c r="A178" s="251"/>
      <c r="B178" s="251"/>
      <c r="C178" s="251"/>
      <c r="D178" s="259"/>
      <c r="E178" s="251"/>
      <c r="F178" s="251"/>
      <c r="G178" s="251"/>
      <c r="H178" s="251"/>
      <c r="I178" s="251"/>
      <c r="J178" s="251"/>
      <c r="K178" s="324"/>
      <c r="L178" s="325"/>
      <c r="M178" s="325"/>
      <c r="N178" s="325"/>
      <c r="O178" s="325"/>
      <c r="P178" s="325"/>
      <c r="Q178" s="325"/>
      <c r="R178" s="325"/>
      <c r="S178" s="325"/>
      <c r="T178" s="325"/>
      <c r="U178" s="325"/>
      <c r="V178" s="325"/>
      <c r="W178" s="325"/>
      <c r="X178" s="325"/>
      <c r="Y178" s="325"/>
      <c r="Z178" s="325"/>
      <c r="AA178" s="325"/>
      <c r="AB178" s="325"/>
      <c r="AC178" s="325"/>
      <c r="AD178" s="325"/>
      <c r="AE178" s="325"/>
    </row>
    <row r="179" spans="1:31">
      <c r="K179" s="322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1"/>
      <c r="Y179" s="201"/>
      <c r="Z179" s="201"/>
      <c r="AA179" s="201"/>
      <c r="AB179" s="201"/>
      <c r="AC179" s="201"/>
      <c r="AD179" s="201"/>
      <c r="AE179" s="201"/>
    </row>
    <row r="180" spans="1:31">
      <c r="A180"/>
      <c r="K180" s="322"/>
      <c r="L180" s="201"/>
      <c r="M180" s="201"/>
      <c r="N180" s="201"/>
      <c r="O180" s="201"/>
      <c r="P180" s="201"/>
      <c r="Q180" s="960"/>
      <c r="R180" s="201"/>
      <c r="S180" s="201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</row>
    <row r="181" spans="1:31">
      <c r="A181"/>
      <c r="K181" s="322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</row>
    <row r="182" spans="1:31">
      <c r="K182" s="322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  <c r="AA182" s="201"/>
      <c r="AB182" s="201"/>
      <c r="AC182" s="201"/>
      <c r="AD182" s="201"/>
      <c r="AE182" s="201"/>
    </row>
    <row r="183" spans="1:31">
      <c r="K183" s="322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</row>
    <row r="184" spans="1:31">
      <c r="K184" s="322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  <c r="AA184" s="201"/>
      <c r="AB184" s="201"/>
      <c r="AC184" s="201"/>
      <c r="AD184" s="201"/>
      <c r="AE184" s="201"/>
    </row>
    <row r="185" spans="1:31">
      <c r="K185" s="322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</row>
    <row r="186" spans="1:31">
      <c r="K186" s="322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</row>
    <row r="187" spans="1:31">
      <c r="K187" s="322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</row>
    <row r="188" spans="1:31">
      <c r="K188" s="322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</row>
    <row r="189" spans="1:31">
      <c r="K189" s="322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</row>
    <row r="190" spans="1:31">
      <c r="K190" s="322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</row>
    <row r="191" spans="1:31">
      <c r="K191" s="322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</row>
    <row r="192" spans="1:31">
      <c r="K192" s="322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</row>
    <row r="193" spans="11:31">
      <c r="K193" s="322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201"/>
      <c r="AE193" s="201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FD193"/>
  <sheetViews>
    <sheetView topLeftCell="A82" zoomScale="70" zoomScaleNormal="70" workbookViewId="0">
      <selection activeCell="H182" sqref="H182"/>
    </sheetView>
  </sheetViews>
  <sheetFormatPr defaultColWidth="9" defaultRowHeight="16.5"/>
  <cols>
    <col min="1" max="1" width="45.625" style="33" customWidth="1"/>
    <col min="2" max="2" width="48.5" style="33" bestFit="1" customWidth="1"/>
    <col min="3" max="3" width="18.125" style="33" bestFit="1" customWidth="1"/>
    <col min="4" max="4" width="16.25" style="109" bestFit="1" customWidth="1"/>
    <col min="5" max="5" width="13.125" style="33" bestFit="1" customWidth="1"/>
    <col min="6" max="6" width="20.5" style="33" bestFit="1" customWidth="1"/>
    <col min="7" max="7" width="20.25" style="33" bestFit="1" customWidth="1"/>
    <col min="8" max="8" width="21.75" style="33" bestFit="1" customWidth="1"/>
    <col min="9" max="9" width="12.125" style="33" bestFit="1" customWidth="1"/>
    <col min="10" max="10" width="13.875" style="33" bestFit="1" customWidth="1"/>
    <col min="11" max="11" width="7.75" style="166" bestFit="1" customWidth="1"/>
    <col min="12" max="12" width="16.75" style="33" bestFit="1" customWidth="1"/>
    <col min="13" max="15" width="17.5" style="33" bestFit="1" customWidth="1"/>
    <col min="16" max="17" width="17.125" style="33" bestFit="1" customWidth="1"/>
    <col min="18" max="19" width="17.5" style="33" bestFit="1" customWidth="1"/>
    <col min="20" max="20" width="17.125" style="33" bestFit="1" customWidth="1"/>
    <col min="21" max="22" width="17.5" style="33" bestFit="1" customWidth="1"/>
    <col min="23" max="24" width="17.125" style="33" bestFit="1" customWidth="1"/>
    <col min="25" max="25" width="17.5" style="33" bestFit="1" customWidth="1"/>
    <col min="26" max="27" width="17.125" style="33" bestFit="1" customWidth="1"/>
    <col min="28" max="31" width="17.5" style="33" bestFit="1" customWidth="1"/>
    <col min="32" max="32" width="22.625" style="33" bestFit="1" customWidth="1"/>
    <col min="33" max="33" width="12.625" style="33" bestFit="1" customWidth="1"/>
    <col min="34" max="16384" width="9" style="33"/>
  </cols>
  <sheetData>
    <row r="1" spans="1:31" ht="18.75" thickBot="1">
      <c r="A1" s="11" t="str">
        <f>Intro!A1</f>
        <v>Town of Bar Harbor</v>
      </c>
      <c r="B1" s="13"/>
      <c r="C1" s="13"/>
      <c r="D1" s="99"/>
      <c r="E1" s="14"/>
      <c r="F1" s="14"/>
      <c r="G1" s="34"/>
      <c r="H1" s="34"/>
      <c r="I1" s="34"/>
      <c r="J1" s="34"/>
      <c r="K1" s="16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</row>
    <row r="2" spans="1:31" ht="17.25" thickBot="1">
      <c r="A2" s="380" t="str">
        <f>Intro!A2</f>
        <v>Ferry Property Business Plan</v>
      </c>
      <c r="B2" s="13"/>
      <c r="C2" s="13"/>
      <c r="D2" s="99"/>
      <c r="E2" s="14"/>
      <c r="F2" s="14"/>
      <c r="G2" s="34"/>
      <c r="H2" s="34"/>
      <c r="I2" s="34"/>
      <c r="J2" s="34"/>
      <c r="K2" s="16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</row>
    <row r="3" spans="1:31" s="392" customFormat="1" ht="14.25" thickBot="1">
      <c r="A3" s="384" t="str">
        <f>Intro!A3</f>
        <v>05.23.2018</v>
      </c>
      <c r="B3" s="2"/>
      <c r="C3" s="382"/>
      <c r="D3" s="393"/>
      <c r="E3" s="385"/>
      <c r="F3" s="385"/>
      <c r="G3" s="389"/>
      <c r="H3" s="389"/>
      <c r="I3" s="389"/>
      <c r="J3" s="389"/>
      <c r="K3" s="390"/>
      <c r="L3" s="391"/>
      <c r="M3" s="391"/>
      <c r="N3" s="391"/>
      <c r="O3" s="391"/>
      <c r="P3" s="391"/>
      <c r="Q3" s="391"/>
      <c r="R3" s="391"/>
      <c r="S3" s="391"/>
      <c r="T3" s="391"/>
      <c r="U3" s="391"/>
      <c r="V3" s="391"/>
      <c r="W3" s="391"/>
      <c r="X3" s="391"/>
      <c r="Y3" s="391"/>
      <c r="Z3" s="391"/>
      <c r="AA3" s="391"/>
      <c r="AB3" s="391"/>
      <c r="AC3" s="391"/>
      <c r="AD3" s="391"/>
      <c r="AE3" s="391"/>
    </row>
    <row r="4" spans="1:31" s="392" customFormat="1" ht="13.5">
      <c r="A4" s="384" t="str">
        <f ca="1">Intro!A4</f>
        <v>Town of Bar Harbor</v>
      </c>
      <c r="B4" s="382"/>
      <c r="C4" s="382"/>
      <c r="D4" s="393"/>
      <c r="E4" s="383">
        <f ca="1">NOW()</f>
        <v>43242.835659143515</v>
      </c>
      <c r="F4" s="383"/>
      <c r="G4" s="389"/>
      <c r="H4" s="389"/>
      <c r="I4" s="389"/>
      <c r="J4" s="389"/>
      <c r="K4" s="390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  <c r="W4" s="391"/>
      <c r="X4" s="391"/>
      <c r="Y4" s="391"/>
      <c r="Z4" s="391"/>
      <c r="AA4" s="391"/>
      <c r="AB4" s="391"/>
      <c r="AC4" s="391"/>
      <c r="AD4" s="391"/>
      <c r="AE4" s="391"/>
    </row>
    <row r="5" spans="1:31">
      <c r="A5" s="231" t="s">
        <v>342</v>
      </c>
      <c r="B5" s="231"/>
      <c r="C5" s="232"/>
      <c r="D5" s="233"/>
      <c r="E5" s="232"/>
      <c r="F5" s="232"/>
      <c r="G5" s="234"/>
      <c r="H5" s="234"/>
      <c r="I5" s="234"/>
      <c r="J5" s="234"/>
      <c r="K5" s="235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1:31">
      <c r="A6" s="237"/>
      <c r="B6" s="237"/>
      <c r="C6" s="237"/>
      <c r="D6" s="238"/>
      <c r="E6" s="237"/>
      <c r="F6" s="237"/>
      <c r="G6" s="237"/>
      <c r="H6" s="237"/>
      <c r="I6" s="237"/>
      <c r="J6" s="237"/>
      <c r="K6" s="659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</row>
    <row r="7" spans="1:31" ht="48.75" customHeight="1">
      <c r="A7" s="239"/>
      <c r="B7" s="240" t="s">
        <v>45</v>
      </c>
      <c r="C7" s="241" t="s">
        <v>46</v>
      </c>
      <c r="D7" s="242" t="s">
        <v>47</v>
      </c>
      <c r="E7" s="240" t="s">
        <v>21</v>
      </c>
      <c r="F7" s="240" t="s">
        <v>48</v>
      </c>
      <c r="G7" s="240" t="s">
        <v>49</v>
      </c>
      <c r="H7" s="240" t="s">
        <v>59</v>
      </c>
      <c r="I7" s="240" t="s">
        <v>22</v>
      </c>
      <c r="J7" s="240" t="s">
        <v>50</v>
      </c>
      <c r="K7" s="243">
        <v>2018</v>
      </c>
      <c r="L7" s="243">
        <v>2019</v>
      </c>
      <c r="M7" s="243">
        <v>2020</v>
      </c>
      <c r="N7" s="243">
        <v>2021</v>
      </c>
      <c r="O7" s="243">
        <v>2022</v>
      </c>
      <c r="P7" s="243">
        <v>2023</v>
      </c>
      <c r="Q7" s="243">
        <v>2024</v>
      </c>
      <c r="R7" s="243">
        <v>2025</v>
      </c>
      <c r="S7" s="243">
        <v>2026</v>
      </c>
      <c r="T7" s="243">
        <v>2027</v>
      </c>
      <c r="U7" s="243">
        <v>2028</v>
      </c>
      <c r="V7" s="243">
        <v>2029</v>
      </c>
      <c r="W7" s="243">
        <v>2030</v>
      </c>
      <c r="X7" s="243">
        <v>2031</v>
      </c>
      <c r="Y7" s="243">
        <v>2032</v>
      </c>
      <c r="Z7" s="243">
        <v>2033</v>
      </c>
      <c r="AA7" s="243">
        <v>2034</v>
      </c>
      <c r="AB7" s="243">
        <v>2035</v>
      </c>
      <c r="AC7" s="243">
        <v>2036</v>
      </c>
      <c r="AD7" s="243">
        <v>2037</v>
      </c>
      <c r="AE7" s="243">
        <v>2038</v>
      </c>
    </row>
    <row r="8" spans="1:31" s="18" customFormat="1" ht="17.25" thickBot="1">
      <c r="K8" s="488"/>
    </row>
    <row r="9" spans="1:31" s="18" customFormat="1" ht="17.25" thickBot="1">
      <c r="A9" s="117" t="s">
        <v>381</v>
      </c>
      <c r="B9" s="484" t="str">
        <f>'Cruise Projections'!A83</f>
        <v>Scenario 4 - Percent of 2018 Business - RCCL</v>
      </c>
      <c r="K9" s="489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  <c r="Y9" s="327"/>
      <c r="Z9" s="327"/>
      <c r="AA9" s="327"/>
      <c r="AB9" s="327"/>
      <c r="AC9" s="327"/>
      <c r="AD9" s="327"/>
      <c r="AE9" s="327"/>
    </row>
    <row r="10" spans="1:31" s="18" customFormat="1">
      <c r="A10" s="649"/>
      <c r="B10" s="372"/>
      <c r="K10" s="489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  <c r="Y10" s="327"/>
      <c r="Z10" s="327"/>
      <c r="AA10" s="327"/>
      <c r="AB10" s="327"/>
      <c r="AC10" s="327"/>
      <c r="AD10" s="327"/>
      <c r="AE10" s="327"/>
    </row>
    <row r="11" spans="1:31">
      <c r="A11" s="38" t="s">
        <v>52</v>
      </c>
      <c r="B11" s="38"/>
      <c r="C11" s="38"/>
      <c r="D11" s="101"/>
      <c r="E11" s="38"/>
      <c r="F11" s="38"/>
      <c r="G11" s="37"/>
      <c r="H11" s="37"/>
      <c r="I11" s="38"/>
      <c r="J11" s="37"/>
      <c r="K11" s="784">
        <f>'OPEX - Concept A1'!K11</f>
        <v>0</v>
      </c>
      <c r="L11" s="311">
        <f>'BH Tariffs'!D52</f>
        <v>1.02</v>
      </c>
      <c r="M11" s="311">
        <f>'BH Tariffs'!E52</f>
        <v>1.0404</v>
      </c>
      <c r="N11" s="311">
        <f>'BH Tariffs'!F52</f>
        <v>1.0612079999999999</v>
      </c>
      <c r="O11" s="311">
        <f>'BH Tariffs'!G52</f>
        <v>1.08243216</v>
      </c>
      <c r="P11" s="311">
        <f>'BH Tariffs'!H52</f>
        <v>1.1040808032</v>
      </c>
      <c r="Q11" s="311">
        <f>'BH Tariffs'!I52</f>
        <v>1.1261624192640001</v>
      </c>
      <c r="R11" s="311">
        <f>'BH Tariffs'!J52</f>
        <v>1.14868566764928</v>
      </c>
      <c r="S11" s="311">
        <f>'BH Tariffs'!K52</f>
        <v>1.1716593810022657</v>
      </c>
      <c r="T11" s="311">
        <f>'BH Tariffs'!L52</f>
        <v>1.1950925686223111</v>
      </c>
      <c r="U11" s="311">
        <f>'BH Tariffs'!M52</f>
        <v>1.2189944199947573</v>
      </c>
      <c r="V11" s="311">
        <f>'BH Tariffs'!N52</f>
        <v>1.2433743083946525</v>
      </c>
      <c r="W11" s="311">
        <f>'BH Tariffs'!O52</f>
        <v>1.2682417945625455</v>
      </c>
      <c r="X11" s="311">
        <f>'BH Tariffs'!P52</f>
        <v>1.2936066304537963</v>
      </c>
      <c r="Y11" s="311">
        <f>'BH Tariffs'!Q52</f>
        <v>1.3194787630628724</v>
      </c>
      <c r="Z11" s="311">
        <f>'BH Tariffs'!R52</f>
        <v>1.3458683383241299</v>
      </c>
      <c r="AA11" s="311">
        <f>'BH Tariffs'!S52</f>
        <v>1.3727857050906125</v>
      </c>
      <c r="AB11" s="311">
        <f>'BH Tariffs'!T52</f>
        <v>1.4002414191924248</v>
      </c>
      <c r="AC11" s="311">
        <f>'BH Tariffs'!U52</f>
        <v>1.4282462475762734</v>
      </c>
      <c r="AD11" s="311">
        <f>'BH Tariffs'!V52</f>
        <v>1.4568111725277988</v>
      </c>
      <c r="AE11" s="311">
        <f>'BH Tariffs'!W52</f>
        <v>1.4859473959783549</v>
      </c>
    </row>
    <row r="12" spans="1:31">
      <c r="A12" s="38" t="s">
        <v>58</v>
      </c>
      <c r="B12" s="38"/>
      <c r="C12" s="37"/>
      <c r="D12" s="76"/>
      <c r="E12" s="79">
        <v>0.2</v>
      </c>
      <c r="F12" s="172"/>
      <c r="G12" s="36"/>
      <c r="H12" s="36"/>
      <c r="I12" s="38"/>
      <c r="J12" s="36"/>
      <c r="K12" s="661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200"/>
      <c r="AC12" s="200"/>
      <c r="AD12" s="200"/>
      <c r="AE12" s="200"/>
    </row>
    <row r="13" spans="1:31">
      <c r="A13" s="38" t="s">
        <v>51</v>
      </c>
      <c r="B13" s="38"/>
      <c r="C13" s="37"/>
      <c r="D13" s="76"/>
      <c r="E13" s="79"/>
      <c r="F13" s="79">
        <v>0.4</v>
      </c>
      <c r="G13" s="36"/>
      <c r="H13" s="36"/>
      <c r="I13" s="38"/>
      <c r="J13" s="36"/>
      <c r="K13" s="661"/>
      <c r="L13" s="200"/>
      <c r="M13" s="200"/>
      <c r="N13" s="200"/>
      <c r="O13" s="200"/>
      <c r="P13" s="200"/>
      <c r="Q13" s="200"/>
      <c r="R13" s="200"/>
      <c r="S13" s="200"/>
      <c r="T13" s="200"/>
      <c r="U13" s="200"/>
      <c r="V13" s="200"/>
      <c r="W13" s="200"/>
      <c r="X13" s="200"/>
      <c r="Y13" s="200"/>
      <c r="Z13" s="200"/>
      <c r="AA13" s="200"/>
      <c r="AB13" s="200"/>
      <c r="AC13" s="200"/>
      <c r="AD13" s="200"/>
      <c r="AE13" s="200"/>
    </row>
    <row r="14" spans="1:31" s="18" customFormat="1">
      <c r="A14" s="649"/>
      <c r="B14" s="372"/>
      <c r="K14" s="489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7"/>
      <c r="X14" s="327"/>
      <c r="Y14" s="327"/>
      <c r="Z14" s="327"/>
      <c r="AA14" s="327"/>
      <c r="AB14" s="327"/>
      <c r="AC14" s="327"/>
      <c r="AD14" s="327"/>
      <c r="AE14" s="327"/>
    </row>
    <row r="15" spans="1:31" s="18" customFormat="1">
      <c r="K15" s="489"/>
      <c r="L15" s="327"/>
      <c r="M15" s="327"/>
      <c r="N15" s="327"/>
      <c r="O15" s="327"/>
      <c r="P15" s="327"/>
      <c r="Q15" s="327"/>
      <c r="R15" s="327"/>
      <c r="S15" s="327"/>
      <c r="T15" s="327"/>
      <c r="U15" s="327"/>
      <c r="V15" s="327"/>
      <c r="W15" s="327"/>
      <c r="X15" s="327"/>
      <c r="Y15" s="327"/>
      <c r="Z15" s="327"/>
      <c r="AA15" s="327"/>
      <c r="AB15" s="327"/>
      <c r="AC15" s="327"/>
      <c r="AD15" s="327"/>
      <c r="AE15" s="327"/>
    </row>
    <row r="16" spans="1:31" s="582" customFormat="1" ht="14.25">
      <c r="A16" s="582" t="s">
        <v>83</v>
      </c>
      <c r="K16" s="490"/>
      <c r="L16" s="785"/>
      <c r="M16" s="785"/>
      <c r="N16" s="785"/>
      <c r="O16" s="785"/>
      <c r="P16" s="785"/>
      <c r="Q16" s="785"/>
      <c r="R16" s="785"/>
      <c r="S16" s="785"/>
      <c r="T16" s="785"/>
      <c r="U16" s="785"/>
      <c r="V16" s="785"/>
      <c r="W16" s="785"/>
      <c r="X16" s="785"/>
      <c r="Y16" s="785"/>
      <c r="Z16" s="785"/>
      <c r="AA16" s="785"/>
      <c r="AB16" s="785"/>
      <c r="AC16" s="785"/>
      <c r="AD16" s="785"/>
      <c r="AE16" s="785"/>
    </row>
    <row r="17" spans="1:31" s="96" customFormat="1">
      <c r="A17" s="53" t="str">
        <f>'Cruise Projections'!A67</f>
        <v>Passengers</v>
      </c>
      <c r="B17" s="487"/>
      <c r="C17" s="487"/>
      <c r="K17" s="486">
        <f>'P&amp;L - Concept C1 - RCCL'!D12</f>
        <v>0</v>
      </c>
      <c r="L17" s="313">
        <f>'P&amp;L - Concept C1 - RCCL'!E12</f>
        <v>0</v>
      </c>
      <c r="M17" s="313">
        <f>'P&amp;L - Concept C1 - RCCL'!F12</f>
        <v>89162.177869620791</v>
      </c>
      <c r="N17" s="313">
        <f>'P&amp;L - Concept C1 - RCCL'!G12</f>
        <v>89162.177869620791</v>
      </c>
      <c r="O17" s="313">
        <f>'P&amp;L - Concept C1 - RCCL'!H12</f>
        <v>89162.177869620791</v>
      </c>
      <c r="P17" s="313">
        <f>'P&amp;L - Concept C1 - RCCL'!I12</f>
        <v>89162.177869620791</v>
      </c>
      <c r="Q17" s="313">
        <f>'P&amp;L - Concept C1 - RCCL'!J12</f>
        <v>89162.177869620791</v>
      </c>
      <c r="R17" s="313">
        <f>'P&amp;L - Concept C1 - RCCL'!K12</f>
        <v>89162.177869620791</v>
      </c>
      <c r="S17" s="313">
        <f>'P&amp;L - Concept C1 - RCCL'!L12</f>
        <v>89162.177869620791</v>
      </c>
      <c r="T17" s="313">
        <f>'P&amp;L - Concept C1 - RCCL'!M12</f>
        <v>89162.177869620791</v>
      </c>
      <c r="U17" s="313">
        <f>'P&amp;L - Concept C1 - RCCL'!N12</f>
        <v>89162.177869620791</v>
      </c>
      <c r="V17" s="313">
        <f>'P&amp;L - Concept C1 - RCCL'!O12</f>
        <v>89162.177869620791</v>
      </c>
      <c r="W17" s="313">
        <f>'P&amp;L - Concept C1 - RCCL'!P12</f>
        <v>89162.177869620791</v>
      </c>
      <c r="X17" s="313">
        <f>'P&amp;L - Concept C1 - RCCL'!Q12</f>
        <v>89162.177869620791</v>
      </c>
      <c r="Y17" s="313">
        <f>'P&amp;L - Concept C1 - RCCL'!R12</f>
        <v>89162.177869620791</v>
      </c>
      <c r="Z17" s="313">
        <f>'P&amp;L - Concept C1 - RCCL'!S12</f>
        <v>89162.177869620791</v>
      </c>
      <c r="AA17" s="313">
        <f>'P&amp;L - Concept C1 - RCCL'!T12</f>
        <v>89162.177869620791</v>
      </c>
      <c r="AB17" s="313">
        <f>'P&amp;L - Concept C1 - RCCL'!U12</f>
        <v>89162.177869620791</v>
      </c>
      <c r="AC17" s="313">
        <f>'P&amp;L - Concept C1 - RCCL'!V12</f>
        <v>89162.177869620791</v>
      </c>
      <c r="AD17" s="313">
        <f>'P&amp;L - Concept C1 - RCCL'!W12</f>
        <v>89162.177869620791</v>
      </c>
      <c r="AE17" s="313">
        <f>'P&amp;L - Concept C1 - RCCL'!X12</f>
        <v>89162.177869620791</v>
      </c>
    </row>
    <row r="18" spans="1:31" s="96" customFormat="1">
      <c r="A18" s="53" t="str">
        <f>'Cruise Projections'!A68</f>
        <v>Calls</v>
      </c>
      <c r="B18" s="487"/>
      <c r="C18" s="487"/>
      <c r="K18" s="486">
        <f>'P&amp;L - Concept C1 - RCCL'!D13</f>
        <v>0</v>
      </c>
      <c r="L18" s="313">
        <f>'P&amp;L - Concept C1 - RCCL'!E13</f>
        <v>0</v>
      </c>
      <c r="M18" s="313">
        <f>'P&amp;L - Concept C1 - RCCL'!F13</f>
        <v>28.666666666666664</v>
      </c>
      <c r="N18" s="313">
        <f>'P&amp;L - Concept C1 - RCCL'!G13</f>
        <v>28.666666666666664</v>
      </c>
      <c r="O18" s="313">
        <f>'P&amp;L - Concept C1 - RCCL'!H13</f>
        <v>28.666666666666664</v>
      </c>
      <c r="P18" s="313">
        <f>'P&amp;L - Concept C1 - RCCL'!I13</f>
        <v>28.666666666666664</v>
      </c>
      <c r="Q18" s="313">
        <f>'P&amp;L - Concept C1 - RCCL'!J13</f>
        <v>28.666666666666664</v>
      </c>
      <c r="R18" s="313">
        <f>'P&amp;L - Concept C1 - RCCL'!K13</f>
        <v>28.666666666666664</v>
      </c>
      <c r="S18" s="313">
        <f>'P&amp;L - Concept C1 - RCCL'!L13</f>
        <v>28.666666666666664</v>
      </c>
      <c r="T18" s="313">
        <f>'P&amp;L - Concept C1 - RCCL'!M13</f>
        <v>28.666666666666664</v>
      </c>
      <c r="U18" s="313">
        <f>'P&amp;L - Concept C1 - RCCL'!N13</f>
        <v>28.666666666666664</v>
      </c>
      <c r="V18" s="313">
        <f>'P&amp;L - Concept C1 - RCCL'!O13</f>
        <v>28.666666666666664</v>
      </c>
      <c r="W18" s="313">
        <f>'P&amp;L - Concept C1 - RCCL'!P13</f>
        <v>28.666666666666664</v>
      </c>
      <c r="X18" s="313">
        <f>'P&amp;L - Concept C1 - RCCL'!Q13</f>
        <v>28.666666666666664</v>
      </c>
      <c r="Y18" s="313">
        <f>'P&amp;L - Concept C1 - RCCL'!R13</f>
        <v>28.666666666666664</v>
      </c>
      <c r="Z18" s="313">
        <f>'P&amp;L - Concept C1 - RCCL'!S13</f>
        <v>28.666666666666664</v>
      </c>
      <c r="AA18" s="313">
        <f>'P&amp;L - Concept C1 - RCCL'!T13</f>
        <v>28.666666666666664</v>
      </c>
      <c r="AB18" s="313">
        <f>'P&amp;L - Concept C1 - RCCL'!U13</f>
        <v>28.666666666666664</v>
      </c>
      <c r="AC18" s="313">
        <f>'P&amp;L - Concept C1 - RCCL'!V13</f>
        <v>28.666666666666664</v>
      </c>
      <c r="AD18" s="313">
        <f>'P&amp;L - Concept C1 - RCCL'!W13</f>
        <v>28.666666666666664</v>
      </c>
      <c r="AE18" s="313">
        <f>'P&amp;L - Concept C1 - RCCL'!X13</f>
        <v>28.666666666666664</v>
      </c>
    </row>
    <row r="19" spans="1:31" s="96" customFormat="1">
      <c r="A19" s="53" t="str">
        <f>'Cruise Projections'!A69</f>
        <v>Passengers per Call</v>
      </c>
      <c r="B19" s="487"/>
      <c r="C19" s="487"/>
      <c r="K19" s="486">
        <f>'P&amp;L - Concept C1 - RCCL'!D14</f>
        <v>0</v>
      </c>
      <c r="L19" s="313">
        <f>'P&amp;L - Concept C1 - RCCL'!E14</f>
        <v>0</v>
      </c>
      <c r="M19" s="313">
        <f>'P&amp;L - Concept C1 - RCCL'!F14</f>
        <v>3110.3085303356092</v>
      </c>
      <c r="N19" s="313">
        <f>'P&amp;L - Concept C1 - RCCL'!G14</f>
        <v>3110.3085303356092</v>
      </c>
      <c r="O19" s="313">
        <f>'P&amp;L - Concept C1 - RCCL'!H14</f>
        <v>3110.3085303356092</v>
      </c>
      <c r="P19" s="313">
        <f>'P&amp;L - Concept C1 - RCCL'!I14</f>
        <v>3110.3085303356092</v>
      </c>
      <c r="Q19" s="313">
        <f>'P&amp;L - Concept C1 - RCCL'!J14</f>
        <v>3110.3085303356092</v>
      </c>
      <c r="R19" s="313">
        <f>'P&amp;L - Concept C1 - RCCL'!K14</f>
        <v>3110.3085303356092</v>
      </c>
      <c r="S19" s="313">
        <f>'P&amp;L - Concept C1 - RCCL'!L14</f>
        <v>3110.3085303356092</v>
      </c>
      <c r="T19" s="313">
        <f>'P&amp;L - Concept C1 - RCCL'!M14</f>
        <v>3110.3085303356092</v>
      </c>
      <c r="U19" s="313">
        <f>'P&amp;L - Concept C1 - RCCL'!N14</f>
        <v>3110.3085303356092</v>
      </c>
      <c r="V19" s="313">
        <f>'P&amp;L - Concept C1 - RCCL'!O14</f>
        <v>3110.3085303356092</v>
      </c>
      <c r="W19" s="313">
        <f>'P&amp;L - Concept C1 - RCCL'!P14</f>
        <v>3110.3085303356092</v>
      </c>
      <c r="X19" s="313">
        <f>'P&amp;L - Concept C1 - RCCL'!Q14</f>
        <v>3110.3085303356092</v>
      </c>
      <c r="Y19" s="313">
        <f>'P&amp;L - Concept C1 - RCCL'!R14</f>
        <v>3110.3085303356092</v>
      </c>
      <c r="Z19" s="313">
        <f>'P&amp;L - Concept C1 - RCCL'!S14</f>
        <v>3110.3085303356092</v>
      </c>
      <c r="AA19" s="313">
        <f>'P&amp;L - Concept C1 - RCCL'!T14</f>
        <v>3110.3085303356092</v>
      </c>
      <c r="AB19" s="313">
        <f>'P&amp;L - Concept C1 - RCCL'!U14</f>
        <v>3110.3085303356092</v>
      </c>
      <c r="AC19" s="313">
        <f>'P&amp;L - Concept C1 - RCCL'!V14</f>
        <v>3110.3085303356092</v>
      </c>
      <c r="AD19" s="313">
        <f>'P&amp;L - Concept C1 - RCCL'!W14</f>
        <v>3110.3085303356092</v>
      </c>
      <c r="AE19" s="313">
        <f>'P&amp;L - Concept C1 - RCCL'!X14</f>
        <v>3110.3085303356092</v>
      </c>
    </row>
    <row r="20" spans="1:31" s="96" customFormat="1">
      <c r="A20" s="54" t="s">
        <v>313</v>
      </c>
      <c r="B20" s="487"/>
      <c r="C20" s="487"/>
      <c r="K20" s="486">
        <f>'P&amp;L - Concept C1 - RCCL'!D15</f>
        <v>0</v>
      </c>
      <c r="L20" s="313">
        <f>'P&amp;L - Concept C1 - RCCL'!E15</f>
        <v>0</v>
      </c>
      <c r="M20" s="313">
        <f>'P&amp;L - Concept C1 - RCCL'!F15</f>
        <v>4120</v>
      </c>
      <c r="N20" s="313">
        <f>'P&amp;L - Concept C1 - RCCL'!G15</f>
        <v>4120</v>
      </c>
      <c r="O20" s="313">
        <f>'P&amp;L - Concept C1 - RCCL'!H15</f>
        <v>4120</v>
      </c>
      <c r="P20" s="313">
        <f>'P&amp;L - Concept C1 - RCCL'!I15</f>
        <v>4120</v>
      </c>
      <c r="Q20" s="313">
        <f>'P&amp;L - Concept C1 - RCCL'!J15</f>
        <v>4120</v>
      </c>
      <c r="R20" s="313">
        <f>'P&amp;L - Concept C1 - RCCL'!K15</f>
        <v>4120</v>
      </c>
      <c r="S20" s="313">
        <f>'P&amp;L - Concept C1 - RCCL'!L15</f>
        <v>4120</v>
      </c>
      <c r="T20" s="313">
        <f>'P&amp;L - Concept C1 - RCCL'!M15</f>
        <v>4120</v>
      </c>
      <c r="U20" s="313">
        <f>'P&amp;L - Concept C1 - RCCL'!N15</f>
        <v>4120</v>
      </c>
      <c r="V20" s="313">
        <f>'P&amp;L - Concept C1 - RCCL'!O15</f>
        <v>4120</v>
      </c>
      <c r="W20" s="313">
        <f>'P&amp;L - Concept C1 - RCCL'!P15</f>
        <v>4120</v>
      </c>
      <c r="X20" s="313">
        <f>'P&amp;L - Concept C1 - RCCL'!Q15</f>
        <v>4120</v>
      </c>
      <c r="Y20" s="313">
        <f>'P&amp;L - Concept C1 - RCCL'!R15</f>
        <v>4120</v>
      </c>
      <c r="Z20" s="313">
        <f>'P&amp;L - Concept C1 - RCCL'!S15</f>
        <v>4120</v>
      </c>
      <c r="AA20" s="313">
        <f>'P&amp;L - Concept C1 - RCCL'!T15</f>
        <v>4120</v>
      </c>
      <c r="AB20" s="313">
        <f>'P&amp;L - Concept C1 - RCCL'!U15</f>
        <v>4120</v>
      </c>
      <c r="AC20" s="313">
        <f>'P&amp;L - Concept C1 - RCCL'!V15</f>
        <v>4120</v>
      </c>
      <c r="AD20" s="313">
        <f>'P&amp;L - Concept C1 - RCCL'!W15</f>
        <v>4120</v>
      </c>
      <c r="AE20" s="313">
        <f>'P&amp;L - Concept C1 - RCCL'!X15</f>
        <v>4120</v>
      </c>
    </row>
    <row r="21" spans="1:31" s="18" customFormat="1">
      <c r="A21" s="54"/>
      <c r="B21" s="21"/>
      <c r="C21" s="21"/>
      <c r="K21" s="486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  <c r="Y21" s="313"/>
      <c r="Z21" s="313"/>
      <c r="AA21" s="313"/>
      <c r="AB21" s="313"/>
      <c r="AC21" s="313"/>
      <c r="AD21" s="313"/>
      <c r="AE21" s="313"/>
    </row>
    <row r="22" spans="1:31" s="582" customFormat="1">
      <c r="A22" s="293" t="s">
        <v>163</v>
      </c>
      <c r="B22" s="581"/>
      <c r="C22" s="581"/>
      <c r="K22" s="491"/>
      <c r="L22" s="313"/>
      <c r="M22" s="313"/>
      <c r="N22" s="313"/>
      <c r="O22" s="313"/>
      <c r="P22" s="313"/>
      <c r="Q22" s="313"/>
      <c r="R22" s="313"/>
      <c r="S22" s="313"/>
      <c r="T22" s="313"/>
      <c r="U22" s="313"/>
      <c r="V22" s="313"/>
      <c r="W22" s="313"/>
      <c r="X22" s="313"/>
      <c r="Y22" s="313"/>
      <c r="Z22" s="313"/>
      <c r="AA22" s="313"/>
      <c r="AB22" s="313"/>
      <c r="AC22" s="313"/>
      <c r="AD22" s="313"/>
      <c r="AE22" s="313"/>
    </row>
    <row r="23" spans="1:31" s="96" customFormat="1">
      <c r="A23" s="54" t="str">
        <f>'International Ferry Projections'!A11</f>
        <v>Passengers</v>
      </c>
      <c r="B23" s="487"/>
      <c r="C23" s="487"/>
      <c r="K23" s="486">
        <f>'P&amp;L - Concept C1 - RCCL'!D18</f>
        <v>0</v>
      </c>
      <c r="L23" s="313">
        <f>'P&amp;L - Concept C1 - RCCL'!E18</f>
        <v>60000</v>
      </c>
      <c r="M23" s="313">
        <f>'P&amp;L - Concept C1 - RCCL'!F18</f>
        <v>70000</v>
      </c>
      <c r="N23" s="313">
        <f>'P&amp;L - Concept C1 - RCCL'!G18</f>
        <v>80000</v>
      </c>
      <c r="O23" s="313">
        <f>'P&amp;L - Concept C1 - RCCL'!H18</f>
        <v>80000</v>
      </c>
      <c r="P23" s="313">
        <f>'P&amp;L - Concept C1 - RCCL'!I18</f>
        <v>80000</v>
      </c>
      <c r="Q23" s="313">
        <f>'P&amp;L - Concept C1 - RCCL'!J18</f>
        <v>80000</v>
      </c>
      <c r="R23" s="313">
        <f>'P&amp;L - Concept C1 - RCCL'!K18</f>
        <v>80000</v>
      </c>
      <c r="S23" s="313">
        <f>'P&amp;L - Concept C1 - RCCL'!L18</f>
        <v>80000</v>
      </c>
      <c r="T23" s="313">
        <f>'P&amp;L - Concept C1 - RCCL'!M18</f>
        <v>80000</v>
      </c>
      <c r="U23" s="313">
        <f>'P&amp;L - Concept C1 - RCCL'!N18</f>
        <v>80000</v>
      </c>
      <c r="V23" s="313">
        <f>'P&amp;L - Concept C1 - RCCL'!O18</f>
        <v>80000</v>
      </c>
      <c r="W23" s="313">
        <f>'P&amp;L - Concept C1 - RCCL'!P18</f>
        <v>80000</v>
      </c>
      <c r="X23" s="313">
        <f>'P&amp;L - Concept C1 - RCCL'!Q18</f>
        <v>80000</v>
      </c>
      <c r="Y23" s="313">
        <f>'P&amp;L - Concept C1 - RCCL'!R18</f>
        <v>80000</v>
      </c>
      <c r="Z23" s="313">
        <f>'P&amp;L - Concept C1 - RCCL'!S18</f>
        <v>80000</v>
      </c>
      <c r="AA23" s="313">
        <f>'P&amp;L - Concept C1 - RCCL'!T18</f>
        <v>80000</v>
      </c>
      <c r="AB23" s="313">
        <f>'P&amp;L - Concept C1 - RCCL'!U18</f>
        <v>80000</v>
      </c>
      <c r="AC23" s="313">
        <f>'P&amp;L - Concept C1 - RCCL'!V18</f>
        <v>80000</v>
      </c>
      <c r="AD23" s="313">
        <f>'P&amp;L - Concept C1 - RCCL'!W18</f>
        <v>80000</v>
      </c>
      <c r="AE23" s="313">
        <f>'P&amp;L - Concept C1 - RCCL'!X18</f>
        <v>80000</v>
      </c>
    </row>
    <row r="24" spans="1:31" s="96" customFormat="1">
      <c r="A24" s="54" t="str">
        <f>'International Ferry Projections'!A12</f>
        <v>Cars</v>
      </c>
      <c r="B24" s="487"/>
      <c r="C24" s="487"/>
      <c r="K24" s="486">
        <f>'P&amp;L - Concept C1 - RCCL'!D19</f>
        <v>0</v>
      </c>
      <c r="L24" s="313">
        <f>'P&amp;L - Concept C1 - RCCL'!E19</f>
        <v>24000</v>
      </c>
      <c r="M24" s="313">
        <f>'P&amp;L - Concept C1 - RCCL'!F19</f>
        <v>28000</v>
      </c>
      <c r="N24" s="313">
        <f>'P&amp;L - Concept C1 - RCCL'!G19</f>
        <v>32000</v>
      </c>
      <c r="O24" s="313">
        <f>'P&amp;L - Concept C1 - RCCL'!H19</f>
        <v>32000</v>
      </c>
      <c r="P24" s="313">
        <f>'P&amp;L - Concept C1 - RCCL'!I19</f>
        <v>32000</v>
      </c>
      <c r="Q24" s="313">
        <f>'P&amp;L - Concept C1 - RCCL'!J19</f>
        <v>32000</v>
      </c>
      <c r="R24" s="313">
        <f>'P&amp;L - Concept C1 - RCCL'!K19</f>
        <v>32000</v>
      </c>
      <c r="S24" s="313">
        <f>'P&amp;L - Concept C1 - RCCL'!L19</f>
        <v>32000</v>
      </c>
      <c r="T24" s="313">
        <f>'P&amp;L - Concept C1 - RCCL'!M19</f>
        <v>32000</v>
      </c>
      <c r="U24" s="313">
        <f>'P&amp;L - Concept C1 - RCCL'!N19</f>
        <v>32000</v>
      </c>
      <c r="V24" s="313">
        <f>'P&amp;L - Concept C1 - RCCL'!O19</f>
        <v>32000</v>
      </c>
      <c r="W24" s="313">
        <f>'P&amp;L - Concept C1 - RCCL'!P19</f>
        <v>32000</v>
      </c>
      <c r="X24" s="313">
        <f>'P&amp;L - Concept C1 - RCCL'!Q19</f>
        <v>32000</v>
      </c>
      <c r="Y24" s="313">
        <f>'P&amp;L - Concept C1 - RCCL'!R19</f>
        <v>32000</v>
      </c>
      <c r="Z24" s="313">
        <f>'P&amp;L - Concept C1 - RCCL'!S19</f>
        <v>32000</v>
      </c>
      <c r="AA24" s="313">
        <f>'P&amp;L - Concept C1 - RCCL'!T19</f>
        <v>32000</v>
      </c>
      <c r="AB24" s="313">
        <f>'P&amp;L - Concept C1 - RCCL'!U19</f>
        <v>32000</v>
      </c>
      <c r="AC24" s="313">
        <f>'P&amp;L - Concept C1 - RCCL'!V19</f>
        <v>32000</v>
      </c>
      <c r="AD24" s="313">
        <f>'P&amp;L - Concept C1 - RCCL'!W19</f>
        <v>32000</v>
      </c>
      <c r="AE24" s="313">
        <f>'P&amp;L - Concept C1 - RCCL'!X19</f>
        <v>32000</v>
      </c>
    </row>
    <row r="25" spans="1:31" s="96" customFormat="1">
      <c r="A25" s="54" t="str">
        <f>'International Ferry Projections'!A13</f>
        <v>Buses</v>
      </c>
      <c r="B25" s="487"/>
      <c r="C25" s="487"/>
      <c r="K25" s="486">
        <f>'P&amp;L - Concept C1 - RCCL'!D20</f>
        <v>0</v>
      </c>
      <c r="L25" s="313">
        <f>'P&amp;L - Concept C1 - RCCL'!E20</f>
        <v>40</v>
      </c>
      <c r="M25" s="313">
        <f>'P&amp;L - Concept C1 - RCCL'!F20</f>
        <v>50</v>
      </c>
      <c r="N25" s="313">
        <f>'P&amp;L - Concept C1 - RCCL'!G20</f>
        <v>60</v>
      </c>
      <c r="O25" s="313">
        <f>'P&amp;L - Concept C1 - RCCL'!H20</f>
        <v>60</v>
      </c>
      <c r="P25" s="313">
        <f>'P&amp;L - Concept C1 - RCCL'!I20</f>
        <v>60</v>
      </c>
      <c r="Q25" s="313">
        <f>'P&amp;L - Concept C1 - RCCL'!J20</f>
        <v>60</v>
      </c>
      <c r="R25" s="313">
        <f>'P&amp;L - Concept C1 - RCCL'!K20</f>
        <v>60</v>
      </c>
      <c r="S25" s="313">
        <f>'P&amp;L - Concept C1 - RCCL'!L20</f>
        <v>60</v>
      </c>
      <c r="T25" s="313">
        <f>'P&amp;L - Concept C1 - RCCL'!M20</f>
        <v>60</v>
      </c>
      <c r="U25" s="313">
        <f>'P&amp;L - Concept C1 - RCCL'!N20</f>
        <v>60</v>
      </c>
      <c r="V25" s="313">
        <f>'P&amp;L - Concept C1 - RCCL'!O20</f>
        <v>60</v>
      </c>
      <c r="W25" s="313">
        <f>'P&amp;L - Concept C1 - RCCL'!P20</f>
        <v>60</v>
      </c>
      <c r="X25" s="313">
        <f>'P&amp;L - Concept C1 - RCCL'!Q20</f>
        <v>60</v>
      </c>
      <c r="Y25" s="313">
        <f>'P&amp;L - Concept C1 - RCCL'!R20</f>
        <v>60</v>
      </c>
      <c r="Z25" s="313">
        <f>'P&amp;L - Concept C1 - RCCL'!S20</f>
        <v>60</v>
      </c>
      <c r="AA25" s="313">
        <f>'P&amp;L - Concept C1 - RCCL'!T20</f>
        <v>60</v>
      </c>
      <c r="AB25" s="313">
        <f>'P&amp;L - Concept C1 - RCCL'!U20</f>
        <v>60</v>
      </c>
      <c r="AC25" s="313">
        <f>'P&amp;L - Concept C1 - RCCL'!V20</f>
        <v>60</v>
      </c>
      <c r="AD25" s="313">
        <f>'P&amp;L - Concept C1 - RCCL'!W20</f>
        <v>60</v>
      </c>
      <c r="AE25" s="313">
        <f>'P&amp;L - Concept C1 - RCCL'!X20</f>
        <v>60</v>
      </c>
    </row>
    <row r="26" spans="1:31" s="18" customFormat="1">
      <c r="A26" s="54"/>
      <c r="B26" s="21"/>
      <c r="C26" s="21"/>
      <c r="K26" s="486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</row>
    <row r="27" spans="1:31" s="582" customFormat="1">
      <c r="A27" s="293" t="str">
        <f>'BH Tariffs'!A30</f>
        <v>Local Ferry</v>
      </c>
      <c r="B27" s="581"/>
      <c r="C27" s="581"/>
      <c r="K27" s="486"/>
      <c r="L27" s="313"/>
      <c r="M27" s="313"/>
      <c r="N27" s="313"/>
      <c r="O27" s="313"/>
      <c r="P27" s="313"/>
      <c r="Q27" s="313"/>
      <c r="R27" s="313"/>
      <c r="S27" s="313"/>
      <c r="T27" s="313"/>
      <c r="U27" s="313"/>
      <c r="V27" s="313"/>
      <c r="W27" s="313"/>
      <c r="X27" s="313"/>
      <c r="Y27" s="313"/>
      <c r="Z27" s="313"/>
      <c r="AA27" s="313"/>
      <c r="AB27" s="313"/>
      <c r="AC27" s="313"/>
      <c r="AD27" s="313"/>
      <c r="AE27" s="313"/>
    </row>
    <row r="28" spans="1:31" s="96" customFormat="1">
      <c r="A28" s="54" t="str">
        <f>'BH Tariffs'!A31</f>
        <v>Dock Rent (6 Months Only)</v>
      </c>
      <c r="B28" s="487"/>
      <c r="C28" s="487"/>
      <c r="K28" s="486">
        <f>'P&amp;L - Concept C1 - RCCL'!D23</f>
        <v>0</v>
      </c>
      <c r="L28" s="313" t="str">
        <f>'P&amp;L - Concept C1 - RCCL'!E23</f>
        <v>see Tariff</v>
      </c>
      <c r="M28" s="313" t="str">
        <f>'P&amp;L - Concept C1 - RCCL'!F23</f>
        <v>see Tariff</v>
      </c>
      <c r="N28" s="313" t="str">
        <f>'P&amp;L - Concept C1 - RCCL'!G23</f>
        <v>see Tariff</v>
      </c>
      <c r="O28" s="313" t="str">
        <f>'P&amp;L - Concept C1 - RCCL'!H23</f>
        <v>see Tariff</v>
      </c>
      <c r="P28" s="313" t="str">
        <f>'P&amp;L - Concept C1 - RCCL'!I23</f>
        <v>see Tariff</v>
      </c>
      <c r="Q28" s="313" t="str">
        <f>'P&amp;L - Concept C1 - RCCL'!J23</f>
        <v>see Tariff</v>
      </c>
      <c r="R28" s="313" t="str">
        <f>'P&amp;L - Concept C1 - RCCL'!K23</f>
        <v>see Tariff</v>
      </c>
      <c r="S28" s="313" t="str">
        <f>'P&amp;L - Concept C1 - RCCL'!L23</f>
        <v>see Tariff</v>
      </c>
      <c r="T28" s="313" t="str">
        <f>'P&amp;L - Concept C1 - RCCL'!M23</f>
        <v>see Tariff</v>
      </c>
      <c r="U28" s="313" t="str">
        <f>'P&amp;L - Concept C1 - RCCL'!N23</f>
        <v>see Tariff</v>
      </c>
      <c r="V28" s="313" t="str">
        <f>'P&amp;L - Concept C1 - RCCL'!O23</f>
        <v>see Tariff</v>
      </c>
      <c r="W28" s="313" t="str">
        <f>'P&amp;L - Concept C1 - RCCL'!P23</f>
        <v>see Tariff</v>
      </c>
      <c r="X28" s="313" t="str">
        <f>'P&amp;L - Concept C1 - RCCL'!Q23</f>
        <v>see Tariff</v>
      </c>
      <c r="Y28" s="313" t="str">
        <f>'P&amp;L - Concept C1 - RCCL'!R23</f>
        <v>see Tariff</v>
      </c>
      <c r="Z28" s="313" t="str">
        <f>'P&amp;L - Concept C1 - RCCL'!S23</f>
        <v>see Tariff</v>
      </c>
      <c r="AA28" s="313" t="str">
        <f>'P&amp;L - Concept C1 - RCCL'!T23</f>
        <v>see Tariff</v>
      </c>
      <c r="AB28" s="313" t="str">
        <f>'P&amp;L - Concept C1 - RCCL'!U23</f>
        <v>see Tariff</v>
      </c>
      <c r="AC28" s="313" t="str">
        <f>'P&amp;L - Concept C1 - RCCL'!V23</f>
        <v>see Tariff</v>
      </c>
      <c r="AD28" s="313" t="str">
        <f>'P&amp;L - Concept C1 - RCCL'!W23</f>
        <v>see Tariff</v>
      </c>
      <c r="AE28" s="313" t="str">
        <f>'P&amp;L - Concept C1 - RCCL'!X23</f>
        <v>see Tariff</v>
      </c>
    </row>
    <row r="29" spans="1:31" s="341" customFormat="1">
      <c r="A29" s="552"/>
      <c r="B29" s="553"/>
      <c r="C29" s="553"/>
      <c r="K29" s="554"/>
      <c r="L29" s="313"/>
      <c r="M29" s="313"/>
      <c r="N29" s="313"/>
      <c r="O29" s="313"/>
      <c r="P29" s="313"/>
      <c r="Q29" s="313"/>
      <c r="R29" s="313"/>
      <c r="S29" s="313"/>
      <c r="T29" s="313"/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</row>
    <row r="30" spans="1:31" s="96" customFormat="1">
      <c r="A30" s="559" t="s">
        <v>227</v>
      </c>
      <c r="B30" s="487"/>
      <c r="C30" s="487"/>
      <c r="K30" s="486"/>
      <c r="L30" s="313"/>
      <c r="M30" s="313"/>
      <c r="N30" s="313"/>
      <c r="O30" s="313"/>
      <c r="P30" s="313"/>
      <c r="Q30" s="313"/>
      <c r="R30" s="313"/>
      <c r="S30" s="313"/>
      <c r="T30" s="313"/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</row>
    <row r="31" spans="1:31" s="96" customFormat="1">
      <c r="A31" s="559"/>
      <c r="B31" s="487"/>
      <c r="C31" s="487"/>
      <c r="K31" s="486"/>
      <c r="L31" s="313"/>
      <c r="M31" s="313"/>
      <c r="N31" s="313"/>
      <c r="O31" s="313"/>
      <c r="P31" s="313"/>
      <c r="Q31" s="313"/>
      <c r="R31" s="313"/>
      <c r="S31" s="313"/>
      <c r="T31" s="313"/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</row>
    <row r="32" spans="1:31" s="96" customFormat="1">
      <c r="A32" s="54" t="s">
        <v>420</v>
      </c>
      <c r="B32" s="487"/>
      <c r="C32" s="487"/>
      <c r="K32" s="486">
        <f>'P&amp;L - Concept C1 - RCCL'!D27</f>
        <v>0</v>
      </c>
      <c r="L32" s="313">
        <f>'P&amp;L - Concept C1 - RCCL'!E27</f>
        <v>0</v>
      </c>
      <c r="M32" s="313">
        <f>'P&amp;L - Concept C1 - RCCL'!F27</f>
        <v>214</v>
      </c>
      <c r="N32" s="313">
        <f>'P&amp;L - Concept C1 - RCCL'!G27</f>
        <v>214</v>
      </c>
      <c r="O32" s="313">
        <f>'P&amp;L - Concept C1 - RCCL'!H27</f>
        <v>214</v>
      </c>
      <c r="P32" s="313">
        <f>'P&amp;L - Concept C1 - RCCL'!I27</f>
        <v>214</v>
      </c>
      <c r="Q32" s="313">
        <f>'P&amp;L - Concept C1 - RCCL'!J27</f>
        <v>214</v>
      </c>
      <c r="R32" s="313">
        <f>'P&amp;L - Concept C1 - RCCL'!K27</f>
        <v>214</v>
      </c>
      <c r="S32" s="313">
        <f>'P&amp;L - Concept C1 - RCCL'!L27</f>
        <v>214</v>
      </c>
      <c r="T32" s="313">
        <f>'P&amp;L - Concept C1 - RCCL'!M27</f>
        <v>214</v>
      </c>
      <c r="U32" s="313">
        <f>'P&amp;L - Concept C1 - RCCL'!N27</f>
        <v>214</v>
      </c>
      <c r="V32" s="313">
        <f>'P&amp;L - Concept C1 - RCCL'!O27</f>
        <v>214</v>
      </c>
      <c r="W32" s="313">
        <f>'P&amp;L - Concept C1 - RCCL'!P27</f>
        <v>214</v>
      </c>
      <c r="X32" s="313">
        <f>'P&amp;L - Concept C1 - RCCL'!Q27</f>
        <v>214</v>
      </c>
      <c r="Y32" s="313">
        <f>'P&amp;L - Concept C1 - RCCL'!R27</f>
        <v>214</v>
      </c>
      <c r="Z32" s="313">
        <f>'P&amp;L - Concept C1 - RCCL'!S27</f>
        <v>214</v>
      </c>
      <c r="AA32" s="313">
        <f>'P&amp;L - Concept C1 - RCCL'!T27</f>
        <v>214</v>
      </c>
      <c r="AB32" s="313">
        <f>'P&amp;L - Concept C1 - RCCL'!U27</f>
        <v>214</v>
      </c>
      <c r="AC32" s="313">
        <f>'P&amp;L - Concept C1 - RCCL'!V27</f>
        <v>214</v>
      </c>
      <c r="AD32" s="313">
        <f>'P&amp;L - Concept C1 - RCCL'!W27</f>
        <v>214</v>
      </c>
      <c r="AE32" s="313">
        <f>'P&amp;L - Concept C1 - RCCL'!X27</f>
        <v>214</v>
      </c>
    </row>
    <row r="33" spans="1:31" s="96" customFormat="1">
      <c r="A33" s="54" t="s">
        <v>205</v>
      </c>
      <c r="B33" s="487"/>
      <c r="C33" s="487"/>
      <c r="K33" s="486">
        <f>'P&amp;L - Concept C1 - RCCL'!D28</f>
        <v>0</v>
      </c>
      <c r="L33" s="313">
        <f>'P&amp;L - Concept C1 - RCCL'!E28</f>
        <v>0</v>
      </c>
      <c r="M33" s="313">
        <f>'P&amp;L - Concept C1 - RCCL'!F28</f>
        <v>28.666666666666664</v>
      </c>
      <c r="N33" s="313">
        <f>'P&amp;L - Concept C1 - RCCL'!G28</f>
        <v>28.666666666666664</v>
      </c>
      <c r="O33" s="313">
        <f>'P&amp;L - Concept C1 - RCCL'!H28</f>
        <v>28.666666666666664</v>
      </c>
      <c r="P33" s="313">
        <f>'P&amp;L - Concept C1 - RCCL'!I28</f>
        <v>28.666666666666664</v>
      </c>
      <c r="Q33" s="313">
        <f>'P&amp;L - Concept C1 - RCCL'!J28</f>
        <v>28.666666666666664</v>
      </c>
      <c r="R33" s="313">
        <f>'P&amp;L - Concept C1 - RCCL'!K28</f>
        <v>28.666666666666664</v>
      </c>
      <c r="S33" s="313">
        <f>'P&amp;L - Concept C1 - RCCL'!L28</f>
        <v>28.666666666666664</v>
      </c>
      <c r="T33" s="313">
        <f>'P&amp;L - Concept C1 - RCCL'!M28</f>
        <v>28.666666666666664</v>
      </c>
      <c r="U33" s="313">
        <f>'P&amp;L - Concept C1 - RCCL'!N28</f>
        <v>28.666666666666664</v>
      </c>
      <c r="V33" s="313">
        <f>'P&amp;L - Concept C1 - RCCL'!O28</f>
        <v>28.666666666666664</v>
      </c>
      <c r="W33" s="313">
        <f>'P&amp;L - Concept C1 - RCCL'!P28</f>
        <v>28.666666666666664</v>
      </c>
      <c r="X33" s="313">
        <f>'P&amp;L - Concept C1 - RCCL'!Q28</f>
        <v>28.666666666666664</v>
      </c>
      <c r="Y33" s="313">
        <f>'P&amp;L - Concept C1 - RCCL'!R28</f>
        <v>28.666666666666664</v>
      </c>
      <c r="Z33" s="313">
        <f>'P&amp;L - Concept C1 - RCCL'!S28</f>
        <v>28.666666666666664</v>
      </c>
      <c r="AA33" s="313">
        <f>'P&amp;L - Concept C1 - RCCL'!T28</f>
        <v>28.666666666666664</v>
      </c>
      <c r="AB33" s="313">
        <f>'P&amp;L - Concept C1 - RCCL'!U28</f>
        <v>28.666666666666664</v>
      </c>
      <c r="AC33" s="313">
        <f>'P&amp;L - Concept C1 - RCCL'!V28</f>
        <v>28.666666666666664</v>
      </c>
      <c r="AD33" s="313">
        <f>'P&amp;L - Concept C1 - RCCL'!W28</f>
        <v>28.666666666666664</v>
      </c>
      <c r="AE33" s="313">
        <f>'P&amp;L - Concept C1 - RCCL'!X28</f>
        <v>28.666666666666664</v>
      </c>
    </row>
    <row r="34" spans="1:31" s="96" customFormat="1">
      <c r="A34" s="54" t="s">
        <v>219</v>
      </c>
      <c r="B34" s="487"/>
      <c r="C34" s="487"/>
      <c r="K34" s="486">
        <f>'P&amp;L - Concept C1 - RCCL'!D29</f>
        <v>0</v>
      </c>
      <c r="L34" s="313">
        <f>'P&amp;L - Concept C1 - RCCL'!E29</f>
        <v>150</v>
      </c>
      <c r="M34" s="313">
        <f>'P&amp;L - Concept C1 - RCCL'!F29</f>
        <v>150</v>
      </c>
      <c r="N34" s="313">
        <f>'P&amp;L - Concept C1 - RCCL'!G29</f>
        <v>150</v>
      </c>
      <c r="O34" s="313">
        <f>'P&amp;L - Concept C1 - RCCL'!H29</f>
        <v>150</v>
      </c>
      <c r="P34" s="313">
        <f>'P&amp;L - Concept C1 - RCCL'!I29</f>
        <v>150</v>
      </c>
      <c r="Q34" s="313">
        <f>'P&amp;L - Concept C1 - RCCL'!J29</f>
        <v>150</v>
      </c>
      <c r="R34" s="313">
        <f>'P&amp;L - Concept C1 - RCCL'!K29</f>
        <v>150</v>
      </c>
      <c r="S34" s="313">
        <f>'P&amp;L - Concept C1 - RCCL'!L29</f>
        <v>150</v>
      </c>
      <c r="T34" s="313">
        <f>'P&amp;L - Concept C1 - RCCL'!M29</f>
        <v>150</v>
      </c>
      <c r="U34" s="313">
        <f>'P&amp;L - Concept C1 - RCCL'!N29</f>
        <v>150</v>
      </c>
      <c r="V34" s="313">
        <f>'P&amp;L - Concept C1 - RCCL'!O29</f>
        <v>150</v>
      </c>
      <c r="W34" s="313">
        <f>'P&amp;L - Concept C1 - RCCL'!P29</f>
        <v>150</v>
      </c>
      <c r="X34" s="313">
        <f>'P&amp;L - Concept C1 - RCCL'!Q29</f>
        <v>150</v>
      </c>
      <c r="Y34" s="313">
        <f>'P&amp;L - Concept C1 - RCCL'!R29</f>
        <v>150</v>
      </c>
      <c r="Z34" s="313">
        <f>'P&amp;L - Concept C1 - RCCL'!S29</f>
        <v>150</v>
      </c>
      <c r="AA34" s="313">
        <f>'P&amp;L - Concept C1 - RCCL'!T29</f>
        <v>150</v>
      </c>
      <c r="AB34" s="313">
        <f>'P&amp;L - Concept C1 - RCCL'!U29</f>
        <v>150</v>
      </c>
      <c r="AC34" s="313">
        <f>'P&amp;L - Concept C1 - RCCL'!V29</f>
        <v>150</v>
      </c>
      <c r="AD34" s="313">
        <f>'P&amp;L - Concept C1 - RCCL'!W29</f>
        <v>150</v>
      </c>
      <c r="AE34" s="313">
        <f>'P&amp;L - Concept C1 - RCCL'!X29</f>
        <v>150</v>
      </c>
    </row>
    <row r="35" spans="1:31" s="96" customFormat="1">
      <c r="A35" s="54" t="s">
        <v>220</v>
      </c>
      <c r="B35" s="487"/>
      <c r="C35" s="487"/>
      <c r="K35" s="486">
        <f>'P&amp;L - Concept C1 - RCCL'!D30</f>
        <v>0</v>
      </c>
      <c r="L35" s="307">
        <f>'P&amp;L - Concept C1 - RCCL'!E30</f>
        <v>0</v>
      </c>
      <c r="M35" s="307">
        <f>'P&amp;L - Concept C1 - RCCL'!F30</f>
        <v>0.19111111111111109</v>
      </c>
      <c r="N35" s="307">
        <f>'P&amp;L - Concept C1 - RCCL'!G30</f>
        <v>0.19111111111111109</v>
      </c>
      <c r="O35" s="307">
        <f>'P&amp;L - Concept C1 - RCCL'!H30</f>
        <v>0.19111111111111109</v>
      </c>
      <c r="P35" s="307">
        <f>'P&amp;L - Concept C1 - RCCL'!I30</f>
        <v>0.19111111111111109</v>
      </c>
      <c r="Q35" s="307">
        <f>'P&amp;L - Concept C1 - RCCL'!J30</f>
        <v>0.19111111111111109</v>
      </c>
      <c r="R35" s="307">
        <f>'P&amp;L - Concept C1 - RCCL'!K30</f>
        <v>0.19111111111111109</v>
      </c>
      <c r="S35" s="307">
        <f>'P&amp;L - Concept C1 - RCCL'!L30</f>
        <v>0.19111111111111109</v>
      </c>
      <c r="T35" s="307">
        <f>'P&amp;L - Concept C1 - RCCL'!M30</f>
        <v>0.19111111111111109</v>
      </c>
      <c r="U35" s="307">
        <f>'P&amp;L - Concept C1 - RCCL'!N30</f>
        <v>0.19111111111111109</v>
      </c>
      <c r="V35" s="307">
        <f>'P&amp;L - Concept C1 - RCCL'!O30</f>
        <v>0.19111111111111109</v>
      </c>
      <c r="W35" s="307">
        <f>'P&amp;L - Concept C1 - RCCL'!P30</f>
        <v>0.19111111111111109</v>
      </c>
      <c r="X35" s="307">
        <f>'P&amp;L - Concept C1 - RCCL'!Q30</f>
        <v>0.19111111111111109</v>
      </c>
      <c r="Y35" s="307">
        <f>'P&amp;L - Concept C1 - RCCL'!R30</f>
        <v>0.19111111111111109</v>
      </c>
      <c r="Z35" s="307">
        <f>'P&amp;L - Concept C1 - RCCL'!S30</f>
        <v>0.19111111111111109</v>
      </c>
      <c r="AA35" s="307">
        <f>'P&amp;L - Concept C1 - RCCL'!T30</f>
        <v>0.19111111111111109</v>
      </c>
      <c r="AB35" s="307">
        <f>'P&amp;L - Concept C1 - RCCL'!U30</f>
        <v>0.19111111111111109</v>
      </c>
      <c r="AC35" s="307">
        <f>'P&amp;L - Concept C1 - RCCL'!V30</f>
        <v>0.19111111111111109</v>
      </c>
      <c r="AD35" s="307">
        <f>'P&amp;L - Concept C1 - RCCL'!W30</f>
        <v>0.19111111111111109</v>
      </c>
      <c r="AE35" s="307">
        <f>'P&amp;L - Concept C1 - RCCL'!X30</f>
        <v>0.19111111111111109</v>
      </c>
    </row>
    <row r="36" spans="1:31" s="96" customFormat="1">
      <c r="A36" s="54" t="s">
        <v>226</v>
      </c>
      <c r="B36" s="487"/>
      <c r="C36" s="487"/>
      <c r="K36" s="486">
        <f>'P&amp;L - Concept C1 - RCCL'!D31</f>
        <v>0</v>
      </c>
      <c r="L36" s="313">
        <f>'P&amp;L - Concept C1 - RCCL'!E31</f>
        <v>0</v>
      </c>
      <c r="M36" s="313">
        <f>'P&amp;L - Concept C1 - RCCL'!F31</f>
        <v>125</v>
      </c>
      <c r="N36" s="313">
        <f>'P&amp;L - Concept C1 - RCCL'!G31</f>
        <v>125</v>
      </c>
      <c r="O36" s="313">
        <f>'P&amp;L - Concept C1 - RCCL'!H31</f>
        <v>125</v>
      </c>
      <c r="P36" s="313">
        <f>'P&amp;L - Concept C1 - RCCL'!I31</f>
        <v>125</v>
      </c>
      <c r="Q36" s="313">
        <f>'P&amp;L - Concept C1 - RCCL'!J31</f>
        <v>125</v>
      </c>
      <c r="R36" s="313">
        <f>'P&amp;L - Concept C1 - RCCL'!K31</f>
        <v>125</v>
      </c>
      <c r="S36" s="313">
        <f>'P&amp;L - Concept C1 - RCCL'!L31</f>
        <v>125</v>
      </c>
      <c r="T36" s="313">
        <f>'P&amp;L - Concept C1 - RCCL'!M31</f>
        <v>125</v>
      </c>
      <c r="U36" s="313">
        <f>'P&amp;L - Concept C1 - RCCL'!N31</f>
        <v>125</v>
      </c>
      <c r="V36" s="313">
        <f>'P&amp;L - Concept C1 - RCCL'!O31</f>
        <v>125</v>
      </c>
      <c r="W36" s="313">
        <f>'P&amp;L - Concept C1 - RCCL'!P31</f>
        <v>125</v>
      </c>
      <c r="X36" s="313">
        <f>'P&amp;L - Concept C1 - RCCL'!Q31</f>
        <v>125</v>
      </c>
      <c r="Y36" s="313">
        <f>'P&amp;L - Concept C1 - RCCL'!R31</f>
        <v>125</v>
      </c>
      <c r="Z36" s="313">
        <f>'P&amp;L - Concept C1 - RCCL'!S31</f>
        <v>125</v>
      </c>
      <c r="AA36" s="313">
        <f>'P&amp;L - Concept C1 - RCCL'!T31</f>
        <v>125</v>
      </c>
      <c r="AB36" s="313">
        <f>'P&amp;L - Concept C1 - RCCL'!U31</f>
        <v>125</v>
      </c>
      <c r="AC36" s="313">
        <f>'P&amp;L - Concept C1 - RCCL'!V31</f>
        <v>125</v>
      </c>
      <c r="AD36" s="313">
        <f>'P&amp;L - Concept C1 - RCCL'!W31</f>
        <v>125</v>
      </c>
      <c r="AE36" s="313">
        <f>'P&amp;L - Concept C1 - RCCL'!X31</f>
        <v>125</v>
      </c>
    </row>
    <row r="37" spans="1:31" s="18" customFormat="1">
      <c r="A37" s="54"/>
      <c r="B37" s="21"/>
      <c r="C37" s="21"/>
      <c r="K37" s="486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</row>
    <row r="38" spans="1:31" s="96" customFormat="1">
      <c r="A38" s="54" t="s">
        <v>206</v>
      </c>
      <c r="B38" s="487"/>
      <c r="C38" s="487"/>
      <c r="K38" s="486">
        <f>'P&amp;L - Concept C1 - RCCL'!D33</f>
        <v>0</v>
      </c>
      <c r="L38" s="313">
        <f>'P&amp;L - Concept C1 - RCCL'!E33</f>
        <v>0</v>
      </c>
      <c r="M38" s="313">
        <f>'P&amp;L - Concept C1 - RCCL'!F33</f>
        <v>3110.3085303356092</v>
      </c>
      <c r="N38" s="313">
        <f>'P&amp;L - Concept C1 - RCCL'!G33</f>
        <v>3110.3085303356092</v>
      </c>
      <c r="O38" s="313">
        <f>'P&amp;L - Concept C1 - RCCL'!H33</f>
        <v>3110.3085303356092</v>
      </c>
      <c r="P38" s="313">
        <f>'P&amp;L - Concept C1 - RCCL'!I33</f>
        <v>3110.3085303356092</v>
      </c>
      <c r="Q38" s="313">
        <f>'P&amp;L - Concept C1 - RCCL'!J33</f>
        <v>3110.3085303356092</v>
      </c>
      <c r="R38" s="313">
        <f>'P&amp;L - Concept C1 - RCCL'!K33</f>
        <v>3110.3085303356092</v>
      </c>
      <c r="S38" s="313">
        <f>'P&amp;L - Concept C1 - RCCL'!L33</f>
        <v>3110.3085303356092</v>
      </c>
      <c r="T38" s="313">
        <f>'P&amp;L - Concept C1 - RCCL'!M33</f>
        <v>3110.3085303356092</v>
      </c>
      <c r="U38" s="313">
        <f>'P&amp;L - Concept C1 - RCCL'!N33</f>
        <v>3110.3085303356092</v>
      </c>
      <c r="V38" s="313">
        <f>'P&amp;L - Concept C1 - RCCL'!O33</f>
        <v>3110.3085303356092</v>
      </c>
      <c r="W38" s="313">
        <f>'P&amp;L - Concept C1 - RCCL'!P33</f>
        <v>3110.3085303356092</v>
      </c>
      <c r="X38" s="313">
        <f>'P&amp;L - Concept C1 - RCCL'!Q33</f>
        <v>3110.3085303356092</v>
      </c>
      <c r="Y38" s="313">
        <f>'P&amp;L - Concept C1 - RCCL'!R33</f>
        <v>3110.3085303356092</v>
      </c>
      <c r="Z38" s="313">
        <f>'P&amp;L - Concept C1 - RCCL'!S33</f>
        <v>3110.3085303356092</v>
      </c>
      <c r="AA38" s="313">
        <f>'P&amp;L - Concept C1 - RCCL'!T33</f>
        <v>3110.3085303356092</v>
      </c>
      <c r="AB38" s="313">
        <f>'P&amp;L - Concept C1 - RCCL'!U33</f>
        <v>3110.3085303356092</v>
      </c>
      <c r="AC38" s="313">
        <f>'P&amp;L - Concept C1 - RCCL'!V33</f>
        <v>3110.3085303356092</v>
      </c>
      <c r="AD38" s="313">
        <f>'P&amp;L - Concept C1 - RCCL'!W33</f>
        <v>3110.3085303356092</v>
      </c>
      <c r="AE38" s="313">
        <f>'P&amp;L - Concept C1 - RCCL'!X33</f>
        <v>3110.3085303356092</v>
      </c>
    </row>
    <row r="39" spans="1:31" s="96" customFormat="1">
      <c r="A39" s="54" t="s">
        <v>207</v>
      </c>
      <c r="B39" s="487"/>
      <c r="C39" s="487"/>
      <c r="K39" s="486">
        <f>'P&amp;L - Concept C1 - RCCL'!D34</f>
        <v>0</v>
      </c>
      <c r="L39" s="313">
        <f>'P&amp;L - Concept C1 - RCCL'!E34</f>
        <v>0</v>
      </c>
      <c r="M39" s="313">
        <f>'P&amp;L - Concept C1 - RCCL'!F34</f>
        <v>5500</v>
      </c>
      <c r="N39" s="313">
        <f>'P&amp;L - Concept C1 - RCCL'!G34</f>
        <v>5500</v>
      </c>
      <c r="O39" s="313">
        <f>'P&amp;L - Concept C1 - RCCL'!H34</f>
        <v>5500</v>
      </c>
      <c r="P39" s="313">
        <f>'P&amp;L - Concept C1 - RCCL'!I34</f>
        <v>5500</v>
      </c>
      <c r="Q39" s="313">
        <f>'P&amp;L - Concept C1 - RCCL'!J34</f>
        <v>5500</v>
      </c>
      <c r="R39" s="313">
        <f>'P&amp;L - Concept C1 - RCCL'!K34</f>
        <v>5500</v>
      </c>
      <c r="S39" s="313">
        <f>'P&amp;L - Concept C1 - RCCL'!L34</f>
        <v>5500</v>
      </c>
      <c r="T39" s="313">
        <f>'P&amp;L - Concept C1 - RCCL'!M34</f>
        <v>5500</v>
      </c>
      <c r="U39" s="313">
        <f>'P&amp;L - Concept C1 - RCCL'!N34</f>
        <v>5500</v>
      </c>
      <c r="V39" s="313">
        <f>'P&amp;L - Concept C1 - RCCL'!O34</f>
        <v>5500</v>
      </c>
      <c r="W39" s="313">
        <f>'P&amp;L - Concept C1 - RCCL'!P34</f>
        <v>5500</v>
      </c>
      <c r="X39" s="313">
        <f>'P&amp;L - Concept C1 - RCCL'!Q34</f>
        <v>5500</v>
      </c>
      <c r="Y39" s="313">
        <f>'P&amp;L - Concept C1 - RCCL'!R34</f>
        <v>5500</v>
      </c>
      <c r="Z39" s="313">
        <f>'P&amp;L - Concept C1 - RCCL'!S34</f>
        <v>5500</v>
      </c>
      <c r="AA39" s="313">
        <f>'P&amp;L - Concept C1 - RCCL'!T34</f>
        <v>5500</v>
      </c>
      <c r="AB39" s="313">
        <f>'P&amp;L - Concept C1 - RCCL'!U34</f>
        <v>5500</v>
      </c>
      <c r="AC39" s="313">
        <f>'P&amp;L - Concept C1 - RCCL'!V34</f>
        <v>5500</v>
      </c>
      <c r="AD39" s="313">
        <f>'P&amp;L - Concept C1 - RCCL'!W34</f>
        <v>5500</v>
      </c>
      <c r="AE39" s="313">
        <f>'P&amp;L - Concept C1 - RCCL'!X34</f>
        <v>5500</v>
      </c>
    </row>
    <row r="40" spans="1:31" s="96" customFormat="1">
      <c r="A40" s="54" t="s">
        <v>221</v>
      </c>
      <c r="B40" s="487"/>
      <c r="C40" s="487"/>
      <c r="K40" s="486">
        <f>'P&amp;L - Concept C1 - RCCL'!D35</f>
        <v>0</v>
      </c>
      <c r="L40" s="313">
        <f>'P&amp;L - Concept C1 - RCCL'!E35</f>
        <v>400</v>
      </c>
      <c r="M40" s="313">
        <f>'P&amp;L - Concept C1 - RCCL'!F35</f>
        <v>466.66666666666669</v>
      </c>
      <c r="N40" s="313">
        <f>'P&amp;L - Concept C1 - RCCL'!G35</f>
        <v>533.33333333333337</v>
      </c>
      <c r="O40" s="313">
        <f>'P&amp;L - Concept C1 - RCCL'!H35</f>
        <v>533.33333333333337</v>
      </c>
      <c r="P40" s="313">
        <f>'P&amp;L - Concept C1 - RCCL'!I35</f>
        <v>533.33333333333337</v>
      </c>
      <c r="Q40" s="313">
        <f>'P&amp;L - Concept C1 - RCCL'!J35</f>
        <v>533.33333333333337</v>
      </c>
      <c r="R40" s="313">
        <f>'P&amp;L - Concept C1 - RCCL'!K35</f>
        <v>533.33333333333337</v>
      </c>
      <c r="S40" s="313">
        <f>'P&amp;L - Concept C1 - RCCL'!L35</f>
        <v>533.33333333333337</v>
      </c>
      <c r="T40" s="313">
        <f>'P&amp;L - Concept C1 - RCCL'!M35</f>
        <v>533.33333333333337</v>
      </c>
      <c r="U40" s="313">
        <f>'P&amp;L - Concept C1 - RCCL'!N35</f>
        <v>533.33333333333337</v>
      </c>
      <c r="V40" s="313">
        <f>'P&amp;L - Concept C1 - RCCL'!O35</f>
        <v>533.33333333333337</v>
      </c>
      <c r="W40" s="313">
        <f>'P&amp;L - Concept C1 - RCCL'!P35</f>
        <v>533.33333333333337</v>
      </c>
      <c r="X40" s="313">
        <f>'P&amp;L - Concept C1 - RCCL'!Q35</f>
        <v>533.33333333333337</v>
      </c>
      <c r="Y40" s="313">
        <f>'P&amp;L - Concept C1 - RCCL'!R35</f>
        <v>533.33333333333337</v>
      </c>
      <c r="Z40" s="313">
        <f>'P&amp;L - Concept C1 - RCCL'!S35</f>
        <v>533.33333333333337</v>
      </c>
      <c r="AA40" s="313">
        <f>'P&amp;L - Concept C1 - RCCL'!T35</f>
        <v>533.33333333333337</v>
      </c>
      <c r="AB40" s="313">
        <f>'P&amp;L - Concept C1 - RCCL'!U35</f>
        <v>533.33333333333337</v>
      </c>
      <c r="AC40" s="313">
        <f>'P&amp;L - Concept C1 - RCCL'!V35</f>
        <v>533.33333333333337</v>
      </c>
      <c r="AD40" s="313">
        <f>'P&amp;L - Concept C1 - RCCL'!W35</f>
        <v>533.33333333333337</v>
      </c>
      <c r="AE40" s="313">
        <f>'P&amp;L - Concept C1 - RCCL'!X35</f>
        <v>533.33333333333337</v>
      </c>
    </row>
    <row r="41" spans="1:31" s="96" customFormat="1">
      <c r="A41" s="54" t="s">
        <v>222</v>
      </c>
      <c r="B41" s="487"/>
      <c r="C41" s="487"/>
      <c r="K41" s="486">
        <f>'P&amp;L - Concept C1 - RCCL'!D36</f>
        <v>0</v>
      </c>
      <c r="L41" s="313">
        <f>'P&amp;L - Concept C1 - RCCL'!E36</f>
        <v>800</v>
      </c>
      <c r="M41" s="313">
        <f>'P&amp;L - Concept C1 - RCCL'!F36</f>
        <v>800</v>
      </c>
      <c r="N41" s="313">
        <f>'P&amp;L - Concept C1 - RCCL'!G36</f>
        <v>800</v>
      </c>
      <c r="O41" s="313">
        <f>'P&amp;L - Concept C1 - RCCL'!H36</f>
        <v>800</v>
      </c>
      <c r="P41" s="313">
        <f>'P&amp;L - Concept C1 - RCCL'!I36</f>
        <v>800</v>
      </c>
      <c r="Q41" s="313">
        <f>'P&amp;L - Concept C1 - RCCL'!J36</f>
        <v>800</v>
      </c>
      <c r="R41" s="313">
        <f>'P&amp;L - Concept C1 - RCCL'!K36</f>
        <v>800</v>
      </c>
      <c r="S41" s="313">
        <f>'P&amp;L - Concept C1 - RCCL'!L36</f>
        <v>800</v>
      </c>
      <c r="T41" s="313">
        <f>'P&amp;L - Concept C1 - RCCL'!M36</f>
        <v>800</v>
      </c>
      <c r="U41" s="313">
        <f>'P&amp;L - Concept C1 - RCCL'!N36</f>
        <v>800</v>
      </c>
      <c r="V41" s="313">
        <f>'P&amp;L - Concept C1 - RCCL'!O36</f>
        <v>800</v>
      </c>
      <c r="W41" s="313">
        <f>'P&amp;L - Concept C1 - RCCL'!P36</f>
        <v>800</v>
      </c>
      <c r="X41" s="313">
        <f>'P&amp;L - Concept C1 - RCCL'!Q36</f>
        <v>800</v>
      </c>
      <c r="Y41" s="313">
        <f>'P&amp;L - Concept C1 - RCCL'!R36</f>
        <v>800</v>
      </c>
      <c r="Z41" s="313">
        <f>'P&amp;L - Concept C1 - RCCL'!S36</f>
        <v>800</v>
      </c>
      <c r="AA41" s="313">
        <f>'P&amp;L - Concept C1 - RCCL'!T36</f>
        <v>800</v>
      </c>
      <c r="AB41" s="313">
        <f>'P&amp;L - Concept C1 - RCCL'!U36</f>
        <v>800</v>
      </c>
      <c r="AC41" s="313">
        <f>'P&amp;L - Concept C1 - RCCL'!V36</f>
        <v>800</v>
      </c>
      <c r="AD41" s="313">
        <f>'P&amp;L - Concept C1 - RCCL'!W36</f>
        <v>800</v>
      </c>
      <c r="AE41" s="313">
        <f>'P&amp;L - Concept C1 - RCCL'!X36</f>
        <v>800</v>
      </c>
    </row>
    <row r="42" spans="1:31" s="96" customFormat="1">
      <c r="A42" s="54" t="s">
        <v>208</v>
      </c>
      <c r="B42" s="487"/>
      <c r="C42" s="487"/>
      <c r="K42" s="486">
        <f>'P&amp;L - Concept C1 - RCCL'!D37</f>
        <v>0</v>
      </c>
      <c r="L42" s="313">
        <f>'P&amp;L - Concept C1 - RCCL'!E37</f>
        <v>800</v>
      </c>
      <c r="M42" s="313">
        <f>'P&amp;L - Concept C1 - RCCL'!F37</f>
        <v>6300</v>
      </c>
      <c r="N42" s="313">
        <f>'P&amp;L - Concept C1 - RCCL'!G37</f>
        <v>6300</v>
      </c>
      <c r="O42" s="313">
        <f>'P&amp;L - Concept C1 - RCCL'!H37</f>
        <v>6300</v>
      </c>
      <c r="P42" s="313">
        <f>'P&amp;L - Concept C1 - RCCL'!I37</f>
        <v>6300</v>
      </c>
      <c r="Q42" s="313">
        <f>'P&amp;L - Concept C1 - RCCL'!J37</f>
        <v>6300</v>
      </c>
      <c r="R42" s="313">
        <f>'P&amp;L - Concept C1 - RCCL'!K37</f>
        <v>6300</v>
      </c>
      <c r="S42" s="313">
        <f>'P&amp;L - Concept C1 - RCCL'!L37</f>
        <v>6300</v>
      </c>
      <c r="T42" s="313">
        <f>'P&amp;L - Concept C1 - RCCL'!M37</f>
        <v>6300</v>
      </c>
      <c r="U42" s="313">
        <f>'P&amp;L - Concept C1 - RCCL'!N37</f>
        <v>6300</v>
      </c>
      <c r="V42" s="313">
        <f>'P&amp;L - Concept C1 - RCCL'!O37</f>
        <v>6300</v>
      </c>
      <c r="W42" s="313">
        <f>'P&amp;L - Concept C1 - RCCL'!P37</f>
        <v>6300</v>
      </c>
      <c r="X42" s="313">
        <f>'P&amp;L - Concept C1 - RCCL'!Q37</f>
        <v>6300</v>
      </c>
      <c r="Y42" s="313">
        <f>'P&amp;L - Concept C1 - RCCL'!R37</f>
        <v>6300</v>
      </c>
      <c r="Z42" s="313">
        <f>'P&amp;L - Concept C1 - RCCL'!S37</f>
        <v>6300</v>
      </c>
      <c r="AA42" s="313">
        <f>'P&amp;L - Concept C1 - RCCL'!T37</f>
        <v>6300</v>
      </c>
      <c r="AB42" s="313">
        <f>'P&amp;L - Concept C1 - RCCL'!U37</f>
        <v>6300</v>
      </c>
      <c r="AC42" s="313">
        <f>'P&amp;L - Concept C1 - RCCL'!V37</f>
        <v>6300</v>
      </c>
      <c r="AD42" s="313">
        <f>'P&amp;L - Concept C1 - RCCL'!W37</f>
        <v>6300</v>
      </c>
      <c r="AE42" s="313">
        <f>'P&amp;L - Concept C1 - RCCL'!X37</f>
        <v>6300</v>
      </c>
    </row>
    <row r="43" spans="1:31" s="96" customFormat="1">
      <c r="A43" s="54"/>
      <c r="B43" s="487"/>
      <c r="C43" s="487"/>
      <c r="K43" s="486"/>
      <c r="L43" s="313"/>
      <c r="M43" s="313"/>
      <c r="N43" s="313"/>
      <c r="O43" s="313"/>
      <c r="P43" s="313"/>
      <c r="Q43" s="313"/>
      <c r="R43" s="313"/>
      <c r="S43" s="313"/>
      <c r="T43" s="313"/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</row>
    <row r="44" spans="1:31" s="96" customFormat="1">
      <c r="A44" s="54" t="s">
        <v>223</v>
      </c>
      <c r="B44" s="583"/>
      <c r="C44" s="583"/>
      <c r="K44" s="486">
        <f>'P&amp;L - Concept C1 - RCCL'!D39</f>
        <v>0</v>
      </c>
      <c r="L44" s="313">
        <f>'P&amp;L - Concept C1 - RCCL'!E39</f>
        <v>160.26666666666668</v>
      </c>
      <c r="M44" s="313">
        <f>'P&amp;L - Concept C1 - RCCL'!F39</f>
        <v>187</v>
      </c>
      <c r="N44" s="313">
        <f>'P&amp;L - Concept C1 - RCCL'!G39</f>
        <v>213.73333333333332</v>
      </c>
      <c r="O44" s="313">
        <f>'P&amp;L - Concept C1 - RCCL'!H39</f>
        <v>213.73333333333332</v>
      </c>
      <c r="P44" s="313">
        <f>'P&amp;L - Concept C1 - RCCL'!I39</f>
        <v>213.73333333333332</v>
      </c>
      <c r="Q44" s="313">
        <f>'P&amp;L - Concept C1 - RCCL'!J39</f>
        <v>213.73333333333332</v>
      </c>
      <c r="R44" s="313">
        <f>'P&amp;L - Concept C1 - RCCL'!K39</f>
        <v>213.73333333333332</v>
      </c>
      <c r="S44" s="313">
        <f>'P&amp;L - Concept C1 - RCCL'!L39</f>
        <v>213.73333333333332</v>
      </c>
      <c r="T44" s="313">
        <f>'P&amp;L - Concept C1 - RCCL'!M39</f>
        <v>213.73333333333332</v>
      </c>
      <c r="U44" s="313">
        <f>'P&amp;L - Concept C1 - RCCL'!N39</f>
        <v>213.73333333333332</v>
      </c>
      <c r="V44" s="313">
        <f>'P&amp;L - Concept C1 - RCCL'!O39</f>
        <v>213.73333333333332</v>
      </c>
      <c r="W44" s="313">
        <f>'P&amp;L - Concept C1 - RCCL'!P39</f>
        <v>213.73333333333332</v>
      </c>
      <c r="X44" s="313">
        <f>'P&amp;L - Concept C1 - RCCL'!Q39</f>
        <v>213.73333333333332</v>
      </c>
      <c r="Y44" s="313">
        <f>'P&amp;L - Concept C1 - RCCL'!R39</f>
        <v>213.73333333333332</v>
      </c>
      <c r="Z44" s="313">
        <f>'P&amp;L - Concept C1 - RCCL'!S39</f>
        <v>213.73333333333332</v>
      </c>
      <c r="AA44" s="313">
        <f>'P&amp;L - Concept C1 - RCCL'!T39</f>
        <v>213.73333333333332</v>
      </c>
      <c r="AB44" s="313">
        <f>'P&amp;L - Concept C1 - RCCL'!U39</f>
        <v>213.73333333333332</v>
      </c>
      <c r="AC44" s="313">
        <f>'P&amp;L - Concept C1 - RCCL'!V39</f>
        <v>213.73333333333332</v>
      </c>
      <c r="AD44" s="313">
        <f>'P&amp;L - Concept C1 - RCCL'!W39</f>
        <v>213.73333333333332</v>
      </c>
      <c r="AE44" s="313">
        <f>'P&amp;L - Concept C1 - RCCL'!X39</f>
        <v>213.73333333333332</v>
      </c>
    </row>
    <row r="45" spans="1:31" s="18" customFormat="1">
      <c r="A45" s="54"/>
      <c r="B45" s="74"/>
      <c r="C45" s="74"/>
      <c r="K45" s="492"/>
      <c r="L45" s="313"/>
      <c r="M45" s="313"/>
      <c r="N45" s="313"/>
      <c r="O45" s="313"/>
      <c r="P45" s="313"/>
      <c r="Q45" s="313"/>
      <c r="R45" s="313"/>
      <c r="S45" s="313"/>
      <c r="T45" s="313"/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</row>
    <row r="46" spans="1:31" s="18" customFormat="1">
      <c r="A46" s="293" t="s">
        <v>26</v>
      </c>
      <c r="B46" s="74"/>
      <c r="C46" s="74"/>
      <c r="K46" s="492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</row>
    <row r="47" spans="1:31" s="18" customFormat="1">
      <c r="A47" s="54" t="s">
        <v>264</v>
      </c>
      <c r="B47" s="277"/>
      <c r="C47" s="74"/>
      <c r="K47" s="486">
        <f>'P&amp;L - Concept C1 - RCCL'!D42</f>
        <v>0</v>
      </c>
      <c r="L47" s="313">
        <f>'P&amp;L - Concept C1 - RCCL'!E42</f>
        <v>13290.435763888891</v>
      </c>
      <c r="M47" s="313">
        <f>'P&amp;L - Concept C1 - RCCL'!F42</f>
        <v>13290.435763888891</v>
      </c>
      <c r="N47" s="313">
        <f>'P&amp;L - Concept C1 - RCCL'!G42</f>
        <v>13290.435763888891</v>
      </c>
      <c r="O47" s="313">
        <f>'P&amp;L - Concept C1 - RCCL'!H42</f>
        <v>13290.435763888891</v>
      </c>
      <c r="P47" s="313">
        <f>'P&amp;L - Concept C1 - RCCL'!I42</f>
        <v>13290.435763888891</v>
      </c>
      <c r="Q47" s="313">
        <f>'P&amp;L - Concept C1 - RCCL'!J42</f>
        <v>13290.435763888891</v>
      </c>
      <c r="R47" s="313">
        <f>'P&amp;L - Concept C1 - RCCL'!K42</f>
        <v>13290.435763888891</v>
      </c>
      <c r="S47" s="313">
        <f>'P&amp;L - Concept C1 - RCCL'!L42</f>
        <v>13290.435763888891</v>
      </c>
      <c r="T47" s="313">
        <f>'P&amp;L - Concept C1 - RCCL'!M42</f>
        <v>13290.435763888891</v>
      </c>
      <c r="U47" s="313">
        <f>'P&amp;L - Concept C1 - RCCL'!N42</f>
        <v>13290.435763888891</v>
      </c>
      <c r="V47" s="313">
        <f>'P&amp;L - Concept C1 - RCCL'!O42</f>
        <v>13290.435763888891</v>
      </c>
      <c r="W47" s="313">
        <f>'P&amp;L - Concept C1 - RCCL'!P42</f>
        <v>13290.435763888891</v>
      </c>
      <c r="X47" s="313">
        <f>'P&amp;L - Concept C1 - RCCL'!Q42</f>
        <v>13290.435763888891</v>
      </c>
      <c r="Y47" s="313">
        <f>'P&amp;L - Concept C1 - RCCL'!R42</f>
        <v>13290.435763888891</v>
      </c>
      <c r="Z47" s="313">
        <f>'P&amp;L - Concept C1 - RCCL'!S42</f>
        <v>13290.435763888891</v>
      </c>
      <c r="AA47" s="313">
        <f>'P&amp;L - Concept C1 - RCCL'!T42</f>
        <v>13290.435763888891</v>
      </c>
      <c r="AB47" s="313">
        <f>'P&amp;L - Concept C1 - RCCL'!U42</f>
        <v>13290.435763888891</v>
      </c>
      <c r="AC47" s="313">
        <f>'P&amp;L - Concept C1 - RCCL'!V42</f>
        <v>13290.435763888891</v>
      </c>
      <c r="AD47" s="313">
        <f>'P&amp;L - Concept C1 - RCCL'!W42</f>
        <v>13290.435763888891</v>
      </c>
      <c r="AE47" s="313">
        <f>'P&amp;L - Concept C1 - RCCL'!X42</f>
        <v>13290.435763888891</v>
      </c>
    </row>
    <row r="48" spans="1:31" s="18" customFormat="1">
      <c r="A48" s="54" t="s">
        <v>267</v>
      </c>
      <c r="B48" s="277"/>
      <c r="C48" s="74"/>
      <c r="K48" s="486">
        <f>'P&amp;L - Concept C1 - RCCL'!D43</f>
        <v>0</v>
      </c>
      <c r="L48" s="313">
        <f>'P&amp;L - Concept C1 - RCCL'!E43</f>
        <v>13967.333333333327</v>
      </c>
      <c r="M48" s="313">
        <f>'P&amp;L - Concept C1 - RCCL'!F43</f>
        <v>13967.333333333327</v>
      </c>
      <c r="N48" s="313">
        <f>'P&amp;L - Concept C1 - RCCL'!G43</f>
        <v>13967.333333333327</v>
      </c>
      <c r="O48" s="313">
        <f>'P&amp;L - Concept C1 - RCCL'!H43</f>
        <v>13967.333333333327</v>
      </c>
      <c r="P48" s="313">
        <f>'P&amp;L - Concept C1 - RCCL'!I43</f>
        <v>13967.333333333327</v>
      </c>
      <c r="Q48" s="313">
        <f>'P&amp;L - Concept C1 - RCCL'!J43</f>
        <v>13967.333333333327</v>
      </c>
      <c r="R48" s="313">
        <f>'P&amp;L - Concept C1 - RCCL'!K43</f>
        <v>13967.333333333327</v>
      </c>
      <c r="S48" s="313">
        <f>'P&amp;L - Concept C1 - RCCL'!L43</f>
        <v>13967.333333333327</v>
      </c>
      <c r="T48" s="313">
        <f>'P&amp;L - Concept C1 - RCCL'!M43</f>
        <v>13967.333333333327</v>
      </c>
      <c r="U48" s="313">
        <f>'P&amp;L - Concept C1 - RCCL'!N43</f>
        <v>13967.333333333327</v>
      </c>
      <c r="V48" s="313">
        <f>'P&amp;L - Concept C1 - RCCL'!O43</f>
        <v>13967.333333333327</v>
      </c>
      <c r="W48" s="313">
        <f>'P&amp;L - Concept C1 - RCCL'!P43</f>
        <v>13967.333333333327</v>
      </c>
      <c r="X48" s="313">
        <f>'P&amp;L - Concept C1 - RCCL'!Q43</f>
        <v>13967.333333333327</v>
      </c>
      <c r="Y48" s="313">
        <f>'P&amp;L - Concept C1 - RCCL'!R43</f>
        <v>13967.333333333327</v>
      </c>
      <c r="Z48" s="313">
        <f>'P&amp;L - Concept C1 - RCCL'!S43</f>
        <v>13967.333333333327</v>
      </c>
      <c r="AA48" s="313">
        <f>'P&amp;L - Concept C1 - RCCL'!T43</f>
        <v>13967.333333333327</v>
      </c>
      <c r="AB48" s="313">
        <f>'P&amp;L - Concept C1 - RCCL'!U43</f>
        <v>13967.333333333327</v>
      </c>
      <c r="AC48" s="313">
        <f>'P&amp;L - Concept C1 - RCCL'!V43</f>
        <v>13967.333333333327</v>
      </c>
      <c r="AD48" s="313">
        <f>'P&amp;L - Concept C1 - RCCL'!W43</f>
        <v>13967.333333333327</v>
      </c>
      <c r="AE48" s="313">
        <f>'P&amp;L - Concept C1 - RCCL'!X43</f>
        <v>13967.333333333327</v>
      </c>
    </row>
    <row r="49" spans="1:32 16384:16384" s="96" customFormat="1">
      <c r="A49" s="54" t="s">
        <v>274</v>
      </c>
      <c r="B49" s="435"/>
      <c r="C49" s="583"/>
      <c r="K49" s="486">
        <f>'P&amp;L - Concept C1 - RCCL'!D44</f>
        <v>0</v>
      </c>
      <c r="L49" s="313">
        <f>'P&amp;L - Concept C1 - RCCL'!E44</f>
        <v>27257.769097222219</v>
      </c>
      <c r="M49" s="313">
        <f>'P&amp;L - Concept C1 - RCCL'!F44</f>
        <v>27257.769097222219</v>
      </c>
      <c r="N49" s="313">
        <f>'P&amp;L - Concept C1 - RCCL'!G44</f>
        <v>27257.769097222219</v>
      </c>
      <c r="O49" s="313">
        <f>'P&amp;L - Concept C1 - RCCL'!H44</f>
        <v>27257.769097222219</v>
      </c>
      <c r="P49" s="313">
        <f>'P&amp;L - Concept C1 - RCCL'!I44</f>
        <v>27257.769097222219</v>
      </c>
      <c r="Q49" s="313">
        <f>'P&amp;L - Concept C1 - RCCL'!J44</f>
        <v>27257.769097222219</v>
      </c>
      <c r="R49" s="313">
        <f>'P&amp;L - Concept C1 - RCCL'!K44</f>
        <v>27257.769097222219</v>
      </c>
      <c r="S49" s="313">
        <f>'P&amp;L - Concept C1 - RCCL'!L44</f>
        <v>27257.769097222219</v>
      </c>
      <c r="T49" s="313">
        <f>'P&amp;L - Concept C1 - RCCL'!M44</f>
        <v>27257.769097222219</v>
      </c>
      <c r="U49" s="313">
        <f>'P&amp;L - Concept C1 - RCCL'!N44</f>
        <v>27257.769097222219</v>
      </c>
      <c r="V49" s="313">
        <f>'P&amp;L - Concept C1 - RCCL'!O44</f>
        <v>27257.769097222219</v>
      </c>
      <c r="W49" s="313">
        <f>'P&amp;L - Concept C1 - RCCL'!P44</f>
        <v>27257.769097222219</v>
      </c>
      <c r="X49" s="313">
        <f>'P&amp;L - Concept C1 - RCCL'!Q44</f>
        <v>27257.769097222219</v>
      </c>
      <c r="Y49" s="313">
        <f>'P&amp;L - Concept C1 - RCCL'!R44</f>
        <v>27257.769097222219</v>
      </c>
      <c r="Z49" s="313">
        <f>'P&amp;L - Concept C1 - RCCL'!S44</f>
        <v>27257.769097222219</v>
      </c>
      <c r="AA49" s="313">
        <f>'P&amp;L - Concept C1 - RCCL'!T44</f>
        <v>27257.769097222219</v>
      </c>
      <c r="AB49" s="313">
        <f>'P&amp;L - Concept C1 - RCCL'!U44</f>
        <v>27257.769097222219</v>
      </c>
      <c r="AC49" s="313">
        <f>'P&amp;L - Concept C1 - RCCL'!V44</f>
        <v>27257.769097222219</v>
      </c>
      <c r="AD49" s="313">
        <f>'P&amp;L - Concept C1 - RCCL'!W44</f>
        <v>27257.769097222219</v>
      </c>
      <c r="AE49" s="313">
        <f>'P&amp;L - Concept C1 - RCCL'!X44</f>
        <v>27257.769097222219</v>
      </c>
    </row>
    <row r="50" spans="1:32 16384:16384" s="18" customFormat="1">
      <c r="A50" s="54"/>
      <c r="B50" s="277"/>
      <c r="C50" s="74"/>
      <c r="K50" s="499"/>
      <c r="L50" s="313"/>
      <c r="M50" s="313"/>
      <c r="N50" s="313"/>
      <c r="O50" s="313"/>
      <c r="P50" s="313"/>
      <c r="Q50" s="313"/>
      <c r="R50" s="313"/>
      <c r="S50" s="313"/>
      <c r="T50" s="313"/>
      <c r="U50" s="313"/>
      <c r="V50" s="313"/>
      <c r="W50" s="313"/>
      <c r="X50" s="313"/>
      <c r="Y50" s="313"/>
      <c r="Z50" s="313"/>
      <c r="AA50" s="313"/>
      <c r="AB50" s="313"/>
      <c r="AC50" s="313"/>
      <c r="AD50" s="313"/>
      <c r="AE50" s="313"/>
    </row>
    <row r="51" spans="1:32 16384:16384" s="96" customFormat="1">
      <c r="A51" s="54" t="s">
        <v>224</v>
      </c>
      <c r="B51" s="435"/>
      <c r="C51" s="583"/>
      <c r="K51" s="486">
        <f>'P&amp;L - Concept C1 - RCCL'!D46</f>
        <v>0</v>
      </c>
      <c r="L51" s="496">
        <f>'P&amp;L - Concept C1 - RCCL'!E46</f>
        <v>3</v>
      </c>
      <c r="M51" s="496">
        <f>'P&amp;L - Concept C1 - RCCL'!F46</f>
        <v>3</v>
      </c>
      <c r="N51" s="496">
        <f>'P&amp;L - Concept C1 - RCCL'!G46</f>
        <v>3</v>
      </c>
      <c r="O51" s="496">
        <f>'P&amp;L - Concept C1 - RCCL'!H46</f>
        <v>3</v>
      </c>
      <c r="P51" s="496">
        <f>'P&amp;L - Concept C1 - RCCL'!I46</f>
        <v>3</v>
      </c>
      <c r="Q51" s="496">
        <f>'P&amp;L - Concept C1 - RCCL'!J46</f>
        <v>3</v>
      </c>
      <c r="R51" s="496">
        <f>'P&amp;L - Concept C1 - RCCL'!K46</f>
        <v>3</v>
      </c>
      <c r="S51" s="496">
        <f>'P&amp;L - Concept C1 - RCCL'!L46</f>
        <v>3</v>
      </c>
      <c r="T51" s="496">
        <f>'P&amp;L - Concept C1 - RCCL'!M46</f>
        <v>3</v>
      </c>
      <c r="U51" s="496">
        <f>'P&amp;L - Concept C1 - RCCL'!N46</f>
        <v>3</v>
      </c>
      <c r="V51" s="496">
        <f>'P&amp;L - Concept C1 - RCCL'!O46</f>
        <v>3</v>
      </c>
      <c r="W51" s="496">
        <f>'P&amp;L - Concept C1 - RCCL'!P46</f>
        <v>3</v>
      </c>
      <c r="X51" s="496">
        <f>'P&amp;L - Concept C1 - RCCL'!Q46</f>
        <v>3</v>
      </c>
      <c r="Y51" s="496">
        <f>'P&amp;L - Concept C1 - RCCL'!R46</f>
        <v>3</v>
      </c>
      <c r="Z51" s="496">
        <f>'P&amp;L - Concept C1 - RCCL'!S46</f>
        <v>3</v>
      </c>
      <c r="AA51" s="496">
        <f>'P&amp;L - Concept C1 - RCCL'!T46</f>
        <v>3</v>
      </c>
      <c r="AB51" s="496">
        <f>'P&amp;L - Concept C1 - RCCL'!U46</f>
        <v>3</v>
      </c>
      <c r="AC51" s="496">
        <f>'P&amp;L - Concept C1 - RCCL'!V46</f>
        <v>3</v>
      </c>
      <c r="AD51" s="496">
        <f>'P&amp;L - Concept C1 - RCCL'!W46</f>
        <v>3</v>
      </c>
      <c r="AE51" s="496">
        <f>'P&amp;L - Concept C1 - RCCL'!X46</f>
        <v>3</v>
      </c>
    </row>
    <row r="52" spans="1:32 16384:16384" s="96" customFormat="1">
      <c r="A52" s="54" t="s">
        <v>225</v>
      </c>
      <c r="B52" s="435"/>
      <c r="C52" s="583"/>
      <c r="K52" s="486">
        <f>'P&amp;L - Concept C1 - RCCL'!D47</f>
        <v>0</v>
      </c>
      <c r="L52" s="496">
        <f>'P&amp;L - Concept C1 - RCCL'!E47</f>
        <v>1</v>
      </c>
      <c r="M52" s="496">
        <f>'P&amp;L - Concept C1 - RCCL'!F47</f>
        <v>1</v>
      </c>
      <c r="N52" s="496">
        <f>'P&amp;L - Concept C1 - RCCL'!G47</f>
        <v>1</v>
      </c>
      <c r="O52" s="496">
        <f>'P&amp;L - Concept C1 - RCCL'!H47</f>
        <v>1</v>
      </c>
      <c r="P52" s="496">
        <f>'P&amp;L - Concept C1 - RCCL'!I47</f>
        <v>1</v>
      </c>
      <c r="Q52" s="496">
        <f>'P&amp;L - Concept C1 - RCCL'!J47</f>
        <v>1</v>
      </c>
      <c r="R52" s="496">
        <f>'P&amp;L - Concept C1 - RCCL'!K47</f>
        <v>1</v>
      </c>
      <c r="S52" s="496">
        <f>'P&amp;L - Concept C1 - RCCL'!L47</f>
        <v>1</v>
      </c>
      <c r="T52" s="496">
        <f>'P&amp;L - Concept C1 - RCCL'!M47</f>
        <v>1</v>
      </c>
      <c r="U52" s="496">
        <f>'P&amp;L - Concept C1 - RCCL'!N47</f>
        <v>1</v>
      </c>
      <c r="V52" s="496">
        <f>'P&amp;L - Concept C1 - RCCL'!O47</f>
        <v>1</v>
      </c>
      <c r="W52" s="496">
        <f>'P&amp;L - Concept C1 - RCCL'!P47</f>
        <v>1</v>
      </c>
      <c r="X52" s="496">
        <f>'P&amp;L - Concept C1 - RCCL'!Q47</f>
        <v>1</v>
      </c>
      <c r="Y52" s="496">
        <f>'P&amp;L - Concept C1 - RCCL'!R47</f>
        <v>1</v>
      </c>
      <c r="Z52" s="496">
        <f>'P&amp;L - Concept C1 - RCCL'!S47</f>
        <v>1</v>
      </c>
      <c r="AA52" s="496">
        <f>'P&amp;L - Concept C1 - RCCL'!T47</f>
        <v>1</v>
      </c>
      <c r="AB52" s="496">
        <f>'P&amp;L - Concept C1 - RCCL'!U47</f>
        <v>1</v>
      </c>
      <c r="AC52" s="496">
        <f>'P&amp;L - Concept C1 - RCCL'!V47</f>
        <v>1</v>
      </c>
      <c r="AD52" s="496">
        <f>'P&amp;L - Concept C1 - RCCL'!W47</f>
        <v>1</v>
      </c>
      <c r="AE52" s="496">
        <f>'P&amp;L - Concept C1 - RCCL'!X47</f>
        <v>1</v>
      </c>
    </row>
    <row r="53" spans="1:32 16384:16384" s="18" customFormat="1">
      <c r="A53" s="54" t="s">
        <v>209</v>
      </c>
      <c r="B53" s="277"/>
      <c r="C53" s="74"/>
      <c r="K53" s="486">
        <f>'P&amp;L - Concept C1 - RCCL'!D48</f>
        <v>0</v>
      </c>
      <c r="L53" s="496">
        <f>'P&amp;L - Concept C1 - RCCL'!E48</f>
        <v>0.5</v>
      </c>
      <c r="M53" s="496">
        <f>'P&amp;L - Concept C1 - RCCL'!F48</f>
        <v>0.5</v>
      </c>
      <c r="N53" s="496">
        <f>'P&amp;L - Concept C1 - RCCL'!G48</f>
        <v>0.5</v>
      </c>
      <c r="O53" s="496">
        <f>'P&amp;L - Concept C1 - RCCL'!H48</f>
        <v>0.5</v>
      </c>
      <c r="P53" s="496">
        <f>'P&amp;L - Concept C1 - RCCL'!I48</f>
        <v>0.5</v>
      </c>
      <c r="Q53" s="496">
        <f>'P&amp;L - Concept C1 - RCCL'!J48</f>
        <v>0.5</v>
      </c>
      <c r="R53" s="496">
        <f>'P&amp;L - Concept C1 - RCCL'!K48</f>
        <v>0.5</v>
      </c>
      <c r="S53" s="496">
        <f>'P&amp;L - Concept C1 - RCCL'!L48</f>
        <v>0.5</v>
      </c>
      <c r="T53" s="496">
        <f>'P&amp;L - Concept C1 - RCCL'!M48</f>
        <v>0.5</v>
      </c>
      <c r="U53" s="496">
        <f>'P&amp;L - Concept C1 - RCCL'!N48</f>
        <v>0.5</v>
      </c>
      <c r="V53" s="496">
        <f>'P&amp;L - Concept C1 - RCCL'!O48</f>
        <v>0.5</v>
      </c>
      <c r="W53" s="496">
        <f>'P&amp;L - Concept C1 - RCCL'!P48</f>
        <v>0.5</v>
      </c>
      <c r="X53" s="496">
        <f>'P&amp;L - Concept C1 - RCCL'!Q48</f>
        <v>0.5</v>
      </c>
      <c r="Y53" s="496">
        <f>'P&amp;L - Concept C1 - RCCL'!R48</f>
        <v>0.5</v>
      </c>
      <c r="Z53" s="496">
        <f>'P&amp;L - Concept C1 - RCCL'!S48</f>
        <v>0.5</v>
      </c>
      <c r="AA53" s="496">
        <f>'P&amp;L - Concept C1 - RCCL'!T48</f>
        <v>0.5</v>
      </c>
      <c r="AB53" s="496">
        <f>'P&amp;L - Concept C1 - RCCL'!U48</f>
        <v>0.5</v>
      </c>
      <c r="AC53" s="496">
        <f>'P&amp;L - Concept C1 - RCCL'!V48</f>
        <v>0.5</v>
      </c>
      <c r="AD53" s="496">
        <f>'P&amp;L - Concept C1 - RCCL'!W48</f>
        <v>0.5</v>
      </c>
      <c r="AE53" s="496">
        <f>'P&amp;L - Concept C1 - RCCL'!X48</f>
        <v>0.5</v>
      </c>
    </row>
    <row r="54" spans="1:32 16384:16384" s="18" customFormat="1">
      <c r="A54" s="54" t="s">
        <v>289</v>
      </c>
      <c r="B54" s="277"/>
      <c r="C54" s="74"/>
      <c r="K54" s="486">
        <f>'P&amp;L - Concept C1 - RCCL'!D49</f>
        <v>0</v>
      </c>
      <c r="L54" s="496">
        <f>'P&amp;L - Concept C1 - RCCL'!E49</f>
        <v>1.5</v>
      </c>
      <c r="M54" s="496">
        <f>'P&amp;L - Concept C1 - RCCL'!F49</f>
        <v>1.5</v>
      </c>
      <c r="N54" s="496">
        <f>'P&amp;L - Concept C1 - RCCL'!G49</f>
        <v>1.5</v>
      </c>
      <c r="O54" s="496">
        <f>'P&amp;L - Concept C1 - RCCL'!H49</f>
        <v>1.5</v>
      </c>
      <c r="P54" s="496">
        <f>'P&amp;L - Concept C1 - RCCL'!I49</f>
        <v>1.5</v>
      </c>
      <c r="Q54" s="496">
        <f>'P&amp;L - Concept C1 - RCCL'!J49</f>
        <v>1.5</v>
      </c>
      <c r="R54" s="496">
        <f>'P&amp;L - Concept C1 - RCCL'!K49</f>
        <v>1.5</v>
      </c>
      <c r="S54" s="496">
        <f>'P&amp;L - Concept C1 - RCCL'!L49</f>
        <v>1.5</v>
      </c>
      <c r="T54" s="496">
        <f>'P&amp;L - Concept C1 - RCCL'!M49</f>
        <v>1.5</v>
      </c>
      <c r="U54" s="496">
        <f>'P&amp;L - Concept C1 - RCCL'!N49</f>
        <v>1.5</v>
      </c>
      <c r="V54" s="496">
        <f>'P&amp;L - Concept C1 - RCCL'!O49</f>
        <v>1.5</v>
      </c>
      <c r="W54" s="496">
        <f>'P&amp;L - Concept C1 - RCCL'!P49</f>
        <v>1.5</v>
      </c>
      <c r="X54" s="496">
        <f>'P&amp;L - Concept C1 - RCCL'!Q49</f>
        <v>1.5</v>
      </c>
      <c r="Y54" s="496">
        <f>'P&amp;L - Concept C1 - RCCL'!R49</f>
        <v>1.5</v>
      </c>
      <c r="Z54" s="496">
        <f>'P&amp;L - Concept C1 - RCCL'!S49</f>
        <v>1.5</v>
      </c>
      <c r="AA54" s="496">
        <f>'P&amp;L - Concept C1 - RCCL'!T49</f>
        <v>1.5</v>
      </c>
      <c r="AB54" s="496">
        <f>'P&amp;L - Concept C1 - RCCL'!U49</f>
        <v>1.5</v>
      </c>
      <c r="AC54" s="496">
        <f>'P&amp;L - Concept C1 - RCCL'!V49</f>
        <v>1.5</v>
      </c>
      <c r="AD54" s="496">
        <f>'P&amp;L - Concept C1 - RCCL'!W49</f>
        <v>1.5</v>
      </c>
      <c r="AE54" s="496">
        <f>'P&amp;L - Concept C1 - RCCL'!X49</f>
        <v>1.5</v>
      </c>
      <c r="XFD54" s="570">
        <f>SUM(K54:XFC54)</f>
        <v>30</v>
      </c>
    </row>
    <row r="55" spans="1:32 16384:16384" s="18" customFormat="1">
      <c r="A55" s="54"/>
      <c r="B55" s="277"/>
      <c r="C55" s="74"/>
      <c r="K55" s="486"/>
      <c r="L55" s="313"/>
      <c r="M55" s="313"/>
      <c r="N55" s="313"/>
      <c r="O55" s="313"/>
      <c r="P55" s="313"/>
      <c r="Q55" s="313"/>
      <c r="R55" s="313"/>
      <c r="S55" s="313"/>
      <c r="T55" s="313"/>
      <c r="U55" s="313"/>
      <c r="V55" s="313"/>
      <c r="W55" s="313"/>
      <c r="X55" s="313"/>
      <c r="Y55" s="313"/>
      <c r="Z55" s="313"/>
      <c r="AA55" s="313"/>
      <c r="AB55" s="313"/>
      <c r="AC55" s="313"/>
      <c r="AD55" s="313"/>
      <c r="AE55" s="313"/>
      <c r="XFD55" s="570"/>
    </row>
    <row r="56" spans="1:32 16384:16384" s="18" customFormat="1">
      <c r="A56" s="54" t="s">
        <v>312</v>
      </c>
      <c r="B56" s="277"/>
      <c r="C56" s="74"/>
      <c r="K56" s="486">
        <f>'P&amp;L - Concept C1 - RCCL'!D51</f>
        <v>0</v>
      </c>
      <c r="L56" s="313">
        <f>'P&amp;L - Concept C1 - RCCL'!E51</f>
        <v>7190</v>
      </c>
      <c r="M56" s="313">
        <f>'P&amp;L - Concept C1 - RCCL'!F51</f>
        <v>7190</v>
      </c>
      <c r="N56" s="313">
        <f>'P&amp;L - Concept C1 - RCCL'!G51</f>
        <v>7190</v>
      </c>
      <c r="O56" s="313">
        <f>'P&amp;L - Concept C1 - RCCL'!H51</f>
        <v>7190</v>
      </c>
      <c r="P56" s="313">
        <f>'P&amp;L - Concept C1 - RCCL'!I51</f>
        <v>7190</v>
      </c>
      <c r="Q56" s="313">
        <f>'P&amp;L - Concept C1 - RCCL'!J51</f>
        <v>7190</v>
      </c>
      <c r="R56" s="313">
        <f>'P&amp;L - Concept C1 - RCCL'!K51</f>
        <v>7190</v>
      </c>
      <c r="S56" s="313">
        <f>'P&amp;L - Concept C1 - RCCL'!L51</f>
        <v>7190</v>
      </c>
      <c r="T56" s="313">
        <f>'P&amp;L - Concept C1 - RCCL'!M51</f>
        <v>7190</v>
      </c>
      <c r="U56" s="313">
        <f>'P&amp;L - Concept C1 - RCCL'!N51</f>
        <v>7190</v>
      </c>
      <c r="V56" s="313">
        <f>'P&amp;L - Concept C1 - RCCL'!O51</f>
        <v>7190</v>
      </c>
      <c r="W56" s="313">
        <f>'P&amp;L - Concept C1 - RCCL'!P51</f>
        <v>7190</v>
      </c>
      <c r="X56" s="313">
        <f>'P&amp;L - Concept C1 - RCCL'!Q51</f>
        <v>7190</v>
      </c>
      <c r="Y56" s="313">
        <f>'P&amp;L - Concept C1 - RCCL'!R51</f>
        <v>7190</v>
      </c>
      <c r="Z56" s="313">
        <f>'P&amp;L - Concept C1 - RCCL'!S51</f>
        <v>7190</v>
      </c>
      <c r="AA56" s="313">
        <f>'P&amp;L - Concept C1 - RCCL'!T51</f>
        <v>7190</v>
      </c>
      <c r="AB56" s="313">
        <f>'P&amp;L - Concept C1 - RCCL'!U51</f>
        <v>7190</v>
      </c>
      <c r="AC56" s="313">
        <f>'P&amp;L - Concept C1 - RCCL'!V51</f>
        <v>7190</v>
      </c>
      <c r="AD56" s="313">
        <f>'P&amp;L - Concept C1 - RCCL'!W51</f>
        <v>7190</v>
      </c>
      <c r="AE56" s="313">
        <f>'P&amp;L - Concept C1 - RCCL'!X51</f>
        <v>7190</v>
      </c>
      <c r="XFD56" s="570"/>
    </row>
    <row r="57" spans="1:32 16384:16384" s="18" customFormat="1">
      <c r="A57" s="54"/>
      <c r="B57" s="277"/>
      <c r="C57" s="74"/>
      <c r="K57" s="486"/>
      <c r="L57" s="313"/>
      <c r="M57" s="313"/>
      <c r="N57" s="313"/>
      <c r="O57" s="313"/>
      <c r="P57" s="313"/>
      <c r="Q57" s="313"/>
      <c r="R57" s="313"/>
      <c r="S57" s="313"/>
      <c r="T57" s="313"/>
      <c r="U57" s="313"/>
      <c r="V57" s="313"/>
      <c r="W57" s="313"/>
      <c r="X57" s="313"/>
      <c r="Y57" s="313"/>
      <c r="Z57" s="313"/>
      <c r="AA57" s="313"/>
      <c r="AB57" s="313"/>
      <c r="AC57" s="313"/>
      <c r="AD57" s="313"/>
      <c r="AE57" s="313"/>
    </row>
    <row r="58" spans="1:32 16384:16384" s="612" customFormat="1">
      <c r="A58" s="613" t="s">
        <v>292</v>
      </c>
      <c r="B58" s="614"/>
      <c r="C58" s="615"/>
      <c r="D58" s="717"/>
      <c r="E58" s="717"/>
      <c r="F58" s="717"/>
      <c r="G58" s="717"/>
      <c r="H58" s="717"/>
      <c r="I58" s="717"/>
      <c r="J58" s="717"/>
      <c r="K58" s="616">
        <f>'P&amp;L - Concept C1 - RCCL'!D53</f>
        <v>0</v>
      </c>
      <c r="L58" s="616">
        <f>'P&amp;L - Concept C1 - RCCL'!E53</f>
        <v>0</v>
      </c>
      <c r="M58" s="616">
        <f>'P&amp;L - Concept C1 - RCCL'!F53</f>
        <v>0</v>
      </c>
      <c r="N58" s="616">
        <f>'P&amp;L - Concept C1 - RCCL'!G53</f>
        <v>100000</v>
      </c>
      <c r="O58" s="616">
        <f>'P&amp;L - Concept C1 - RCCL'!H53</f>
        <v>100000</v>
      </c>
      <c r="P58" s="616">
        <f>'P&amp;L - Concept C1 - RCCL'!I53</f>
        <v>100000</v>
      </c>
      <c r="Q58" s="616">
        <f>'P&amp;L - Concept C1 - RCCL'!J53</f>
        <v>100000</v>
      </c>
      <c r="R58" s="616">
        <f>'P&amp;L - Concept C1 - RCCL'!K53</f>
        <v>100000</v>
      </c>
      <c r="S58" s="616">
        <f>'P&amp;L - Concept C1 - RCCL'!L53</f>
        <v>100000</v>
      </c>
      <c r="T58" s="616">
        <f>'P&amp;L - Concept C1 - RCCL'!M53</f>
        <v>100000</v>
      </c>
      <c r="U58" s="616">
        <f>'P&amp;L - Concept C1 - RCCL'!N53</f>
        <v>100000</v>
      </c>
      <c r="V58" s="616">
        <f>'P&amp;L - Concept C1 - RCCL'!O53</f>
        <v>100000</v>
      </c>
      <c r="W58" s="616">
        <f>'P&amp;L - Concept C1 - RCCL'!P53</f>
        <v>100000</v>
      </c>
      <c r="X58" s="616">
        <f>'P&amp;L - Concept C1 - RCCL'!Q53</f>
        <v>100000</v>
      </c>
      <c r="Y58" s="616">
        <f>'P&amp;L - Concept C1 - RCCL'!R53</f>
        <v>100000</v>
      </c>
      <c r="Z58" s="616">
        <f>'P&amp;L - Concept C1 - RCCL'!S53</f>
        <v>100000</v>
      </c>
      <c r="AA58" s="616">
        <f>'P&amp;L - Concept C1 - RCCL'!T53</f>
        <v>100000</v>
      </c>
      <c r="AB58" s="616">
        <f>'P&amp;L - Concept C1 - RCCL'!U53</f>
        <v>100000</v>
      </c>
      <c r="AC58" s="616">
        <f>'P&amp;L - Concept C1 - RCCL'!V53</f>
        <v>100000</v>
      </c>
      <c r="AD58" s="616">
        <f>'P&amp;L - Concept C1 - RCCL'!W53</f>
        <v>100000</v>
      </c>
      <c r="AE58" s="787">
        <f>'P&amp;L - Concept C1 - RCCL'!X53</f>
        <v>100000</v>
      </c>
    </row>
    <row r="59" spans="1:32 16384:16384" s="18" customFormat="1">
      <c r="A59" s="54"/>
      <c r="B59" s="277"/>
      <c r="C59" s="74"/>
      <c r="K59" s="486"/>
      <c r="L59" s="313"/>
      <c r="M59" s="313"/>
      <c r="N59" s="313"/>
      <c r="O59" s="313"/>
      <c r="P59" s="313"/>
      <c r="Q59" s="313"/>
      <c r="R59" s="313"/>
      <c r="S59" s="313"/>
      <c r="T59" s="313"/>
      <c r="U59" s="313"/>
      <c r="V59" s="313"/>
      <c r="W59" s="313"/>
      <c r="X59" s="313"/>
      <c r="Y59" s="313"/>
      <c r="Z59" s="313"/>
      <c r="AA59" s="313"/>
      <c r="AB59" s="313"/>
      <c r="AC59" s="313"/>
      <c r="AD59" s="313"/>
      <c r="AE59" s="313"/>
    </row>
    <row r="60" spans="1:32 16384:16384" s="582" customFormat="1">
      <c r="A60" s="293" t="str">
        <f>'BH Tariffs'!A33</f>
        <v>Recreational/Commercial Marina</v>
      </c>
      <c r="B60" s="584"/>
      <c r="C60" s="585"/>
      <c r="K60" s="486"/>
      <c r="L60" s="313"/>
      <c r="M60" s="313"/>
      <c r="N60" s="313"/>
      <c r="O60" s="313"/>
      <c r="P60" s="313"/>
      <c r="Q60" s="313"/>
      <c r="R60" s="313"/>
      <c r="S60" s="313"/>
      <c r="T60" s="313"/>
      <c r="U60" s="313"/>
      <c r="V60" s="313"/>
      <c r="W60" s="313"/>
      <c r="X60" s="313"/>
      <c r="Y60" s="313"/>
      <c r="Z60" s="313"/>
      <c r="AA60" s="313"/>
      <c r="AB60" s="313"/>
      <c r="AC60" s="313"/>
      <c r="AD60" s="313"/>
      <c r="AE60" s="313"/>
    </row>
    <row r="61" spans="1:32 16384:16384" s="96" customFormat="1">
      <c r="A61" s="54" t="s">
        <v>291</v>
      </c>
      <c r="B61" s="435"/>
      <c r="C61" s="583"/>
      <c r="K61" s="486">
        <f>'P&amp;L - Concept C1 - RCCL'!D56</f>
        <v>0</v>
      </c>
      <c r="L61" s="313">
        <f>'P&amp;L - Concept C1 - RCCL'!E56</f>
        <v>0</v>
      </c>
      <c r="M61" s="313">
        <f>'P&amp;L - Concept C1 - RCCL'!F56</f>
        <v>12</v>
      </c>
      <c r="N61" s="313">
        <f>'P&amp;L - Concept C1 - RCCL'!G56</f>
        <v>12</v>
      </c>
      <c r="O61" s="313">
        <f>'P&amp;L - Concept C1 - RCCL'!H56</f>
        <v>12</v>
      </c>
      <c r="P61" s="313">
        <f>'P&amp;L - Concept C1 - RCCL'!I56</f>
        <v>12</v>
      </c>
      <c r="Q61" s="313">
        <f>'P&amp;L - Concept C1 - RCCL'!J56</f>
        <v>12</v>
      </c>
      <c r="R61" s="313">
        <f>'P&amp;L - Concept C1 - RCCL'!K56</f>
        <v>12</v>
      </c>
      <c r="S61" s="313">
        <f>'P&amp;L - Concept C1 - RCCL'!L56</f>
        <v>12</v>
      </c>
      <c r="T61" s="313">
        <f>'P&amp;L - Concept C1 - RCCL'!M56</f>
        <v>12</v>
      </c>
      <c r="U61" s="313">
        <f>'P&amp;L - Concept C1 - RCCL'!N56</f>
        <v>12</v>
      </c>
      <c r="V61" s="313">
        <f>'P&amp;L - Concept C1 - RCCL'!O56</f>
        <v>12</v>
      </c>
      <c r="W61" s="313">
        <f>'P&amp;L - Concept C1 - RCCL'!P56</f>
        <v>12</v>
      </c>
      <c r="X61" s="313">
        <f>'P&amp;L - Concept C1 - RCCL'!Q56</f>
        <v>12</v>
      </c>
      <c r="Y61" s="313">
        <f>'P&amp;L - Concept C1 - RCCL'!R56</f>
        <v>12</v>
      </c>
      <c r="Z61" s="313">
        <f>'P&amp;L - Concept C1 - RCCL'!S56</f>
        <v>12</v>
      </c>
      <c r="AA61" s="313">
        <f>'P&amp;L - Concept C1 - RCCL'!T56</f>
        <v>12</v>
      </c>
      <c r="AB61" s="313">
        <f>'P&amp;L - Concept C1 - RCCL'!U56</f>
        <v>12</v>
      </c>
      <c r="AC61" s="313">
        <f>'P&amp;L - Concept C1 - RCCL'!V56</f>
        <v>12</v>
      </c>
      <c r="AD61" s="313">
        <f>'P&amp;L - Concept C1 - RCCL'!W56</f>
        <v>12</v>
      </c>
      <c r="AE61" s="313">
        <f>'P&amp;L - Concept C1 - RCCL'!X56</f>
        <v>12</v>
      </c>
    </row>
    <row r="62" spans="1:32 16384:16384" s="96" customFormat="1">
      <c r="A62" s="54" t="s">
        <v>293</v>
      </c>
      <c r="B62" s="435"/>
      <c r="C62" s="583"/>
      <c r="K62" s="486">
        <f>'P&amp;L - Concept C1 - RCCL'!D57</f>
        <v>0</v>
      </c>
      <c r="L62" s="313">
        <f>'P&amp;L - Concept C1 - RCCL'!E57</f>
        <v>0</v>
      </c>
      <c r="M62" s="313">
        <f>'P&amp;L - Concept C1 - RCCL'!F57</f>
        <v>9557.1731249999993</v>
      </c>
      <c r="N62" s="313">
        <f>'P&amp;L - Concept C1 - RCCL'!G57</f>
        <v>9557.1731249999993</v>
      </c>
      <c r="O62" s="313">
        <f>'P&amp;L - Concept C1 - RCCL'!H57</f>
        <v>9557.1731249999993</v>
      </c>
      <c r="P62" s="313">
        <f>'P&amp;L - Concept C1 - RCCL'!I57</f>
        <v>9557.1731249999993</v>
      </c>
      <c r="Q62" s="313">
        <f>'P&amp;L - Concept C1 - RCCL'!J57</f>
        <v>9557.1731249999993</v>
      </c>
      <c r="R62" s="313">
        <f>'P&amp;L - Concept C1 - RCCL'!K57</f>
        <v>9557.1731249999993</v>
      </c>
      <c r="S62" s="313">
        <f>'P&amp;L - Concept C1 - RCCL'!L57</f>
        <v>9557.1731249999993</v>
      </c>
      <c r="T62" s="313">
        <f>'P&amp;L - Concept C1 - RCCL'!M57</f>
        <v>9557.1731249999993</v>
      </c>
      <c r="U62" s="313">
        <f>'P&amp;L - Concept C1 - RCCL'!N57</f>
        <v>9557.1731249999993</v>
      </c>
      <c r="V62" s="313">
        <f>'P&amp;L - Concept C1 - RCCL'!O57</f>
        <v>9557.1731249999993</v>
      </c>
      <c r="W62" s="313">
        <f>'P&amp;L - Concept C1 - RCCL'!P57</f>
        <v>9557.1731249999993</v>
      </c>
      <c r="X62" s="313">
        <f>'P&amp;L - Concept C1 - RCCL'!Q57</f>
        <v>9557.1731249999993</v>
      </c>
      <c r="Y62" s="313">
        <f>'P&amp;L - Concept C1 - RCCL'!R57</f>
        <v>9557.1731249999993</v>
      </c>
      <c r="Z62" s="313">
        <f>'P&amp;L - Concept C1 - RCCL'!S57</f>
        <v>9557.1731249999993</v>
      </c>
      <c r="AA62" s="313">
        <f>'P&amp;L - Concept C1 - RCCL'!T57</f>
        <v>9557.1731249999993</v>
      </c>
      <c r="AB62" s="313">
        <f>'P&amp;L - Concept C1 - RCCL'!U57</f>
        <v>9557.1731249999993</v>
      </c>
      <c r="AC62" s="313">
        <f>'P&amp;L - Concept C1 - RCCL'!V57</f>
        <v>9557.1731249999993</v>
      </c>
      <c r="AD62" s="313">
        <f>'P&amp;L - Concept C1 - RCCL'!W57</f>
        <v>9557.1731249999993</v>
      </c>
      <c r="AE62" s="313">
        <f>'P&amp;L - Concept C1 - RCCL'!X57</f>
        <v>9557.1731249999993</v>
      </c>
    </row>
    <row r="63" spans="1:32 16384:16384" s="96" customFormat="1">
      <c r="A63" s="54" t="s">
        <v>294</v>
      </c>
      <c r="B63" s="435"/>
      <c r="C63" s="583"/>
      <c r="K63" s="486">
        <f>'P&amp;L - Concept C1 - RCCL'!D58</f>
        <v>0</v>
      </c>
      <c r="L63" s="313">
        <f>'P&amp;L - Concept C1 - RCCL'!E58</f>
        <v>0</v>
      </c>
      <c r="M63" s="313">
        <f>'P&amp;L - Concept C1 - RCCL'!F58</f>
        <v>359.1</v>
      </c>
      <c r="N63" s="313">
        <f>'P&amp;L - Concept C1 - RCCL'!G58</f>
        <v>359.1</v>
      </c>
      <c r="O63" s="313">
        <f>'P&amp;L - Concept C1 - RCCL'!H58</f>
        <v>359.1</v>
      </c>
      <c r="P63" s="313">
        <f>'P&amp;L - Concept C1 - RCCL'!I58</f>
        <v>359.1</v>
      </c>
      <c r="Q63" s="313">
        <f>'P&amp;L - Concept C1 - RCCL'!J58</f>
        <v>359.1</v>
      </c>
      <c r="R63" s="313">
        <f>'P&amp;L - Concept C1 - RCCL'!K58</f>
        <v>359.1</v>
      </c>
      <c r="S63" s="313">
        <f>'P&amp;L - Concept C1 - RCCL'!L58</f>
        <v>359.1</v>
      </c>
      <c r="T63" s="313">
        <f>'P&amp;L - Concept C1 - RCCL'!M58</f>
        <v>359.1</v>
      </c>
      <c r="U63" s="313">
        <f>'P&amp;L - Concept C1 - RCCL'!N58</f>
        <v>359.1</v>
      </c>
      <c r="V63" s="313">
        <f>'P&amp;L - Concept C1 - RCCL'!O58</f>
        <v>359.1</v>
      </c>
      <c r="W63" s="313">
        <f>'P&amp;L - Concept C1 - RCCL'!P58</f>
        <v>359.1</v>
      </c>
      <c r="X63" s="313">
        <f>'P&amp;L - Concept C1 - RCCL'!Q58</f>
        <v>359.1</v>
      </c>
      <c r="Y63" s="313">
        <f>'P&amp;L - Concept C1 - RCCL'!R58</f>
        <v>359.1</v>
      </c>
      <c r="Z63" s="313">
        <f>'P&amp;L - Concept C1 - RCCL'!S58</f>
        <v>359.1</v>
      </c>
      <c r="AA63" s="313">
        <f>'P&amp;L - Concept C1 - RCCL'!T58</f>
        <v>359.1</v>
      </c>
      <c r="AB63" s="313">
        <f>'P&amp;L - Concept C1 - RCCL'!U58</f>
        <v>359.1</v>
      </c>
      <c r="AC63" s="313">
        <f>'P&amp;L - Concept C1 - RCCL'!V58</f>
        <v>359.1</v>
      </c>
      <c r="AD63" s="313">
        <f>'P&amp;L - Concept C1 - RCCL'!W58</f>
        <v>359.1</v>
      </c>
      <c r="AE63" s="313">
        <f>'P&amp;L - Concept C1 - RCCL'!X58</f>
        <v>359.1</v>
      </c>
    </row>
    <row r="64" spans="1:32 16384:16384" s="167" customFormat="1">
      <c r="A64" s="497" t="s">
        <v>170</v>
      </c>
      <c r="B64" s="450"/>
      <c r="C64" s="498"/>
      <c r="K64" s="499">
        <f>'P&amp;L - Concept C1 - RCCL'!D59</f>
        <v>0</v>
      </c>
      <c r="L64" s="500">
        <f>'P&amp;L - Concept C1 - RCCL'!E59</f>
        <v>0</v>
      </c>
      <c r="M64" s="500">
        <f>'P&amp;L - Concept C1 - RCCL'!F59</f>
        <v>0</v>
      </c>
      <c r="N64" s="500">
        <f>'P&amp;L - Concept C1 - RCCL'!G59</f>
        <v>0</v>
      </c>
      <c r="O64" s="500">
        <f>'P&amp;L - Concept C1 - RCCL'!H59</f>
        <v>0</v>
      </c>
      <c r="P64" s="500">
        <f>'P&amp;L - Concept C1 - RCCL'!I59</f>
        <v>0</v>
      </c>
      <c r="Q64" s="500">
        <f>'P&amp;L - Concept C1 - RCCL'!J59</f>
        <v>0</v>
      </c>
      <c r="R64" s="500">
        <f>'P&amp;L - Concept C1 - RCCL'!K59</f>
        <v>0</v>
      </c>
      <c r="S64" s="500">
        <f>'P&amp;L - Concept C1 - RCCL'!L59</f>
        <v>0</v>
      </c>
      <c r="T64" s="500">
        <f>'P&amp;L - Concept C1 - RCCL'!M59</f>
        <v>0</v>
      </c>
      <c r="U64" s="500">
        <f>'P&amp;L - Concept C1 - RCCL'!N59</f>
        <v>0</v>
      </c>
      <c r="V64" s="500">
        <f>'P&amp;L - Concept C1 - RCCL'!O59</f>
        <v>0</v>
      </c>
      <c r="W64" s="500">
        <f>'P&amp;L - Concept C1 - RCCL'!P59</f>
        <v>0</v>
      </c>
      <c r="X64" s="500">
        <f>'P&amp;L - Concept C1 - RCCL'!Q59</f>
        <v>0</v>
      </c>
      <c r="Y64" s="500">
        <f>'P&amp;L - Concept C1 - RCCL'!R59</f>
        <v>0</v>
      </c>
      <c r="Z64" s="500">
        <f>'P&amp;L - Concept C1 - RCCL'!S59</f>
        <v>0</v>
      </c>
      <c r="AA64" s="500">
        <f>'P&amp;L - Concept C1 - RCCL'!T59</f>
        <v>0</v>
      </c>
      <c r="AB64" s="500">
        <f>'P&amp;L - Concept C1 - RCCL'!U59</f>
        <v>0</v>
      </c>
      <c r="AC64" s="500">
        <f>'P&amp;L - Concept C1 - RCCL'!V59</f>
        <v>0</v>
      </c>
      <c r="AD64" s="500">
        <f>'P&amp;L - Concept C1 - RCCL'!W59</f>
        <v>0</v>
      </c>
      <c r="AE64" s="500">
        <f>'P&amp;L - Concept C1 - RCCL'!X59</f>
        <v>0</v>
      </c>
      <c r="AF64" s="167" t="str">
        <f>'P&amp;L - Concept C1 - RCCL'!Y59</f>
        <v>cost recovery assumed</v>
      </c>
    </row>
    <row r="65" spans="1:32" s="167" customFormat="1">
      <c r="A65" s="497" t="s">
        <v>16</v>
      </c>
      <c r="B65" s="450"/>
      <c r="C65" s="498"/>
      <c r="K65" s="499">
        <f>'P&amp;L - Concept C1 - RCCL'!D60</f>
        <v>0</v>
      </c>
      <c r="L65" s="500">
        <f>'P&amp;L - Concept C1 - RCCL'!E60</f>
        <v>0</v>
      </c>
      <c r="M65" s="500">
        <f>'P&amp;L - Concept C1 - RCCL'!F60</f>
        <v>0</v>
      </c>
      <c r="N65" s="500">
        <f>'P&amp;L - Concept C1 - RCCL'!G60</f>
        <v>0</v>
      </c>
      <c r="O65" s="500">
        <f>'P&amp;L - Concept C1 - RCCL'!H60</f>
        <v>0</v>
      </c>
      <c r="P65" s="500">
        <f>'P&amp;L - Concept C1 - RCCL'!I60</f>
        <v>0</v>
      </c>
      <c r="Q65" s="500">
        <f>'P&amp;L - Concept C1 - RCCL'!J60</f>
        <v>0</v>
      </c>
      <c r="R65" s="500">
        <f>'P&amp;L - Concept C1 - RCCL'!K60</f>
        <v>0</v>
      </c>
      <c r="S65" s="500">
        <f>'P&amp;L - Concept C1 - RCCL'!L60</f>
        <v>0</v>
      </c>
      <c r="T65" s="500">
        <f>'P&amp;L - Concept C1 - RCCL'!M60</f>
        <v>0</v>
      </c>
      <c r="U65" s="500">
        <f>'P&amp;L - Concept C1 - RCCL'!N60</f>
        <v>0</v>
      </c>
      <c r="V65" s="500">
        <f>'P&amp;L - Concept C1 - RCCL'!O60</f>
        <v>0</v>
      </c>
      <c r="W65" s="500">
        <f>'P&amp;L - Concept C1 - RCCL'!P60</f>
        <v>0</v>
      </c>
      <c r="X65" s="500">
        <f>'P&amp;L - Concept C1 - RCCL'!Q60</f>
        <v>0</v>
      </c>
      <c r="Y65" s="500">
        <f>'P&amp;L - Concept C1 - RCCL'!R60</f>
        <v>0</v>
      </c>
      <c r="Z65" s="500">
        <f>'P&amp;L - Concept C1 - RCCL'!S60</f>
        <v>0</v>
      </c>
      <c r="AA65" s="500">
        <f>'P&amp;L - Concept C1 - RCCL'!T60</f>
        <v>0</v>
      </c>
      <c r="AB65" s="500">
        <f>'P&amp;L - Concept C1 - RCCL'!U60</f>
        <v>0</v>
      </c>
      <c r="AC65" s="500">
        <f>'P&amp;L - Concept C1 - RCCL'!V60</f>
        <v>0</v>
      </c>
      <c r="AD65" s="500">
        <f>'P&amp;L - Concept C1 - RCCL'!W60</f>
        <v>0</v>
      </c>
      <c r="AE65" s="500">
        <f>'P&amp;L - Concept C1 - RCCL'!X60</f>
        <v>0</v>
      </c>
      <c r="AF65" s="167" t="str">
        <f>'P&amp;L - Concept C1 - RCCL'!Y60</f>
        <v>cost recovery assumed</v>
      </c>
    </row>
    <row r="66" spans="1:32" s="18" customFormat="1">
      <c r="A66" s="54"/>
      <c r="B66" s="277"/>
      <c r="C66" s="74"/>
      <c r="K66" s="492"/>
      <c r="L66" s="313"/>
      <c r="M66" s="313"/>
      <c r="N66" s="313"/>
      <c r="O66" s="313"/>
      <c r="P66" s="313"/>
      <c r="Q66" s="313"/>
      <c r="R66" s="313"/>
      <c r="S66" s="313"/>
      <c r="T66" s="313"/>
      <c r="U66" s="313"/>
      <c r="V66" s="313"/>
      <c r="W66" s="313"/>
      <c r="X66" s="313"/>
      <c r="Y66" s="313"/>
      <c r="Z66" s="313"/>
      <c r="AA66" s="313"/>
      <c r="AB66" s="313"/>
      <c r="AC66" s="313"/>
      <c r="AD66" s="313"/>
      <c r="AE66" s="313"/>
    </row>
    <row r="67" spans="1:32" s="18" customFormat="1">
      <c r="A67" s="293" t="s">
        <v>2</v>
      </c>
      <c r="B67" s="277"/>
      <c r="C67" s="74"/>
      <c r="K67" s="492"/>
      <c r="L67" s="313"/>
      <c r="M67" s="313"/>
      <c r="N67" s="313"/>
      <c r="O67" s="313"/>
      <c r="P67" s="313"/>
      <c r="Q67" s="313"/>
      <c r="R67" s="313"/>
      <c r="S67" s="313"/>
      <c r="T67" s="313"/>
      <c r="U67" s="313"/>
      <c r="V67" s="313"/>
      <c r="W67" s="313"/>
      <c r="X67" s="313"/>
      <c r="Y67" s="313"/>
      <c r="Z67" s="313"/>
      <c r="AA67" s="313"/>
      <c r="AB67" s="313"/>
      <c r="AC67" s="313"/>
      <c r="AD67" s="313"/>
      <c r="AE67" s="313"/>
    </row>
    <row r="68" spans="1:32" s="96" customFormat="1">
      <c r="A68" s="54" t="s">
        <v>290</v>
      </c>
      <c r="B68" s="435">
        <v>500</v>
      </c>
      <c r="C68" s="487"/>
      <c r="K68" s="486">
        <f>'P&amp;L - Concept C1 - RCCL'!D63</f>
        <v>0</v>
      </c>
      <c r="L68" s="313">
        <f>'P&amp;L - Concept C1 - RCCL'!E63</f>
        <v>0</v>
      </c>
      <c r="M68" s="313">
        <f>'P&amp;L - Concept C1 - RCCL'!F63</f>
        <v>0</v>
      </c>
      <c r="N68" s="313">
        <f>'P&amp;L - Concept C1 - RCCL'!G63</f>
        <v>500</v>
      </c>
      <c r="O68" s="313">
        <f>'P&amp;L - Concept C1 - RCCL'!H63</f>
        <v>500</v>
      </c>
      <c r="P68" s="313">
        <f>'P&amp;L - Concept C1 - RCCL'!I63</f>
        <v>500</v>
      </c>
      <c r="Q68" s="313">
        <f>'P&amp;L - Concept C1 - RCCL'!J63</f>
        <v>500</v>
      </c>
      <c r="R68" s="313">
        <f>'P&amp;L - Concept C1 - RCCL'!K63</f>
        <v>500</v>
      </c>
      <c r="S68" s="313">
        <f>'P&amp;L - Concept C1 - RCCL'!L63</f>
        <v>500</v>
      </c>
      <c r="T68" s="313">
        <f>'P&amp;L - Concept C1 - RCCL'!M63</f>
        <v>500</v>
      </c>
      <c r="U68" s="313">
        <f>'P&amp;L - Concept C1 - RCCL'!N63</f>
        <v>500</v>
      </c>
      <c r="V68" s="313">
        <f>'P&amp;L - Concept C1 - RCCL'!O63</f>
        <v>500</v>
      </c>
      <c r="W68" s="313">
        <f>'P&amp;L - Concept C1 - RCCL'!P63</f>
        <v>500</v>
      </c>
      <c r="X68" s="313">
        <f>'P&amp;L - Concept C1 - RCCL'!Q63</f>
        <v>500</v>
      </c>
      <c r="Y68" s="313">
        <f>'P&amp;L - Concept C1 - RCCL'!R63</f>
        <v>500</v>
      </c>
      <c r="Z68" s="313">
        <f>'P&amp;L - Concept C1 - RCCL'!S63</f>
        <v>500</v>
      </c>
      <c r="AA68" s="313">
        <f>'P&amp;L - Concept C1 - RCCL'!T63</f>
        <v>500</v>
      </c>
      <c r="AB68" s="313">
        <f>'P&amp;L - Concept C1 - RCCL'!U63</f>
        <v>500</v>
      </c>
      <c r="AC68" s="313">
        <f>'P&amp;L - Concept C1 - RCCL'!V63</f>
        <v>500</v>
      </c>
      <c r="AD68" s="313">
        <f>'P&amp;L - Concept C1 - RCCL'!W63</f>
        <v>500</v>
      </c>
      <c r="AE68" s="313">
        <f>'P&amp;L - Concept C1 - RCCL'!X63</f>
        <v>500</v>
      </c>
    </row>
    <row r="69" spans="1:32" s="96" customFormat="1">
      <c r="A69" s="54" t="s">
        <v>210</v>
      </c>
      <c r="B69" s="487"/>
      <c r="C69" s="487"/>
      <c r="K69" s="486">
        <f>'P&amp;L - Concept C1 - RCCL'!D65</f>
        <v>0</v>
      </c>
      <c r="L69" s="313">
        <f>'P&amp;L - Concept C1 - RCCL'!E65</f>
        <v>0</v>
      </c>
      <c r="M69" s="313">
        <f>'P&amp;L - Concept C1 - RCCL'!F65</f>
        <v>1</v>
      </c>
      <c r="N69" s="313">
        <f>'P&amp;L - Concept C1 - RCCL'!G65</f>
        <v>2</v>
      </c>
      <c r="O69" s="313">
        <f>'P&amp;L - Concept C1 - RCCL'!H65</f>
        <v>2</v>
      </c>
      <c r="P69" s="313">
        <f>'P&amp;L - Concept C1 - RCCL'!I65</f>
        <v>2</v>
      </c>
      <c r="Q69" s="313">
        <f>'P&amp;L - Concept C1 - RCCL'!J65</f>
        <v>3</v>
      </c>
      <c r="R69" s="313">
        <f>'P&amp;L - Concept C1 - RCCL'!K65</f>
        <v>3</v>
      </c>
      <c r="S69" s="313">
        <f>'P&amp;L - Concept C1 - RCCL'!L65</f>
        <v>3</v>
      </c>
      <c r="T69" s="313">
        <f>'P&amp;L - Concept C1 - RCCL'!M65</f>
        <v>3</v>
      </c>
      <c r="U69" s="313">
        <f>'P&amp;L - Concept C1 - RCCL'!N65</f>
        <v>3</v>
      </c>
      <c r="V69" s="313">
        <f>'P&amp;L - Concept C1 - RCCL'!O65</f>
        <v>4</v>
      </c>
      <c r="W69" s="313">
        <f>'P&amp;L - Concept C1 - RCCL'!P65</f>
        <v>4</v>
      </c>
      <c r="X69" s="313">
        <f>'P&amp;L - Concept C1 - RCCL'!Q65</f>
        <v>4</v>
      </c>
      <c r="Y69" s="313">
        <f>'P&amp;L - Concept C1 - RCCL'!R65</f>
        <v>4</v>
      </c>
      <c r="Z69" s="313">
        <f>'P&amp;L - Concept C1 - RCCL'!S65</f>
        <v>4</v>
      </c>
      <c r="AA69" s="313">
        <f>'P&amp;L - Concept C1 - RCCL'!T65</f>
        <v>5</v>
      </c>
      <c r="AB69" s="313">
        <f>'P&amp;L - Concept C1 - RCCL'!U65</f>
        <v>5</v>
      </c>
      <c r="AC69" s="313">
        <f>'P&amp;L - Concept C1 - RCCL'!V65</f>
        <v>5</v>
      </c>
      <c r="AD69" s="313">
        <f>'P&amp;L - Concept C1 - RCCL'!W65</f>
        <v>5</v>
      </c>
      <c r="AE69" s="313">
        <f>'P&amp;L - Concept C1 - RCCL'!X65</f>
        <v>5</v>
      </c>
    </row>
    <row r="70" spans="1:32" s="96" customFormat="1">
      <c r="A70" s="96" t="s">
        <v>211</v>
      </c>
      <c r="K70" s="486">
        <f>'P&amp;L - Concept C1 - RCCL'!D66</f>
        <v>0</v>
      </c>
      <c r="L70" s="313">
        <f>'P&amp;L - Concept C1 - RCCL'!E66</f>
        <v>0</v>
      </c>
      <c r="M70" s="313">
        <f>'P&amp;L - Concept C1 - RCCL'!F66</f>
        <v>3</v>
      </c>
      <c r="N70" s="313">
        <f>'P&amp;L - Concept C1 - RCCL'!G66</f>
        <v>3</v>
      </c>
      <c r="O70" s="313">
        <f>'P&amp;L - Concept C1 - RCCL'!H66</f>
        <v>3</v>
      </c>
      <c r="P70" s="313">
        <f>'P&amp;L - Concept C1 - RCCL'!I66</f>
        <v>3</v>
      </c>
      <c r="Q70" s="313">
        <f>'P&amp;L - Concept C1 - RCCL'!J66</f>
        <v>3</v>
      </c>
      <c r="R70" s="313">
        <f>'P&amp;L - Concept C1 - RCCL'!K66</f>
        <v>3</v>
      </c>
      <c r="S70" s="313">
        <f>'P&amp;L - Concept C1 - RCCL'!L66</f>
        <v>3</v>
      </c>
      <c r="T70" s="313">
        <f>'P&amp;L - Concept C1 - RCCL'!M66</f>
        <v>3</v>
      </c>
      <c r="U70" s="313">
        <f>'P&amp;L - Concept C1 - RCCL'!N66</f>
        <v>3</v>
      </c>
      <c r="V70" s="313">
        <f>'P&amp;L - Concept C1 - RCCL'!O66</f>
        <v>3</v>
      </c>
      <c r="W70" s="313">
        <f>'P&amp;L - Concept C1 - RCCL'!P66</f>
        <v>3</v>
      </c>
      <c r="X70" s="313">
        <f>'P&amp;L - Concept C1 - RCCL'!Q66</f>
        <v>3</v>
      </c>
      <c r="Y70" s="313">
        <f>'P&amp;L - Concept C1 - RCCL'!R66</f>
        <v>3</v>
      </c>
      <c r="Z70" s="313">
        <f>'P&amp;L - Concept C1 - RCCL'!S66</f>
        <v>3</v>
      </c>
      <c r="AA70" s="313">
        <f>'P&amp;L - Concept C1 - RCCL'!T66</f>
        <v>3</v>
      </c>
      <c r="AB70" s="313">
        <f>'P&amp;L - Concept C1 - RCCL'!U66</f>
        <v>3</v>
      </c>
      <c r="AC70" s="313">
        <f>'P&amp;L - Concept C1 - RCCL'!V66</f>
        <v>3</v>
      </c>
      <c r="AD70" s="313">
        <f>'P&amp;L - Concept C1 - RCCL'!W66</f>
        <v>3</v>
      </c>
      <c r="AE70" s="313">
        <f>'P&amp;L - Concept C1 - RCCL'!X66</f>
        <v>3</v>
      </c>
    </row>
    <row r="71" spans="1:32" s="96" customFormat="1">
      <c r="K71" s="486"/>
      <c r="L71" s="435"/>
      <c r="M71" s="435"/>
      <c r="N71" s="435"/>
      <c r="O71" s="435"/>
      <c r="P71" s="435"/>
      <c r="Q71" s="435"/>
      <c r="R71" s="435"/>
      <c r="S71" s="435"/>
      <c r="T71" s="435"/>
      <c r="U71" s="435"/>
      <c r="V71" s="435"/>
      <c r="W71" s="435"/>
      <c r="X71" s="435"/>
      <c r="Y71" s="435"/>
      <c r="Z71" s="435"/>
      <c r="AA71" s="435"/>
      <c r="AB71" s="435"/>
      <c r="AC71" s="435"/>
      <c r="AD71" s="435"/>
      <c r="AE71" s="435"/>
    </row>
    <row r="72" spans="1:32" s="18" customFormat="1">
      <c r="A72" s="28"/>
      <c r="K72" s="486"/>
      <c r="L72" s="331"/>
      <c r="M72" s="333"/>
      <c r="N72" s="331"/>
      <c r="O72" s="331"/>
      <c r="P72" s="331"/>
      <c r="Q72" s="331"/>
      <c r="R72" s="331"/>
      <c r="S72" s="331"/>
      <c r="T72" s="331"/>
      <c r="U72" s="331"/>
      <c r="V72" s="331"/>
      <c r="W72" s="331"/>
      <c r="X72" s="331"/>
      <c r="Y72" s="331"/>
      <c r="Z72" s="331"/>
      <c r="AA72" s="331"/>
      <c r="AB72" s="331"/>
      <c r="AC72" s="331"/>
      <c r="AD72" s="331"/>
      <c r="AE72" s="331"/>
    </row>
    <row r="73" spans="1:32">
      <c r="A73" s="168" t="s">
        <v>131</v>
      </c>
      <c r="B73" s="168"/>
      <c r="C73" s="169"/>
      <c r="D73" s="170"/>
      <c r="E73" s="171"/>
      <c r="F73" s="171"/>
      <c r="G73" s="171"/>
      <c r="H73" s="171"/>
      <c r="I73" s="168"/>
      <c r="J73" s="171"/>
      <c r="K73" s="681"/>
      <c r="L73" s="314"/>
      <c r="M73" s="314"/>
      <c r="N73" s="314"/>
      <c r="O73" s="314"/>
      <c r="P73" s="314"/>
      <c r="Q73" s="314"/>
      <c r="R73" s="314"/>
      <c r="S73" s="314"/>
      <c r="T73" s="314"/>
      <c r="U73" s="314"/>
      <c r="V73" s="314"/>
      <c r="W73" s="314"/>
      <c r="X73" s="314"/>
      <c r="Y73" s="314"/>
      <c r="Z73" s="314"/>
      <c r="AA73" s="314"/>
      <c r="AB73" s="314"/>
      <c r="AC73" s="314"/>
      <c r="AD73" s="314"/>
      <c r="AE73" s="314"/>
    </row>
    <row r="74" spans="1:32" s="252" customFormat="1">
      <c r="A74" s="183"/>
      <c r="B74" s="183"/>
      <c r="C74" s="364"/>
      <c r="D74" s="365"/>
      <c r="E74" s="184"/>
      <c r="F74" s="184"/>
      <c r="G74" s="184"/>
      <c r="H74" s="184"/>
      <c r="I74" s="183"/>
      <c r="J74" s="184"/>
      <c r="K74" s="664"/>
      <c r="L74" s="366"/>
      <c r="M74" s="366"/>
      <c r="N74" s="366"/>
      <c r="O74" s="366"/>
      <c r="P74" s="366"/>
      <c r="Q74" s="366"/>
      <c r="R74" s="366"/>
      <c r="S74" s="366"/>
      <c r="T74" s="366"/>
      <c r="U74" s="366"/>
      <c r="V74" s="366"/>
      <c r="W74" s="366"/>
      <c r="X74" s="366"/>
      <c r="Y74" s="366"/>
      <c r="Z74" s="366"/>
      <c r="AA74" s="366"/>
      <c r="AB74" s="366"/>
      <c r="AC74" s="366"/>
      <c r="AD74" s="366"/>
      <c r="AE74" s="366"/>
    </row>
    <row r="75" spans="1:32">
      <c r="A75" s="41" t="s">
        <v>13</v>
      </c>
      <c r="B75" s="41"/>
      <c r="C75" s="105"/>
      <c r="D75" s="106"/>
      <c r="E75" s="37"/>
      <c r="F75" s="37"/>
      <c r="G75" s="37"/>
      <c r="H75" s="37"/>
      <c r="I75" s="41"/>
      <c r="J75" s="37"/>
      <c r="K75" s="683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</row>
    <row r="76" spans="1:32">
      <c r="A76" s="96" t="s">
        <v>418</v>
      </c>
      <c r="B76" s="735" t="s">
        <v>12</v>
      </c>
      <c r="C76" s="663">
        <v>75000</v>
      </c>
      <c r="D76" s="736">
        <f t="shared" ref="D76:D78" si="0">C76/2080</f>
        <v>36.057692307692307</v>
      </c>
      <c r="E76" s="663">
        <v>0</v>
      </c>
      <c r="F76" s="663">
        <f>(C76*$F$13)</f>
        <v>30000</v>
      </c>
      <c r="G76" s="663">
        <f>SUM(C76,E76:F76)</f>
        <v>105000</v>
      </c>
      <c r="H76" s="663"/>
      <c r="I76" s="736"/>
      <c r="J76" s="663"/>
      <c r="K76" s="683">
        <v>0</v>
      </c>
      <c r="L76" s="665">
        <v>0</v>
      </c>
      <c r="M76" s="666">
        <f>G76</f>
        <v>105000</v>
      </c>
      <c r="N76" s="666">
        <f>($G$76*L11)</f>
        <v>107100</v>
      </c>
      <c r="O76" s="666">
        <f t="shared" ref="O76:AE76" si="1">($G$76*M11)</f>
        <v>109242</v>
      </c>
      <c r="P76" s="666">
        <f t="shared" si="1"/>
        <v>111426.84</v>
      </c>
      <c r="Q76" s="666">
        <f t="shared" si="1"/>
        <v>113655.3768</v>
      </c>
      <c r="R76" s="666">
        <f t="shared" si="1"/>
        <v>115928.48433600001</v>
      </c>
      <c r="S76" s="666">
        <f t="shared" si="1"/>
        <v>118247.05402272001</v>
      </c>
      <c r="T76" s="666">
        <f t="shared" si="1"/>
        <v>120611.9951031744</v>
      </c>
      <c r="U76" s="666">
        <f t="shared" si="1"/>
        <v>123024.2350052379</v>
      </c>
      <c r="V76" s="666">
        <f t="shared" si="1"/>
        <v>125484.71970534266</v>
      </c>
      <c r="W76" s="666">
        <f t="shared" si="1"/>
        <v>127994.41409944952</v>
      </c>
      <c r="X76" s="666">
        <f t="shared" si="1"/>
        <v>130554.30238143851</v>
      </c>
      <c r="Y76" s="666">
        <f t="shared" si="1"/>
        <v>133165.38842906727</v>
      </c>
      <c r="Z76" s="666">
        <f t="shared" si="1"/>
        <v>135828.69619764862</v>
      </c>
      <c r="AA76" s="666">
        <f t="shared" si="1"/>
        <v>138545.27012160158</v>
      </c>
      <c r="AB76" s="666">
        <f t="shared" si="1"/>
        <v>141316.17552403364</v>
      </c>
      <c r="AC76" s="666">
        <f t="shared" si="1"/>
        <v>144142.4990345143</v>
      </c>
      <c r="AD76" s="666">
        <f t="shared" si="1"/>
        <v>147025.34901520461</v>
      </c>
      <c r="AE76" s="666">
        <f t="shared" si="1"/>
        <v>149965.8559955087</v>
      </c>
    </row>
    <row r="77" spans="1:32">
      <c r="A77" s="96" t="s">
        <v>417</v>
      </c>
      <c r="B77" s="735" t="s">
        <v>12</v>
      </c>
      <c r="C77" s="663">
        <v>35000</v>
      </c>
      <c r="D77" s="736">
        <f t="shared" si="0"/>
        <v>16.826923076923077</v>
      </c>
      <c r="E77" s="663">
        <v>0</v>
      </c>
      <c r="F77" s="663">
        <f t="shared" ref="F77:F78" si="2">(C77*$F$13)</f>
        <v>14000</v>
      </c>
      <c r="G77" s="663">
        <f t="shared" ref="G77:G78" si="3">SUM(C77,E77:F77)</f>
        <v>49000</v>
      </c>
      <c r="H77" s="663"/>
      <c r="I77" s="736"/>
      <c r="J77" s="663"/>
      <c r="K77" s="683">
        <v>0</v>
      </c>
      <c r="L77" s="665">
        <f>G77*0.25</f>
        <v>12250</v>
      </c>
      <c r="M77" s="666">
        <f>G77*0.5</f>
        <v>24500</v>
      </c>
      <c r="N77" s="666">
        <f>($G$77*0.5*L11)</f>
        <v>24990</v>
      </c>
      <c r="O77" s="666">
        <f t="shared" ref="O77:AE77" si="4">($G$77*0.5*M11)</f>
        <v>25489.8</v>
      </c>
      <c r="P77" s="666">
        <f t="shared" si="4"/>
        <v>25999.595999999998</v>
      </c>
      <c r="Q77" s="666">
        <f t="shared" si="4"/>
        <v>26519.587919999998</v>
      </c>
      <c r="R77" s="666">
        <f t="shared" si="4"/>
        <v>27049.979678399999</v>
      </c>
      <c r="S77" s="666">
        <f t="shared" si="4"/>
        <v>27590.979271968001</v>
      </c>
      <c r="T77" s="666">
        <f t="shared" si="4"/>
        <v>28142.798857407361</v>
      </c>
      <c r="U77" s="666">
        <f t="shared" si="4"/>
        <v>28705.654834555509</v>
      </c>
      <c r="V77" s="666">
        <f t="shared" si="4"/>
        <v>29279.767931246621</v>
      </c>
      <c r="W77" s="666">
        <f t="shared" si="4"/>
        <v>29865.363289871555</v>
      </c>
      <c r="X77" s="666">
        <f t="shared" si="4"/>
        <v>30462.670555668985</v>
      </c>
      <c r="Y77" s="666">
        <f t="shared" si="4"/>
        <v>31071.923966782364</v>
      </c>
      <c r="Z77" s="666">
        <f t="shared" si="4"/>
        <v>31693.362446118008</v>
      </c>
      <c r="AA77" s="666">
        <f t="shared" si="4"/>
        <v>32327.229695040372</v>
      </c>
      <c r="AB77" s="666">
        <f t="shared" si="4"/>
        <v>32973.774288941182</v>
      </c>
      <c r="AC77" s="666">
        <f t="shared" si="4"/>
        <v>33633.249774720003</v>
      </c>
      <c r="AD77" s="666">
        <f t="shared" si="4"/>
        <v>34305.914770214411</v>
      </c>
      <c r="AE77" s="666">
        <f t="shared" si="4"/>
        <v>34992.0330656187</v>
      </c>
    </row>
    <row r="78" spans="1:32">
      <c r="A78" s="737" t="s">
        <v>422</v>
      </c>
      <c r="B78" s="738" t="s">
        <v>15</v>
      </c>
      <c r="C78" s="739">
        <v>15000</v>
      </c>
      <c r="D78" s="740">
        <f t="shared" si="0"/>
        <v>7.2115384615384617</v>
      </c>
      <c r="E78" s="739">
        <f>C78*$L$15</f>
        <v>0</v>
      </c>
      <c r="F78" s="739">
        <f t="shared" si="2"/>
        <v>6000</v>
      </c>
      <c r="G78" s="739">
        <f t="shared" si="3"/>
        <v>21000</v>
      </c>
      <c r="H78" s="739"/>
      <c r="I78" s="740"/>
      <c r="J78" s="739"/>
      <c r="K78" s="741">
        <v>0</v>
      </c>
      <c r="L78" s="742">
        <v>0</v>
      </c>
      <c r="M78" s="742">
        <f t="shared" ref="M78" si="5">G78</f>
        <v>21000</v>
      </c>
      <c r="N78" s="742">
        <f>($G$78*L11)</f>
        <v>21420</v>
      </c>
      <c r="O78" s="742">
        <f t="shared" ref="O78:AE78" si="6">($G$78*M11)</f>
        <v>21848.400000000001</v>
      </c>
      <c r="P78" s="742">
        <f t="shared" si="6"/>
        <v>22285.367999999999</v>
      </c>
      <c r="Q78" s="742">
        <f t="shared" si="6"/>
        <v>22731.075359999999</v>
      </c>
      <c r="R78" s="742">
        <f t="shared" si="6"/>
        <v>23185.6968672</v>
      </c>
      <c r="S78" s="742">
        <f t="shared" si="6"/>
        <v>23649.410804544001</v>
      </c>
      <c r="T78" s="742">
        <f t="shared" si="6"/>
        <v>24122.399020634883</v>
      </c>
      <c r="U78" s="742">
        <f t="shared" si="6"/>
        <v>24604.847001047579</v>
      </c>
      <c r="V78" s="742">
        <f t="shared" si="6"/>
        <v>25096.943941068534</v>
      </c>
      <c r="W78" s="742">
        <f t="shared" si="6"/>
        <v>25598.882819889903</v>
      </c>
      <c r="X78" s="742">
        <f t="shared" si="6"/>
        <v>26110.8604762877</v>
      </c>
      <c r="Y78" s="742">
        <f t="shared" si="6"/>
        <v>26633.077685813456</v>
      </c>
      <c r="Z78" s="742">
        <f t="shared" si="6"/>
        <v>27165.739239529721</v>
      </c>
      <c r="AA78" s="742">
        <f t="shared" si="6"/>
        <v>27709.054024320321</v>
      </c>
      <c r="AB78" s="742">
        <f t="shared" si="6"/>
        <v>28263.235104806728</v>
      </c>
      <c r="AC78" s="742">
        <f t="shared" si="6"/>
        <v>28828.499806902862</v>
      </c>
      <c r="AD78" s="742">
        <f t="shared" si="6"/>
        <v>29405.069803040922</v>
      </c>
      <c r="AE78" s="742">
        <f t="shared" si="6"/>
        <v>29993.17119910174</v>
      </c>
    </row>
    <row r="79" spans="1:32" s="56" customFormat="1" ht="14.25">
      <c r="A79" s="164" t="s">
        <v>416</v>
      </c>
      <c r="B79" s="164"/>
      <c r="C79" s="667">
        <f>SUM(C76:C78)</f>
        <v>125000</v>
      </c>
      <c r="D79" s="667"/>
      <c r="E79" s="667">
        <f>SUM(E76:E78)</f>
        <v>0</v>
      </c>
      <c r="F79" s="667">
        <f>SUM(F76:F78)</f>
        <v>50000</v>
      </c>
      <c r="G79" s="667">
        <f>SUM(G76:G78)</f>
        <v>175000</v>
      </c>
      <c r="H79" s="667"/>
      <c r="I79" s="668"/>
      <c r="J79" s="667"/>
      <c r="K79" s="685">
        <f>SUMIF($B76:$B78,"FT",K76:K78)</f>
        <v>0</v>
      </c>
      <c r="L79" s="669">
        <f t="shared" ref="L79:AE79" si="7">SUM(L76:L78)</f>
        <v>12250</v>
      </c>
      <c r="M79" s="669">
        <f t="shared" si="7"/>
        <v>150500</v>
      </c>
      <c r="N79" s="669">
        <f t="shared" si="7"/>
        <v>153510</v>
      </c>
      <c r="O79" s="669">
        <f t="shared" si="7"/>
        <v>156580.19999999998</v>
      </c>
      <c r="P79" s="669">
        <f t="shared" si="7"/>
        <v>159711.80399999997</v>
      </c>
      <c r="Q79" s="669">
        <f t="shared" si="7"/>
        <v>162906.04007999998</v>
      </c>
      <c r="R79" s="669">
        <f t="shared" si="7"/>
        <v>166164.16088159999</v>
      </c>
      <c r="S79" s="669">
        <f t="shared" si="7"/>
        <v>169487.444099232</v>
      </c>
      <c r="T79" s="669">
        <f t="shared" si="7"/>
        <v>172877.19298121665</v>
      </c>
      <c r="U79" s="669">
        <f t="shared" si="7"/>
        <v>176334.73684084098</v>
      </c>
      <c r="V79" s="669">
        <f t="shared" si="7"/>
        <v>179861.43157765782</v>
      </c>
      <c r="W79" s="669">
        <f t="shared" si="7"/>
        <v>183458.66020921097</v>
      </c>
      <c r="X79" s="669">
        <f t="shared" si="7"/>
        <v>187127.83341339519</v>
      </c>
      <c r="Y79" s="669">
        <f t="shared" si="7"/>
        <v>190870.39008166309</v>
      </c>
      <c r="Z79" s="669">
        <f t="shared" si="7"/>
        <v>194687.79788329633</v>
      </c>
      <c r="AA79" s="669">
        <f t="shared" si="7"/>
        <v>198581.5538409623</v>
      </c>
      <c r="AB79" s="669">
        <f t="shared" si="7"/>
        <v>202553.18491778153</v>
      </c>
      <c r="AC79" s="669">
        <f t="shared" si="7"/>
        <v>206604.24861613716</v>
      </c>
      <c r="AD79" s="669">
        <f t="shared" si="7"/>
        <v>210736.33358845994</v>
      </c>
      <c r="AE79" s="669">
        <f t="shared" si="7"/>
        <v>214951.06026022913</v>
      </c>
    </row>
    <row r="80" spans="1:32" s="56" customFormat="1" ht="14.25">
      <c r="A80" s="164"/>
      <c r="B80" s="164"/>
      <c r="C80" s="667"/>
      <c r="D80" s="667"/>
      <c r="E80" s="667"/>
      <c r="F80" s="667"/>
      <c r="G80" s="667"/>
      <c r="H80" s="667"/>
      <c r="I80" s="668"/>
      <c r="J80" s="667"/>
      <c r="K80" s="685"/>
      <c r="L80" s="669"/>
      <c r="M80" s="669"/>
      <c r="N80" s="669"/>
      <c r="O80" s="669"/>
      <c r="P80" s="669"/>
      <c r="Q80" s="669"/>
      <c r="R80" s="669"/>
      <c r="S80" s="669"/>
      <c r="T80" s="669"/>
      <c r="U80" s="669"/>
      <c r="V80" s="669"/>
      <c r="W80" s="669"/>
      <c r="X80" s="669"/>
      <c r="Y80" s="669"/>
      <c r="Z80" s="669"/>
      <c r="AA80" s="669"/>
      <c r="AB80" s="669"/>
      <c r="AC80" s="669"/>
      <c r="AD80" s="669"/>
      <c r="AE80" s="669"/>
    </row>
    <row r="81" spans="1:35">
      <c r="A81" s="37" t="s">
        <v>411</v>
      </c>
      <c r="B81" s="37"/>
      <c r="C81" s="57"/>
      <c r="E81" s="57"/>
      <c r="F81" s="57"/>
      <c r="G81" s="57"/>
      <c r="H81" s="57"/>
      <c r="I81" s="43"/>
      <c r="J81" s="42"/>
      <c r="K81" s="743">
        <f>COUNTIF(K76:K78,"&gt;100")</f>
        <v>0</v>
      </c>
      <c r="L81" s="496">
        <f t="shared" ref="L81:AE81" si="8">COUNTIF(L76:L77,"&gt;100")</f>
        <v>1</v>
      </c>
      <c r="M81" s="496">
        <f t="shared" si="8"/>
        <v>2</v>
      </c>
      <c r="N81" s="496">
        <f t="shared" si="8"/>
        <v>2</v>
      </c>
      <c r="O81" s="496">
        <f t="shared" si="8"/>
        <v>2</v>
      </c>
      <c r="P81" s="496">
        <f t="shared" si="8"/>
        <v>2</v>
      </c>
      <c r="Q81" s="496">
        <f t="shared" si="8"/>
        <v>2</v>
      </c>
      <c r="R81" s="496">
        <f t="shared" si="8"/>
        <v>2</v>
      </c>
      <c r="S81" s="496">
        <f t="shared" si="8"/>
        <v>2</v>
      </c>
      <c r="T81" s="496">
        <f t="shared" si="8"/>
        <v>2</v>
      </c>
      <c r="U81" s="496">
        <f t="shared" si="8"/>
        <v>2</v>
      </c>
      <c r="V81" s="496">
        <f t="shared" si="8"/>
        <v>2</v>
      </c>
      <c r="W81" s="496">
        <f t="shared" si="8"/>
        <v>2</v>
      </c>
      <c r="X81" s="496">
        <f t="shared" si="8"/>
        <v>2</v>
      </c>
      <c r="Y81" s="496">
        <f t="shared" si="8"/>
        <v>2</v>
      </c>
      <c r="Z81" s="496">
        <f t="shared" si="8"/>
        <v>2</v>
      </c>
      <c r="AA81" s="496">
        <f t="shared" si="8"/>
        <v>2</v>
      </c>
      <c r="AB81" s="496">
        <f t="shared" si="8"/>
        <v>2</v>
      </c>
      <c r="AC81" s="496">
        <f t="shared" si="8"/>
        <v>2</v>
      </c>
      <c r="AD81" s="496">
        <f t="shared" si="8"/>
        <v>2</v>
      </c>
      <c r="AE81" s="496">
        <f t="shared" si="8"/>
        <v>2</v>
      </c>
      <c r="AF81" s="744"/>
    </row>
    <row r="82" spans="1:35">
      <c r="A82" s="745" t="s">
        <v>412</v>
      </c>
      <c r="B82" s="745"/>
      <c r="C82" s="746"/>
      <c r="D82" s="116"/>
      <c r="E82" s="746"/>
      <c r="F82" s="746"/>
      <c r="G82" s="746"/>
      <c r="H82" s="746"/>
      <c r="I82" s="747"/>
      <c r="J82" s="748"/>
      <c r="K82" s="749">
        <f t="shared" ref="K82" si="9">K83-K81</f>
        <v>0</v>
      </c>
      <c r="L82" s="750">
        <f t="shared" ref="L82:AE82" si="10">COUNTIF(L78:L78,"&gt;100")</f>
        <v>0</v>
      </c>
      <c r="M82" s="750">
        <f t="shared" si="10"/>
        <v>1</v>
      </c>
      <c r="N82" s="750">
        <f t="shared" si="10"/>
        <v>1</v>
      </c>
      <c r="O82" s="750">
        <f t="shared" si="10"/>
        <v>1</v>
      </c>
      <c r="P82" s="750">
        <f t="shared" si="10"/>
        <v>1</v>
      </c>
      <c r="Q82" s="750">
        <f t="shared" si="10"/>
        <v>1</v>
      </c>
      <c r="R82" s="750">
        <f t="shared" si="10"/>
        <v>1</v>
      </c>
      <c r="S82" s="750">
        <f t="shared" si="10"/>
        <v>1</v>
      </c>
      <c r="T82" s="750">
        <f t="shared" si="10"/>
        <v>1</v>
      </c>
      <c r="U82" s="750">
        <f t="shared" si="10"/>
        <v>1</v>
      </c>
      <c r="V82" s="750">
        <f t="shared" si="10"/>
        <v>1</v>
      </c>
      <c r="W82" s="750">
        <f t="shared" si="10"/>
        <v>1</v>
      </c>
      <c r="X82" s="750">
        <f t="shared" si="10"/>
        <v>1</v>
      </c>
      <c r="Y82" s="750">
        <f t="shared" si="10"/>
        <v>1</v>
      </c>
      <c r="Z82" s="750">
        <f t="shared" si="10"/>
        <v>1</v>
      </c>
      <c r="AA82" s="750">
        <f t="shared" si="10"/>
        <v>1</v>
      </c>
      <c r="AB82" s="750">
        <f t="shared" si="10"/>
        <v>1</v>
      </c>
      <c r="AC82" s="750">
        <f t="shared" si="10"/>
        <v>1</v>
      </c>
      <c r="AD82" s="750">
        <f t="shared" si="10"/>
        <v>1</v>
      </c>
      <c r="AE82" s="750">
        <f t="shared" si="10"/>
        <v>1</v>
      </c>
    </row>
    <row r="83" spans="1:35" s="56" customFormat="1" ht="14.25">
      <c r="A83" s="164" t="s">
        <v>413</v>
      </c>
      <c r="B83" s="164"/>
      <c r="C83" s="75"/>
      <c r="D83" s="173"/>
      <c r="E83" s="75"/>
      <c r="F83" s="75"/>
      <c r="G83" s="75"/>
      <c r="H83" s="75"/>
      <c r="I83" s="174"/>
      <c r="J83" s="181"/>
      <c r="K83" s="751">
        <f>COUNTIF(K76:K78,"&gt;0")</f>
        <v>0</v>
      </c>
      <c r="L83" s="752">
        <f>SUM(L81:L82)</f>
        <v>1</v>
      </c>
      <c r="M83" s="752">
        <f t="shared" ref="M83:AE83" si="11">SUM(M81:M82)</f>
        <v>3</v>
      </c>
      <c r="N83" s="752">
        <f t="shared" si="11"/>
        <v>3</v>
      </c>
      <c r="O83" s="752">
        <f t="shared" si="11"/>
        <v>3</v>
      </c>
      <c r="P83" s="752">
        <f t="shared" si="11"/>
        <v>3</v>
      </c>
      <c r="Q83" s="752">
        <f t="shared" si="11"/>
        <v>3</v>
      </c>
      <c r="R83" s="752">
        <f t="shared" si="11"/>
        <v>3</v>
      </c>
      <c r="S83" s="752">
        <f t="shared" si="11"/>
        <v>3</v>
      </c>
      <c r="T83" s="752">
        <f t="shared" si="11"/>
        <v>3</v>
      </c>
      <c r="U83" s="752">
        <f t="shared" si="11"/>
        <v>3</v>
      </c>
      <c r="V83" s="752">
        <f t="shared" si="11"/>
        <v>3</v>
      </c>
      <c r="W83" s="752">
        <f t="shared" si="11"/>
        <v>3</v>
      </c>
      <c r="X83" s="752">
        <f t="shared" si="11"/>
        <v>3</v>
      </c>
      <c r="Y83" s="752">
        <f t="shared" si="11"/>
        <v>3</v>
      </c>
      <c r="Z83" s="752">
        <f t="shared" si="11"/>
        <v>3</v>
      </c>
      <c r="AA83" s="752">
        <f t="shared" si="11"/>
        <v>3</v>
      </c>
      <c r="AB83" s="752">
        <f t="shared" si="11"/>
        <v>3</v>
      </c>
      <c r="AC83" s="752">
        <f t="shared" si="11"/>
        <v>3</v>
      </c>
      <c r="AD83" s="752">
        <f t="shared" si="11"/>
        <v>3</v>
      </c>
      <c r="AE83" s="752">
        <f t="shared" si="11"/>
        <v>3</v>
      </c>
    </row>
    <row r="84" spans="1:35" s="56" customFormat="1" ht="14.25">
      <c r="A84" s="164"/>
      <c r="B84" s="164"/>
      <c r="C84" s="75"/>
      <c r="D84" s="173"/>
      <c r="E84" s="75"/>
      <c r="F84" s="75"/>
      <c r="G84" s="75"/>
      <c r="H84" s="75"/>
      <c r="I84" s="174"/>
      <c r="J84" s="181"/>
      <c r="K84" s="685"/>
      <c r="L84" s="315"/>
      <c r="M84" s="315"/>
      <c r="N84" s="315"/>
      <c r="O84" s="315"/>
      <c r="P84" s="315"/>
      <c r="Q84" s="315"/>
      <c r="R84" s="315"/>
      <c r="S84" s="315"/>
      <c r="T84" s="315"/>
      <c r="U84" s="315"/>
      <c r="V84" s="315"/>
      <c r="W84" s="315"/>
      <c r="X84" s="315"/>
      <c r="Y84" s="315"/>
      <c r="Z84" s="315"/>
      <c r="AA84" s="315"/>
      <c r="AB84" s="315"/>
      <c r="AC84" s="315"/>
      <c r="AD84" s="315"/>
      <c r="AE84" s="315"/>
    </row>
    <row r="85" spans="1:35">
      <c r="A85" s="48" t="s">
        <v>68</v>
      </c>
      <c r="B85" s="48"/>
      <c r="C85" s="77"/>
      <c r="D85" s="76"/>
      <c r="E85" s="57"/>
      <c r="F85" s="57"/>
      <c r="G85" s="77"/>
      <c r="H85" s="77"/>
      <c r="I85" s="50"/>
      <c r="J85" s="49"/>
      <c r="K85" s="683"/>
      <c r="L85" s="316"/>
      <c r="M85" s="316"/>
      <c r="N85" s="316"/>
      <c r="O85" s="316"/>
      <c r="P85" s="316"/>
      <c r="Q85" s="316"/>
      <c r="R85" s="316"/>
      <c r="S85" s="316"/>
      <c r="T85" s="316"/>
      <c r="U85" s="316"/>
      <c r="V85" s="316"/>
      <c r="W85" s="316"/>
      <c r="X85" s="316"/>
      <c r="Y85" s="316"/>
      <c r="Z85" s="316"/>
      <c r="AA85" s="316"/>
      <c r="AB85" s="316"/>
      <c r="AC85" s="316"/>
      <c r="AD85" s="316"/>
      <c r="AE85" s="316"/>
    </row>
    <row r="86" spans="1:35" s="68" customFormat="1" ht="14.25">
      <c r="A86" s="214" t="s">
        <v>80</v>
      </c>
      <c r="B86" s="189"/>
      <c r="C86" s="209"/>
      <c r="D86" s="210"/>
      <c r="E86" s="211"/>
      <c r="F86" s="211"/>
      <c r="G86" s="209"/>
      <c r="H86" s="209"/>
      <c r="I86" s="213"/>
      <c r="J86" s="212"/>
      <c r="K86" s="686"/>
      <c r="L86" s="317"/>
      <c r="M86" s="317"/>
      <c r="N86" s="317"/>
      <c r="O86" s="317"/>
      <c r="P86" s="317"/>
      <c r="Q86" s="317"/>
      <c r="R86" s="317"/>
      <c r="S86" s="317"/>
      <c r="T86" s="317"/>
      <c r="U86" s="317"/>
      <c r="V86" s="317"/>
      <c r="W86" s="317"/>
      <c r="X86" s="317"/>
      <c r="Y86" s="317"/>
      <c r="Z86" s="317"/>
      <c r="AA86" s="317"/>
      <c r="AB86" s="317"/>
      <c r="AC86" s="317"/>
      <c r="AD86" s="317"/>
      <c r="AE86" s="317"/>
    </row>
    <row r="87" spans="1:35">
      <c r="A87" s="37" t="s">
        <v>41</v>
      </c>
      <c r="B87" s="37"/>
      <c r="C87" s="110"/>
      <c r="D87" s="106"/>
      <c r="E87" s="57"/>
      <c r="F87" s="57"/>
      <c r="G87" s="57"/>
      <c r="H87" s="57"/>
      <c r="I87" s="51"/>
      <c r="J87" s="663"/>
      <c r="K87" s="683">
        <f>K$83*$J87*R$9</f>
        <v>0</v>
      </c>
      <c r="L87" s="666">
        <v>25000</v>
      </c>
      <c r="M87" s="666">
        <f>$L$87*L11</f>
        <v>25500</v>
      </c>
      <c r="N87" s="666">
        <f t="shared" ref="N87:AE87" si="12">$L$87*M11</f>
        <v>26010</v>
      </c>
      <c r="O87" s="666">
        <f t="shared" si="12"/>
        <v>26530.199999999997</v>
      </c>
      <c r="P87" s="666">
        <f t="shared" si="12"/>
        <v>27060.804</v>
      </c>
      <c r="Q87" s="666">
        <f t="shared" si="12"/>
        <v>27602.020080000002</v>
      </c>
      <c r="R87" s="666">
        <f t="shared" si="12"/>
        <v>28154.060481600001</v>
      </c>
      <c r="S87" s="666">
        <f t="shared" si="12"/>
        <v>28717.141691232002</v>
      </c>
      <c r="T87" s="666">
        <f t="shared" si="12"/>
        <v>29291.484525056643</v>
      </c>
      <c r="U87" s="666">
        <f t="shared" si="12"/>
        <v>29877.314215557777</v>
      </c>
      <c r="V87" s="666">
        <f t="shared" si="12"/>
        <v>30474.860499868933</v>
      </c>
      <c r="W87" s="666">
        <f t="shared" si="12"/>
        <v>31084.357709866312</v>
      </c>
      <c r="X87" s="666">
        <f t="shared" si="12"/>
        <v>31706.044864063639</v>
      </c>
      <c r="Y87" s="666">
        <f t="shared" si="12"/>
        <v>32340.165761344906</v>
      </c>
      <c r="Z87" s="666">
        <f t="shared" si="12"/>
        <v>32986.969076571811</v>
      </c>
      <c r="AA87" s="666">
        <f t="shared" si="12"/>
        <v>33646.708458103247</v>
      </c>
      <c r="AB87" s="666">
        <f t="shared" si="12"/>
        <v>34319.642627265312</v>
      </c>
      <c r="AC87" s="666">
        <f t="shared" si="12"/>
        <v>35006.03547981062</v>
      </c>
      <c r="AD87" s="666">
        <f t="shared" si="12"/>
        <v>35706.156189406836</v>
      </c>
      <c r="AE87" s="666">
        <f t="shared" si="12"/>
        <v>36420.279313194973</v>
      </c>
    </row>
    <row r="88" spans="1:35">
      <c r="A88" s="37" t="s">
        <v>424</v>
      </c>
      <c r="B88" s="37"/>
      <c r="C88" s="110"/>
      <c r="D88" s="106"/>
      <c r="E88" s="57"/>
      <c r="F88" s="57"/>
      <c r="G88" s="57"/>
      <c r="H88" s="57"/>
      <c r="I88" s="51"/>
      <c r="J88" s="663"/>
      <c r="K88" s="683">
        <f>K$83*$J88*R$9</f>
        <v>0</v>
      </c>
      <c r="L88" s="666">
        <v>10000</v>
      </c>
      <c r="M88" s="666">
        <v>500</v>
      </c>
      <c r="N88" s="666">
        <f>$M$88*M11</f>
        <v>520.20000000000005</v>
      </c>
      <c r="O88" s="666">
        <f>$M$88*N11</f>
        <v>530.60399999999993</v>
      </c>
      <c r="P88" s="666">
        <f>$M$88*O11</f>
        <v>541.21608000000003</v>
      </c>
      <c r="Q88" s="666">
        <v>5000</v>
      </c>
      <c r="R88" s="666">
        <f>$M$88*Q11</f>
        <v>563.08120963200008</v>
      </c>
      <c r="S88" s="666">
        <f>$M$88*R11</f>
        <v>574.34283382464002</v>
      </c>
      <c r="T88" s="666">
        <f>$M$88*S11</f>
        <v>585.82969050113286</v>
      </c>
      <c r="U88" s="666">
        <f>$M$88*T11</f>
        <v>597.54628431115555</v>
      </c>
      <c r="V88" s="666">
        <v>5000</v>
      </c>
      <c r="W88" s="666">
        <f>$M$88*V11</f>
        <v>621.68715419732621</v>
      </c>
      <c r="X88" s="666">
        <f>$M$88*W11</f>
        <v>634.12089728127273</v>
      </c>
      <c r="Y88" s="666">
        <f>$M$88*X11</f>
        <v>646.80331522689812</v>
      </c>
      <c r="Z88" s="666">
        <f>$M$88*Y11</f>
        <v>659.73938153143615</v>
      </c>
      <c r="AA88" s="666">
        <v>5000</v>
      </c>
      <c r="AB88" s="666">
        <f>$M$88*AA11</f>
        <v>686.39285254530625</v>
      </c>
      <c r="AC88" s="666">
        <f>$M$88*AB11</f>
        <v>700.12070959621246</v>
      </c>
      <c r="AD88" s="666">
        <f>$M$88*AC11</f>
        <v>714.1231237881367</v>
      </c>
      <c r="AE88" s="666">
        <f>$M$88*AD11</f>
        <v>728.40558626389941</v>
      </c>
    </row>
    <row r="89" spans="1:35">
      <c r="A89" s="37" t="s">
        <v>42</v>
      </c>
      <c r="B89" s="37"/>
      <c r="C89" s="110"/>
      <c r="D89" s="106"/>
      <c r="E89" s="57"/>
      <c r="F89" s="57"/>
      <c r="G89" s="57"/>
      <c r="H89" s="57"/>
      <c r="I89" s="51"/>
      <c r="J89" s="663"/>
      <c r="K89" s="683">
        <f>K$83*$J89*R$9</f>
        <v>0</v>
      </c>
      <c r="L89" s="666">
        <v>50000</v>
      </c>
      <c r="M89" s="666">
        <f t="shared" ref="M89:AE89" si="13">($L$89*L11)</f>
        <v>51000</v>
      </c>
      <c r="N89" s="666">
        <f t="shared" si="13"/>
        <v>52020</v>
      </c>
      <c r="O89" s="666">
        <f t="shared" si="13"/>
        <v>53060.399999999994</v>
      </c>
      <c r="P89" s="666">
        <f t="shared" si="13"/>
        <v>54121.608</v>
      </c>
      <c r="Q89" s="666">
        <f t="shared" si="13"/>
        <v>55204.040160000004</v>
      </c>
      <c r="R89" s="666">
        <f t="shared" si="13"/>
        <v>56308.120963200003</v>
      </c>
      <c r="S89" s="666">
        <f t="shared" si="13"/>
        <v>57434.283382464004</v>
      </c>
      <c r="T89" s="666">
        <f t="shared" si="13"/>
        <v>58582.969050113286</v>
      </c>
      <c r="U89" s="666">
        <f t="shared" si="13"/>
        <v>59754.628431115554</v>
      </c>
      <c r="V89" s="666">
        <f t="shared" si="13"/>
        <v>60949.720999737867</v>
      </c>
      <c r="W89" s="666">
        <f t="shared" si="13"/>
        <v>62168.715419732624</v>
      </c>
      <c r="X89" s="666">
        <f t="shared" si="13"/>
        <v>63412.089728127277</v>
      </c>
      <c r="Y89" s="666">
        <f t="shared" si="13"/>
        <v>64680.331522689812</v>
      </c>
      <c r="Z89" s="666">
        <f t="shared" si="13"/>
        <v>65973.938153143623</v>
      </c>
      <c r="AA89" s="666">
        <f t="shared" si="13"/>
        <v>67293.416916206494</v>
      </c>
      <c r="AB89" s="666">
        <f t="shared" si="13"/>
        <v>68639.285254530623</v>
      </c>
      <c r="AC89" s="666">
        <f t="shared" si="13"/>
        <v>70012.07095962124</v>
      </c>
      <c r="AD89" s="666">
        <f t="shared" si="13"/>
        <v>71412.312378813673</v>
      </c>
      <c r="AE89" s="666">
        <f t="shared" si="13"/>
        <v>72840.558626389946</v>
      </c>
    </row>
    <row r="90" spans="1:35">
      <c r="A90" s="37" t="s">
        <v>43</v>
      </c>
      <c r="B90" s="37"/>
      <c r="C90" s="110"/>
      <c r="D90" s="106"/>
      <c r="E90" s="57"/>
      <c r="F90" s="57"/>
      <c r="G90" s="57"/>
      <c r="H90" s="57"/>
      <c r="I90" s="51" t="s">
        <v>8</v>
      </c>
      <c r="J90" s="663">
        <v>500</v>
      </c>
      <c r="K90" s="683">
        <v>0</v>
      </c>
      <c r="L90" s="666">
        <f>J90*L83</f>
        <v>500</v>
      </c>
      <c r="M90" s="666">
        <f t="shared" ref="M90:AE90" si="14">$J$90*M83*L11</f>
        <v>1530</v>
      </c>
      <c r="N90" s="666">
        <f t="shared" si="14"/>
        <v>1560.6</v>
      </c>
      <c r="O90" s="666">
        <f t="shared" si="14"/>
        <v>1591.8119999999999</v>
      </c>
      <c r="P90" s="666">
        <f t="shared" si="14"/>
        <v>1623.64824</v>
      </c>
      <c r="Q90" s="666">
        <f t="shared" si="14"/>
        <v>1656.1212048</v>
      </c>
      <c r="R90" s="666">
        <f t="shared" si="14"/>
        <v>1689.243628896</v>
      </c>
      <c r="S90" s="666">
        <f t="shared" si="14"/>
        <v>1723.02850147392</v>
      </c>
      <c r="T90" s="666">
        <f t="shared" si="14"/>
        <v>1757.4890715033987</v>
      </c>
      <c r="U90" s="666">
        <f t="shared" si="14"/>
        <v>1792.6388529334665</v>
      </c>
      <c r="V90" s="666">
        <f t="shared" si="14"/>
        <v>1828.491629992136</v>
      </c>
      <c r="W90" s="666">
        <f t="shared" si="14"/>
        <v>1865.0614625919786</v>
      </c>
      <c r="X90" s="666">
        <f t="shared" si="14"/>
        <v>1902.3626918438183</v>
      </c>
      <c r="Y90" s="666">
        <f t="shared" si="14"/>
        <v>1940.4099456806944</v>
      </c>
      <c r="Z90" s="666">
        <f t="shared" si="14"/>
        <v>1979.2181445943086</v>
      </c>
      <c r="AA90" s="666">
        <f t="shared" si="14"/>
        <v>2018.8025074861948</v>
      </c>
      <c r="AB90" s="666">
        <f t="shared" si="14"/>
        <v>2059.1785576359189</v>
      </c>
      <c r="AC90" s="666">
        <f t="shared" si="14"/>
        <v>2100.3621287886372</v>
      </c>
      <c r="AD90" s="666">
        <f t="shared" si="14"/>
        <v>2142.3693713644102</v>
      </c>
      <c r="AE90" s="666">
        <f t="shared" si="14"/>
        <v>2185.2167587916983</v>
      </c>
    </row>
    <row r="91" spans="1:35">
      <c r="A91" s="37" t="s">
        <v>44</v>
      </c>
      <c r="B91" s="37"/>
      <c r="C91" s="110"/>
      <c r="D91" s="106"/>
      <c r="E91" s="57"/>
      <c r="F91" s="57"/>
      <c r="G91" s="57"/>
      <c r="H91" s="57"/>
      <c r="I91" s="51" t="s">
        <v>8</v>
      </c>
      <c r="J91" s="663">
        <v>250</v>
      </c>
      <c r="K91" s="683">
        <v>0</v>
      </c>
      <c r="L91" s="666">
        <f>J91*L83</f>
        <v>250</v>
      </c>
      <c r="M91" s="666">
        <f t="shared" ref="M91:AE91" si="15">$J$91*M83*L11</f>
        <v>765</v>
      </c>
      <c r="N91" s="666">
        <f t="shared" si="15"/>
        <v>780.3</v>
      </c>
      <c r="O91" s="666">
        <f t="shared" si="15"/>
        <v>795.90599999999995</v>
      </c>
      <c r="P91" s="666">
        <f t="shared" si="15"/>
        <v>811.82411999999999</v>
      </c>
      <c r="Q91" s="666">
        <f t="shared" si="15"/>
        <v>828.06060239999999</v>
      </c>
      <c r="R91" s="666">
        <f t="shared" si="15"/>
        <v>844.62181444800001</v>
      </c>
      <c r="S91" s="666">
        <f t="shared" si="15"/>
        <v>861.51425073695998</v>
      </c>
      <c r="T91" s="666">
        <f t="shared" si="15"/>
        <v>878.74453575169935</v>
      </c>
      <c r="U91" s="666">
        <f t="shared" si="15"/>
        <v>896.31942646673326</v>
      </c>
      <c r="V91" s="666">
        <f t="shared" si="15"/>
        <v>914.24581499606802</v>
      </c>
      <c r="W91" s="666">
        <f t="shared" si="15"/>
        <v>932.53073129598931</v>
      </c>
      <c r="X91" s="666">
        <f t="shared" si="15"/>
        <v>951.18134592190916</v>
      </c>
      <c r="Y91" s="666">
        <f t="shared" si="15"/>
        <v>970.20497284034718</v>
      </c>
      <c r="Z91" s="666">
        <f t="shared" si="15"/>
        <v>989.60907229715428</v>
      </c>
      <c r="AA91" s="666">
        <f t="shared" si="15"/>
        <v>1009.4012537430974</v>
      </c>
      <c r="AB91" s="666">
        <f t="shared" si="15"/>
        <v>1029.5892788179594</v>
      </c>
      <c r="AC91" s="666">
        <f t="shared" si="15"/>
        <v>1050.1810643943186</v>
      </c>
      <c r="AD91" s="666">
        <f t="shared" si="15"/>
        <v>1071.1846856822051</v>
      </c>
      <c r="AE91" s="666">
        <f t="shared" si="15"/>
        <v>1092.6083793958492</v>
      </c>
      <c r="AF91" s="44"/>
    </row>
    <row r="92" spans="1:35">
      <c r="A92" s="745" t="s">
        <v>2</v>
      </c>
      <c r="B92" s="745"/>
      <c r="C92" s="753"/>
      <c r="D92" s="754"/>
      <c r="E92" s="746"/>
      <c r="F92" s="746"/>
      <c r="G92" s="746"/>
      <c r="H92" s="746"/>
      <c r="I92" s="755"/>
      <c r="J92" s="739"/>
      <c r="K92" s="741">
        <v>0</v>
      </c>
      <c r="L92" s="742">
        <v>1000</v>
      </c>
      <c r="M92" s="742">
        <f t="shared" ref="M92:AE92" si="16">($L$92*L11)</f>
        <v>1020</v>
      </c>
      <c r="N92" s="742">
        <f t="shared" si="16"/>
        <v>1040.4000000000001</v>
      </c>
      <c r="O92" s="742">
        <f t="shared" si="16"/>
        <v>1061.2079999999999</v>
      </c>
      <c r="P92" s="742">
        <f t="shared" si="16"/>
        <v>1082.4321600000001</v>
      </c>
      <c r="Q92" s="742">
        <f t="shared" si="16"/>
        <v>1104.0808032</v>
      </c>
      <c r="R92" s="742">
        <f t="shared" si="16"/>
        <v>1126.1624192640002</v>
      </c>
      <c r="S92" s="742">
        <f t="shared" si="16"/>
        <v>1148.68566764928</v>
      </c>
      <c r="T92" s="742">
        <f t="shared" si="16"/>
        <v>1171.6593810022657</v>
      </c>
      <c r="U92" s="742">
        <f t="shared" si="16"/>
        <v>1195.0925686223111</v>
      </c>
      <c r="V92" s="742">
        <f t="shared" si="16"/>
        <v>1218.9944199947574</v>
      </c>
      <c r="W92" s="742">
        <f t="shared" si="16"/>
        <v>1243.3743083946524</v>
      </c>
      <c r="X92" s="742">
        <f t="shared" si="16"/>
        <v>1268.2417945625455</v>
      </c>
      <c r="Y92" s="742">
        <f t="shared" si="16"/>
        <v>1293.6066304537962</v>
      </c>
      <c r="Z92" s="742">
        <f t="shared" si="16"/>
        <v>1319.4787630628723</v>
      </c>
      <c r="AA92" s="742">
        <f t="shared" si="16"/>
        <v>1345.8683383241298</v>
      </c>
      <c r="AB92" s="742">
        <f t="shared" si="16"/>
        <v>1372.7857050906125</v>
      </c>
      <c r="AC92" s="742">
        <f t="shared" si="16"/>
        <v>1400.2414191924249</v>
      </c>
      <c r="AD92" s="742">
        <f t="shared" si="16"/>
        <v>1428.2462475762734</v>
      </c>
      <c r="AE92" s="742">
        <f t="shared" si="16"/>
        <v>1456.8111725277988</v>
      </c>
    </row>
    <row r="93" spans="1:35" s="56" customFormat="1" ht="14.25">
      <c r="A93" s="164" t="s">
        <v>409</v>
      </c>
      <c r="B93" s="215"/>
      <c r="C93" s="216"/>
      <c r="D93" s="217"/>
      <c r="E93" s="218"/>
      <c r="F93" s="218"/>
      <c r="G93" s="218"/>
      <c r="H93" s="218"/>
      <c r="I93" s="219"/>
      <c r="J93" s="756"/>
      <c r="K93" s="687">
        <f>SUM(K87:K92)</f>
        <v>0</v>
      </c>
      <c r="L93" s="757">
        <f>SUM(L87:L92)</f>
        <v>86750</v>
      </c>
      <c r="M93" s="757">
        <f t="shared" ref="M93:AE93" si="17">SUM(M87:M92)</f>
        <v>80315</v>
      </c>
      <c r="N93" s="757">
        <f t="shared" si="17"/>
        <v>81931.5</v>
      </c>
      <c r="O93" s="757">
        <f t="shared" si="17"/>
        <v>83570.13</v>
      </c>
      <c r="P93" s="757">
        <f t="shared" si="17"/>
        <v>85241.532599999991</v>
      </c>
      <c r="Q93" s="757">
        <f t="shared" si="17"/>
        <v>91394.322850400014</v>
      </c>
      <c r="R93" s="757">
        <f t="shared" si="17"/>
        <v>88685.290517040004</v>
      </c>
      <c r="S93" s="757">
        <f t="shared" si="17"/>
        <v>90458.996327380795</v>
      </c>
      <c r="T93" s="757">
        <f t="shared" si="17"/>
        <v>92268.176253928425</v>
      </c>
      <c r="U93" s="757">
        <f t="shared" si="17"/>
        <v>94113.539779006998</v>
      </c>
      <c r="V93" s="757">
        <f t="shared" si="17"/>
        <v>100386.31336458978</v>
      </c>
      <c r="W93" s="757">
        <f t="shared" si="17"/>
        <v>97915.726786078885</v>
      </c>
      <c r="X93" s="757">
        <f t="shared" si="17"/>
        <v>99874.041321800469</v>
      </c>
      <c r="Y93" s="757">
        <f t="shared" si="17"/>
        <v>101871.52214823647</v>
      </c>
      <c r="Z93" s="757">
        <f t="shared" si="17"/>
        <v>103908.9525912012</v>
      </c>
      <c r="AA93" s="757">
        <f t="shared" si="17"/>
        <v>110314.19747386317</v>
      </c>
      <c r="AB93" s="757">
        <f t="shared" si="17"/>
        <v>108106.87427588576</v>
      </c>
      <c r="AC93" s="757">
        <f t="shared" si="17"/>
        <v>110269.01176140344</v>
      </c>
      <c r="AD93" s="757">
        <f t="shared" si="17"/>
        <v>112474.39199663154</v>
      </c>
      <c r="AE93" s="757">
        <f t="shared" si="17"/>
        <v>114723.87983656416</v>
      </c>
    </row>
    <row r="94" spans="1:35" s="56" customFormat="1" ht="14.25">
      <c r="A94" s="164"/>
      <c r="B94" s="215"/>
      <c r="C94" s="216"/>
      <c r="D94" s="217"/>
      <c r="E94" s="218"/>
      <c r="F94" s="218"/>
      <c r="G94" s="218"/>
      <c r="H94" s="218"/>
      <c r="I94" s="219"/>
      <c r="J94" s="220"/>
      <c r="K94" s="687"/>
      <c r="L94" s="318"/>
      <c r="M94" s="318"/>
      <c r="N94" s="318"/>
      <c r="O94" s="318"/>
      <c r="P94" s="318"/>
      <c r="Q94" s="318"/>
      <c r="R94" s="318"/>
      <c r="S94" s="318"/>
      <c r="T94" s="318"/>
      <c r="U94" s="318"/>
      <c r="V94" s="318"/>
      <c r="W94" s="318"/>
      <c r="X94" s="318"/>
      <c r="Y94" s="318"/>
      <c r="Z94" s="318"/>
      <c r="AA94" s="318"/>
      <c r="AB94" s="318"/>
      <c r="AC94" s="318"/>
      <c r="AD94" s="318"/>
      <c r="AE94" s="318"/>
    </row>
    <row r="95" spans="1:35" s="56" customFormat="1" ht="14.25">
      <c r="A95" s="720" t="s">
        <v>26</v>
      </c>
      <c r="B95" s="215"/>
      <c r="C95" s="218"/>
      <c r="D95" s="721"/>
      <c r="E95" s="218"/>
      <c r="F95" s="218"/>
      <c r="G95" s="218"/>
      <c r="H95" s="218"/>
      <c r="I95" s="722"/>
      <c r="J95" s="220"/>
      <c r="K95" s="687"/>
      <c r="L95" s="318"/>
      <c r="M95" s="318"/>
      <c r="N95" s="318"/>
      <c r="O95" s="318"/>
      <c r="P95" s="318"/>
      <c r="Q95" s="318"/>
      <c r="R95" s="318"/>
      <c r="S95" s="318"/>
      <c r="T95" s="318"/>
      <c r="U95" s="318"/>
      <c r="V95" s="318"/>
      <c r="W95" s="318"/>
      <c r="X95" s="318"/>
      <c r="Y95" s="318"/>
      <c r="Z95" s="318"/>
      <c r="AA95" s="318"/>
      <c r="AB95" s="318"/>
      <c r="AC95" s="318"/>
      <c r="AD95" s="318"/>
      <c r="AE95" s="318"/>
      <c r="AF95" s="723"/>
      <c r="AG95" s="723"/>
      <c r="AH95" s="723"/>
      <c r="AI95" s="723"/>
    </row>
    <row r="96" spans="1:35">
      <c r="A96" s="190" t="s">
        <v>41</v>
      </c>
      <c r="B96" s="190"/>
      <c r="C96" s="194"/>
      <c r="D96" s="758"/>
      <c r="E96" s="194"/>
      <c r="F96" s="194"/>
      <c r="G96" s="759"/>
      <c r="H96" s="759"/>
      <c r="I96" s="760"/>
      <c r="J96" s="761"/>
      <c r="K96" s="689">
        <v>0</v>
      </c>
      <c r="L96" s="665">
        <v>1000</v>
      </c>
      <c r="M96" s="665">
        <f>$L$96*L11</f>
        <v>1020</v>
      </c>
      <c r="N96" s="665">
        <f t="shared" ref="N96:P96" si="18">$L$96*M11</f>
        <v>1040.4000000000001</v>
      </c>
      <c r="O96" s="665">
        <f t="shared" si="18"/>
        <v>1061.2079999999999</v>
      </c>
      <c r="P96" s="665">
        <f t="shared" si="18"/>
        <v>1082.4321600000001</v>
      </c>
      <c r="Q96" s="665">
        <v>25000</v>
      </c>
      <c r="R96" s="665">
        <f>$Q$96*L11</f>
        <v>25500</v>
      </c>
      <c r="S96" s="665">
        <f t="shared" ref="S96:AE96" si="19">$Q$96*M11</f>
        <v>26010</v>
      </c>
      <c r="T96" s="665">
        <f t="shared" si="19"/>
        <v>26530.199999999997</v>
      </c>
      <c r="U96" s="665">
        <f t="shared" si="19"/>
        <v>27060.804</v>
      </c>
      <c r="V96" s="665">
        <f t="shared" si="19"/>
        <v>27602.020080000002</v>
      </c>
      <c r="W96" s="665">
        <f t="shared" si="19"/>
        <v>28154.060481600001</v>
      </c>
      <c r="X96" s="665">
        <f t="shared" si="19"/>
        <v>28717.141691232002</v>
      </c>
      <c r="Y96" s="665">
        <f t="shared" si="19"/>
        <v>29291.484525056643</v>
      </c>
      <c r="Z96" s="665">
        <f t="shared" si="19"/>
        <v>29877.314215557777</v>
      </c>
      <c r="AA96" s="665">
        <f t="shared" si="19"/>
        <v>30474.860499868933</v>
      </c>
      <c r="AB96" s="665">
        <f t="shared" si="19"/>
        <v>31084.357709866312</v>
      </c>
      <c r="AC96" s="665">
        <f t="shared" si="19"/>
        <v>31706.044864063639</v>
      </c>
      <c r="AD96" s="665">
        <f t="shared" si="19"/>
        <v>32340.165761344906</v>
      </c>
      <c r="AE96" s="665">
        <f t="shared" si="19"/>
        <v>32986.969076571811</v>
      </c>
      <c r="AF96" s="55"/>
      <c r="AG96" s="55"/>
      <c r="AH96" s="55"/>
      <c r="AI96" s="55"/>
    </row>
    <row r="97" spans="1:33">
      <c r="A97" s="745" t="s">
        <v>302</v>
      </c>
      <c r="B97" s="745"/>
      <c r="C97" s="746"/>
      <c r="D97" s="116"/>
      <c r="E97" s="746"/>
      <c r="F97" s="746"/>
      <c r="G97" s="753"/>
      <c r="H97" s="753"/>
      <c r="I97" s="755"/>
      <c r="J97" s="762"/>
      <c r="K97" s="741">
        <v>0</v>
      </c>
      <c r="L97" s="742">
        <f>'Shuttle Projections'!C39/2</f>
        <v>233675</v>
      </c>
      <c r="M97" s="742">
        <f>'Shuttle Projections'!D39</f>
        <v>476697</v>
      </c>
      <c r="N97" s="742">
        <f>'Shuttle Projections'!E39</f>
        <v>486230.94000000006</v>
      </c>
      <c r="O97" s="742">
        <f>'Shuttle Projections'!F39</f>
        <v>495955.55879999994</v>
      </c>
      <c r="P97" s="742">
        <f>'Shuttle Projections'!G39</f>
        <v>505874.66997599998</v>
      </c>
      <c r="Q97" s="742">
        <f>'Shuttle Projections'!H39</f>
        <v>515992.16337552003</v>
      </c>
      <c r="R97" s="742">
        <f>'Shuttle Projections'!I39</f>
        <v>526312.00664303044</v>
      </c>
      <c r="S97" s="742">
        <f>'Shuttle Projections'!J39</f>
        <v>536838.24677589093</v>
      </c>
      <c r="T97" s="742">
        <f>'Shuttle Projections'!K39</f>
        <v>547575.01171140897</v>
      </c>
      <c r="U97" s="742">
        <f>'Shuttle Projections'!L39</f>
        <v>558526.51194563706</v>
      </c>
      <c r="V97" s="742">
        <f>'Shuttle Projections'!M39</f>
        <v>569697.04218454985</v>
      </c>
      <c r="W97" s="742">
        <f>'Shuttle Projections'!N39</f>
        <v>581090.98302824085</v>
      </c>
      <c r="X97" s="742">
        <f>'Shuttle Projections'!O39</f>
        <v>592712.80268880562</v>
      </c>
      <c r="Y97" s="742">
        <f>'Shuttle Projections'!P39</f>
        <v>604567.05874258175</v>
      </c>
      <c r="Z97" s="742">
        <f>'Shuttle Projections'!Q39</f>
        <v>616658.39991743339</v>
      </c>
      <c r="AA97" s="742">
        <f>'Shuttle Projections'!R39</f>
        <v>628991.5679157821</v>
      </c>
      <c r="AB97" s="742">
        <f>'Shuttle Projections'!S39</f>
        <v>641571.39927409776</v>
      </c>
      <c r="AC97" s="742">
        <f>'Shuttle Projections'!T39</f>
        <v>654402.82725957979</v>
      </c>
      <c r="AD97" s="742">
        <f>'Shuttle Projections'!U39</f>
        <v>667490.88380477135</v>
      </c>
      <c r="AE97" s="742">
        <f>'Shuttle Projections'!V39</f>
        <v>680840.70148086676</v>
      </c>
    </row>
    <row r="98" spans="1:33" s="56" customFormat="1" ht="14.25">
      <c r="A98" s="164" t="s">
        <v>410</v>
      </c>
      <c r="B98" s="164"/>
      <c r="C98" s="75"/>
      <c r="D98" s="173"/>
      <c r="E98" s="75"/>
      <c r="F98" s="75"/>
      <c r="G98" s="75"/>
      <c r="H98" s="75"/>
      <c r="I98" s="174"/>
      <c r="J98" s="175"/>
      <c r="K98" s="685">
        <v>0</v>
      </c>
      <c r="L98" s="669">
        <f>SUM(L96:L97)</f>
        <v>234675</v>
      </c>
      <c r="M98" s="669">
        <f t="shared" ref="M98:AE98" si="20">SUM(M96:M97)</f>
        <v>477717</v>
      </c>
      <c r="N98" s="669">
        <f t="shared" si="20"/>
        <v>487271.34000000008</v>
      </c>
      <c r="O98" s="669">
        <f t="shared" si="20"/>
        <v>497016.76679999992</v>
      </c>
      <c r="P98" s="669">
        <f t="shared" si="20"/>
        <v>506957.102136</v>
      </c>
      <c r="Q98" s="669">
        <f t="shared" si="20"/>
        <v>540992.16337552003</v>
      </c>
      <c r="R98" s="669">
        <f t="shared" si="20"/>
        <v>551812.00664303044</v>
      </c>
      <c r="S98" s="669">
        <f t="shared" si="20"/>
        <v>562848.24677589093</v>
      </c>
      <c r="T98" s="669">
        <f t="shared" si="20"/>
        <v>574105.21171140892</v>
      </c>
      <c r="U98" s="669">
        <f t="shared" si="20"/>
        <v>585587.31594563706</v>
      </c>
      <c r="V98" s="669">
        <f t="shared" si="20"/>
        <v>597299.0622645499</v>
      </c>
      <c r="W98" s="669">
        <f t="shared" si="20"/>
        <v>609245.04350984085</v>
      </c>
      <c r="X98" s="669">
        <f t="shared" si="20"/>
        <v>621429.9443800376</v>
      </c>
      <c r="Y98" s="669">
        <f t="shared" si="20"/>
        <v>633858.54326763842</v>
      </c>
      <c r="Z98" s="669">
        <f t="shared" si="20"/>
        <v>646535.71413299115</v>
      </c>
      <c r="AA98" s="669">
        <f t="shared" si="20"/>
        <v>659466.42841565108</v>
      </c>
      <c r="AB98" s="669">
        <f t="shared" si="20"/>
        <v>672655.75698396412</v>
      </c>
      <c r="AC98" s="669">
        <f t="shared" si="20"/>
        <v>686108.87212364341</v>
      </c>
      <c r="AD98" s="669">
        <f t="shared" si="20"/>
        <v>699831.0495661163</v>
      </c>
      <c r="AE98" s="669">
        <f t="shared" si="20"/>
        <v>713827.67055743863</v>
      </c>
    </row>
    <row r="99" spans="1:33" s="56" customFormat="1" ht="14.25">
      <c r="A99" s="164"/>
      <c r="B99" s="164"/>
      <c r="C99" s="75"/>
      <c r="D99" s="173"/>
      <c r="E99" s="75"/>
      <c r="F99" s="75"/>
      <c r="G99" s="75"/>
      <c r="H99" s="75"/>
      <c r="I99" s="174"/>
      <c r="J99" s="175"/>
      <c r="K99" s="685"/>
      <c r="L99" s="669"/>
      <c r="M99" s="669"/>
      <c r="N99" s="669"/>
      <c r="O99" s="669"/>
      <c r="P99" s="669"/>
      <c r="Q99" s="669"/>
      <c r="R99" s="669"/>
      <c r="S99" s="669"/>
      <c r="T99" s="669"/>
      <c r="U99" s="669"/>
      <c r="V99" s="669"/>
      <c r="W99" s="669"/>
      <c r="X99" s="669"/>
      <c r="Y99" s="669"/>
      <c r="Z99" s="669"/>
      <c r="AA99" s="669"/>
      <c r="AB99" s="669"/>
      <c r="AC99" s="669"/>
      <c r="AD99" s="669"/>
      <c r="AE99" s="669"/>
    </row>
    <row r="100" spans="1:33" s="56" customFormat="1" ht="14.25">
      <c r="A100" s="164" t="s">
        <v>78</v>
      </c>
      <c r="B100" s="164"/>
      <c r="C100" s="75"/>
      <c r="D100" s="173"/>
      <c r="E100" s="75"/>
      <c r="F100" s="75"/>
      <c r="G100" s="75"/>
      <c r="H100" s="75"/>
      <c r="I100" s="174"/>
      <c r="J100" s="175"/>
      <c r="K100" s="685">
        <v>0</v>
      </c>
      <c r="L100" s="669">
        <f>SUM(L93,L98)</f>
        <v>321425</v>
      </c>
      <c r="M100" s="669">
        <f t="shared" ref="M100:AE100" si="21">SUM(M93,M98)</f>
        <v>558032</v>
      </c>
      <c r="N100" s="669">
        <f t="shared" si="21"/>
        <v>569202.84000000008</v>
      </c>
      <c r="O100" s="669">
        <f t="shared" si="21"/>
        <v>580586.89679999999</v>
      </c>
      <c r="P100" s="669">
        <f t="shared" si="21"/>
        <v>592198.63473599998</v>
      </c>
      <c r="Q100" s="669">
        <f t="shared" si="21"/>
        <v>632386.48622592003</v>
      </c>
      <c r="R100" s="669">
        <f t="shared" si="21"/>
        <v>640497.29716007039</v>
      </c>
      <c r="S100" s="669">
        <f t="shared" si="21"/>
        <v>653307.2431032717</v>
      </c>
      <c r="T100" s="669">
        <f t="shared" si="21"/>
        <v>666373.38796533737</v>
      </c>
      <c r="U100" s="669">
        <f t="shared" si="21"/>
        <v>679700.85572464403</v>
      </c>
      <c r="V100" s="669">
        <f t="shared" si="21"/>
        <v>697685.37562913971</v>
      </c>
      <c r="W100" s="669">
        <f t="shared" si="21"/>
        <v>707160.77029591973</v>
      </c>
      <c r="X100" s="669">
        <f t="shared" si="21"/>
        <v>721303.98570183804</v>
      </c>
      <c r="Y100" s="669">
        <f t="shared" si="21"/>
        <v>735730.06541587494</v>
      </c>
      <c r="Z100" s="669">
        <f t="shared" si="21"/>
        <v>750444.66672419233</v>
      </c>
      <c r="AA100" s="669">
        <f t="shared" si="21"/>
        <v>769780.62588951422</v>
      </c>
      <c r="AB100" s="669">
        <f t="shared" si="21"/>
        <v>780762.63125984988</v>
      </c>
      <c r="AC100" s="669">
        <f t="shared" si="21"/>
        <v>796377.88388504682</v>
      </c>
      <c r="AD100" s="669">
        <f t="shared" si="21"/>
        <v>812305.44156274782</v>
      </c>
      <c r="AE100" s="669">
        <f t="shared" si="21"/>
        <v>828551.55039400281</v>
      </c>
    </row>
    <row r="101" spans="1:33">
      <c r="A101" s="47"/>
      <c r="B101" s="47"/>
      <c r="C101" s="78"/>
      <c r="D101" s="100"/>
      <c r="E101" s="78"/>
      <c r="F101" s="78"/>
      <c r="G101" s="78"/>
      <c r="H101" s="78"/>
      <c r="I101" s="52"/>
      <c r="J101" s="114"/>
      <c r="K101" s="683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</row>
    <row r="102" spans="1:33">
      <c r="A102" s="168" t="s">
        <v>25</v>
      </c>
      <c r="B102" s="168"/>
      <c r="C102" s="176"/>
      <c r="D102" s="177"/>
      <c r="E102" s="176"/>
      <c r="F102" s="176"/>
      <c r="G102" s="176"/>
      <c r="H102" s="176"/>
      <c r="I102" s="178"/>
      <c r="J102" s="179"/>
      <c r="K102" s="682"/>
      <c r="L102" s="319"/>
      <c r="M102" s="319"/>
      <c r="N102" s="319"/>
      <c r="O102" s="319"/>
      <c r="P102" s="319"/>
      <c r="Q102" s="319"/>
      <c r="R102" s="319"/>
      <c r="S102" s="319"/>
      <c r="T102" s="319"/>
      <c r="U102" s="319"/>
      <c r="V102" s="319"/>
      <c r="W102" s="319"/>
      <c r="X102" s="319"/>
      <c r="Y102" s="319"/>
      <c r="Z102" s="319"/>
      <c r="AA102" s="319"/>
      <c r="AB102" s="319"/>
      <c r="AC102" s="319"/>
      <c r="AD102" s="319"/>
      <c r="AE102" s="319"/>
    </row>
    <row r="103" spans="1:33" s="252" customFormat="1">
      <c r="A103" s="183"/>
      <c r="B103" s="183"/>
      <c r="C103" s="185"/>
      <c r="D103" s="186"/>
      <c r="E103" s="185"/>
      <c r="F103" s="185"/>
      <c r="G103" s="185"/>
      <c r="H103" s="185"/>
      <c r="I103" s="302"/>
      <c r="J103" s="188"/>
      <c r="K103" s="683"/>
      <c r="L103" s="320"/>
      <c r="M103" s="320"/>
      <c r="N103" s="320"/>
      <c r="O103" s="320"/>
      <c r="P103" s="320"/>
      <c r="Q103" s="320"/>
      <c r="R103" s="320"/>
      <c r="S103" s="320"/>
      <c r="T103" s="320"/>
      <c r="U103" s="320"/>
      <c r="V103" s="320"/>
      <c r="W103" s="320"/>
      <c r="X103" s="320"/>
      <c r="Y103" s="320"/>
      <c r="Z103" s="320"/>
      <c r="AA103" s="320"/>
      <c r="AB103" s="320"/>
      <c r="AC103" s="320"/>
      <c r="AD103" s="320"/>
      <c r="AE103" s="320"/>
    </row>
    <row r="104" spans="1:33">
      <c r="A104" s="37" t="s">
        <v>425</v>
      </c>
      <c r="B104" s="37"/>
      <c r="C104" s="57"/>
      <c r="E104" s="57"/>
      <c r="F104" s="57"/>
      <c r="G104" s="57"/>
      <c r="H104" s="998"/>
      <c r="I104" s="51" t="s">
        <v>532</v>
      </c>
      <c r="J104" s="624">
        <f>((10800/6)*7)+((11000/6)*7)</f>
        <v>25433.333333333332</v>
      </c>
      <c r="K104" s="683">
        <v>0</v>
      </c>
      <c r="L104" s="671">
        <f>J104</f>
        <v>25433.333333333332</v>
      </c>
      <c r="M104" s="671">
        <f>$L$104*L11</f>
        <v>25942</v>
      </c>
      <c r="N104" s="671">
        <f t="shared" ref="N104:AE104" si="22">$L$104*M11</f>
        <v>26460.84</v>
      </c>
      <c r="O104" s="671">
        <f t="shared" si="22"/>
        <v>26990.056799999998</v>
      </c>
      <c r="P104" s="671">
        <f t="shared" si="22"/>
        <v>27529.857935999997</v>
      </c>
      <c r="Q104" s="671">
        <f t="shared" si="22"/>
        <v>28080.45509472</v>
      </c>
      <c r="R104" s="671">
        <f t="shared" si="22"/>
        <v>28642.064196614399</v>
      </c>
      <c r="S104" s="671">
        <f t="shared" si="22"/>
        <v>29214.905480546688</v>
      </c>
      <c r="T104" s="671">
        <f t="shared" si="22"/>
        <v>29799.203590157624</v>
      </c>
      <c r="U104" s="671">
        <f t="shared" si="22"/>
        <v>30395.187661960776</v>
      </c>
      <c r="V104" s="671">
        <f t="shared" si="22"/>
        <v>31003.091415199993</v>
      </c>
      <c r="W104" s="671">
        <f t="shared" si="22"/>
        <v>31623.153243503992</v>
      </c>
      <c r="X104" s="671">
        <f t="shared" si="22"/>
        <v>32255.616308374072</v>
      </c>
      <c r="Y104" s="671">
        <f t="shared" si="22"/>
        <v>32900.728634541549</v>
      </c>
      <c r="Z104" s="671">
        <f t="shared" si="22"/>
        <v>33558.743207232386</v>
      </c>
      <c r="AA104" s="671">
        <f t="shared" si="22"/>
        <v>34229.918071377033</v>
      </c>
      <c r="AB104" s="671">
        <f t="shared" si="22"/>
        <v>34914.516432804579</v>
      </c>
      <c r="AC104" s="671">
        <f t="shared" si="22"/>
        <v>35612.80676146067</v>
      </c>
      <c r="AD104" s="671">
        <f t="shared" si="22"/>
        <v>36325.062896689888</v>
      </c>
      <c r="AE104" s="671">
        <f t="shared" si="22"/>
        <v>37051.56415462368</v>
      </c>
    </row>
    <row r="105" spans="1:33">
      <c r="A105" s="37" t="s">
        <v>16</v>
      </c>
      <c r="B105" s="37"/>
      <c r="C105" s="57"/>
      <c r="E105" s="57"/>
      <c r="F105" s="57"/>
      <c r="G105" s="57"/>
      <c r="H105" s="998"/>
      <c r="I105" s="51" t="s">
        <v>17</v>
      </c>
      <c r="J105" s="624">
        <f>1250</f>
        <v>1250</v>
      </c>
      <c r="K105" s="683">
        <v>0</v>
      </c>
      <c r="L105" s="671">
        <f>J105*7</f>
        <v>8750</v>
      </c>
      <c r="M105" s="671">
        <f>$L$105*L11</f>
        <v>8925</v>
      </c>
      <c r="N105" s="671">
        <f t="shared" ref="N105:AE105" si="23">$L$105*M11</f>
        <v>9103.5</v>
      </c>
      <c r="O105" s="671">
        <f t="shared" si="23"/>
        <v>9285.57</v>
      </c>
      <c r="P105" s="671">
        <f t="shared" si="23"/>
        <v>9471.2813999999998</v>
      </c>
      <c r="Q105" s="671">
        <f t="shared" si="23"/>
        <v>9660.7070280000007</v>
      </c>
      <c r="R105" s="671">
        <f t="shared" si="23"/>
        <v>9853.9211685600003</v>
      </c>
      <c r="S105" s="671">
        <f t="shared" si="23"/>
        <v>10050.9995919312</v>
      </c>
      <c r="T105" s="671">
        <f t="shared" si="23"/>
        <v>10252.019583769825</v>
      </c>
      <c r="U105" s="671">
        <f t="shared" si="23"/>
        <v>10457.059975445221</v>
      </c>
      <c r="V105" s="671">
        <f t="shared" si="23"/>
        <v>10666.201174954127</v>
      </c>
      <c r="W105" s="671">
        <f t="shared" si="23"/>
        <v>10879.52519845321</v>
      </c>
      <c r="X105" s="671">
        <f t="shared" si="23"/>
        <v>11097.115702422274</v>
      </c>
      <c r="Y105" s="671">
        <f t="shared" si="23"/>
        <v>11319.058016470717</v>
      </c>
      <c r="Z105" s="671">
        <f t="shared" si="23"/>
        <v>11545.439176800133</v>
      </c>
      <c r="AA105" s="671">
        <f t="shared" si="23"/>
        <v>11776.347960336136</v>
      </c>
      <c r="AB105" s="671">
        <f t="shared" si="23"/>
        <v>12011.874919542859</v>
      </c>
      <c r="AC105" s="671">
        <f t="shared" si="23"/>
        <v>12252.112417933717</v>
      </c>
      <c r="AD105" s="671">
        <f t="shared" si="23"/>
        <v>12497.154666292392</v>
      </c>
      <c r="AE105" s="671">
        <f t="shared" si="23"/>
        <v>12747.09775961824</v>
      </c>
    </row>
    <row r="106" spans="1:33" s="702" customFormat="1">
      <c r="A106" s="701" t="s">
        <v>53</v>
      </c>
      <c r="B106" s="701"/>
      <c r="C106" s="705"/>
      <c r="D106" s="984"/>
      <c r="E106" s="705"/>
      <c r="F106" s="705"/>
      <c r="G106" s="705"/>
      <c r="H106" s="985"/>
      <c r="I106" s="706" t="s">
        <v>17</v>
      </c>
      <c r="J106" s="986">
        <v>0</v>
      </c>
      <c r="K106" s="987">
        <v>0</v>
      </c>
      <c r="L106" s="988">
        <f t="shared" ref="L106:L107" si="24">J106*12</f>
        <v>0</v>
      </c>
      <c r="M106" s="988">
        <f t="shared" ref="M106:AB107" si="25">L106*1.03</f>
        <v>0</v>
      </c>
      <c r="N106" s="988">
        <f t="shared" si="25"/>
        <v>0</v>
      </c>
      <c r="O106" s="988">
        <f t="shared" si="25"/>
        <v>0</v>
      </c>
      <c r="P106" s="988">
        <f t="shared" si="25"/>
        <v>0</v>
      </c>
      <c r="Q106" s="988">
        <f t="shared" si="25"/>
        <v>0</v>
      </c>
      <c r="R106" s="988">
        <f t="shared" si="25"/>
        <v>0</v>
      </c>
      <c r="S106" s="988">
        <f t="shared" si="25"/>
        <v>0</v>
      </c>
      <c r="T106" s="988">
        <f t="shared" si="25"/>
        <v>0</v>
      </c>
      <c r="U106" s="988">
        <f t="shared" si="25"/>
        <v>0</v>
      </c>
      <c r="V106" s="988">
        <f t="shared" si="25"/>
        <v>0</v>
      </c>
      <c r="W106" s="988">
        <f t="shared" si="25"/>
        <v>0</v>
      </c>
      <c r="X106" s="988">
        <f t="shared" si="25"/>
        <v>0</v>
      </c>
      <c r="Y106" s="988">
        <f t="shared" si="25"/>
        <v>0</v>
      </c>
      <c r="Z106" s="988">
        <f t="shared" si="25"/>
        <v>0</v>
      </c>
      <c r="AA106" s="988">
        <f t="shared" si="25"/>
        <v>0</v>
      </c>
      <c r="AB106" s="988">
        <f t="shared" si="25"/>
        <v>0</v>
      </c>
      <c r="AC106" s="988">
        <f t="shared" ref="AC106:AE107" si="26">AB106*1.03</f>
        <v>0</v>
      </c>
      <c r="AD106" s="988">
        <f t="shared" si="26"/>
        <v>0</v>
      </c>
      <c r="AE106" s="988">
        <f t="shared" si="26"/>
        <v>0</v>
      </c>
    </row>
    <row r="107" spans="1:33" s="702" customFormat="1">
      <c r="A107" s="989" t="s">
        <v>54</v>
      </c>
      <c r="B107" s="990"/>
      <c r="C107" s="991"/>
      <c r="D107" s="992"/>
      <c r="E107" s="991"/>
      <c r="F107" s="991"/>
      <c r="G107" s="991"/>
      <c r="H107" s="993"/>
      <c r="I107" s="994" t="s">
        <v>17</v>
      </c>
      <c r="J107" s="995">
        <v>0</v>
      </c>
      <c r="K107" s="996">
        <v>0</v>
      </c>
      <c r="L107" s="997">
        <f t="shared" si="24"/>
        <v>0</v>
      </c>
      <c r="M107" s="997">
        <f t="shared" si="25"/>
        <v>0</v>
      </c>
      <c r="N107" s="997">
        <f t="shared" si="25"/>
        <v>0</v>
      </c>
      <c r="O107" s="997">
        <f t="shared" si="25"/>
        <v>0</v>
      </c>
      <c r="P107" s="997">
        <f t="shared" si="25"/>
        <v>0</v>
      </c>
      <c r="Q107" s="997">
        <f t="shared" si="25"/>
        <v>0</v>
      </c>
      <c r="R107" s="997">
        <f t="shared" si="25"/>
        <v>0</v>
      </c>
      <c r="S107" s="997">
        <f t="shared" si="25"/>
        <v>0</v>
      </c>
      <c r="T107" s="997">
        <f t="shared" si="25"/>
        <v>0</v>
      </c>
      <c r="U107" s="997">
        <f t="shared" si="25"/>
        <v>0</v>
      </c>
      <c r="V107" s="997">
        <f t="shared" si="25"/>
        <v>0</v>
      </c>
      <c r="W107" s="997">
        <f t="shared" si="25"/>
        <v>0</v>
      </c>
      <c r="X107" s="997">
        <f t="shared" si="25"/>
        <v>0</v>
      </c>
      <c r="Y107" s="997">
        <f t="shared" si="25"/>
        <v>0</v>
      </c>
      <c r="Z107" s="997">
        <f t="shared" si="25"/>
        <v>0</v>
      </c>
      <c r="AA107" s="997">
        <f t="shared" si="25"/>
        <v>0</v>
      </c>
      <c r="AB107" s="997">
        <f t="shared" si="25"/>
        <v>0</v>
      </c>
      <c r="AC107" s="997">
        <f t="shared" si="26"/>
        <v>0</v>
      </c>
      <c r="AD107" s="997">
        <f t="shared" si="26"/>
        <v>0</v>
      </c>
      <c r="AE107" s="997">
        <f t="shared" si="26"/>
        <v>0</v>
      </c>
    </row>
    <row r="108" spans="1:33" s="56" customFormat="1" ht="14.25">
      <c r="A108" s="56" t="s">
        <v>55</v>
      </c>
      <c r="B108" s="164"/>
      <c r="C108" s="75"/>
      <c r="D108" s="173"/>
      <c r="E108" s="75"/>
      <c r="F108" s="75"/>
      <c r="G108" s="75"/>
      <c r="H108" s="75"/>
      <c r="I108" s="999"/>
      <c r="J108" s="1000"/>
      <c r="K108" s="685">
        <v>0</v>
      </c>
      <c r="L108" s="1001">
        <f>SUM(L104:L107)</f>
        <v>34183.333333333328</v>
      </c>
      <c r="M108" s="1001">
        <f t="shared" ref="M108:AE108" si="27">SUM(M104:M107)</f>
        <v>34867</v>
      </c>
      <c r="N108" s="1001">
        <f t="shared" si="27"/>
        <v>35564.339999999997</v>
      </c>
      <c r="O108" s="1001">
        <f t="shared" si="27"/>
        <v>36275.626799999998</v>
      </c>
      <c r="P108" s="1001">
        <f t="shared" si="27"/>
        <v>37001.139335999993</v>
      </c>
      <c r="Q108" s="1001">
        <f t="shared" si="27"/>
        <v>37741.162122720001</v>
      </c>
      <c r="R108" s="1001">
        <f t="shared" si="27"/>
        <v>38495.985365174398</v>
      </c>
      <c r="S108" s="1001">
        <f t="shared" si="27"/>
        <v>39265.905072477886</v>
      </c>
      <c r="T108" s="1001">
        <f t="shared" si="27"/>
        <v>40051.22317392745</v>
      </c>
      <c r="U108" s="1001">
        <f t="shared" si="27"/>
        <v>40852.247637405999</v>
      </c>
      <c r="V108" s="1001">
        <f t="shared" si="27"/>
        <v>41669.292590154117</v>
      </c>
      <c r="W108" s="1001">
        <f t="shared" si="27"/>
        <v>42502.6784419572</v>
      </c>
      <c r="X108" s="1001">
        <f t="shared" si="27"/>
        <v>43352.732010796346</v>
      </c>
      <c r="Y108" s="1001">
        <f t="shared" si="27"/>
        <v>44219.786651012269</v>
      </c>
      <c r="Z108" s="1001">
        <f t="shared" si="27"/>
        <v>45104.182384032523</v>
      </c>
      <c r="AA108" s="1001">
        <f t="shared" si="27"/>
        <v>46006.266031713167</v>
      </c>
      <c r="AB108" s="1001">
        <f t="shared" si="27"/>
        <v>46926.39135234744</v>
      </c>
      <c r="AC108" s="1001">
        <f t="shared" si="27"/>
        <v>47864.91917939439</v>
      </c>
      <c r="AD108" s="1001">
        <f t="shared" si="27"/>
        <v>48822.217562982281</v>
      </c>
      <c r="AE108" s="1001">
        <f t="shared" si="27"/>
        <v>49798.661914241922</v>
      </c>
    </row>
    <row r="109" spans="1:33">
      <c r="A109" s="56"/>
      <c r="B109" s="37"/>
      <c r="C109" s="57"/>
      <c r="E109" s="57"/>
      <c r="F109" s="57"/>
      <c r="G109" s="57"/>
      <c r="H109" s="57"/>
      <c r="I109" s="51"/>
      <c r="J109" s="624"/>
      <c r="K109" s="683"/>
      <c r="L109" s="666"/>
      <c r="M109" s="666"/>
      <c r="N109" s="666"/>
      <c r="O109" s="666"/>
      <c r="P109" s="666"/>
      <c r="Q109" s="666"/>
      <c r="R109" s="666"/>
      <c r="S109" s="666"/>
      <c r="T109" s="666"/>
      <c r="U109" s="666"/>
      <c r="V109" s="666"/>
      <c r="W109" s="666"/>
      <c r="X109" s="666"/>
      <c r="Y109" s="666"/>
      <c r="Z109" s="666"/>
      <c r="AA109" s="666"/>
      <c r="AB109" s="666"/>
      <c r="AC109" s="666"/>
      <c r="AD109" s="666"/>
      <c r="AE109" s="666"/>
    </row>
    <row r="110" spans="1:33">
      <c r="A110" s="47" t="s">
        <v>7</v>
      </c>
      <c r="B110" s="47" t="s">
        <v>7</v>
      </c>
      <c r="C110" s="78" t="s">
        <v>7</v>
      </c>
      <c r="D110" s="100"/>
      <c r="E110" s="78" t="s">
        <v>7</v>
      </c>
      <c r="F110" s="78"/>
      <c r="G110" s="78" t="s">
        <v>7</v>
      </c>
      <c r="H110" s="78"/>
      <c r="I110" s="52" t="s">
        <v>7</v>
      </c>
      <c r="J110" s="672"/>
      <c r="K110" s="673"/>
      <c r="L110" s="672"/>
      <c r="M110" s="672"/>
      <c r="N110" s="672"/>
      <c r="O110" s="672"/>
      <c r="P110" s="672"/>
      <c r="Q110" s="672"/>
      <c r="R110" s="672"/>
      <c r="S110" s="672"/>
      <c r="T110" s="672"/>
      <c r="U110" s="672"/>
      <c r="V110" s="672"/>
      <c r="W110" s="672"/>
      <c r="X110" s="672"/>
      <c r="Y110" s="672"/>
      <c r="Z110" s="672"/>
      <c r="AA110" s="672"/>
      <c r="AB110" s="672"/>
      <c r="AC110" s="672"/>
      <c r="AD110" s="672"/>
      <c r="AE110" s="672"/>
    </row>
    <row r="111" spans="1:33">
      <c r="A111" s="47"/>
      <c r="B111" s="47"/>
      <c r="C111" s="78"/>
      <c r="D111" s="100"/>
      <c r="E111" s="78"/>
      <c r="F111" s="78"/>
      <c r="G111" s="78"/>
      <c r="H111" s="78"/>
      <c r="I111" s="52"/>
      <c r="J111" s="672"/>
      <c r="K111" s="683"/>
      <c r="L111" s="666"/>
      <c r="M111" s="666"/>
      <c r="N111" s="666"/>
      <c r="O111" s="666"/>
      <c r="P111" s="666"/>
      <c r="Q111" s="666"/>
      <c r="R111" s="666"/>
      <c r="S111" s="666"/>
      <c r="T111" s="666"/>
      <c r="U111" s="666"/>
      <c r="V111" s="666"/>
      <c r="W111" s="666"/>
      <c r="X111" s="666"/>
      <c r="Y111" s="666"/>
      <c r="Z111" s="666"/>
      <c r="AA111" s="666"/>
      <c r="AB111" s="666"/>
      <c r="AC111" s="666"/>
      <c r="AD111" s="666"/>
      <c r="AE111" s="666"/>
    </row>
    <row r="112" spans="1:33" s="56" customFormat="1" ht="14.25">
      <c r="A112" s="203" t="s">
        <v>303</v>
      </c>
      <c r="B112" s="203"/>
      <c r="C112" s="204"/>
      <c r="D112" s="205"/>
      <c r="E112" s="204"/>
      <c r="F112" s="204"/>
      <c r="G112" s="204"/>
      <c r="H112" s="204"/>
      <c r="I112" s="206"/>
      <c r="J112" s="674"/>
      <c r="K112" s="676">
        <f>SUM(K79,K100,K108)</f>
        <v>0</v>
      </c>
      <c r="L112" s="676">
        <f>SUM(L79,L100,L108)</f>
        <v>367858.33333333331</v>
      </c>
      <c r="M112" s="676">
        <f t="shared" ref="M112:AE112" si="28">SUM(M79,M100,M108)</f>
        <v>743399</v>
      </c>
      <c r="N112" s="676">
        <f t="shared" si="28"/>
        <v>758277.18</v>
      </c>
      <c r="O112" s="676">
        <f t="shared" si="28"/>
        <v>773442.72359999991</v>
      </c>
      <c r="P112" s="676">
        <f t="shared" si="28"/>
        <v>788911.57807199995</v>
      </c>
      <c r="Q112" s="676">
        <f t="shared" si="28"/>
        <v>833033.68842864002</v>
      </c>
      <c r="R112" s="676">
        <f t="shared" si="28"/>
        <v>845157.44340684474</v>
      </c>
      <c r="S112" s="676">
        <f t="shared" si="28"/>
        <v>862060.59227498155</v>
      </c>
      <c r="T112" s="676">
        <f t="shared" si="28"/>
        <v>879301.80412048136</v>
      </c>
      <c r="U112" s="676">
        <f t="shared" si="28"/>
        <v>896887.84020289104</v>
      </c>
      <c r="V112" s="676">
        <f t="shared" si="28"/>
        <v>919216.09979695163</v>
      </c>
      <c r="W112" s="676">
        <f t="shared" si="28"/>
        <v>933122.10894708789</v>
      </c>
      <c r="X112" s="676">
        <f t="shared" si="28"/>
        <v>951784.55112602958</v>
      </c>
      <c r="Y112" s="676">
        <f t="shared" si="28"/>
        <v>970820.24214855023</v>
      </c>
      <c r="Z112" s="676">
        <f t="shared" si="28"/>
        <v>990236.64699152112</v>
      </c>
      <c r="AA112" s="676">
        <f t="shared" si="28"/>
        <v>1014368.4457621898</v>
      </c>
      <c r="AB112" s="676">
        <f t="shared" si="28"/>
        <v>1030242.2075299788</v>
      </c>
      <c r="AC112" s="676">
        <f t="shared" si="28"/>
        <v>1050847.0516805784</v>
      </c>
      <c r="AD112" s="676">
        <f t="shared" si="28"/>
        <v>1071863.9927141902</v>
      </c>
      <c r="AE112" s="676">
        <f t="shared" si="28"/>
        <v>1093301.2725684738</v>
      </c>
      <c r="AG112" s="199"/>
    </row>
    <row r="113" spans="1:33">
      <c r="A113" s="37"/>
      <c r="B113" s="37"/>
      <c r="C113" s="57"/>
      <c r="E113" s="110"/>
      <c r="F113" s="110"/>
      <c r="G113" s="57"/>
      <c r="H113" s="57"/>
      <c r="I113" s="43"/>
      <c r="J113" s="44"/>
      <c r="K113" s="683"/>
      <c r="L113" s="115"/>
      <c r="M113" s="115"/>
      <c r="N113" s="115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5"/>
      <c r="Z113" s="115"/>
      <c r="AA113" s="115"/>
      <c r="AB113" s="115"/>
      <c r="AC113" s="115"/>
      <c r="AD113" s="115"/>
      <c r="AE113" s="115"/>
      <c r="AG113" s="199"/>
    </row>
    <row r="114" spans="1:33">
      <c r="A114" s="47" t="s">
        <v>7</v>
      </c>
      <c r="B114" s="47" t="s">
        <v>7</v>
      </c>
      <c r="C114" s="78" t="s">
        <v>7</v>
      </c>
      <c r="D114" s="100"/>
      <c r="E114" s="78" t="s">
        <v>7</v>
      </c>
      <c r="F114" s="78"/>
      <c r="G114" s="78" t="s">
        <v>7</v>
      </c>
      <c r="H114" s="78"/>
      <c r="I114" s="52" t="s">
        <v>7</v>
      </c>
      <c r="J114" s="114"/>
      <c r="K114" s="673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G114" s="199"/>
    </row>
    <row r="115" spans="1:33">
      <c r="A115" s="47"/>
      <c r="B115" s="47"/>
      <c r="C115" s="78"/>
      <c r="D115" s="100"/>
      <c r="E115" s="78"/>
      <c r="F115" s="78"/>
      <c r="G115" s="78"/>
      <c r="H115" s="78"/>
      <c r="I115" s="52"/>
      <c r="J115" s="114"/>
      <c r="K115" s="683"/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5"/>
      <c r="Z115" s="115"/>
      <c r="AA115" s="115"/>
      <c r="AB115" s="115"/>
      <c r="AC115" s="115"/>
      <c r="AD115" s="115"/>
      <c r="AE115" s="115"/>
      <c r="AG115" s="199"/>
    </row>
    <row r="116" spans="1:33">
      <c r="A116" s="168" t="s">
        <v>71</v>
      </c>
      <c r="B116" s="171"/>
      <c r="C116" s="176"/>
      <c r="D116" s="177"/>
      <c r="E116" s="176"/>
      <c r="F116" s="176"/>
      <c r="G116" s="176"/>
      <c r="H116" s="176"/>
      <c r="I116" s="182"/>
      <c r="J116" s="179"/>
      <c r="K116" s="682"/>
      <c r="L116" s="319"/>
      <c r="M116" s="319"/>
      <c r="N116" s="319"/>
      <c r="O116" s="319"/>
      <c r="P116" s="319"/>
      <c r="Q116" s="319"/>
      <c r="R116" s="319"/>
      <c r="S116" s="319"/>
      <c r="T116" s="319"/>
      <c r="U116" s="319"/>
      <c r="V116" s="319"/>
      <c r="W116" s="319"/>
      <c r="X116" s="319"/>
      <c r="Y116" s="319"/>
      <c r="Z116" s="319"/>
      <c r="AA116" s="319"/>
      <c r="AB116" s="319"/>
      <c r="AC116" s="319"/>
      <c r="AD116" s="319"/>
      <c r="AE116" s="319"/>
      <c r="AG116" s="199"/>
    </row>
    <row r="117" spans="1:33" s="252" customFormat="1">
      <c r="A117" s="183"/>
      <c r="B117" s="184"/>
      <c r="C117" s="185"/>
      <c r="D117" s="186"/>
      <c r="E117" s="185"/>
      <c r="F117" s="185"/>
      <c r="G117" s="185"/>
      <c r="H117" s="185"/>
      <c r="I117" s="187"/>
      <c r="J117" s="188"/>
      <c r="K117" s="683"/>
      <c r="L117" s="320"/>
      <c r="M117" s="320"/>
      <c r="N117" s="320"/>
      <c r="O117" s="320"/>
      <c r="P117" s="320"/>
      <c r="Q117" s="320"/>
      <c r="R117" s="320"/>
      <c r="S117" s="320"/>
      <c r="T117" s="320"/>
      <c r="U117" s="320"/>
      <c r="V117" s="320"/>
      <c r="W117" s="320"/>
      <c r="X117" s="320"/>
      <c r="Y117" s="320"/>
      <c r="Z117" s="320"/>
      <c r="AA117" s="320"/>
      <c r="AB117" s="320"/>
      <c r="AC117" s="320"/>
      <c r="AD117" s="320"/>
      <c r="AE117" s="320"/>
      <c r="AG117" s="363"/>
    </row>
    <row r="118" spans="1:33">
      <c r="A118" s="39" t="s">
        <v>0</v>
      </c>
      <c r="B118" s="39"/>
      <c r="C118" s="102"/>
      <c r="D118" s="103"/>
      <c r="E118" s="104"/>
      <c r="F118" s="104"/>
      <c r="G118" s="104"/>
      <c r="H118" s="104"/>
      <c r="I118" s="39"/>
      <c r="J118" s="104"/>
      <c r="K118" s="688"/>
      <c r="L118" s="335"/>
      <c r="M118" s="335"/>
      <c r="N118" s="335"/>
      <c r="O118" s="335"/>
      <c r="P118" s="335"/>
      <c r="Q118" s="335"/>
      <c r="R118" s="335"/>
      <c r="S118" s="335"/>
      <c r="T118" s="335"/>
      <c r="U118" s="335"/>
      <c r="V118" s="335"/>
      <c r="W118" s="335"/>
      <c r="X118" s="335"/>
      <c r="Y118" s="335"/>
      <c r="Z118" s="335"/>
      <c r="AA118" s="335"/>
      <c r="AB118" s="335"/>
      <c r="AC118" s="335"/>
      <c r="AD118" s="335"/>
      <c r="AE118" s="335"/>
    </row>
    <row r="119" spans="1:33">
      <c r="A119" s="41" t="s">
        <v>13</v>
      </c>
      <c r="B119" s="41"/>
      <c r="C119" s="105"/>
      <c r="D119" s="106"/>
      <c r="E119" s="37"/>
      <c r="F119" s="37"/>
      <c r="G119" s="37"/>
      <c r="H119" s="37"/>
      <c r="I119" s="41"/>
      <c r="J119" s="37"/>
      <c r="K119" s="683"/>
      <c r="L119" s="200"/>
      <c r="M119" s="200"/>
      <c r="N119" s="200"/>
      <c r="O119" s="200"/>
      <c r="P119" s="200"/>
      <c r="Q119" s="200"/>
      <c r="R119" s="200"/>
      <c r="S119" s="200"/>
      <c r="T119" s="200"/>
      <c r="U119" s="201"/>
      <c r="V119" s="323"/>
      <c r="W119" s="200"/>
      <c r="X119" s="200"/>
      <c r="Y119" s="200"/>
      <c r="Z119" s="200"/>
      <c r="AA119" s="200"/>
      <c r="AB119" s="200"/>
      <c r="AC119" s="200"/>
      <c r="AD119" s="200"/>
      <c r="AE119" s="201"/>
    </row>
    <row r="120" spans="1:33">
      <c r="A120" s="96" t="s">
        <v>56</v>
      </c>
      <c r="B120" s="735" t="s">
        <v>12</v>
      </c>
      <c r="C120" s="663">
        <v>55000</v>
      </c>
      <c r="D120" s="736">
        <f>C120/2080</f>
        <v>26.442307692307693</v>
      </c>
      <c r="E120" s="663">
        <v>0</v>
      </c>
      <c r="F120" s="663">
        <f>C120*$F$13</f>
        <v>22000</v>
      </c>
      <c r="G120" s="663">
        <f>SUM(C120,E120:F120)</f>
        <v>77000</v>
      </c>
      <c r="H120" s="736">
        <f>G120/2080*8</f>
        <v>296.15384615384613</v>
      </c>
      <c r="I120" s="736"/>
      <c r="J120" s="663"/>
      <c r="K120" s="683">
        <v>0</v>
      </c>
      <c r="L120" s="665">
        <v>0</v>
      </c>
      <c r="M120" s="665">
        <f>$H$120*M32*0.25</f>
        <v>15844.230769230768</v>
      </c>
      <c r="N120" s="665">
        <f t="shared" ref="N120:AE120" si="29">$M$120*M11</f>
        <v>16484.33769230769</v>
      </c>
      <c r="O120" s="665">
        <f t="shared" si="29"/>
        <v>16814.024446153842</v>
      </c>
      <c r="P120" s="665">
        <f t="shared" si="29"/>
        <v>17150.304935076922</v>
      </c>
      <c r="Q120" s="665">
        <f t="shared" si="29"/>
        <v>17493.31103377846</v>
      </c>
      <c r="R120" s="665">
        <f t="shared" si="29"/>
        <v>17843.177254454029</v>
      </c>
      <c r="S120" s="665">
        <f t="shared" si="29"/>
        <v>18200.040799543109</v>
      </c>
      <c r="T120" s="665">
        <f t="shared" si="29"/>
        <v>18564.041615533974</v>
      </c>
      <c r="U120" s="665">
        <f t="shared" si="29"/>
        <v>18935.322447844654</v>
      </c>
      <c r="V120" s="665">
        <f t="shared" si="29"/>
        <v>19314.028896801548</v>
      </c>
      <c r="W120" s="665">
        <f t="shared" si="29"/>
        <v>19700.30947473758</v>
      </c>
      <c r="X120" s="665">
        <f t="shared" si="29"/>
        <v>20094.31566423233</v>
      </c>
      <c r="Y120" s="665">
        <f t="shared" si="29"/>
        <v>20496.201977516976</v>
      </c>
      <c r="Z120" s="665">
        <f t="shared" si="29"/>
        <v>20906.126017067316</v>
      </c>
      <c r="AA120" s="665">
        <f t="shared" si="29"/>
        <v>21324.248537408665</v>
      </c>
      <c r="AB120" s="665">
        <f t="shared" si="29"/>
        <v>21750.733508156838</v>
      </c>
      <c r="AC120" s="665">
        <f t="shared" si="29"/>
        <v>22185.748178319976</v>
      </c>
      <c r="AD120" s="665">
        <f t="shared" si="29"/>
        <v>22629.463141886376</v>
      </c>
      <c r="AE120" s="665">
        <f t="shared" si="29"/>
        <v>23082.052404724102</v>
      </c>
    </row>
    <row r="121" spans="1:33">
      <c r="A121" s="96" t="s">
        <v>57</v>
      </c>
      <c r="B121" s="735" t="s">
        <v>15</v>
      </c>
      <c r="C121" s="663">
        <v>15000</v>
      </c>
      <c r="D121" s="736">
        <f>C121/2080</f>
        <v>7.2115384615384617</v>
      </c>
      <c r="E121" s="663">
        <f>C121*E12</f>
        <v>3000</v>
      </c>
      <c r="F121" s="663">
        <f t="shared" ref="F121:F122" si="30">C121*$F$13</f>
        <v>6000</v>
      </c>
      <c r="G121" s="663">
        <f t="shared" ref="G121:G122" si="31">SUM(C121,E121:F121)</f>
        <v>24000</v>
      </c>
      <c r="H121" s="736">
        <f>G121/2080*12</f>
        <v>138.46153846153845</v>
      </c>
      <c r="I121" s="736"/>
      <c r="J121" s="663"/>
      <c r="K121" s="683">
        <v>0</v>
      </c>
      <c r="L121" s="665">
        <v>0</v>
      </c>
      <c r="M121" s="665">
        <f>$H$121*M32*0.5</f>
        <v>14815.384615384615</v>
      </c>
      <c r="N121" s="665">
        <f t="shared" ref="N121:AE121" si="32">$M$121*M11</f>
        <v>15413.926153846154</v>
      </c>
      <c r="O121" s="665">
        <f t="shared" si="32"/>
        <v>15722.204676923076</v>
      </c>
      <c r="P121" s="665">
        <f t="shared" si="32"/>
        <v>16036.648770461537</v>
      </c>
      <c r="Q121" s="665">
        <f t="shared" si="32"/>
        <v>16357.381745870769</v>
      </c>
      <c r="R121" s="665">
        <f t="shared" si="32"/>
        <v>16684.529380788186</v>
      </c>
      <c r="S121" s="665">
        <f t="shared" si="32"/>
        <v>17018.219968403948</v>
      </c>
      <c r="T121" s="665">
        <f t="shared" si="32"/>
        <v>17358.58436777203</v>
      </c>
      <c r="U121" s="665">
        <f t="shared" si="32"/>
        <v>17705.756055127469</v>
      </c>
      <c r="V121" s="665">
        <f t="shared" si="32"/>
        <v>18059.871176230019</v>
      </c>
      <c r="W121" s="665">
        <f t="shared" si="32"/>
        <v>18421.068599754621</v>
      </c>
      <c r="X121" s="665">
        <f t="shared" si="32"/>
        <v>18789.489971749714</v>
      </c>
      <c r="Y121" s="665">
        <f t="shared" si="32"/>
        <v>19165.279771184705</v>
      </c>
      <c r="Z121" s="665">
        <f t="shared" si="32"/>
        <v>19548.5853666084</v>
      </c>
      <c r="AA121" s="665">
        <f t="shared" si="32"/>
        <v>19939.55707394057</v>
      </c>
      <c r="AB121" s="665">
        <f t="shared" si="32"/>
        <v>20338.348215419381</v>
      </c>
      <c r="AC121" s="665">
        <f t="shared" si="32"/>
        <v>20745.115179727771</v>
      </c>
      <c r="AD121" s="665">
        <f t="shared" si="32"/>
        <v>21160.017483322328</v>
      </c>
      <c r="AE121" s="665">
        <f t="shared" si="32"/>
        <v>21583.217832988772</v>
      </c>
    </row>
    <row r="122" spans="1:33">
      <c r="A122" s="737" t="s">
        <v>57</v>
      </c>
      <c r="B122" s="738" t="s">
        <v>15</v>
      </c>
      <c r="C122" s="739">
        <v>15000</v>
      </c>
      <c r="D122" s="740">
        <f>C122/2080</f>
        <v>7.2115384615384617</v>
      </c>
      <c r="E122" s="739">
        <f>C122*$E$12</f>
        <v>3000</v>
      </c>
      <c r="F122" s="739">
        <f t="shared" si="30"/>
        <v>6000</v>
      </c>
      <c r="G122" s="739">
        <f t="shared" si="31"/>
        <v>24000</v>
      </c>
      <c r="H122" s="740">
        <f t="shared" ref="H122" si="33">G122/2080*12</f>
        <v>138.46153846153845</v>
      </c>
      <c r="I122" s="740"/>
      <c r="J122" s="739"/>
      <c r="K122" s="741">
        <v>0</v>
      </c>
      <c r="L122" s="742">
        <v>0</v>
      </c>
      <c r="M122" s="742">
        <f>$H$122*M32*0.5</f>
        <v>14815.384615384615</v>
      </c>
      <c r="N122" s="742">
        <f t="shared" ref="N122:AE122" si="34">$M$122*M11</f>
        <v>15413.926153846154</v>
      </c>
      <c r="O122" s="742">
        <f t="shared" si="34"/>
        <v>15722.204676923076</v>
      </c>
      <c r="P122" s="742">
        <f t="shared" si="34"/>
        <v>16036.648770461537</v>
      </c>
      <c r="Q122" s="742">
        <f t="shared" si="34"/>
        <v>16357.381745870769</v>
      </c>
      <c r="R122" s="742">
        <f t="shared" si="34"/>
        <v>16684.529380788186</v>
      </c>
      <c r="S122" s="742">
        <f t="shared" si="34"/>
        <v>17018.219968403948</v>
      </c>
      <c r="T122" s="742">
        <f t="shared" si="34"/>
        <v>17358.58436777203</v>
      </c>
      <c r="U122" s="742">
        <f t="shared" si="34"/>
        <v>17705.756055127469</v>
      </c>
      <c r="V122" s="742">
        <f t="shared" si="34"/>
        <v>18059.871176230019</v>
      </c>
      <c r="W122" s="742">
        <f t="shared" si="34"/>
        <v>18421.068599754621</v>
      </c>
      <c r="X122" s="742">
        <f t="shared" si="34"/>
        <v>18789.489971749714</v>
      </c>
      <c r="Y122" s="742">
        <f t="shared" si="34"/>
        <v>19165.279771184705</v>
      </c>
      <c r="Z122" s="742">
        <f t="shared" si="34"/>
        <v>19548.5853666084</v>
      </c>
      <c r="AA122" s="742">
        <f t="shared" si="34"/>
        <v>19939.55707394057</v>
      </c>
      <c r="AB122" s="742">
        <f t="shared" si="34"/>
        <v>20338.348215419381</v>
      </c>
      <c r="AC122" s="742">
        <f t="shared" si="34"/>
        <v>20745.115179727771</v>
      </c>
      <c r="AD122" s="742">
        <f t="shared" si="34"/>
        <v>21160.017483322328</v>
      </c>
      <c r="AE122" s="742">
        <f t="shared" si="34"/>
        <v>21583.217832988772</v>
      </c>
    </row>
    <row r="123" spans="1:33">
      <c r="A123" s="164" t="s">
        <v>414</v>
      </c>
      <c r="B123" s="164"/>
      <c r="C123" s="667">
        <f>SUM(C120:C122)</f>
        <v>85000</v>
      </c>
      <c r="D123" s="667"/>
      <c r="E123" s="667">
        <f>SUM(E120:E122)</f>
        <v>6000</v>
      </c>
      <c r="F123" s="667">
        <f>SUM(F120:F122)</f>
        <v>34000</v>
      </c>
      <c r="G123" s="667">
        <f>SUM(G120:G122)</f>
        <v>125000</v>
      </c>
      <c r="H123" s="667">
        <f>SUM(H120:H122)</f>
        <v>573.07692307692309</v>
      </c>
      <c r="I123" s="668"/>
      <c r="J123" s="667"/>
      <c r="K123" s="685">
        <f>SUMIF($B120:$B122,"FT",K120:K122)</f>
        <v>0</v>
      </c>
      <c r="L123" s="669">
        <f>SUM(L120:L122)</f>
        <v>0</v>
      </c>
      <c r="M123" s="669">
        <f t="shared" ref="M123:AE123" si="35">SUM(M120:M122)</f>
        <v>45475</v>
      </c>
      <c r="N123" s="669">
        <f t="shared" si="35"/>
        <v>47312.19</v>
      </c>
      <c r="O123" s="669">
        <f t="shared" si="35"/>
        <v>48258.433799999999</v>
      </c>
      <c r="P123" s="669">
        <f t="shared" si="35"/>
        <v>49223.602475999993</v>
      </c>
      <c r="Q123" s="669">
        <f t="shared" si="35"/>
        <v>50208.074525520002</v>
      </c>
      <c r="R123" s="669">
        <f t="shared" si="35"/>
        <v>51212.236016030394</v>
      </c>
      <c r="S123" s="669">
        <f t="shared" si="35"/>
        <v>52236.480736351004</v>
      </c>
      <c r="T123" s="669">
        <f t="shared" si="35"/>
        <v>53281.210351078029</v>
      </c>
      <c r="U123" s="669">
        <f t="shared" si="35"/>
        <v>54346.834558099596</v>
      </c>
      <c r="V123" s="669">
        <f t="shared" si="35"/>
        <v>55433.771249261583</v>
      </c>
      <c r="W123" s="669">
        <f t="shared" si="35"/>
        <v>56542.446674246821</v>
      </c>
      <c r="X123" s="669">
        <f t="shared" si="35"/>
        <v>57673.295607731765</v>
      </c>
      <c r="Y123" s="669">
        <f t="shared" si="35"/>
        <v>58826.761519886393</v>
      </c>
      <c r="Z123" s="669">
        <f t="shared" si="35"/>
        <v>60003.29675028412</v>
      </c>
      <c r="AA123" s="669">
        <f t="shared" si="35"/>
        <v>61203.362685289801</v>
      </c>
      <c r="AB123" s="669">
        <f t="shared" si="35"/>
        <v>62427.4299389956</v>
      </c>
      <c r="AC123" s="669">
        <f t="shared" si="35"/>
        <v>63675.978537775518</v>
      </c>
      <c r="AD123" s="669">
        <f t="shared" si="35"/>
        <v>64949.498108531028</v>
      </c>
      <c r="AE123" s="669">
        <f t="shared" si="35"/>
        <v>66248.488070701642</v>
      </c>
    </row>
    <row r="124" spans="1:33">
      <c r="A124" s="37"/>
      <c r="B124" s="37"/>
      <c r="C124" s="663"/>
      <c r="D124" s="663"/>
      <c r="E124" s="663"/>
      <c r="F124" s="663"/>
      <c r="G124" s="663"/>
      <c r="H124" s="663"/>
      <c r="I124" s="670"/>
      <c r="J124" s="663"/>
      <c r="K124" s="683"/>
      <c r="L124" s="666"/>
      <c r="M124" s="666"/>
      <c r="N124" s="666"/>
      <c r="O124" s="666"/>
      <c r="P124" s="666"/>
      <c r="Q124" s="666"/>
      <c r="R124" s="666"/>
      <c r="S124" s="666"/>
      <c r="T124" s="666"/>
      <c r="U124" s="666"/>
      <c r="V124" s="666"/>
      <c r="W124" s="666"/>
      <c r="X124" s="666"/>
      <c r="Y124" s="666"/>
      <c r="Z124" s="666"/>
      <c r="AA124" s="666"/>
      <c r="AB124" s="666"/>
      <c r="AC124" s="666"/>
      <c r="AD124" s="666"/>
      <c r="AE124" s="666"/>
    </row>
    <row r="125" spans="1:33">
      <c r="A125" s="37" t="s">
        <v>11</v>
      </c>
      <c r="B125" s="37"/>
      <c r="C125" s="663"/>
      <c r="D125" s="663"/>
      <c r="E125" s="663"/>
      <c r="F125" s="663"/>
      <c r="G125" s="663"/>
      <c r="H125" s="663"/>
      <c r="I125" s="670"/>
      <c r="J125" s="663"/>
      <c r="K125" s="743">
        <f>COUNTIF(K120:K122,"&gt;100")</f>
        <v>0</v>
      </c>
      <c r="L125" s="496">
        <f>COUNTIF(L120,"&gt;100")</f>
        <v>0</v>
      </c>
      <c r="M125" s="496">
        <f t="shared" ref="M125:AE125" si="36">COUNTIF(M120,"&gt;100")</f>
        <v>1</v>
      </c>
      <c r="N125" s="496">
        <f t="shared" si="36"/>
        <v>1</v>
      </c>
      <c r="O125" s="496">
        <f t="shared" si="36"/>
        <v>1</v>
      </c>
      <c r="P125" s="496">
        <f t="shared" si="36"/>
        <v>1</v>
      </c>
      <c r="Q125" s="496">
        <f t="shared" si="36"/>
        <v>1</v>
      </c>
      <c r="R125" s="496">
        <f t="shared" si="36"/>
        <v>1</v>
      </c>
      <c r="S125" s="496">
        <f t="shared" si="36"/>
        <v>1</v>
      </c>
      <c r="T125" s="496">
        <f t="shared" si="36"/>
        <v>1</v>
      </c>
      <c r="U125" s="496">
        <f t="shared" si="36"/>
        <v>1</v>
      </c>
      <c r="V125" s="496">
        <f t="shared" si="36"/>
        <v>1</v>
      </c>
      <c r="W125" s="496">
        <f t="shared" si="36"/>
        <v>1</v>
      </c>
      <c r="X125" s="496">
        <f t="shared" si="36"/>
        <v>1</v>
      </c>
      <c r="Y125" s="496">
        <f t="shared" si="36"/>
        <v>1</v>
      </c>
      <c r="Z125" s="496">
        <f t="shared" si="36"/>
        <v>1</v>
      </c>
      <c r="AA125" s="496">
        <f t="shared" si="36"/>
        <v>1</v>
      </c>
      <c r="AB125" s="496">
        <f t="shared" si="36"/>
        <v>1</v>
      </c>
      <c r="AC125" s="496">
        <f t="shared" si="36"/>
        <v>1</v>
      </c>
      <c r="AD125" s="496">
        <f t="shared" si="36"/>
        <v>1</v>
      </c>
      <c r="AE125" s="496">
        <f t="shared" si="36"/>
        <v>1</v>
      </c>
    </row>
    <row r="126" spans="1:33">
      <c r="A126" s="745" t="s">
        <v>10</v>
      </c>
      <c r="B126" s="745"/>
      <c r="C126" s="739"/>
      <c r="D126" s="739"/>
      <c r="E126" s="739"/>
      <c r="F126" s="739"/>
      <c r="G126" s="739"/>
      <c r="H126" s="739"/>
      <c r="I126" s="763"/>
      <c r="J126" s="739"/>
      <c r="K126" s="749">
        <f t="shared" ref="K126" si="37">K127-K125</f>
        <v>0</v>
      </c>
      <c r="L126" s="750">
        <f>COUNTIF(L121:L122,"&gt;100")</f>
        <v>0</v>
      </c>
      <c r="M126" s="750">
        <f t="shared" ref="M126:AE126" si="38">COUNTIF(M121:M122,"&gt;100")</f>
        <v>2</v>
      </c>
      <c r="N126" s="750">
        <f t="shared" si="38"/>
        <v>2</v>
      </c>
      <c r="O126" s="750">
        <f t="shared" si="38"/>
        <v>2</v>
      </c>
      <c r="P126" s="750">
        <f t="shared" si="38"/>
        <v>2</v>
      </c>
      <c r="Q126" s="750">
        <f t="shared" si="38"/>
        <v>2</v>
      </c>
      <c r="R126" s="750">
        <f t="shared" si="38"/>
        <v>2</v>
      </c>
      <c r="S126" s="750">
        <f t="shared" si="38"/>
        <v>2</v>
      </c>
      <c r="T126" s="750">
        <f t="shared" si="38"/>
        <v>2</v>
      </c>
      <c r="U126" s="750">
        <f t="shared" si="38"/>
        <v>2</v>
      </c>
      <c r="V126" s="750">
        <f t="shared" si="38"/>
        <v>2</v>
      </c>
      <c r="W126" s="750">
        <f t="shared" si="38"/>
        <v>2</v>
      </c>
      <c r="X126" s="750">
        <f t="shared" si="38"/>
        <v>2</v>
      </c>
      <c r="Y126" s="750">
        <f t="shared" si="38"/>
        <v>2</v>
      </c>
      <c r="Z126" s="750">
        <f t="shared" si="38"/>
        <v>2</v>
      </c>
      <c r="AA126" s="750">
        <f t="shared" si="38"/>
        <v>2</v>
      </c>
      <c r="AB126" s="750">
        <f t="shared" si="38"/>
        <v>2</v>
      </c>
      <c r="AC126" s="750">
        <f t="shared" si="38"/>
        <v>2</v>
      </c>
      <c r="AD126" s="750">
        <f t="shared" si="38"/>
        <v>2</v>
      </c>
      <c r="AE126" s="750">
        <f t="shared" si="38"/>
        <v>2</v>
      </c>
    </row>
    <row r="127" spans="1:33">
      <c r="A127" s="164" t="s">
        <v>9</v>
      </c>
      <c r="B127" s="164"/>
      <c r="C127" s="667"/>
      <c r="D127" s="667"/>
      <c r="E127" s="667"/>
      <c r="F127" s="667"/>
      <c r="G127" s="667"/>
      <c r="H127" s="667"/>
      <c r="I127" s="668"/>
      <c r="J127" s="667"/>
      <c r="K127" s="751">
        <f t="shared" ref="K127:AE127" si="39">COUNTIF(K120:K122,"&gt;0")</f>
        <v>0</v>
      </c>
      <c r="L127" s="752">
        <f t="shared" si="39"/>
        <v>0</v>
      </c>
      <c r="M127" s="752">
        <f t="shared" si="39"/>
        <v>3</v>
      </c>
      <c r="N127" s="752">
        <f t="shared" si="39"/>
        <v>3</v>
      </c>
      <c r="O127" s="752">
        <f t="shared" si="39"/>
        <v>3</v>
      </c>
      <c r="P127" s="752">
        <f t="shared" si="39"/>
        <v>3</v>
      </c>
      <c r="Q127" s="752">
        <f t="shared" si="39"/>
        <v>3</v>
      </c>
      <c r="R127" s="752">
        <f t="shared" si="39"/>
        <v>3</v>
      </c>
      <c r="S127" s="752">
        <f t="shared" si="39"/>
        <v>3</v>
      </c>
      <c r="T127" s="752">
        <f t="shared" si="39"/>
        <v>3</v>
      </c>
      <c r="U127" s="752">
        <f t="shared" si="39"/>
        <v>3</v>
      </c>
      <c r="V127" s="752">
        <f t="shared" si="39"/>
        <v>3</v>
      </c>
      <c r="W127" s="752">
        <f t="shared" si="39"/>
        <v>3</v>
      </c>
      <c r="X127" s="752">
        <f t="shared" si="39"/>
        <v>3</v>
      </c>
      <c r="Y127" s="752">
        <f t="shared" si="39"/>
        <v>3</v>
      </c>
      <c r="Z127" s="752">
        <f t="shared" si="39"/>
        <v>3</v>
      </c>
      <c r="AA127" s="752">
        <f t="shared" si="39"/>
        <v>3</v>
      </c>
      <c r="AB127" s="752">
        <f t="shared" si="39"/>
        <v>3</v>
      </c>
      <c r="AC127" s="752">
        <f t="shared" si="39"/>
        <v>3</v>
      </c>
      <c r="AD127" s="752">
        <f t="shared" si="39"/>
        <v>3</v>
      </c>
      <c r="AE127" s="752">
        <f t="shared" si="39"/>
        <v>3</v>
      </c>
    </row>
    <row r="128" spans="1:33">
      <c r="A128" s="37"/>
      <c r="B128" s="37"/>
      <c r="C128" s="57"/>
      <c r="E128" s="57"/>
      <c r="F128" s="57"/>
      <c r="G128" s="57"/>
      <c r="H128" s="57"/>
      <c r="I128" s="43"/>
      <c r="J128" s="42"/>
      <c r="K128" s="683"/>
      <c r="L128" s="316"/>
      <c r="M128" s="316"/>
      <c r="N128" s="316"/>
      <c r="O128" s="316"/>
      <c r="P128" s="316"/>
      <c r="Q128" s="316"/>
      <c r="R128" s="316"/>
      <c r="S128" s="316"/>
      <c r="T128" s="316"/>
      <c r="U128" s="316"/>
      <c r="V128" s="316"/>
      <c r="W128" s="316"/>
      <c r="X128" s="316"/>
      <c r="Y128" s="316"/>
      <c r="Z128" s="316"/>
      <c r="AA128" s="316"/>
      <c r="AB128" s="316"/>
      <c r="AC128" s="316"/>
      <c r="AD128" s="316"/>
      <c r="AE128" s="316"/>
    </row>
    <row r="129" spans="1:33" s="55" customFormat="1">
      <c r="A129" s="190" t="s">
        <v>60</v>
      </c>
      <c r="B129" s="191"/>
      <c r="C129" s="192"/>
      <c r="D129" s="193"/>
      <c r="E129" s="194"/>
      <c r="F129" s="194"/>
      <c r="G129" s="192"/>
      <c r="H129" s="192"/>
      <c r="I129" s="195">
        <v>0.2</v>
      </c>
      <c r="J129" s="196"/>
      <c r="K129" s="683">
        <v>0</v>
      </c>
      <c r="L129" s="665">
        <f>$I$129*L123</f>
        <v>0</v>
      </c>
      <c r="M129" s="665">
        <f t="shared" ref="M129:AE129" si="40">$I$129*M123</f>
        <v>9095</v>
      </c>
      <c r="N129" s="665">
        <f t="shared" si="40"/>
        <v>9462.4380000000001</v>
      </c>
      <c r="O129" s="665">
        <f t="shared" si="40"/>
        <v>9651.6867600000005</v>
      </c>
      <c r="P129" s="665">
        <f t="shared" si="40"/>
        <v>9844.7204951999993</v>
      </c>
      <c r="Q129" s="665">
        <f t="shared" si="40"/>
        <v>10041.614905104001</v>
      </c>
      <c r="R129" s="665">
        <f t="shared" si="40"/>
        <v>10242.44720320608</v>
      </c>
      <c r="S129" s="665">
        <f t="shared" si="40"/>
        <v>10447.296147270201</v>
      </c>
      <c r="T129" s="665">
        <f t="shared" si="40"/>
        <v>10656.242070215607</v>
      </c>
      <c r="U129" s="665">
        <f t="shared" si="40"/>
        <v>10869.36691161992</v>
      </c>
      <c r="V129" s="665">
        <f t="shared" si="40"/>
        <v>11086.754249852318</v>
      </c>
      <c r="W129" s="665">
        <f t="shared" si="40"/>
        <v>11308.489334849364</v>
      </c>
      <c r="X129" s="665">
        <f t="shared" si="40"/>
        <v>11534.659121546354</v>
      </c>
      <c r="Y129" s="665">
        <f t="shared" si="40"/>
        <v>11765.352303977279</v>
      </c>
      <c r="Z129" s="665">
        <f t="shared" si="40"/>
        <v>12000.659350056825</v>
      </c>
      <c r="AA129" s="665">
        <f t="shared" si="40"/>
        <v>12240.672537057961</v>
      </c>
      <c r="AB129" s="665">
        <f t="shared" si="40"/>
        <v>12485.48598779912</v>
      </c>
      <c r="AC129" s="665">
        <f t="shared" si="40"/>
        <v>12735.195707555104</v>
      </c>
      <c r="AD129" s="665">
        <f t="shared" si="40"/>
        <v>12989.899621706207</v>
      </c>
      <c r="AE129" s="665">
        <f t="shared" si="40"/>
        <v>13249.697614140328</v>
      </c>
    </row>
    <row r="130" spans="1:33">
      <c r="A130" s="190"/>
      <c r="B130" s="191"/>
      <c r="C130" s="192"/>
      <c r="D130" s="193"/>
      <c r="E130" s="194"/>
      <c r="F130" s="194"/>
      <c r="G130" s="192"/>
      <c r="H130" s="192"/>
      <c r="I130" s="195"/>
      <c r="J130" s="196"/>
      <c r="K130" s="685"/>
      <c r="L130" s="665"/>
      <c r="M130" s="665"/>
      <c r="N130" s="665"/>
      <c r="O130" s="665"/>
      <c r="P130" s="665"/>
      <c r="Q130" s="665"/>
      <c r="R130" s="665"/>
      <c r="S130" s="665"/>
      <c r="T130" s="665"/>
      <c r="U130" s="665"/>
      <c r="V130" s="665"/>
      <c r="W130" s="665"/>
      <c r="X130" s="665"/>
      <c r="Y130" s="665"/>
      <c r="Z130" s="665"/>
      <c r="AA130" s="665"/>
      <c r="AB130" s="665"/>
      <c r="AC130" s="665"/>
      <c r="AD130" s="665"/>
      <c r="AE130" s="665"/>
    </row>
    <row r="131" spans="1:33">
      <c r="A131" s="164" t="s">
        <v>61</v>
      </c>
      <c r="B131" s="164"/>
      <c r="C131" s="75"/>
      <c r="D131" s="173"/>
      <c r="E131" s="75"/>
      <c r="F131" s="75"/>
      <c r="G131" s="75"/>
      <c r="H131" s="75"/>
      <c r="I131" s="174"/>
      <c r="J131" s="175"/>
      <c r="K131" s="685">
        <v>0</v>
      </c>
      <c r="L131" s="669">
        <f>SUM(L123,L129)</f>
        <v>0</v>
      </c>
      <c r="M131" s="669">
        <f t="shared" ref="M131:AE131" si="41">SUM(M123,M129)</f>
        <v>54570</v>
      </c>
      <c r="N131" s="669">
        <f t="shared" si="41"/>
        <v>56774.628000000004</v>
      </c>
      <c r="O131" s="669">
        <f t="shared" si="41"/>
        <v>57910.120559999996</v>
      </c>
      <c r="P131" s="669">
        <f t="shared" si="41"/>
        <v>59068.322971199988</v>
      </c>
      <c r="Q131" s="669">
        <f t="shared" si="41"/>
        <v>60249.689430623999</v>
      </c>
      <c r="R131" s="669">
        <f t="shared" si="41"/>
        <v>61454.683219236475</v>
      </c>
      <c r="S131" s="669">
        <f t="shared" si="41"/>
        <v>62683.776883621205</v>
      </c>
      <c r="T131" s="669">
        <f t="shared" si="41"/>
        <v>63937.452421293638</v>
      </c>
      <c r="U131" s="669">
        <f t="shared" si="41"/>
        <v>65216.201469719512</v>
      </c>
      <c r="V131" s="669">
        <f t="shared" si="41"/>
        <v>66520.525499113894</v>
      </c>
      <c r="W131" s="669">
        <f t="shared" si="41"/>
        <v>67850.936009096185</v>
      </c>
      <c r="X131" s="669">
        <f t="shared" si="41"/>
        <v>69207.954729278121</v>
      </c>
      <c r="Y131" s="669">
        <f t="shared" si="41"/>
        <v>70592.113823863678</v>
      </c>
      <c r="Z131" s="669">
        <f t="shared" si="41"/>
        <v>72003.956100340947</v>
      </c>
      <c r="AA131" s="669">
        <f t="shared" si="41"/>
        <v>73444.035222347768</v>
      </c>
      <c r="AB131" s="669">
        <f t="shared" si="41"/>
        <v>74912.915926794725</v>
      </c>
      <c r="AC131" s="669">
        <f t="shared" si="41"/>
        <v>76411.174245330621</v>
      </c>
      <c r="AD131" s="669">
        <f t="shared" si="41"/>
        <v>77939.397730237237</v>
      </c>
      <c r="AE131" s="669">
        <f t="shared" si="41"/>
        <v>79498.18568484197</v>
      </c>
    </row>
    <row r="132" spans="1:33">
      <c r="A132" s="183"/>
      <c r="B132" s="184"/>
      <c r="C132" s="185"/>
      <c r="D132" s="186"/>
      <c r="E132" s="185"/>
      <c r="F132" s="185"/>
      <c r="G132" s="185"/>
      <c r="H132" s="185"/>
      <c r="I132" s="187"/>
      <c r="J132" s="188"/>
      <c r="K132" s="683"/>
      <c r="L132" s="320"/>
      <c r="M132" s="320"/>
      <c r="N132" s="320"/>
      <c r="O132" s="320"/>
      <c r="P132" s="320"/>
      <c r="Q132" s="320"/>
      <c r="R132" s="320"/>
      <c r="S132" s="320"/>
      <c r="T132" s="320"/>
      <c r="U132" s="320"/>
      <c r="V132" s="320"/>
      <c r="W132" s="320"/>
      <c r="X132" s="320"/>
      <c r="Y132" s="320"/>
      <c r="Z132" s="320"/>
      <c r="AA132" s="320"/>
      <c r="AB132" s="320"/>
      <c r="AC132" s="320"/>
      <c r="AD132" s="320"/>
      <c r="AE132" s="320"/>
    </row>
    <row r="133" spans="1:33">
      <c r="A133" s="39" t="s">
        <v>4</v>
      </c>
      <c r="B133" s="39"/>
      <c r="C133" s="111"/>
      <c r="D133" s="112"/>
      <c r="E133" s="111"/>
      <c r="F133" s="111"/>
      <c r="G133" s="111"/>
      <c r="H133" s="111"/>
      <c r="I133" s="40"/>
      <c r="J133" s="113"/>
      <c r="K133" s="688"/>
      <c r="L133" s="321"/>
      <c r="M133" s="321"/>
      <c r="N133" s="321"/>
      <c r="O133" s="321"/>
      <c r="P133" s="321"/>
      <c r="Q133" s="321"/>
      <c r="R133" s="321"/>
      <c r="S133" s="321"/>
      <c r="T133" s="321"/>
      <c r="U133" s="321"/>
      <c r="V133" s="321"/>
      <c r="W133" s="321"/>
      <c r="X133" s="321"/>
      <c r="Y133" s="321"/>
      <c r="Z133" s="321"/>
      <c r="AA133" s="321"/>
      <c r="AB133" s="321"/>
      <c r="AC133" s="321"/>
      <c r="AD133" s="321"/>
      <c r="AE133" s="321"/>
    </row>
    <row r="134" spans="1:33">
      <c r="A134" s="41" t="s">
        <v>13</v>
      </c>
      <c r="B134" s="41"/>
      <c r="C134" s="105"/>
      <c r="D134" s="106"/>
      <c r="E134" s="37"/>
      <c r="F134" s="37"/>
      <c r="G134" s="37"/>
      <c r="H134" s="37"/>
      <c r="I134" s="41"/>
      <c r="J134" s="37"/>
      <c r="K134" s="683"/>
      <c r="L134" s="200"/>
      <c r="M134" s="200"/>
      <c r="N134" s="200"/>
      <c r="O134" s="200"/>
      <c r="P134" s="200"/>
      <c r="Q134" s="200"/>
      <c r="R134" s="200"/>
      <c r="S134" s="200"/>
      <c r="T134" s="200"/>
      <c r="U134" s="201"/>
      <c r="V134" s="323"/>
      <c r="W134" s="200"/>
      <c r="X134" s="200"/>
      <c r="Y134" s="200"/>
      <c r="Z134" s="200"/>
      <c r="AA134" s="200"/>
      <c r="AB134" s="200"/>
      <c r="AC134" s="200"/>
      <c r="AD134" s="200"/>
      <c r="AE134" s="201"/>
    </row>
    <row r="135" spans="1:33">
      <c r="A135" s="33" t="s">
        <v>65</v>
      </c>
      <c r="B135" s="735" t="s">
        <v>12</v>
      </c>
      <c r="C135" s="663">
        <v>65000</v>
      </c>
      <c r="D135" s="736">
        <f>C135/2080</f>
        <v>31.25</v>
      </c>
      <c r="E135" s="663">
        <v>0</v>
      </c>
      <c r="F135" s="663">
        <f>C135*$F$13</f>
        <v>26000</v>
      </c>
      <c r="G135" s="663">
        <f>SUM(C135,E135:F135)</f>
        <v>91000</v>
      </c>
      <c r="H135" s="736">
        <f>G135/2080*8</f>
        <v>350</v>
      </c>
      <c r="I135" s="764"/>
      <c r="J135" s="765"/>
      <c r="K135" s="683">
        <v>0</v>
      </c>
      <c r="L135" s="665">
        <v>0</v>
      </c>
      <c r="M135" s="665">
        <f>$H$135*M32*0.25</f>
        <v>18725</v>
      </c>
      <c r="N135" s="665">
        <f t="shared" ref="N135:AE135" si="42">$M$135*L11</f>
        <v>19099.5</v>
      </c>
      <c r="O135" s="665">
        <f t="shared" si="42"/>
        <v>19481.490000000002</v>
      </c>
      <c r="P135" s="665">
        <f t="shared" si="42"/>
        <v>19871.1198</v>
      </c>
      <c r="Q135" s="665">
        <f t="shared" si="42"/>
        <v>20268.542195999999</v>
      </c>
      <c r="R135" s="665">
        <f t="shared" si="42"/>
        <v>20673.91303992</v>
      </c>
      <c r="S135" s="665">
        <f t="shared" si="42"/>
        <v>21087.391300718402</v>
      </c>
      <c r="T135" s="665">
        <f t="shared" si="42"/>
        <v>21509.139126732767</v>
      </c>
      <c r="U135" s="665">
        <f t="shared" si="42"/>
        <v>21939.321909267426</v>
      </c>
      <c r="V135" s="665">
        <f t="shared" si="42"/>
        <v>22378.108347452773</v>
      </c>
      <c r="W135" s="665">
        <f t="shared" si="42"/>
        <v>22825.670514401831</v>
      </c>
      <c r="X135" s="665">
        <f t="shared" si="42"/>
        <v>23282.183924689867</v>
      </c>
      <c r="Y135" s="665">
        <f t="shared" si="42"/>
        <v>23747.827603183665</v>
      </c>
      <c r="Z135" s="665">
        <f t="shared" si="42"/>
        <v>24222.784155247336</v>
      </c>
      <c r="AA135" s="665">
        <f t="shared" si="42"/>
        <v>24707.239838352285</v>
      </c>
      <c r="AB135" s="665">
        <f t="shared" si="42"/>
        <v>25201.384635119332</v>
      </c>
      <c r="AC135" s="665">
        <f t="shared" si="42"/>
        <v>25705.412327821719</v>
      </c>
      <c r="AD135" s="665">
        <f t="shared" si="42"/>
        <v>26219.520574378155</v>
      </c>
      <c r="AE135" s="665">
        <f t="shared" si="42"/>
        <v>26743.910985865718</v>
      </c>
    </row>
    <row r="136" spans="1:33">
      <c r="A136" s="37" t="s">
        <v>62</v>
      </c>
      <c r="B136" s="735" t="s">
        <v>12</v>
      </c>
      <c r="C136" s="663">
        <v>85000</v>
      </c>
      <c r="D136" s="736">
        <f>C136/2080</f>
        <v>40.865384615384613</v>
      </c>
      <c r="E136" s="663">
        <f>C136*$L$15</f>
        <v>0</v>
      </c>
      <c r="F136" s="663">
        <f t="shared" ref="F136:F139" si="43">C136*$F$13</f>
        <v>34000</v>
      </c>
      <c r="G136" s="663">
        <f t="shared" ref="G136:G139" si="44">SUM(C136,E136:F136)</f>
        <v>119000</v>
      </c>
      <c r="H136" s="736">
        <f>G136/2080*8</f>
        <v>457.69230769230768</v>
      </c>
      <c r="I136" s="764"/>
      <c r="J136" s="765"/>
      <c r="K136" s="683">
        <v>0</v>
      </c>
      <c r="L136" s="665">
        <v>0</v>
      </c>
      <c r="M136" s="665">
        <f>$H$136*M32*0.1</f>
        <v>9794.6153846153848</v>
      </c>
      <c r="N136" s="665">
        <f t="shared" ref="N136:AE136" si="45">$M$136*L11</f>
        <v>9990.5076923076922</v>
      </c>
      <c r="O136" s="665">
        <f t="shared" si="45"/>
        <v>10190.317846153846</v>
      </c>
      <c r="P136" s="665">
        <f t="shared" si="45"/>
        <v>10394.124203076923</v>
      </c>
      <c r="Q136" s="665">
        <f t="shared" si="45"/>
        <v>10602.006687138461</v>
      </c>
      <c r="R136" s="665">
        <f t="shared" si="45"/>
        <v>10814.046820881231</v>
      </c>
      <c r="S136" s="665">
        <f t="shared" si="45"/>
        <v>11030.327757298855</v>
      </c>
      <c r="T136" s="665">
        <f t="shared" si="45"/>
        <v>11250.934312444833</v>
      </c>
      <c r="U136" s="665">
        <f t="shared" si="45"/>
        <v>11475.95299869373</v>
      </c>
      <c r="V136" s="665">
        <f t="shared" si="45"/>
        <v>11705.472058667605</v>
      </c>
      <c r="W136" s="665">
        <f t="shared" si="45"/>
        <v>11939.581499840959</v>
      </c>
      <c r="X136" s="665">
        <f t="shared" si="45"/>
        <v>12178.373129837777</v>
      </c>
      <c r="Y136" s="665">
        <f t="shared" si="45"/>
        <v>12421.940592434532</v>
      </c>
      <c r="Z136" s="665">
        <f t="shared" si="45"/>
        <v>12670.379404283221</v>
      </c>
      <c r="AA136" s="665">
        <f t="shared" si="45"/>
        <v>12923.786992368889</v>
      </c>
      <c r="AB136" s="665">
        <f t="shared" si="45"/>
        <v>13182.262732216266</v>
      </c>
      <c r="AC136" s="665">
        <f t="shared" si="45"/>
        <v>13445.907986860591</v>
      </c>
      <c r="AD136" s="665">
        <f t="shared" si="45"/>
        <v>13714.826146597805</v>
      </c>
      <c r="AE136" s="665">
        <f t="shared" si="45"/>
        <v>13989.122669529761</v>
      </c>
    </row>
    <row r="137" spans="1:33">
      <c r="A137" s="37" t="s">
        <v>419</v>
      </c>
      <c r="B137" s="735" t="s">
        <v>12</v>
      </c>
      <c r="C137" s="663">
        <v>75000</v>
      </c>
      <c r="D137" s="736">
        <f>C137/2080</f>
        <v>36.057692307692307</v>
      </c>
      <c r="E137" s="663">
        <f>C137*$L$15</f>
        <v>0</v>
      </c>
      <c r="F137" s="663">
        <f t="shared" si="43"/>
        <v>30000</v>
      </c>
      <c r="G137" s="663">
        <f t="shared" si="44"/>
        <v>105000</v>
      </c>
      <c r="H137" s="736">
        <f>G137/2080*8</f>
        <v>403.84615384615387</v>
      </c>
      <c r="I137" s="764"/>
      <c r="J137" s="765"/>
      <c r="K137" s="683">
        <v>0</v>
      </c>
      <c r="L137" s="665">
        <v>0</v>
      </c>
      <c r="M137" s="665">
        <f>$H$137*M32*0.1</f>
        <v>8642.3076923076933</v>
      </c>
      <c r="N137" s="665">
        <f t="shared" ref="N137:AE137" si="46">$M$137*L11</f>
        <v>8815.1538461538476</v>
      </c>
      <c r="O137" s="665">
        <f t="shared" si="46"/>
        <v>8991.4569230769248</v>
      </c>
      <c r="P137" s="665">
        <f t="shared" si="46"/>
        <v>9171.2860615384616</v>
      </c>
      <c r="Q137" s="665">
        <f t="shared" si="46"/>
        <v>9354.7117827692309</v>
      </c>
      <c r="R137" s="665">
        <f t="shared" si="46"/>
        <v>9541.8060184246169</v>
      </c>
      <c r="S137" s="665">
        <f t="shared" si="46"/>
        <v>9732.6421387931096</v>
      </c>
      <c r="T137" s="665">
        <f t="shared" si="46"/>
        <v>9927.2949815689717</v>
      </c>
      <c r="U137" s="665">
        <f t="shared" si="46"/>
        <v>10125.840881200351</v>
      </c>
      <c r="V137" s="665">
        <f t="shared" si="46"/>
        <v>10328.357698824359</v>
      </c>
      <c r="W137" s="665">
        <f t="shared" si="46"/>
        <v>10534.924852800847</v>
      </c>
      <c r="X137" s="665">
        <f t="shared" si="46"/>
        <v>10745.623349856864</v>
      </c>
      <c r="Y137" s="665">
        <f t="shared" si="46"/>
        <v>10960.535816854001</v>
      </c>
      <c r="Z137" s="665">
        <f t="shared" si="46"/>
        <v>11179.746533191079</v>
      </c>
      <c r="AA137" s="665">
        <f t="shared" si="46"/>
        <v>11403.341463854902</v>
      </c>
      <c r="AB137" s="665">
        <f t="shared" si="46"/>
        <v>11631.408293132001</v>
      </c>
      <c r="AC137" s="665">
        <f t="shared" si="46"/>
        <v>11864.03645899464</v>
      </c>
      <c r="AD137" s="665">
        <f t="shared" si="46"/>
        <v>12101.317188174535</v>
      </c>
      <c r="AE137" s="665">
        <f t="shared" si="46"/>
        <v>12343.343531938026</v>
      </c>
    </row>
    <row r="138" spans="1:33">
      <c r="A138" s="37" t="s">
        <v>63</v>
      </c>
      <c r="B138" s="735" t="s">
        <v>15</v>
      </c>
      <c r="C138" s="663">
        <v>15000</v>
      </c>
      <c r="D138" s="736">
        <f t="shared" ref="D138:D139" si="47">C138/2080</f>
        <v>7.2115384615384617</v>
      </c>
      <c r="E138" s="663">
        <f>C138*$L$15</f>
        <v>0</v>
      </c>
      <c r="F138" s="663">
        <f t="shared" si="43"/>
        <v>6000</v>
      </c>
      <c r="G138" s="663">
        <f t="shared" si="44"/>
        <v>21000</v>
      </c>
      <c r="H138" s="736">
        <f t="shared" ref="H138:H139" si="48">G138/2080*8</f>
        <v>80.769230769230774</v>
      </c>
      <c r="I138" s="764"/>
      <c r="J138" s="765"/>
      <c r="K138" s="683">
        <v>0</v>
      </c>
      <c r="L138" s="665">
        <v>0</v>
      </c>
      <c r="M138" s="665">
        <f>($H$138*M32)*0.5</f>
        <v>8642.3076923076933</v>
      </c>
      <c r="N138" s="665">
        <f t="shared" ref="N138:AE138" si="49">$M$138*L11</f>
        <v>8815.1538461538476</v>
      </c>
      <c r="O138" s="665">
        <f t="shared" si="49"/>
        <v>8991.4569230769248</v>
      </c>
      <c r="P138" s="665">
        <f t="shared" si="49"/>
        <v>9171.2860615384616</v>
      </c>
      <c r="Q138" s="665">
        <f t="shared" si="49"/>
        <v>9354.7117827692309</v>
      </c>
      <c r="R138" s="665">
        <f t="shared" si="49"/>
        <v>9541.8060184246169</v>
      </c>
      <c r="S138" s="665">
        <f t="shared" si="49"/>
        <v>9732.6421387931096</v>
      </c>
      <c r="T138" s="665">
        <f t="shared" si="49"/>
        <v>9927.2949815689717</v>
      </c>
      <c r="U138" s="665">
        <f t="shared" si="49"/>
        <v>10125.840881200351</v>
      </c>
      <c r="V138" s="665">
        <f t="shared" si="49"/>
        <v>10328.357698824359</v>
      </c>
      <c r="W138" s="665">
        <f t="shared" si="49"/>
        <v>10534.924852800847</v>
      </c>
      <c r="X138" s="665">
        <f t="shared" si="49"/>
        <v>10745.623349856864</v>
      </c>
      <c r="Y138" s="665">
        <f t="shared" si="49"/>
        <v>10960.535816854001</v>
      </c>
      <c r="Z138" s="665">
        <f t="shared" si="49"/>
        <v>11179.746533191079</v>
      </c>
      <c r="AA138" s="665">
        <f t="shared" si="49"/>
        <v>11403.341463854902</v>
      </c>
      <c r="AB138" s="665">
        <f t="shared" si="49"/>
        <v>11631.408293132001</v>
      </c>
      <c r="AC138" s="665">
        <f t="shared" si="49"/>
        <v>11864.03645899464</v>
      </c>
      <c r="AD138" s="665">
        <f t="shared" si="49"/>
        <v>12101.317188174535</v>
      </c>
      <c r="AE138" s="665">
        <f t="shared" si="49"/>
        <v>12343.343531938026</v>
      </c>
    </row>
    <row r="139" spans="1:33">
      <c r="A139" s="745" t="s">
        <v>63</v>
      </c>
      <c r="B139" s="738" t="s">
        <v>15</v>
      </c>
      <c r="C139" s="739">
        <v>15000</v>
      </c>
      <c r="D139" s="740">
        <f t="shared" si="47"/>
        <v>7.2115384615384617</v>
      </c>
      <c r="E139" s="739">
        <f>C139*$L$15</f>
        <v>0</v>
      </c>
      <c r="F139" s="739">
        <f t="shared" si="43"/>
        <v>6000</v>
      </c>
      <c r="G139" s="739">
        <f t="shared" si="44"/>
        <v>21000</v>
      </c>
      <c r="H139" s="740">
        <f t="shared" si="48"/>
        <v>80.769230769230774</v>
      </c>
      <c r="I139" s="766"/>
      <c r="J139" s="767"/>
      <c r="K139" s="741">
        <v>0</v>
      </c>
      <c r="L139" s="742">
        <v>0</v>
      </c>
      <c r="M139" s="742">
        <f>($H$139*M32)*0.5</f>
        <v>8642.3076923076933</v>
      </c>
      <c r="N139" s="742">
        <f t="shared" ref="N139:AE139" si="50">$M$139*L11</f>
        <v>8815.1538461538476</v>
      </c>
      <c r="O139" s="742">
        <f t="shared" si="50"/>
        <v>8991.4569230769248</v>
      </c>
      <c r="P139" s="742">
        <f t="shared" si="50"/>
        <v>9171.2860615384616</v>
      </c>
      <c r="Q139" s="742">
        <f t="shared" si="50"/>
        <v>9354.7117827692309</v>
      </c>
      <c r="R139" s="742">
        <f t="shared" si="50"/>
        <v>9541.8060184246169</v>
      </c>
      <c r="S139" s="742">
        <f t="shared" si="50"/>
        <v>9732.6421387931096</v>
      </c>
      <c r="T139" s="742">
        <f t="shared" si="50"/>
        <v>9927.2949815689717</v>
      </c>
      <c r="U139" s="742">
        <f t="shared" si="50"/>
        <v>10125.840881200351</v>
      </c>
      <c r="V139" s="742">
        <f t="shared" si="50"/>
        <v>10328.357698824359</v>
      </c>
      <c r="W139" s="742">
        <f t="shared" si="50"/>
        <v>10534.924852800847</v>
      </c>
      <c r="X139" s="742">
        <f t="shared" si="50"/>
        <v>10745.623349856864</v>
      </c>
      <c r="Y139" s="742">
        <f t="shared" si="50"/>
        <v>10960.535816854001</v>
      </c>
      <c r="Z139" s="742">
        <f t="shared" si="50"/>
        <v>11179.746533191079</v>
      </c>
      <c r="AA139" s="742">
        <f t="shared" si="50"/>
        <v>11403.341463854902</v>
      </c>
      <c r="AB139" s="742">
        <f t="shared" si="50"/>
        <v>11631.408293132001</v>
      </c>
      <c r="AC139" s="742">
        <f t="shared" si="50"/>
        <v>11864.03645899464</v>
      </c>
      <c r="AD139" s="742">
        <f t="shared" si="50"/>
        <v>12101.317188174535</v>
      </c>
      <c r="AE139" s="742">
        <f t="shared" si="50"/>
        <v>12343.343531938026</v>
      </c>
    </row>
    <row r="140" spans="1:33" s="56" customFormat="1" ht="14.25">
      <c r="A140" s="164" t="s">
        <v>415</v>
      </c>
      <c r="B140" s="164"/>
      <c r="C140" s="667">
        <f>SUM(C135:C139)</f>
        <v>255000</v>
      </c>
      <c r="D140" s="667"/>
      <c r="E140" s="667">
        <f>SUM(E135:E139)</f>
        <v>0</v>
      </c>
      <c r="F140" s="667">
        <f>SUM(F135:F139)</f>
        <v>102000</v>
      </c>
      <c r="G140" s="667">
        <f>SUM(G135:G139)</f>
        <v>357000</v>
      </c>
      <c r="H140" s="667">
        <f>SUM(H135:H139)</f>
        <v>1373.0769230769229</v>
      </c>
      <c r="I140" s="768"/>
      <c r="J140" s="769"/>
      <c r="K140" s="685">
        <f>SUMIF($B135:$B139,"FT",K135:K139)</f>
        <v>0</v>
      </c>
      <c r="L140" s="669">
        <f>SUMIF($B135:$B139,"FT",L135:L139)</f>
        <v>0</v>
      </c>
      <c r="M140" s="669">
        <f>SUM(M135:M139)</f>
        <v>54446.538461538468</v>
      </c>
      <c r="N140" s="669">
        <f t="shared" ref="N140:AE140" si="51">SUM(N135:N139)</f>
        <v>55535.469230769231</v>
      </c>
      <c r="O140" s="669">
        <f t="shared" si="51"/>
        <v>56646.178615384626</v>
      </c>
      <c r="P140" s="669">
        <f t="shared" si="51"/>
        <v>57779.102187692311</v>
      </c>
      <c r="Q140" s="669">
        <f t="shared" si="51"/>
        <v>58934.684231446139</v>
      </c>
      <c r="R140" s="669">
        <f t="shared" si="51"/>
        <v>60113.377916075071</v>
      </c>
      <c r="S140" s="669">
        <f t="shared" si="51"/>
        <v>61315.645474396588</v>
      </c>
      <c r="T140" s="669">
        <f t="shared" si="51"/>
        <v>62541.958383884514</v>
      </c>
      <c r="U140" s="669">
        <f t="shared" si="51"/>
        <v>63792.797551562195</v>
      </c>
      <c r="V140" s="669">
        <f t="shared" si="51"/>
        <v>65068.653502593457</v>
      </c>
      <c r="W140" s="669">
        <f t="shared" si="51"/>
        <v>66370.026572645322</v>
      </c>
      <c r="X140" s="669">
        <f t="shared" si="51"/>
        <v>67697.427104098228</v>
      </c>
      <c r="Y140" s="669">
        <f t="shared" si="51"/>
        <v>69051.375646180197</v>
      </c>
      <c r="Z140" s="669">
        <f t="shared" si="51"/>
        <v>70432.403159103793</v>
      </c>
      <c r="AA140" s="669">
        <f t="shared" si="51"/>
        <v>71841.051222285882</v>
      </c>
      <c r="AB140" s="669">
        <f t="shared" si="51"/>
        <v>73277.872246731597</v>
      </c>
      <c r="AC140" s="669">
        <f t="shared" si="51"/>
        <v>74743.429691666228</v>
      </c>
      <c r="AD140" s="669">
        <f t="shared" si="51"/>
        <v>76238.298285499564</v>
      </c>
      <c r="AE140" s="669">
        <f t="shared" si="51"/>
        <v>77763.064251209551</v>
      </c>
    </row>
    <row r="141" spans="1:33">
      <c r="A141" s="37"/>
      <c r="B141" s="37"/>
      <c r="C141" s="663"/>
      <c r="D141" s="663"/>
      <c r="E141" s="663"/>
      <c r="F141" s="663"/>
      <c r="G141" s="663"/>
      <c r="H141" s="663"/>
      <c r="I141" s="107"/>
      <c r="J141" s="108"/>
      <c r="K141" s="683"/>
      <c r="L141" s="666"/>
      <c r="M141" s="666"/>
      <c r="N141" s="666"/>
      <c r="O141" s="666"/>
      <c r="P141" s="666"/>
      <c r="Q141" s="666"/>
      <c r="R141" s="666"/>
      <c r="S141" s="666"/>
      <c r="T141" s="666"/>
      <c r="U141" s="666"/>
      <c r="V141" s="666"/>
      <c r="W141" s="666"/>
      <c r="X141" s="666"/>
      <c r="Y141" s="666"/>
      <c r="Z141" s="666"/>
      <c r="AA141" s="666"/>
      <c r="AB141" s="666"/>
      <c r="AC141" s="666"/>
      <c r="AD141" s="666"/>
      <c r="AE141" s="666"/>
    </row>
    <row r="142" spans="1:33">
      <c r="A142" s="37" t="s">
        <v>11</v>
      </c>
      <c r="B142" s="37"/>
      <c r="C142" s="57"/>
      <c r="E142" s="57"/>
      <c r="F142" s="57"/>
      <c r="G142" s="57"/>
      <c r="H142" s="57"/>
      <c r="I142" s="43"/>
      <c r="J142" s="42"/>
      <c r="K142" s="770">
        <f>COUNTIF(K135:K139,"&gt;100")</f>
        <v>0</v>
      </c>
      <c r="L142" s="771">
        <f>COUNTIF(L135:L137,"&gt;100")</f>
        <v>0</v>
      </c>
      <c r="M142" s="771">
        <f t="shared" ref="M142:AE142" si="52">COUNTIF(M135:M137,"&gt;100")</f>
        <v>3</v>
      </c>
      <c r="N142" s="771">
        <f t="shared" si="52"/>
        <v>3</v>
      </c>
      <c r="O142" s="771">
        <f t="shared" si="52"/>
        <v>3</v>
      </c>
      <c r="P142" s="771">
        <f t="shared" si="52"/>
        <v>3</v>
      </c>
      <c r="Q142" s="771">
        <f t="shared" si="52"/>
        <v>3</v>
      </c>
      <c r="R142" s="771">
        <f t="shared" si="52"/>
        <v>3</v>
      </c>
      <c r="S142" s="771">
        <f t="shared" si="52"/>
        <v>3</v>
      </c>
      <c r="T142" s="771">
        <f t="shared" si="52"/>
        <v>3</v>
      </c>
      <c r="U142" s="771">
        <f t="shared" si="52"/>
        <v>3</v>
      </c>
      <c r="V142" s="771">
        <f t="shared" si="52"/>
        <v>3</v>
      </c>
      <c r="W142" s="771">
        <f t="shared" si="52"/>
        <v>3</v>
      </c>
      <c r="X142" s="771">
        <f t="shared" si="52"/>
        <v>3</v>
      </c>
      <c r="Y142" s="771">
        <f t="shared" si="52"/>
        <v>3</v>
      </c>
      <c r="Z142" s="771">
        <f t="shared" si="52"/>
        <v>3</v>
      </c>
      <c r="AA142" s="771">
        <f t="shared" si="52"/>
        <v>3</v>
      </c>
      <c r="AB142" s="771">
        <f t="shared" si="52"/>
        <v>3</v>
      </c>
      <c r="AC142" s="771">
        <f t="shared" si="52"/>
        <v>3</v>
      </c>
      <c r="AD142" s="771">
        <f t="shared" si="52"/>
        <v>3</v>
      </c>
      <c r="AE142" s="771">
        <f t="shared" si="52"/>
        <v>3</v>
      </c>
      <c r="AF142" s="772"/>
      <c r="AG142" s="772"/>
    </row>
    <row r="143" spans="1:33">
      <c r="A143" s="745" t="s">
        <v>10</v>
      </c>
      <c r="B143" s="745"/>
      <c r="C143" s="746"/>
      <c r="D143" s="116"/>
      <c r="E143" s="746"/>
      <c r="F143" s="746"/>
      <c r="G143" s="746"/>
      <c r="H143" s="746"/>
      <c r="I143" s="747"/>
      <c r="J143" s="748"/>
      <c r="K143" s="773">
        <v>0</v>
      </c>
      <c r="L143" s="774">
        <f>COUNTIF(L138:L139,"&gt;100")</f>
        <v>0</v>
      </c>
      <c r="M143" s="774">
        <f t="shared" ref="M143:AE143" si="53">COUNTIF(M138:M139,"&gt;100")</f>
        <v>2</v>
      </c>
      <c r="N143" s="774">
        <f t="shared" si="53"/>
        <v>2</v>
      </c>
      <c r="O143" s="774">
        <f t="shared" si="53"/>
        <v>2</v>
      </c>
      <c r="P143" s="774">
        <f t="shared" si="53"/>
        <v>2</v>
      </c>
      <c r="Q143" s="774">
        <f t="shared" si="53"/>
        <v>2</v>
      </c>
      <c r="R143" s="774">
        <f t="shared" si="53"/>
        <v>2</v>
      </c>
      <c r="S143" s="774">
        <f t="shared" si="53"/>
        <v>2</v>
      </c>
      <c r="T143" s="774">
        <f t="shared" si="53"/>
        <v>2</v>
      </c>
      <c r="U143" s="774">
        <f t="shared" si="53"/>
        <v>2</v>
      </c>
      <c r="V143" s="774">
        <f t="shared" si="53"/>
        <v>2</v>
      </c>
      <c r="W143" s="774">
        <f t="shared" si="53"/>
        <v>2</v>
      </c>
      <c r="X143" s="774">
        <f t="shared" si="53"/>
        <v>2</v>
      </c>
      <c r="Y143" s="774">
        <f t="shared" si="53"/>
        <v>2</v>
      </c>
      <c r="Z143" s="774">
        <f t="shared" si="53"/>
        <v>2</v>
      </c>
      <c r="AA143" s="774">
        <f t="shared" si="53"/>
        <v>2</v>
      </c>
      <c r="AB143" s="774">
        <f t="shared" si="53"/>
        <v>2</v>
      </c>
      <c r="AC143" s="774">
        <f t="shared" si="53"/>
        <v>2</v>
      </c>
      <c r="AD143" s="774">
        <f t="shared" si="53"/>
        <v>2</v>
      </c>
      <c r="AE143" s="774">
        <f t="shared" si="53"/>
        <v>2</v>
      </c>
      <c r="AF143" s="772"/>
      <c r="AG143" s="772"/>
    </row>
    <row r="144" spans="1:33" s="56" customFormat="1" ht="14.25">
      <c r="A144" s="164" t="s">
        <v>9</v>
      </c>
      <c r="B144" s="164"/>
      <c r="C144" s="75"/>
      <c r="D144" s="173"/>
      <c r="E144" s="75"/>
      <c r="F144" s="75"/>
      <c r="G144" s="75"/>
      <c r="H144" s="75"/>
      <c r="I144" s="174"/>
      <c r="J144" s="181"/>
      <c r="K144" s="775">
        <v>0</v>
      </c>
      <c r="L144" s="776">
        <f>SUM(L142:L143)</f>
        <v>0</v>
      </c>
      <c r="M144" s="776">
        <f t="shared" ref="M144:AE144" si="54">COUNTIF(M135:M139,"&gt;0")</f>
        <v>5</v>
      </c>
      <c r="N144" s="776">
        <f t="shared" si="54"/>
        <v>5</v>
      </c>
      <c r="O144" s="776">
        <f t="shared" si="54"/>
        <v>5</v>
      </c>
      <c r="P144" s="776">
        <f t="shared" si="54"/>
        <v>5</v>
      </c>
      <c r="Q144" s="776">
        <f t="shared" si="54"/>
        <v>5</v>
      </c>
      <c r="R144" s="776">
        <f t="shared" si="54"/>
        <v>5</v>
      </c>
      <c r="S144" s="776">
        <f t="shared" si="54"/>
        <v>5</v>
      </c>
      <c r="T144" s="776">
        <f t="shared" si="54"/>
        <v>5</v>
      </c>
      <c r="U144" s="776">
        <f t="shared" si="54"/>
        <v>5</v>
      </c>
      <c r="V144" s="776">
        <f t="shared" si="54"/>
        <v>5</v>
      </c>
      <c r="W144" s="776">
        <f t="shared" si="54"/>
        <v>5</v>
      </c>
      <c r="X144" s="776">
        <f t="shared" si="54"/>
        <v>5</v>
      </c>
      <c r="Y144" s="776">
        <f t="shared" si="54"/>
        <v>5</v>
      </c>
      <c r="Z144" s="776">
        <f t="shared" si="54"/>
        <v>5</v>
      </c>
      <c r="AA144" s="776">
        <f t="shared" si="54"/>
        <v>5</v>
      </c>
      <c r="AB144" s="776">
        <f t="shared" si="54"/>
        <v>5</v>
      </c>
      <c r="AC144" s="776">
        <f t="shared" si="54"/>
        <v>5</v>
      </c>
      <c r="AD144" s="776">
        <f t="shared" si="54"/>
        <v>5</v>
      </c>
      <c r="AE144" s="776">
        <f t="shared" si="54"/>
        <v>5</v>
      </c>
      <c r="AF144" s="723"/>
      <c r="AG144" s="723"/>
    </row>
    <row r="145" spans="1:33">
      <c r="B145" s="37"/>
      <c r="C145" s="57"/>
      <c r="E145" s="57"/>
      <c r="F145" s="57"/>
      <c r="G145" s="57"/>
      <c r="H145" s="57"/>
      <c r="I145" s="43"/>
      <c r="J145" s="42"/>
      <c r="K145" s="683"/>
      <c r="L145" s="316"/>
      <c r="M145" s="316"/>
      <c r="N145" s="316"/>
      <c r="O145" s="316"/>
      <c r="P145" s="316"/>
      <c r="Q145" s="316"/>
      <c r="R145" s="316"/>
      <c r="S145" s="316"/>
      <c r="T145" s="316"/>
      <c r="U145" s="316"/>
      <c r="V145" s="316"/>
      <c r="W145" s="316"/>
      <c r="X145" s="316"/>
      <c r="Y145" s="316"/>
      <c r="Z145" s="316"/>
      <c r="AA145" s="316"/>
      <c r="AB145" s="316"/>
      <c r="AC145" s="316"/>
      <c r="AD145" s="316"/>
      <c r="AE145" s="316"/>
    </row>
    <row r="146" spans="1:33">
      <c r="A146" s="33" t="s">
        <v>60</v>
      </c>
      <c r="B146" s="191"/>
      <c r="C146" s="192"/>
      <c r="D146" s="193"/>
      <c r="E146" s="194"/>
      <c r="F146" s="194"/>
      <c r="G146" s="192"/>
      <c r="H146" s="192"/>
      <c r="I146" s="195">
        <v>0.2</v>
      </c>
      <c r="J146" s="196"/>
      <c r="K146" s="689">
        <v>0</v>
      </c>
      <c r="L146" s="665">
        <f t="shared" ref="L146:AE146" si="55">L140*$I$146</f>
        <v>0</v>
      </c>
      <c r="M146" s="665">
        <f t="shared" si="55"/>
        <v>10889.307692307695</v>
      </c>
      <c r="N146" s="665">
        <f t="shared" si="55"/>
        <v>11107.093846153846</v>
      </c>
      <c r="O146" s="665">
        <f t="shared" si="55"/>
        <v>11329.235723076927</v>
      </c>
      <c r="P146" s="665">
        <f t="shared" si="55"/>
        <v>11555.820437538463</v>
      </c>
      <c r="Q146" s="665">
        <f t="shared" si="55"/>
        <v>11786.936846289229</v>
      </c>
      <c r="R146" s="665">
        <f t="shared" si="55"/>
        <v>12022.675583215016</v>
      </c>
      <c r="S146" s="665">
        <f t="shared" si="55"/>
        <v>12263.129094879318</v>
      </c>
      <c r="T146" s="665">
        <f t="shared" si="55"/>
        <v>12508.391676776904</v>
      </c>
      <c r="U146" s="665">
        <f t="shared" si="55"/>
        <v>12758.55951031244</v>
      </c>
      <c r="V146" s="665">
        <f t="shared" si="55"/>
        <v>13013.730700518692</v>
      </c>
      <c r="W146" s="665">
        <f t="shared" si="55"/>
        <v>13274.005314529066</v>
      </c>
      <c r="X146" s="665">
        <f t="shared" si="55"/>
        <v>13539.485420819647</v>
      </c>
      <c r="Y146" s="665">
        <f t="shared" si="55"/>
        <v>13810.275129236041</v>
      </c>
      <c r="Z146" s="665">
        <f t="shared" si="55"/>
        <v>14086.480631820759</v>
      </c>
      <c r="AA146" s="665">
        <f t="shared" si="55"/>
        <v>14368.210244457177</v>
      </c>
      <c r="AB146" s="665">
        <f t="shared" si="55"/>
        <v>14655.574449346321</v>
      </c>
      <c r="AC146" s="665">
        <f t="shared" si="55"/>
        <v>14948.685938333247</v>
      </c>
      <c r="AD146" s="665">
        <f t="shared" si="55"/>
        <v>15247.659657099914</v>
      </c>
      <c r="AE146" s="665">
        <f t="shared" si="55"/>
        <v>15552.612850241911</v>
      </c>
    </row>
    <row r="147" spans="1:33">
      <c r="B147" s="191"/>
      <c r="C147" s="192"/>
      <c r="D147" s="193"/>
      <c r="E147" s="194"/>
      <c r="F147" s="194"/>
      <c r="G147" s="192"/>
      <c r="H147" s="192"/>
      <c r="I147" s="195"/>
      <c r="J147" s="196"/>
      <c r="K147" s="689"/>
      <c r="L147" s="665"/>
      <c r="M147" s="665"/>
      <c r="N147" s="665"/>
      <c r="O147" s="665"/>
      <c r="P147" s="665"/>
      <c r="Q147" s="665"/>
      <c r="R147" s="665"/>
      <c r="S147" s="665"/>
      <c r="T147" s="665"/>
      <c r="U147" s="665"/>
      <c r="V147" s="665"/>
      <c r="W147" s="665"/>
      <c r="X147" s="665"/>
      <c r="Y147" s="665"/>
      <c r="Z147" s="665"/>
      <c r="AA147" s="665"/>
      <c r="AB147" s="665"/>
      <c r="AC147" s="665"/>
      <c r="AD147" s="665"/>
      <c r="AE147" s="665"/>
    </row>
    <row r="148" spans="1:33" s="197" customFormat="1" ht="14.25">
      <c r="A148" s="197" t="s">
        <v>68</v>
      </c>
      <c r="D148" s="198"/>
      <c r="K148" s="690"/>
      <c r="L148" s="677"/>
      <c r="M148" s="677"/>
      <c r="N148" s="677"/>
      <c r="O148" s="677"/>
      <c r="P148" s="677"/>
      <c r="Q148" s="677"/>
      <c r="R148" s="677"/>
      <c r="S148" s="677"/>
      <c r="T148" s="677"/>
      <c r="U148" s="677"/>
      <c r="V148" s="677"/>
      <c r="W148" s="677"/>
      <c r="X148" s="677"/>
      <c r="Y148" s="677"/>
      <c r="Z148" s="677"/>
      <c r="AA148" s="677"/>
      <c r="AB148" s="677"/>
      <c r="AC148" s="677"/>
      <c r="AD148" s="677"/>
      <c r="AE148" s="677"/>
    </row>
    <row r="149" spans="1:33">
      <c r="A149" s="37" t="s">
        <v>423</v>
      </c>
      <c r="B149" s="37"/>
      <c r="C149" s="110"/>
      <c r="D149" s="106"/>
      <c r="E149" s="57"/>
      <c r="F149" s="57"/>
      <c r="G149" s="57"/>
      <c r="H149" s="57"/>
      <c r="I149" s="49"/>
      <c r="J149" s="44"/>
      <c r="K149" s="683">
        <f>COUNTIF(K$115:K$122,"&gt;0")*$J149*R$9</f>
        <v>0</v>
      </c>
      <c r="L149" s="666">
        <v>0</v>
      </c>
      <c r="M149" s="666">
        <v>10000</v>
      </c>
      <c r="N149" s="666">
        <f t="shared" ref="N149:AE149" si="56">$M$149*L11</f>
        <v>10200</v>
      </c>
      <c r="O149" s="666">
        <f t="shared" si="56"/>
        <v>10404</v>
      </c>
      <c r="P149" s="666">
        <f t="shared" si="56"/>
        <v>10612.08</v>
      </c>
      <c r="Q149" s="666">
        <f t="shared" si="56"/>
        <v>10824.321599999999</v>
      </c>
      <c r="R149" s="666">
        <f t="shared" si="56"/>
        <v>11040.808032000001</v>
      </c>
      <c r="S149" s="666">
        <f t="shared" si="56"/>
        <v>11261.62419264</v>
      </c>
      <c r="T149" s="666">
        <f t="shared" si="56"/>
        <v>11486.8566764928</v>
      </c>
      <c r="U149" s="666">
        <f t="shared" si="56"/>
        <v>11716.593810022658</v>
      </c>
      <c r="V149" s="666">
        <f t="shared" si="56"/>
        <v>11950.92568622311</v>
      </c>
      <c r="W149" s="666">
        <f t="shared" si="56"/>
        <v>12189.944199947573</v>
      </c>
      <c r="X149" s="666">
        <f t="shared" si="56"/>
        <v>12433.743083946525</v>
      </c>
      <c r="Y149" s="666">
        <f t="shared" si="56"/>
        <v>12682.417945625455</v>
      </c>
      <c r="Z149" s="666">
        <f t="shared" si="56"/>
        <v>12936.066304537962</v>
      </c>
      <c r="AA149" s="666">
        <f t="shared" si="56"/>
        <v>13194.787630628723</v>
      </c>
      <c r="AB149" s="666">
        <f t="shared" si="56"/>
        <v>13458.683383241299</v>
      </c>
      <c r="AC149" s="666">
        <f t="shared" si="56"/>
        <v>13727.857050906125</v>
      </c>
      <c r="AD149" s="666">
        <f t="shared" si="56"/>
        <v>14002.414191924248</v>
      </c>
      <c r="AE149" s="666">
        <f t="shared" si="56"/>
        <v>14282.462475762733</v>
      </c>
    </row>
    <row r="150" spans="1:33">
      <c r="A150" s="37" t="s">
        <v>67</v>
      </c>
      <c r="B150" s="37"/>
      <c r="C150" s="110"/>
      <c r="D150" s="106"/>
      <c r="E150" s="57"/>
      <c r="F150" s="57"/>
      <c r="G150" s="57"/>
      <c r="H150" s="57"/>
      <c r="I150" s="51"/>
      <c r="J150" s="44"/>
      <c r="K150" s="683">
        <v>0</v>
      </c>
      <c r="L150" s="666">
        <v>0</v>
      </c>
      <c r="M150" s="666">
        <v>10000</v>
      </c>
      <c r="N150" s="666">
        <f t="shared" ref="N150:AE150" si="57">$M$150*L11</f>
        <v>10200</v>
      </c>
      <c r="O150" s="666">
        <f t="shared" si="57"/>
        <v>10404</v>
      </c>
      <c r="P150" s="666">
        <f t="shared" si="57"/>
        <v>10612.08</v>
      </c>
      <c r="Q150" s="666">
        <f t="shared" si="57"/>
        <v>10824.321599999999</v>
      </c>
      <c r="R150" s="666">
        <f t="shared" si="57"/>
        <v>11040.808032000001</v>
      </c>
      <c r="S150" s="666">
        <f t="shared" si="57"/>
        <v>11261.62419264</v>
      </c>
      <c r="T150" s="666">
        <f t="shared" si="57"/>
        <v>11486.8566764928</v>
      </c>
      <c r="U150" s="666">
        <f t="shared" si="57"/>
        <v>11716.593810022658</v>
      </c>
      <c r="V150" s="666">
        <f t="shared" si="57"/>
        <v>11950.92568622311</v>
      </c>
      <c r="W150" s="666">
        <f t="shared" si="57"/>
        <v>12189.944199947573</v>
      </c>
      <c r="X150" s="666">
        <f t="shared" si="57"/>
        <v>12433.743083946525</v>
      </c>
      <c r="Y150" s="666">
        <f t="shared" si="57"/>
        <v>12682.417945625455</v>
      </c>
      <c r="Z150" s="666">
        <f t="shared" si="57"/>
        <v>12936.066304537962</v>
      </c>
      <c r="AA150" s="666">
        <f t="shared" si="57"/>
        <v>13194.787630628723</v>
      </c>
      <c r="AB150" s="666">
        <f t="shared" si="57"/>
        <v>13458.683383241299</v>
      </c>
      <c r="AC150" s="666">
        <f t="shared" si="57"/>
        <v>13727.857050906125</v>
      </c>
      <c r="AD150" s="666">
        <f t="shared" si="57"/>
        <v>14002.414191924248</v>
      </c>
      <c r="AE150" s="666">
        <f t="shared" si="57"/>
        <v>14282.462475762733</v>
      </c>
    </row>
    <row r="151" spans="1:33">
      <c r="A151" s="180" t="s">
        <v>2</v>
      </c>
      <c r="B151" s="777"/>
      <c r="C151" s="778"/>
      <c r="D151" s="779"/>
      <c r="E151" s="746"/>
      <c r="F151" s="746"/>
      <c r="G151" s="778"/>
      <c r="H151" s="778"/>
      <c r="I151" s="780"/>
      <c r="J151" s="781"/>
      <c r="K151" s="741">
        <v>0</v>
      </c>
      <c r="L151" s="742">
        <v>0</v>
      </c>
      <c r="M151" s="742">
        <v>0</v>
      </c>
      <c r="N151" s="742">
        <v>0</v>
      </c>
      <c r="O151" s="742">
        <v>0</v>
      </c>
      <c r="P151" s="742">
        <v>0</v>
      </c>
      <c r="Q151" s="742">
        <v>0</v>
      </c>
      <c r="R151" s="742">
        <v>0</v>
      </c>
      <c r="S151" s="742">
        <v>0</v>
      </c>
      <c r="T151" s="742">
        <v>0</v>
      </c>
      <c r="U151" s="742">
        <v>0</v>
      </c>
      <c r="V151" s="742">
        <v>0</v>
      </c>
      <c r="W151" s="742">
        <v>0</v>
      </c>
      <c r="X151" s="742">
        <v>0</v>
      </c>
      <c r="Y151" s="742">
        <v>0</v>
      </c>
      <c r="Z151" s="742">
        <v>0</v>
      </c>
      <c r="AA151" s="742">
        <v>0</v>
      </c>
      <c r="AB151" s="742">
        <v>0</v>
      </c>
      <c r="AC151" s="742">
        <v>0</v>
      </c>
      <c r="AD151" s="742">
        <v>0</v>
      </c>
      <c r="AE151" s="742">
        <v>0</v>
      </c>
    </row>
    <row r="152" spans="1:33" s="56" customFormat="1" ht="14.25">
      <c r="A152" s="164" t="s">
        <v>78</v>
      </c>
      <c r="B152" s="164"/>
      <c r="C152" s="75"/>
      <c r="D152" s="173"/>
      <c r="E152" s="75"/>
      <c r="F152" s="75"/>
      <c r="G152" s="75"/>
      <c r="H152" s="75"/>
      <c r="I152" s="174"/>
      <c r="J152" s="175"/>
      <c r="K152" s="685">
        <v>0</v>
      </c>
      <c r="L152" s="669">
        <f t="shared" ref="L152:AE152" si="58">SUM(L149:L151)</f>
        <v>0</v>
      </c>
      <c r="M152" s="669">
        <f t="shared" si="58"/>
        <v>20000</v>
      </c>
      <c r="N152" s="669">
        <f t="shared" si="58"/>
        <v>20400</v>
      </c>
      <c r="O152" s="669">
        <f t="shared" si="58"/>
        <v>20808</v>
      </c>
      <c r="P152" s="669">
        <f t="shared" si="58"/>
        <v>21224.16</v>
      </c>
      <c r="Q152" s="669">
        <f t="shared" si="58"/>
        <v>21648.643199999999</v>
      </c>
      <c r="R152" s="669">
        <f t="shared" si="58"/>
        <v>22081.616064000002</v>
      </c>
      <c r="S152" s="669">
        <f t="shared" si="58"/>
        <v>22523.24838528</v>
      </c>
      <c r="T152" s="669">
        <f t="shared" si="58"/>
        <v>22973.7133529856</v>
      </c>
      <c r="U152" s="669">
        <f t="shared" si="58"/>
        <v>23433.187620045315</v>
      </c>
      <c r="V152" s="669">
        <f t="shared" si="58"/>
        <v>23901.851372446221</v>
      </c>
      <c r="W152" s="669">
        <f t="shared" si="58"/>
        <v>24379.888399895146</v>
      </c>
      <c r="X152" s="669">
        <f t="shared" si="58"/>
        <v>24867.48616789305</v>
      </c>
      <c r="Y152" s="669">
        <f t="shared" si="58"/>
        <v>25364.83589125091</v>
      </c>
      <c r="Z152" s="669">
        <f t="shared" si="58"/>
        <v>25872.132609075925</v>
      </c>
      <c r="AA152" s="669">
        <f t="shared" si="58"/>
        <v>26389.575261257447</v>
      </c>
      <c r="AB152" s="669">
        <f t="shared" si="58"/>
        <v>26917.366766482599</v>
      </c>
      <c r="AC152" s="669">
        <f t="shared" si="58"/>
        <v>27455.714101812249</v>
      </c>
      <c r="AD152" s="669">
        <f t="shared" si="58"/>
        <v>28004.828383848497</v>
      </c>
      <c r="AE152" s="669">
        <f t="shared" si="58"/>
        <v>28564.924951525467</v>
      </c>
    </row>
    <row r="153" spans="1:33" s="56" customFormat="1" ht="14.25">
      <c r="A153" s="164"/>
      <c r="B153" s="164"/>
      <c r="C153" s="75"/>
      <c r="D153" s="173"/>
      <c r="E153" s="75"/>
      <c r="F153" s="75"/>
      <c r="G153" s="75"/>
      <c r="H153" s="75"/>
      <c r="I153" s="174"/>
      <c r="J153" s="175"/>
      <c r="K153" s="685"/>
      <c r="L153" s="669"/>
      <c r="M153" s="669"/>
      <c r="N153" s="669"/>
      <c r="O153" s="669"/>
      <c r="P153" s="669"/>
      <c r="Q153" s="669"/>
      <c r="R153" s="669"/>
      <c r="S153" s="669"/>
      <c r="T153" s="669"/>
      <c r="U153" s="669"/>
      <c r="V153" s="669"/>
      <c r="W153" s="669"/>
      <c r="X153" s="669"/>
      <c r="Y153" s="669"/>
      <c r="Z153" s="669"/>
      <c r="AA153" s="669"/>
      <c r="AB153" s="669"/>
      <c r="AC153" s="669"/>
      <c r="AD153" s="669"/>
      <c r="AE153" s="669"/>
    </row>
    <row r="154" spans="1:33" s="56" customFormat="1" ht="14.25">
      <c r="A154" s="164" t="s">
        <v>66</v>
      </c>
      <c r="B154" s="164"/>
      <c r="C154" s="75"/>
      <c r="D154" s="173"/>
      <c r="E154" s="75"/>
      <c r="F154" s="75"/>
      <c r="G154" s="75"/>
      <c r="H154" s="75"/>
      <c r="I154" s="174"/>
      <c r="J154" s="175"/>
      <c r="K154" s="685">
        <v>0</v>
      </c>
      <c r="L154" s="669">
        <f>SUM(L140,L152)</f>
        <v>0</v>
      </c>
      <c r="M154" s="669">
        <f>SUM(M140,M146,M152)</f>
        <v>85335.846153846156</v>
      </c>
      <c r="N154" s="669">
        <f t="shared" ref="N154:AE154" si="59">SUM(N140,N146,N152)</f>
        <v>87042.563076923077</v>
      </c>
      <c r="O154" s="669">
        <f t="shared" si="59"/>
        <v>88783.41433846156</v>
      </c>
      <c r="P154" s="669">
        <f t="shared" si="59"/>
        <v>90559.082625230774</v>
      </c>
      <c r="Q154" s="669">
        <f t="shared" si="59"/>
        <v>92370.264277735376</v>
      </c>
      <c r="R154" s="669">
        <f t="shared" si="59"/>
        <v>94217.669563290081</v>
      </c>
      <c r="S154" s="669">
        <f t="shared" si="59"/>
        <v>96102.022954555898</v>
      </c>
      <c r="T154" s="669">
        <f t="shared" si="59"/>
        <v>98024.063413647003</v>
      </c>
      <c r="U154" s="669">
        <f t="shared" si="59"/>
        <v>99984.544681919942</v>
      </c>
      <c r="V154" s="669">
        <f t="shared" si="59"/>
        <v>101984.23557555837</v>
      </c>
      <c r="W154" s="669">
        <f t="shared" si="59"/>
        <v>104023.92028706953</v>
      </c>
      <c r="X154" s="669">
        <f t="shared" si="59"/>
        <v>106104.39869281092</v>
      </c>
      <c r="Y154" s="669">
        <f t="shared" si="59"/>
        <v>108226.48666666714</v>
      </c>
      <c r="Z154" s="669">
        <f t="shared" si="59"/>
        <v>110391.01640000047</v>
      </c>
      <c r="AA154" s="669">
        <f t="shared" si="59"/>
        <v>112598.8367280005</v>
      </c>
      <c r="AB154" s="669">
        <f t="shared" si="59"/>
        <v>114850.8134625605</v>
      </c>
      <c r="AC154" s="669">
        <f t="shared" si="59"/>
        <v>117147.82973181173</v>
      </c>
      <c r="AD154" s="669">
        <f t="shared" si="59"/>
        <v>119490.78632644797</v>
      </c>
      <c r="AE154" s="669">
        <f t="shared" si="59"/>
        <v>121880.60205297693</v>
      </c>
    </row>
    <row r="155" spans="1:33" s="56" customFormat="1" ht="14.25">
      <c r="A155" s="164"/>
      <c r="B155" s="164"/>
      <c r="C155" s="75"/>
      <c r="D155" s="173"/>
      <c r="E155" s="75"/>
      <c r="F155" s="75"/>
      <c r="G155" s="75"/>
      <c r="H155" s="75"/>
      <c r="I155" s="174"/>
      <c r="J155" s="175"/>
      <c r="K155" s="685"/>
      <c r="L155" s="669"/>
      <c r="M155" s="669"/>
      <c r="N155" s="669"/>
      <c r="O155" s="669"/>
      <c r="P155" s="669"/>
      <c r="Q155" s="669"/>
      <c r="R155" s="669"/>
      <c r="S155" s="669"/>
      <c r="T155" s="669"/>
      <c r="U155" s="669"/>
      <c r="V155" s="669"/>
      <c r="W155" s="669"/>
      <c r="X155" s="669"/>
      <c r="Y155" s="669"/>
      <c r="Z155" s="669"/>
      <c r="AA155" s="669"/>
      <c r="AB155" s="669"/>
      <c r="AC155" s="669"/>
      <c r="AD155" s="669"/>
      <c r="AE155" s="669"/>
    </row>
    <row r="156" spans="1:33">
      <c r="A156" s="47" t="s">
        <v>7</v>
      </c>
      <c r="B156" s="47" t="s">
        <v>7</v>
      </c>
      <c r="C156" s="78" t="s">
        <v>7</v>
      </c>
      <c r="D156" s="100"/>
      <c r="E156" s="78" t="s">
        <v>7</v>
      </c>
      <c r="F156" s="78"/>
      <c r="G156" s="78" t="s">
        <v>7</v>
      </c>
      <c r="H156" s="78"/>
      <c r="I156" s="52" t="s">
        <v>7</v>
      </c>
      <c r="J156" s="114"/>
      <c r="K156" s="673"/>
      <c r="L156" s="672"/>
      <c r="M156" s="672"/>
      <c r="N156" s="672"/>
      <c r="O156" s="672"/>
      <c r="P156" s="672"/>
      <c r="Q156" s="672"/>
      <c r="R156" s="672"/>
      <c r="S156" s="672"/>
      <c r="T156" s="672"/>
      <c r="U156" s="672"/>
      <c r="V156" s="672"/>
      <c r="W156" s="672"/>
      <c r="X156" s="672"/>
      <c r="Y156" s="672"/>
      <c r="Z156" s="672"/>
      <c r="AA156" s="672"/>
      <c r="AB156" s="672"/>
      <c r="AC156" s="672"/>
      <c r="AD156" s="672"/>
      <c r="AE156" s="672"/>
    </row>
    <row r="157" spans="1:33">
      <c r="A157" s="47"/>
      <c r="B157" s="47"/>
      <c r="C157" s="78"/>
      <c r="D157" s="100"/>
      <c r="E157" s="78"/>
      <c r="F157" s="78"/>
      <c r="G157" s="78"/>
      <c r="H157" s="78"/>
      <c r="I157" s="52"/>
      <c r="J157" s="114"/>
      <c r="K157" s="664"/>
      <c r="L157" s="666"/>
      <c r="M157" s="666"/>
      <c r="N157" s="666"/>
      <c r="O157" s="666"/>
      <c r="P157" s="666"/>
      <c r="Q157" s="666"/>
      <c r="R157" s="666"/>
      <c r="S157" s="666"/>
      <c r="T157" s="666"/>
      <c r="U157" s="666"/>
      <c r="V157" s="666"/>
      <c r="W157" s="666"/>
      <c r="X157" s="666"/>
      <c r="Y157" s="666"/>
      <c r="Z157" s="666"/>
      <c r="AA157" s="666"/>
      <c r="AB157" s="666"/>
      <c r="AC157" s="666"/>
      <c r="AD157" s="666"/>
      <c r="AE157" s="666"/>
    </row>
    <row r="158" spans="1:33" s="56" customFormat="1" ht="14.25">
      <c r="A158" s="203" t="s">
        <v>79</v>
      </c>
      <c r="B158" s="203"/>
      <c r="C158" s="204"/>
      <c r="D158" s="205"/>
      <c r="E158" s="204"/>
      <c r="F158" s="204"/>
      <c r="G158" s="204"/>
      <c r="H158" s="204"/>
      <c r="I158" s="206"/>
      <c r="J158" s="207"/>
      <c r="K158" s="675">
        <v>0</v>
      </c>
      <c r="L158" s="676">
        <f t="shared" ref="L158:AE158" si="60">SUM(L131,L154)</f>
        <v>0</v>
      </c>
      <c r="M158" s="676">
        <f t="shared" si="60"/>
        <v>139905.84615384616</v>
      </c>
      <c r="N158" s="676">
        <f t="shared" si="60"/>
        <v>143817.19107692307</v>
      </c>
      <c r="O158" s="676">
        <f t="shared" si="60"/>
        <v>146693.53489846154</v>
      </c>
      <c r="P158" s="676">
        <f t="shared" si="60"/>
        <v>149627.40559643076</v>
      </c>
      <c r="Q158" s="676">
        <f t="shared" si="60"/>
        <v>152619.95370835939</v>
      </c>
      <c r="R158" s="676">
        <f t="shared" si="60"/>
        <v>155672.35278252655</v>
      </c>
      <c r="S158" s="676">
        <f t="shared" si="60"/>
        <v>158785.7998381771</v>
      </c>
      <c r="T158" s="676">
        <f t="shared" si="60"/>
        <v>161961.51583494066</v>
      </c>
      <c r="U158" s="676">
        <f t="shared" si="60"/>
        <v>165200.74615163944</v>
      </c>
      <c r="V158" s="676">
        <f t="shared" si="60"/>
        <v>168504.76107467228</v>
      </c>
      <c r="W158" s="676">
        <f t="shared" si="60"/>
        <v>171874.85629616573</v>
      </c>
      <c r="X158" s="676">
        <f t="shared" si="60"/>
        <v>175312.35342208904</v>
      </c>
      <c r="Y158" s="676">
        <f t="shared" si="60"/>
        <v>178818.60049053084</v>
      </c>
      <c r="Z158" s="676">
        <f t="shared" si="60"/>
        <v>182394.97250034142</v>
      </c>
      <c r="AA158" s="676">
        <f t="shared" si="60"/>
        <v>186042.87195034826</v>
      </c>
      <c r="AB158" s="676">
        <f t="shared" si="60"/>
        <v>189763.72938935523</v>
      </c>
      <c r="AC158" s="676">
        <f t="shared" si="60"/>
        <v>193559.00397714233</v>
      </c>
      <c r="AD158" s="676">
        <f t="shared" si="60"/>
        <v>197430.18405668519</v>
      </c>
      <c r="AE158" s="676">
        <f t="shared" si="60"/>
        <v>201378.7877378189</v>
      </c>
      <c r="AG158" s="199"/>
    </row>
    <row r="159" spans="1:33">
      <c r="K159" s="664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</row>
    <row r="160" spans="1:33">
      <c r="A160" s="47" t="s">
        <v>7</v>
      </c>
      <c r="B160" s="47" t="s">
        <v>7</v>
      </c>
      <c r="C160" s="78" t="s">
        <v>7</v>
      </c>
      <c r="D160" s="100"/>
      <c r="E160" s="78" t="s">
        <v>7</v>
      </c>
      <c r="F160" s="78"/>
      <c r="G160" s="78" t="s">
        <v>7</v>
      </c>
      <c r="H160" s="78"/>
      <c r="I160" s="52" t="s">
        <v>7</v>
      </c>
      <c r="J160" s="114"/>
      <c r="K160" s="673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</row>
    <row r="161" spans="1:33">
      <c r="K161" s="664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G161" s="199"/>
    </row>
    <row r="162" spans="1:33" s="56" customFormat="1" ht="14.25">
      <c r="A162" s="208" t="s">
        <v>115</v>
      </c>
      <c r="B162" s="208"/>
      <c r="C162" s="208"/>
      <c r="D162" s="202"/>
      <c r="E162" s="208"/>
      <c r="F162" s="208"/>
      <c r="G162" s="208"/>
      <c r="H162" s="208"/>
      <c r="I162" s="208"/>
      <c r="J162" s="208"/>
      <c r="K162" s="678">
        <f>SUM(K152,K112)</f>
        <v>0</v>
      </c>
      <c r="L162" s="678">
        <f t="shared" ref="L162:AE162" si="61">SUM(L112,L158)</f>
        <v>367858.33333333331</v>
      </c>
      <c r="M162" s="678">
        <f t="shared" si="61"/>
        <v>883304.84615384613</v>
      </c>
      <c r="N162" s="678">
        <f t="shared" si="61"/>
        <v>902094.3710769231</v>
      </c>
      <c r="O162" s="678">
        <f t="shared" si="61"/>
        <v>920136.25849846145</v>
      </c>
      <c r="P162" s="678">
        <f t="shared" si="61"/>
        <v>938538.98366843071</v>
      </c>
      <c r="Q162" s="678">
        <f t="shared" si="61"/>
        <v>985653.64213699941</v>
      </c>
      <c r="R162" s="678">
        <f t="shared" si="61"/>
        <v>1000829.7961893713</v>
      </c>
      <c r="S162" s="678">
        <f t="shared" si="61"/>
        <v>1020846.3921131587</v>
      </c>
      <c r="T162" s="678">
        <f t="shared" si="61"/>
        <v>1041263.3199554221</v>
      </c>
      <c r="U162" s="678">
        <f t="shared" si="61"/>
        <v>1062088.5863545304</v>
      </c>
      <c r="V162" s="678">
        <f t="shared" si="61"/>
        <v>1087720.860871624</v>
      </c>
      <c r="W162" s="678">
        <f t="shared" si="61"/>
        <v>1104996.9652432536</v>
      </c>
      <c r="X162" s="678">
        <f t="shared" si="61"/>
        <v>1127096.9045481186</v>
      </c>
      <c r="Y162" s="678">
        <f t="shared" si="61"/>
        <v>1149638.8426390812</v>
      </c>
      <c r="Z162" s="678">
        <f t="shared" si="61"/>
        <v>1172631.6194918626</v>
      </c>
      <c r="AA162" s="678">
        <f t="shared" si="61"/>
        <v>1200411.3177125379</v>
      </c>
      <c r="AB162" s="678">
        <f t="shared" si="61"/>
        <v>1220005.9369193341</v>
      </c>
      <c r="AC162" s="678">
        <f t="shared" si="61"/>
        <v>1244406.0556577207</v>
      </c>
      <c r="AD162" s="678">
        <f t="shared" si="61"/>
        <v>1269294.1767708752</v>
      </c>
      <c r="AE162" s="678">
        <f t="shared" si="61"/>
        <v>1294680.0603062927</v>
      </c>
      <c r="AG162" s="199"/>
    </row>
    <row r="163" spans="1:33">
      <c r="K163" s="664"/>
      <c r="L163" s="666"/>
      <c r="M163" s="666"/>
      <c r="N163" s="666"/>
      <c r="O163" s="666"/>
      <c r="P163" s="666"/>
      <c r="Q163" s="666"/>
      <c r="R163" s="666"/>
      <c r="S163" s="666"/>
      <c r="T163" s="666"/>
      <c r="U163" s="666"/>
      <c r="V163" s="666"/>
      <c r="W163" s="666"/>
      <c r="X163" s="666"/>
      <c r="Y163" s="666"/>
      <c r="Z163" s="666"/>
      <c r="AA163" s="666"/>
      <c r="AB163" s="666"/>
      <c r="AC163" s="666"/>
      <c r="AD163" s="666"/>
      <c r="AE163" s="666"/>
      <c r="AG163" s="199"/>
    </row>
    <row r="164" spans="1:33">
      <c r="A164" s="251"/>
      <c r="B164" s="251"/>
      <c r="C164" s="251"/>
      <c r="D164" s="259"/>
      <c r="E164" s="251"/>
      <c r="F164" s="251"/>
      <c r="G164" s="251"/>
      <c r="H164" s="251"/>
      <c r="I164" s="251"/>
      <c r="J164" s="251"/>
      <c r="K164" s="679"/>
      <c r="L164" s="680"/>
      <c r="M164" s="680"/>
      <c r="N164" s="680"/>
      <c r="O164" s="680"/>
      <c r="P164" s="680"/>
      <c r="Q164" s="680"/>
      <c r="R164" s="680"/>
      <c r="S164" s="680"/>
      <c r="T164" s="680"/>
      <c r="U164" s="680"/>
      <c r="V164" s="680"/>
      <c r="W164" s="680"/>
      <c r="X164" s="680"/>
      <c r="Y164" s="680"/>
      <c r="Z164" s="680"/>
      <c r="AA164" s="680"/>
      <c r="AB164" s="680"/>
      <c r="AC164" s="680"/>
      <c r="AD164" s="680"/>
      <c r="AE164" s="680"/>
      <c r="AG164" s="199"/>
    </row>
    <row r="165" spans="1:33">
      <c r="K165" s="664"/>
      <c r="L165" s="666"/>
      <c r="M165" s="666"/>
      <c r="N165" s="666"/>
      <c r="O165" s="666"/>
      <c r="P165" s="666"/>
      <c r="Q165" s="666"/>
      <c r="R165" s="666"/>
      <c r="S165" s="666"/>
      <c r="T165" s="666"/>
      <c r="U165" s="666"/>
      <c r="V165" s="666"/>
      <c r="W165" s="666"/>
      <c r="X165" s="666"/>
      <c r="Y165" s="666"/>
      <c r="Z165" s="666"/>
      <c r="AA165" s="666"/>
      <c r="AB165" s="666"/>
      <c r="AC165" s="666"/>
      <c r="AD165" s="666"/>
      <c r="AE165" s="666"/>
      <c r="AG165" s="199"/>
    </row>
    <row r="166" spans="1:33">
      <c r="A166" s="249" t="s">
        <v>84</v>
      </c>
      <c r="B166" s="281"/>
      <c r="C166" s="281"/>
      <c r="D166" s="177"/>
      <c r="E166" s="281"/>
      <c r="F166" s="281"/>
      <c r="G166" s="281"/>
      <c r="H166" s="281"/>
      <c r="I166" s="281"/>
      <c r="J166" s="281"/>
      <c r="K166" s="681"/>
      <c r="L166" s="682"/>
      <c r="M166" s="682"/>
      <c r="N166" s="682"/>
      <c r="O166" s="682"/>
      <c r="P166" s="682"/>
      <c r="Q166" s="682"/>
      <c r="R166" s="682"/>
      <c r="S166" s="682"/>
      <c r="T166" s="682"/>
      <c r="U166" s="682"/>
      <c r="V166" s="682"/>
      <c r="W166" s="682"/>
      <c r="X166" s="682"/>
      <c r="Y166" s="682"/>
      <c r="Z166" s="682"/>
      <c r="AA166" s="682"/>
      <c r="AB166" s="682"/>
      <c r="AC166" s="682"/>
      <c r="AD166" s="682"/>
      <c r="AE166" s="682"/>
      <c r="AG166" s="199"/>
    </row>
    <row r="167" spans="1:33" s="252" customFormat="1">
      <c r="A167" s="257"/>
      <c r="D167" s="186"/>
      <c r="K167" s="664"/>
      <c r="L167" s="671"/>
      <c r="M167" s="671"/>
      <c r="N167" s="671"/>
      <c r="O167" s="671"/>
      <c r="P167" s="671"/>
      <c r="Q167" s="671"/>
      <c r="R167" s="671"/>
      <c r="S167" s="671"/>
      <c r="T167" s="671"/>
      <c r="U167" s="671"/>
      <c r="V167" s="671"/>
      <c r="W167" s="671"/>
      <c r="X167" s="671"/>
      <c r="Y167" s="671"/>
      <c r="Z167" s="671"/>
      <c r="AA167" s="671"/>
      <c r="AB167" s="671"/>
      <c r="AC167" s="671"/>
      <c r="AD167" s="671"/>
      <c r="AE167" s="671"/>
      <c r="AG167" s="363"/>
    </row>
    <row r="168" spans="1:33">
      <c r="A168" s="663" t="str">
        <f>'OPEX - Concept C1 - Carnival'!A168</f>
        <v>Investment (cash)</v>
      </c>
      <c r="B168" s="663"/>
      <c r="C168" s="663"/>
      <c r="D168" s="663"/>
      <c r="E168" s="663"/>
      <c r="F168" s="663"/>
      <c r="G168" s="663"/>
      <c r="H168" s="663"/>
      <c r="I168" s="663"/>
      <c r="J168" s="663"/>
      <c r="K168" s="883"/>
      <c r="L168" s="663"/>
      <c r="M168" s="663"/>
      <c r="N168" s="663"/>
      <c r="O168" s="663"/>
      <c r="P168" s="663"/>
      <c r="Q168" s="663"/>
      <c r="R168" s="663"/>
      <c r="S168" s="663"/>
      <c r="T168" s="663"/>
      <c r="U168" s="663"/>
      <c r="V168" s="663"/>
      <c r="W168" s="663"/>
      <c r="X168" s="663"/>
      <c r="Y168" s="663"/>
      <c r="Z168" s="663"/>
      <c r="AA168" s="663"/>
      <c r="AB168" s="663"/>
      <c r="AC168" s="663"/>
      <c r="AD168" s="663"/>
      <c r="AE168" s="663"/>
      <c r="AG168" s="199"/>
    </row>
    <row r="169" spans="1:33">
      <c r="A169" s="663" t="str">
        <f>'OPEX - Concept C1 - Carnival'!A169</f>
        <v xml:space="preserve">     Site Maintenance</v>
      </c>
      <c r="B169" s="663"/>
      <c r="C169" s="663"/>
      <c r="D169" s="663"/>
      <c r="E169" s="663"/>
      <c r="F169" s="663"/>
      <c r="G169" s="663"/>
      <c r="H169" s="663"/>
      <c r="I169" s="663"/>
      <c r="J169" s="663"/>
      <c r="K169" s="883">
        <f>'OPEX - Concept C1 - Carnival'!K169</f>
        <v>0</v>
      </c>
      <c r="L169" s="663">
        <f>'OPEX - Concept C1 - Carnival'!L169</f>
        <v>0</v>
      </c>
      <c r="M169" s="663">
        <f>'OPEX - Concept C1 - Carnival'!M169</f>
        <v>85775</v>
      </c>
      <c r="N169" s="663">
        <f>'OPEX - Concept C1 - Carnival'!N169</f>
        <v>87490.5</v>
      </c>
      <c r="O169" s="663">
        <f>'OPEX - Concept C1 - Carnival'!O169</f>
        <v>89240.31</v>
      </c>
      <c r="P169" s="663">
        <f>'OPEX - Concept C1 - Carnival'!P169</f>
        <v>91025.116199999989</v>
      </c>
      <c r="Q169" s="663">
        <f>'OPEX - Concept C1 - Carnival'!Q169</f>
        <v>92845.618524000005</v>
      </c>
      <c r="R169" s="663">
        <f>'OPEX - Concept C1 - Carnival'!R169</f>
        <v>94702.530894480005</v>
      </c>
      <c r="S169" s="663">
        <f>'OPEX - Concept C1 - Carnival'!S169</f>
        <v>96596.581512369608</v>
      </c>
      <c r="T169" s="663">
        <f>'OPEX - Concept C1 - Carnival'!T169</f>
        <v>98528.513142616997</v>
      </c>
      <c r="U169" s="663">
        <f>'OPEX - Concept C1 - Carnival'!U169</f>
        <v>100499.08340546934</v>
      </c>
      <c r="V169" s="663">
        <f>'OPEX - Concept C1 - Carnival'!V169</f>
        <v>102509.06507357873</v>
      </c>
      <c r="W169" s="663">
        <f>'OPEX - Concept C1 - Carnival'!W169</f>
        <v>104559.24637505031</v>
      </c>
      <c r="X169" s="663">
        <f>'OPEX - Concept C1 - Carnival'!X169</f>
        <v>106650.43130255131</v>
      </c>
      <c r="Y169" s="663">
        <f>'OPEX - Concept C1 - Carnival'!Y169</f>
        <v>108783.43992860234</v>
      </c>
      <c r="Z169" s="663">
        <f>'OPEX - Concept C1 - Carnival'!Z169</f>
        <v>110959.10872717437</v>
      </c>
      <c r="AA169" s="663">
        <f>'OPEX - Concept C1 - Carnival'!AA169</f>
        <v>113178.29090171788</v>
      </c>
      <c r="AB169" s="663">
        <f>'OPEX - Concept C1 - Carnival'!AB169</f>
        <v>115441.85671975224</v>
      </c>
      <c r="AC169" s="663">
        <f>'OPEX - Concept C1 - Carnival'!AC169</f>
        <v>117750.69385414729</v>
      </c>
      <c r="AD169" s="663">
        <f>'OPEX - Concept C1 - Carnival'!AD169</f>
        <v>120105.70773123024</v>
      </c>
      <c r="AE169" s="663">
        <f>'OPEX - Concept C1 - Carnival'!AE169</f>
        <v>122507.82188585485</v>
      </c>
      <c r="AG169" s="199"/>
    </row>
    <row r="170" spans="1:33" s="162" customFormat="1">
      <c r="A170" s="663"/>
      <c r="B170" s="663"/>
      <c r="C170" s="663"/>
      <c r="D170" s="663"/>
      <c r="E170" s="663"/>
      <c r="F170" s="663"/>
      <c r="G170" s="663"/>
      <c r="H170" s="663"/>
      <c r="I170" s="663"/>
      <c r="J170" s="663"/>
      <c r="K170" s="883"/>
      <c r="L170" s="663"/>
      <c r="M170" s="663"/>
      <c r="N170" s="663"/>
      <c r="O170" s="663"/>
      <c r="P170" s="663"/>
      <c r="Q170" s="663"/>
      <c r="R170" s="663"/>
      <c r="S170" s="663"/>
      <c r="T170" s="663"/>
      <c r="U170" s="663"/>
      <c r="V170" s="663"/>
      <c r="W170" s="663"/>
      <c r="X170" s="663"/>
      <c r="Y170" s="663"/>
      <c r="Z170" s="663"/>
      <c r="AA170" s="663"/>
      <c r="AB170" s="663"/>
      <c r="AC170" s="663"/>
      <c r="AD170" s="663"/>
      <c r="AE170" s="663"/>
      <c r="AG170" s="786"/>
    </row>
    <row r="171" spans="1:33" s="162" customFormat="1">
      <c r="A171" s="1103" t="str">
        <f>'OPEX - Concept C1 - Carnival'!A171</f>
        <v>Debt Service (Site Demolition, Design, Development/Preparation &amp; Shuttles)</v>
      </c>
      <c r="B171" s="663"/>
      <c r="C171" s="663"/>
      <c r="D171" s="663"/>
      <c r="E171" s="663"/>
      <c r="F171" s="663"/>
      <c r="G171" s="663"/>
      <c r="H171" s="663"/>
      <c r="I171" s="663"/>
      <c r="J171" s="663"/>
      <c r="K171" s="883">
        <f>'OPEX - Concept C1 - Carnival'!K171</f>
        <v>0</v>
      </c>
      <c r="L171" s="663">
        <f>'OPEX - Concept C1 - Carnival'!L171</f>
        <v>635662.67999999993</v>
      </c>
      <c r="M171" s="663">
        <f>'OPEX - Concept C1 - Carnival'!M171</f>
        <v>635662.67999999993</v>
      </c>
      <c r="N171" s="663">
        <f>'OPEX - Concept C1 - Carnival'!N171</f>
        <v>635662.67999999993</v>
      </c>
      <c r="O171" s="663">
        <f>'OPEX - Concept C1 - Carnival'!O171</f>
        <v>635662.67999999993</v>
      </c>
      <c r="P171" s="663">
        <f>'OPEX - Concept C1 - Carnival'!P171</f>
        <v>635662.67999999993</v>
      </c>
      <c r="Q171" s="663">
        <f>'OPEX - Concept C1 - Carnival'!Q171</f>
        <v>635662.67999999993</v>
      </c>
      <c r="R171" s="663">
        <f>'OPEX - Concept C1 - Carnival'!R171</f>
        <v>635662.67999999993</v>
      </c>
      <c r="S171" s="663">
        <f>'OPEX - Concept C1 - Carnival'!S171</f>
        <v>635662.67999999993</v>
      </c>
      <c r="T171" s="663">
        <f>'OPEX - Concept C1 - Carnival'!T171</f>
        <v>635662.67999999993</v>
      </c>
      <c r="U171" s="663">
        <f>'OPEX - Concept C1 - Carnival'!U171</f>
        <v>635662.67999999993</v>
      </c>
      <c r="V171" s="663">
        <f>'OPEX - Concept C1 - Carnival'!V171</f>
        <v>635662.67999999993</v>
      </c>
      <c r="W171" s="663">
        <f>'OPEX - Concept C1 - Carnival'!W171</f>
        <v>635662.67999999993</v>
      </c>
      <c r="X171" s="663">
        <f>'OPEX - Concept C1 - Carnival'!X171</f>
        <v>635662.67999999993</v>
      </c>
      <c r="Y171" s="663">
        <f>'OPEX - Concept C1 - Carnival'!Y171</f>
        <v>635662.67999999993</v>
      </c>
      <c r="Z171" s="663">
        <f>'OPEX - Concept C1 - Carnival'!Z171</f>
        <v>635662.67999999993</v>
      </c>
      <c r="AA171" s="663">
        <f>'OPEX - Concept C1 - Carnival'!AA171</f>
        <v>635662.67999999993</v>
      </c>
      <c r="AB171" s="663">
        <f>'OPEX - Concept C1 - Carnival'!AB171</f>
        <v>635662.67999999993</v>
      </c>
      <c r="AC171" s="663">
        <f>'OPEX - Concept C1 - Carnival'!AC171</f>
        <v>635662.67999999993</v>
      </c>
      <c r="AD171" s="663">
        <f>'OPEX - Concept C1 - Carnival'!AD171</f>
        <v>635662.67999999993</v>
      </c>
      <c r="AE171" s="663">
        <f>'OPEX - Concept C1 - Carnival'!AE171</f>
        <v>635662.67999999993</v>
      </c>
    </row>
    <row r="172" spans="1:33" s="702" customFormat="1">
      <c r="A172" s="341" t="s">
        <v>315</v>
      </c>
      <c r="B172" s="701"/>
      <c r="C172" s="703"/>
      <c r="D172" s="704"/>
      <c r="E172" s="705"/>
      <c r="F172" s="705"/>
      <c r="G172" s="705"/>
      <c r="H172" s="705"/>
      <c r="I172" s="706"/>
      <c r="J172" s="707"/>
      <c r="K172" s="699">
        <v>0</v>
      </c>
      <c r="L172" s="700">
        <v>0</v>
      </c>
      <c r="M172" s="700">
        <v>0</v>
      </c>
      <c r="N172" s="700">
        <v>0</v>
      </c>
      <c r="O172" s="700">
        <v>0</v>
      </c>
      <c r="P172" s="700">
        <v>0</v>
      </c>
      <c r="Q172" s="700">
        <v>0</v>
      </c>
      <c r="R172" s="700">
        <v>0</v>
      </c>
      <c r="S172" s="700">
        <v>0</v>
      </c>
      <c r="T172" s="700">
        <v>0</v>
      </c>
      <c r="U172" s="700">
        <v>0</v>
      </c>
      <c r="V172" s="700">
        <v>0</v>
      </c>
      <c r="W172" s="700">
        <v>0</v>
      </c>
      <c r="X172" s="700">
        <v>0</v>
      </c>
      <c r="Y172" s="700">
        <v>0</v>
      </c>
      <c r="Z172" s="700">
        <v>0</v>
      </c>
      <c r="AA172" s="700">
        <v>0</v>
      </c>
      <c r="AB172" s="700">
        <v>0</v>
      </c>
      <c r="AC172" s="700">
        <v>0</v>
      </c>
      <c r="AD172" s="700">
        <v>0</v>
      </c>
      <c r="AE172" s="700">
        <v>0</v>
      </c>
      <c r="AG172" s="708"/>
    </row>
    <row r="173" spans="1:33">
      <c r="A173" s="180" t="s">
        <v>316</v>
      </c>
      <c r="B173" s="180"/>
      <c r="C173" s="180"/>
      <c r="D173" s="116"/>
      <c r="E173" s="180"/>
      <c r="F173" s="180"/>
      <c r="G173" s="180"/>
      <c r="H173" s="180"/>
      <c r="I173" s="180"/>
      <c r="J173" s="180"/>
      <c r="K173" s="505">
        <v>0</v>
      </c>
      <c r="L173" s="506">
        <v>246000</v>
      </c>
      <c r="M173" s="506">
        <v>246000</v>
      </c>
      <c r="N173" s="506">
        <v>246000</v>
      </c>
      <c r="O173" s="506">
        <v>246000</v>
      </c>
      <c r="P173" s="506">
        <v>246000</v>
      </c>
      <c r="Q173" s="506">
        <v>246000</v>
      </c>
      <c r="R173" s="506">
        <v>246000</v>
      </c>
      <c r="S173" s="506">
        <v>246000</v>
      </c>
      <c r="T173" s="506">
        <v>246000</v>
      </c>
      <c r="U173" s="506">
        <v>246000</v>
      </c>
      <c r="V173" s="506">
        <v>246000</v>
      </c>
      <c r="W173" s="506">
        <v>246000</v>
      </c>
      <c r="X173" s="506">
        <v>246000</v>
      </c>
      <c r="Y173" s="506">
        <v>246000</v>
      </c>
      <c r="Z173" s="506">
        <v>246000</v>
      </c>
      <c r="AA173" s="506">
        <v>246000</v>
      </c>
      <c r="AB173" s="506">
        <v>246000</v>
      </c>
      <c r="AC173" s="506">
        <v>246000</v>
      </c>
      <c r="AD173" s="506">
        <v>246000</v>
      </c>
      <c r="AE173" s="506">
        <v>246000</v>
      </c>
      <c r="AG173" s="199"/>
    </row>
    <row r="174" spans="1:33" s="56" customFormat="1" ht="14.25">
      <c r="A174" s="56" t="s">
        <v>134</v>
      </c>
      <c r="D174" s="173"/>
      <c r="K174" s="524">
        <f t="shared" ref="K174:AE174" si="62">SUM(K168:K173)</f>
        <v>0</v>
      </c>
      <c r="L174" s="525">
        <f t="shared" si="62"/>
        <v>881662.67999999993</v>
      </c>
      <c r="M174" s="525">
        <f t="shared" si="62"/>
        <v>967437.67999999993</v>
      </c>
      <c r="N174" s="525">
        <f t="shared" si="62"/>
        <v>969153.17999999993</v>
      </c>
      <c r="O174" s="525">
        <f t="shared" si="62"/>
        <v>970902.99</v>
      </c>
      <c r="P174" s="525">
        <f t="shared" si="62"/>
        <v>972687.79619999998</v>
      </c>
      <c r="Q174" s="525">
        <f t="shared" si="62"/>
        <v>974508.29852399998</v>
      </c>
      <c r="R174" s="525">
        <f t="shared" si="62"/>
        <v>976365.21089447988</v>
      </c>
      <c r="S174" s="525">
        <f t="shared" si="62"/>
        <v>978259.2615123695</v>
      </c>
      <c r="T174" s="525">
        <f t="shared" si="62"/>
        <v>980191.19314261689</v>
      </c>
      <c r="U174" s="525">
        <f t="shared" si="62"/>
        <v>982161.76340546925</v>
      </c>
      <c r="V174" s="525">
        <f t="shared" si="62"/>
        <v>984171.74507357867</v>
      </c>
      <c r="W174" s="525">
        <f t="shared" si="62"/>
        <v>986221.92637505021</v>
      </c>
      <c r="X174" s="525">
        <f t="shared" si="62"/>
        <v>988313.11130255123</v>
      </c>
      <c r="Y174" s="525">
        <f t="shared" si="62"/>
        <v>990446.11992860225</v>
      </c>
      <c r="Z174" s="525">
        <f t="shared" si="62"/>
        <v>992621.78872717428</v>
      </c>
      <c r="AA174" s="525">
        <f t="shared" si="62"/>
        <v>994840.97090171778</v>
      </c>
      <c r="AB174" s="525">
        <f t="shared" si="62"/>
        <v>997104.53671975213</v>
      </c>
      <c r="AC174" s="525">
        <f t="shared" si="62"/>
        <v>999413.37385414727</v>
      </c>
      <c r="AD174" s="525">
        <f t="shared" si="62"/>
        <v>1001768.3877312301</v>
      </c>
      <c r="AE174" s="525">
        <f t="shared" si="62"/>
        <v>1004170.5018858548</v>
      </c>
      <c r="AG174" s="199"/>
    </row>
    <row r="175" spans="1:33">
      <c r="K175" s="683"/>
      <c r="L175" s="666"/>
      <c r="M175" s="666"/>
      <c r="N175" s="666"/>
      <c r="O175" s="666"/>
      <c r="P175" s="666"/>
      <c r="Q175" s="666"/>
      <c r="R175" s="666"/>
      <c r="S175" s="666"/>
      <c r="T175" s="666"/>
      <c r="U175" s="666"/>
      <c r="V175" s="666"/>
      <c r="W175" s="666"/>
      <c r="X175" s="666"/>
      <c r="Y175" s="666"/>
      <c r="Z175" s="666"/>
      <c r="AA175" s="666"/>
      <c r="AB175" s="666"/>
      <c r="AC175" s="666"/>
      <c r="AD175" s="666"/>
      <c r="AE175" s="666"/>
      <c r="AG175" s="199"/>
    </row>
    <row r="176" spans="1:33" s="56" customFormat="1" ht="14.25">
      <c r="A176" s="208" t="s">
        <v>86</v>
      </c>
      <c r="B176" s="718">
        <f>SUM(L176:AE176)</f>
        <v>19592402.516178593</v>
      </c>
      <c r="C176" s="208"/>
      <c r="D176" s="202"/>
      <c r="E176" s="208"/>
      <c r="F176" s="208"/>
      <c r="G176" s="208"/>
      <c r="H176" s="208"/>
      <c r="I176" s="208"/>
      <c r="J176" s="208"/>
      <c r="K176" s="678">
        <f>SUM(K169:K171)</f>
        <v>0</v>
      </c>
      <c r="L176" s="678">
        <f>L174</f>
        <v>881662.67999999993</v>
      </c>
      <c r="M176" s="678">
        <f t="shared" ref="M176:AE176" si="63">M174</f>
        <v>967437.67999999993</v>
      </c>
      <c r="N176" s="678">
        <f t="shared" si="63"/>
        <v>969153.17999999993</v>
      </c>
      <c r="O176" s="678">
        <f t="shared" si="63"/>
        <v>970902.99</v>
      </c>
      <c r="P176" s="678">
        <f t="shared" si="63"/>
        <v>972687.79619999998</v>
      </c>
      <c r="Q176" s="678">
        <f t="shared" si="63"/>
        <v>974508.29852399998</v>
      </c>
      <c r="R176" s="678">
        <f t="shared" si="63"/>
        <v>976365.21089447988</v>
      </c>
      <c r="S176" s="678">
        <f t="shared" si="63"/>
        <v>978259.2615123695</v>
      </c>
      <c r="T176" s="678">
        <f t="shared" si="63"/>
        <v>980191.19314261689</v>
      </c>
      <c r="U176" s="678">
        <f t="shared" si="63"/>
        <v>982161.76340546925</v>
      </c>
      <c r="V176" s="678">
        <f t="shared" si="63"/>
        <v>984171.74507357867</v>
      </c>
      <c r="W176" s="678">
        <f t="shared" si="63"/>
        <v>986221.92637505021</v>
      </c>
      <c r="X176" s="678">
        <f t="shared" si="63"/>
        <v>988313.11130255123</v>
      </c>
      <c r="Y176" s="678">
        <f t="shared" si="63"/>
        <v>990446.11992860225</v>
      </c>
      <c r="Z176" s="678">
        <f t="shared" si="63"/>
        <v>992621.78872717428</v>
      </c>
      <c r="AA176" s="678">
        <f t="shared" si="63"/>
        <v>994840.97090171778</v>
      </c>
      <c r="AB176" s="678">
        <f t="shared" si="63"/>
        <v>997104.53671975213</v>
      </c>
      <c r="AC176" s="678">
        <f t="shared" si="63"/>
        <v>999413.37385414727</v>
      </c>
      <c r="AD176" s="678">
        <f t="shared" si="63"/>
        <v>1001768.3877312301</v>
      </c>
      <c r="AE176" s="678">
        <f t="shared" si="63"/>
        <v>1004170.5018858548</v>
      </c>
      <c r="AG176" s="199"/>
    </row>
    <row r="177" spans="1:31">
      <c r="K177" s="662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1"/>
      <c r="Y177" s="201"/>
      <c r="Z177" s="201"/>
      <c r="AA177" s="201"/>
      <c r="AB177" s="201"/>
      <c r="AC177" s="201"/>
      <c r="AD177" s="201"/>
      <c r="AE177" s="201"/>
    </row>
    <row r="178" spans="1:31">
      <c r="A178" s="251"/>
      <c r="B178" s="251"/>
      <c r="C178" s="251"/>
      <c r="D178" s="259"/>
      <c r="E178" s="251"/>
      <c r="F178" s="251"/>
      <c r="G178" s="251"/>
      <c r="H178" s="251"/>
      <c r="I178" s="251"/>
      <c r="J178" s="251"/>
      <c r="K178" s="324"/>
      <c r="L178" s="325"/>
      <c r="M178" s="325"/>
      <c r="N178" s="325"/>
      <c r="O178" s="325"/>
      <c r="P178" s="325"/>
      <c r="Q178" s="325"/>
      <c r="R178" s="325"/>
      <c r="S178" s="325"/>
      <c r="T178" s="325"/>
      <c r="U178" s="325"/>
      <c r="V178" s="325"/>
      <c r="W178" s="325"/>
      <c r="X178" s="325"/>
      <c r="Y178" s="325"/>
      <c r="Z178" s="325"/>
      <c r="AA178" s="325"/>
      <c r="AB178" s="325"/>
      <c r="AC178" s="325"/>
      <c r="AD178" s="325"/>
      <c r="AE178" s="325"/>
    </row>
    <row r="179" spans="1:31">
      <c r="K179" s="322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1"/>
      <c r="Y179" s="201"/>
      <c r="Z179" s="201"/>
      <c r="AA179" s="201"/>
      <c r="AB179" s="201"/>
      <c r="AC179" s="201"/>
      <c r="AD179" s="201"/>
      <c r="AE179" s="201"/>
    </row>
    <row r="180" spans="1:31">
      <c r="A180"/>
      <c r="K180" s="322"/>
      <c r="L180" s="201"/>
      <c r="M180" s="201"/>
      <c r="N180" s="201"/>
      <c r="O180" s="201"/>
      <c r="P180" s="201"/>
      <c r="Q180" s="1046"/>
      <c r="R180" s="201"/>
      <c r="S180" s="201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</row>
    <row r="181" spans="1:31">
      <c r="A181"/>
      <c r="K181" s="322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</row>
    <row r="182" spans="1:31">
      <c r="K182" s="322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  <c r="AA182" s="201"/>
      <c r="AB182" s="201"/>
      <c r="AC182" s="201"/>
      <c r="AD182" s="201"/>
      <c r="AE182" s="201"/>
    </row>
    <row r="183" spans="1:31">
      <c r="K183" s="322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</row>
    <row r="184" spans="1:31">
      <c r="K184" s="322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  <c r="AA184" s="201"/>
      <c r="AB184" s="201"/>
      <c r="AC184" s="201"/>
      <c r="AD184" s="201"/>
      <c r="AE184" s="201"/>
    </row>
    <row r="185" spans="1:31">
      <c r="K185" s="322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</row>
    <row r="186" spans="1:31">
      <c r="K186" s="322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</row>
    <row r="187" spans="1:31">
      <c r="K187" s="322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</row>
    <row r="188" spans="1:31">
      <c r="K188" s="322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</row>
    <row r="189" spans="1:31">
      <c r="K189" s="322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</row>
    <row r="190" spans="1:31">
      <c r="K190" s="322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</row>
    <row r="191" spans="1:31">
      <c r="K191" s="322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</row>
    <row r="192" spans="1:31">
      <c r="K192" s="322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</row>
    <row r="193" spans="11:31">
      <c r="K193" s="322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201"/>
      <c r="AE193" s="201"/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FD193"/>
  <sheetViews>
    <sheetView topLeftCell="A73" zoomScale="70" zoomScaleNormal="70" workbookViewId="0">
      <selection activeCell="E180" sqref="E180"/>
    </sheetView>
  </sheetViews>
  <sheetFormatPr defaultColWidth="9" defaultRowHeight="16.5"/>
  <cols>
    <col min="1" max="1" width="45.625" style="33" customWidth="1"/>
    <col min="2" max="2" width="48.5" style="33" bestFit="1" customWidth="1"/>
    <col min="3" max="3" width="18.125" style="33" bestFit="1" customWidth="1"/>
    <col min="4" max="4" width="16.25" style="109" bestFit="1" customWidth="1"/>
    <col min="5" max="5" width="13.125" style="33" bestFit="1" customWidth="1"/>
    <col min="6" max="6" width="20.5" style="33" bestFit="1" customWidth="1"/>
    <col min="7" max="7" width="20.25" style="33" bestFit="1" customWidth="1"/>
    <col min="8" max="8" width="21.75" style="33" bestFit="1" customWidth="1"/>
    <col min="9" max="9" width="12.125" style="33" bestFit="1" customWidth="1"/>
    <col min="10" max="10" width="13.875" style="33" bestFit="1" customWidth="1"/>
    <col min="11" max="11" width="7.75" style="166" bestFit="1" customWidth="1"/>
    <col min="12" max="12" width="16.75" style="33" bestFit="1" customWidth="1"/>
    <col min="13" max="15" width="17.5" style="33" bestFit="1" customWidth="1"/>
    <col min="16" max="17" width="17.125" style="33" bestFit="1" customWidth="1"/>
    <col min="18" max="19" width="17.5" style="33" bestFit="1" customWidth="1"/>
    <col min="20" max="20" width="17.125" style="33" bestFit="1" customWidth="1"/>
    <col min="21" max="22" width="17.5" style="33" bestFit="1" customWidth="1"/>
    <col min="23" max="24" width="17.125" style="33" bestFit="1" customWidth="1"/>
    <col min="25" max="25" width="17.5" style="33" bestFit="1" customWidth="1"/>
    <col min="26" max="27" width="17.125" style="33" bestFit="1" customWidth="1"/>
    <col min="28" max="31" width="17.5" style="33" bestFit="1" customWidth="1"/>
    <col min="32" max="32" width="22.625" style="33" bestFit="1" customWidth="1"/>
    <col min="33" max="33" width="12.625" style="33" bestFit="1" customWidth="1"/>
    <col min="34" max="16384" width="9" style="33"/>
  </cols>
  <sheetData>
    <row r="1" spans="1:31" ht="18.75" thickBot="1">
      <c r="A1" s="11" t="str">
        <f>Intro!A1</f>
        <v>Town of Bar Harbor</v>
      </c>
      <c r="B1" s="13"/>
      <c r="C1" s="13"/>
      <c r="D1" s="99"/>
      <c r="E1" s="14"/>
      <c r="F1" s="14"/>
      <c r="G1" s="34"/>
      <c r="H1" s="34"/>
      <c r="I1" s="34"/>
      <c r="J1" s="34"/>
      <c r="K1" s="16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</row>
    <row r="2" spans="1:31" ht="17.25" thickBot="1">
      <c r="A2" s="380" t="str">
        <f>Intro!A2</f>
        <v>Ferry Property Business Plan</v>
      </c>
      <c r="B2" s="13"/>
      <c r="C2" s="13"/>
      <c r="D2" s="99"/>
      <c r="E2" s="14"/>
      <c r="F2" s="14"/>
      <c r="G2" s="34"/>
      <c r="H2" s="34"/>
      <c r="I2" s="34"/>
      <c r="J2" s="34"/>
      <c r="K2" s="16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</row>
    <row r="3" spans="1:31" s="392" customFormat="1" ht="14.25" thickBot="1">
      <c r="A3" s="384" t="str">
        <f>Intro!A3</f>
        <v>05.23.2018</v>
      </c>
      <c r="B3" s="2"/>
      <c r="C3" s="382"/>
      <c r="D3" s="393"/>
      <c r="E3" s="385"/>
      <c r="F3" s="385"/>
      <c r="G3" s="389"/>
      <c r="H3" s="389"/>
      <c r="I3" s="389"/>
      <c r="J3" s="389"/>
      <c r="K3" s="390"/>
      <c r="L3" s="391"/>
      <c r="M3" s="391"/>
      <c r="N3" s="391"/>
      <c r="O3" s="391"/>
      <c r="P3" s="391"/>
      <c r="Q3" s="391"/>
      <c r="R3" s="391"/>
      <c r="S3" s="391"/>
      <c r="T3" s="391"/>
      <c r="U3" s="391"/>
      <c r="V3" s="391"/>
      <c r="W3" s="391"/>
      <c r="X3" s="391"/>
      <c r="Y3" s="391"/>
      <c r="Z3" s="391"/>
      <c r="AA3" s="391"/>
      <c r="AB3" s="391"/>
      <c r="AC3" s="391"/>
      <c r="AD3" s="391"/>
      <c r="AE3" s="391"/>
    </row>
    <row r="4" spans="1:31" s="392" customFormat="1" ht="13.5">
      <c r="A4" s="384" t="str">
        <f ca="1">Intro!A4</f>
        <v>Town of Bar Harbor</v>
      </c>
      <c r="B4" s="382"/>
      <c r="C4" s="382"/>
      <c r="D4" s="393"/>
      <c r="E4" s="383">
        <f ca="1">NOW()</f>
        <v>43242.835659143515</v>
      </c>
      <c r="F4" s="383"/>
      <c r="G4" s="389"/>
      <c r="H4" s="389"/>
      <c r="I4" s="389"/>
      <c r="J4" s="389"/>
      <c r="K4" s="390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  <c r="W4" s="391"/>
      <c r="X4" s="391"/>
      <c r="Y4" s="391"/>
      <c r="Z4" s="391"/>
      <c r="AA4" s="391"/>
      <c r="AB4" s="391"/>
      <c r="AC4" s="391"/>
      <c r="AD4" s="391"/>
      <c r="AE4" s="391"/>
    </row>
    <row r="5" spans="1:31">
      <c r="A5" s="231" t="s">
        <v>342</v>
      </c>
      <c r="B5" s="231"/>
      <c r="C5" s="232"/>
      <c r="D5" s="233"/>
      <c r="E5" s="232"/>
      <c r="F5" s="232"/>
      <c r="G5" s="234"/>
      <c r="H5" s="234"/>
      <c r="I5" s="234"/>
      <c r="J5" s="234"/>
      <c r="K5" s="235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1:31">
      <c r="A6" s="237"/>
      <c r="B6" s="237"/>
      <c r="C6" s="237"/>
      <c r="D6" s="238"/>
      <c r="E6" s="237"/>
      <c r="F6" s="237"/>
      <c r="G6" s="237"/>
      <c r="H6" s="237"/>
      <c r="I6" s="237"/>
      <c r="J6" s="237"/>
      <c r="K6" s="659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</row>
    <row r="7" spans="1:31" ht="48.75" customHeight="1">
      <c r="A7" s="239"/>
      <c r="B7" s="240" t="s">
        <v>45</v>
      </c>
      <c r="C7" s="241" t="s">
        <v>46</v>
      </c>
      <c r="D7" s="242" t="s">
        <v>47</v>
      </c>
      <c r="E7" s="240" t="s">
        <v>21</v>
      </c>
      <c r="F7" s="240" t="s">
        <v>48</v>
      </c>
      <c r="G7" s="240" t="s">
        <v>49</v>
      </c>
      <c r="H7" s="240" t="s">
        <v>59</v>
      </c>
      <c r="I7" s="240" t="s">
        <v>22</v>
      </c>
      <c r="J7" s="240" t="s">
        <v>50</v>
      </c>
      <c r="K7" s="243">
        <v>2018</v>
      </c>
      <c r="L7" s="243">
        <v>2019</v>
      </c>
      <c r="M7" s="243">
        <v>2020</v>
      </c>
      <c r="N7" s="243">
        <v>2021</v>
      </c>
      <c r="O7" s="243">
        <v>2022</v>
      </c>
      <c r="P7" s="243">
        <v>2023</v>
      </c>
      <c r="Q7" s="243">
        <v>2024</v>
      </c>
      <c r="R7" s="243">
        <v>2025</v>
      </c>
      <c r="S7" s="243">
        <v>2026</v>
      </c>
      <c r="T7" s="243">
        <v>2027</v>
      </c>
      <c r="U7" s="243">
        <v>2028</v>
      </c>
      <c r="V7" s="243">
        <v>2029</v>
      </c>
      <c r="W7" s="243">
        <v>2030</v>
      </c>
      <c r="X7" s="243">
        <v>2031</v>
      </c>
      <c r="Y7" s="243">
        <v>2032</v>
      </c>
      <c r="Z7" s="243">
        <v>2033</v>
      </c>
      <c r="AA7" s="243">
        <v>2034</v>
      </c>
      <c r="AB7" s="243">
        <v>2035</v>
      </c>
      <c r="AC7" s="243">
        <v>2036</v>
      </c>
      <c r="AD7" s="243">
        <v>2037</v>
      </c>
      <c r="AE7" s="243">
        <v>2038</v>
      </c>
    </row>
    <row r="8" spans="1:31" s="18" customFormat="1" ht="17.25" thickBot="1">
      <c r="K8" s="488"/>
    </row>
    <row r="9" spans="1:31" s="18" customFormat="1" ht="17.25" thickBot="1">
      <c r="A9" s="117" t="s">
        <v>381</v>
      </c>
      <c r="B9" s="484" t="str">
        <f>'P&amp;L - Concept C1 - NCLH'!B9</f>
        <v>Scenario 5 - Percent of 2018 Business - NCLH</v>
      </c>
      <c r="K9" s="489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  <c r="Y9" s="327"/>
      <c r="Z9" s="327"/>
      <c r="AA9" s="327"/>
      <c r="AB9" s="327"/>
      <c r="AC9" s="327"/>
      <c r="AD9" s="327"/>
      <c r="AE9" s="327"/>
    </row>
    <row r="10" spans="1:31" s="18" customFormat="1">
      <c r="A10" s="649"/>
      <c r="B10" s="372"/>
      <c r="K10" s="489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  <c r="Y10" s="327"/>
      <c r="Z10" s="327"/>
      <c r="AA10" s="327"/>
      <c r="AB10" s="327"/>
      <c r="AC10" s="327"/>
      <c r="AD10" s="327"/>
      <c r="AE10" s="327"/>
    </row>
    <row r="11" spans="1:31">
      <c r="A11" s="38" t="s">
        <v>52</v>
      </c>
      <c r="B11" s="38"/>
      <c r="C11" s="38"/>
      <c r="D11" s="101"/>
      <c r="E11" s="38"/>
      <c r="F11" s="38"/>
      <c r="G11" s="37"/>
      <c r="H11" s="37"/>
      <c r="I11" s="38"/>
      <c r="J11" s="37"/>
      <c r="K11" s="784">
        <f>'OPEX - Concept A1'!K11</f>
        <v>0</v>
      </c>
      <c r="L11" s="311">
        <f>'BH Tariffs'!D52</f>
        <v>1.02</v>
      </c>
      <c r="M11" s="311">
        <f>'BH Tariffs'!E52</f>
        <v>1.0404</v>
      </c>
      <c r="N11" s="311">
        <f>'BH Tariffs'!F52</f>
        <v>1.0612079999999999</v>
      </c>
      <c r="O11" s="311">
        <f>'BH Tariffs'!G52</f>
        <v>1.08243216</v>
      </c>
      <c r="P11" s="311">
        <f>'BH Tariffs'!H52</f>
        <v>1.1040808032</v>
      </c>
      <c r="Q11" s="311">
        <f>'BH Tariffs'!I52</f>
        <v>1.1261624192640001</v>
      </c>
      <c r="R11" s="311">
        <f>'BH Tariffs'!J52</f>
        <v>1.14868566764928</v>
      </c>
      <c r="S11" s="311">
        <f>'BH Tariffs'!K52</f>
        <v>1.1716593810022657</v>
      </c>
      <c r="T11" s="311">
        <f>'BH Tariffs'!L52</f>
        <v>1.1950925686223111</v>
      </c>
      <c r="U11" s="311">
        <f>'BH Tariffs'!M52</f>
        <v>1.2189944199947573</v>
      </c>
      <c r="V11" s="311">
        <f>'BH Tariffs'!N52</f>
        <v>1.2433743083946525</v>
      </c>
      <c r="W11" s="311">
        <f>'BH Tariffs'!O52</f>
        <v>1.2682417945625455</v>
      </c>
      <c r="X11" s="311">
        <f>'BH Tariffs'!P52</f>
        <v>1.2936066304537963</v>
      </c>
      <c r="Y11" s="311">
        <f>'BH Tariffs'!Q52</f>
        <v>1.3194787630628724</v>
      </c>
      <c r="Z11" s="311">
        <f>'BH Tariffs'!R52</f>
        <v>1.3458683383241299</v>
      </c>
      <c r="AA11" s="311">
        <f>'BH Tariffs'!S52</f>
        <v>1.3727857050906125</v>
      </c>
      <c r="AB11" s="311">
        <f>'BH Tariffs'!T52</f>
        <v>1.4002414191924248</v>
      </c>
      <c r="AC11" s="311">
        <f>'BH Tariffs'!U52</f>
        <v>1.4282462475762734</v>
      </c>
      <c r="AD11" s="311">
        <f>'BH Tariffs'!V52</f>
        <v>1.4568111725277988</v>
      </c>
      <c r="AE11" s="311">
        <f>'BH Tariffs'!W52</f>
        <v>1.4859473959783549</v>
      </c>
    </row>
    <row r="12" spans="1:31">
      <c r="A12" s="38" t="s">
        <v>58</v>
      </c>
      <c r="B12" s="38"/>
      <c r="C12" s="37"/>
      <c r="D12" s="76"/>
      <c r="E12" s="79">
        <v>0.2</v>
      </c>
      <c r="F12" s="172"/>
      <c r="G12" s="36"/>
      <c r="H12" s="36"/>
      <c r="I12" s="38"/>
      <c r="J12" s="36"/>
      <c r="K12" s="661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200"/>
      <c r="AC12" s="200"/>
      <c r="AD12" s="200"/>
      <c r="AE12" s="200"/>
    </row>
    <row r="13" spans="1:31">
      <c r="A13" s="38" t="s">
        <v>51</v>
      </c>
      <c r="B13" s="38"/>
      <c r="C13" s="37"/>
      <c r="D13" s="76"/>
      <c r="E13" s="79"/>
      <c r="F13" s="79">
        <v>0.4</v>
      </c>
      <c r="G13" s="36"/>
      <c r="H13" s="36"/>
      <c r="I13" s="38"/>
      <c r="J13" s="36"/>
      <c r="K13" s="661"/>
      <c r="L13" s="200"/>
      <c r="M13" s="200"/>
      <c r="N13" s="200"/>
      <c r="O13" s="200"/>
      <c r="P13" s="200"/>
      <c r="Q13" s="200"/>
      <c r="R13" s="200"/>
      <c r="S13" s="200"/>
      <c r="T13" s="200"/>
      <c r="U13" s="200"/>
      <c r="V13" s="200"/>
      <c r="W13" s="200"/>
      <c r="X13" s="200"/>
      <c r="Y13" s="200"/>
      <c r="Z13" s="200"/>
      <c r="AA13" s="200"/>
      <c r="AB13" s="200"/>
      <c r="AC13" s="200"/>
      <c r="AD13" s="200"/>
      <c r="AE13" s="200"/>
    </row>
    <row r="14" spans="1:31" s="18" customFormat="1">
      <c r="A14" s="649"/>
      <c r="B14" s="372"/>
      <c r="K14" s="489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7"/>
      <c r="X14" s="327"/>
      <c r="Y14" s="327"/>
      <c r="Z14" s="327"/>
      <c r="AA14" s="327"/>
      <c r="AB14" s="327"/>
      <c r="AC14" s="327"/>
      <c r="AD14" s="327"/>
      <c r="AE14" s="327"/>
    </row>
    <row r="15" spans="1:31" s="18" customFormat="1">
      <c r="K15" s="489"/>
      <c r="L15" s="327"/>
      <c r="M15" s="327"/>
      <c r="N15" s="327"/>
      <c r="O15" s="327"/>
      <c r="P15" s="327"/>
      <c r="Q15" s="327"/>
      <c r="R15" s="327"/>
      <c r="S15" s="327"/>
      <c r="T15" s="327"/>
      <c r="U15" s="327"/>
      <c r="V15" s="327"/>
      <c r="W15" s="327"/>
      <c r="X15" s="327"/>
      <c r="Y15" s="327"/>
      <c r="Z15" s="327"/>
      <c r="AA15" s="327"/>
      <c r="AB15" s="327"/>
      <c r="AC15" s="327"/>
      <c r="AD15" s="327"/>
      <c r="AE15" s="327"/>
    </row>
    <row r="16" spans="1:31" s="582" customFormat="1" ht="14.25">
      <c r="A16" s="582" t="s">
        <v>83</v>
      </c>
      <c r="K16" s="490"/>
      <c r="L16" s="785"/>
      <c r="M16" s="785"/>
      <c r="N16" s="785"/>
      <c r="O16" s="785"/>
      <c r="P16" s="785"/>
      <c r="Q16" s="785"/>
      <c r="R16" s="785"/>
      <c r="S16" s="785"/>
      <c r="T16" s="785"/>
      <c r="U16" s="785"/>
      <c r="V16" s="785"/>
      <c r="W16" s="785"/>
      <c r="X16" s="785"/>
      <c r="Y16" s="785"/>
      <c r="Z16" s="785"/>
      <c r="AA16" s="785"/>
      <c r="AB16" s="785"/>
      <c r="AC16" s="785"/>
      <c r="AD16" s="785"/>
      <c r="AE16" s="785"/>
    </row>
    <row r="17" spans="1:31" s="96" customFormat="1">
      <c r="A17" s="53" t="str">
        <f>'Cruise Projections'!A67</f>
        <v>Passengers</v>
      </c>
      <c r="B17" s="487"/>
      <c r="C17" s="487"/>
      <c r="K17" s="486">
        <f>'P&amp;L - Concept C1 - NCLH'!D12</f>
        <v>0</v>
      </c>
      <c r="L17" s="313">
        <f>'P&amp;L - Concept C1 - NCLH'!E12</f>
        <v>0</v>
      </c>
      <c r="M17" s="313">
        <f>'P&amp;L - Concept C1 - NCLH'!F12</f>
        <v>51920.067226246269</v>
      </c>
      <c r="N17" s="313">
        <f>'P&amp;L - Concept C1 - NCLH'!G12</f>
        <v>51920.067226246269</v>
      </c>
      <c r="O17" s="313">
        <f>'P&amp;L - Concept C1 - NCLH'!H12</f>
        <v>51920.067226246269</v>
      </c>
      <c r="P17" s="313">
        <f>'P&amp;L - Concept C1 - NCLH'!I12</f>
        <v>51920.067226246269</v>
      </c>
      <c r="Q17" s="313">
        <f>'P&amp;L - Concept C1 - NCLH'!J12</f>
        <v>51920.067226246269</v>
      </c>
      <c r="R17" s="313">
        <f>'P&amp;L - Concept C1 - NCLH'!K12</f>
        <v>51920.067226246269</v>
      </c>
      <c r="S17" s="313">
        <f>'P&amp;L - Concept C1 - NCLH'!L12</f>
        <v>51920.067226246269</v>
      </c>
      <c r="T17" s="313">
        <f>'P&amp;L - Concept C1 - NCLH'!M12</f>
        <v>51920.067226246269</v>
      </c>
      <c r="U17" s="313">
        <f>'P&amp;L - Concept C1 - NCLH'!N12</f>
        <v>51920.067226246269</v>
      </c>
      <c r="V17" s="313">
        <f>'P&amp;L - Concept C1 - NCLH'!O12</f>
        <v>51920.067226246269</v>
      </c>
      <c r="W17" s="313">
        <f>'P&amp;L - Concept C1 - NCLH'!P12</f>
        <v>51920.067226246269</v>
      </c>
      <c r="X17" s="313">
        <f>'P&amp;L - Concept C1 - NCLH'!Q12</f>
        <v>51920.067226246269</v>
      </c>
      <c r="Y17" s="313">
        <f>'P&amp;L - Concept C1 - NCLH'!R12</f>
        <v>51920.067226246269</v>
      </c>
      <c r="Z17" s="313">
        <f>'P&amp;L - Concept C1 - NCLH'!S12</f>
        <v>51920.067226246269</v>
      </c>
      <c r="AA17" s="313">
        <f>'P&amp;L - Concept C1 - NCLH'!T12</f>
        <v>51920.067226246269</v>
      </c>
      <c r="AB17" s="313">
        <f>'P&amp;L - Concept C1 - NCLH'!U12</f>
        <v>51920.067226246269</v>
      </c>
      <c r="AC17" s="313">
        <f>'P&amp;L - Concept C1 - NCLH'!V12</f>
        <v>51920.067226246269</v>
      </c>
      <c r="AD17" s="313">
        <f>'P&amp;L - Concept C1 - NCLH'!W12</f>
        <v>51920.067226246269</v>
      </c>
      <c r="AE17" s="313">
        <f>'P&amp;L - Concept C1 - NCLH'!X12</f>
        <v>51920.067226246269</v>
      </c>
    </row>
    <row r="18" spans="1:31" s="96" customFormat="1">
      <c r="A18" s="53" t="str">
        <f>'Cruise Projections'!A68</f>
        <v>Calls</v>
      </c>
      <c r="B18" s="487"/>
      <c r="C18" s="487"/>
      <c r="K18" s="486">
        <f>'P&amp;L - Concept C1 - NCLH'!D13</f>
        <v>0</v>
      </c>
      <c r="L18" s="313">
        <f>'P&amp;L - Concept C1 - NCLH'!E13</f>
        <v>0</v>
      </c>
      <c r="M18" s="313">
        <f>'P&amp;L - Concept C1 - NCLH'!F13</f>
        <v>27.711111111111112</v>
      </c>
      <c r="N18" s="313">
        <f>'P&amp;L - Concept C1 - NCLH'!G13</f>
        <v>27.711111111111112</v>
      </c>
      <c r="O18" s="313">
        <f>'P&amp;L - Concept C1 - NCLH'!H13</f>
        <v>27.711111111111112</v>
      </c>
      <c r="P18" s="313">
        <f>'P&amp;L - Concept C1 - NCLH'!I13</f>
        <v>27.711111111111112</v>
      </c>
      <c r="Q18" s="313">
        <f>'P&amp;L - Concept C1 - NCLH'!J13</f>
        <v>27.711111111111112</v>
      </c>
      <c r="R18" s="313">
        <f>'P&amp;L - Concept C1 - NCLH'!K13</f>
        <v>27.711111111111112</v>
      </c>
      <c r="S18" s="313">
        <f>'P&amp;L - Concept C1 - NCLH'!L13</f>
        <v>27.711111111111112</v>
      </c>
      <c r="T18" s="313">
        <f>'P&amp;L - Concept C1 - NCLH'!M13</f>
        <v>27.711111111111112</v>
      </c>
      <c r="U18" s="313">
        <f>'P&amp;L - Concept C1 - NCLH'!N13</f>
        <v>27.711111111111112</v>
      </c>
      <c r="V18" s="313">
        <f>'P&amp;L - Concept C1 - NCLH'!O13</f>
        <v>27.711111111111112</v>
      </c>
      <c r="W18" s="313">
        <f>'P&amp;L - Concept C1 - NCLH'!P13</f>
        <v>27.711111111111112</v>
      </c>
      <c r="X18" s="313">
        <f>'P&amp;L - Concept C1 - NCLH'!Q13</f>
        <v>27.711111111111112</v>
      </c>
      <c r="Y18" s="313">
        <f>'P&amp;L - Concept C1 - NCLH'!R13</f>
        <v>27.711111111111112</v>
      </c>
      <c r="Z18" s="313">
        <f>'P&amp;L - Concept C1 - NCLH'!S13</f>
        <v>27.711111111111112</v>
      </c>
      <c r="AA18" s="313">
        <f>'P&amp;L - Concept C1 - NCLH'!T13</f>
        <v>27.711111111111112</v>
      </c>
      <c r="AB18" s="313">
        <f>'P&amp;L - Concept C1 - NCLH'!U13</f>
        <v>27.711111111111112</v>
      </c>
      <c r="AC18" s="313">
        <f>'P&amp;L - Concept C1 - NCLH'!V13</f>
        <v>27.711111111111112</v>
      </c>
      <c r="AD18" s="313">
        <f>'P&amp;L - Concept C1 - NCLH'!W13</f>
        <v>27.711111111111112</v>
      </c>
      <c r="AE18" s="313">
        <f>'P&amp;L - Concept C1 - NCLH'!X13</f>
        <v>27.711111111111112</v>
      </c>
    </row>
    <row r="19" spans="1:31" s="96" customFormat="1">
      <c r="A19" s="53" t="str">
        <f>'Cruise Projections'!A69</f>
        <v>Passengers per Call</v>
      </c>
      <c r="B19" s="487"/>
      <c r="C19" s="487"/>
      <c r="K19" s="486">
        <f>'P&amp;L - Concept C1 - NCLH'!D14</f>
        <v>0</v>
      </c>
      <c r="L19" s="313">
        <f>'P&amp;L - Concept C1 - NCLH'!E14</f>
        <v>0</v>
      </c>
      <c r="M19" s="313">
        <f>'P&amp;L - Concept C1 - NCLH'!F14</f>
        <v>1873.6191059992639</v>
      </c>
      <c r="N19" s="313">
        <f>'P&amp;L - Concept C1 - NCLH'!G14</f>
        <v>1873.6191059992639</v>
      </c>
      <c r="O19" s="313">
        <f>'P&amp;L - Concept C1 - NCLH'!H14</f>
        <v>1873.6191059992639</v>
      </c>
      <c r="P19" s="313">
        <f>'P&amp;L - Concept C1 - NCLH'!I14</f>
        <v>1873.6191059992639</v>
      </c>
      <c r="Q19" s="313">
        <f>'P&amp;L - Concept C1 - NCLH'!J14</f>
        <v>1873.6191059992639</v>
      </c>
      <c r="R19" s="313">
        <f>'P&amp;L - Concept C1 - NCLH'!K14</f>
        <v>1873.6191059992639</v>
      </c>
      <c r="S19" s="313">
        <f>'P&amp;L - Concept C1 - NCLH'!L14</f>
        <v>1873.6191059992639</v>
      </c>
      <c r="T19" s="313">
        <f>'P&amp;L - Concept C1 - NCLH'!M14</f>
        <v>1873.6191059992639</v>
      </c>
      <c r="U19" s="313">
        <f>'P&amp;L - Concept C1 - NCLH'!N14</f>
        <v>1873.6191059992639</v>
      </c>
      <c r="V19" s="313">
        <f>'P&amp;L - Concept C1 - NCLH'!O14</f>
        <v>1873.6191059992639</v>
      </c>
      <c r="W19" s="313">
        <f>'P&amp;L - Concept C1 - NCLH'!P14</f>
        <v>1873.6191059992639</v>
      </c>
      <c r="X19" s="313">
        <f>'P&amp;L - Concept C1 - NCLH'!Q14</f>
        <v>1873.6191059992639</v>
      </c>
      <c r="Y19" s="313">
        <f>'P&amp;L - Concept C1 - NCLH'!R14</f>
        <v>1873.6191059992639</v>
      </c>
      <c r="Z19" s="313">
        <f>'P&amp;L - Concept C1 - NCLH'!S14</f>
        <v>1873.6191059992639</v>
      </c>
      <c r="AA19" s="313">
        <f>'P&amp;L - Concept C1 - NCLH'!T14</f>
        <v>1873.6191059992639</v>
      </c>
      <c r="AB19" s="313">
        <f>'P&amp;L - Concept C1 - NCLH'!U14</f>
        <v>1873.6191059992639</v>
      </c>
      <c r="AC19" s="313">
        <f>'P&amp;L - Concept C1 - NCLH'!V14</f>
        <v>1873.6191059992639</v>
      </c>
      <c r="AD19" s="313">
        <f>'P&amp;L - Concept C1 - NCLH'!W14</f>
        <v>1873.6191059992639</v>
      </c>
      <c r="AE19" s="313">
        <f>'P&amp;L - Concept C1 - NCLH'!X14</f>
        <v>1873.6191059992639</v>
      </c>
    </row>
    <row r="20" spans="1:31" s="96" customFormat="1">
      <c r="A20" s="54" t="s">
        <v>313</v>
      </c>
      <c r="B20" s="487"/>
      <c r="C20" s="487"/>
      <c r="K20" s="486">
        <f>'P&amp;L - Concept C1 - NCLH'!D15</f>
        <v>0</v>
      </c>
      <c r="L20" s="313">
        <f>'P&amp;L - Concept C1 - NCLH'!E15</f>
        <v>0</v>
      </c>
      <c r="M20" s="313">
        <f>'P&amp;L - Concept C1 - NCLH'!F15</f>
        <v>4120</v>
      </c>
      <c r="N20" s="313">
        <f>'P&amp;L - Concept C1 - NCLH'!G15</f>
        <v>4120</v>
      </c>
      <c r="O20" s="313">
        <f>'P&amp;L - Concept C1 - NCLH'!H15</f>
        <v>4120</v>
      </c>
      <c r="P20" s="313">
        <f>'P&amp;L - Concept C1 - NCLH'!I15</f>
        <v>4120</v>
      </c>
      <c r="Q20" s="313">
        <f>'P&amp;L - Concept C1 - NCLH'!J15</f>
        <v>4120</v>
      </c>
      <c r="R20" s="313">
        <f>'P&amp;L - Concept C1 - NCLH'!K15</f>
        <v>4120</v>
      </c>
      <c r="S20" s="313">
        <f>'P&amp;L - Concept C1 - NCLH'!L15</f>
        <v>4120</v>
      </c>
      <c r="T20" s="313">
        <f>'P&amp;L - Concept C1 - NCLH'!M15</f>
        <v>4120</v>
      </c>
      <c r="U20" s="313">
        <f>'P&amp;L - Concept C1 - NCLH'!N15</f>
        <v>4120</v>
      </c>
      <c r="V20" s="313">
        <f>'P&amp;L - Concept C1 - NCLH'!O15</f>
        <v>4120</v>
      </c>
      <c r="W20" s="313">
        <f>'P&amp;L - Concept C1 - NCLH'!P15</f>
        <v>4120</v>
      </c>
      <c r="X20" s="313">
        <f>'P&amp;L - Concept C1 - NCLH'!Q15</f>
        <v>4120</v>
      </c>
      <c r="Y20" s="313">
        <f>'P&amp;L - Concept C1 - NCLH'!R15</f>
        <v>4120</v>
      </c>
      <c r="Z20" s="313">
        <f>'P&amp;L - Concept C1 - NCLH'!S15</f>
        <v>4120</v>
      </c>
      <c r="AA20" s="313">
        <f>'P&amp;L - Concept C1 - NCLH'!T15</f>
        <v>4120</v>
      </c>
      <c r="AB20" s="313">
        <f>'P&amp;L - Concept C1 - NCLH'!U15</f>
        <v>4120</v>
      </c>
      <c r="AC20" s="313">
        <f>'P&amp;L - Concept C1 - NCLH'!V15</f>
        <v>4120</v>
      </c>
      <c r="AD20" s="313">
        <f>'P&amp;L - Concept C1 - NCLH'!W15</f>
        <v>4120</v>
      </c>
      <c r="AE20" s="313">
        <f>'P&amp;L - Concept C1 - NCLH'!X15</f>
        <v>4120</v>
      </c>
    </row>
    <row r="21" spans="1:31" s="18" customFormat="1">
      <c r="A21" s="54"/>
      <c r="B21" s="21"/>
      <c r="C21" s="21"/>
      <c r="K21" s="486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  <c r="Y21" s="313"/>
      <c r="Z21" s="313"/>
      <c r="AA21" s="313"/>
      <c r="AB21" s="313"/>
      <c r="AC21" s="313"/>
      <c r="AD21" s="313"/>
      <c r="AE21" s="313"/>
    </row>
    <row r="22" spans="1:31" s="582" customFormat="1">
      <c r="A22" s="293" t="s">
        <v>163</v>
      </c>
      <c r="B22" s="581"/>
      <c r="C22" s="581"/>
      <c r="K22" s="491"/>
      <c r="L22" s="313"/>
      <c r="M22" s="313"/>
      <c r="N22" s="313"/>
      <c r="O22" s="313"/>
      <c r="P22" s="313"/>
      <c r="Q22" s="313"/>
      <c r="R22" s="313"/>
      <c r="S22" s="313"/>
      <c r="T22" s="313"/>
      <c r="U22" s="313"/>
      <c r="V22" s="313"/>
      <c r="W22" s="313"/>
      <c r="X22" s="313"/>
      <c r="Y22" s="313"/>
      <c r="Z22" s="313"/>
      <c r="AA22" s="313"/>
      <c r="AB22" s="313"/>
      <c r="AC22" s="313"/>
      <c r="AD22" s="313"/>
      <c r="AE22" s="313"/>
    </row>
    <row r="23" spans="1:31" s="96" customFormat="1">
      <c r="A23" s="54" t="str">
        <f>'International Ferry Projections'!A11</f>
        <v>Passengers</v>
      </c>
      <c r="B23" s="487"/>
      <c r="C23" s="487"/>
      <c r="K23" s="486">
        <f>'P&amp;L - Concept C1 - NCLH'!D18</f>
        <v>0</v>
      </c>
      <c r="L23" s="313">
        <f>'P&amp;L - Concept C1 - NCLH'!E18</f>
        <v>60000</v>
      </c>
      <c r="M23" s="313">
        <f>'P&amp;L - Concept C1 - NCLH'!F18</f>
        <v>70000</v>
      </c>
      <c r="N23" s="313">
        <f>'P&amp;L - Concept C1 - NCLH'!G18</f>
        <v>80000</v>
      </c>
      <c r="O23" s="313">
        <f>'P&amp;L - Concept C1 - NCLH'!H18</f>
        <v>80000</v>
      </c>
      <c r="P23" s="313">
        <f>'P&amp;L - Concept C1 - NCLH'!I18</f>
        <v>80000</v>
      </c>
      <c r="Q23" s="313">
        <f>'P&amp;L - Concept C1 - NCLH'!J18</f>
        <v>80000</v>
      </c>
      <c r="R23" s="313">
        <f>'P&amp;L - Concept C1 - NCLH'!K18</f>
        <v>80000</v>
      </c>
      <c r="S23" s="313">
        <f>'P&amp;L - Concept C1 - NCLH'!L18</f>
        <v>80000</v>
      </c>
      <c r="T23" s="313">
        <f>'P&amp;L - Concept C1 - NCLH'!M18</f>
        <v>80000</v>
      </c>
      <c r="U23" s="313">
        <f>'P&amp;L - Concept C1 - NCLH'!N18</f>
        <v>80000</v>
      </c>
      <c r="V23" s="313">
        <f>'P&amp;L - Concept C1 - NCLH'!O18</f>
        <v>80000</v>
      </c>
      <c r="W23" s="313">
        <f>'P&amp;L - Concept C1 - NCLH'!P18</f>
        <v>80000</v>
      </c>
      <c r="X23" s="313">
        <f>'P&amp;L - Concept C1 - NCLH'!Q18</f>
        <v>80000</v>
      </c>
      <c r="Y23" s="313">
        <f>'P&amp;L - Concept C1 - NCLH'!R18</f>
        <v>80000</v>
      </c>
      <c r="Z23" s="313">
        <f>'P&amp;L - Concept C1 - NCLH'!S18</f>
        <v>80000</v>
      </c>
      <c r="AA23" s="313">
        <f>'P&amp;L - Concept C1 - NCLH'!T18</f>
        <v>80000</v>
      </c>
      <c r="AB23" s="313">
        <f>'P&amp;L - Concept C1 - NCLH'!U18</f>
        <v>80000</v>
      </c>
      <c r="AC23" s="313">
        <f>'P&amp;L - Concept C1 - NCLH'!V18</f>
        <v>80000</v>
      </c>
      <c r="AD23" s="313">
        <f>'P&amp;L - Concept C1 - NCLH'!W18</f>
        <v>80000</v>
      </c>
      <c r="AE23" s="313">
        <f>'P&amp;L - Concept C1 - NCLH'!X18</f>
        <v>80000</v>
      </c>
    </row>
    <row r="24" spans="1:31" s="96" customFormat="1">
      <c r="A24" s="54" t="str">
        <f>'International Ferry Projections'!A12</f>
        <v>Cars</v>
      </c>
      <c r="B24" s="487"/>
      <c r="C24" s="487"/>
      <c r="K24" s="486">
        <f>'P&amp;L - Concept C1 - NCLH'!D19</f>
        <v>0</v>
      </c>
      <c r="L24" s="313">
        <f>'P&amp;L - Concept C1 - NCLH'!E19</f>
        <v>24000</v>
      </c>
      <c r="M24" s="313">
        <f>'P&amp;L - Concept C1 - NCLH'!F19</f>
        <v>28000</v>
      </c>
      <c r="N24" s="313">
        <f>'P&amp;L - Concept C1 - NCLH'!G19</f>
        <v>32000</v>
      </c>
      <c r="O24" s="313">
        <f>'P&amp;L - Concept C1 - NCLH'!H19</f>
        <v>32000</v>
      </c>
      <c r="P24" s="313">
        <f>'P&amp;L - Concept C1 - NCLH'!I19</f>
        <v>32000</v>
      </c>
      <c r="Q24" s="313">
        <f>'P&amp;L - Concept C1 - NCLH'!J19</f>
        <v>32000</v>
      </c>
      <c r="R24" s="313">
        <f>'P&amp;L - Concept C1 - NCLH'!K19</f>
        <v>32000</v>
      </c>
      <c r="S24" s="313">
        <f>'P&amp;L - Concept C1 - NCLH'!L19</f>
        <v>32000</v>
      </c>
      <c r="T24" s="313">
        <f>'P&amp;L - Concept C1 - NCLH'!M19</f>
        <v>32000</v>
      </c>
      <c r="U24" s="313">
        <f>'P&amp;L - Concept C1 - NCLH'!N19</f>
        <v>32000</v>
      </c>
      <c r="V24" s="313">
        <f>'P&amp;L - Concept C1 - NCLH'!O19</f>
        <v>32000</v>
      </c>
      <c r="W24" s="313">
        <f>'P&amp;L - Concept C1 - NCLH'!P19</f>
        <v>32000</v>
      </c>
      <c r="X24" s="313">
        <f>'P&amp;L - Concept C1 - NCLH'!Q19</f>
        <v>32000</v>
      </c>
      <c r="Y24" s="313">
        <f>'P&amp;L - Concept C1 - NCLH'!R19</f>
        <v>32000</v>
      </c>
      <c r="Z24" s="313">
        <f>'P&amp;L - Concept C1 - NCLH'!S19</f>
        <v>32000</v>
      </c>
      <c r="AA24" s="313">
        <f>'P&amp;L - Concept C1 - NCLH'!T19</f>
        <v>32000</v>
      </c>
      <c r="AB24" s="313">
        <f>'P&amp;L - Concept C1 - NCLH'!U19</f>
        <v>32000</v>
      </c>
      <c r="AC24" s="313">
        <f>'P&amp;L - Concept C1 - NCLH'!V19</f>
        <v>32000</v>
      </c>
      <c r="AD24" s="313">
        <f>'P&amp;L - Concept C1 - NCLH'!W19</f>
        <v>32000</v>
      </c>
      <c r="AE24" s="313">
        <f>'P&amp;L - Concept C1 - NCLH'!X19</f>
        <v>32000</v>
      </c>
    </row>
    <row r="25" spans="1:31" s="96" customFormat="1">
      <c r="A25" s="54" t="str">
        <f>'International Ferry Projections'!A13</f>
        <v>Buses</v>
      </c>
      <c r="B25" s="487"/>
      <c r="C25" s="487"/>
      <c r="K25" s="486">
        <f>'P&amp;L - Concept C1 - NCLH'!D20</f>
        <v>0</v>
      </c>
      <c r="L25" s="313">
        <f>'P&amp;L - Concept C1 - NCLH'!E20</f>
        <v>40</v>
      </c>
      <c r="M25" s="313">
        <f>'P&amp;L - Concept C1 - NCLH'!F20</f>
        <v>50</v>
      </c>
      <c r="N25" s="313">
        <f>'P&amp;L - Concept C1 - NCLH'!G20</f>
        <v>60</v>
      </c>
      <c r="O25" s="313">
        <f>'P&amp;L - Concept C1 - NCLH'!H20</f>
        <v>60</v>
      </c>
      <c r="P25" s="313">
        <f>'P&amp;L - Concept C1 - NCLH'!I20</f>
        <v>60</v>
      </c>
      <c r="Q25" s="313">
        <f>'P&amp;L - Concept C1 - NCLH'!J20</f>
        <v>60</v>
      </c>
      <c r="R25" s="313">
        <f>'P&amp;L - Concept C1 - NCLH'!K20</f>
        <v>60</v>
      </c>
      <c r="S25" s="313">
        <f>'P&amp;L - Concept C1 - NCLH'!L20</f>
        <v>60</v>
      </c>
      <c r="T25" s="313">
        <f>'P&amp;L - Concept C1 - NCLH'!M20</f>
        <v>60</v>
      </c>
      <c r="U25" s="313">
        <f>'P&amp;L - Concept C1 - NCLH'!N20</f>
        <v>60</v>
      </c>
      <c r="V25" s="313">
        <f>'P&amp;L - Concept C1 - NCLH'!O20</f>
        <v>60</v>
      </c>
      <c r="W25" s="313">
        <f>'P&amp;L - Concept C1 - NCLH'!P20</f>
        <v>60</v>
      </c>
      <c r="X25" s="313">
        <f>'P&amp;L - Concept C1 - NCLH'!Q20</f>
        <v>60</v>
      </c>
      <c r="Y25" s="313">
        <f>'P&amp;L - Concept C1 - NCLH'!R20</f>
        <v>60</v>
      </c>
      <c r="Z25" s="313">
        <f>'P&amp;L - Concept C1 - NCLH'!S20</f>
        <v>60</v>
      </c>
      <c r="AA25" s="313">
        <f>'P&amp;L - Concept C1 - NCLH'!T20</f>
        <v>60</v>
      </c>
      <c r="AB25" s="313">
        <f>'P&amp;L - Concept C1 - NCLH'!U20</f>
        <v>60</v>
      </c>
      <c r="AC25" s="313">
        <f>'P&amp;L - Concept C1 - NCLH'!V20</f>
        <v>60</v>
      </c>
      <c r="AD25" s="313">
        <f>'P&amp;L - Concept C1 - NCLH'!W20</f>
        <v>60</v>
      </c>
      <c r="AE25" s="313">
        <f>'P&amp;L - Concept C1 - NCLH'!X20</f>
        <v>60</v>
      </c>
    </row>
    <row r="26" spans="1:31" s="18" customFormat="1">
      <c r="A26" s="54"/>
      <c r="B26" s="21"/>
      <c r="C26" s="21"/>
      <c r="K26" s="486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</row>
    <row r="27" spans="1:31" s="582" customFormat="1">
      <c r="A27" s="293" t="str">
        <f>'BH Tariffs'!A30</f>
        <v>Local Ferry</v>
      </c>
      <c r="B27" s="581"/>
      <c r="C27" s="581"/>
      <c r="K27" s="486"/>
      <c r="L27" s="313"/>
      <c r="M27" s="313"/>
      <c r="N27" s="313"/>
      <c r="O27" s="313"/>
      <c r="P27" s="313"/>
      <c r="Q27" s="313"/>
      <c r="R27" s="313"/>
      <c r="S27" s="313"/>
      <c r="T27" s="313"/>
      <c r="U27" s="313"/>
      <c r="V27" s="313"/>
      <c r="W27" s="313"/>
      <c r="X27" s="313"/>
      <c r="Y27" s="313"/>
      <c r="Z27" s="313"/>
      <c r="AA27" s="313"/>
      <c r="AB27" s="313"/>
      <c r="AC27" s="313"/>
      <c r="AD27" s="313"/>
      <c r="AE27" s="313"/>
    </row>
    <row r="28" spans="1:31" s="96" customFormat="1">
      <c r="A28" s="54" t="str">
        <f>'BH Tariffs'!A31</f>
        <v>Dock Rent (6 Months Only)</v>
      </c>
      <c r="B28" s="487"/>
      <c r="C28" s="487"/>
      <c r="K28" s="486">
        <f>'P&amp;L - Concept C1 - NCLH'!D23</f>
        <v>0</v>
      </c>
      <c r="L28" s="313" t="str">
        <f>'P&amp;L - Concept C1 - NCLH'!E23</f>
        <v>see Tariff</v>
      </c>
      <c r="M28" s="313" t="str">
        <f>'P&amp;L - Concept C1 - NCLH'!F23</f>
        <v>see Tariff</v>
      </c>
      <c r="N28" s="313" t="str">
        <f>'P&amp;L - Concept C1 - NCLH'!G23</f>
        <v>see Tariff</v>
      </c>
      <c r="O28" s="313" t="str">
        <f>'P&amp;L - Concept C1 - NCLH'!H23</f>
        <v>see Tariff</v>
      </c>
      <c r="P28" s="313" t="str">
        <f>'P&amp;L - Concept C1 - NCLH'!I23</f>
        <v>see Tariff</v>
      </c>
      <c r="Q28" s="313" t="str">
        <f>'P&amp;L - Concept C1 - NCLH'!J23</f>
        <v>see Tariff</v>
      </c>
      <c r="R28" s="313" t="str">
        <f>'P&amp;L - Concept C1 - NCLH'!K23</f>
        <v>see Tariff</v>
      </c>
      <c r="S28" s="313" t="str">
        <f>'P&amp;L - Concept C1 - NCLH'!L23</f>
        <v>see Tariff</v>
      </c>
      <c r="T28" s="313" t="str">
        <f>'P&amp;L - Concept C1 - NCLH'!M23</f>
        <v>see Tariff</v>
      </c>
      <c r="U28" s="313" t="str">
        <f>'P&amp;L - Concept C1 - NCLH'!N23</f>
        <v>see Tariff</v>
      </c>
      <c r="V28" s="313" t="str">
        <f>'P&amp;L - Concept C1 - NCLH'!O23</f>
        <v>see Tariff</v>
      </c>
      <c r="W28" s="313" t="str">
        <f>'P&amp;L - Concept C1 - NCLH'!P23</f>
        <v>see Tariff</v>
      </c>
      <c r="X28" s="313" t="str">
        <f>'P&amp;L - Concept C1 - NCLH'!Q23</f>
        <v>see Tariff</v>
      </c>
      <c r="Y28" s="313" t="str">
        <f>'P&amp;L - Concept C1 - NCLH'!R23</f>
        <v>see Tariff</v>
      </c>
      <c r="Z28" s="313" t="str">
        <f>'P&amp;L - Concept C1 - NCLH'!S23</f>
        <v>see Tariff</v>
      </c>
      <c r="AA28" s="313" t="str">
        <f>'P&amp;L - Concept C1 - NCLH'!T23</f>
        <v>see Tariff</v>
      </c>
      <c r="AB28" s="313" t="str">
        <f>'P&amp;L - Concept C1 - NCLH'!U23</f>
        <v>see Tariff</v>
      </c>
      <c r="AC28" s="313" t="str">
        <f>'P&amp;L - Concept C1 - NCLH'!V23</f>
        <v>see Tariff</v>
      </c>
      <c r="AD28" s="313" t="str">
        <f>'P&amp;L - Concept C1 - NCLH'!W23</f>
        <v>see Tariff</v>
      </c>
      <c r="AE28" s="313" t="str">
        <f>'P&amp;L - Concept C1 - NCLH'!X23</f>
        <v>see Tariff</v>
      </c>
    </row>
    <row r="29" spans="1:31" s="341" customFormat="1">
      <c r="A29" s="552"/>
      <c r="B29" s="553"/>
      <c r="C29" s="553"/>
      <c r="K29" s="554"/>
      <c r="L29" s="313"/>
      <c r="M29" s="313"/>
      <c r="N29" s="313"/>
      <c r="O29" s="313"/>
      <c r="P29" s="313"/>
      <c r="Q29" s="313"/>
      <c r="R29" s="313"/>
      <c r="S29" s="313"/>
      <c r="T29" s="313"/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</row>
    <row r="30" spans="1:31" s="96" customFormat="1">
      <c r="A30" s="559" t="s">
        <v>227</v>
      </c>
      <c r="B30" s="487"/>
      <c r="C30" s="487"/>
      <c r="K30" s="486"/>
      <c r="L30" s="313"/>
      <c r="M30" s="313"/>
      <c r="N30" s="313"/>
      <c r="O30" s="313"/>
      <c r="P30" s="313"/>
      <c r="Q30" s="313"/>
      <c r="R30" s="313"/>
      <c r="S30" s="313"/>
      <c r="T30" s="313"/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</row>
    <row r="31" spans="1:31" s="96" customFormat="1">
      <c r="A31" s="559"/>
      <c r="B31" s="487"/>
      <c r="C31" s="487"/>
      <c r="K31" s="486"/>
      <c r="L31" s="313"/>
      <c r="M31" s="313"/>
      <c r="N31" s="313"/>
      <c r="O31" s="313"/>
      <c r="P31" s="313"/>
      <c r="Q31" s="313"/>
      <c r="R31" s="313"/>
      <c r="S31" s="313"/>
      <c r="T31" s="313"/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</row>
    <row r="32" spans="1:31" s="96" customFormat="1">
      <c r="A32" s="54" t="s">
        <v>420</v>
      </c>
      <c r="B32" s="487"/>
      <c r="C32" s="487"/>
      <c r="K32" s="486">
        <f>'P&amp;L - Concept C1 - NCLH'!D27</f>
        <v>0</v>
      </c>
      <c r="L32" s="313">
        <f>'P&amp;L - Concept C1 - NCLH'!E27</f>
        <v>0</v>
      </c>
      <c r="M32" s="313">
        <f>'P&amp;L - Concept C1 - NCLH'!F27</f>
        <v>214</v>
      </c>
      <c r="N32" s="313">
        <f>'P&amp;L - Concept C1 - NCLH'!G27</f>
        <v>214</v>
      </c>
      <c r="O32" s="313">
        <f>'P&amp;L - Concept C1 - NCLH'!H27</f>
        <v>214</v>
      </c>
      <c r="P32" s="313">
        <f>'P&amp;L - Concept C1 - NCLH'!I27</f>
        <v>214</v>
      </c>
      <c r="Q32" s="313">
        <f>'P&amp;L - Concept C1 - NCLH'!J27</f>
        <v>214</v>
      </c>
      <c r="R32" s="313">
        <f>'P&amp;L - Concept C1 - NCLH'!K27</f>
        <v>214</v>
      </c>
      <c r="S32" s="313">
        <f>'P&amp;L - Concept C1 - NCLH'!L27</f>
        <v>214</v>
      </c>
      <c r="T32" s="313">
        <f>'P&amp;L - Concept C1 - NCLH'!M27</f>
        <v>214</v>
      </c>
      <c r="U32" s="313">
        <f>'P&amp;L - Concept C1 - NCLH'!N27</f>
        <v>214</v>
      </c>
      <c r="V32" s="313">
        <f>'P&amp;L - Concept C1 - NCLH'!O27</f>
        <v>214</v>
      </c>
      <c r="W32" s="313">
        <f>'P&amp;L - Concept C1 - NCLH'!P27</f>
        <v>214</v>
      </c>
      <c r="X32" s="313">
        <f>'P&amp;L - Concept C1 - NCLH'!Q27</f>
        <v>214</v>
      </c>
      <c r="Y32" s="313">
        <f>'P&amp;L - Concept C1 - NCLH'!R27</f>
        <v>214</v>
      </c>
      <c r="Z32" s="313">
        <f>'P&amp;L - Concept C1 - NCLH'!S27</f>
        <v>214</v>
      </c>
      <c r="AA32" s="313">
        <f>'P&amp;L - Concept C1 - NCLH'!T27</f>
        <v>214</v>
      </c>
      <c r="AB32" s="313">
        <f>'P&amp;L - Concept C1 - NCLH'!U27</f>
        <v>214</v>
      </c>
      <c r="AC32" s="313">
        <f>'P&amp;L - Concept C1 - NCLH'!V27</f>
        <v>214</v>
      </c>
      <c r="AD32" s="313">
        <f>'P&amp;L - Concept C1 - NCLH'!W27</f>
        <v>214</v>
      </c>
      <c r="AE32" s="313">
        <f>'P&amp;L - Concept C1 - NCLH'!X27</f>
        <v>214</v>
      </c>
    </row>
    <row r="33" spans="1:31" s="96" customFormat="1">
      <c r="A33" s="54" t="s">
        <v>205</v>
      </c>
      <c r="B33" s="487"/>
      <c r="C33" s="487"/>
      <c r="K33" s="486">
        <f>'P&amp;L - Concept C1 - NCLH'!D28</f>
        <v>0</v>
      </c>
      <c r="L33" s="313">
        <f>'P&amp;L - Concept C1 - NCLH'!E28</f>
        <v>0</v>
      </c>
      <c r="M33" s="313">
        <f>'P&amp;L - Concept C1 - NCLH'!F28</f>
        <v>27.711111111111112</v>
      </c>
      <c r="N33" s="313">
        <f>'P&amp;L - Concept C1 - NCLH'!G28</f>
        <v>27.711111111111112</v>
      </c>
      <c r="O33" s="313">
        <f>'P&amp;L - Concept C1 - NCLH'!H28</f>
        <v>27.711111111111112</v>
      </c>
      <c r="P33" s="313">
        <f>'P&amp;L - Concept C1 - NCLH'!I28</f>
        <v>27.711111111111112</v>
      </c>
      <c r="Q33" s="313">
        <f>'P&amp;L - Concept C1 - NCLH'!J28</f>
        <v>27.711111111111112</v>
      </c>
      <c r="R33" s="313">
        <f>'P&amp;L - Concept C1 - NCLH'!K28</f>
        <v>27.711111111111112</v>
      </c>
      <c r="S33" s="313">
        <f>'P&amp;L - Concept C1 - NCLH'!L28</f>
        <v>27.711111111111112</v>
      </c>
      <c r="T33" s="313">
        <f>'P&amp;L - Concept C1 - NCLH'!M28</f>
        <v>27.711111111111112</v>
      </c>
      <c r="U33" s="313">
        <f>'P&amp;L - Concept C1 - NCLH'!N28</f>
        <v>27.711111111111112</v>
      </c>
      <c r="V33" s="313">
        <f>'P&amp;L - Concept C1 - NCLH'!O28</f>
        <v>27.711111111111112</v>
      </c>
      <c r="W33" s="313">
        <f>'P&amp;L - Concept C1 - NCLH'!P28</f>
        <v>27.711111111111112</v>
      </c>
      <c r="X33" s="313">
        <f>'P&amp;L - Concept C1 - NCLH'!Q28</f>
        <v>27.711111111111112</v>
      </c>
      <c r="Y33" s="313">
        <f>'P&amp;L - Concept C1 - NCLH'!R28</f>
        <v>27.711111111111112</v>
      </c>
      <c r="Z33" s="313">
        <f>'P&amp;L - Concept C1 - NCLH'!S28</f>
        <v>27.711111111111112</v>
      </c>
      <c r="AA33" s="313">
        <f>'P&amp;L - Concept C1 - NCLH'!T28</f>
        <v>27.711111111111112</v>
      </c>
      <c r="AB33" s="313">
        <f>'P&amp;L - Concept C1 - NCLH'!U28</f>
        <v>27.711111111111112</v>
      </c>
      <c r="AC33" s="313">
        <f>'P&amp;L - Concept C1 - NCLH'!V28</f>
        <v>27.711111111111112</v>
      </c>
      <c r="AD33" s="313">
        <f>'P&amp;L - Concept C1 - NCLH'!W28</f>
        <v>27.711111111111112</v>
      </c>
      <c r="AE33" s="313">
        <f>'P&amp;L - Concept C1 - NCLH'!X28</f>
        <v>27.711111111111112</v>
      </c>
    </row>
    <row r="34" spans="1:31" s="96" customFormat="1">
      <c r="A34" s="54" t="s">
        <v>219</v>
      </c>
      <c r="B34" s="487"/>
      <c r="C34" s="487"/>
      <c r="K34" s="486">
        <f>'P&amp;L - Concept C1 - NCLH'!D29</f>
        <v>0</v>
      </c>
      <c r="L34" s="313">
        <f>'P&amp;L - Concept C1 - NCLH'!E29</f>
        <v>150</v>
      </c>
      <c r="M34" s="313">
        <f>'P&amp;L - Concept C1 - NCLH'!F29</f>
        <v>150</v>
      </c>
      <c r="N34" s="313">
        <f>'P&amp;L - Concept C1 - NCLH'!G29</f>
        <v>150</v>
      </c>
      <c r="O34" s="313">
        <f>'P&amp;L - Concept C1 - NCLH'!H29</f>
        <v>150</v>
      </c>
      <c r="P34" s="313">
        <f>'P&amp;L - Concept C1 - NCLH'!I29</f>
        <v>150</v>
      </c>
      <c r="Q34" s="313">
        <f>'P&amp;L - Concept C1 - NCLH'!J29</f>
        <v>150</v>
      </c>
      <c r="R34" s="313">
        <f>'P&amp;L - Concept C1 - NCLH'!K29</f>
        <v>150</v>
      </c>
      <c r="S34" s="313">
        <f>'P&amp;L - Concept C1 - NCLH'!L29</f>
        <v>150</v>
      </c>
      <c r="T34" s="313">
        <f>'P&amp;L - Concept C1 - NCLH'!M29</f>
        <v>150</v>
      </c>
      <c r="U34" s="313">
        <f>'P&amp;L - Concept C1 - NCLH'!N29</f>
        <v>150</v>
      </c>
      <c r="V34" s="313">
        <f>'P&amp;L - Concept C1 - NCLH'!O29</f>
        <v>150</v>
      </c>
      <c r="W34" s="313">
        <f>'P&amp;L - Concept C1 - NCLH'!P29</f>
        <v>150</v>
      </c>
      <c r="X34" s="313">
        <f>'P&amp;L - Concept C1 - NCLH'!Q29</f>
        <v>150</v>
      </c>
      <c r="Y34" s="313">
        <f>'P&amp;L - Concept C1 - NCLH'!R29</f>
        <v>150</v>
      </c>
      <c r="Z34" s="313">
        <f>'P&amp;L - Concept C1 - NCLH'!S29</f>
        <v>150</v>
      </c>
      <c r="AA34" s="313">
        <f>'P&amp;L - Concept C1 - NCLH'!T29</f>
        <v>150</v>
      </c>
      <c r="AB34" s="313">
        <f>'P&amp;L - Concept C1 - NCLH'!U29</f>
        <v>150</v>
      </c>
      <c r="AC34" s="313">
        <f>'P&amp;L - Concept C1 - NCLH'!V29</f>
        <v>150</v>
      </c>
      <c r="AD34" s="313">
        <f>'P&amp;L - Concept C1 - NCLH'!W29</f>
        <v>150</v>
      </c>
      <c r="AE34" s="313">
        <f>'P&amp;L - Concept C1 - NCLH'!X29</f>
        <v>150</v>
      </c>
    </row>
    <row r="35" spans="1:31" s="96" customFormat="1">
      <c r="A35" s="54" t="s">
        <v>220</v>
      </c>
      <c r="B35" s="487"/>
      <c r="C35" s="487"/>
      <c r="K35" s="486">
        <f>'P&amp;L - Concept C1 - NCLH'!D30</f>
        <v>0</v>
      </c>
      <c r="L35" s="307">
        <f>'P&amp;L - Concept C1 - NCLH'!E30</f>
        <v>0</v>
      </c>
      <c r="M35" s="307">
        <f>'P&amp;L - Concept C1 - NCLH'!F30</f>
        <v>0.18474074074074076</v>
      </c>
      <c r="N35" s="307">
        <f>'P&amp;L - Concept C1 - NCLH'!G30</f>
        <v>0.18474074074074076</v>
      </c>
      <c r="O35" s="307">
        <f>'P&amp;L - Concept C1 - NCLH'!H30</f>
        <v>0.18474074074074076</v>
      </c>
      <c r="P35" s="307">
        <f>'P&amp;L - Concept C1 - NCLH'!I30</f>
        <v>0.18474074074074076</v>
      </c>
      <c r="Q35" s="307">
        <f>'P&amp;L - Concept C1 - NCLH'!J30</f>
        <v>0.18474074074074076</v>
      </c>
      <c r="R35" s="307">
        <f>'P&amp;L - Concept C1 - NCLH'!K30</f>
        <v>0.18474074074074076</v>
      </c>
      <c r="S35" s="307">
        <f>'P&amp;L - Concept C1 - NCLH'!L30</f>
        <v>0.18474074074074076</v>
      </c>
      <c r="T35" s="307">
        <f>'P&amp;L - Concept C1 - NCLH'!M30</f>
        <v>0.18474074074074076</v>
      </c>
      <c r="U35" s="307">
        <f>'P&amp;L - Concept C1 - NCLH'!N30</f>
        <v>0.18474074074074076</v>
      </c>
      <c r="V35" s="307">
        <f>'P&amp;L - Concept C1 - NCLH'!O30</f>
        <v>0.18474074074074076</v>
      </c>
      <c r="W35" s="307">
        <f>'P&amp;L - Concept C1 - NCLH'!P30</f>
        <v>0.18474074074074076</v>
      </c>
      <c r="X35" s="307">
        <f>'P&amp;L - Concept C1 - NCLH'!Q30</f>
        <v>0.18474074074074076</v>
      </c>
      <c r="Y35" s="307">
        <f>'P&amp;L - Concept C1 - NCLH'!R30</f>
        <v>0.18474074074074076</v>
      </c>
      <c r="Z35" s="307">
        <f>'P&amp;L - Concept C1 - NCLH'!S30</f>
        <v>0.18474074074074076</v>
      </c>
      <c r="AA35" s="307">
        <f>'P&amp;L - Concept C1 - NCLH'!T30</f>
        <v>0.18474074074074076</v>
      </c>
      <c r="AB35" s="307">
        <f>'P&amp;L - Concept C1 - NCLH'!U30</f>
        <v>0.18474074074074076</v>
      </c>
      <c r="AC35" s="307">
        <f>'P&amp;L - Concept C1 - NCLH'!V30</f>
        <v>0.18474074074074076</v>
      </c>
      <c r="AD35" s="307">
        <f>'P&amp;L - Concept C1 - NCLH'!W30</f>
        <v>0.18474074074074076</v>
      </c>
      <c r="AE35" s="307">
        <f>'P&amp;L - Concept C1 - NCLH'!X30</f>
        <v>0.18474074074074076</v>
      </c>
    </row>
    <row r="36" spans="1:31" s="96" customFormat="1">
      <c r="A36" s="54" t="s">
        <v>226</v>
      </c>
      <c r="B36" s="487"/>
      <c r="C36" s="487"/>
      <c r="K36" s="486">
        <f>'P&amp;L - Concept C1 - NCLH'!D31</f>
        <v>0</v>
      </c>
      <c r="L36" s="313">
        <f>'P&amp;L - Concept C1 - NCLH'!E31</f>
        <v>0</v>
      </c>
      <c r="M36" s="313">
        <f>'P&amp;L - Concept C1 - NCLH'!F31</f>
        <v>125</v>
      </c>
      <c r="N36" s="313">
        <f>'P&amp;L - Concept C1 - NCLH'!G31</f>
        <v>125</v>
      </c>
      <c r="O36" s="313">
        <f>'P&amp;L - Concept C1 - NCLH'!H31</f>
        <v>125</v>
      </c>
      <c r="P36" s="313">
        <f>'P&amp;L - Concept C1 - NCLH'!I31</f>
        <v>125</v>
      </c>
      <c r="Q36" s="313">
        <f>'P&amp;L - Concept C1 - NCLH'!J31</f>
        <v>125</v>
      </c>
      <c r="R36" s="313">
        <f>'P&amp;L - Concept C1 - NCLH'!K31</f>
        <v>125</v>
      </c>
      <c r="S36" s="313">
        <f>'P&amp;L - Concept C1 - NCLH'!L31</f>
        <v>125</v>
      </c>
      <c r="T36" s="313">
        <f>'P&amp;L - Concept C1 - NCLH'!M31</f>
        <v>125</v>
      </c>
      <c r="U36" s="313">
        <f>'P&amp;L - Concept C1 - NCLH'!N31</f>
        <v>125</v>
      </c>
      <c r="V36" s="313">
        <f>'P&amp;L - Concept C1 - NCLH'!O31</f>
        <v>125</v>
      </c>
      <c r="W36" s="313">
        <f>'P&amp;L - Concept C1 - NCLH'!P31</f>
        <v>125</v>
      </c>
      <c r="X36" s="313">
        <f>'P&amp;L - Concept C1 - NCLH'!Q31</f>
        <v>125</v>
      </c>
      <c r="Y36" s="313">
        <f>'P&amp;L - Concept C1 - NCLH'!R31</f>
        <v>125</v>
      </c>
      <c r="Z36" s="313">
        <f>'P&amp;L - Concept C1 - NCLH'!S31</f>
        <v>125</v>
      </c>
      <c r="AA36" s="313">
        <f>'P&amp;L - Concept C1 - NCLH'!T31</f>
        <v>125</v>
      </c>
      <c r="AB36" s="313">
        <f>'P&amp;L - Concept C1 - NCLH'!U31</f>
        <v>125</v>
      </c>
      <c r="AC36" s="313">
        <f>'P&amp;L - Concept C1 - NCLH'!V31</f>
        <v>125</v>
      </c>
      <c r="AD36" s="313">
        <f>'P&amp;L - Concept C1 - NCLH'!W31</f>
        <v>125</v>
      </c>
      <c r="AE36" s="313">
        <f>'P&amp;L - Concept C1 - NCLH'!X31</f>
        <v>125</v>
      </c>
    </row>
    <row r="37" spans="1:31" s="18" customFormat="1">
      <c r="A37" s="54"/>
      <c r="B37" s="21"/>
      <c r="C37" s="21"/>
      <c r="K37" s="486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</row>
    <row r="38" spans="1:31" s="96" customFormat="1">
      <c r="A38" s="54" t="s">
        <v>206</v>
      </c>
      <c r="B38" s="487"/>
      <c r="C38" s="487"/>
      <c r="K38" s="486">
        <f>'P&amp;L - Concept C1 - NCLH'!D33</f>
        <v>0</v>
      </c>
      <c r="L38" s="313">
        <f>'P&amp;L - Concept C1 - NCLH'!E33</f>
        <v>0</v>
      </c>
      <c r="M38" s="313">
        <f>'P&amp;L - Concept C1 - NCLH'!F33</f>
        <v>1873.6191059992639</v>
      </c>
      <c r="N38" s="313">
        <f>'P&amp;L - Concept C1 - NCLH'!G33</f>
        <v>1873.6191059992639</v>
      </c>
      <c r="O38" s="313">
        <f>'P&amp;L - Concept C1 - NCLH'!H33</f>
        <v>1873.6191059992639</v>
      </c>
      <c r="P38" s="313">
        <f>'P&amp;L - Concept C1 - NCLH'!I33</f>
        <v>1873.6191059992639</v>
      </c>
      <c r="Q38" s="313">
        <f>'P&amp;L - Concept C1 - NCLH'!J33</f>
        <v>1873.6191059992639</v>
      </c>
      <c r="R38" s="313">
        <f>'P&amp;L - Concept C1 - NCLH'!K33</f>
        <v>1873.6191059992639</v>
      </c>
      <c r="S38" s="313">
        <f>'P&amp;L - Concept C1 - NCLH'!L33</f>
        <v>1873.6191059992639</v>
      </c>
      <c r="T38" s="313">
        <f>'P&amp;L - Concept C1 - NCLH'!M33</f>
        <v>1873.6191059992639</v>
      </c>
      <c r="U38" s="313">
        <f>'P&amp;L - Concept C1 - NCLH'!N33</f>
        <v>1873.6191059992639</v>
      </c>
      <c r="V38" s="313">
        <f>'P&amp;L - Concept C1 - NCLH'!O33</f>
        <v>1873.6191059992639</v>
      </c>
      <c r="W38" s="313">
        <f>'P&amp;L - Concept C1 - NCLH'!P33</f>
        <v>1873.6191059992639</v>
      </c>
      <c r="X38" s="313">
        <f>'P&amp;L - Concept C1 - NCLH'!Q33</f>
        <v>1873.6191059992639</v>
      </c>
      <c r="Y38" s="313">
        <f>'P&amp;L - Concept C1 - NCLH'!R33</f>
        <v>1873.6191059992639</v>
      </c>
      <c r="Z38" s="313">
        <f>'P&amp;L - Concept C1 - NCLH'!S33</f>
        <v>1873.6191059992639</v>
      </c>
      <c r="AA38" s="313">
        <f>'P&amp;L - Concept C1 - NCLH'!T33</f>
        <v>1873.6191059992639</v>
      </c>
      <c r="AB38" s="313">
        <f>'P&amp;L - Concept C1 - NCLH'!U33</f>
        <v>1873.6191059992639</v>
      </c>
      <c r="AC38" s="313">
        <f>'P&amp;L - Concept C1 - NCLH'!V33</f>
        <v>1873.6191059992639</v>
      </c>
      <c r="AD38" s="313">
        <f>'P&amp;L - Concept C1 - NCLH'!W33</f>
        <v>1873.6191059992639</v>
      </c>
      <c r="AE38" s="313">
        <f>'P&amp;L - Concept C1 - NCLH'!X33</f>
        <v>1873.6191059992639</v>
      </c>
    </row>
    <row r="39" spans="1:31" s="96" customFormat="1">
      <c r="A39" s="54" t="s">
        <v>207</v>
      </c>
      <c r="B39" s="487"/>
      <c r="C39" s="487"/>
      <c r="K39" s="486">
        <f>'P&amp;L - Concept C1 - NCLH'!D34</f>
        <v>0</v>
      </c>
      <c r="L39" s="313">
        <f>'P&amp;L - Concept C1 - NCLH'!E34</f>
        <v>0</v>
      </c>
      <c r="M39" s="313">
        <f>'P&amp;L - Concept C1 - NCLH'!F34</f>
        <v>5500</v>
      </c>
      <c r="N39" s="313">
        <f>'P&amp;L - Concept C1 - NCLH'!G34</f>
        <v>5500</v>
      </c>
      <c r="O39" s="313">
        <f>'P&amp;L - Concept C1 - NCLH'!H34</f>
        <v>5500</v>
      </c>
      <c r="P39" s="313">
        <f>'P&amp;L - Concept C1 - NCLH'!I34</f>
        <v>5500</v>
      </c>
      <c r="Q39" s="313">
        <f>'P&amp;L - Concept C1 - NCLH'!J34</f>
        <v>5500</v>
      </c>
      <c r="R39" s="313">
        <f>'P&amp;L - Concept C1 - NCLH'!K34</f>
        <v>5500</v>
      </c>
      <c r="S39" s="313">
        <f>'P&amp;L - Concept C1 - NCLH'!L34</f>
        <v>5500</v>
      </c>
      <c r="T39" s="313">
        <f>'P&amp;L - Concept C1 - NCLH'!M34</f>
        <v>5500</v>
      </c>
      <c r="U39" s="313">
        <f>'P&amp;L - Concept C1 - NCLH'!N34</f>
        <v>5500</v>
      </c>
      <c r="V39" s="313">
        <f>'P&amp;L - Concept C1 - NCLH'!O34</f>
        <v>5500</v>
      </c>
      <c r="W39" s="313">
        <f>'P&amp;L - Concept C1 - NCLH'!P34</f>
        <v>5500</v>
      </c>
      <c r="X39" s="313">
        <f>'P&amp;L - Concept C1 - NCLH'!Q34</f>
        <v>5500</v>
      </c>
      <c r="Y39" s="313">
        <f>'P&amp;L - Concept C1 - NCLH'!R34</f>
        <v>5500</v>
      </c>
      <c r="Z39" s="313">
        <f>'P&amp;L - Concept C1 - NCLH'!S34</f>
        <v>5500</v>
      </c>
      <c r="AA39" s="313">
        <f>'P&amp;L - Concept C1 - NCLH'!T34</f>
        <v>5500</v>
      </c>
      <c r="AB39" s="313">
        <f>'P&amp;L - Concept C1 - NCLH'!U34</f>
        <v>5500</v>
      </c>
      <c r="AC39" s="313">
        <f>'P&amp;L - Concept C1 - NCLH'!V34</f>
        <v>5500</v>
      </c>
      <c r="AD39" s="313">
        <f>'P&amp;L - Concept C1 - NCLH'!W34</f>
        <v>5500</v>
      </c>
      <c r="AE39" s="313">
        <f>'P&amp;L - Concept C1 - NCLH'!X34</f>
        <v>5500</v>
      </c>
    </row>
    <row r="40" spans="1:31" s="96" customFormat="1">
      <c r="A40" s="54" t="s">
        <v>221</v>
      </c>
      <c r="B40" s="487"/>
      <c r="C40" s="487"/>
      <c r="K40" s="486">
        <f>'P&amp;L - Concept C1 - NCLH'!D35</f>
        <v>0</v>
      </c>
      <c r="L40" s="313">
        <f>'P&amp;L - Concept C1 - NCLH'!E35</f>
        <v>400</v>
      </c>
      <c r="M40" s="313">
        <f>'P&amp;L - Concept C1 - NCLH'!F35</f>
        <v>466.66666666666669</v>
      </c>
      <c r="N40" s="313">
        <f>'P&amp;L - Concept C1 - NCLH'!G35</f>
        <v>533.33333333333337</v>
      </c>
      <c r="O40" s="313">
        <f>'P&amp;L - Concept C1 - NCLH'!H35</f>
        <v>533.33333333333337</v>
      </c>
      <c r="P40" s="313">
        <f>'P&amp;L - Concept C1 - NCLH'!I35</f>
        <v>533.33333333333337</v>
      </c>
      <c r="Q40" s="313">
        <f>'P&amp;L - Concept C1 - NCLH'!J35</f>
        <v>533.33333333333337</v>
      </c>
      <c r="R40" s="313">
        <f>'P&amp;L - Concept C1 - NCLH'!K35</f>
        <v>533.33333333333337</v>
      </c>
      <c r="S40" s="313">
        <f>'P&amp;L - Concept C1 - NCLH'!L35</f>
        <v>533.33333333333337</v>
      </c>
      <c r="T40" s="313">
        <f>'P&amp;L - Concept C1 - NCLH'!M35</f>
        <v>533.33333333333337</v>
      </c>
      <c r="U40" s="313">
        <f>'P&amp;L - Concept C1 - NCLH'!N35</f>
        <v>533.33333333333337</v>
      </c>
      <c r="V40" s="313">
        <f>'P&amp;L - Concept C1 - NCLH'!O35</f>
        <v>533.33333333333337</v>
      </c>
      <c r="W40" s="313">
        <f>'P&amp;L - Concept C1 - NCLH'!P35</f>
        <v>533.33333333333337</v>
      </c>
      <c r="X40" s="313">
        <f>'P&amp;L - Concept C1 - NCLH'!Q35</f>
        <v>533.33333333333337</v>
      </c>
      <c r="Y40" s="313">
        <f>'P&amp;L - Concept C1 - NCLH'!R35</f>
        <v>533.33333333333337</v>
      </c>
      <c r="Z40" s="313">
        <f>'P&amp;L - Concept C1 - NCLH'!S35</f>
        <v>533.33333333333337</v>
      </c>
      <c r="AA40" s="313">
        <f>'P&amp;L - Concept C1 - NCLH'!T35</f>
        <v>533.33333333333337</v>
      </c>
      <c r="AB40" s="313">
        <f>'P&amp;L - Concept C1 - NCLH'!U35</f>
        <v>533.33333333333337</v>
      </c>
      <c r="AC40" s="313">
        <f>'P&amp;L - Concept C1 - NCLH'!V35</f>
        <v>533.33333333333337</v>
      </c>
      <c r="AD40" s="313">
        <f>'P&amp;L - Concept C1 - NCLH'!W35</f>
        <v>533.33333333333337</v>
      </c>
      <c r="AE40" s="313">
        <f>'P&amp;L - Concept C1 - NCLH'!X35</f>
        <v>533.33333333333337</v>
      </c>
    </row>
    <row r="41" spans="1:31" s="96" customFormat="1">
      <c r="A41" s="54" t="s">
        <v>222</v>
      </c>
      <c r="B41" s="487"/>
      <c r="C41" s="487"/>
      <c r="K41" s="486">
        <f>'P&amp;L - Concept C1 - NCLH'!D36</f>
        <v>0</v>
      </c>
      <c r="L41" s="313">
        <f>'P&amp;L - Concept C1 - NCLH'!E36</f>
        <v>800</v>
      </c>
      <c r="M41" s="313">
        <f>'P&amp;L - Concept C1 - NCLH'!F36</f>
        <v>800</v>
      </c>
      <c r="N41" s="313">
        <f>'P&amp;L - Concept C1 - NCLH'!G36</f>
        <v>800</v>
      </c>
      <c r="O41" s="313">
        <f>'P&amp;L - Concept C1 - NCLH'!H36</f>
        <v>800</v>
      </c>
      <c r="P41" s="313">
        <f>'P&amp;L - Concept C1 - NCLH'!I36</f>
        <v>800</v>
      </c>
      <c r="Q41" s="313">
        <f>'P&amp;L - Concept C1 - NCLH'!J36</f>
        <v>800</v>
      </c>
      <c r="R41" s="313">
        <f>'P&amp;L - Concept C1 - NCLH'!K36</f>
        <v>800</v>
      </c>
      <c r="S41" s="313">
        <f>'P&amp;L - Concept C1 - NCLH'!L36</f>
        <v>800</v>
      </c>
      <c r="T41" s="313">
        <f>'P&amp;L - Concept C1 - NCLH'!M36</f>
        <v>800</v>
      </c>
      <c r="U41" s="313">
        <f>'P&amp;L - Concept C1 - NCLH'!N36</f>
        <v>800</v>
      </c>
      <c r="V41" s="313">
        <f>'P&amp;L - Concept C1 - NCLH'!O36</f>
        <v>800</v>
      </c>
      <c r="W41" s="313">
        <f>'P&amp;L - Concept C1 - NCLH'!P36</f>
        <v>800</v>
      </c>
      <c r="X41" s="313">
        <f>'P&amp;L - Concept C1 - NCLH'!Q36</f>
        <v>800</v>
      </c>
      <c r="Y41" s="313">
        <f>'P&amp;L - Concept C1 - NCLH'!R36</f>
        <v>800</v>
      </c>
      <c r="Z41" s="313">
        <f>'P&amp;L - Concept C1 - NCLH'!S36</f>
        <v>800</v>
      </c>
      <c r="AA41" s="313">
        <f>'P&amp;L - Concept C1 - NCLH'!T36</f>
        <v>800</v>
      </c>
      <c r="AB41" s="313">
        <f>'P&amp;L - Concept C1 - NCLH'!U36</f>
        <v>800</v>
      </c>
      <c r="AC41" s="313">
        <f>'P&amp;L - Concept C1 - NCLH'!V36</f>
        <v>800</v>
      </c>
      <c r="AD41" s="313">
        <f>'P&amp;L - Concept C1 - NCLH'!W36</f>
        <v>800</v>
      </c>
      <c r="AE41" s="313">
        <f>'P&amp;L - Concept C1 - NCLH'!X36</f>
        <v>800</v>
      </c>
    </row>
    <row r="42" spans="1:31" s="96" customFormat="1">
      <c r="A42" s="54" t="s">
        <v>208</v>
      </c>
      <c r="B42" s="487"/>
      <c r="C42" s="487"/>
      <c r="K42" s="486">
        <f>'P&amp;L - Concept C1 - NCLH'!D37</f>
        <v>0</v>
      </c>
      <c r="L42" s="313">
        <f>'P&amp;L - Concept C1 - NCLH'!E37</f>
        <v>800</v>
      </c>
      <c r="M42" s="313">
        <f>'P&amp;L - Concept C1 - NCLH'!F37</f>
        <v>6300</v>
      </c>
      <c r="N42" s="313">
        <f>'P&amp;L - Concept C1 - NCLH'!G37</f>
        <v>6300</v>
      </c>
      <c r="O42" s="313">
        <f>'P&amp;L - Concept C1 - NCLH'!H37</f>
        <v>6300</v>
      </c>
      <c r="P42" s="313">
        <f>'P&amp;L - Concept C1 - NCLH'!I37</f>
        <v>6300</v>
      </c>
      <c r="Q42" s="313">
        <f>'P&amp;L - Concept C1 - NCLH'!J37</f>
        <v>6300</v>
      </c>
      <c r="R42" s="313">
        <f>'P&amp;L - Concept C1 - NCLH'!K37</f>
        <v>6300</v>
      </c>
      <c r="S42" s="313">
        <f>'P&amp;L - Concept C1 - NCLH'!L37</f>
        <v>6300</v>
      </c>
      <c r="T42" s="313">
        <f>'P&amp;L - Concept C1 - NCLH'!M37</f>
        <v>6300</v>
      </c>
      <c r="U42" s="313">
        <f>'P&amp;L - Concept C1 - NCLH'!N37</f>
        <v>6300</v>
      </c>
      <c r="V42" s="313">
        <f>'P&amp;L - Concept C1 - NCLH'!O37</f>
        <v>6300</v>
      </c>
      <c r="W42" s="313">
        <f>'P&amp;L - Concept C1 - NCLH'!P37</f>
        <v>6300</v>
      </c>
      <c r="X42" s="313">
        <f>'P&amp;L - Concept C1 - NCLH'!Q37</f>
        <v>6300</v>
      </c>
      <c r="Y42" s="313">
        <f>'P&amp;L - Concept C1 - NCLH'!R37</f>
        <v>6300</v>
      </c>
      <c r="Z42" s="313">
        <f>'P&amp;L - Concept C1 - NCLH'!S37</f>
        <v>6300</v>
      </c>
      <c r="AA42" s="313">
        <f>'P&amp;L - Concept C1 - NCLH'!T37</f>
        <v>6300</v>
      </c>
      <c r="AB42" s="313">
        <f>'P&amp;L - Concept C1 - NCLH'!U37</f>
        <v>6300</v>
      </c>
      <c r="AC42" s="313">
        <f>'P&amp;L - Concept C1 - NCLH'!V37</f>
        <v>6300</v>
      </c>
      <c r="AD42" s="313">
        <f>'P&amp;L - Concept C1 - NCLH'!W37</f>
        <v>6300</v>
      </c>
      <c r="AE42" s="313">
        <f>'P&amp;L - Concept C1 - NCLH'!X37</f>
        <v>6300</v>
      </c>
    </row>
    <row r="43" spans="1:31" s="96" customFormat="1">
      <c r="A43" s="54"/>
      <c r="B43" s="487"/>
      <c r="C43" s="487"/>
      <c r="K43" s="486"/>
      <c r="L43" s="313"/>
      <c r="M43" s="313"/>
      <c r="N43" s="313"/>
      <c r="O43" s="313"/>
      <c r="P43" s="313"/>
      <c r="Q43" s="313"/>
      <c r="R43" s="313"/>
      <c r="S43" s="313"/>
      <c r="T43" s="313"/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</row>
    <row r="44" spans="1:31" s="96" customFormat="1">
      <c r="A44" s="54" t="s">
        <v>223</v>
      </c>
      <c r="B44" s="583"/>
      <c r="C44" s="583"/>
      <c r="K44" s="486">
        <f>'P&amp;L - Concept C1 - NCLH'!D39</f>
        <v>0</v>
      </c>
      <c r="L44" s="313">
        <f>'P&amp;L - Concept C1 - NCLH'!E39</f>
        <v>160.26666666666668</v>
      </c>
      <c r="M44" s="313">
        <f>'P&amp;L - Concept C1 - NCLH'!F39</f>
        <v>187</v>
      </c>
      <c r="N44" s="313">
        <f>'P&amp;L - Concept C1 - NCLH'!G39</f>
        <v>213.73333333333332</v>
      </c>
      <c r="O44" s="313">
        <f>'P&amp;L - Concept C1 - NCLH'!H39</f>
        <v>213.73333333333332</v>
      </c>
      <c r="P44" s="313">
        <f>'P&amp;L - Concept C1 - NCLH'!I39</f>
        <v>213.73333333333332</v>
      </c>
      <c r="Q44" s="313">
        <f>'P&amp;L - Concept C1 - NCLH'!J39</f>
        <v>213.73333333333332</v>
      </c>
      <c r="R44" s="313">
        <f>'P&amp;L - Concept C1 - NCLH'!K39</f>
        <v>213.73333333333332</v>
      </c>
      <c r="S44" s="313">
        <f>'P&amp;L - Concept C1 - NCLH'!L39</f>
        <v>213.73333333333332</v>
      </c>
      <c r="T44" s="313">
        <f>'P&amp;L - Concept C1 - NCLH'!M39</f>
        <v>213.73333333333332</v>
      </c>
      <c r="U44" s="313">
        <f>'P&amp;L - Concept C1 - NCLH'!N39</f>
        <v>213.73333333333332</v>
      </c>
      <c r="V44" s="313">
        <f>'P&amp;L - Concept C1 - NCLH'!O39</f>
        <v>213.73333333333332</v>
      </c>
      <c r="W44" s="313">
        <f>'P&amp;L - Concept C1 - NCLH'!P39</f>
        <v>213.73333333333332</v>
      </c>
      <c r="X44" s="313">
        <f>'P&amp;L - Concept C1 - NCLH'!Q39</f>
        <v>213.73333333333332</v>
      </c>
      <c r="Y44" s="313">
        <f>'P&amp;L - Concept C1 - NCLH'!R39</f>
        <v>213.73333333333332</v>
      </c>
      <c r="Z44" s="313">
        <f>'P&amp;L - Concept C1 - NCLH'!S39</f>
        <v>213.73333333333332</v>
      </c>
      <c r="AA44" s="313">
        <f>'P&amp;L - Concept C1 - NCLH'!T39</f>
        <v>213.73333333333332</v>
      </c>
      <c r="AB44" s="313">
        <f>'P&amp;L - Concept C1 - NCLH'!U39</f>
        <v>213.73333333333332</v>
      </c>
      <c r="AC44" s="313">
        <f>'P&amp;L - Concept C1 - NCLH'!V39</f>
        <v>213.73333333333332</v>
      </c>
      <c r="AD44" s="313">
        <f>'P&amp;L - Concept C1 - NCLH'!W39</f>
        <v>213.73333333333332</v>
      </c>
      <c r="AE44" s="313">
        <f>'P&amp;L - Concept C1 - NCLH'!X39</f>
        <v>213.73333333333332</v>
      </c>
    </row>
    <row r="45" spans="1:31" s="18" customFormat="1">
      <c r="A45" s="54"/>
      <c r="B45" s="74"/>
      <c r="C45" s="74"/>
      <c r="K45" s="492"/>
      <c r="L45" s="313"/>
      <c r="M45" s="313"/>
      <c r="N45" s="313"/>
      <c r="O45" s="313"/>
      <c r="P45" s="313"/>
      <c r="Q45" s="313"/>
      <c r="R45" s="313"/>
      <c r="S45" s="313"/>
      <c r="T45" s="313"/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</row>
    <row r="46" spans="1:31" s="18" customFormat="1">
      <c r="A46" s="293" t="s">
        <v>26</v>
      </c>
      <c r="B46" s="74"/>
      <c r="C46" s="74"/>
      <c r="K46" s="492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</row>
    <row r="47" spans="1:31" s="18" customFormat="1">
      <c r="A47" s="54" t="s">
        <v>264</v>
      </c>
      <c r="B47" s="277"/>
      <c r="C47" s="74"/>
      <c r="K47" s="486">
        <f>'P&amp;L - Concept C1 - NCLH'!D42</f>
        <v>0</v>
      </c>
      <c r="L47" s="313">
        <f>'P&amp;L - Concept C1 - NCLH'!E42</f>
        <v>13290.435763888891</v>
      </c>
      <c r="M47" s="313">
        <f>'P&amp;L - Concept C1 - NCLH'!F42</f>
        <v>13290.435763888891</v>
      </c>
      <c r="N47" s="313">
        <f>'P&amp;L - Concept C1 - NCLH'!G42</f>
        <v>13290.435763888891</v>
      </c>
      <c r="O47" s="313">
        <f>'P&amp;L - Concept C1 - NCLH'!H42</f>
        <v>13290.435763888891</v>
      </c>
      <c r="P47" s="313">
        <f>'P&amp;L - Concept C1 - NCLH'!I42</f>
        <v>13290.435763888891</v>
      </c>
      <c r="Q47" s="313">
        <f>'P&amp;L - Concept C1 - NCLH'!J42</f>
        <v>13290.435763888891</v>
      </c>
      <c r="R47" s="313">
        <f>'P&amp;L - Concept C1 - NCLH'!K42</f>
        <v>13290.435763888891</v>
      </c>
      <c r="S47" s="313">
        <f>'P&amp;L - Concept C1 - NCLH'!L42</f>
        <v>13290.435763888891</v>
      </c>
      <c r="T47" s="313">
        <f>'P&amp;L - Concept C1 - NCLH'!M42</f>
        <v>13290.435763888891</v>
      </c>
      <c r="U47" s="313">
        <f>'P&amp;L - Concept C1 - NCLH'!N42</f>
        <v>13290.435763888891</v>
      </c>
      <c r="V47" s="313">
        <f>'P&amp;L - Concept C1 - NCLH'!O42</f>
        <v>13290.435763888891</v>
      </c>
      <c r="W47" s="313">
        <f>'P&amp;L - Concept C1 - NCLH'!P42</f>
        <v>13290.435763888891</v>
      </c>
      <c r="X47" s="313">
        <f>'P&amp;L - Concept C1 - NCLH'!Q42</f>
        <v>13290.435763888891</v>
      </c>
      <c r="Y47" s="313">
        <f>'P&amp;L - Concept C1 - NCLH'!R42</f>
        <v>13290.435763888891</v>
      </c>
      <c r="Z47" s="313">
        <f>'P&amp;L - Concept C1 - NCLH'!S42</f>
        <v>13290.435763888891</v>
      </c>
      <c r="AA47" s="313">
        <f>'P&amp;L - Concept C1 - NCLH'!T42</f>
        <v>13290.435763888891</v>
      </c>
      <c r="AB47" s="313">
        <f>'P&amp;L - Concept C1 - NCLH'!U42</f>
        <v>13290.435763888891</v>
      </c>
      <c r="AC47" s="313">
        <f>'P&amp;L - Concept C1 - NCLH'!V42</f>
        <v>13290.435763888891</v>
      </c>
      <c r="AD47" s="313">
        <f>'P&amp;L - Concept C1 - NCLH'!W42</f>
        <v>13290.435763888891</v>
      </c>
      <c r="AE47" s="313">
        <f>'P&amp;L - Concept C1 - NCLH'!X42</f>
        <v>13290.435763888891</v>
      </c>
    </row>
    <row r="48" spans="1:31" s="18" customFormat="1">
      <c r="A48" s="54" t="s">
        <v>267</v>
      </c>
      <c r="B48" s="277"/>
      <c r="C48" s="74"/>
      <c r="K48" s="486">
        <f>'P&amp;L - Concept C1 - NCLH'!D43</f>
        <v>0</v>
      </c>
      <c r="L48" s="313">
        <f>'P&amp;L - Concept C1 - NCLH'!E43</f>
        <v>13967.333333333327</v>
      </c>
      <c r="M48" s="313">
        <f>'P&amp;L - Concept C1 - NCLH'!F43</f>
        <v>13967.333333333327</v>
      </c>
      <c r="N48" s="313">
        <f>'P&amp;L - Concept C1 - NCLH'!G43</f>
        <v>13967.333333333327</v>
      </c>
      <c r="O48" s="313">
        <f>'P&amp;L - Concept C1 - NCLH'!H43</f>
        <v>13967.333333333327</v>
      </c>
      <c r="P48" s="313">
        <f>'P&amp;L - Concept C1 - NCLH'!I43</f>
        <v>13967.333333333327</v>
      </c>
      <c r="Q48" s="313">
        <f>'P&amp;L - Concept C1 - NCLH'!J43</f>
        <v>13967.333333333327</v>
      </c>
      <c r="R48" s="313">
        <f>'P&amp;L - Concept C1 - NCLH'!K43</f>
        <v>13967.333333333327</v>
      </c>
      <c r="S48" s="313">
        <f>'P&amp;L - Concept C1 - NCLH'!L43</f>
        <v>13967.333333333327</v>
      </c>
      <c r="T48" s="313">
        <f>'P&amp;L - Concept C1 - NCLH'!M43</f>
        <v>13967.333333333327</v>
      </c>
      <c r="U48" s="313">
        <f>'P&amp;L - Concept C1 - NCLH'!N43</f>
        <v>13967.333333333327</v>
      </c>
      <c r="V48" s="313">
        <f>'P&amp;L - Concept C1 - NCLH'!O43</f>
        <v>13967.333333333327</v>
      </c>
      <c r="W48" s="313">
        <f>'P&amp;L - Concept C1 - NCLH'!P43</f>
        <v>13967.333333333327</v>
      </c>
      <c r="X48" s="313">
        <f>'P&amp;L - Concept C1 - NCLH'!Q43</f>
        <v>13967.333333333327</v>
      </c>
      <c r="Y48" s="313">
        <f>'P&amp;L - Concept C1 - NCLH'!R43</f>
        <v>13967.333333333327</v>
      </c>
      <c r="Z48" s="313">
        <f>'P&amp;L - Concept C1 - NCLH'!S43</f>
        <v>13967.333333333327</v>
      </c>
      <c r="AA48" s="313">
        <f>'P&amp;L - Concept C1 - NCLH'!T43</f>
        <v>13967.333333333327</v>
      </c>
      <c r="AB48" s="313">
        <f>'P&amp;L - Concept C1 - NCLH'!U43</f>
        <v>13967.333333333327</v>
      </c>
      <c r="AC48" s="313">
        <f>'P&amp;L - Concept C1 - NCLH'!V43</f>
        <v>13967.333333333327</v>
      </c>
      <c r="AD48" s="313">
        <f>'P&amp;L - Concept C1 - NCLH'!W43</f>
        <v>13967.333333333327</v>
      </c>
      <c r="AE48" s="313">
        <f>'P&amp;L - Concept C1 - NCLH'!X43</f>
        <v>13967.333333333327</v>
      </c>
    </row>
    <row r="49" spans="1:32 16384:16384" s="96" customFormat="1">
      <c r="A49" s="54" t="s">
        <v>274</v>
      </c>
      <c r="B49" s="435"/>
      <c r="C49" s="583"/>
      <c r="K49" s="486">
        <f>'P&amp;L - Concept C1 - NCLH'!D44</f>
        <v>0</v>
      </c>
      <c r="L49" s="313">
        <f>'P&amp;L - Concept C1 - NCLH'!E44</f>
        <v>27257.769097222219</v>
      </c>
      <c r="M49" s="313">
        <f>'P&amp;L - Concept C1 - NCLH'!F44</f>
        <v>27257.769097222219</v>
      </c>
      <c r="N49" s="313">
        <f>'P&amp;L - Concept C1 - NCLH'!G44</f>
        <v>27257.769097222219</v>
      </c>
      <c r="O49" s="313">
        <f>'P&amp;L - Concept C1 - NCLH'!H44</f>
        <v>27257.769097222219</v>
      </c>
      <c r="P49" s="313">
        <f>'P&amp;L - Concept C1 - NCLH'!I44</f>
        <v>27257.769097222219</v>
      </c>
      <c r="Q49" s="313">
        <f>'P&amp;L - Concept C1 - NCLH'!J44</f>
        <v>27257.769097222219</v>
      </c>
      <c r="R49" s="313">
        <f>'P&amp;L - Concept C1 - NCLH'!K44</f>
        <v>27257.769097222219</v>
      </c>
      <c r="S49" s="313">
        <f>'P&amp;L - Concept C1 - NCLH'!L44</f>
        <v>27257.769097222219</v>
      </c>
      <c r="T49" s="313">
        <f>'P&amp;L - Concept C1 - NCLH'!M44</f>
        <v>27257.769097222219</v>
      </c>
      <c r="U49" s="313">
        <f>'P&amp;L - Concept C1 - NCLH'!N44</f>
        <v>27257.769097222219</v>
      </c>
      <c r="V49" s="313">
        <f>'P&amp;L - Concept C1 - NCLH'!O44</f>
        <v>27257.769097222219</v>
      </c>
      <c r="W49" s="313">
        <f>'P&amp;L - Concept C1 - NCLH'!P44</f>
        <v>27257.769097222219</v>
      </c>
      <c r="X49" s="313">
        <f>'P&amp;L - Concept C1 - NCLH'!Q44</f>
        <v>27257.769097222219</v>
      </c>
      <c r="Y49" s="313">
        <f>'P&amp;L - Concept C1 - NCLH'!R44</f>
        <v>27257.769097222219</v>
      </c>
      <c r="Z49" s="313">
        <f>'P&amp;L - Concept C1 - NCLH'!S44</f>
        <v>27257.769097222219</v>
      </c>
      <c r="AA49" s="313">
        <f>'P&amp;L - Concept C1 - NCLH'!T44</f>
        <v>27257.769097222219</v>
      </c>
      <c r="AB49" s="313">
        <f>'P&amp;L - Concept C1 - NCLH'!U44</f>
        <v>27257.769097222219</v>
      </c>
      <c r="AC49" s="313">
        <f>'P&amp;L - Concept C1 - NCLH'!V44</f>
        <v>27257.769097222219</v>
      </c>
      <c r="AD49" s="313">
        <f>'P&amp;L - Concept C1 - NCLH'!W44</f>
        <v>27257.769097222219</v>
      </c>
      <c r="AE49" s="313">
        <f>'P&amp;L - Concept C1 - NCLH'!X44</f>
        <v>27257.769097222219</v>
      </c>
    </row>
    <row r="50" spans="1:32 16384:16384" s="18" customFormat="1">
      <c r="A50" s="54"/>
      <c r="B50" s="277"/>
      <c r="C50" s="74"/>
      <c r="K50" s="499"/>
      <c r="L50" s="313"/>
      <c r="M50" s="313"/>
      <c r="N50" s="313"/>
      <c r="O50" s="313"/>
      <c r="P50" s="313"/>
      <c r="Q50" s="313"/>
      <c r="R50" s="313"/>
      <c r="S50" s="313"/>
      <c r="T50" s="313"/>
      <c r="U50" s="313"/>
      <c r="V50" s="313"/>
      <c r="W50" s="313"/>
      <c r="X50" s="313"/>
      <c r="Y50" s="313"/>
      <c r="Z50" s="313"/>
      <c r="AA50" s="313"/>
      <c r="AB50" s="313"/>
      <c r="AC50" s="313"/>
      <c r="AD50" s="313"/>
      <c r="AE50" s="313"/>
    </row>
    <row r="51" spans="1:32 16384:16384" s="96" customFormat="1">
      <c r="A51" s="54" t="s">
        <v>224</v>
      </c>
      <c r="B51" s="435"/>
      <c r="C51" s="583"/>
      <c r="K51" s="486">
        <f>'P&amp;L - Concept C1 - NCLH'!D46</f>
        <v>0</v>
      </c>
      <c r="L51" s="496">
        <f>'P&amp;L - Concept C1 - NCLH'!E46</f>
        <v>3</v>
      </c>
      <c r="M51" s="496">
        <f>'P&amp;L - Concept C1 - NCLH'!F46</f>
        <v>3</v>
      </c>
      <c r="N51" s="496">
        <f>'P&amp;L - Concept C1 - NCLH'!G46</f>
        <v>3</v>
      </c>
      <c r="O51" s="496">
        <f>'P&amp;L - Concept C1 - NCLH'!H46</f>
        <v>3</v>
      </c>
      <c r="P51" s="496">
        <f>'P&amp;L - Concept C1 - NCLH'!I46</f>
        <v>3</v>
      </c>
      <c r="Q51" s="496">
        <f>'P&amp;L - Concept C1 - NCLH'!J46</f>
        <v>3</v>
      </c>
      <c r="R51" s="496">
        <f>'P&amp;L - Concept C1 - NCLH'!K46</f>
        <v>3</v>
      </c>
      <c r="S51" s="496">
        <f>'P&amp;L - Concept C1 - NCLH'!L46</f>
        <v>3</v>
      </c>
      <c r="T51" s="496">
        <f>'P&amp;L - Concept C1 - NCLH'!M46</f>
        <v>3</v>
      </c>
      <c r="U51" s="496">
        <f>'P&amp;L - Concept C1 - NCLH'!N46</f>
        <v>3</v>
      </c>
      <c r="V51" s="496">
        <f>'P&amp;L - Concept C1 - NCLH'!O46</f>
        <v>3</v>
      </c>
      <c r="W51" s="496">
        <f>'P&amp;L - Concept C1 - NCLH'!P46</f>
        <v>3</v>
      </c>
      <c r="X51" s="496">
        <f>'P&amp;L - Concept C1 - NCLH'!Q46</f>
        <v>3</v>
      </c>
      <c r="Y51" s="496">
        <f>'P&amp;L - Concept C1 - NCLH'!R46</f>
        <v>3</v>
      </c>
      <c r="Z51" s="496">
        <f>'P&amp;L - Concept C1 - NCLH'!S46</f>
        <v>3</v>
      </c>
      <c r="AA51" s="496">
        <f>'P&amp;L - Concept C1 - NCLH'!T46</f>
        <v>3</v>
      </c>
      <c r="AB51" s="496">
        <f>'P&amp;L - Concept C1 - NCLH'!U46</f>
        <v>3</v>
      </c>
      <c r="AC51" s="496">
        <f>'P&amp;L - Concept C1 - NCLH'!V46</f>
        <v>3</v>
      </c>
      <c r="AD51" s="496">
        <f>'P&amp;L - Concept C1 - NCLH'!W46</f>
        <v>3</v>
      </c>
      <c r="AE51" s="496">
        <f>'P&amp;L - Concept C1 - NCLH'!X46</f>
        <v>3</v>
      </c>
    </row>
    <row r="52" spans="1:32 16384:16384" s="96" customFormat="1">
      <c r="A52" s="54" t="s">
        <v>225</v>
      </c>
      <c r="B52" s="435"/>
      <c r="C52" s="583"/>
      <c r="K52" s="486">
        <f>'P&amp;L - Concept C1 - NCLH'!D47</f>
        <v>0</v>
      </c>
      <c r="L52" s="496">
        <f>'P&amp;L - Concept C1 - NCLH'!E47</f>
        <v>1</v>
      </c>
      <c r="M52" s="496">
        <f>'P&amp;L - Concept C1 - NCLH'!F47</f>
        <v>1</v>
      </c>
      <c r="N52" s="496">
        <f>'P&amp;L - Concept C1 - NCLH'!G47</f>
        <v>1</v>
      </c>
      <c r="O52" s="496">
        <f>'P&amp;L - Concept C1 - NCLH'!H47</f>
        <v>1</v>
      </c>
      <c r="P52" s="496">
        <f>'P&amp;L - Concept C1 - NCLH'!I47</f>
        <v>1</v>
      </c>
      <c r="Q52" s="496">
        <f>'P&amp;L - Concept C1 - NCLH'!J47</f>
        <v>1</v>
      </c>
      <c r="R52" s="496">
        <f>'P&amp;L - Concept C1 - NCLH'!K47</f>
        <v>1</v>
      </c>
      <c r="S52" s="496">
        <f>'P&amp;L - Concept C1 - NCLH'!L47</f>
        <v>1</v>
      </c>
      <c r="T52" s="496">
        <f>'P&amp;L - Concept C1 - NCLH'!M47</f>
        <v>1</v>
      </c>
      <c r="U52" s="496">
        <f>'P&amp;L - Concept C1 - NCLH'!N47</f>
        <v>1</v>
      </c>
      <c r="V52" s="496">
        <f>'P&amp;L - Concept C1 - NCLH'!O47</f>
        <v>1</v>
      </c>
      <c r="W52" s="496">
        <f>'P&amp;L - Concept C1 - NCLH'!P47</f>
        <v>1</v>
      </c>
      <c r="X52" s="496">
        <f>'P&amp;L - Concept C1 - NCLH'!Q47</f>
        <v>1</v>
      </c>
      <c r="Y52" s="496">
        <f>'P&amp;L - Concept C1 - NCLH'!R47</f>
        <v>1</v>
      </c>
      <c r="Z52" s="496">
        <f>'P&amp;L - Concept C1 - NCLH'!S47</f>
        <v>1</v>
      </c>
      <c r="AA52" s="496">
        <f>'P&amp;L - Concept C1 - NCLH'!T47</f>
        <v>1</v>
      </c>
      <c r="AB52" s="496">
        <f>'P&amp;L - Concept C1 - NCLH'!U47</f>
        <v>1</v>
      </c>
      <c r="AC52" s="496">
        <f>'P&amp;L - Concept C1 - NCLH'!V47</f>
        <v>1</v>
      </c>
      <c r="AD52" s="496">
        <f>'P&amp;L - Concept C1 - NCLH'!W47</f>
        <v>1</v>
      </c>
      <c r="AE52" s="496">
        <f>'P&amp;L - Concept C1 - NCLH'!X47</f>
        <v>1</v>
      </c>
    </row>
    <row r="53" spans="1:32 16384:16384" s="18" customFormat="1">
      <c r="A53" s="54" t="s">
        <v>209</v>
      </c>
      <c r="B53" s="277"/>
      <c r="C53" s="74"/>
      <c r="K53" s="486">
        <f>'P&amp;L - Concept C1 - NCLH'!D48</f>
        <v>0</v>
      </c>
      <c r="L53" s="496">
        <f>'P&amp;L - Concept C1 - NCLH'!E48</f>
        <v>0.5</v>
      </c>
      <c r="M53" s="496">
        <f>'P&amp;L - Concept C1 - NCLH'!F48</f>
        <v>0.5</v>
      </c>
      <c r="N53" s="496">
        <f>'P&amp;L - Concept C1 - NCLH'!G48</f>
        <v>0.5</v>
      </c>
      <c r="O53" s="496">
        <f>'P&amp;L - Concept C1 - NCLH'!H48</f>
        <v>0.5</v>
      </c>
      <c r="P53" s="496">
        <f>'P&amp;L - Concept C1 - NCLH'!I48</f>
        <v>0.5</v>
      </c>
      <c r="Q53" s="496">
        <f>'P&amp;L - Concept C1 - NCLH'!J48</f>
        <v>0.5</v>
      </c>
      <c r="R53" s="496">
        <f>'P&amp;L - Concept C1 - NCLH'!K48</f>
        <v>0.5</v>
      </c>
      <c r="S53" s="496">
        <f>'P&amp;L - Concept C1 - NCLH'!L48</f>
        <v>0.5</v>
      </c>
      <c r="T53" s="496">
        <f>'P&amp;L - Concept C1 - NCLH'!M48</f>
        <v>0.5</v>
      </c>
      <c r="U53" s="496">
        <f>'P&amp;L - Concept C1 - NCLH'!N48</f>
        <v>0.5</v>
      </c>
      <c r="V53" s="496">
        <f>'P&amp;L - Concept C1 - NCLH'!O48</f>
        <v>0.5</v>
      </c>
      <c r="W53" s="496">
        <f>'P&amp;L - Concept C1 - NCLH'!P48</f>
        <v>0.5</v>
      </c>
      <c r="X53" s="496">
        <f>'P&amp;L - Concept C1 - NCLH'!Q48</f>
        <v>0.5</v>
      </c>
      <c r="Y53" s="496">
        <f>'P&amp;L - Concept C1 - NCLH'!R48</f>
        <v>0.5</v>
      </c>
      <c r="Z53" s="496">
        <f>'P&amp;L - Concept C1 - NCLH'!S48</f>
        <v>0.5</v>
      </c>
      <c r="AA53" s="496">
        <f>'P&amp;L - Concept C1 - NCLH'!T48</f>
        <v>0.5</v>
      </c>
      <c r="AB53" s="496">
        <f>'P&amp;L - Concept C1 - NCLH'!U48</f>
        <v>0.5</v>
      </c>
      <c r="AC53" s="496">
        <f>'P&amp;L - Concept C1 - NCLH'!V48</f>
        <v>0.5</v>
      </c>
      <c r="AD53" s="496">
        <f>'P&amp;L - Concept C1 - NCLH'!W48</f>
        <v>0.5</v>
      </c>
      <c r="AE53" s="496">
        <f>'P&amp;L - Concept C1 - NCLH'!X48</f>
        <v>0.5</v>
      </c>
    </row>
    <row r="54" spans="1:32 16384:16384" s="18" customFormat="1">
      <c r="A54" s="54" t="s">
        <v>289</v>
      </c>
      <c r="B54" s="277"/>
      <c r="C54" s="74"/>
      <c r="K54" s="486">
        <f>'P&amp;L - Concept C1 - NCLH'!D49</f>
        <v>0</v>
      </c>
      <c r="L54" s="496">
        <f>'P&amp;L - Concept C1 - NCLH'!E49</f>
        <v>1.5</v>
      </c>
      <c r="M54" s="496">
        <f>'P&amp;L - Concept C1 - NCLH'!F49</f>
        <v>1.5</v>
      </c>
      <c r="N54" s="496">
        <f>'P&amp;L - Concept C1 - NCLH'!G49</f>
        <v>1.5</v>
      </c>
      <c r="O54" s="496">
        <f>'P&amp;L - Concept C1 - NCLH'!H49</f>
        <v>1.5</v>
      </c>
      <c r="P54" s="496">
        <f>'P&amp;L - Concept C1 - NCLH'!I49</f>
        <v>1.5</v>
      </c>
      <c r="Q54" s="496">
        <f>'P&amp;L - Concept C1 - NCLH'!J49</f>
        <v>1.5</v>
      </c>
      <c r="R54" s="496">
        <f>'P&amp;L - Concept C1 - NCLH'!K49</f>
        <v>1.5</v>
      </c>
      <c r="S54" s="496">
        <f>'P&amp;L - Concept C1 - NCLH'!L49</f>
        <v>1.5</v>
      </c>
      <c r="T54" s="496">
        <f>'P&amp;L - Concept C1 - NCLH'!M49</f>
        <v>1.5</v>
      </c>
      <c r="U54" s="496">
        <f>'P&amp;L - Concept C1 - NCLH'!N49</f>
        <v>1.5</v>
      </c>
      <c r="V54" s="496">
        <f>'P&amp;L - Concept C1 - NCLH'!O49</f>
        <v>1.5</v>
      </c>
      <c r="W54" s="496">
        <f>'P&amp;L - Concept C1 - NCLH'!P49</f>
        <v>1.5</v>
      </c>
      <c r="X54" s="496">
        <f>'P&amp;L - Concept C1 - NCLH'!Q49</f>
        <v>1.5</v>
      </c>
      <c r="Y54" s="496">
        <f>'P&amp;L - Concept C1 - NCLH'!R49</f>
        <v>1.5</v>
      </c>
      <c r="Z54" s="496">
        <f>'P&amp;L - Concept C1 - NCLH'!S49</f>
        <v>1.5</v>
      </c>
      <c r="AA54" s="496">
        <f>'P&amp;L - Concept C1 - NCLH'!T49</f>
        <v>1.5</v>
      </c>
      <c r="AB54" s="496">
        <f>'P&amp;L - Concept C1 - NCLH'!U49</f>
        <v>1.5</v>
      </c>
      <c r="AC54" s="496">
        <f>'P&amp;L - Concept C1 - NCLH'!V49</f>
        <v>1.5</v>
      </c>
      <c r="AD54" s="496">
        <f>'P&amp;L - Concept C1 - NCLH'!W49</f>
        <v>1.5</v>
      </c>
      <c r="AE54" s="496">
        <f>'P&amp;L - Concept C1 - NCLH'!X49</f>
        <v>1.5</v>
      </c>
      <c r="XFD54" s="570">
        <f>SUM(K54:XFC54)</f>
        <v>30</v>
      </c>
    </row>
    <row r="55" spans="1:32 16384:16384" s="18" customFormat="1">
      <c r="A55" s="54"/>
      <c r="B55" s="277"/>
      <c r="C55" s="74"/>
      <c r="K55" s="486"/>
      <c r="L55" s="313"/>
      <c r="M55" s="313"/>
      <c r="N55" s="313"/>
      <c r="O55" s="313"/>
      <c r="P55" s="313"/>
      <c r="Q55" s="313"/>
      <c r="R55" s="313"/>
      <c r="S55" s="313"/>
      <c r="T55" s="313"/>
      <c r="U55" s="313"/>
      <c r="V55" s="313"/>
      <c r="W55" s="313"/>
      <c r="X55" s="313"/>
      <c r="Y55" s="313"/>
      <c r="Z55" s="313"/>
      <c r="AA55" s="313"/>
      <c r="AB55" s="313"/>
      <c r="AC55" s="313"/>
      <c r="AD55" s="313"/>
      <c r="AE55" s="313"/>
      <c r="XFD55" s="570"/>
    </row>
    <row r="56" spans="1:32 16384:16384" s="18" customFormat="1">
      <c r="A56" s="54" t="s">
        <v>312</v>
      </c>
      <c r="B56" s="277"/>
      <c r="C56" s="74"/>
      <c r="K56" s="486">
        <f>'P&amp;L - Concept C1 - NCLH'!D51</f>
        <v>0</v>
      </c>
      <c r="L56" s="313">
        <f>'P&amp;L - Concept C1 - NCLH'!E51</f>
        <v>7190</v>
      </c>
      <c r="M56" s="313">
        <f>'P&amp;L - Concept C1 - NCLH'!F51</f>
        <v>7190</v>
      </c>
      <c r="N56" s="313">
        <f>'P&amp;L - Concept C1 - NCLH'!G51</f>
        <v>7190</v>
      </c>
      <c r="O56" s="313">
        <f>'P&amp;L - Concept C1 - NCLH'!H51</f>
        <v>7190</v>
      </c>
      <c r="P56" s="313">
        <f>'P&amp;L - Concept C1 - NCLH'!I51</f>
        <v>7190</v>
      </c>
      <c r="Q56" s="313">
        <f>'P&amp;L - Concept C1 - NCLH'!J51</f>
        <v>7190</v>
      </c>
      <c r="R56" s="313">
        <f>'P&amp;L - Concept C1 - NCLH'!K51</f>
        <v>7190</v>
      </c>
      <c r="S56" s="313">
        <f>'P&amp;L - Concept C1 - NCLH'!L51</f>
        <v>7190</v>
      </c>
      <c r="T56" s="313">
        <f>'P&amp;L - Concept C1 - NCLH'!M51</f>
        <v>7190</v>
      </c>
      <c r="U56" s="313">
        <f>'P&amp;L - Concept C1 - NCLH'!N51</f>
        <v>7190</v>
      </c>
      <c r="V56" s="313">
        <f>'P&amp;L - Concept C1 - NCLH'!O51</f>
        <v>7190</v>
      </c>
      <c r="W56" s="313">
        <f>'P&amp;L - Concept C1 - NCLH'!P51</f>
        <v>7190</v>
      </c>
      <c r="X56" s="313">
        <f>'P&amp;L - Concept C1 - NCLH'!Q51</f>
        <v>7190</v>
      </c>
      <c r="Y56" s="313">
        <f>'P&amp;L - Concept C1 - NCLH'!R51</f>
        <v>7190</v>
      </c>
      <c r="Z56" s="313">
        <f>'P&amp;L - Concept C1 - NCLH'!S51</f>
        <v>7190</v>
      </c>
      <c r="AA56" s="313">
        <f>'P&amp;L - Concept C1 - NCLH'!T51</f>
        <v>7190</v>
      </c>
      <c r="AB56" s="313">
        <f>'P&amp;L - Concept C1 - NCLH'!U51</f>
        <v>7190</v>
      </c>
      <c r="AC56" s="313">
        <f>'P&amp;L - Concept C1 - NCLH'!V51</f>
        <v>7190</v>
      </c>
      <c r="AD56" s="313">
        <f>'P&amp;L - Concept C1 - NCLH'!W51</f>
        <v>7190</v>
      </c>
      <c r="AE56" s="313">
        <f>'P&amp;L - Concept C1 - NCLH'!X51</f>
        <v>7190</v>
      </c>
      <c r="XFD56" s="570"/>
    </row>
    <row r="57" spans="1:32 16384:16384" s="18" customFormat="1">
      <c r="A57" s="54"/>
      <c r="B57" s="277"/>
      <c r="C57" s="74"/>
      <c r="K57" s="486"/>
      <c r="L57" s="313"/>
      <c r="M57" s="313"/>
      <c r="N57" s="313"/>
      <c r="O57" s="313"/>
      <c r="P57" s="313"/>
      <c r="Q57" s="313"/>
      <c r="R57" s="313"/>
      <c r="S57" s="313"/>
      <c r="T57" s="313"/>
      <c r="U57" s="313"/>
      <c r="V57" s="313"/>
      <c r="W57" s="313"/>
      <c r="X57" s="313"/>
      <c r="Y57" s="313"/>
      <c r="Z57" s="313"/>
      <c r="AA57" s="313"/>
      <c r="AB57" s="313"/>
      <c r="AC57" s="313"/>
      <c r="AD57" s="313"/>
      <c r="AE57" s="313"/>
    </row>
    <row r="58" spans="1:32 16384:16384" s="612" customFormat="1">
      <c r="A58" s="613" t="s">
        <v>292</v>
      </c>
      <c r="B58" s="614"/>
      <c r="C58" s="615"/>
      <c r="D58" s="717"/>
      <c r="E58" s="717"/>
      <c r="F58" s="717"/>
      <c r="G58" s="717"/>
      <c r="H58" s="717"/>
      <c r="I58" s="717"/>
      <c r="J58" s="717"/>
      <c r="K58" s="616">
        <f>'P&amp;L - Concept C1 - NCLH'!D53</f>
        <v>0</v>
      </c>
      <c r="L58" s="616">
        <f>'P&amp;L - Concept C1 - NCLH'!E53</f>
        <v>0</v>
      </c>
      <c r="M58" s="616">
        <f>'P&amp;L - Concept C1 - NCLH'!F53</f>
        <v>0</v>
      </c>
      <c r="N58" s="616">
        <f>'P&amp;L - Concept C1 - NCLH'!G53</f>
        <v>100000</v>
      </c>
      <c r="O58" s="616">
        <f>'P&amp;L - Concept C1 - NCLH'!H53</f>
        <v>100000</v>
      </c>
      <c r="P58" s="616">
        <f>'P&amp;L - Concept C1 - NCLH'!I53</f>
        <v>100000</v>
      </c>
      <c r="Q58" s="616">
        <f>'P&amp;L - Concept C1 - NCLH'!J53</f>
        <v>100000</v>
      </c>
      <c r="R58" s="616">
        <f>'P&amp;L - Concept C1 - NCLH'!K53</f>
        <v>100000</v>
      </c>
      <c r="S58" s="616">
        <f>'P&amp;L - Concept C1 - NCLH'!L53</f>
        <v>100000</v>
      </c>
      <c r="T58" s="616">
        <f>'P&amp;L - Concept C1 - NCLH'!M53</f>
        <v>100000</v>
      </c>
      <c r="U58" s="616">
        <f>'P&amp;L - Concept C1 - NCLH'!N53</f>
        <v>100000</v>
      </c>
      <c r="V58" s="616">
        <f>'P&amp;L - Concept C1 - NCLH'!O53</f>
        <v>100000</v>
      </c>
      <c r="W58" s="616">
        <f>'P&amp;L - Concept C1 - NCLH'!P53</f>
        <v>100000</v>
      </c>
      <c r="X58" s="616">
        <f>'P&amp;L - Concept C1 - NCLH'!Q53</f>
        <v>100000</v>
      </c>
      <c r="Y58" s="616">
        <f>'P&amp;L - Concept C1 - NCLH'!R53</f>
        <v>100000</v>
      </c>
      <c r="Z58" s="616">
        <f>'P&amp;L - Concept C1 - NCLH'!S53</f>
        <v>100000</v>
      </c>
      <c r="AA58" s="616">
        <f>'P&amp;L - Concept C1 - NCLH'!T53</f>
        <v>100000</v>
      </c>
      <c r="AB58" s="616">
        <f>'P&amp;L - Concept C1 - NCLH'!U53</f>
        <v>100000</v>
      </c>
      <c r="AC58" s="616">
        <f>'P&amp;L - Concept C1 - NCLH'!V53</f>
        <v>100000</v>
      </c>
      <c r="AD58" s="616">
        <f>'P&amp;L - Concept C1 - NCLH'!W53</f>
        <v>100000</v>
      </c>
      <c r="AE58" s="787">
        <f>'P&amp;L - Concept C1 - NCLH'!X53</f>
        <v>100000</v>
      </c>
    </row>
    <row r="59" spans="1:32 16384:16384" s="18" customFormat="1">
      <c r="A59" s="54"/>
      <c r="B59" s="277"/>
      <c r="C59" s="74"/>
      <c r="K59" s="486"/>
      <c r="L59" s="313"/>
      <c r="M59" s="313"/>
      <c r="N59" s="313"/>
      <c r="O59" s="313"/>
      <c r="P59" s="313"/>
      <c r="Q59" s="313"/>
      <c r="R59" s="313"/>
      <c r="S59" s="313"/>
      <c r="T59" s="313"/>
      <c r="U59" s="313"/>
      <c r="V59" s="313"/>
      <c r="W59" s="313"/>
      <c r="X59" s="313"/>
      <c r="Y59" s="313"/>
      <c r="Z59" s="313"/>
      <c r="AA59" s="313"/>
      <c r="AB59" s="313"/>
      <c r="AC59" s="313"/>
      <c r="AD59" s="313"/>
      <c r="AE59" s="313"/>
    </row>
    <row r="60" spans="1:32 16384:16384" s="582" customFormat="1">
      <c r="A60" s="293" t="str">
        <f>'BH Tariffs'!A33</f>
        <v>Recreational/Commercial Marina</v>
      </c>
      <c r="B60" s="584"/>
      <c r="C60" s="585"/>
      <c r="K60" s="486"/>
      <c r="L60" s="313"/>
      <c r="M60" s="313"/>
      <c r="N60" s="313"/>
      <c r="O60" s="313"/>
      <c r="P60" s="313"/>
      <c r="Q60" s="313"/>
      <c r="R60" s="313"/>
      <c r="S60" s="313"/>
      <c r="T60" s="313"/>
      <c r="U60" s="313"/>
      <c r="V60" s="313"/>
      <c r="W60" s="313"/>
      <c r="X60" s="313"/>
      <c r="Y60" s="313"/>
      <c r="Z60" s="313"/>
      <c r="AA60" s="313"/>
      <c r="AB60" s="313"/>
      <c r="AC60" s="313"/>
      <c r="AD60" s="313"/>
      <c r="AE60" s="313"/>
    </row>
    <row r="61" spans="1:32 16384:16384" s="96" customFormat="1">
      <c r="A61" s="54" t="s">
        <v>291</v>
      </c>
      <c r="B61" s="435"/>
      <c r="C61" s="583"/>
      <c r="K61" s="486">
        <f>'P&amp;L - Concept C1 - NCLH'!D56</f>
        <v>0</v>
      </c>
      <c r="L61" s="313">
        <f>'P&amp;L - Concept C1 - NCLH'!E56</f>
        <v>0</v>
      </c>
      <c r="M61" s="313">
        <f>'P&amp;L - Concept C1 - NCLH'!F56</f>
        <v>12</v>
      </c>
      <c r="N61" s="313">
        <f>'P&amp;L - Concept C1 - NCLH'!G56</f>
        <v>12</v>
      </c>
      <c r="O61" s="313">
        <f>'P&amp;L - Concept C1 - NCLH'!H56</f>
        <v>12</v>
      </c>
      <c r="P61" s="313">
        <f>'P&amp;L - Concept C1 - NCLH'!I56</f>
        <v>12</v>
      </c>
      <c r="Q61" s="313">
        <f>'P&amp;L - Concept C1 - NCLH'!J56</f>
        <v>12</v>
      </c>
      <c r="R61" s="313">
        <f>'P&amp;L - Concept C1 - NCLH'!K56</f>
        <v>12</v>
      </c>
      <c r="S61" s="313">
        <f>'P&amp;L - Concept C1 - NCLH'!L56</f>
        <v>12</v>
      </c>
      <c r="T61" s="313">
        <f>'P&amp;L - Concept C1 - NCLH'!M56</f>
        <v>12</v>
      </c>
      <c r="U61" s="313">
        <f>'P&amp;L - Concept C1 - NCLH'!N56</f>
        <v>12</v>
      </c>
      <c r="V61" s="313">
        <f>'P&amp;L - Concept C1 - NCLH'!O56</f>
        <v>12</v>
      </c>
      <c r="W61" s="313">
        <f>'P&amp;L - Concept C1 - NCLH'!P56</f>
        <v>12</v>
      </c>
      <c r="X61" s="313">
        <f>'P&amp;L - Concept C1 - NCLH'!Q56</f>
        <v>12</v>
      </c>
      <c r="Y61" s="313">
        <f>'P&amp;L - Concept C1 - NCLH'!R56</f>
        <v>12</v>
      </c>
      <c r="Z61" s="313">
        <f>'P&amp;L - Concept C1 - NCLH'!S56</f>
        <v>12</v>
      </c>
      <c r="AA61" s="313">
        <f>'P&amp;L - Concept C1 - NCLH'!T56</f>
        <v>12</v>
      </c>
      <c r="AB61" s="313">
        <f>'P&amp;L - Concept C1 - NCLH'!U56</f>
        <v>12</v>
      </c>
      <c r="AC61" s="313">
        <f>'P&amp;L - Concept C1 - NCLH'!V56</f>
        <v>12</v>
      </c>
      <c r="AD61" s="313">
        <f>'P&amp;L - Concept C1 - NCLH'!W56</f>
        <v>12</v>
      </c>
      <c r="AE61" s="313">
        <f>'P&amp;L - Concept C1 - NCLH'!X56</f>
        <v>12</v>
      </c>
    </row>
    <row r="62" spans="1:32 16384:16384" s="96" customFormat="1">
      <c r="A62" s="54" t="s">
        <v>293</v>
      </c>
      <c r="B62" s="435"/>
      <c r="C62" s="583"/>
      <c r="K62" s="486">
        <f>'P&amp;L - Concept C1 - NCLH'!D57</f>
        <v>0</v>
      </c>
      <c r="L62" s="313">
        <f>'P&amp;L - Concept C1 - NCLH'!E57</f>
        <v>0</v>
      </c>
      <c r="M62" s="313">
        <f>'P&amp;L - Concept C1 - NCLH'!F57</f>
        <v>9557.1731249999993</v>
      </c>
      <c r="N62" s="313">
        <f>'P&amp;L - Concept C1 - NCLH'!G57</f>
        <v>9557.1731249999993</v>
      </c>
      <c r="O62" s="313">
        <f>'P&amp;L - Concept C1 - NCLH'!H57</f>
        <v>9557.1731249999993</v>
      </c>
      <c r="P62" s="313">
        <f>'P&amp;L - Concept C1 - NCLH'!I57</f>
        <v>9557.1731249999993</v>
      </c>
      <c r="Q62" s="313">
        <f>'P&amp;L - Concept C1 - NCLH'!J57</f>
        <v>9557.1731249999993</v>
      </c>
      <c r="R62" s="313">
        <f>'P&amp;L - Concept C1 - NCLH'!K57</f>
        <v>9557.1731249999993</v>
      </c>
      <c r="S62" s="313">
        <f>'P&amp;L - Concept C1 - NCLH'!L57</f>
        <v>9557.1731249999993</v>
      </c>
      <c r="T62" s="313">
        <f>'P&amp;L - Concept C1 - NCLH'!M57</f>
        <v>9557.1731249999993</v>
      </c>
      <c r="U62" s="313">
        <f>'P&amp;L - Concept C1 - NCLH'!N57</f>
        <v>9557.1731249999993</v>
      </c>
      <c r="V62" s="313">
        <f>'P&amp;L - Concept C1 - NCLH'!O57</f>
        <v>9557.1731249999993</v>
      </c>
      <c r="W62" s="313">
        <f>'P&amp;L - Concept C1 - NCLH'!P57</f>
        <v>9557.1731249999993</v>
      </c>
      <c r="X62" s="313">
        <f>'P&amp;L - Concept C1 - NCLH'!Q57</f>
        <v>9557.1731249999993</v>
      </c>
      <c r="Y62" s="313">
        <f>'P&amp;L - Concept C1 - NCLH'!R57</f>
        <v>9557.1731249999993</v>
      </c>
      <c r="Z62" s="313">
        <f>'P&amp;L - Concept C1 - NCLH'!S57</f>
        <v>9557.1731249999993</v>
      </c>
      <c r="AA62" s="313">
        <f>'P&amp;L - Concept C1 - NCLH'!T57</f>
        <v>9557.1731249999993</v>
      </c>
      <c r="AB62" s="313">
        <f>'P&amp;L - Concept C1 - NCLH'!U57</f>
        <v>9557.1731249999993</v>
      </c>
      <c r="AC62" s="313">
        <f>'P&amp;L - Concept C1 - NCLH'!V57</f>
        <v>9557.1731249999993</v>
      </c>
      <c r="AD62" s="313">
        <f>'P&amp;L - Concept C1 - NCLH'!W57</f>
        <v>9557.1731249999993</v>
      </c>
      <c r="AE62" s="313">
        <f>'P&amp;L - Concept C1 - NCLH'!X57</f>
        <v>9557.1731249999993</v>
      </c>
    </row>
    <row r="63" spans="1:32 16384:16384" s="96" customFormat="1">
      <c r="A63" s="54" t="s">
        <v>294</v>
      </c>
      <c r="B63" s="435"/>
      <c r="C63" s="583"/>
      <c r="K63" s="486">
        <f>'P&amp;L - Concept C1 - NCLH'!D58</f>
        <v>0</v>
      </c>
      <c r="L63" s="313">
        <f>'P&amp;L - Concept C1 - NCLH'!E58</f>
        <v>0</v>
      </c>
      <c r="M63" s="313">
        <f>'P&amp;L - Concept C1 - NCLH'!F58</f>
        <v>359.1</v>
      </c>
      <c r="N63" s="313">
        <f>'P&amp;L - Concept C1 - NCLH'!G58</f>
        <v>359.1</v>
      </c>
      <c r="O63" s="313">
        <f>'P&amp;L - Concept C1 - NCLH'!H58</f>
        <v>359.1</v>
      </c>
      <c r="P63" s="313">
        <f>'P&amp;L - Concept C1 - NCLH'!I58</f>
        <v>359.1</v>
      </c>
      <c r="Q63" s="313">
        <f>'P&amp;L - Concept C1 - NCLH'!J58</f>
        <v>359.1</v>
      </c>
      <c r="R63" s="313">
        <f>'P&amp;L - Concept C1 - NCLH'!K58</f>
        <v>359.1</v>
      </c>
      <c r="S63" s="313">
        <f>'P&amp;L - Concept C1 - NCLH'!L58</f>
        <v>359.1</v>
      </c>
      <c r="T63" s="313">
        <f>'P&amp;L - Concept C1 - NCLH'!M58</f>
        <v>359.1</v>
      </c>
      <c r="U63" s="313">
        <f>'P&amp;L - Concept C1 - NCLH'!N58</f>
        <v>359.1</v>
      </c>
      <c r="V63" s="313">
        <f>'P&amp;L - Concept C1 - NCLH'!O58</f>
        <v>359.1</v>
      </c>
      <c r="W63" s="313">
        <f>'P&amp;L - Concept C1 - NCLH'!P58</f>
        <v>359.1</v>
      </c>
      <c r="X63" s="313">
        <f>'P&amp;L - Concept C1 - NCLH'!Q58</f>
        <v>359.1</v>
      </c>
      <c r="Y63" s="313">
        <f>'P&amp;L - Concept C1 - NCLH'!R58</f>
        <v>359.1</v>
      </c>
      <c r="Z63" s="313">
        <f>'P&amp;L - Concept C1 - NCLH'!S58</f>
        <v>359.1</v>
      </c>
      <c r="AA63" s="313">
        <f>'P&amp;L - Concept C1 - NCLH'!T58</f>
        <v>359.1</v>
      </c>
      <c r="AB63" s="313">
        <f>'P&amp;L - Concept C1 - NCLH'!U58</f>
        <v>359.1</v>
      </c>
      <c r="AC63" s="313">
        <f>'P&amp;L - Concept C1 - NCLH'!V58</f>
        <v>359.1</v>
      </c>
      <c r="AD63" s="313">
        <f>'P&amp;L - Concept C1 - NCLH'!W58</f>
        <v>359.1</v>
      </c>
      <c r="AE63" s="313">
        <f>'P&amp;L - Concept C1 - NCLH'!X58</f>
        <v>359.1</v>
      </c>
    </row>
    <row r="64" spans="1:32 16384:16384" s="167" customFormat="1">
      <c r="A64" s="497" t="s">
        <v>170</v>
      </c>
      <c r="B64" s="450"/>
      <c r="C64" s="498"/>
      <c r="K64" s="499">
        <f>'P&amp;L - Concept C1 - NCLH'!D59</f>
        <v>0</v>
      </c>
      <c r="L64" s="500">
        <f>'P&amp;L - Concept C1 - NCLH'!E59</f>
        <v>0</v>
      </c>
      <c r="M64" s="500">
        <f>'P&amp;L - Concept C1 - NCLH'!F59</f>
        <v>0</v>
      </c>
      <c r="N64" s="500">
        <f>'P&amp;L - Concept C1 - NCLH'!G59</f>
        <v>0</v>
      </c>
      <c r="O64" s="500">
        <f>'P&amp;L - Concept C1 - NCLH'!H59</f>
        <v>0</v>
      </c>
      <c r="P64" s="500">
        <f>'P&amp;L - Concept C1 - NCLH'!I59</f>
        <v>0</v>
      </c>
      <c r="Q64" s="500">
        <f>'P&amp;L - Concept C1 - NCLH'!J59</f>
        <v>0</v>
      </c>
      <c r="R64" s="500">
        <f>'P&amp;L - Concept C1 - NCLH'!K59</f>
        <v>0</v>
      </c>
      <c r="S64" s="500">
        <f>'P&amp;L - Concept C1 - NCLH'!L59</f>
        <v>0</v>
      </c>
      <c r="T64" s="500">
        <f>'P&amp;L - Concept C1 - NCLH'!M59</f>
        <v>0</v>
      </c>
      <c r="U64" s="500">
        <f>'P&amp;L - Concept C1 - NCLH'!N59</f>
        <v>0</v>
      </c>
      <c r="V64" s="500">
        <f>'P&amp;L - Concept C1 - NCLH'!O59</f>
        <v>0</v>
      </c>
      <c r="W64" s="500">
        <f>'P&amp;L - Concept C1 - NCLH'!P59</f>
        <v>0</v>
      </c>
      <c r="X64" s="500">
        <f>'P&amp;L - Concept C1 - NCLH'!Q59</f>
        <v>0</v>
      </c>
      <c r="Y64" s="500">
        <f>'P&amp;L - Concept C1 - NCLH'!R59</f>
        <v>0</v>
      </c>
      <c r="Z64" s="500">
        <f>'P&amp;L - Concept C1 - NCLH'!S59</f>
        <v>0</v>
      </c>
      <c r="AA64" s="500">
        <f>'P&amp;L - Concept C1 - NCLH'!T59</f>
        <v>0</v>
      </c>
      <c r="AB64" s="500">
        <f>'P&amp;L - Concept C1 - NCLH'!U59</f>
        <v>0</v>
      </c>
      <c r="AC64" s="500">
        <f>'P&amp;L - Concept C1 - NCLH'!V59</f>
        <v>0</v>
      </c>
      <c r="AD64" s="500">
        <f>'P&amp;L - Concept C1 - NCLH'!W59</f>
        <v>0</v>
      </c>
      <c r="AE64" s="500">
        <f>'P&amp;L - Concept C1 - NCLH'!X59</f>
        <v>0</v>
      </c>
      <c r="AF64" s="167" t="str">
        <f>'P&amp;L - Concept C1 - NCLH'!Y59</f>
        <v>cost recovery assumed</v>
      </c>
    </row>
    <row r="65" spans="1:32" s="167" customFormat="1">
      <c r="A65" s="497" t="s">
        <v>16</v>
      </c>
      <c r="B65" s="450"/>
      <c r="C65" s="498"/>
      <c r="K65" s="499">
        <f>'P&amp;L - Concept C1 - NCLH'!D60</f>
        <v>0</v>
      </c>
      <c r="L65" s="500">
        <f>'P&amp;L - Concept C1 - NCLH'!E60</f>
        <v>0</v>
      </c>
      <c r="M65" s="500">
        <f>'P&amp;L - Concept C1 - NCLH'!F60</f>
        <v>0</v>
      </c>
      <c r="N65" s="500">
        <f>'P&amp;L - Concept C1 - NCLH'!G60</f>
        <v>0</v>
      </c>
      <c r="O65" s="500">
        <f>'P&amp;L - Concept C1 - NCLH'!H60</f>
        <v>0</v>
      </c>
      <c r="P65" s="500">
        <f>'P&amp;L - Concept C1 - NCLH'!I60</f>
        <v>0</v>
      </c>
      <c r="Q65" s="500">
        <f>'P&amp;L - Concept C1 - NCLH'!J60</f>
        <v>0</v>
      </c>
      <c r="R65" s="500">
        <f>'P&amp;L - Concept C1 - NCLH'!K60</f>
        <v>0</v>
      </c>
      <c r="S65" s="500">
        <f>'P&amp;L - Concept C1 - NCLH'!L60</f>
        <v>0</v>
      </c>
      <c r="T65" s="500">
        <f>'P&amp;L - Concept C1 - NCLH'!M60</f>
        <v>0</v>
      </c>
      <c r="U65" s="500">
        <f>'P&amp;L - Concept C1 - NCLH'!N60</f>
        <v>0</v>
      </c>
      <c r="V65" s="500">
        <f>'P&amp;L - Concept C1 - NCLH'!O60</f>
        <v>0</v>
      </c>
      <c r="W65" s="500">
        <f>'P&amp;L - Concept C1 - NCLH'!P60</f>
        <v>0</v>
      </c>
      <c r="X65" s="500">
        <f>'P&amp;L - Concept C1 - NCLH'!Q60</f>
        <v>0</v>
      </c>
      <c r="Y65" s="500">
        <f>'P&amp;L - Concept C1 - NCLH'!R60</f>
        <v>0</v>
      </c>
      <c r="Z65" s="500">
        <f>'P&amp;L - Concept C1 - NCLH'!S60</f>
        <v>0</v>
      </c>
      <c r="AA65" s="500">
        <f>'P&amp;L - Concept C1 - NCLH'!T60</f>
        <v>0</v>
      </c>
      <c r="AB65" s="500">
        <f>'P&amp;L - Concept C1 - NCLH'!U60</f>
        <v>0</v>
      </c>
      <c r="AC65" s="500">
        <f>'P&amp;L - Concept C1 - NCLH'!V60</f>
        <v>0</v>
      </c>
      <c r="AD65" s="500">
        <f>'P&amp;L - Concept C1 - NCLH'!W60</f>
        <v>0</v>
      </c>
      <c r="AE65" s="500">
        <f>'P&amp;L - Concept C1 - NCLH'!X60</f>
        <v>0</v>
      </c>
      <c r="AF65" s="167" t="str">
        <f>'P&amp;L - Concept C1 - NCLH'!Y60</f>
        <v>cost recovery assumed</v>
      </c>
    </row>
    <row r="66" spans="1:32" s="18" customFormat="1">
      <c r="A66" s="54"/>
      <c r="B66" s="277"/>
      <c r="C66" s="74"/>
      <c r="K66" s="492"/>
      <c r="L66" s="313"/>
      <c r="M66" s="313"/>
      <c r="N66" s="313"/>
      <c r="O66" s="313"/>
      <c r="P66" s="313"/>
      <c r="Q66" s="313"/>
      <c r="R66" s="313"/>
      <c r="S66" s="313"/>
      <c r="T66" s="313"/>
      <c r="U66" s="313"/>
      <c r="V66" s="313"/>
      <c r="W66" s="313"/>
      <c r="X66" s="313"/>
      <c r="Y66" s="313"/>
      <c r="Z66" s="313"/>
      <c r="AA66" s="313"/>
      <c r="AB66" s="313"/>
      <c r="AC66" s="313"/>
      <c r="AD66" s="313"/>
      <c r="AE66" s="313"/>
    </row>
    <row r="67" spans="1:32" s="18" customFormat="1">
      <c r="A67" s="293" t="s">
        <v>2</v>
      </c>
      <c r="B67" s="277"/>
      <c r="C67" s="74"/>
      <c r="K67" s="492"/>
      <c r="L67" s="313"/>
      <c r="M67" s="313"/>
      <c r="N67" s="313"/>
      <c r="O67" s="313"/>
      <c r="P67" s="313"/>
      <c r="Q67" s="313"/>
      <c r="R67" s="313"/>
      <c r="S67" s="313"/>
      <c r="T67" s="313"/>
      <c r="U67" s="313"/>
      <c r="V67" s="313"/>
      <c r="W67" s="313"/>
      <c r="X67" s="313"/>
      <c r="Y67" s="313"/>
      <c r="Z67" s="313"/>
      <c r="AA67" s="313"/>
      <c r="AB67" s="313"/>
      <c r="AC67" s="313"/>
      <c r="AD67" s="313"/>
      <c r="AE67" s="313"/>
    </row>
    <row r="68" spans="1:32" s="96" customFormat="1">
      <c r="A68" s="54" t="s">
        <v>290</v>
      </c>
      <c r="B68" s="435">
        <v>500</v>
      </c>
      <c r="C68" s="487"/>
      <c r="K68" s="486">
        <f>'P&amp;L - Concept C1 - NCLH'!D63</f>
        <v>0</v>
      </c>
      <c r="L68" s="313">
        <f>'P&amp;L - Concept C1 - NCLH'!E63</f>
        <v>0</v>
      </c>
      <c r="M68" s="313">
        <f>'P&amp;L - Concept C1 - NCLH'!F63</f>
        <v>0</v>
      </c>
      <c r="N68" s="313">
        <f>'P&amp;L - Concept C1 - NCLH'!G63</f>
        <v>500</v>
      </c>
      <c r="O68" s="313">
        <f>'P&amp;L - Concept C1 - NCLH'!H63</f>
        <v>500</v>
      </c>
      <c r="P68" s="313">
        <f>'P&amp;L - Concept C1 - NCLH'!I63</f>
        <v>500</v>
      </c>
      <c r="Q68" s="313">
        <f>'P&amp;L - Concept C1 - NCLH'!J63</f>
        <v>500</v>
      </c>
      <c r="R68" s="313">
        <f>'P&amp;L - Concept C1 - NCLH'!K63</f>
        <v>500</v>
      </c>
      <c r="S68" s="313">
        <f>'P&amp;L - Concept C1 - NCLH'!L63</f>
        <v>500</v>
      </c>
      <c r="T68" s="313">
        <f>'P&amp;L - Concept C1 - NCLH'!M63</f>
        <v>500</v>
      </c>
      <c r="U68" s="313">
        <f>'P&amp;L - Concept C1 - NCLH'!N63</f>
        <v>500</v>
      </c>
      <c r="V68" s="313">
        <f>'P&amp;L - Concept C1 - NCLH'!O63</f>
        <v>500</v>
      </c>
      <c r="W68" s="313">
        <f>'P&amp;L - Concept C1 - NCLH'!P63</f>
        <v>500</v>
      </c>
      <c r="X68" s="313">
        <f>'P&amp;L - Concept C1 - NCLH'!Q63</f>
        <v>500</v>
      </c>
      <c r="Y68" s="313">
        <f>'P&amp;L - Concept C1 - NCLH'!R63</f>
        <v>500</v>
      </c>
      <c r="Z68" s="313">
        <f>'P&amp;L - Concept C1 - NCLH'!S63</f>
        <v>500</v>
      </c>
      <c r="AA68" s="313">
        <f>'P&amp;L - Concept C1 - NCLH'!T63</f>
        <v>500</v>
      </c>
      <c r="AB68" s="313">
        <f>'P&amp;L - Concept C1 - NCLH'!U63</f>
        <v>500</v>
      </c>
      <c r="AC68" s="313">
        <f>'P&amp;L - Concept C1 - NCLH'!V63</f>
        <v>500</v>
      </c>
      <c r="AD68" s="313">
        <f>'P&amp;L - Concept C1 - NCLH'!W63</f>
        <v>500</v>
      </c>
      <c r="AE68" s="313">
        <f>'P&amp;L - Concept C1 - NCLH'!X63</f>
        <v>500</v>
      </c>
    </row>
    <row r="69" spans="1:32" s="96" customFormat="1">
      <c r="A69" s="54" t="s">
        <v>210</v>
      </c>
      <c r="B69" s="487"/>
      <c r="C69" s="487"/>
      <c r="K69" s="486">
        <f>'P&amp;L - Concept C1 - NCLH'!D65</f>
        <v>0</v>
      </c>
      <c r="L69" s="313">
        <f>'P&amp;L - Concept C1 - NCLH'!E65</f>
        <v>0</v>
      </c>
      <c r="M69" s="313">
        <f>'P&amp;L - Concept C1 - NCLH'!F65</f>
        <v>1</v>
      </c>
      <c r="N69" s="313">
        <f>'P&amp;L - Concept C1 - NCLH'!G65</f>
        <v>2</v>
      </c>
      <c r="O69" s="313">
        <f>'P&amp;L - Concept C1 - NCLH'!H65</f>
        <v>2</v>
      </c>
      <c r="P69" s="313">
        <f>'P&amp;L - Concept C1 - NCLH'!I65</f>
        <v>2</v>
      </c>
      <c r="Q69" s="313">
        <f>'P&amp;L - Concept C1 - NCLH'!J65</f>
        <v>3</v>
      </c>
      <c r="R69" s="313">
        <f>'P&amp;L - Concept C1 - NCLH'!K65</f>
        <v>3</v>
      </c>
      <c r="S69" s="313">
        <f>'P&amp;L - Concept C1 - NCLH'!L65</f>
        <v>3</v>
      </c>
      <c r="T69" s="313">
        <f>'P&amp;L - Concept C1 - NCLH'!M65</f>
        <v>3</v>
      </c>
      <c r="U69" s="313">
        <f>'P&amp;L - Concept C1 - NCLH'!N65</f>
        <v>3</v>
      </c>
      <c r="V69" s="313">
        <f>'P&amp;L - Concept C1 - NCLH'!O65</f>
        <v>4</v>
      </c>
      <c r="W69" s="313">
        <f>'P&amp;L - Concept C1 - NCLH'!P65</f>
        <v>4</v>
      </c>
      <c r="X69" s="313">
        <f>'P&amp;L - Concept C1 - NCLH'!Q65</f>
        <v>4</v>
      </c>
      <c r="Y69" s="313">
        <f>'P&amp;L - Concept C1 - NCLH'!R65</f>
        <v>4</v>
      </c>
      <c r="Z69" s="313">
        <f>'P&amp;L - Concept C1 - NCLH'!S65</f>
        <v>4</v>
      </c>
      <c r="AA69" s="313">
        <f>'P&amp;L - Concept C1 - NCLH'!T65</f>
        <v>5</v>
      </c>
      <c r="AB69" s="313">
        <f>'P&amp;L - Concept C1 - NCLH'!U65</f>
        <v>5</v>
      </c>
      <c r="AC69" s="313">
        <f>'P&amp;L - Concept C1 - NCLH'!V65</f>
        <v>5</v>
      </c>
      <c r="AD69" s="313">
        <f>'P&amp;L - Concept C1 - NCLH'!W65</f>
        <v>5</v>
      </c>
      <c r="AE69" s="313">
        <f>'P&amp;L - Concept C1 - NCLH'!X65</f>
        <v>5</v>
      </c>
    </row>
    <row r="70" spans="1:32" s="96" customFormat="1">
      <c r="A70" s="96" t="s">
        <v>211</v>
      </c>
      <c r="K70" s="486">
        <f>'P&amp;L - Concept C1 - NCLH'!D66</f>
        <v>0</v>
      </c>
      <c r="L70" s="313">
        <f>'P&amp;L - Concept C1 - NCLH'!E66</f>
        <v>0</v>
      </c>
      <c r="M70" s="313">
        <f>'P&amp;L - Concept C1 - NCLH'!F66</f>
        <v>3</v>
      </c>
      <c r="N70" s="313">
        <f>'P&amp;L - Concept C1 - NCLH'!G66</f>
        <v>3</v>
      </c>
      <c r="O70" s="313">
        <f>'P&amp;L - Concept C1 - NCLH'!H66</f>
        <v>3</v>
      </c>
      <c r="P70" s="313">
        <f>'P&amp;L - Concept C1 - NCLH'!I66</f>
        <v>3</v>
      </c>
      <c r="Q70" s="313">
        <f>'P&amp;L - Concept C1 - NCLH'!J66</f>
        <v>3</v>
      </c>
      <c r="R70" s="313">
        <f>'P&amp;L - Concept C1 - NCLH'!K66</f>
        <v>3</v>
      </c>
      <c r="S70" s="313">
        <f>'P&amp;L - Concept C1 - NCLH'!L66</f>
        <v>3</v>
      </c>
      <c r="T70" s="313">
        <f>'P&amp;L - Concept C1 - NCLH'!M66</f>
        <v>3</v>
      </c>
      <c r="U70" s="313">
        <f>'P&amp;L - Concept C1 - NCLH'!N66</f>
        <v>3</v>
      </c>
      <c r="V70" s="313">
        <f>'P&amp;L - Concept C1 - NCLH'!O66</f>
        <v>3</v>
      </c>
      <c r="W70" s="313">
        <f>'P&amp;L - Concept C1 - NCLH'!P66</f>
        <v>3</v>
      </c>
      <c r="X70" s="313">
        <f>'P&amp;L - Concept C1 - NCLH'!Q66</f>
        <v>3</v>
      </c>
      <c r="Y70" s="313">
        <f>'P&amp;L - Concept C1 - NCLH'!R66</f>
        <v>3</v>
      </c>
      <c r="Z70" s="313">
        <f>'P&amp;L - Concept C1 - NCLH'!S66</f>
        <v>3</v>
      </c>
      <c r="AA70" s="313">
        <f>'P&amp;L - Concept C1 - NCLH'!T66</f>
        <v>3</v>
      </c>
      <c r="AB70" s="313">
        <f>'P&amp;L - Concept C1 - NCLH'!U66</f>
        <v>3</v>
      </c>
      <c r="AC70" s="313">
        <f>'P&amp;L - Concept C1 - NCLH'!V66</f>
        <v>3</v>
      </c>
      <c r="AD70" s="313">
        <f>'P&amp;L - Concept C1 - NCLH'!W66</f>
        <v>3</v>
      </c>
      <c r="AE70" s="313">
        <f>'P&amp;L - Concept C1 - NCLH'!X66</f>
        <v>3</v>
      </c>
    </row>
    <row r="71" spans="1:32" s="96" customFormat="1">
      <c r="K71" s="486"/>
      <c r="L71" s="435"/>
      <c r="M71" s="435"/>
      <c r="N71" s="435"/>
      <c r="O71" s="435"/>
      <c r="P71" s="435"/>
      <c r="Q71" s="435"/>
      <c r="R71" s="435"/>
      <c r="S71" s="435"/>
      <c r="T71" s="435"/>
      <c r="U71" s="435"/>
      <c r="V71" s="435"/>
      <c r="W71" s="435"/>
      <c r="X71" s="435"/>
      <c r="Y71" s="435"/>
      <c r="Z71" s="435"/>
      <c r="AA71" s="435"/>
      <c r="AB71" s="435"/>
      <c r="AC71" s="435"/>
      <c r="AD71" s="435"/>
      <c r="AE71" s="435"/>
    </row>
    <row r="72" spans="1:32" s="18" customFormat="1">
      <c r="A72" s="28"/>
      <c r="K72" s="486"/>
      <c r="L72" s="331"/>
      <c r="M72" s="333"/>
      <c r="N72" s="331"/>
      <c r="O72" s="331"/>
      <c r="P72" s="331"/>
      <c r="Q72" s="331"/>
      <c r="R72" s="331"/>
      <c r="S72" s="331"/>
      <c r="T72" s="331"/>
      <c r="U72" s="331"/>
      <c r="V72" s="331"/>
      <c r="W72" s="331"/>
      <c r="X72" s="331"/>
      <c r="Y72" s="331"/>
      <c r="Z72" s="331"/>
      <c r="AA72" s="331"/>
      <c r="AB72" s="331"/>
      <c r="AC72" s="331"/>
      <c r="AD72" s="331"/>
      <c r="AE72" s="331"/>
    </row>
    <row r="73" spans="1:32">
      <c r="A73" s="168" t="s">
        <v>131</v>
      </c>
      <c r="B73" s="168"/>
      <c r="C73" s="169"/>
      <c r="D73" s="170"/>
      <c r="E73" s="171"/>
      <c r="F73" s="171"/>
      <c r="G73" s="171"/>
      <c r="H73" s="171"/>
      <c r="I73" s="168"/>
      <c r="J73" s="171"/>
      <c r="K73" s="681"/>
      <c r="L73" s="314"/>
      <c r="M73" s="314"/>
      <c r="N73" s="314"/>
      <c r="O73" s="314"/>
      <c r="P73" s="314"/>
      <c r="Q73" s="314"/>
      <c r="R73" s="314"/>
      <c r="S73" s="314"/>
      <c r="T73" s="314"/>
      <c r="U73" s="314"/>
      <c r="V73" s="314"/>
      <c r="W73" s="314"/>
      <c r="X73" s="314"/>
      <c r="Y73" s="314"/>
      <c r="Z73" s="314"/>
      <c r="AA73" s="314"/>
      <c r="AB73" s="314"/>
      <c r="AC73" s="314"/>
      <c r="AD73" s="314"/>
      <c r="AE73" s="314"/>
    </row>
    <row r="74" spans="1:32" s="252" customFormat="1">
      <c r="A74" s="183"/>
      <c r="B74" s="183"/>
      <c r="C74" s="364"/>
      <c r="D74" s="365"/>
      <c r="E74" s="184"/>
      <c r="F74" s="184"/>
      <c r="G74" s="184"/>
      <c r="H74" s="184"/>
      <c r="I74" s="183"/>
      <c r="J74" s="184"/>
      <c r="K74" s="664"/>
      <c r="L74" s="366"/>
      <c r="M74" s="366"/>
      <c r="N74" s="366"/>
      <c r="O74" s="366"/>
      <c r="P74" s="366"/>
      <c r="Q74" s="366"/>
      <c r="R74" s="366"/>
      <c r="S74" s="366"/>
      <c r="T74" s="366"/>
      <c r="U74" s="366"/>
      <c r="V74" s="366"/>
      <c r="W74" s="366"/>
      <c r="X74" s="366"/>
      <c r="Y74" s="366"/>
      <c r="Z74" s="366"/>
      <c r="AA74" s="366"/>
      <c r="AB74" s="366"/>
      <c r="AC74" s="366"/>
      <c r="AD74" s="366"/>
      <c r="AE74" s="366"/>
    </row>
    <row r="75" spans="1:32">
      <c r="A75" s="41" t="s">
        <v>13</v>
      </c>
      <c r="B75" s="41"/>
      <c r="C75" s="105"/>
      <c r="D75" s="106"/>
      <c r="E75" s="37"/>
      <c r="F75" s="37"/>
      <c r="G75" s="37"/>
      <c r="H75" s="37"/>
      <c r="I75" s="41"/>
      <c r="J75" s="37"/>
      <c r="K75" s="683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</row>
    <row r="76" spans="1:32">
      <c r="A76" s="96" t="s">
        <v>418</v>
      </c>
      <c r="B76" s="735" t="s">
        <v>12</v>
      </c>
      <c r="C76" s="663">
        <v>75000</v>
      </c>
      <c r="D76" s="736">
        <f t="shared" ref="D76:D78" si="0">C76/2080</f>
        <v>36.057692307692307</v>
      </c>
      <c r="E76" s="663">
        <v>0</v>
      </c>
      <c r="F76" s="663">
        <f>(C76*$F$13)</f>
        <v>30000</v>
      </c>
      <c r="G76" s="663">
        <f>SUM(C76,E76:F76)</f>
        <v>105000</v>
      </c>
      <c r="H76" s="663"/>
      <c r="I76" s="736"/>
      <c r="J76" s="663"/>
      <c r="K76" s="683">
        <v>0</v>
      </c>
      <c r="L76" s="665">
        <v>0</v>
      </c>
      <c r="M76" s="666">
        <f>G76</f>
        <v>105000</v>
      </c>
      <c r="N76" s="666">
        <f>($G$76*L11)</f>
        <v>107100</v>
      </c>
      <c r="O76" s="666">
        <f t="shared" ref="O76:AE76" si="1">($G$76*M11)</f>
        <v>109242</v>
      </c>
      <c r="P76" s="666">
        <f t="shared" si="1"/>
        <v>111426.84</v>
      </c>
      <c r="Q76" s="666">
        <f t="shared" si="1"/>
        <v>113655.3768</v>
      </c>
      <c r="R76" s="666">
        <f t="shared" si="1"/>
        <v>115928.48433600001</v>
      </c>
      <c r="S76" s="666">
        <f t="shared" si="1"/>
        <v>118247.05402272001</v>
      </c>
      <c r="T76" s="666">
        <f t="shared" si="1"/>
        <v>120611.9951031744</v>
      </c>
      <c r="U76" s="666">
        <f t="shared" si="1"/>
        <v>123024.2350052379</v>
      </c>
      <c r="V76" s="666">
        <f t="shared" si="1"/>
        <v>125484.71970534266</v>
      </c>
      <c r="W76" s="666">
        <f t="shared" si="1"/>
        <v>127994.41409944952</v>
      </c>
      <c r="X76" s="666">
        <f t="shared" si="1"/>
        <v>130554.30238143851</v>
      </c>
      <c r="Y76" s="666">
        <f t="shared" si="1"/>
        <v>133165.38842906727</v>
      </c>
      <c r="Z76" s="666">
        <f t="shared" si="1"/>
        <v>135828.69619764862</v>
      </c>
      <c r="AA76" s="666">
        <f t="shared" si="1"/>
        <v>138545.27012160158</v>
      </c>
      <c r="AB76" s="666">
        <f t="shared" si="1"/>
        <v>141316.17552403364</v>
      </c>
      <c r="AC76" s="666">
        <f t="shared" si="1"/>
        <v>144142.4990345143</v>
      </c>
      <c r="AD76" s="666">
        <f t="shared" si="1"/>
        <v>147025.34901520461</v>
      </c>
      <c r="AE76" s="666">
        <f t="shared" si="1"/>
        <v>149965.8559955087</v>
      </c>
    </row>
    <row r="77" spans="1:32">
      <c r="A77" s="96" t="s">
        <v>417</v>
      </c>
      <c r="B77" s="735" t="s">
        <v>12</v>
      </c>
      <c r="C77" s="663">
        <v>35000</v>
      </c>
      <c r="D77" s="736">
        <f t="shared" si="0"/>
        <v>16.826923076923077</v>
      </c>
      <c r="E77" s="663">
        <v>0</v>
      </c>
      <c r="F77" s="663">
        <f t="shared" ref="F77:F78" si="2">(C77*$F$13)</f>
        <v>14000</v>
      </c>
      <c r="G77" s="663">
        <f t="shared" ref="G77:G78" si="3">SUM(C77,E77:F77)</f>
        <v>49000</v>
      </c>
      <c r="H77" s="663"/>
      <c r="I77" s="736"/>
      <c r="J77" s="663"/>
      <c r="K77" s="683">
        <v>0</v>
      </c>
      <c r="L77" s="665">
        <f>G77*0.25</f>
        <v>12250</v>
      </c>
      <c r="M77" s="666">
        <f>G77*0.5</f>
        <v>24500</v>
      </c>
      <c r="N77" s="666">
        <f>($G$77*0.5*L11)</f>
        <v>24990</v>
      </c>
      <c r="O77" s="666">
        <f t="shared" ref="O77:AE77" si="4">($G$77*0.5*M11)</f>
        <v>25489.8</v>
      </c>
      <c r="P77" s="666">
        <f t="shared" si="4"/>
        <v>25999.595999999998</v>
      </c>
      <c r="Q77" s="666">
        <f t="shared" si="4"/>
        <v>26519.587919999998</v>
      </c>
      <c r="R77" s="666">
        <f t="shared" si="4"/>
        <v>27049.979678399999</v>
      </c>
      <c r="S77" s="666">
        <f t="shared" si="4"/>
        <v>27590.979271968001</v>
      </c>
      <c r="T77" s="666">
        <f t="shared" si="4"/>
        <v>28142.798857407361</v>
      </c>
      <c r="U77" s="666">
        <f t="shared" si="4"/>
        <v>28705.654834555509</v>
      </c>
      <c r="V77" s="666">
        <f t="shared" si="4"/>
        <v>29279.767931246621</v>
      </c>
      <c r="W77" s="666">
        <f t="shared" si="4"/>
        <v>29865.363289871555</v>
      </c>
      <c r="X77" s="666">
        <f t="shared" si="4"/>
        <v>30462.670555668985</v>
      </c>
      <c r="Y77" s="666">
        <f t="shared" si="4"/>
        <v>31071.923966782364</v>
      </c>
      <c r="Z77" s="666">
        <f t="shared" si="4"/>
        <v>31693.362446118008</v>
      </c>
      <c r="AA77" s="666">
        <f t="shared" si="4"/>
        <v>32327.229695040372</v>
      </c>
      <c r="AB77" s="666">
        <f t="shared" si="4"/>
        <v>32973.774288941182</v>
      </c>
      <c r="AC77" s="666">
        <f t="shared" si="4"/>
        <v>33633.249774720003</v>
      </c>
      <c r="AD77" s="666">
        <f t="shared" si="4"/>
        <v>34305.914770214411</v>
      </c>
      <c r="AE77" s="666">
        <f t="shared" si="4"/>
        <v>34992.0330656187</v>
      </c>
    </row>
    <row r="78" spans="1:32">
      <c r="A78" s="737" t="s">
        <v>422</v>
      </c>
      <c r="B78" s="738" t="s">
        <v>15</v>
      </c>
      <c r="C78" s="739">
        <v>15000</v>
      </c>
      <c r="D78" s="740">
        <f t="shared" si="0"/>
        <v>7.2115384615384617</v>
      </c>
      <c r="E78" s="739">
        <f>C78*$L$15</f>
        <v>0</v>
      </c>
      <c r="F78" s="739">
        <f t="shared" si="2"/>
        <v>6000</v>
      </c>
      <c r="G78" s="739">
        <f t="shared" si="3"/>
        <v>21000</v>
      </c>
      <c r="H78" s="739"/>
      <c r="I78" s="740"/>
      <c r="J78" s="739"/>
      <c r="K78" s="741">
        <v>0</v>
      </c>
      <c r="L78" s="742">
        <v>0</v>
      </c>
      <c r="M78" s="742">
        <f t="shared" ref="M78" si="5">G78</f>
        <v>21000</v>
      </c>
      <c r="N78" s="742">
        <f>($G$78*L11)</f>
        <v>21420</v>
      </c>
      <c r="O78" s="742">
        <f t="shared" ref="O78:AE78" si="6">($G$78*M11)</f>
        <v>21848.400000000001</v>
      </c>
      <c r="P78" s="742">
        <f t="shared" si="6"/>
        <v>22285.367999999999</v>
      </c>
      <c r="Q78" s="742">
        <f t="shared" si="6"/>
        <v>22731.075359999999</v>
      </c>
      <c r="R78" s="742">
        <f t="shared" si="6"/>
        <v>23185.6968672</v>
      </c>
      <c r="S78" s="742">
        <f t="shared" si="6"/>
        <v>23649.410804544001</v>
      </c>
      <c r="T78" s="742">
        <f t="shared" si="6"/>
        <v>24122.399020634883</v>
      </c>
      <c r="U78" s="742">
        <f t="shared" si="6"/>
        <v>24604.847001047579</v>
      </c>
      <c r="V78" s="742">
        <f t="shared" si="6"/>
        <v>25096.943941068534</v>
      </c>
      <c r="W78" s="742">
        <f t="shared" si="6"/>
        <v>25598.882819889903</v>
      </c>
      <c r="X78" s="742">
        <f t="shared" si="6"/>
        <v>26110.8604762877</v>
      </c>
      <c r="Y78" s="742">
        <f t="shared" si="6"/>
        <v>26633.077685813456</v>
      </c>
      <c r="Z78" s="742">
        <f t="shared" si="6"/>
        <v>27165.739239529721</v>
      </c>
      <c r="AA78" s="742">
        <f t="shared" si="6"/>
        <v>27709.054024320321</v>
      </c>
      <c r="AB78" s="742">
        <f t="shared" si="6"/>
        <v>28263.235104806728</v>
      </c>
      <c r="AC78" s="742">
        <f t="shared" si="6"/>
        <v>28828.499806902862</v>
      </c>
      <c r="AD78" s="742">
        <f t="shared" si="6"/>
        <v>29405.069803040922</v>
      </c>
      <c r="AE78" s="742">
        <f t="shared" si="6"/>
        <v>29993.17119910174</v>
      </c>
    </row>
    <row r="79" spans="1:32" s="56" customFormat="1" ht="14.25">
      <c r="A79" s="164" t="s">
        <v>416</v>
      </c>
      <c r="B79" s="164"/>
      <c r="C79" s="667">
        <f>SUM(C76:C78)</f>
        <v>125000</v>
      </c>
      <c r="D79" s="667"/>
      <c r="E79" s="667">
        <f>SUM(E76:E78)</f>
        <v>0</v>
      </c>
      <c r="F79" s="667">
        <f>SUM(F76:F78)</f>
        <v>50000</v>
      </c>
      <c r="G79" s="667">
        <f>SUM(G76:G78)</f>
        <v>175000</v>
      </c>
      <c r="H79" s="667"/>
      <c r="I79" s="668"/>
      <c r="J79" s="667"/>
      <c r="K79" s="685">
        <f>SUMIF($B76:$B78,"FT",K76:K78)</f>
        <v>0</v>
      </c>
      <c r="L79" s="669">
        <f t="shared" ref="L79:AE79" si="7">SUM(L76:L78)</f>
        <v>12250</v>
      </c>
      <c r="M79" s="669">
        <f t="shared" si="7"/>
        <v>150500</v>
      </c>
      <c r="N79" s="669">
        <f t="shared" si="7"/>
        <v>153510</v>
      </c>
      <c r="O79" s="669">
        <f t="shared" si="7"/>
        <v>156580.19999999998</v>
      </c>
      <c r="P79" s="669">
        <f t="shared" si="7"/>
        <v>159711.80399999997</v>
      </c>
      <c r="Q79" s="669">
        <f>SUM(Q76:Q78)</f>
        <v>162906.04007999998</v>
      </c>
      <c r="R79" s="669">
        <f t="shared" si="7"/>
        <v>166164.16088159999</v>
      </c>
      <c r="S79" s="669">
        <f t="shared" si="7"/>
        <v>169487.444099232</v>
      </c>
      <c r="T79" s="669">
        <f t="shared" si="7"/>
        <v>172877.19298121665</v>
      </c>
      <c r="U79" s="669">
        <f t="shared" si="7"/>
        <v>176334.73684084098</v>
      </c>
      <c r="V79" s="669">
        <f t="shared" si="7"/>
        <v>179861.43157765782</v>
      </c>
      <c r="W79" s="669">
        <f t="shared" si="7"/>
        <v>183458.66020921097</v>
      </c>
      <c r="X79" s="669">
        <f t="shared" si="7"/>
        <v>187127.83341339519</v>
      </c>
      <c r="Y79" s="669">
        <f t="shared" si="7"/>
        <v>190870.39008166309</v>
      </c>
      <c r="Z79" s="669">
        <f t="shared" si="7"/>
        <v>194687.79788329633</v>
      </c>
      <c r="AA79" s="669">
        <f t="shared" si="7"/>
        <v>198581.5538409623</v>
      </c>
      <c r="AB79" s="669">
        <f t="shared" si="7"/>
        <v>202553.18491778153</v>
      </c>
      <c r="AC79" s="669">
        <f t="shared" si="7"/>
        <v>206604.24861613716</v>
      </c>
      <c r="AD79" s="669">
        <f t="shared" si="7"/>
        <v>210736.33358845994</v>
      </c>
      <c r="AE79" s="669">
        <f t="shared" si="7"/>
        <v>214951.06026022913</v>
      </c>
    </row>
    <row r="80" spans="1:32" s="56" customFormat="1" ht="14.25">
      <c r="A80" s="164"/>
      <c r="B80" s="164"/>
      <c r="C80" s="667"/>
      <c r="D80" s="667"/>
      <c r="E80" s="667"/>
      <c r="F80" s="667"/>
      <c r="G80" s="667"/>
      <c r="H80" s="667"/>
      <c r="I80" s="668"/>
      <c r="J80" s="667"/>
      <c r="K80" s="685"/>
      <c r="L80" s="669"/>
      <c r="M80" s="669"/>
      <c r="N80" s="669"/>
      <c r="O80" s="669"/>
      <c r="P80" s="669"/>
      <c r="Q80" s="669"/>
      <c r="R80" s="669"/>
      <c r="S80" s="669"/>
      <c r="T80" s="669"/>
      <c r="U80" s="669"/>
      <c r="V80" s="669"/>
      <c r="W80" s="669"/>
      <c r="X80" s="669"/>
      <c r="Y80" s="669"/>
      <c r="Z80" s="669"/>
      <c r="AA80" s="669"/>
      <c r="AB80" s="669"/>
      <c r="AC80" s="669"/>
      <c r="AD80" s="669"/>
      <c r="AE80" s="669"/>
    </row>
    <row r="81" spans="1:35">
      <c r="A81" s="37" t="s">
        <v>411</v>
      </c>
      <c r="B81" s="37"/>
      <c r="C81" s="57"/>
      <c r="E81" s="57"/>
      <c r="F81" s="57"/>
      <c r="G81" s="57"/>
      <c r="H81" s="57"/>
      <c r="I81" s="43"/>
      <c r="J81" s="42"/>
      <c r="K81" s="743">
        <f>COUNTIF(K76:K78,"&gt;100")</f>
        <v>0</v>
      </c>
      <c r="L81" s="496">
        <f t="shared" ref="L81:AE81" si="8">COUNTIF(L76:L77,"&gt;100")</f>
        <v>1</v>
      </c>
      <c r="M81" s="496">
        <f t="shared" si="8"/>
        <v>2</v>
      </c>
      <c r="N81" s="496">
        <f t="shared" si="8"/>
        <v>2</v>
      </c>
      <c r="O81" s="496">
        <f t="shared" si="8"/>
        <v>2</v>
      </c>
      <c r="P81" s="496">
        <f t="shared" si="8"/>
        <v>2</v>
      </c>
      <c r="Q81" s="496">
        <f t="shared" si="8"/>
        <v>2</v>
      </c>
      <c r="R81" s="496">
        <f t="shared" si="8"/>
        <v>2</v>
      </c>
      <c r="S81" s="496">
        <f t="shared" si="8"/>
        <v>2</v>
      </c>
      <c r="T81" s="496">
        <f t="shared" si="8"/>
        <v>2</v>
      </c>
      <c r="U81" s="496">
        <f t="shared" si="8"/>
        <v>2</v>
      </c>
      <c r="V81" s="496">
        <f t="shared" si="8"/>
        <v>2</v>
      </c>
      <c r="W81" s="496">
        <f t="shared" si="8"/>
        <v>2</v>
      </c>
      <c r="X81" s="496">
        <f t="shared" si="8"/>
        <v>2</v>
      </c>
      <c r="Y81" s="496">
        <f t="shared" si="8"/>
        <v>2</v>
      </c>
      <c r="Z81" s="496">
        <f t="shared" si="8"/>
        <v>2</v>
      </c>
      <c r="AA81" s="496">
        <f t="shared" si="8"/>
        <v>2</v>
      </c>
      <c r="AB81" s="496">
        <f t="shared" si="8"/>
        <v>2</v>
      </c>
      <c r="AC81" s="496">
        <f t="shared" si="8"/>
        <v>2</v>
      </c>
      <c r="AD81" s="496">
        <f t="shared" si="8"/>
        <v>2</v>
      </c>
      <c r="AE81" s="496">
        <f t="shared" si="8"/>
        <v>2</v>
      </c>
      <c r="AF81" s="744"/>
    </row>
    <row r="82" spans="1:35">
      <c r="A82" s="745" t="s">
        <v>412</v>
      </c>
      <c r="B82" s="745"/>
      <c r="C82" s="746"/>
      <c r="D82" s="116"/>
      <c r="E82" s="746"/>
      <c r="F82" s="746"/>
      <c r="G82" s="746"/>
      <c r="H82" s="746"/>
      <c r="I82" s="747"/>
      <c r="J82" s="748"/>
      <c r="K82" s="749">
        <f t="shared" ref="K82" si="9">K83-K81</f>
        <v>0</v>
      </c>
      <c r="L82" s="750">
        <f t="shared" ref="L82:AE82" si="10">COUNTIF(L78:L78,"&gt;100")</f>
        <v>0</v>
      </c>
      <c r="M82" s="750">
        <f t="shared" si="10"/>
        <v>1</v>
      </c>
      <c r="N82" s="750">
        <f t="shared" si="10"/>
        <v>1</v>
      </c>
      <c r="O82" s="750">
        <f t="shared" si="10"/>
        <v>1</v>
      </c>
      <c r="P82" s="750">
        <f t="shared" si="10"/>
        <v>1</v>
      </c>
      <c r="Q82" s="750">
        <f t="shared" si="10"/>
        <v>1</v>
      </c>
      <c r="R82" s="750">
        <f t="shared" si="10"/>
        <v>1</v>
      </c>
      <c r="S82" s="750">
        <f t="shared" si="10"/>
        <v>1</v>
      </c>
      <c r="T82" s="750">
        <f t="shared" si="10"/>
        <v>1</v>
      </c>
      <c r="U82" s="750">
        <f t="shared" si="10"/>
        <v>1</v>
      </c>
      <c r="V82" s="750">
        <f t="shared" si="10"/>
        <v>1</v>
      </c>
      <c r="W82" s="750">
        <f t="shared" si="10"/>
        <v>1</v>
      </c>
      <c r="X82" s="750">
        <f t="shared" si="10"/>
        <v>1</v>
      </c>
      <c r="Y82" s="750">
        <f t="shared" si="10"/>
        <v>1</v>
      </c>
      <c r="Z82" s="750">
        <f t="shared" si="10"/>
        <v>1</v>
      </c>
      <c r="AA82" s="750">
        <f t="shared" si="10"/>
        <v>1</v>
      </c>
      <c r="AB82" s="750">
        <f t="shared" si="10"/>
        <v>1</v>
      </c>
      <c r="AC82" s="750">
        <f t="shared" si="10"/>
        <v>1</v>
      </c>
      <c r="AD82" s="750">
        <f t="shared" si="10"/>
        <v>1</v>
      </c>
      <c r="AE82" s="750">
        <f t="shared" si="10"/>
        <v>1</v>
      </c>
    </row>
    <row r="83" spans="1:35" s="56" customFormat="1" ht="14.25">
      <c r="A83" s="164" t="s">
        <v>413</v>
      </c>
      <c r="B83" s="164"/>
      <c r="C83" s="75"/>
      <c r="D83" s="173"/>
      <c r="E83" s="75"/>
      <c r="F83" s="75"/>
      <c r="G83" s="75"/>
      <c r="H83" s="75"/>
      <c r="I83" s="174"/>
      <c r="J83" s="181"/>
      <c r="K83" s="751">
        <f>COUNTIF(K76:K78,"&gt;0")</f>
        <v>0</v>
      </c>
      <c r="L83" s="752">
        <f>SUM(L81:L82)</f>
        <v>1</v>
      </c>
      <c r="M83" s="752">
        <f t="shared" ref="M83:AE83" si="11">SUM(M81:M82)</f>
        <v>3</v>
      </c>
      <c r="N83" s="752">
        <f t="shared" si="11"/>
        <v>3</v>
      </c>
      <c r="O83" s="752">
        <f t="shared" si="11"/>
        <v>3</v>
      </c>
      <c r="P83" s="752">
        <f t="shared" si="11"/>
        <v>3</v>
      </c>
      <c r="Q83" s="752">
        <f t="shared" si="11"/>
        <v>3</v>
      </c>
      <c r="R83" s="752">
        <f t="shared" si="11"/>
        <v>3</v>
      </c>
      <c r="S83" s="752">
        <f t="shared" si="11"/>
        <v>3</v>
      </c>
      <c r="T83" s="752">
        <f t="shared" si="11"/>
        <v>3</v>
      </c>
      <c r="U83" s="752">
        <f t="shared" si="11"/>
        <v>3</v>
      </c>
      <c r="V83" s="752">
        <f t="shared" si="11"/>
        <v>3</v>
      </c>
      <c r="W83" s="752">
        <f t="shared" si="11"/>
        <v>3</v>
      </c>
      <c r="X83" s="752">
        <f t="shared" si="11"/>
        <v>3</v>
      </c>
      <c r="Y83" s="752">
        <f t="shared" si="11"/>
        <v>3</v>
      </c>
      <c r="Z83" s="752">
        <f t="shared" si="11"/>
        <v>3</v>
      </c>
      <c r="AA83" s="752">
        <f t="shared" si="11"/>
        <v>3</v>
      </c>
      <c r="AB83" s="752">
        <f t="shared" si="11"/>
        <v>3</v>
      </c>
      <c r="AC83" s="752">
        <f t="shared" si="11"/>
        <v>3</v>
      </c>
      <c r="AD83" s="752">
        <f t="shared" si="11"/>
        <v>3</v>
      </c>
      <c r="AE83" s="752">
        <f t="shared" si="11"/>
        <v>3</v>
      </c>
    </row>
    <row r="84" spans="1:35" s="56" customFormat="1" ht="14.25">
      <c r="A84" s="164"/>
      <c r="B84" s="164"/>
      <c r="C84" s="75"/>
      <c r="D84" s="173"/>
      <c r="E84" s="75"/>
      <c r="F84" s="75"/>
      <c r="G84" s="75"/>
      <c r="H84" s="75"/>
      <c r="I84" s="174"/>
      <c r="J84" s="181"/>
      <c r="K84" s="685"/>
      <c r="L84" s="315"/>
      <c r="M84" s="315"/>
      <c r="N84" s="315"/>
      <c r="O84" s="315"/>
      <c r="P84" s="315"/>
      <c r="Q84" s="315"/>
      <c r="R84" s="315"/>
      <c r="S84" s="315"/>
      <c r="T84" s="315"/>
      <c r="U84" s="315"/>
      <c r="V84" s="315"/>
      <c r="W84" s="315"/>
      <c r="X84" s="315"/>
      <c r="Y84" s="315"/>
      <c r="Z84" s="315"/>
      <c r="AA84" s="315"/>
      <c r="AB84" s="315"/>
      <c r="AC84" s="315"/>
      <c r="AD84" s="315"/>
      <c r="AE84" s="315"/>
    </row>
    <row r="85" spans="1:35">
      <c r="A85" s="48" t="s">
        <v>68</v>
      </c>
      <c r="B85" s="48"/>
      <c r="C85" s="77"/>
      <c r="D85" s="76"/>
      <c r="E85" s="57"/>
      <c r="F85" s="57"/>
      <c r="G85" s="77"/>
      <c r="H85" s="77"/>
      <c r="I85" s="50"/>
      <c r="J85" s="49"/>
      <c r="K85" s="683"/>
      <c r="L85" s="316"/>
      <c r="M85" s="316"/>
      <c r="N85" s="316"/>
      <c r="O85" s="316"/>
      <c r="P85" s="316"/>
      <c r="Q85" s="316"/>
      <c r="R85" s="316"/>
      <c r="S85" s="316"/>
      <c r="T85" s="316"/>
      <c r="U85" s="316"/>
      <c r="V85" s="316"/>
      <c r="W85" s="316"/>
      <c r="X85" s="316"/>
      <c r="Y85" s="316"/>
      <c r="Z85" s="316"/>
      <c r="AA85" s="316"/>
      <c r="AB85" s="316"/>
      <c r="AC85" s="316"/>
      <c r="AD85" s="316"/>
      <c r="AE85" s="316"/>
    </row>
    <row r="86" spans="1:35" s="68" customFormat="1" ht="14.25">
      <c r="A86" s="214" t="s">
        <v>80</v>
      </c>
      <c r="B86" s="189"/>
      <c r="C86" s="209"/>
      <c r="D86" s="210"/>
      <c r="E86" s="211"/>
      <c r="F86" s="211"/>
      <c r="G86" s="209"/>
      <c r="H86" s="209"/>
      <c r="I86" s="213"/>
      <c r="J86" s="212"/>
      <c r="K86" s="686"/>
      <c r="L86" s="317"/>
      <c r="M86" s="317"/>
      <c r="N86" s="317"/>
      <c r="O86" s="317"/>
      <c r="P86" s="317"/>
      <c r="Q86" s="317"/>
      <c r="R86" s="317"/>
      <c r="S86" s="317"/>
      <c r="T86" s="317"/>
      <c r="U86" s="317"/>
      <c r="V86" s="317"/>
      <c r="W86" s="317"/>
      <c r="X86" s="317"/>
      <c r="Y86" s="317"/>
      <c r="Z86" s="317"/>
      <c r="AA86" s="317"/>
      <c r="AB86" s="317"/>
      <c r="AC86" s="317"/>
      <c r="AD86" s="317"/>
      <c r="AE86" s="317"/>
    </row>
    <row r="87" spans="1:35">
      <c r="A87" s="37" t="s">
        <v>41</v>
      </c>
      <c r="B87" s="37"/>
      <c r="C87" s="110"/>
      <c r="D87" s="106"/>
      <c r="E87" s="57"/>
      <c r="F87" s="57"/>
      <c r="G87" s="57"/>
      <c r="H87" s="57"/>
      <c r="I87" s="51"/>
      <c r="J87" s="663"/>
      <c r="K87" s="683">
        <f>K$83*$J87*R$9</f>
        <v>0</v>
      </c>
      <c r="L87" s="666">
        <v>25000</v>
      </c>
      <c r="M87" s="666">
        <f>$L$87*L11</f>
        <v>25500</v>
      </c>
      <c r="N87" s="666">
        <f t="shared" ref="N87:AE87" si="12">$L$87*M11</f>
        <v>26010</v>
      </c>
      <c r="O87" s="666">
        <f t="shared" si="12"/>
        <v>26530.199999999997</v>
      </c>
      <c r="P87" s="666">
        <f t="shared" si="12"/>
        <v>27060.804</v>
      </c>
      <c r="Q87" s="666">
        <f t="shared" si="12"/>
        <v>27602.020080000002</v>
      </c>
      <c r="R87" s="666">
        <f t="shared" si="12"/>
        <v>28154.060481600001</v>
      </c>
      <c r="S87" s="666">
        <f t="shared" si="12"/>
        <v>28717.141691232002</v>
      </c>
      <c r="T87" s="666">
        <f t="shared" si="12"/>
        <v>29291.484525056643</v>
      </c>
      <c r="U87" s="666">
        <f t="shared" si="12"/>
        <v>29877.314215557777</v>
      </c>
      <c r="V87" s="666">
        <f t="shared" si="12"/>
        <v>30474.860499868933</v>
      </c>
      <c r="W87" s="666">
        <f t="shared" si="12"/>
        <v>31084.357709866312</v>
      </c>
      <c r="X87" s="666">
        <f t="shared" si="12"/>
        <v>31706.044864063639</v>
      </c>
      <c r="Y87" s="666">
        <f t="shared" si="12"/>
        <v>32340.165761344906</v>
      </c>
      <c r="Z87" s="666">
        <f t="shared" si="12"/>
        <v>32986.969076571811</v>
      </c>
      <c r="AA87" s="666">
        <f t="shared" si="12"/>
        <v>33646.708458103247</v>
      </c>
      <c r="AB87" s="666">
        <f t="shared" si="12"/>
        <v>34319.642627265312</v>
      </c>
      <c r="AC87" s="666">
        <f t="shared" si="12"/>
        <v>35006.03547981062</v>
      </c>
      <c r="AD87" s="666">
        <f t="shared" si="12"/>
        <v>35706.156189406836</v>
      </c>
      <c r="AE87" s="666">
        <f t="shared" si="12"/>
        <v>36420.279313194973</v>
      </c>
    </row>
    <row r="88" spans="1:35">
      <c r="A88" s="37" t="s">
        <v>424</v>
      </c>
      <c r="B88" s="37"/>
      <c r="C88" s="110"/>
      <c r="D88" s="106"/>
      <c r="E88" s="57"/>
      <c r="F88" s="57"/>
      <c r="G88" s="57"/>
      <c r="H88" s="57"/>
      <c r="I88" s="51"/>
      <c r="J88" s="663"/>
      <c r="K88" s="683">
        <f>K$83*$J88*R$9</f>
        <v>0</v>
      </c>
      <c r="L88" s="666">
        <v>10000</v>
      </c>
      <c r="M88" s="666">
        <v>500</v>
      </c>
      <c r="N88" s="666">
        <f>$M$88*M11</f>
        <v>520.20000000000005</v>
      </c>
      <c r="O88" s="666">
        <f>$M$88*N11</f>
        <v>530.60399999999993</v>
      </c>
      <c r="P88" s="666">
        <f>$M$88*O11</f>
        <v>541.21608000000003</v>
      </c>
      <c r="Q88" s="666">
        <v>5000</v>
      </c>
      <c r="R88" s="666">
        <f>$M$88*Q11</f>
        <v>563.08120963200008</v>
      </c>
      <c r="S88" s="666">
        <f>$M$88*R11</f>
        <v>574.34283382464002</v>
      </c>
      <c r="T88" s="666">
        <f>$M$88*S11</f>
        <v>585.82969050113286</v>
      </c>
      <c r="U88" s="666">
        <f>$M$88*T11</f>
        <v>597.54628431115555</v>
      </c>
      <c r="V88" s="666">
        <v>5000</v>
      </c>
      <c r="W88" s="666">
        <f>$M$88*V11</f>
        <v>621.68715419732621</v>
      </c>
      <c r="X88" s="666">
        <f>$M$88*W11</f>
        <v>634.12089728127273</v>
      </c>
      <c r="Y88" s="666">
        <f>$M$88*X11</f>
        <v>646.80331522689812</v>
      </c>
      <c r="Z88" s="666">
        <f>$M$88*Y11</f>
        <v>659.73938153143615</v>
      </c>
      <c r="AA88" s="666">
        <v>5000</v>
      </c>
      <c r="AB88" s="666">
        <f>$M$88*AA11</f>
        <v>686.39285254530625</v>
      </c>
      <c r="AC88" s="666">
        <f>$M$88*AB11</f>
        <v>700.12070959621246</v>
      </c>
      <c r="AD88" s="666">
        <f>$M$88*AC11</f>
        <v>714.1231237881367</v>
      </c>
      <c r="AE88" s="666">
        <f>$M$88*AD11</f>
        <v>728.40558626389941</v>
      </c>
    </row>
    <row r="89" spans="1:35">
      <c r="A89" s="37" t="s">
        <v>42</v>
      </c>
      <c r="B89" s="37"/>
      <c r="C89" s="110"/>
      <c r="D89" s="106"/>
      <c r="E89" s="57"/>
      <c r="F89" s="57"/>
      <c r="G89" s="57"/>
      <c r="H89" s="57"/>
      <c r="I89" s="51"/>
      <c r="J89" s="663"/>
      <c r="K89" s="683">
        <f>K$83*$J89*R$9</f>
        <v>0</v>
      </c>
      <c r="L89" s="666">
        <v>50000</v>
      </c>
      <c r="M89" s="666">
        <f t="shared" ref="M89:AE89" si="13">($L$89*L11)</f>
        <v>51000</v>
      </c>
      <c r="N89" s="666">
        <f t="shared" si="13"/>
        <v>52020</v>
      </c>
      <c r="O89" s="666">
        <f t="shared" si="13"/>
        <v>53060.399999999994</v>
      </c>
      <c r="P89" s="666">
        <f t="shared" si="13"/>
        <v>54121.608</v>
      </c>
      <c r="Q89" s="666">
        <f t="shared" si="13"/>
        <v>55204.040160000004</v>
      </c>
      <c r="R89" s="666">
        <f t="shared" si="13"/>
        <v>56308.120963200003</v>
      </c>
      <c r="S89" s="666">
        <f t="shared" si="13"/>
        <v>57434.283382464004</v>
      </c>
      <c r="T89" s="666">
        <f t="shared" si="13"/>
        <v>58582.969050113286</v>
      </c>
      <c r="U89" s="666">
        <f t="shared" si="13"/>
        <v>59754.628431115554</v>
      </c>
      <c r="V89" s="666">
        <f t="shared" si="13"/>
        <v>60949.720999737867</v>
      </c>
      <c r="W89" s="666">
        <f t="shared" si="13"/>
        <v>62168.715419732624</v>
      </c>
      <c r="X89" s="666">
        <f t="shared" si="13"/>
        <v>63412.089728127277</v>
      </c>
      <c r="Y89" s="666">
        <f t="shared" si="13"/>
        <v>64680.331522689812</v>
      </c>
      <c r="Z89" s="666">
        <f t="shared" si="13"/>
        <v>65973.938153143623</v>
      </c>
      <c r="AA89" s="666">
        <f t="shared" si="13"/>
        <v>67293.416916206494</v>
      </c>
      <c r="AB89" s="666">
        <f t="shared" si="13"/>
        <v>68639.285254530623</v>
      </c>
      <c r="AC89" s="666">
        <f t="shared" si="13"/>
        <v>70012.07095962124</v>
      </c>
      <c r="AD89" s="666">
        <f t="shared" si="13"/>
        <v>71412.312378813673</v>
      </c>
      <c r="AE89" s="666">
        <f t="shared" si="13"/>
        <v>72840.558626389946</v>
      </c>
    </row>
    <row r="90" spans="1:35">
      <c r="A90" s="37" t="s">
        <v>43</v>
      </c>
      <c r="B90" s="37"/>
      <c r="C90" s="110"/>
      <c r="D90" s="106"/>
      <c r="E90" s="57"/>
      <c r="F90" s="57"/>
      <c r="G90" s="57"/>
      <c r="H90" s="57"/>
      <c r="I90" s="51" t="s">
        <v>8</v>
      </c>
      <c r="J90" s="663">
        <v>500</v>
      </c>
      <c r="K90" s="683">
        <v>0</v>
      </c>
      <c r="L90" s="666">
        <f>J90*L83</f>
        <v>500</v>
      </c>
      <c r="M90" s="666">
        <f t="shared" ref="M90:AE90" si="14">$J$90*M83*L11</f>
        <v>1530</v>
      </c>
      <c r="N90" s="666">
        <f t="shared" si="14"/>
        <v>1560.6</v>
      </c>
      <c r="O90" s="666">
        <f t="shared" si="14"/>
        <v>1591.8119999999999</v>
      </c>
      <c r="P90" s="666">
        <f t="shared" si="14"/>
        <v>1623.64824</v>
      </c>
      <c r="Q90" s="666">
        <f t="shared" si="14"/>
        <v>1656.1212048</v>
      </c>
      <c r="R90" s="666">
        <f t="shared" si="14"/>
        <v>1689.243628896</v>
      </c>
      <c r="S90" s="666">
        <f t="shared" si="14"/>
        <v>1723.02850147392</v>
      </c>
      <c r="T90" s="666">
        <f t="shared" si="14"/>
        <v>1757.4890715033987</v>
      </c>
      <c r="U90" s="666">
        <f t="shared" si="14"/>
        <v>1792.6388529334665</v>
      </c>
      <c r="V90" s="666">
        <f t="shared" si="14"/>
        <v>1828.491629992136</v>
      </c>
      <c r="W90" s="666">
        <f t="shared" si="14"/>
        <v>1865.0614625919786</v>
      </c>
      <c r="X90" s="666">
        <f t="shared" si="14"/>
        <v>1902.3626918438183</v>
      </c>
      <c r="Y90" s="666">
        <f t="shared" si="14"/>
        <v>1940.4099456806944</v>
      </c>
      <c r="Z90" s="666">
        <f t="shared" si="14"/>
        <v>1979.2181445943086</v>
      </c>
      <c r="AA90" s="666">
        <f t="shared" si="14"/>
        <v>2018.8025074861948</v>
      </c>
      <c r="AB90" s="666">
        <f t="shared" si="14"/>
        <v>2059.1785576359189</v>
      </c>
      <c r="AC90" s="666">
        <f t="shared" si="14"/>
        <v>2100.3621287886372</v>
      </c>
      <c r="AD90" s="666">
        <f t="shared" si="14"/>
        <v>2142.3693713644102</v>
      </c>
      <c r="AE90" s="666">
        <f t="shared" si="14"/>
        <v>2185.2167587916983</v>
      </c>
    </row>
    <row r="91" spans="1:35">
      <c r="A91" s="37" t="s">
        <v>44</v>
      </c>
      <c r="B91" s="37"/>
      <c r="C91" s="110"/>
      <c r="D91" s="106"/>
      <c r="E91" s="57"/>
      <c r="F91" s="57"/>
      <c r="G91" s="57"/>
      <c r="H91" s="57"/>
      <c r="I91" s="51" t="s">
        <v>8</v>
      </c>
      <c r="J91" s="663">
        <v>250</v>
      </c>
      <c r="K91" s="683">
        <v>0</v>
      </c>
      <c r="L91" s="666">
        <f>J91*L83</f>
        <v>250</v>
      </c>
      <c r="M91" s="666">
        <f t="shared" ref="M91:AE91" si="15">$J$91*M83*L11</f>
        <v>765</v>
      </c>
      <c r="N91" s="666">
        <f t="shared" si="15"/>
        <v>780.3</v>
      </c>
      <c r="O91" s="666">
        <f t="shared" si="15"/>
        <v>795.90599999999995</v>
      </c>
      <c r="P91" s="666">
        <f t="shared" si="15"/>
        <v>811.82411999999999</v>
      </c>
      <c r="Q91" s="666">
        <f t="shared" si="15"/>
        <v>828.06060239999999</v>
      </c>
      <c r="R91" s="666">
        <f t="shared" si="15"/>
        <v>844.62181444800001</v>
      </c>
      <c r="S91" s="666">
        <f t="shared" si="15"/>
        <v>861.51425073695998</v>
      </c>
      <c r="T91" s="666">
        <f t="shared" si="15"/>
        <v>878.74453575169935</v>
      </c>
      <c r="U91" s="666">
        <f t="shared" si="15"/>
        <v>896.31942646673326</v>
      </c>
      <c r="V91" s="666">
        <f t="shared" si="15"/>
        <v>914.24581499606802</v>
      </c>
      <c r="W91" s="666">
        <f t="shared" si="15"/>
        <v>932.53073129598931</v>
      </c>
      <c r="X91" s="666">
        <f t="shared" si="15"/>
        <v>951.18134592190916</v>
      </c>
      <c r="Y91" s="666">
        <f t="shared" si="15"/>
        <v>970.20497284034718</v>
      </c>
      <c r="Z91" s="666">
        <f t="shared" si="15"/>
        <v>989.60907229715428</v>
      </c>
      <c r="AA91" s="666">
        <f t="shared" si="15"/>
        <v>1009.4012537430974</v>
      </c>
      <c r="AB91" s="666">
        <f t="shared" si="15"/>
        <v>1029.5892788179594</v>
      </c>
      <c r="AC91" s="666">
        <f t="shared" si="15"/>
        <v>1050.1810643943186</v>
      </c>
      <c r="AD91" s="666">
        <f t="shared" si="15"/>
        <v>1071.1846856822051</v>
      </c>
      <c r="AE91" s="666">
        <f t="shared" si="15"/>
        <v>1092.6083793958492</v>
      </c>
      <c r="AF91" s="44"/>
    </row>
    <row r="92" spans="1:35">
      <c r="A92" s="745" t="s">
        <v>2</v>
      </c>
      <c r="B92" s="745"/>
      <c r="C92" s="753"/>
      <c r="D92" s="754"/>
      <c r="E92" s="746"/>
      <c r="F92" s="746"/>
      <c r="G92" s="746"/>
      <c r="H92" s="746"/>
      <c r="I92" s="755"/>
      <c r="J92" s="739"/>
      <c r="K92" s="741">
        <v>0</v>
      </c>
      <c r="L92" s="742">
        <v>1000</v>
      </c>
      <c r="M92" s="742">
        <f t="shared" ref="M92:AE92" si="16">($L$92*L11)</f>
        <v>1020</v>
      </c>
      <c r="N92" s="742">
        <f t="shared" si="16"/>
        <v>1040.4000000000001</v>
      </c>
      <c r="O92" s="742">
        <f t="shared" si="16"/>
        <v>1061.2079999999999</v>
      </c>
      <c r="P92" s="742">
        <f t="shared" si="16"/>
        <v>1082.4321600000001</v>
      </c>
      <c r="Q92" s="742">
        <f t="shared" si="16"/>
        <v>1104.0808032</v>
      </c>
      <c r="R92" s="742">
        <f t="shared" si="16"/>
        <v>1126.1624192640002</v>
      </c>
      <c r="S92" s="742">
        <f t="shared" si="16"/>
        <v>1148.68566764928</v>
      </c>
      <c r="T92" s="742">
        <f t="shared" si="16"/>
        <v>1171.6593810022657</v>
      </c>
      <c r="U92" s="742">
        <f t="shared" si="16"/>
        <v>1195.0925686223111</v>
      </c>
      <c r="V92" s="742">
        <f t="shared" si="16"/>
        <v>1218.9944199947574</v>
      </c>
      <c r="W92" s="742">
        <f t="shared" si="16"/>
        <v>1243.3743083946524</v>
      </c>
      <c r="X92" s="742">
        <f t="shared" si="16"/>
        <v>1268.2417945625455</v>
      </c>
      <c r="Y92" s="742">
        <f t="shared" si="16"/>
        <v>1293.6066304537962</v>
      </c>
      <c r="Z92" s="742">
        <f t="shared" si="16"/>
        <v>1319.4787630628723</v>
      </c>
      <c r="AA92" s="742">
        <f t="shared" si="16"/>
        <v>1345.8683383241298</v>
      </c>
      <c r="AB92" s="742">
        <f t="shared" si="16"/>
        <v>1372.7857050906125</v>
      </c>
      <c r="AC92" s="742">
        <f t="shared" si="16"/>
        <v>1400.2414191924249</v>
      </c>
      <c r="AD92" s="742">
        <f t="shared" si="16"/>
        <v>1428.2462475762734</v>
      </c>
      <c r="AE92" s="742">
        <f t="shared" si="16"/>
        <v>1456.8111725277988</v>
      </c>
    </row>
    <row r="93" spans="1:35" s="56" customFormat="1" ht="14.25">
      <c r="A93" s="164" t="s">
        <v>409</v>
      </c>
      <c r="B93" s="215"/>
      <c r="C93" s="216"/>
      <c r="D93" s="217"/>
      <c r="E93" s="218"/>
      <c r="F93" s="218"/>
      <c r="G93" s="218"/>
      <c r="H93" s="218"/>
      <c r="I93" s="219"/>
      <c r="J93" s="756"/>
      <c r="K93" s="687">
        <f>SUM(K87:K92)</f>
        <v>0</v>
      </c>
      <c r="L93" s="757">
        <f>SUM(L87:L92)</f>
        <v>86750</v>
      </c>
      <c r="M93" s="757">
        <f t="shared" ref="M93:AE93" si="17">SUM(M87:M92)</f>
        <v>80315</v>
      </c>
      <c r="N93" s="757">
        <f t="shared" si="17"/>
        <v>81931.5</v>
      </c>
      <c r="O93" s="757">
        <f t="shared" si="17"/>
        <v>83570.13</v>
      </c>
      <c r="P93" s="757">
        <f t="shared" si="17"/>
        <v>85241.532599999991</v>
      </c>
      <c r="Q93" s="757">
        <f>SUM(Q87:Q92)</f>
        <v>91394.322850400014</v>
      </c>
      <c r="R93" s="757">
        <f t="shared" si="17"/>
        <v>88685.290517040004</v>
      </c>
      <c r="S93" s="757">
        <f t="shared" si="17"/>
        <v>90458.996327380795</v>
      </c>
      <c r="T93" s="757">
        <f t="shared" si="17"/>
        <v>92268.176253928425</v>
      </c>
      <c r="U93" s="757">
        <f t="shared" si="17"/>
        <v>94113.539779006998</v>
      </c>
      <c r="V93" s="757">
        <f t="shared" si="17"/>
        <v>100386.31336458978</v>
      </c>
      <c r="W93" s="757">
        <f t="shared" si="17"/>
        <v>97915.726786078885</v>
      </c>
      <c r="X93" s="757">
        <f t="shared" si="17"/>
        <v>99874.041321800469</v>
      </c>
      <c r="Y93" s="757">
        <f t="shared" si="17"/>
        <v>101871.52214823647</v>
      </c>
      <c r="Z93" s="757">
        <f t="shared" si="17"/>
        <v>103908.9525912012</v>
      </c>
      <c r="AA93" s="757">
        <f t="shared" si="17"/>
        <v>110314.19747386317</v>
      </c>
      <c r="AB93" s="757">
        <f t="shared" si="17"/>
        <v>108106.87427588576</v>
      </c>
      <c r="AC93" s="757">
        <f t="shared" si="17"/>
        <v>110269.01176140344</v>
      </c>
      <c r="AD93" s="757">
        <f t="shared" si="17"/>
        <v>112474.39199663154</v>
      </c>
      <c r="AE93" s="757">
        <f t="shared" si="17"/>
        <v>114723.87983656416</v>
      </c>
    </row>
    <row r="94" spans="1:35" s="56" customFormat="1" ht="14.25">
      <c r="A94" s="164"/>
      <c r="B94" s="215"/>
      <c r="C94" s="216"/>
      <c r="D94" s="217"/>
      <c r="E94" s="218"/>
      <c r="F94" s="218"/>
      <c r="G94" s="218"/>
      <c r="H94" s="218"/>
      <c r="I94" s="219"/>
      <c r="J94" s="220"/>
      <c r="K94" s="687"/>
      <c r="L94" s="318"/>
      <c r="M94" s="318"/>
      <c r="N94" s="318"/>
      <c r="O94" s="318"/>
      <c r="P94" s="318"/>
      <c r="Q94" s="318"/>
      <c r="R94" s="318"/>
      <c r="S94" s="318"/>
      <c r="T94" s="318"/>
      <c r="U94" s="318"/>
      <c r="V94" s="318"/>
      <c r="W94" s="318"/>
      <c r="X94" s="318"/>
      <c r="Y94" s="318"/>
      <c r="Z94" s="318"/>
      <c r="AA94" s="318"/>
      <c r="AB94" s="318"/>
      <c r="AC94" s="318"/>
      <c r="AD94" s="318"/>
      <c r="AE94" s="318"/>
    </row>
    <row r="95" spans="1:35" s="56" customFormat="1" ht="14.25">
      <c r="A95" s="720" t="s">
        <v>26</v>
      </c>
      <c r="B95" s="215"/>
      <c r="C95" s="218"/>
      <c r="D95" s="721"/>
      <c r="E95" s="218"/>
      <c r="F95" s="218"/>
      <c r="G95" s="218"/>
      <c r="H95" s="218"/>
      <c r="I95" s="722"/>
      <c r="J95" s="220"/>
      <c r="K95" s="687"/>
      <c r="L95" s="318"/>
      <c r="M95" s="318"/>
      <c r="N95" s="318"/>
      <c r="O95" s="318"/>
      <c r="P95" s="318"/>
      <c r="Q95" s="318"/>
      <c r="R95" s="318"/>
      <c r="S95" s="318"/>
      <c r="T95" s="318"/>
      <c r="U95" s="318"/>
      <c r="V95" s="318"/>
      <c r="W95" s="318"/>
      <c r="X95" s="318"/>
      <c r="Y95" s="318"/>
      <c r="Z95" s="318"/>
      <c r="AA95" s="318"/>
      <c r="AB95" s="318"/>
      <c r="AC95" s="318"/>
      <c r="AD95" s="318"/>
      <c r="AE95" s="318"/>
      <c r="AF95" s="723"/>
      <c r="AG95" s="723"/>
      <c r="AH95" s="723"/>
      <c r="AI95" s="723"/>
    </row>
    <row r="96" spans="1:35">
      <c r="A96" s="190" t="s">
        <v>41</v>
      </c>
      <c r="B96" s="190"/>
      <c r="C96" s="194"/>
      <c r="D96" s="758"/>
      <c r="E96" s="194"/>
      <c r="F96" s="194"/>
      <c r="G96" s="759"/>
      <c r="H96" s="759"/>
      <c r="I96" s="760"/>
      <c r="J96" s="761"/>
      <c r="K96" s="689">
        <v>0</v>
      </c>
      <c r="L96" s="665">
        <v>1000</v>
      </c>
      <c r="M96" s="665">
        <f>$L$96*L11</f>
        <v>1020</v>
      </c>
      <c r="N96" s="665">
        <f t="shared" ref="N96:P96" si="18">$L$96*M11</f>
        <v>1040.4000000000001</v>
      </c>
      <c r="O96" s="665">
        <f t="shared" si="18"/>
        <v>1061.2079999999999</v>
      </c>
      <c r="P96" s="665">
        <f t="shared" si="18"/>
        <v>1082.4321600000001</v>
      </c>
      <c r="Q96" s="665">
        <v>25000</v>
      </c>
      <c r="R96" s="665">
        <f>$Q$96*L11</f>
        <v>25500</v>
      </c>
      <c r="S96" s="665">
        <f t="shared" ref="S96:AE96" si="19">$Q$96*M11</f>
        <v>26010</v>
      </c>
      <c r="T96" s="665">
        <f t="shared" si="19"/>
        <v>26530.199999999997</v>
      </c>
      <c r="U96" s="665">
        <f t="shared" si="19"/>
        <v>27060.804</v>
      </c>
      <c r="V96" s="665">
        <f t="shared" si="19"/>
        <v>27602.020080000002</v>
      </c>
      <c r="W96" s="665">
        <f t="shared" si="19"/>
        <v>28154.060481600001</v>
      </c>
      <c r="X96" s="665">
        <f t="shared" si="19"/>
        <v>28717.141691232002</v>
      </c>
      <c r="Y96" s="665">
        <f t="shared" si="19"/>
        <v>29291.484525056643</v>
      </c>
      <c r="Z96" s="665">
        <f t="shared" si="19"/>
        <v>29877.314215557777</v>
      </c>
      <c r="AA96" s="665">
        <f t="shared" si="19"/>
        <v>30474.860499868933</v>
      </c>
      <c r="AB96" s="665">
        <f t="shared" si="19"/>
        <v>31084.357709866312</v>
      </c>
      <c r="AC96" s="665">
        <f t="shared" si="19"/>
        <v>31706.044864063639</v>
      </c>
      <c r="AD96" s="665">
        <f t="shared" si="19"/>
        <v>32340.165761344906</v>
      </c>
      <c r="AE96" s="665">
        <f t="shared" si="19"/>
        <v>32986.969076571811</v>
      </c>
      <c r="AF96" s="55"/>
      <c r="AG96" s="55"/>
      <c r="AH96" s="55"/>
      <c r="AI96" s="55"/>
    </row>
    <row r="97" spans="1:33">
      <c r="A97" s="745" t="s">
        <v>302</v>
      </c>
      <c r="B97" s="745"/>
      <c r="C97" s="746"/>
      <c r="D97" s="116"/>
      <c r="E97" s="746"/>
      <c r="F97" s="746"/>
      <c r="G97" s="753"/>
      <c r="H97" s="753"/>
      <c r="I97" s="755"/>
      <c r="J97" s="762"/>
      <c r="K97" s="741">
        <v>0</v>
      </c>
      <c r="L97" s="742">
        <f>'P&amp;L - Concept B2 - Carnival'!E135</f>
        <v>233675</v>
      </c>
      <c r="M97" s="742">
        <f>'P&amp;L - Concept B2 - Carnival'!F135</f>
        <v>476697</v>
      </c>
      <c r="N97" s="742">
        <f>'P&amp;L - Concept B2 - Carnival'!G135</f>
        <v>486230.94000000006</v>
      </c>
      <c r="O97" s="742">
        <f>'P&amp;L - Concept B2 - Carnival'!H135</f>
        <v>495955.55879999994</v>
      </c>
      <c r="P97" s="742">
        <f>'P&amp;L - Concept B2 - Carnival'!I135</f>
        <v>505874.66997599998</v>
      </c>
      <c r="Q97" s="742">
        <f>'P&amp;L - Concept B2 - Carnival'!J135</f>
        <v>515992.16337552003</v>
      </c>
      <c r="R97" s="742">
        <f>'P&amp;L - Concept B2 - Carnival'!K135</f>
        <v>526312.00664303044</v>
      </c>
      <c r="S97" s="742">
        <f>'P&amp;L - Concept B2 - Carnival'!L135</f>
        <v>536838.24677589093</v>
      </c>
      <c r="T97" s="742">
        <f>'P&amp;L - Concept B2 - Carnival'!M135</f>
        <v>547575.01171140897</v>
      </c>
      <c r="U97" s="742">
        <f>'P&amp;L - Concept B2 - Carnival'!N135</f>
        <v>558526.51194563706</v>
      </c>
      <c r="V97" s="742">
        <f>'P&amp;L - Concept B2 - Carnival'!O135</f>
        <v>569697.04218454985</v>
      </c>
      <c r="W97" s="742">
        <f>'P&amp;L - Concept B2 - Carnival'!P135</f>
        <v>581090.98302824085</v>
      </c>
      <c r="X97" s="742">
        <f>'P&amp;L - Concept B2 - Carnival'!Q135</f>
        <v>592712.80268880562</v>
      </c>
      <c r="Y97" s="742">
        <f>'P&amp;L - Concept B2 - Carnival'!R135</f>
        <v>604567.05874258175</v>
      </c>
      <c r="Z97" s="742">
        <f>'P&amp;L - Concept B2 - Carnival'!S135</f>
        <v>616658.39991743339</v>
      </c>
      <c r="AA97" s="742">
        <f>'P&amp;L - Concept B2 - Carnival'!T135</f>
        <v>628991.5679157821</v>
      </c>
      <c r="AB97" s="742">
        <f>'P&amp;L - Concept B2 - Carnival'!U135</f>
        <v>641571.39927409776</v>
      </c>
      <c r="AC97" s="742">
        <f>'P&amp;L - Concept B2 - Carnival'!V135</f>
        <v>654402.82725957979</v>
      </c>
      <c r="AD97" s="742">
        <f>'P&amp;L - Concept B2 - Carnival'!W135</f>
        <v>667490.88380477135</v>
      </c>
      <c r="AE97" s="742">
        <f>'P&amp;L - Concept B2 - Carnival'!X135</f>
        <v>680840.70148086676</v>
      </c>
    </row>
    <row r="98" spans="1:33" s="56" customFormat="1" ht="14.25">
      <c r="A98" s="164" t="s">
        <v>410</v>
      </c>
      <c r="B98" s="164"/>
      <c r="C98" s="75"/>
      <c r="D98" s="173"/>
      <c r="E98" s="75"/>
      <c r="F98" s="75"/>
      <c r="G98" s="75"/>
      <c r="H98" s="75"/>
      <c r="I98" s="174"/>
      <c r="J98" s="175"/>
      <c r="K98" s="685">
        <v>0</v>
      </c>
      <c r="L98" s="669">
        <f>SUM(L96:L97)</f>
        <v>234675</v>
      </c>
      <c r="M98" s="669">
        <f t="shared" ref="M98:AE98" si="20">SUM(M96:M97)</f>
        <v>477717</v>
      </c>
      <c r="N98" s="669">
        <f t="shared" si="20"/>
        <v>487271.34000000008</v>
      </c>
      <c r="O98" s="669">
        <f t="shared" si="20"/>
        <v>497016.76679999992</v>
      </c>
      <c r="P98" s="669">
        <f t="shared" si="20"/>
        <v>506957.102136</v>
      </c>
      <c r="Q98" s="669">
        <f>SUM(Q96:Q97)</f>
        <v>540992.16337552003</v>
      </c>
      <c r="R98" s="669">
        <f t="shared" si="20"/>
        <v>551812.00664303044</v>
      </c>
      <c r="S98" s="669">
        <f t="shared" si="20"/>
        <v>562848.24677589093</v>
      </c>
      <c r="T98" s="669">
        <f t="shared" si="20"/>
        <v>574105.21171140892</v>
      </c>
      <c r="U98" s="669">
        <f t="shared" si="20"/>
        <v>585587.31594563706</v>
      </c>
      <c r="V98" s="669">
        <f t="shared" si="20"/>
        <v>597299.0622645499</v>
      </c>
      <c r="W98" s="669">
        <f t="shared" si="20"/>
        <v>609245.04350984085</v>
      </c>
      <c r="X98" s="669">
        <f t="shared" si="20"/>
        <v>621429.9443800376</v>
      </c>
      <c r="Y98" s="669">
        <f t="shared" si="20"/>
        <v>633858.54326763842</v>
      </c>
      <c r="Z98" s="669">
        <f t="shared" si="20"/>
        <v>646535.71413299115</v>
      </c>
      <c r="AA98" s="669">
        <f t="shared" si="20"/>
        <v>659466.42841565108</v>
      </c>
      <c r="AB98" s="669">
        <f t="shared" si="20"/>
        <v>672655.75698396412</v>
      </c>
      <c r="AC98" s="669">
        <f t="shared" si="20"/>
        <v>686108.87212364341</v>
      </c>
      <c r="AD98" s="669">
        <f t="shared" si="20"/>
        <v>699831.0495661163</v>
      </c>
      <c r="AE98" s="669">
        <f t="shared" si="20"/>
        <v>713827.67055743863</v>
      </c>
    </row>
    <row r="99" spans="1:33" s="56" customFormat="1" ht="14.25">
      <c r="A99" s="164"/>
      <c r="B99" s="164"/>
      <c r="C99" s="75"/>
      <c r="D99" s="173"/>
      <c r="E99" s="75"/>
      <c r="F99" s="75"/>
      <c r="G99" s="75"/>
      <c r="H99" s="75"/>
      <c r="I99" s="174"/>
      <c r="J99" s="175"/>
      <c r="K99" s="685"/>
      <c r="L99" s="669"/>
      <c r="M99" s="669"/>
      <c r="N99" s="669"/>
      <c r="O99" s="669"/>
      <c r="P99" s="669"/>
      <c r="Q99" s="669"/>
      <c r="R99" s="669"/>
      <c r="S99" s="669"/>
      <c r="T99" s="669"/>
      <c r="U99" s="669"/>
      <c r="V99" s="669"/>
      <c r="W99" s="669"/>
      <c r="X99" s="669"/>
      <c r="Y99" s="669"/>
      <c r="Z99" s="669"/>
      <c r="AA99" s="669"/>
      <c r="AB99" s="669"/>
      <c r="AC99" s="669"/>
      <c r="AD99" s="669"/>
      <c r="AE99" s="669"/>
    </row>
    <row r="100" spans="1:33" s="56" customFormat="1" ht="14.25">
      <c r="A100" s="164" t="s">
        <v>78</v>
      </c>
      <c r="B100" s="164"/>
      <c r="C100" s="75"/>
      <c r="D100" s="173"/>
      <c r="E100" s="75"/>
      <c r="F100" s="75"/>
      <c r="G100" s="75"/>
      <c r="H100" s="75"/>
      <c r="I100" s="174"/>
      <c r="J100" s="175"/>
      <c r="K100" s="685">
        <v>0</v>
      </c>
      <c r="L100" s="669">
        <f>SUM(L93,L98)</f>
        <v>321425</v>
      </c>
      <c r="M100" s="669">
        <f t="shared" ref="M100:AE100" si="21">SUM(M93,M98)</f>
        <v>558032</v>
      </c>
      <c r="N100" s="669">
        <f t="shared" si="21"/>
        <v>569202.84000000008</v>
      </c>
      <c r="O100" s="669">
        <f t="shared" si="21"/>
        <v>580586.89679999999</v>
      </c>
      <c r="P100" s="669">
        <f t="shared" si="21"/>
        <v>592198.63473599998</v>
      </c>
      <c r="Q100" s="669">
        <f t="shared" si="21"/>
        <v>632386.48622592003</v>
      </c>
      <c r="R100" s="669">
        <f t="shared" si="21"/>
        <v>640497.29716007039</v>
      </c>
      <c r="S100" s="669">
        <f t="shared" si="21"/>
        <v>653307.2431032717</v>
      </c>
      <c r="T100" s="669">
        <f t="shared" si="21"/>
        <v>666373.38796533737</v>
      </c>
      <c r="U100" s="669">
        <f t="shared" si="21"/>
        <v>679700.85572464403</v>
      </c>
      <c r="V100" s="669">
        <f t="shared" si="21"/>
        <v>697685.37562913971</v>
      </c>
      <c r="W100" s="669">
        <f t="shared" si="21"/>
        <v>707160.77029591973</v>
      </c>
      <c r="X100" s="669">
        <f t="shared" si="21"/>
        <v>721303.98570183804</v>
      </c>
      <c r="Y100" s="669">
        <f t="shared" si="21"/>
        <v>735730.06541587494</v>
      </c>
      <c r="Z100" s="669">
        <f t="shared" si="21"/>
        <v>750444.66672419233</v>
      </c>
      <c r="AA100" s="669">
        <f t="shared" si="21"/>
        <v>769780.62588951422</v>
      </c>
      <c r="AB100" s="669">
        <f t="shared" si="21"/>
        <v>780762.63125984988</v>
      </c>
      <c r="AC100" s="669">
        <f t="shared" si="21"/>
        <v>796377.88388504682</v>
      </c>
      <c r="AD100" s="669">
        <f t="shared" si="21"/>
        <v>812305.44156274782</v>
      </c>
      <c r="AE100" s="669">
        <f t="shared" si="21"/>
        <v>828551.55039400281</v>
      </c>
    </row>
    <row r="101" spans="1:33">
      <c r="A101" s="47"/>
      <c r="B101" s="47"/>
      <c r="C101" s="78"/>
      <c r="D101" s="100"/>
      <c r="E101" s="78"/>
      <c r="F101" s="78"/>
      <c r="G101" s="78"/>
      <c r="H101" s="78"/>
      <c r="I101" s="52"/>
      <c r="J101" s="114"/>
      <c r="K101" s="683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</row>
    <row r="102" spans="1:33">
      <c r="A102" s="168" t="s">
        <v>25</v>
      </c>
      <c r="B102" s="168"/>
      <c r="C102" s="176"/>
      <c r="D102" s="177"/>
      <c r="E102" s="176"/>
      <c r="F102" s="176"/>
      <c r="G102" s="176"/>
      <c r="H102" s="176"/>
      <c r="I102" s="178"/>
      <c r="J102" s="179"/>
      <c r="K102" s="682"/>
      <c r="L102" s="319"/>
      <c r="M102" s="319"/>
      <c r="N102" s="319"/>
      <c r="O102" s="319"/>
      <c r="P102" s="319"/>
      <c r="Q102" s="319"/>
      <c r="R102" s="319"/>
      <c r="S102" s="319"/>
      <c r="T102" s="319"/>
      <c r="U102" s="319"/>
      <c r="V102" s="319"/>
      <c r="W102" s="319"/>
      <c r="X102" s="319"/>
      <c r="Y102" s="319"/>
      <c r="Z102" s="319"/>
      <c r="AA102" s="319"/>
      <c r="AB102" s="319"/>
      <c r="AC102" s="319"/>
      <c r="AD102" s="319"/>
      <c r="AE102" s="319"/>
    </row>
    <row r="103" spans="1:33" s="252" customFormat="1">
      <c r="A103" s="183"/>
      <c r="B103" s="183"/>
      <c r="C103" s="185"/>
      <c r="D103" s="186"/>
      <c r="E103" s="185"/>
      <c r="F103" s="185"/>
      <c r="G103" s="185"/>
      <c r="H103" s="185"/>
      <c r="I103" s="302"/>
      <c r="J103" s="188"/>
      <c r="K103" s="683"/>
      <c r="L103" s="320"/>
      <c r="M103" s="320"/>
      <c r="N103" s="320"/>
      <c r="O103" s="320"/>
      <c r="P103" s="320"/>
      <c r="Q103" s="320"/>
      <c r="R103" s="320"/>
      <c r="S103" s="320"/>
      <c r="T103" s="320"/>
      <c r="U103" s="320"/>
      <c r="V103" s="320"/>
      <c r="W103" s="320"/>
      <c r="X103" s="320"/>
      <c r="Y103" s="320"/>
      <c r="Z103" s="320"/>
      <c r="AA103" s="320"/>
      <c r="AB103" s="320"/>
      <c r="AC103" s="320"/>
      <c r="AD103" s="320"/>
      <c r="AE103" s="320"/>
    </row>
    <row r="104" spans="1:33">
      <c r="A104" s="37" t="s">
        <v>425</v>
      </c>
      <c r="B104" s="37"/>
      <c r="C104" s="57"/>
      <c r="E104" s="57"/>
      <c r="F104" s="57"/>
      <c r="G104" s="57"/>
      <c r="H104" s="998"/>
      <c r="I104" s="51" t="s">
        <v>532</v>
      </c>
      <c r="J104" s="624">
        <f>((10800/6)*7)+((11000/6)*7)</f>
        <v>25433.333333333332</v>
      </c>
      <c r="K104" s="683">
        <v>0</v>
      </c>
      <c r="L104" s="671">
        <f>J104</f>
        <v>25433.333333333332</v>
      </c>
      <c r="M104" s="671">
        <f>$L$104*L11</f>
        <v>25942</v>
      </c>
      <c r="N104" s="671">
        <f t="shared" ref="N104:AE104" si="22">$L$104*M11</f>
        <v>26460.84</v>
      </c>
      <c r="O104" s="671">
        <f t="shared" si="22"/>
        <v>26990.056799999998</v>
      </c>
      <c r="P104" s="671">
        <f t="shared" si="22"/>
        <v>27529.857935999997</v>
      </c>
      <c r="Q104" s="671">
        <f t="shared" si="22"/>
        <v>28080.45509472</v>
      </c>
      <c r="R104" s="671">
        <f t="shared" si="22"/>
        <v>28642.064196614399</v>
      </c>
      <c r="S104" s="671">
        <f t="shared" si="22"/>
        <v>29214.905480546688</v>
      </c>
      <c r="T104" s="671">
        <f t="shared" si="22"/>
        <v>29799.203590157624</v>
      </c>
      <c r="U104" s="671">
        <f t="shared" si="22"/>
        <v>30395.187661960776</v>
      </c>
      <c r="V104" s="671">
        <f t="shared" si="22"/>
        <v>31003.091415199993</v>
      </c>
      <c r="W104" s="671">
        <f t="shared" si="22"/>
        <v>31623.153243503992</v>
      </c>
      <c r="X104" s="671">
        <f t="shared" si="22"/>
        <v>32255.616308374072</v>
      </c>
      <c r="Y104" s="671">
        <f t="shared" si="22"/>
        <v>32900.728634541549</v>
      </c>
      <c r="Z104" s="671">
        <f t="shared" si="22"/>
        <v>33558.743207232386</v>
      </c>
      <c r="AA104" s="671">
        <f t="shared" si="22"/>
        <v>34229.918071377033</v>
      </c>
      <c r="AB104" s="671">
        <f t="shared" si="22"/>
        <v>34914.516432804579</v>
      </c>
      <c r="AC104" s="671">
        <f t="shared" si="22"/>
        <v>35612.80676146067</v>
      </c>
      <c r="AD104" s="671">
        <f t="shared" si="22"/>
        <v>36325.062896689888</v>
      </c>
      <c r="AE104" s="671">
        <f t="shared" si="22"/>
        <v>37051.56415462368</v>
      </c>
    </row>
    <row r="105" spans="1:33">
      <c r="A105" s="37" t="s">
        <v>16</v>
      </c>
      <c r="B105" s="37"/>
      <c r="C105" s="57"/>
      <c r="E105" s="57"/>
      <c r="F105" s="57"/>
      <c r="G105" s="57"/>
      <c r="H105" s="998"/>
      <c r="I105" s="51" t="s">
        <v>17</v>
      </c>
      <c r="J105" s="624">
        <f>1250</f>
        <v>1250</v>
      </c>
      <c r="K105" s="683">
        <v>0</v>
      </c>
      <c r="L105" s="671">
        <f>J105*7</f>
        <v>8750</v>
      </c>
      <c r="M105" s="671">
        <f>$L$105*L11</f>
        <v>8925</v>
      </c>
      <c r="N105" s="671">
        <f t="shared" ref="N105:AE105" si="23">$L$105*M11</f>
        <v>9103.5</v>
      </c>
      <c r="O105" s="671">
        <f t="shared" si="23"/>
        <v>9285.57</v>
      </c>
      <c r="P105" s="671">
        <f t="shared" si="23"/>
        <v>9471.2813999999998</v>
      </c>
      <c r="Q105" s="671">
        <f t="shared" si="23"/>
        <v>9660.7070280000007</v>
      </c>
      <c r="R105" s="671">
        <f t="shared" si="23"/>
        <v>9853.9211685600003</v>
      </c>
      <c r="S105" s="671">
        <f t="shared" si="23"/>
        <v>10050.9995919312</v>
      </c>
      <c r="T105" s="671">
        <f t="shared" si="23"/>
        <v>10252.019583769825</v>
      </c>
      <c r="U105" s="671">
        <f t="shared" si="23"/>
        <v>10457.059975445221</v>
      </c>
      <c r="V105" s="671">
        <f t="shared" si="23"/>
        <v>10666.201174954127</v>
      </c>
      <c r="W105" s="671">
        <f t="shared" si="23"/>
        <v>10879.52519845321</v>
      </c>
      <c r="X105" s="671">
        <f t="shared" si="23"/>
        <v>11097.115702422274</v>
      </c>
      <c r="Y105" s="671">
        <f t="shared" si="23"/>
        <v>11319.058016470717</v>
      </c>
      <c r="Z105" s="671">
        <f t="shared" si="23"/>
        <v>11545.439176800133</v>
      </c>
      <c r="AA105" s="671">
        <f t="shared" si="23"/>
        <v>11776.347960336136</v>
      </c>
      <c r="AB105" s="671">
        <f t="shared" si="23"/>
        <v>12011.874919542859</v>
      </c>
      <c r="AC105" s="671">
        <f t="shared" si="23"/>
        <v>12252.112417933717</v>
      </c>
      <c r="AD105" s="671">
        <f t="shared" si="23"/>
        <v>12497.154666292392</v>
      </c>
      <c r="AE105" s="671">
        <f t="shared" si="23"/>
        <v>12747.09775961824</v>
      </c>
    </row>
    <row r="106" spans="1:33" s="702" customFormat="1">
      <c r="A106" s="701" t="s">
        <v>53</v>
      </c>
      <c r="B106" s="701"/>
      <c r="C106" s="705"/>
      <c r="D106" s="984"/>
      <c r="E106" s="705"/>
      <c r="F106" s="705"/>
      <c r="G106" s="705"/>
      <c r="H106" s="985"/>
      <c r="I106" s="706" t="s">
        <v>17</v>
      </c>
      <c r="J106" s="986">
        <v>0</v>
      </c>
      <c r="K106" s="987">
        <v>0</v>
      </c>
      <c r="L106" s="988">
        <f t="shared" ref="L106:L107" si="24">J106*12</f>
        <v>0</v>
      </c>
      <c r="M106" s="988">
        <f t="shared" ref="M106:AB107" si="25">L106*1.03</f>
        <v>0</v>
      </c>
      <c r="N106" s="988">
        <f t="shared" si="25"/>
        <v>0</v>
      </c>
      <c r="O106" s="988">
        <f t="shared" si="25"/>
        <v>0</v>
      </c>
      <c r="P106" s="988">
        <f t="shared" si="25"/>
        <v>0</v>
      </c>
      <c r="Q106" s="988">
        <f t="shared" si="25"/>
        <v>0</v>
      </c>
      <c r="R106" s="988">
        <f t="shared" si="25"/>
        <v>0</v>
      </c>
      <c r="S106" s="988">
        <f t="shared" si="25"/>
        <v>0</v>
      </c>
      <c r="T106" s="988">
        <f t="shared" si="25"/>
        <v>0</v>
      </c>
      <c r="U106" s="988">
        <f t="shared" si="25"/>
        <v>0</v>
      </c>
      <c r="V106" s="988">
        <f t="shared" si="25"/>
        <v>0</v>
      </c>
      <c r="W106" s="988">
        <f t="shared" si="25"/>
        <v>0</v>
      </c>
      <c r="X106" s="988">
        <f t="shared" si="25"/>
        <v>0</v>
      </c>
      <c r="Y106" s="988">
        <f t="shared" si="25"/>
        <v>0</v>
      </c>
      <c r="Z106" s="988">
        <f t="shared" si="25"/>
        <v>0</v>
      </c>
      <c r="AA106" s="988">
        <f t="shared" si="25"/>
        <v>0</v>
      </c>
      <c r="AB106" s="988">
        <f t="shared" si="25"/>
        <v>0</v>
      </c>
      <c r="AC106" s="988">
        <f t="shared" ref="AC106:AE107" si="26">AB106*1.03</f>
        <v>0</v>
      </c>
      <c r="AD106" s="988">
        <f t="shared" si="26"/>
        <v>0</v>
      </c>
      <c r="AE106" s="988">
        <f t="shared" si="26"/>
        <v>0</v>
      </c>
    </row>
    <row r="107" spans="1:33" s="702" customFormat="1">
      <c r="A107" s="989" t="s">
        <v>54</v>
      </c>
      <c r="B107" s="990"/>
      <c r="C107" s="991"/>
      <c r="D107" s="992"/>
      <c r="E107" s="991"/>
      <c r="F107" s="991"/>
      <c r="G107" s="991"/>
      <c r="H107" s="993"/>
      <c r="I107" s="994" t="s">
        <v>17</v>
      </c>
      <c r="J107" s="995">
        <v>0</v>
      </c>
      <c r="K107" s="996">
        <v>0</v>
      </c>
      <c r="L107" s="997">
        <f t="shared" si="24"/>
        <v>0</v>
      </c>
      <c r="M107" s="997">
        <f t="shared" si="25"/>
        <v>0</v>
      </c>
      <c r="N107" s="997">
        <f t="shared" si="25"/>
        <v>0</v>
      </c>
      <c r="O107" s="997">
        <f t="shared" si="25"/>
        <v>0</v>
      </c>
      <c r="P107" s="997">
        <f t="shared" si="25"/>
        <v>0</v>
      </c>
      <c r="Q107" s="997">
        <f t="shared" si="25"/>
        <v>0</v>
      </c>
      <c r="R107" s="997">
        <f t="shared" si="25"/>
        <v>0</v>
      </c>
      <c r="S107" s="997">
        <f t="shared" si="25"/>
        <v>0</v>
      </c>
      <c r="T107" s="997">
        <f t="shared" si="25"/>
        <v>0</v>
      </c>
      <c r="U107" s="997">
        <f t="shared" si="25"/>
        <v>0</v>
      </c>
      <c r="V107" s="997">
        <f t="shared" si="25"/>
        <v>0</v>
      </c>
      <c r="W107" s="997">
        <f t="shared" si="25"/>
        <v>0</v>
      </c>
      <c r="X107" s="997">
        <f t="shared" si="25"/>
        <v>0</v>
      </c>
      <c r="Y107" s="997">
        <f t="shared" si="25"/>
        <v>0</v>
      </c>
      <c r="Z107" s="997">
        <f t="shared" si="25"/>
        <v>0</v>
      </c>
      <c r="AA107" s="997">
        <f t="shared" si="25"/>
        <v>0</v>
      </c>
      <c r="AB107" s="997">
        <f t="shared" si="25"/>
        <v>0</v>
      </c>
      <c r="AC107" s="997">
        <f t="shared" si="26"/>
        <v>0</v>
      </c>
      <c r="AD107" s="997">
        <f t="shared" si="26"/>
        <v>0</v>
      </c>
      <c r="AE107" s="997">
        <f t="shared" si="26"/>
        <v>0</v>
      </c>
    </row>
    <row r="108" spans="1:33" s="56" customFormat="1" ht="14.25">
      <c r="A108" s="56" t="s">
        <v>55</v>
      </c>
      <c r="B108" s="164"/>
      <c r="C108" s="75"/>
      <c r="D108" s="173"/>
      <c r="E108" s="75"/>
      <c r="F108" s="75"/>
      <c r="G108" s="75"/>
      <c r="H108" s="75"/>
      <c r="I108" s="999"/>
      <c r="J108" s="1000"/>
      <c r="K108" s="685">
        <v>0</v>
      </c>
      <c r="L108" s="1001">
        <f>SUM(L104:L107)</f>
        <v>34183.333333333328</v>
      </c>
      <c r="M108" s="1001">
        <f t="shared" ref="M108:AE108" si="27">SUM(M104:M107)</f>
        <v>34867</v>
      </c>
      <c r="N108" s="1001">
        <f t="shared" si="27"/>
        <v>35564.339999999997</v>
      </c>
      <c r="O108" s="1001">
        <f t="shared" si="27"/>
        <v>36275.626799999998</v>
      </c>
      <c r="P108" s="1001">
        <f t="shared" si="27"/>
        <v>37001.139335999993</v>
      </c>
      <c r="Q108" s="1001">
        <f>SUM(Q104:Q107)</f>
        <v>37741.162122720001</v>
      </c>
      <c r="R108" s="1001">
        <f t="shared" si="27"/>
        <v>38495.985365174398</v>
      </c>
      <c r="S108" s="1001">
        <f t="shared" si="27"/>
        <v>39265.905072477886</v>
      </c>
      <c r="T108" s="1001">
        <f t="shared" si="27"/>
        <v>40051.22317392745</v>
      </c>
      <c r="U108" s="1001">
        <f t="shared" si="27"/>
        <v>40852.247637405999</v>
      </c>
      <c r="V108" s="1001">
        <f t="shared" si="27"/>
        <v>41669.292590154117</v>
      </c>
      <c r="W108" s="1001">
        <f t="shared" si="27"/>
        <v>42502.6784419572</v>
      </c>
      <c r="X108" s="1001">
        <f t="shared" si="27"/>
        <v>43352.732010796346</v>
      </c>
      <c r="Y108" s="1001">
        <f t="shared" si="27"/>
        <v>44219.786651012269</v>
      </c>
      <c r="Z108" s="1001">
        <f t="shared" si="27"/>
        <v>45104.182384032523</v>
      </c>
      <c r="AA108" s="1001">
        <f t="shared" si="27"/>
        <v>46006.266031713167</v>
      </c>
      <c r="AB108" s="1001">
        <f t="shared" si="27"/>
        <v>46926.39135234744</v>
      </c>
      <c r="AC108" s="1001">
        <f t="shared" si="27"/>
        <v>47864.91917939439</v>
      </c>
      <c r="AD108" s="1001">
        <f t="shared" si="27"/>
        <v>48822.217562982281</v>
      </c>
      <c r="AE108" s="1001">
        <f t="shared" si="27"/>
        <v>49798.661914241922</v>
      </c>
    </row>
    <row r="109" spans="1:33">
      <c r="A109" s="56"/>
      <c r="B109" s="37"/>
      <c r="C109" s="57"/>
      <c r="E109" s="57"/>
      <c r="F109" s="57"/>
      <c r="G109" s="57"/>
      <c r="H109" s="57"/>
      <c r="I109" s="51"/>
      <c r="J109" s="624"/>
      <c r="K109" s="683"/>
      <c r="L109" s="666"/>
      <c r="M109" s="666"/>
      <c r="N109" s="666"/>
      <c r="O109" s="666"/>
      <c r="P109" s="666"/>
      <c r="Q109" s="666"/>
      <c r="R109" s="666"/>
      <c r="S109" s="666"/>
      <c r="T109" s="666"/>
      <c r="U109" s="666"/>
      <c r="V109" s="666"/>
      <c r="W109" s="666"/>
      <c r="X109" s="666"/>
      <c r="Y109" s="666"/>
      <c r="Z109" s="666"/>
      <c r="AA109" s="666"/>
      <c r="AB109" s="666"/>
      <c r="AC109" s="666"/>
      <c r="AD109" s="666"/>
      <c r="AE109" s="666"/>
    </row>
    <row r="110" spans="1:33">
      <c r="A110" s="47" t="s">
        <v>7</v>
      </c>
      <c r="B110" s="47" t="s">
        <v>7</v>
      </c>
      <c r="C110" s="78" t="s">
        <v>7</v>
      </c>
      <c r="D110" s="100"/>
      <c r="E110" s="78" t="s">
        <v>7</v>
      </c>
      <c r="F110" s="78"/>
      <c r="G110" s="78" t="s">
        <v>7</v>
      </c>
      <c r="H110" s="78"/>
      <c r="I110" s="52" t="s">
        <v>7</v>
      </c>
      <c r="J110" s="672"/>
      <c r="K110" s="673"/>
      <c r="L110" s="672"/>
      <c r="M110" s="672"/>
      <c r="N110" s="672"/>
      <c r="O110" s="672"/>
      <c r="P110" s="672"/>
      <c r="Q110" s="672"/>
      <c r="R110" s="672"/>
      <c r="S110" s="672"/>
      <c r="T110" s="672"/>
      <c r="U110" s="672"/>
      <c r="V110" s="672"/>
      <c r="W110" s="672"/>
      <c r="X110" s="672"/>
      <c r="Y110" s="672"/>
      <c r="Z110" s="672"/>
      <c r="AA110" s="672"/>
      <c r="AB110" s="672"/>
      <c r="AC110" s="672"/>
      <c r="AD110" s="672"/>
      <c r="AE110" s="672"/>
    </row>
    <row r="111" spans="1:33">
      <c r="A111" s="47"/>
      <c r="B111" s="47"/>
      <c r="C111" s="78"/>
      <c r="D111" s="100"/>
      <c r="E111" s="78"/>
      <c r="F111" s="78"/>
      <c r="G111" s="78"/>
      <c r="H111" s="78"/>
      <c r="I111" s="52"/>
      <c r="J111" s="672"/>
      <c r="K111" s="683"/>
      <c r="L111" s="666"/>
      <c r="M111" s="666"/>
      <c r="N111" s="666"/>
      <c r="O111" s="666"/>
      <c r="P111" s="666"/>
      <c r="Q111" s="666"/>
      <c r="R111" s="666"/>
      <c r="S111" s="666"/>
      <c r="T111" s="666"/>
      <c r="U111" s="666"/>
      <c r="V111" s="666"/>
      <c r="W111" s="666"/>
      <c r="X111" s="666"/>
      <c r="Y111" s="666"/>
      <c r="Z111" s="666"/>
      <c r="AA111" s="666"/>
      <c r="AB111" s="666"/>
      <c r="AC111" s="666"/>
      <c r="AD111" s="666"/>
      <c r="AE111" s="666"/>
    </row>
    <row r="112" spans="1:33" s="56" customFormat="1" ht="14.25">
      <c r="A112" s="203" t="s">
        <v>303</v>
      </c>
      <c r="B112" s="203"/>
      <c r="C112" s="204"/>
      <c r="D112" s="205"/>
      <c r="E112" s="204"/>
      <c r="F112" s="204"/>
      <c r="G112" s="204"/>
      <c r="H112" s="204"/>
      <c r="I112" s="206"/>
      <c r="J112" s="674"/>
      <c r="K112" s="676">
        <f>SUM(K79,K100,K108)</f>
        <v>0</v>
      </c>
      <c r="L112" s="676">
        <f>SUM(L79,L100,L108)</f>
        <v>367858.33333333331</v>
      </c>
      <c r="M112" s="676">
        <f t="shared" ref="M112:AE112" si="28">SUM(M79,M100,M108)</f>
        <v>743399</v>
      </c>
      <c r="N112" s="676">
        <f t="shared" si="28"/>
        <v>758277.18</v>
      </c>
      <c r="O112" s="676">
        <f t="shared" si="28"/>
        <v>773442.72359999991</v>
      </c>
      <c r="P112" s="676">
        <f t="shared" si="28"/>
        <v>788911.57807199995</v>
      </c>
      <c r="Q112" s="676">
        <f t="shared" si="28"/>
        <v>833033.68842864002</v>
      </c>
      <c r="R112" s="676">
        <f t="shared" si="28"/>
        <v>845157.44340684474</v>
      </c>
      <c r="S112" s="676">
        <f t="shared" si="28"/>
        <v>862060.59227498155</v>
      </c>
      <c r="T112" s="676">
        <f t="shared" si="28"/>
        <v>879301.80412048136</v>
      </c>
      <c r="U112" s="676">
        <f t="shared" si="28"/>
        <v>896887.84020289104</v>
      </c>
      <c r="V112" s="676">
        <f t="shared" si="28"/>
        <v>919216.09979695163</v>
      </c>
      <c r="W112" s="676">
        <f t="shared" si="28"/>
        <v>933122.10894708789</v>
      </c>
      <c r="X112" s="676">
        <f t="shared" si="28"/>
        <v>951784.55112602958</v>
      </c>
      <c r="Y112" s="676">
        <f t="shared" si="28"/>
        <v>970820.24214855023</v>
      </c>
      <c r="Z112" s="676">
        <f t="shared" si="28"/>
        <v>990236.64699152112</v>
      </c>
      <c r="AA112" s="676">
        <f t="shared" si="28"/>
        <v>1014368.4457621898</v>
      </c>
      <c r="AB112" s="676">
        <f t="shared" si="28"/>
        <v>1030242.2075299788</v>
      </c>
      <c r="AC112" s="676">
        <f t="shared" si="28"/>
        <v>1050847.0516805784</v>
      </c>
      <c r="AD112" s="676">
        <f t="shared" si="28"/>
        <v>1071863.9927141902</v>
      </c>
      <c r="AE112" s="676">
        <f t="shared" si="28"/>
        <v>1093301.2725684738</v>
      </c>
      <c r="AG112" s="199"/>
    </row>
    <row r="113" spans="1:33">
      <c r="A113" s="37"/>
      <c r="B113" s="37"/>
      <c r="C113" s="57"/>
      <c r="E113" s="110"/>
      <c r="F113" s="110"/>
      <c r="G113" s="57"/>
      <c r="H113" s="57"/>
      <c r="I113" s="43"/>
      <c r="J113" s="44"/>
      <c r="K113" s="683"/>
      <c r="L113" s="115"/>
      <c r="M113" s="115"/>
      <c r="N113" s="115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5"/>
      <c r="Z113" s="115"/>
      <c r="AA113" s="115"/>
      <c r="AB113" s="115"/>
      <c r="AC113" s="115"/>
      <c r="AD113" s="115"/>
      <c r="AE113" s="115"/>
      <c r="AG113" s="199"/>
    </row>
    <row r="114" spans="1:33">
      <c r="A114" s="47" t="s">
        <v>7</v>
      </c>
      <c r="B114" s="47" t="s">
        <v>7</v>
      </c>
      <c r="C114" s="78" t="s">
        <v>7</v>
      </c>
      <c r="D114" s="100"/>
      <c r="E114" s="78" t="s">
        <v>7</v>
      </c>
      <c r="F114" s="78"/>
      <c r="G114" s="78" t="s">
        <v>7</v>
      </c>
      <c r="H114" s="78"/>
      <c r="I114" s="52" t="s">
        <v>7</v>
      </c>
      <c r="J114" s="114"/>
      <c r="K114" s="673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G114" s="199"/>
    </row>
    <row r="115" spans="1:33">
      <c r="A115" s="47"/>
      <c r="B115" s="47"/>
      <c r="C115" s="78"/>
      <c r="D115" s="100"/>
      <c r="E115" s="78"/>
      <c r="F115" s="78"/>
      <c r="G115" s="78"/>
      <c r="H115" s="78"/>
      <c r="I115" s="52"/>
      <c r="J115" s="114"/>
      <c r="K115" s="683"/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5"/>
      <c r="Z115" s="115"/>
      <c r="AA115" s="115"/>
      <c r="AB115" s="115"/>
      <c r="AC115" s="115"/>
      <c r="AD115" s="115"/>
      <c r="AE115" s="115"/>
      <c r="AG115" s="199"/>
    </row>
    <row r="116" spans="1:33">
      <c r="A116" s="168" t="s">
        <v>71</v>
      </c>
      <c r="B116" s="171"/>
      <c r="C116" s="176"/>
      <c r="D116" s="177"/>
      <c r="E116" s="176"/>
      <c r="F116" s="176"/>
      <c r="G116" s="176"/>
      <c r="H116" s="176"/>
      <c r="I116" s="182"/>
      <c r="J116" s="179"/>
      <c r="K116" s="682"/>
      <c r="L116" s="319"/>
      <c r="M116" s="319"/>
      <c r="N116" s="319"/>
      <c r="O116" s="319"/>
      <c r="P116" s="319"/>
      <c r="Q116" s="319"/>
      <c r="R116" s="319"/>
      <c r="S116" s="319"/>
      <c r="T116" s="319"/>
      <c r="U116" s="319"/>
      <c r="V116" s="319"/>
      <c r="W116" s="319"/>
      <c r="X116" s="319"/>
      <c r="Y116" s="319"/>
      <c r="Z116" s="319"/>
      <c r="AA116" s="319"/>
      <c r="AB116" s="319"/>
      <c r="AC116" s="319"/>
      <c r="AD116" s="319"/>
      <c r="AE116" s="319"/>
      <c r="AG116" s="199"/>
    </row>
    <row r="117" spans="1:33" s="252" customFormat="1">
      <c r="A117" s="183"/>
      <c r="B117" s="184"/>
      <c r="C117" s="185"/>
      <c r="D117" s="186"/>
      <c r="E117" s="185"/>
      <c r="F117" s="185"/>
      <c r="G117" s="185"/>
      <c r="H117" s="185"/>
      <c r="I117" s="187"/>
      <c r="J117" s="188"/>
      <c r="K117" s="683"/>
      <c r="L117" s="320"/>
      <c r="M117" s="320"/>
      <c r="N117" s="320"/>
      <c r="O117" s="320"/>
      <c r="P117" s="320"/>
      <c r="Q117" s="320"/>
      <c r="R117" s="320"/>
      <c r="S117" s="320"/>
      <c r="T117" s="320"/>
      <c r="U117" s="320"/>
      <c r="V117" s="320"/>
      <c r="W117" s="320"/>
      <c r="X117" s="320"/>
      <c r="Y117" s="320"/>
      <c r="Z117" s="320"/>
      <c r="AA117" s="320"/>
      <c r="AB117" s="320"/>
      <c r="AC117" s="320"/>
      <c r="AD117" s="320"/>
      <c r="AE117" s="320"/>
      <c r="AG117" s="363"/>
    </row>
    <row r="118" spans="1:33">
      <c r="A118" s="39" t="s">
        <v>0</v>
      </c>
      <c r="B118" s="39"/>
      <c r="C118" s="102"/>
      <c r="D118" s="103"/>
      <c r="E118" s="104"/>
      <c r="F118" s="104"/>
      <c r="G118" s="104"/>
      <c r="H118" s="104"/>
      <c r="I118" s="39"/>
      <c r="J118" s="104"/>
      <c r="K118" s="688"/>
      <c r="L118" s="335"/>
      <c r="M118" s="335"/>
      <c r="N118" s="335"/>
      <c r="O118" s="335"/>
      <c r="P118" s="335"/>
      <c r="Q118" s="335"/>
      <c r="R118" s="335"/>
      <c r="S118" s="335"/>
      <c r="T118" s="335"/>
      <c r="U118" s="335"/>
      <c r="V118" s="335"/>
      <c r="W118" s="335"/>
      <c r="X118" s="335"/>
      <c r="Y118" s="335"/>
      <c r="Z118" s="335"/>
      <c r="AA118" s="335"/>
      <c r="AB118" s="335"/>
      <c r="AC118" s="335"/>
      <c r="AD118" s="335"/>
      <c r="AE118" s="335"/>
    </row>
    <row r="119" spans="1:33">
      <c r="A119" s="41" t="s">
        <v>13</v>
      </c>
      <c r="B119" s="41"/>
      <c r="C119" s="105"/>
      <c r="D119" s="106"/>
      <c r="E119" s="37"/>
      <c r="F119" s="37"/>
      <c r="G119" s="37"/>
      <c r="H119" s="37"/>
      <c r="I119" s="41"/>
      <c r="J119" s="37"/>
      <c r="K119" s="683"/>
      <c r="L119" s="200"/>
      <c r="M119" s="200"/>
      <c r="N119" s="200"/>
      <c r="O119" s="200"/>
      <c r="P119" s="200"/>
      <c r="Q119" s="200"/>
      <c r="R119" s="200"/>
      <c r="S119" s="200"/>
      <c r="T119" s="200"/>
      <c r="U119" s="201"/>
      <c r="V119" s="323"/>
      <c r="W119" s="200"/>
      <c r="X119" s="200"/>
      <c r="Y119" s="200"/>
      <c r="Z119" s="200"/>
      <c r="AA119" s="200"/>
      <c r="AB119" s="200"/>
      <c r="AC119" s="200"/>
      <c r="AD119" s="200"/>
      <c r="AE119" s="201"/>
    </row>
    <row r="120" spans="1:33">
      <c r="A120" s="96" t="s">
        <v>56</v>
      </c>
      <c r="B120" s="735" t="s">
        <v>12</v>
      </c>
      <c r="C120" s="663">
        <v>55000</v>
      </c>
      <c r="D120" s="736">
        <f>C120/2080</f>
        <v>26.442307692307693</v>
      </c>
      <c r="E120" s="663">
        <v>0</v>
      </c>
      <c r="F120" s="663">
        <f>C120*$F$13</f>
        <v>22000</v>
      </c>
      <c r="G120" s="663">
        <f>SUM(C120,E120:F120)</f>
        <v>77000</v>
      </c>
      <c r="H120" s="736">
        <f>G120/2080*8</f>
        <v>296.15384615384613</v>
      </c>
      <c r="I120" s="736"/>
      <c r="J120" s="663"/>
      <c r="K120" s="683">
        <v>0</v>
      </c>
      <c r="L120" s="665">
        <v>0</v>
      </c>
      <c r="M120" s="665">
        <f>$H$120*M32*0.25</f>
        <v>15844.230769230768</v>
      </c>
      <c r="N120" s="665">
        <f t="shared" ref="N120:AE120" si="29">$M$120*M11</f>
        <v>16484.33769230769</v>
      </c>
      <c r="O120" s="665">
        <f t="shared" si="29"/>
        <v>16814.024446153842</v>
      </c>
      <c r="P120" s="665">
        <f t="shared" si="29"/>
        <v>17150.304935076922</v>
      </c>
      <c r="Q120" s="665">
        <f t="shared" si="29"/>
        <v>17493.31103377846</v>
      </c>
      <c r="R120" s="665">
        <f t="shared" si="29"/>
        <v>17843.177254454029</v>
      </c>
      <c r="S120" s="665">
        <f t="shared" si="29"/>
        <v>18200.040799543109</v>
      </c>
      <c r="T120" s="665">
        <f t="shared" si="29"/>
        <v>18564.041615533974</v>
      </c>
      <c r="U120" s="665">
        <f t="shared" si="29"/>
        <v>18935.322447844654</v>
      </c>
      <c r="V120" s="665">
        <f t="shared" si="29"/>
        <v>19314.028896801548</v>
      </c>
      <c r="W120" s="665">
        <f t="shared" si="29"/>
        <v>19700.30947473758</v>
      </c>
      <c r="X120" s="665">
        <f t="shared" si="29"/>
        <v>20094.31566423233</v>
      </c>
      <c r="Y120" s="665">
        <f t="shared" si="29"/>
        <v>20496.201977516976</v>
      </c>
      <c r="Z120" s="665">
        <f t="shared" si="29"/>
        <v>20906.126017067316</v>
      </c>
      <c r="AA120" s="665">
        <f t="shared" si="29"/>
        <v>21324.248537408665</v>
      </c>
      <c r="AB120" s="665">
        <f t="shared" si="29"/>
        <v>21750.733508156838</v>
      </c>
      <c r="AC120" s="665">
        <f t="shared" si="29"/>
        <v>22185.748178319976</v>
      </c>
      <c r="AD120" s="665">
        <f t="shared" si="29"/>
        <v>22629.463141886376</v>
      </c>
      <c r="AE120" s="665">
        <f t="shared" si="29"/>
        <v>23082.052404724102</v>
      </c>
    </row>
    <row r="121" spans="1:33">
      <c r="A121" s="96" t="s">
        <v>57</v>
      </c>
      <c r="B121" s="735" t="s">
        <v>15</v>
      </c>
      <c r="C121" s="663">
        <v>15000</v>
      </c>
      <c r="D121" s="736">
        <f>C121/2080</f>
        <v>7.2115384615384617</v>
      </c>
      <c r="E121" s="663">
        <f>C121*E12</f>
        <v>3000</v>
      </c>
      <c r="F121" s="663">
        <f t="shared" ref="F121:F122" si="30">C121*$F$13</f>
        <v>6000</v>
      </c>
      <c r="G121" s="663">
        <f t="shared" ref="G121:G122" si="31">SUM(C121,E121:F121)</f>
        <v>24000</v>
      </c>
      <c r="H121" s="736">
        <f>G121/2080*12</f>
        <v>138.46153846153845</v>
      </c>
      <c r="I121" s="736"/>
      <c r="J121" s="663"/>
      <c r="K121" s="683">
        <v>0</v>
      </c>
      <c r="L121" s="665">
        <v>0</v>
      </c>
      <c r="M121" s="665">
        <f>$H$121*M32*0.5</f>
        <v>14815.384615384615</v>
      </c>
      <c r="N121" s="665">
        <f t="shared" ref="N121:AE121" si="32">$M$121*M11</f>
        <v>15413.926153846154</v>
      </c>
      <c r="O121" s="665">
        <f t="shared" si="32"/>
        <v>15722.204676923076</v>
      </c>
      <c r="P121" s="665">
        <f t="shared" si="32"/>
        <v>16036.648770461537</v>
      </c>
      <c r="Q121" s="665">
        <f t="shared" si="32"/>
        <v>16357.381745870769</v>
      </c>
      <c r="R121" s="665">
        <f t="shared" si="32"/>
        <v>16684.529380788186</v>
      </c>
      <c r="S121" s="665">
        <f t="shared" si="32"/>
        <v>17018.219968403948</v>
      </c>
      <c r="T121" s="665">
        <f t="shared" si="32"/>
        <v>17358.58436777203</v>
      </c>
      <c r="U121" s="665">
        <f t="shared" si="32"/>
        <v>17705.756055127469</v>
      </c>
      <c r="V121" s="665">
        <f t="shared" si="32"/>
        <v>18059.871176230019</v>
      </c>
      <c r="W121" s="665">
        <f t="shared" si="32"/>
        <v>18421.068599754621</v>
      </c>
      <c r="X121" s="665">
        <f t="shared" si="32"/>
        <v>18789.489971749714</v>
      </c>
      <c r="Y121" s="665">
        <f t="shared" si="32"/>
        <v>19165.279771184705</v>
      </c>
      <c r="Z121" s="665">
        <f t="shared" si="32"/>
        <v>19548.5853666084</v>
      </c>
      <c r="AA121" s="665">
        <f t="shared" si="32"/>
        <v>19939.55707394057</v>
      </c>
      <c r="AB121" s="665">
        <f t="shared" si="32"/>
        <v>20338.348215419381</v>
      </c>
      <c r="AC121" s="665">
        <f t="shared" si="32"/>
        <v>20745.115179727771</v>
      </c>
      <c r="AD121" s="665">
        <f t="shared" si="32"/>
        <v>21160.017483322328</v>
      </c>
      <c r="AE121" s="665">
        <f t="shared" si="32"/>
        <v>21583.217832988772</v>
      </c>
    </row>
    <row r="122" spans="1:33">
      <c r="A122" s="737" t="s">
        <v>57</v>
      </c>
      <c r="B122" s="738" t="s">
        <v>15</v>
      </c>
      <c r="C122" s="739">
        <v>15000</v>
      </c>
      <c r="D122" s="740">
        <f>C122/2080</f>
        <v>7.2115384615384617</v>
      </c>
      <c r="E122" s="739">
        <f>C122*$E$12</f>
        <v>3000</v>
      </c>
      <c r="F122" s="739">
        <f t="shared" si="30"/>
        <v>6000</v>
      </c>
      <c r="G122" s="739">
        <f t="shared" si="31"/>
        <v>24000</v>
      </c>
      <c r="H122" s="740">
        <f t="shared" ref="H122" si="33">G122/2080*12</f>
        <v>138.46153846153845</v>
      </c>
      <c r="I122" s="740"/>
      <c r="J122" s="739"/>
      <c r="K122" s="741">
        <v>0</v>
      </c>
      <c r="L122" s="742">
        <v>0</v>
      </c>
      <c r="M122" s="742">
        <f>$H$122*M32*0.5</f>
        <v>14815.384615384615</v>
      </c>
      <c r="N122" s="742">
        <f t="shared" ref="N122:AE122" si="34">$M$122*M11</f>
        <v>15413.926153846154</v>
      </c>
      <c r="O122" s="742">
        <f t="shared" si="34"/>
        <v>15722.204676923076</v>
      </c>
      <c r="P122" s="742">
        <f t="shared" si="34"/>
        <v>16036.648770461537</v>
      </c>
      <c r="Q122" s="742">
        <f t="shared" si="34"/>
        <v>16357.381745870769</v>
      </c>
      <c r="R122" s="742">
        <f t="shared" si="34"/>
        <v>16684.529380788186</v>
      </c>
      <c r="S122" s="742">
        <f t="shared" si="34"/>
        <v>17018.219968403948</v>
      </c>
      <c r="T122" s="742">
        <f t="shared" si="34"/>
        <v>17358.58436777203</v>
      </c>
      <c r="U122" s="742">
        <f t="shared" si="34"/>
        <v>17705.756055127469</v>
      </c>
      <c r="V122" s="742">
        <f t="shared" si="34"/>
        <v>18059.871176230019</v>
      </c>
      <c r="W122" s="742">
        <f t="shared" si="34"/>
        <v>18421.068599754621</v>
      </c>
      <c r="X122" s="742">
        <f t="shared" si="34"/>
        <v>18789.489971749714</v>
      </c>
      <c r="Y122" s="742">
        <f t="shared" si="34"/>
        <v>19165.279771184705</v>
      </c>
      <c r="Z122" s="742">
        <f t="shared" si="34"/>
        <v>19548.5853666084</v>
      </c>
      <c r="AA122" s="742">
        <f t="shared" si="34"/>
        <v>19939.55707394057</v>
      </c>
      <c r="AB122" s="742">
        <f t="shared" si="34"/>
        <v>20338.348215419381</v>
      </c>
      <c r="AC122" s="742">
        <f t="shared" si="34"/>
        <v>20745.115179727771</v>
      </c>
      <c r="AD122" s="742">
        <f t="shared" si="34"/>
        <v>21160.017483322328</v>
      </c>
      <c r="AE122" s="742">
        <f t="shared" si="34"/>
        <v>21583.217832988772</v>
      </c>
    </row>
    <row r="123" spans="1:33">
      <c r="A123" s="164" t="s">
        <v>414</v>
      </c>
      <c r="B123" s="164"/>
      <c r="C123" s="667">
        <f>SUM(C120:C122)</f>
        <v>85000</v>
      </c>
      <c r="D123" s="667"/>
      <c r="E123" s="667">
        <f>SUM(E120:E122)</f>
        <v>6000</v>
      </c>
      <c r="F123" s="667">
        <f>SUM(F120:F122)</f>
        <v>34000</v>
      </c>
      <c r="G123" s="667">
        <f>SUM(G120:G122)</f>
        <v>125000</v>
      </c>
      <c r="H123" s="667">
        <f>SUM(H120:H122)</f>
        <v>573.07692307692309</v>
      </c>
      <c r="I123" s="668"/>
      <c r="J123" s="667"/>
      <c r="K123" s="685">
        <f>SUMIF($B120:$B122,"FT",K120:K122)</f>
        <v>0</v>
      </c>
      <c r="L123" s="669">
        <f>SUM(L120:L122)</f>
        <v>0</v>
      </c>
      <c r="M123" s="669">
        <f t="shared" ref="M123:AE123" si="35">SUM(M120:M122)</f>
        <v>45475</v>
      </c>
      <c r="N123" s="669">
        <f t="shared" si="35"/>
        <v>47312.19</v>
      </c>
      <c r="O123" s="669">
        <f t="shared" si="35"/>
        <v>48258.433799999999</v>
      </c>
      <c r="P123" s="669">
        <f t="shared" si="35"/>
        <v>49223.602475999993</v>
      </c>
      <c r="Q123" s="669">
        <f t="shared" si="35"/>
        <v>50208.074525520002</v>
      </c>
      <c r="R123" s="669">
        <f t="shared" si="35"/>
        <v>51212.236016030394</v>
      </c>
      <c r="S123" s="669">
        <f t="shared" si="35"/>
        <v>52236.480736351004</v>
      </c>
      <c r="T123" s="669">
        <f t="shared" si="35"/>
        <v>53281.210351078029</v>
      </c>
      <c r="U123" s="669">
        <f t="shared" si="35"/>
        <v>54346.834558099596</v>
      </c>
      <c r="V123" s="669">
        <f t="shared" si="35"/>
        <v>55433.771249261583</v>
      </c>
      <c r="W123" s="669">
        <f t="shared" si="35"/>
        <v>56542.446674246821</v>
      </c>
      <c r="X123" s="669">
        <f t="shared" si="35"/>
        <v>57673.295607731765</v>
      </c>
      <c r="Y123" s="669">
        <f t="shared" si="35"/>
        <v>58826.761519886393</v>
      </c>
      <c r="Z123" s="669">
        <f t="shared" si="35"/>
        <v>60003.29675028412</v>
      </c>
      <c r="AA123" s="669">
        <f t="shared" si="35"/>
        <v>61203.362685289801</v>
      </c>
      <c r="AB123" s="669">
        <f t="shared" si="35"/>
        <v>62427.4299389956</v>
      </c>
      <c r="AC123" s="669">
        <f t="shared" si="35"/>
        <v>63675.978537775518</v>
      </c>
      <c r="AD123" s="669">
        <f t="shared" si="35"/>
        <v>64949.498108531028</v>
      </c>
      <c r="AE123" s="669">
        <f t="shared" si="35"/>
        <v>66248.488070701642</v>
      </c>
    </row>
    <row r="124" spans="1:33">
      <c r="A124" s="37"/>
      <c r="B124" s="37"/>
      <c r="C124" s="663"/>
      <c r="D124" s="663"/>
      <c r="E124" s="663"/>
      <c r="F124" s="663"/>
      <c r="G124" s="663"/>
      <c r="H124" s="663"/>
      <c r="I124" s="670"/>
      <c r="J124" s="663"/>
      <c r="K124" s="683"/>
      <c r="L124" s="666"/>
      <c r="M124" s="666"/>
      <c r="N124" s="666"/>
      <c r="O124" s="666"/>
      <c r="P124" s="666"/>
      <c r="Q124" s="666"/>
      <c r="R124" s="666"/>
      <c r="S124" s="666"/>
      <c r="T124" s="666"/>
      <c r="U124" s="666"/>
      <c r="V124" s="666"/>
      <c r="W124" s="666"/>
      <c r="X124" s="666"/>
      <c r="Y124" s="666"/>
      <c r="Z124" s="666"/>
      <c r="AA124" s="666"/>
      <c r="AB124" s="666"/>
      <c r="AC124" s="666"/>
      <c r="AD124" s="666"/>
      <c r="AE124" s="666"/>
    </row>
    <row r="125" spans="1:33">
      <c r="A125" s="37" t="s">
        <v>11</v>
      </c>
      <c r="B125" s="37"/>
      <c r="C125" s="663"/>
      <c r="D125" s="663"/>
      <c r="E125" s="663"/>
      <c r="F125" s="663"/>
      <c r="G125" s="663"/>
      <c r="H125" s="663"/>
      <c r="I125" s="670"/>
      <c r="J125" s="663"/>
      <c r="K125" s="743">
        <f>COUNTIF(K120:K122,"&gt;100")</f>
        <v>0</v>
      </c>
      <c r="L125" s="496">
        <f>COUNTIF(L120,"&gt;100")</f>
        <v>0</v>
      </c>
      <c r="M125" s="496">
        <f t="shared" ref="M125:AE125" si="36">COUNTIF(M120,"&gt;100")</f>
        <v>1</v>
      </c>
      <c r="N125" s="496">
        <f t="shared" si="36"/>
        <v>1</v>
      </c>
      <c r="O125" s="496">
        <f t="shared" si="36"/>
        <v>1</v>
      </c>
      <c r="P125" s="496">
        <f t="shared" si="36"/>
        <v>1</v>
      </c>
      <c r="Q125" s="496">
        <f t="shared" si="36"/>
        <v>1</v>
      </c>
      <c r="R125" s="496">
        <f t="shared" si="36"/>
        <v>1</v>
      </c>
      <c r="S125" s="496">
        <f t="shared" si="36"/>
        <v>1</v>
      </c>
      <c r="T125" s="496">
        <f t="shared" si="36"/>
        <v>1</v>
      </c>
      <c r="U125" s="496">
        <f t="shared" si="36"/>
        <v>1</v>
      </c>
      <c r="V125" s="496">
        <f t="shared" si="36"/>
        <v>1</v>
      </c>
      <c r="W125" s="496">
        <f t="shared" si="36"/>
        <v>1</v>
      </c>
      <c r="X125" s="496">
        <f t="shared" si="36"/>
        <v>1</v>
      </c>
      <c r="Y125" s="496">
        <f t="shared" si="36"/>
        <v>1</v>
      </c>
      <c r="Z125" s="496">
        <f t="shared" si="36"/>
        <v>1</v>
      </c>
      <c r="AA125" s="496">
        <f t="shared" si="36"/>
        <v>1</v>
      </c>
      <c r="AB125" s="496">
        <f t="shared" si="36"/>
        <v>1</v>
      </c>
      <c r="AC125" s="496">
        <f t="shared" si="36"/>
        <v>1</v>
      </c>
      <c r="AD125" s="496">
        <f t="shared" si="36"/>
        <v>1</v>
      </c>
      <c r="AE125" s="496">
        <f t="shared" si="36"/>
        <v>1</v>
      </c>
    </row>
    <row r="126" spans="1:33">
      <c r="A126" s="745" t="s">
        <v>10</v>
      </c>
      <c r="B126" s="745"/>
      <c r="C126" s="739"/>
      <c r="D126" s="739"/>
      <c r="E126" s="739"/>
      <c r="F126" s="739"/>
      <c r="G126" s="739"/>
      <c r="H126" s="739"/>
      <c r="I126" s="763"/>
      <c r="J126" s="739"/>
      <c r="K126" s="749">
        <f t="shared" ref="K126" si="37">K127-K125</f>
        <v>0</v>
      </c>
      <c r="L126" s="750">
        <f>COUNTIF(L121:L122,"&gt;100")</f>
        <v>0</v>
      </c>
      <c r="M126" s="750">
        <f t="shared" ref="M126:AE126" si="38">COUNTIF(M121:M122,"&gt;100")</f>
        <v>2</v>
      </c>
      <c r="N126" s="750">
        <f t="shared" si="38"/>
        <v>2</v>
      </c>
      <c r="O126" s="750">
        <f t="shared" si="38"/>
        <v>2</v>
      </c>
      <c r="P126" s="750">
        <f t="shared" si="38"/>
        <v>2</v>
      </c>
      <c r="Q126" s="750">
        <f t="shared" si="38"/>
        <v>2</v>
      </c>
      <c r="R126" s="750">
        <f t="shared" si="38"/>
        <v>2</v>
      </c>
      <c r="S126" s="750">
        <f t="shared" si="38"/>
        <v>2</v>
      </c>
      <c r="T126" s="750">
        <f t="shared" si="38"/>
        <v>2</v>
      </c>
      <c r="U126" s="750">
        <f t="shared" si="38"/>
        <v>2</v>
      </c>
      <c r="V126" s="750">
        <f t="shared" si="38"/>
        <v>2</v>
      </c>
      <c r="W126" s="750">
        <f t="shared" si="38"/>
        <v>2</v>
      </c>
      <c r="X126" s="750">
        <f t="shared" si="38"/>
        <v>2</v>
      </c>
      <c r="Y126" s="750">
        <f t="shared" si="38"/>
        <v>2</v>
      </c>
      <c r="Z126" s="750">
        <f t="shared" si="38"/>
        <v>2</v>
      </c>
      <c r="AA126" s="750">
        <f t="shared" si="38"/>
        <v>2</v>
      </c>
      <c r="AB126" s="750">
        <f t="shared" si="38"/>
        <v>2</v>
      </c>
      <c r="AC126" s="750">
        <f t="shared" si="38"/>
        <v>2</v>
      </c>
      <c r="AD126" s="750">
        <f t="shared" si="38"/>
        <v>2</v>
      </c>
      <c r="AE126" s="750">
        <f t="shared" si="38"/>
        <v>2</v>
      </c>
    </row>
    <row r="127" spans="1:33">
      <c r="A127" s="164" t="s">
        <v>9</v>
      </c>
      <c r="B127" s="164"/>
      <c r="C127" s="667"/>
      <c r="D127" s="667"/>
      <c r="E127" s="667"/>
      <c r="F127" s="667"/>
      <c r="G127" s="667"/>
      <c r="H127" s="667"/>
      <c r="I127" s="668"/>
      <c r="J127" s="667"/>
      <c r="K127" s="751">
        <f t="shared" ref="K127:AE127" si="39">COUNTIF(K120:K122,"&gt;0")</f>
        <v>0</v>
      </c>
      <c r="L127" s="752">
        <f t="shared" si="39"/>
        <v>0</v>
      </c>
      <c r="M127" s="752">
        <f t="shared" si="39"/>
        <v>3</v>
      </c>
      <c r="N127" s="752">
        <f t="shared" si="39"/>
        <v>3</v>
      </c>
      <c r="O127" s="752">
        <f t="shared" si="39"/>
        <v>3</v>
      </c>
      <c r="P127" s="752">
        <f t="shared" si="39"/>
        <v>3</v>
      </c>
      <c r="Q127" s="752">
        <f t="shared" si="39"/>
        <v>3</v>
      </c>
      <c r="R127" s="752">
        <f t="shared" si="39"/>
        <v>3</v>
      </c>
      <c r="S127" s="752">
        <f t="shared" si="39"/>
        <v>3</v>
      </c>
      <c r="T127" s="752">
        <f t="shared" si="39"/>
        <v>3</v>
      </c>
      <c r="U127" s="752">
        <f t="shared" si="39"/>
        <v>3</v>
      </c>
      <c r="V127" s="752">
        <f t="shared" si="39"/>
        <v>3</v>
      </c>
      <c r="W127" s="752">
        <f t="shared" si="39"/>
        <v>3</v>
      </c>
      <c r="X127" s="752">
        <f t="shared" si="39"/>
        <v>3</v>
      </c>
      <c r="Y127" s="752">
        <f t="shared" si="39"/>
        <v>3</v>
      </c>
      <c r="Z127" s="752">
        <f t="shared" si="39"/>
        <v>3</v>
      </c>
      <c r="AA127" s="752">
        <f t="shared" si="39"/>
        <v>3</v>
      </c>
      <c r="AB127" s="752">
        <f t="shared" si="39"/>
        <v>3</v>
      </c>
      <c r="AC127" s="752">
        <f t="shared" si="39"/>
        <v>3</v>
      </c>
      <c r="AD127" s="752">
        <f t="shared" si="39"/>
        <v>3</v>
      </c>
      <c r="AE127" s="752">
        <f t="shared" si="39"/>
        <v>3</v>
      </c>
    </row>
    <row r="128" spans="1:33">
      <c r="A128" s="37"/>
      <c r="B128" s="37"/>
      <c r="C128" s="57"/>
      <c r="E128" s="57"/>
      <c r="F128" s="57"/>
      <c r="G128" s="57"/>
      <c r="H128" s="57"/>
      <c r="I128" s="43"/>
      <c r="J128" s="42"/>
      <c r="K128" s="683"/>
      <c r="L128" s="316"/>
      <c r="M128" s="316"/>
      <c r="N128" s="316"/>
      <c r="O128" s="316"/>
      <c r="P128" s="316"/>
      <c r="Q128" s="316"/>
      <c r="R128" s="316"/>
      <c r="S128" s="316"/>
      <c r="T128" s="316"/>
      <c r="U128" s="316"/>
      <c r="V128" s="316"/>
      <c r="W128" s="316"/>
      <c r="X128" s="316"/>
      <c r="Y128" s="316"/>
      <c r="Z128" s="316"/>
      <c r="AA128" s="316"/>
      <c r="AB128" s="316"/>
      <c r="AC128" s="316"/>
      <c r="AD128" s="316"/>
      <c r="AE128" s="316"/>
    </row>
    <row r="129" spans="1:33" s="55" customFormat="1">
      <c r="A129" s="190" t="s">
        <v>60</v>
      </c>
      <c r="B129" s="191"/>
      <c r="C129" s="192"/>
      <c r="D129" s="193"/>
      <c r="E129" s="194"/>
      <c r="F129" s="194"/>
      <c r="G129" s="192"/>
      <c r="H129" s="192"/>
      <c r="I129" s="195">
        <v>0.2</v>
      </c>
      <c r="J129" s="196"/>
      <c r="K129" s="683">
        <v>0</v>
      </c>
      <c r="L129" s="665">
        <f>$I$129*L123</f>
        <v>0</v>
      </c>
      <c r="M129" s="665">
        <f t="shared" ref="M129:AE129" si="40">$I$129*M123</f>
        <v>9095</v>
      </c>
      <c r="N129" s="665">
        <f t="shared" si="40"/>
        <v>9462.4380000000001</v>
      </c>
      <c r="O129" s="665">
        <f t="shared" si="40"/>
        <v>9651.6867600000005</v>
      </c>
      <c r="P129" s="665">
        <f t="shared" si="40"/>
        <v>9844.7204951999993</v>
      </c>
      <c r="Q129" s="665">
        <f t="shared" si="40"/>
        <v>10041.614905104001</v>
      </c>
      <c r="R129" s="665">
        <f t="shared" si="40"/>
        <v>10242.44720320608</v>
      </c>
      <c r="S129" s="665">
        <f t="shared" si="40"/>
        <v>10447.296147270201</v>
      </c>
      <c r="T129" s="665">
        <f t="shared" si="40"/>
        <v>10656.242070215607</v>
      </c>
      <c r="U129" s="665">
        <f t="shared" si="40"/>
        <v>10869.36691161992</v>
      </c>
      <c r="V129" s="665">
        <f t="shared" si="40"/>
        <v>11086.754249852318</v>
      </c>
      <c r="W129" s="665">
        <f t="shared" si="40"/>
        <v>11308.489334849364</v>
      </c>
      <c r="X129" s="665">
        <f t="shared" si="40"/>
        <v>11534.659121546354</v>
      </c>
      <c r="Y129" s="665">
        <f t="shared" si="40"/>
        <v>11765.352303977279</v>
      </c>
      <c r="Z129" s="665">
        <f t="shared" si="40"/>
        <v>12000.659350056825</v>
      </c>
      <c r="AA129" s="665">
        <f t="shared" si="40"/>
        <v>12240.672537057961</v>
      </c>
      <c r="AB129" s="665">
        <f t="shared" si="40"/>
        <v>12485.48598779912</v>
      </c>
      <c r="AC129" s="665">
        <f t="shared" si="40"/>
        <v>12735.195707555104</v>
      </c>
      <c r="AD129" s="665">
        <f t="shared" si="40"/>
        <v>12989.899621706207</v>
      </c>
      <c r="AE129" s="665">
        <f t="shared" si="40"/>
        <v>13249.697614140328</v>
      </c>
    </row>
    <row r="130" spans="1:33">
      <c r="A130" s="190"/>
      <c r="B130" s="191"/>
      <c r="C130" s="192"/>
      <c r="D130" s="193"/>
      <c r="E130" s="194"/>
      <c r="F130" s="194"/>
      <c r="G130" s="192"/>
      <c r="H130" s="192"/>
      <c r="I130" s="195"/>
      <c r="J130" s="196"/>
      <c r="K130" s="685"/>
      <c r="L130" s="665"/>
      <c r="M130" s="665"/>
      <c r="N130" s="665"/>
      <c r="O130" s="665"/>
      <c r="P130" s="665"/>
      <c r="Q130" s="665"/>
      <c r="R130" s="665"/>
      <c r="S130" s="665"/>
      <c r="T130" s="665"/>
      <c r="U130" s="665"/>
      <c r="V130" s="665"/>
      <c r="W130" s="665"/>
      <c r="X130" s="665"/>
      <c r="Y130" s="665"/>
      <c r="Z130" s="665"/>
      <c r="AA130" s="665"/>
      <c r="AB130" s="665"/>
      <c r="AC130" s="665"/>
      <c r="AD130" s="665"/>
      <c r="AE130" s="665"/>
    </row>
    <row r="131" spans="1:33">
      <c r="A131" s="164" t="s">
        <v>61</v>
      </c>
      <c r="B131" s="164"/>
      <c r="C131" s="75"/>
      <c r="D131" s="173"/>
      <c r="E131" s="75"/>
      <c r="F131" s="75"/>
      <c r="G131" s="75"/>
      <c r="H131" s="75"/>
      <c r="I131" s="174"/>
      <c r="J131" s="175"/>
      <c r="K131" s="685">
        <v>0</v>
      </c>
      <c r="L131" s="669">
        <f>SUM(L123,L129)</f>
        <v>0</v>
      </c>
      <c r="M131" s="669">
        <f t="shared" ref="M131:AE131" si="41">SUM(M123,M129)</f>
        <v>54570</v>
      </c>
      <c r="N131" s="669">
        <f t="shared" si="41"/>
        <v>56774.628000000004</v>
      </c>
      <c r="O131" s="669">
        <f t="shared" si="41"/>
        <v>57910.120559999996</v>
      </c>
      <c r="P131" s="669">
        <f t="shared" si="41"/>
        <v>59068.322971199988</v>
      </c>
      <c r="Q131" s="669">
        <f t="shared" si="41"/>
        <v>60249.689430623999</v>
      </c>
      <c r="R131" s="669">
        <f t="shared" si="41"/>
        <v>61454.683219236475</v>
      </c>
      <c r="S131" s="669">
        <f t="shared" si="41"/>
        <v>62683.776883621205</v>
      </c>
      <c r="T131" s="669">
        <f t="shared" si="41"/>
        <v>63937.452421293638</v>
      </c>
      <c r="U131" s="669">
        <f t="shared" si="41"/>
        <v>65216.201469719512</v>
      </c>
      <c r="V131" s="669">
        <f t="shared" si="41"/>
        <v>66520.525499113894</v>
      </c>
      <c r="W131" s="669">
        <f t="shared" si="41"/>
        <v>67850.936009096185</v>
      </c>
      <c r="X131" s="669">
        <f t="shared" si="41"/>
        <v>69207.954729278121</v>
      </c>
      <c r="Y131" s="669">
        <f t="shared" si="41"/>
        <v>70592.113823863678</v>
      </c>
      <c r="Z131" s="669">
        <f t="shared" si="41"/>
        <v>72003.956100340947</v>
      </c>
      <c r="AA131" s="669">
        <f t="shared" si="41"/>
        <v>73444.035222347768</v>
      </c>
      <c r="AB131" s="669">
        <f t="shared" si="41"/>
        <v>74912.915926794725</v>
      </c>
      <c r="AC131" s="669">
        <f t="shared" si="41"/>
        <v>76411.174245330621</v>
      </c>
      <c r="AD131" s="669">
        <f t="shared" si="41"/>
        <v>77939.397730237237</v>
      </c>
      <c r="AE131" s="669">
        <f t="shared" si="41"/>
        <v>79498.18568484197</v>
      </c>
    </row>
    <row r="132" spans="1:33">
      <c r="A132" s="183"/>
      <c r="B132" s="184"/>
      <c r="C132" s="185"/>
      <c r="D132" s="186"/>
      <c r="E132" s="185"/>
      <c r="F132" s="185"/>
      <c r="G132" s="185"/>
      <c r="H132" s="185"/>
      <c r="I132" s="187"/>
      <c r="J132" s="188"/>
      <c r="K132" s="683"/>
      <c r="L132" s="320"/>
      <c r="M132" s="320"/>
      <c r="N132" s="320"/>
      <c r="O132" s="320"/>
      <c r="P132" s="320"/>
      <c r="Q132" s="320"/>
      <c r="R132" s="320"/>
      <c r="S132" s="320"/>
      <c r="T132" s="320"/>
      <c r="U132" s="320"/>
      <c r="V132" s="320"/>
      <c r="W132" s="320"/>
      <c r="X132" s="320"/>
      <c r="Y132" s="320"/>
      <c r="Z132" s="320"/>
      <c r="AA132" s="320"/>
      <c r="AB132" s="320"/>
      <c r="AC132" s="320"/>
      <c r="AD132" s="320"/>
      <c r="AE132" s="320"/>
    </row>
    <row r="133" spans="1:33">
      <c r="A133" s="39" t="s">
        <v>4</v>
      </c>
      <c r="B133" s="39"/>
      <c r="C133" s="111"/>
      <c r="D133" s="112"/>
      <c r="E133" s="111"/>
      <c r="F133" s="111"/>
      <c r="G133" s="111"/>
      <c r="H133" s="111"/>
      <c r="I133" s="40"/>
      <c r="J133" s="113"/>
      <c r="K133" s="688"/>
      <c r="L133" s="321"/>
      <c r="M133" s="321"/>
      <c r="N133" s="321"/>
      <c r="O133" s="321"/>
      <c r="P133" s="321"/>
      <c r="Q133" s="321"/>
      <c r="R133" s="321"/>
      <c r="S133" s="321"/>
      <c r="T133" s="321"/>
      <c r="U133" s="321"/>
      <c r="V133" s="321"/>
      <c r="W133" s="321"/>
      <c r="X133" s="321"/>
      <c r="Y133" s="321"/>
      <c r="Z133" s="321"/>
      <c r="AA133" s="321"/>
      <c r="AB133" s="321"/>
      <c r="AC133" s="321"/>
      <c r="AD133" s="321"/>
      <c r="AE133" s="321"/>
    </row>
    <row r="134" spans="1:33">
      <c r="A134" s="41" t="s">
        <v>13</v>
      </c>
      <c r="B134" s="41"/>
      <c r="C134" s="105"/>
      <c r="D134" s="106"/>
      <c r="E134" s="37"/>
      <c r="F134" s="37"/>
      <c r="G134" s="37"/>
      <c r="H134" s="37"/>
      <c r="I134" s="41"/>
      <c r="J134" s="37"/>
      <c r="K134" s="683"/>
      <c r="L134" s="200"/>
      <c r="M134" s="200"/>
      <c r="N134" s="200"/>
      <c r="O134" s="200"/>
      <c r="P134" s="200"/>
      <c r="Q134" s="200"/>
      <c r="R134" s="200"/>
      <c r="S134" s="200"/>
      <c r="T134" s="200"/>
      <c r="U134" s="201"/>
      <c r="V134" s="323"/>
      <c r="W134" s="200"/>
      <c r="X134" s="200"/>
      <c r="Y134" s="200"/>
      <c r="Z134" s="200"/>
      <c r="AA134" s="200"/>
      <c r="AB134" s="200"/>
      <c r="AC134" s="200"/>
      <c r="AD134" s="200"/>
      <c r="AE134" s="201"/>
    </row>
    <row r="135" spans="1:33">
      <c r="A135" s="33" t="s">
        <v>65</v>
      </c>
      <c r="B135" s="735" t="s">
        <v>12</v>
      </c>
      <c r="C135" s="663">
        <v>65000</v>
      </c>
      <c r="D135" s="736">
        <f>C135/2080</f>
        <v>31.25</v>
      </c>
      <c r="E135" s="663">
        <v>0</v>
      </c>
      <c r="F135" s="663">
        <f>C135*$F$13</f>
        <v>26000</v>
      </c>
      <c r="G135" s="663">
        <f>SUM(C135,E135:F135)</f>
        <v>91000</v>
      </c>
      <c r="H135" s="736">
        <f>G135/2080*8</f>
        <v>350</v>
      </c>
      <c r="I135" s="764"/>
      <c r="J135" s="765"/>
      <c r="K135" s="683">
        <v>0</v>
      </c>
      <c r="L135" s="665">
        <v>0</v>
      </c>
      <c r="M135" s="665">
        <f>$H$135*M32*0.25</f>
        <v>18725</v>
      </c>
      <c r="N135" s="665">
        <f t="shared" ref="N135:AE135" si="42">$M$135*L11</f>
        <v>19099.5</v>
      </c>
      <c r="O135" s="665">
        <f t="shared" si="42"/>
        <v>19481.490000000002</v>
      </c>
      <c r="P135" s="665">
        <f t="shared" si="42"/>
        <v>19871.1198</v>
      </c>
      <c r="Q135" s="665">
        <f t="shared" si="42"/>
        <v>20268.542195999999</v>
      </c>
      <c r="R135" s="665">
        <f t="shared" si="42"/>
        <v>20673.91303992</v>
      </c>
      <c r="S135" s="665">
        <f t="shared" si="42"/>
        <v>21087.391300718402</v>
      </c>
      <c r="T135" s="665">
        <f t="shared" si="42"/>
        <v>21509.139126732767</v>
      </c>
      <c r="U135" s="665">
        <f t="shared" si="42"/>
        <v>21939.321909267426</v>
      </c>
      <c r="V135" s="665">
        <f t="shared" si="42"/>
        <v>22378.108347452773</v>
      </c>
      <c r="W135" s="665">
        <f t="shared" si="42"/>
        <v>22825.670514401831</v>
      </c>
      <c r="X135" s="665">
        <f t="shared" si="42"/>
        <v>23282.183924689867</v>
      </c>
      <c r="Y135" s="665">
        <f t="shared" si="42"/>
        <v>23747.827603183665</v>
      </c>
      <c r="Z135" s="665">
        <f t="shared" si="42"/>
        <v>24222.784155247336</v>
      </c>
      <c r="AA135" s="665">
        <f t="shared" si="42"/>
        <v>24707.239838352285</v>
      </c>
      <c r="AB135" s="665">
        <f t="shared" si="42"/>
        <v>25201.384635119332</v>
      </c>
      <c r="AC135" s="665">
        <f t="shared" si="42"/>
        <v>25705.412327821719</v>
      </c>
      <c r="AD135" s="665">
        <f t="shared" si="42"/>
        <v>26219.520574378155</v>
      </c>
      <c r="AE135" s="665">
        <f t="shared" si="42"/>
        <v>26743.910985865718</v>
      </c>
    </row>
    <row r="136" spans="1:33">
      <c r="A136" s="37" t="s">
        <v>62</v>
      </c>
      <c r="B136" s="735" t="s">
        <v>12</v>
      </c>
      <c r="C136" s="663">
        <v>85000</v>
      </c>
      <c r="D136" s="736">
        <f>C136/2080</f>
        <v>40.865384615384613</v>
      </c>
      <c r="E136" s="663">
        <f>C136*$L$15</f>
        <v>0</v>
      </c>
      <c r="F136" s="663">
        <f t="shared" ref="F136:F139" si="43">C136*$F$13</f>
        <v>34000</v>
      </c>
      <c r="G136" s="663">
        <f t="shared" ref="G136:G139" si="44">SUM(C136,E136:F136)</f>
        <v>119000</v>
      </c>
      <c r="H136" s="736">
        <f>G136/2080*8</f>
        <v>457.69230769230768</v>
      </c>
      <c r="I136" s="764"/>
      <c r="J136" s="765"/>
      <c r="K136" s="683">
        <v>0</v>
      </c>
      <c r="L136" s="665">
        <v>0</v>
      </c>
      <c r="M136" s="665">
        <f>$H$136*M32*0.1</f>
        <v>9794.6153846153848</v>
      </c>
      <c r="N136" s="665">
        <f t="shared" ref="N136:AE136" si="45">$M$136*L11</f>
        <v>9990.5076923076922</v>
      </c>
      <c r="O136" s="665">
        <f t="shared" si="45"/>
        <v>10190.317846153846</v>
      </c>
      <c r="P136" s="665">
        <f t="shared" si="45"/>
        <v>10394.124203076923</v>
      </c>
      <c r="Q136" s="665">
        <f t="shared" si="45"/>
        <v>10602.006687138461</v>
      </c>
      <c r="R136" s="665">
        <f t="shared" si="45"/>
        <v>10814.046820881231</v>
      </c>
      <c r="S136" s="665">
        <f t="shared" si="45"/>
        <v>11030.327757298855</v>
      </c>
      <c r="T136" s="665">
        <f t="shared" si="45"/>
        <v>11250.934312444833</v>
      </c>
      <c r="U136" s="665">
        <f t="shared" si="45"/>
        <v>11475.95299869373</v>
      </c>
      <c r="V136" s="665">
        <f t="shared" si="45"/>
        <v>11705.472058667605</v>
      </c>
      <c r="W136" s="665">
        <f t="shared" si="45"/>
        <v>11939.581499840959</v>
      </c>
      <c r="X136" s="665">
        <f t="shared" si="45"/>
        <v>12178.373129837777</v>
      </c>
      <c r="Y136" s="665">
        <f t="shared" si="45"/>
        <v>12421.940592434532</v>
      </c>
      <c r="Z136" s="665">
        <f t="shared" si="45"/>
        <v>12670.379404283221</v>
      </c>
      <c r="AA136" s="665">
        <f t="shared" si="45"/>
        <v>12923.786992368889</v>
      </c>
      <c r="AB136" s="665">
        <f t="shared" si="45"/>
        <v>13182.262732216266</v>
      </c>
      <c r="AC136" s="665">
        <f t="shared" si="45"/>
        <v>13445.907986860591</v>
      </c>
      <c r="AD136" s="665">
        <f t="shared" si="45"/>
        <v>13714.826146597805</v>
      </c>
      <c r="AE136" s="665">
        <f t="shared" si="45"/>
        <v>13989.122669529761</v>
      </c>
    </row>
    <row r="137" spans="1:33">
      <c r="A137" s="37" t="s">
        <v>419</v>
      </c>
      <c r="B137" s="735" t="s">
        <v>12</v>
      </c>
      <c r="C137" s="663">
        <v>75000</v>
      </c>
      <c r="D137" s="736">
        <f>C137/2080</f>
        <v>36.057692307692307</v>
      </c>
      <c r="E137" s="663">
        <f>C137*$L$15</f>
        <v>0</v>
      </c>
      <c r="F137" s="663">
        <f t="shared" si="43"/>
        <v>30000</v>
      </c>
      <c r="G137" s="663">
        <f t="shared" si="44"/>
        <v>105000</v>
      </c>
      <c r="H137" s="736">
        <f>G137/2080*8</f>
        <v>403.84615384615387</v>
      </c>
      <c r="I137" s="764"/>
      <c r="J137" s="765"/>
      <c r="K137" s="683">
        <v>0</v>
      </c>
      <c r="L137" s="665">
        <v>0</v>
      </c>
      <c r="M137" s="665">
        <f>$H$137*M32*0.1</f>
        <v>8642.3076923076933</v>
      </c>
      <c r="N137" s="665">
        <f t="shared" ref="N137:AE137" si="46">$M$137*L11</f>
        <v>8815.1538461538476</v>
      </c>
      <c r="O137" s="665">
        <f t="shared" si="46"/>
        <v>8991.4569230769248</v>
      </c>
      <c r="P137" s="665">
        <f t="shared" si="46"/>
        <v>9171.2860615384616</v>
      </c>
      <c r="Q137" s="665">
        <f t="shared" si="46"/>
        <v>9354.7117827692309</v>
      </c>
      <c r="R137" s="665">
        <f t="shared" si="46"/>
        <v>9541.8060184246169</v>
      </c>
      <c r="S137" s="665">
        <f t="shared" si="46"/>
        <v>9732.6421387931096</v>
      </c>
      <c r="T137" s="665">
        <f t="shared" si="46"/>
        <v>9927.2949815689717</v>
      </c>
      <c r="U137" s="665">
        <f t="shared" si="46"/>
        <v>10125.840881200351</v>
      </c>
      <c r="V137" s="665">
        <f t="shared" si="46"/>
        <v>10328.357698824359</v>
      </c>
      <c r="W137" s="665">
        <f t="shared" si="46"/>
        <v>10534.924852800847</v>
      </c>
      <c r="X137" s="665">
        <f t="shared" si="46"/>
        <v>10745.623349856864</v>
      </c>
      <c r="Y137" s="665">
        <f t="shared" si="46"/>
        <v>10960.535816854001</v>
      </c>
      <c r="Z137" s="665">
        <f t="shared" si="46"/>
        <v>11179.746533191079</v>
      </c>
      <c r="AA137" s="665">
        <f t="shared" si="46"/>
        <v>11403.341463854902</v>
      </c>
      <c r="AB137" s="665">
        <f t="shared" si="46"/>
        <v>11631.408293132001</v>
      </c>
      <c r="AC137" s="665">
        <f t="shared" si="46"/>
        <v>11864.03645899464</v>
      </c>
      <c r="AD137" s="665">
        <f t="shared" si="46"/>
        <v>12101.317188174535</v>
      </c>
      <c r="AE137" s="665">
        <f t="shared" si="46"/>
        <v>12343.343531938026</v>
      </c>
    </row>
    <row r="138" spans="1:33">
      <c r="A138" s="37" t="s">
        <v>63</v>
      </c>
      <c r="B138" s="735" t="s">
        <v>15</v>
      </c>
      <c r="C138" s="663">
        <v>15000</v>
      </c>
      <c r="D138" s="736">
        <f t="shared" ref="D138:D139" si="47">C138/2080</f>
        <v>7.2115384615384617</v>
      </c>
      <c r="E138" s="663">
        <f>C138*$L$15</f>
        <v>0</v>
      </c>
      <c r="F138" s="663">
        <f t="shared" si="43"/>
        <v>6000</v>
      </c>
      <c r="G138" s="663">
        <f t="shared" si="44"/>
        <v>21000</v>
      </c>
      <c r="H138" s="736">
        <f t="shared" ref="H138:H139" si="48">G138/2080*8</f>
        <v>80.769230769230774</v>
      </c>
      <c r="I138" s="764"/>
      <c r="J138" s="765"/>
      <c r="K138" s="683">
        <v>0</v>
      </c>
      <c r="L138" s="665">
        <v>0</v>
      </c>
      <c r="M138" s="665">
        <f>($H$138*M32)*0.5</f>
        <v>8642.3076923076933</v>
      </c>
      <c r="N138" s="665">
        <f t="shared" ref="N138:AE138" si="49">$M$138*L11</f>
        <v>8815.1538461538476</v>
      </c>
      <c r="O138" s="665">
        <f t="shared" si="49"/>
        <v>8991.4569230769248</v>
      </c>
      <c r="P138" s="665">
        <f t="shared" si="49"/>
        <v>9171.2860615384616</v>
      </c>
      <c r="Q138" s="665">
        <f t="shared" si="49"/>
        <v>9354.7117827692309</v>
      </c>
      <c r="R138" s="665">
        <f t="shared" si="49"/>
        <v>9541.8060184246169</v>
      </c>
      <c r="S138" s="665">
        <f t="shared" si="49"/>
        <v>9732.6421387931096</v>
      </c>
      <c r="T138" s="665">
        <f t="shared" si="49"/>
        <v>9927.2949815689717</v>
      </c>
      <c r="U138" s="665">
        <f t="shared" si="49"/>
        <v>10125.840881200351</v>
      </c>
      <c r="V138" s="665">
        <f t="shared" si="49"/>
        <v>10328.357698824359</v>
      </c>
      <c r="W138" s="665">
        <f t="shared" si="49"/>
        <v>10534.924852800847</v>
      </c>
      <c r="X138" s="665">
        <f t="shared" si="49"/>
        <v>10745.623349856864</v>
      </c>
      <c r="Y138" s="665">
        <f t="shared" si="49"/>
        <v>10960.535816854001</v>
      </c>
      <c r="Z138" s="665">
        <f t="shared" si="49"/>
        <v>11179.746533191079</v>
      </c>
      <c r="AA138" s="665">
        <f t="shared" si="49"/>
        <v>11403.341463854902</v>
      </c>
      <c r="AB138" s="665">
        <f t="shared" si="49"/>
        <v>11631.408293132001</v>
      </c>
      <c r="AC138" s="665">
        <f t="shared" si="49"/>
        <v>11864.03645899464</v>
      </c>
      <c r="AD138" s="665">
        <f t="shared" si="49"/>
        <v>12101.317188174535</v>
      </c>
      <c r="AE138" s="665">
        <f t="shared" si="49"/>
        <v>12343.343531938026</v>
      </c>
    </row>
    <row r="139" spans="1:33">
      <c r="A139" s="745" t="s">
        <v>63</v>
      </c>
      <c r="B139" s="738" t="s">
        <v>15</v>
      </c>
      <c r="C139" s="739">
        <v>15000</v>
      </c>
      <c r="D139" s="740">
        <f t="shared" si="47"/>
        <v>7.2115384615384617</v>
      </c>
      <c r="E139" s="739">
        <f>C139*$L$15</f>
        <v>0</v>
      </c>
      <c r="F139" s="739">
        <f t="shared" si="43"/>
        <v>6000</v>
      </c>
      <c r="G139" s="739">
        <f t="shared" si="44"/>
        <v>21000</v>
      </c>
      <c r="H139" s="740">
        <f t="shared" si="48"/>
        <v>80.769230769230774</v>
      </c>
      <c r="I139" s="766"/>
      <c r="J139" s="767"/>
      <c r="K139" s="741">
        <v>0</v>
      </c>
      <c r="L139" s="742">
        <v>0</v>
      </c>
      <c r="M139" s="742">
        <f>($H$139*M32)*0.5</f>
        <v>8642.3076923076933</v>
      </c>
      <c r="N139" s="742">
        <f t="shared" ref="N139:AE139" si="50">$M$139*L11</f>
        <v>8815.1538461538476</v>
      </c>
      <c r="O139" s="742">
        <f t="shared" si="50"/>
        <v>8991.4569230769248</v>
      </c>
      <c r="P139" s="742">
        <f t="shared" si="50"/>
        <v>9171.2860615384616</v>
      </c>
      <c r="Q139" s="742">
        <f t="shared" si="50"/>
        <v>9354.7117827692309</v>
      </c>
      <c r="R139" s="742">
        <f t="shared" si="50"/>
        <v>9541.8060184246169</v>
      </c>
      <c r="S139" s="742">
        <f t="shared" si="50"/>
        <v>9732.6421387931096</v>
      </c>
      <c r="T139" s="742">
        <f t="shared" si="50"/>
        <v>9927.2949815689717</v>
      </c>
      <c r="U139" s="742">
        <f t="shared" si="50"/>
        <v>10125.840881200351</v>
      </c>
      <c r="V139" s="742">
        <f t="shared" si="50"/>
        <v>10328.357698824359</v>
      </c>
      <c r="W139" s="742">
        <f t="shared" si="50"/>
        <v>10534.924852800847</v>
      </c>
      <c r="X139" s="742">
        <f t="shared" si="50"/>
        <v>10745.623349856864</v>
      </c>
      <c r="Y139" s="742">
        <f t="shared" si="50"/>
        <v>10960.535816854001</v>
      </c>
      <c r="Z139" s="742">
        <f t="shared" si="50"/>
        <v>11179.746533191079</v>
      </c>
      <c r="AA139" s="742">
        <f t="shared" si="50"/>
        <v>11403.341463854902</v>
      </c>
      <c r="AB139" s="742">
        <f t="shared" si="50"/>
        <v>11631.408293132001</v>
      </c>
      <c r="AC139" s="742">
        <f t="shared" si="50"/>
        <v>11864.03645899464</v>
      </c>
      <c r="AD139" s="742">
        <f t="shared" si="50"/>
        <v>12101.317188174535</v>
      </c>
      <c r="AE139" s="742">
        <f t="shared" si="50"/>
        <v>12343.343531938026</v>
      </c>
    </row>
    <row r="140" spans="1:33" s="56" customFormat="1" ht="14.25">
      <c r="A140" s="164" t="s">
        <v>415</v>
      </c>
      <c r="B140" s="164"/>
      <c r="C140" s="667">
        <f>SUM(C135:C139)</f>
        <v>255000</v>
      </c>
      <c r="D140" s="667"/>
      <c r="E140" s="667">
        <f>SUM(E135:E139)</f>
        <v>0</v>
      </c>
      <c r="F140" s="667">
        <f>SUM(F135:F139)</f>
        <v>102000</v>
      </c>
      <c r="G140" s="667">
        <f>SUM(G135:G139)</f>
        <v>357000</v>
      </c>
      <c r="H140" s="667">
        <f>SUM(H135:H139)</f>
        <v>1373.0769230769229</v>
      </c>
      <c r="I140" s="768"/>
      <c r="J140" s="769"/>
      <c r="K140" s="685">
        <f>SUMIF($B135:$B139,"FT",K135:K139)</f>
        <v>0</v>
      </c>
      <c r="L140" s="669">
        <f>SUMIF($B135:$B139,"FT",L135:L139)</f>
        <v>0</v>
      </c>
      <c r="M140" s="669">
        <f>SUM(M135:M139)</f>
        <v>54446.538461538468</v>
      </c>
      <c r="N140" s="669">
        <f t="shared" ref="N140:AE140" si="51">SUM(N135:N139)</f>
        <v>55535.469230769231</v>
      </c>
      <c r="O140" s="669">
        <f t="shared" si="51"/>
        <v>56646.178615384626</v>
      </c>
      <c r="P140" s="669">
        <f t="shared" si="51"/>
        <v>57779.102187692311</v>
      </c>
      <c r="Q140" s="669">
        <f t="shared" si="51"/>
        <v>58934.684231446139</v>
      </c>
      <c r="R140" s="669">
        <f t="shared" si="51"/>
        <v>60113.377916075071</v>
      </c>
      <c r="S140" s="669">
        <f t="shared" si="51"/>
        <v>61315.645474396588</v>
      </c>
      <c r="T140" s="669">
        <f t="shared" si="51"/>
        <v>62541.958383884514</v>
      </c>
      <c r="U140" s="669">
        <f t="shared" si="51"/>
        <v>63792.797551562195</v>
      </c>
      <c r="V140" s="669">
        <f t="shared" si="51"/>
        <v>65068.653502593457</v>
      </c>
      <c r="W140" s="669">
        <f t="shared" si="51"/>
        <v>66370.026572645322</v>
      </c>
      <c r="X140" s="669">
        <f t="shared" si="51"/>
        <v>67697.427104098228</v>
      </c>
      <c r="Y140" s="669">
        <f t="shared" si="51"/>
        <v>69051.375646180197</v>
      </c>
      <c r="Z140" s="669">
        <f t="shared" si="51"/>
        <v>70432.403159103793</v>
      </c>
      <c r="AA140" s="669">
        <f t="shared" si="51"/>
        <v>71841.051222285882</v>
      </c>
      <c r="AB140" s="669">
        <f t="shared" si="51"/>
        <v>73277.872246731597</v>
      </c>
      <c r="AC140" s="669">
        <f t="shared" si="51"/>
        <v>74743.429691666228</v>
      </c>
      <c r="AD140" s="669">
        <f t="shared" si="51"/>
        <v>76238.298285499564</v>
      </c>
      <c r="AE140" s="669">
        <f t="shared" si="51"/>
        <v>77763.064251209551</v>
      </c>
    </row>
    <row r="141" spans="1:33">
      <c r="A141" s="37"/>
      <c r="B141" s="37"/>
      <c r="C141" s="663"/>
      <c r="D141" s="663"/>
      <c r="E141" s="663"/>
      <c r="F141" s="663"/>
      <c r="G141" s="663"/>
      <c r="H141" s="663"/>
      <c r="I141" s="107"/>
      <c r="J141" s="108"/>
      <c r="K141" s="683"/>
      <c r="L141" s="666"/>
      <c r="M141" s="666"/>
      <c r="N141" s="666"/>
      <c r="O141" s="666"/>
      <c r="P141" s="666"/>
      <c r="Q141" s="666"/>
      <c r="R141" s="666"/>
      <c r="S141" s="666"/>
      <c r="T141" s="666"/>
      <c r="U141" s="666"/>
      <c r="V141" s="666"/>
      <c r="W141" s="666"/>
      <c r="X141" s="666"/>
      <c r="Y141" s="666"/>
      <c r="Z141" s="666"/>
      <c r="AA141" s="666"/>
      <c r="AB141" s="666"/>
      <c r="AC141" s="666"/>
      <c r="AD141" s="666"/>
      <c r="AE141" s="666"/>
    </row>
    <row r="142" spans="1:33">
      <c r="A142" s="37" t="s">
        <v>11</v>
      </c>
      <c r="B142" s="37"/>
      <c r="C142" s="57"/>
      <c r="E142" s="57"/>
      <c r="F142" s="57"/>
      <c r="G142" s="57"/>
      <c r="H142" s="57"/>
      <c r="I142" s="43"/>
      <c r="J142" s="42"/>
      <c r="K142" s="770">
        <f>COUNTIF(K135:K139,"&gt;100")</f>
        <v>0</v>
      </c>
      <c r="L142" s="771">
        <f>COUNTIF(L135:L137,"&gt;100")</f>
        <v>0</v>
      </c>
      <c r="M142" s="771">
        <f t="shared" ref="M142:AE142" si="52">COUNTIF(M135:M137,"&gt;100")</f>
        <v>3</v>
      </c>
      <c r="N142" s="771">
        <f t="shared" si="52"/>
        <v>3</v>
      </c>
      <c r="O142" s="771">
        <f t="shared" si="52"/>
        <v>3</v>
      </c>
      <c r="P142" s="771">
        <f t="shared" si="52"/>
        <v>3</v>
      </c>
      <c r="Q142" s="771">
        <f t="shared" si="52"/>
        <v>3</v>
      </c>
      <c r="R142" s="771">
        <f t="shared" si="52"/>
        <v>3</v>
      </c>
      <c r="S142" s="771">
        <f t="shared" si="52"/>
        <v>3</v>
      </c>
      <c r="T142" s="771">
        <f t="shared" si="52"/>
        <v>3</v>
      </c>
      <c r="U142" s="771">
        <f t="shared" si="52"/>
        <v>3</v>
      </c>
      <c r="V142" s="771">
        <f t="shared" si="52"/>
        <v>3</v>
      </c>
      <c r="W142" s="771">
        <f t="shared" si="52"/>
        <v>3</v>
      </c>
      <c r="X142" s="771">
        <f t="shared" si="52"/>
        <v>3</v>
      </c>
      <c r="Y142" s="771">
        <f t="shared" si="52"/>
        <v>3</v>
      </c>
      <c r="Z142" s="771">
        <f t="shared" si="52"/>
        <v>3</v>
      </c>
      <c r="AA142" s="771">
        <f t="shared" si="52"/>
        <v>3</v>
      </c>
      <c r="AB142" s="771">
        <f t="shared" si="52"/>
        <v>3</v>
      </c>
      <c r="AC142" s="771">
        <f t="shared" si="52"/>
        <v>3</v>
      </c>
      <c r="AD142" s="771">
        <f t="shared" si="52"/>
        <v>3</v>
      </c>
      <c r="AE142" s="771">
        <f t="shared" si="52"/>
        <v>3</v>
      </c>
      <c r="AF142" s="772"/>
      <c r="AG142" s="772"/>
    </row>
    <row r="143" spans="1:33">
      <c r="A143" s="745" t="s">
        <v>10</v>
      </c>
      <c r="B143" s="745"/>
      <c r="C143" s="746"/>
      <c r="D143" s="116"/>
      <c r="E143" s="746"/>
      <c r="F143" s="746"/>
      <c r="G143" s="746"/>
      <c r="H143" s="746"/>
      <c r="I143" s="747"/>
      <c r="J143" s="748"/>
      <c r="K143" s="773">
        <v>0</v>
      </c>
      <c r="L143" s="774">
        <f>COUNTIF(L138:L139,"&gt;100")</f>
        <v>0</v>
      </c>
      <c r="M143" s="774">
        <f t="shared" ref="M143:AE143" si="53">COUNTIF(M138:M139,"&gt;100")</f>
        <v>2</v>
      </c>
      <c r="N143" s="774">
        <f t="shared" si="53"/>
        <v>2</v>
      </c>
      <c r="O143" s="774">
        <f t="shared" si="53"/>
        <v>2</v>
      </c>
      <c r="P143" s="774">
        <f t="shared" si="53"/>
        <v>2</v>
      </c>
      <c r="Q143" s="774">
        <f t="shared" si="53"/>
        <v>2</v>
      </c>
      <c r="R143" s="774">
        <f t="shared" si="53"/>
        <v>2</v>
      </c>
      <c r="S143" s="774">
        <f t="shared" si="53"/>
        <v>2</v>
      </c>
      <c r="T143" s="774">
        <f t="shared" si="53"/>
        <v>2</v>
      </c>
      <c r="U143" s="774">
        <f t="shared" si="53"/>
        <v>2</v>
      </c>
      <c r="V143" s="774">
        <f t="shared" si="53"/>
        <v>2</v>
      </c>
      <c r="W143" s="774">
        <f t="shared" si="53"/>
        <v>2</v>
      </c>
      <c r="X143" s="774">
        <f t="shared" si="53"/>
        <v>2</v>
      </c>
      <c r="Y143" s="774">
        <f t="shared" si="53"/>
        <v>2</v>
      </c>
      <c r="Z143" s="774">
        <f t="shared" si="53"/>
        <v>2</v>
      </c>
      <c r="AA143" s="774">
        <f t="shared" si="53"/>
        <v>2</v>
      </c>
      <c r="AB143" s="774">
        <f t="shared" si="53"/>
        <v>2</v>
      </c>
      <c r="AC143" s="774">
        <f t="shared" si="53"/>
        <v>2</v>
      </c>
      <c r="AD143" s="774">
        <f t="shared" si="53"/>
        <v>2</v>
      </c>
      <c r="AE143" s="774">
        <f t="shared" si="53"/>
        <v>2</v>
      </c>
      <c r="AF143" s="772"/>
      <c r="AG143" s="772"/>
    </row>
    <row r="144" spans="1:33" s="56" customFormat="1" ht="14.25">
      <c r="A144" s="164" t="s">
        <v>9</v>
      </c>
      <c r="B144" s="164"/>
      <c r="C144" s="75"/>
      <c r="D144" s="173"/>
      <c r="E144" s="75"/>
      <c r="F144" s="75"/>
      <c r="G144" s="75"/>
      <c r="H144" s="75"/>
      <c r="I144" s="174"/>
      <c r="J144" s="181"/>
      <c r="K144" s="775">
        <v>0</v>
      </c>
      <c r="L144" s="776">
        <f>SUM(L142:L143)</f>
        <v>0</v>
      </c>
      <c r="M144" s="776">
        <f t="shared" ref="M144:AE144" si="54">COUNTIF(M135:M139,"&gt;0")</f>
        <v>5</v>
      </c>
      <c r="N144" s="776">
        <f t="shared" si="54"/>
        <v>5</v>
      </c>
      <c r="O144" s="776">
        <f t="shared" si="54"/>
        <v>5</v>
      </c>
      <c r="P144" s="776">
        <f t="shared" si="54"/>
        <v>5</v>
      </c>
      <c r="Q144" s="776">
        <f t="shared" si="54"/>
        <v>5</v>
      </c>
      <c r="R144" s="776">
        <f t="shared" si="54"/>
        <v>5</v>
      </c>
      <c r="S144" s="776">
        <f t="shared" si="54"/>
        <v>5</v>
      </c>
      <c r="T144" s="776">
        <f t="shared" si="54"/>
        <v>5</v>
      </c>
      <c r="U144" s="776">
        <f t="shared" si="54"/>
        <v>5</v>
      </c>
      <c r="V144" s="776">
        <f t="shared" si="54"/>
        <v>5</v>
      </c>
      <c r="W144" s="776">
        <f t="shared" si="54"/>
        <v>5</v>
      </c>
      <c r="X144" s="776">
        <f t="shared" si="54"/>
        <v>5</v>
      </c>
      <c r="Y144" s="776">
        <f t="shared" si="54"/>
        <v>5</v>
      </c>
      <c r="Z144" s="776">
        <f t="shared" si="54"/>
        <v>5</v>
      </c>
      <c r="AA144" s="776">
        <f t="shared" si="54"/>
        <v>5</v>
      </c>
      <c r="AB144" s="776">
        <f t="shared" si="54"/>
        <v>5</v>
      </c>
      <c r="AC144" s="776">
        <f t="shared" si="54"/>
        <v>5</v>
      </c>
      <c r="AD144" s="776">
        <f t="shared" si="54"/>
        <v>5</v>
      </c>
      <c r="AE144" s="776">
        <f t="shared" si="54"/>
        <v>5</v>
      </c>
      <c r="AF144" s="723"/>
      <c r="AG144" s="723"/>
    </row>
    <row r="145" spans="1:33">
      <c r="B145" s="37"/>
      <c r="C145" s="57"/>
      <c r="E145" s="57"/>
      <c r="F145" s="57"/>
      <c r="G145" s="57"/>
      <c r="H145" s="57"/>
      <c r="I145" s="43"/>
      <c r="J145" s="42"/>
      <c r="K145" s="683"/>
      <c r="L145" s="316"/>
      <c r="M145" s="316"/>
      <c r="N145" s="316"/>
      <c r="O145" s="316"/>
      <c r="P145" s="316"/>
      <c r="Q145" s="316"/>
      <c r="R145" s="316"/>
      <c r="S145" s="316"/>
      <c r="T145" s="316"/>
      <c r="U145" s="316"/>
      <c r="V145" s="316"/>
      <c r="W145" s="316"/>
      <c r="X145" s="316"/>
      <c r="Y145" s="316"/>
      <c r="Z145" s="316"/>
      <c r="AA145" s="316"/>
      <c r="AB145" s="316"/>
      <c r="AC145" s="316"/>
      <c r="AD145" s="316"/>
      <c r="AE145" s="316"/>
    </row>
    <row r="146" spans="1:33">
      <c r="A146" s="33" t="s">
        <v>60</v>
      </c>
      <c r="B146" s="191"/>
      <c r="C146" s="192"/>
      <c r="D146" s="193"/>
      <c r="E146" s="194"/>
      <c r="F146" s="194"/>
      <c r="G146" s="192"/>
      <c r="H146" s="192"/>
      <c r="I146" s="195">
        <v>0.2</v>
      </c>
      <c r="J146" s="196"/>
      <c r="K146" s="689">
        <v>0</v>
      </c>
      <c r="L146" s="665">
        <f t="shared" ref="L146:AE146" si="55">L140*$I$146</f>
        <v>0</v>
      </c>
      <c r="M146" s="665">
        <f t="shared" si="55"/>
        <v>10889.307692307695</v>
      </c>
      <c r="N146" s="665">
        <f t="shared" si="55"/>
        <v>11107.093846153846</v>
      </c>
      <c r="O146" s="665">
        <f t="shared" si="55"/>
        <v>11329.235723076927</v>
      </c>
      <c r="P146" s="665">
        <f t="shared" si="55"/>
        <v>11555.820437538463</v>
      </c>
      <c r="Q146" s="665">
        <f t="shared" si="55"/>
        <v>11786.936846289229</v>
      </c>
      <c r="R146" s="665">
        <f t="shared" si="55"/>
        <v>12022.675583215016</v>
      </c>
      <c r="S146" s="665">
        <f t="shared" si="55"/>
        <v>12263.129094879318</v>
      </c>
      <c r="T146" s="665">
        <f t="shared" si="55"/>
        <v>12508.391676776904</v>
      </c>
      <c r="U146" s="665">
        <f t="shared" si="55"/>
        <v>12758.55951031244</v>
      </c>
      <c r="V146" s="665">
        <f t="shared" si="55"/>
        <v>13013.730700518692</v>
      </c>
      <c r="W146" s="665">
        <f t="shared" si="55"/>
        <v>13274.005314529066</v>
      </c>
      <c r="X146" s="665">
        <f t="shared" si="55"/>
        <v>13539.485420819647</v>
      </c>
      <c r="Y146" s="665">
        <f t="shared" si="55"/>
        <v>13810.275129236041</v>
      </c>
      <c r="Z146" s="665">
        <f t="shared" si="55"/>
        <v>14086.480631820759</v>
      </c>
      <c r="AA146" s="665">
        <f t="shared" si="55"/>
        <v>14368.210244457177</v>
      </c>
      <c r="AB146" s="665">
        <f t="shared" si="55"/>
        <v>14655.574449346321</v>
      </c>
      <c r="AC146" s="665">
        <f t="shared" si="55"/>
        <v>14948.685938333247</v>
      </c>
      <c r="AD146" s="665">
        <f t="shared" si="55"/>
        <v>15247.659657099914</v>
      </c>
      <c r="AE146" s="665">
        <f t="shared" si="55"/>
        <v>15552.612850241911</v>
      </c>
    </row>
    <row r="147" spans="1:33">
      <c r="B147" s="191"/>
      <c r="C147" s="192"/>
      <c r="D147" s="193"/>
      <c r="E147" s="194"/>
      <c r="F147" s="194"/>
      <c r="G147" s="192"/>
      <c r="H147" s="192"/>
      <c r="I147" s="195"/>
      <c r="J147" s="196"/>
      <c r="K147" s="689"/>
      <c r="L147" s="665"/>
      <c r="M147" s="665"/>
      <c r="N147" s="665"/>
      <c r="O147" s="665"/>
      <c r="P147" s="665"/>
      <c r="Q147" s="665"/>
      <c r="R147" s="665"/>
      <c r="S147" s="665"/>
      <c r="T147" s="665"/>
      <c r="U147" s="665"/>
      <c r="V147" s="665"/>
      <c r="W147" s="665"/>
      <c r="X147" s="665"/>
      <c r="Y147" s="665"/>
      <c r="Z147" s="665"/>
      <c r="AA147" s="665"/>
      <c r="AB147" s="665"/>
      <c r="AC147" s="665"/>
      <c r="AD147" s="665"/>
      <c r="AE147" s="665"/>
    </row>
    <row r="148" spans="1:33" s="197" customFormat="1" ht="14.25">
      <c r="A148" s="197" t="s">
        <v>68</v>
      </c>
      <c r="D148" s="198"/>
      <c r="K148" s="690"/>
      <c r="L148" s="677"/>
      <c r="M148" s="677"/>
      <c r="N148" s="677"/>
      <c r="O148" s="677"/>
      <c r="P148" s="677"/>
      <c r="Q148" s="677"/>
      <c r="R148" s="677"/>
      <c r="S148" s="677"/>
      <c r="T148" s="677"/>
      <c r="U148" s="677"/>
      <c r="V148" s="677"/>
      <c r="W148" s="677"/>
      <c r="X148" s="677"/>
      <c r="Y148" s="677"/>
      <c r="Z148" s="677"/>
      <c r="AA148" s="677"/>
      <c r="AB148" s="677"/>
      <c r="AC148" s="677"/>
      <c r="AD148" s="677"/>
      <c r="AE148" s="677"/>
    </row>
    <row r="149" spans="1:33">
      <c r="A149" s="37" t="s">
        <v>423</v>
      </c>
      <c r="B149" s="37"/>
      <c r="C149" s="110"/>
      <c r="D149" s="106"/>
      <c r="E149" s="57"/>
      <c r="F149" s="57"/>
      <c r="G149" s="57"/>
      <c r="H149" s="57"/>
      <c r="I149" s="49"/>
      <c r="J149" s="44"/>
      <c r="K149" s="683">
        <f>COUNTIF(K$115:K$122,"&gt;0")*$J149*R$9</f>
        <v>0</v>
      </c>
      <c r="L149" s="666">
        <v>0</v>
      </c>
      <c r="M149" s="666">
        <v>10000</v>
      </c>
      <c r="N149" s="666">
        <f t="shared" ref="N149:AE149" si="56">$M$149*L11</f>
        <v>10200</v>
      </c>
      <c r="O149" s="666">
        <f t="shared" si="56"/>
        <v>10404</v>
      </c>
      <c r="P149" s="666">
        <f t="shared" si="56"/>
        <v>10612.08</v>
      </c>
      <c r="Q149" s="666">
        <f t="shared" si="56"/>
        <v>10824.321599999999</v>
      </c>
      <c r="R149" s="666">
        <f t="shared" si="56"/>
        <v>11040.808032000001</v>
      </c>
      <c r="S149" s="666">
        <f t="shared" si="56"/>
        <v>11261.62419264</v>
      </c>
      <c r="T149" s="666">
        <f t="shared" si="56"/>
        <v>11486.8566764928</v>
      </c>
      <c r="U149" s="666">
        <f t="shared" si="56"/>
        <v>11716.593810022658</v>
      </c>
      <c r="V149" s="666">
        <f t="shared" si="56"/>
        <v>11950.92568622311</v>
      </c>
      <c r="W149" s="666">
        <f t="shared" si="56"/>
        <v>12189.944199947573</v>
      </c>
      <c r="X149" s="666">
        <f t="shared" si="56"/>
        <v>12433.743083946525</v>
      </c>
      <c r="Y149" s="666">
        <f t="shared" si="56"/>
        <v>12682.417945625455</v>
      </c>
      <c r="Z149" s="666">
        <f t="shared" si="56"/>
        <v>12936.066304537962</v>
      </c>
      <c r="AA149" s="666">
        <f t="shared" si="56"/>
        <v>13194.787630628723</v>
      </c>
      <c r="AB149" s="666">
        <f t="shared" si="56"/>
        <v>13458.683383241299</v>
      </c>
      <c r="AC149" s="666">
        <f t="shared" si="56"/>
        <v>13727.857050906125</v>
      </c>
      <c r="AD149" s="666">
        <f t="shared" si="56"/>
        <v>14002.414191924248</v>
      </c>
      <c r="AE149" s="666">
        <f t="shared" si="56"/>
        <v>14282.462475762733</v>
      </c>
    </row>
    <row r="150" spans="1:33">
      <c r="A150" s="37" t="s">
        <v>67</v>
      </c>
      <c r="B150" s="37"/>
      <c r="C150" s="110"/>
      <c r="D150" s="106"/>
      <c r="E150" s="57"/>
      <c r="F150" s="57"/>
      <c r="G150" s="57"/>
      <c r="H150" s="57"/>
      <c r="I150" s="51"/>
      <c r="J150" s="44"/>
      <c r="K150" s="683">
        <v>0</v>
      </c>
      <c r="L150" s="666">
        <v>0</v>
      </c>
      <c r="M150" s="666">
        <v>10000</v>
      </c>
      <c r="N150" s="666">
        <f t="shared" ref="N150:AE150" si="57">$M$150*L11</f>
        <v>10200</v>
      </c>
      <c r="O150" s="666">
        <f t="shared" si="57"/>
        <v>10404</v>
      </c>
      <c r="P150" s="666">
        <f t="shared" si="57"/>
        <v>10612.08</v>
      </c>
      <c r="Q150" s="666">
        <f t="shared" si="57"/>
        <v>10824.321599999999</v>
      </c>
      <c r="R150" s="666">
        <f t="shared" si="57"/>
        <v>11040.808032000001</v>
      </c>
      <c r="S150" s="666">
        <f t="shared" si="57"/>
        <v>11261.62419264</v>
      </c>
      <c r="T150" s="666">
        <f t="shared" si="57"/>
        <v>11486.8566764928</v>
      </c>
      <c r="U150" s="666">
        <f t="shared" si="57"/>
        <v>11716.593810022658</v>
      </c>
      <c r="V150" s="666">
        <f t="shared" si="57"/>
        <v>11950.92568622311</v>
      </c>
      <c r="W150" s="666">
        <f t="shared" si="57"/>
        <v>12189.944199947573</v>
      </c>
      <c r="X150" s="666">
        <f t="shared" si="57"/>
        <v>12433.743083946525</v>
      </c>
      <c r="Y150" s="666">
        <f t="shared" si="57"/>
        <v>12682.417945625455</v>
      </c>
      <c r="Z150" s="666">
        <f t="shared" si="57"/>
        <v>12936.066304537962</v>
      </c>
      <c r="AA150" s="666">
        <f t="shared" si="57"/>
        <v>13194.787630628723</v>
      </c>
      <c r="AB150" s="666">
        <f t="shared" si="57"/>
        <v>13458.683383241299</v>
      </c>
      <c r="AC150" s="666">
        <f t="shared" si="57"/>
        <v>13727.857050906125</v>
      </c>
      <c r="AD150" s="666">
        <f t="shared" si="57"/>
        <v>14002.414191924248</v>
      </c>
      <c r="AE150" s="666">
        <f t="shared" si="57"/>
        <v>14282.462475762733</v>
      </c>
    </row>
    <row r="151" spans="1:33">
      <c r="A151" s="180" t="s">
        <v>2</v>
      </c>
      <c r="B151" s="777"/>
      <c r="C151" s="778"/>
      <c r="D151" s="779"/>
      <c r="E151" s="746"/>
      <c r="F151" s="746"/>
      <c r="G151" s="778"/>
      <c r="H151" s="778"/>
      <c r="I151" s="780"/>
      <c r="J151" s="781"/>
      <c r="K151" s="741">
        <v>0</v>
      </c>
      <c r="L151" s="742">
        <v>0</v>
      </c>
      <c r="M151" s="742">
        <v>0</v>
      </c>
      <c r="N151" s="742">
        <v>0</v>
      </c>
      <c r="O151" s="742">
        <v>0</v>
      </c>
      <c r="P151" s="742">
        <v>0</v>
      </c>
      <c r="Q151" s="742">
        <v>0</v>
      </c>
      <c r="R151" s="742">
        <v>0</v>
      </c>
      <c r="S151" s="742">
        <v>0</v>
      </c>
      <c r="T151" s="742">
        <v>0</v>
      </c>
      <c r="U151" s="742">
        <v>0</v>
      </c>
      <c r="V151" s="742">
        <v>0</v>
      </c>
      <c r="W151" s="742">
        <v>0</v>
      </c>
      <c r="X151" s="742">
        <v>0</v>
      </c>
      <c r="Y151" s="742">
        <v>0</v>
      </c>
      <c r="Z151" s="742">
        <v>0</v>
      </c>
      <c r="AA151" s="742">
        <v>0</v>
      </c>
      <c r="AB151" s="742">
        <v>0</v>
      </c>
      <c r="AC151" s="742">
        <v>0</v>
      </c>
      <c r="AD151" s="742">
        <v>0</v>
      </c>
      <c r="AE151" s="742">
        <v>0</v>
      </c>
    </row>
    <row r="152" spans="1:33" s="56" customFormat="1" ht="14.25">
      <c r="A152" s="164" t="s">
        <v>78</v>
      </c>
      <c r="B152" s="164"/>
      <c r="C152" s="75"/>
      <c r="D152" s="173"/>
      <c r="E152" s="75"/>
      <c r="F152" s="75"/>
      <c r="G152" s="75"/>
      <c r="H152" s="75"/>
      <c r="I152" s="174"/>
      <c r="J152" s="175"/>
      <c r="K152" s="685">
        <v>0</v>
      </c>
      <c r="L152" s="669">
        <f t="shared" ref="L152:AE152" si="58">SUM(L149:L151)</f>
        <v>0</v>
      </c>
      <c r="M152" s="669">
        <f t="shared" si="58"/>
        <v>20000</v>
      </c>
      <c r="N152" s="669">
        <f t="shared" si="58"/>
        <v>20400</v>
      </c>
      <c r="O152" s="669">
        <f t="shared" si="58"/>
        <v>20808</v>
      </c>
      <c r="P152" s="669">
        <f t="shared" si="58"/>
        <v>21224.16</v>
      </c>
      <c r="Q152" s="669">
        <f t="shared" si="58"/>
        <v>21648.643199999999</v>
      </c>
      <c r="R152" s="669">
        <f t="shared" si="58"/>
        <v>22081.616064000002</v>
      </c>
      <c r="S152" s="669">
        <f t="shared" si="58"/>
        <v>22523.24838528</v>
      </c>
      <c r="T152" s="669">
        <f t="shared" si="58"/>
        <v>22973.7133529856</v>
      </c>
      <c r="U152" s="669">
        <f t="shared" si="58"/>
        <v>23433.187620045315</v>
      </c>
      <c r="V152" s="669">
        <f t="shared" si="58"/>
        <v>23901.851372446221</v>
      </c>
      <c r="W152" s="669">
        <f t="shared" si="58"/>
        <v>24379.888399895146</v>
      </c>
      <c r="X152" s="669">
        <f t="shared" si="58"/>
        <v>24867.48616789305</v>
      </c>
      <c r="Y152" s="669">
        <f t="shared" si="58"/>
        <v>25364.83589125091</v>
      </c>
      <c r="Z152" s="669">
        <f t="shared" si="58"/>
        <v>25872.132609075925</v>
      </c>
      <c r="AA152" s="669">
        <f t="shared" si="58"/>
        <v>26389.575261257447</v>
      </c>
      <c r="AB152" s="669">
        <f t="shared" si="58"/>
        <v>26917.366766482599</v>
      </c>
      <c r="AC152" s="669">
        <f t="shared" si="58"/>
        <v>27455.714101812249</v>
      </c>
      <c r="AD152" s="669">
        <f t="shared" si="58"/>
        <v>28004.828383848497</v>
      </c>
      <c r="AE152" s="669">
        <f t="shared" si="58"/>
        <v>28564.924951525467</v>
      </c>
    </row>
    <row r="153" spans="1:33" s="56" customFormat="1" ht="14.25">
      <c r="A153" s="164"/>
      <c r="B153" s="164"/>
      <c r="C153" s="75"/>
      <c r="D153" s="173"/>
      <c r="E153" s="75"/>
      <c r="F153" s="75"/>
      <c r="G153" s="75"/>
      <c r="H153" s="75"/>
      <c r="I153" s="174"/>
      <c r="J153" s="175"/>
      <c r="K153" s="685"/>
      <c r="L153" s="669"/>
      <c r="M153" s="669"/>
      <c r="N153" s="669"/>
      <c r="O153" s="669"/>
      <c r="P153" s="669"/>
      <c r="Q153" s="669"/>
      <c r="R153" s="669"/>
      <c r="S153" s="669"/>
      <c r="T153" s="669"/>
      <c r="U153" s="669"/>
      <c r="V153" s="669"/>
      <c r="W153" s="669"/>
      <c r="X153" s="669"/>
      <c r="Y153" s="669"/>
      <c r="Z153" s="669"/>
      <c r="AA153" s="669"/>
      <c r="AB153" s="669"/>
      <c r="AC153" s="669"/>
      <c r="AD153" s="669"/>
      <c r="AE153" s="669"/>
    </row>
    <row r="154" spans="1:33" s="56" customFormat="1" ht="14.25">
      <c r="A154" s="164" t="s">
        <v>66</v>
      </c>
      <c r="B154" s="164"/>
      <c r="C154" s="75"/>
      <c r="D154" s="173"/>
      <c r="E154" s="75"/>
      <c r="F154" s="75"/>
      <c r="G154" s="75"/>
      <c r="H154" s="75"/>
      <c r="I154" s="174"/>
      <c r="J154" s="175"/>
      <c r="K154" s="685">
        <v>0</v>
      </c>
      <c r="L154" s="669">
        <f>SUM(L140,L152)</f>
        <v>0</v>
      </c>
      <c r="M154" s="669">
        <f>SUM(M140,M146,M152)</f>
        <v>85335.846153846156</v>
      </c>
      <c r="N154" s="669">
        <f t="shared" ref="N154:AE154" si="59">SUM(N140,N146,N152)</f>
        <v>87042.563076923077</v>
      </c>
      <c r="O154" s="669">
        <f t="shared" si="59"/>
        <v>88783.41433846156</v>
      </c>
      <c r="P154" s="669">
        <f t="shared" si="59"/>
        <v>90559.082625230774</v>
      </c>
      <c r="Q154" s="669">
        <f t="shared" si="59"/>
        <v>92370.264277735376</v>
      </c>
      <c r="R154" s="669">
        <f t="shared" si="59"/>
        <v>94217.669563290081</v>
      </c>
      <c r="S154" s="669">
        <f t="shared" si="59"/>
        <v>96102.022954555898</v>
      </c>
      <c r="T154" s="669">
        <f t="shared" si="59"/>
        <v>98024.063413647003</v>
      </c>
      <c r="U154" s="669">
        <f t="shared" si="59"/>
        <v>99984.544681919942</v>
      </c>
      <c r="V154" s="669">
        <f t="shared" si="59"/>
        <v>101984.23557555837</v>
      </c>
      <c r="W154" s="669">
        <f t="shared" si="59"/>
        <v>104023.92028706953</v>
      </c>
      <c r="X154" s="669">
        <f t="shared" si="59"/>
        <v>106104.39869281092</v>
      </c>
      <c r="Y154" s="669">
        <f t="shared" si="59"/>
        <v>108226.48666666714</v>
      </c>
      <c r="Z154" s="669">
        <f t="shared" si="59"/>
        <v>110391.01640000047</v>
      </c>
      <c r="AA154" s="669">
        <f t="shared" si="59"/>
        <v>112598.8367280005</v>
      </c>
      <c r="AB154" s="669">
        <f t="shared" si="59"/>
        <v>114850.8134625605</v>
      </c>
      <c r="AC154" s="669">
        <f t="shared" si="59"/>
        <v>117147.82973181173</v>
      </c>
      <c r="AD154" s="669">
        <f t="shared" si="59"/>
        <v>119490.78632644797</v>
      </c>
      <c r="AE154" s="669">
        <f t="shared" si="59"/>
        <v>121880.60205297693</v>
      </c>
    </row>
    <row r="155" spans="1:33" s="56" customFormat="1" ht="14.25">
      <c r="A155" s="164"/>
      <c r="B155" s="164"/>
      <c r="C155" s="75"/>
      <c r="D155" s="173"/>
      <c r="E155" s="75"/>
      <c r="F155" s="75"/>
      <c r="G155" s="75"/>
      <c r="H155" s="75"/>
      <c r="I155" s="174"/>
      <c r="J155" s="175"/>
      <c r="K155" s="685"/>
      <c r="L155" s="669"/>
      <c r="M155" s="669"/>
      <c r="N155" s="669"/>
      <c r="O155" s="669"/>
      <c r="P155" s="669"/>
      <c r="Q155" s="669"/>
      <c r="R155" s="669"/>
      <c r="S155" s="669"/>
      <c r="T155" s="669"/>
      <c r="U155" s="669"/>
      <c r="V155" s="669"/>
      <c r="W155" s="669"/>
      <c r="X155" s="669"/>
      <c r="Y155" s="669"/>
      <c r="Z155" s="669"/>
      <c r="AA155" s="669"/>
      <c r="AB155" s="669"/>
      <c r="AC155" s="669"/>
      <c r="AD155" s="669"/>
      <c r="AE155" s="669"/>
    </row>
    <row r="156" spans="1:33">
      <c r="A156" s="47" t="s">
        <v>7</v>
      </c>
      <c r="B156" s="47" t="s">
        <v>7</v>
      </c>
      <c r="C156" s="78" t="s">
        <v>7</v>
      </c>
      <c r="D156" s="100"/>
      <c r="E156" s="78" t="s">
        <v>7</v>
      </c>
      <c r="F156" s="78"/>
      <c r="G156" s="78" t="s">
        <v>7</v>
      </c>
      <c r="H156" s="78"/>
      <c r="I156" s="52" t="s">
        <v>7</v>
      </c>
      <c r="J156" s="114"/>
      <c r="K156" s="673"/>
      <c r="L156" s="672"/>
      <c r="M156" s="672"/>
      <c r="N156" s="672"/>
      <c r="O156" s="672"/>
      <c r="P156" s="672"/>
      <c r="Q156" s="672"/>
      <c r="R156" s="672"/>
      <c r="S156" s="672"/>
      <c r="T156" s="672"/>
      <c r="U156" s="672"/>
      <c r="V156" s="672"/>
      <c r="W156" s="672"/>
      <c r="X156" s="672"/>
      <c r="Y156" s="672"/>
      <c r="Z156" s="672"/>
      <c r="AA156" s="672"/>
      <c r="AB156" s="672"/>
      <c r="AC156" s="672"/>
      <c r="AD156" s="672"/>
      <c r="AE156" s="672"/>
    </row>
    <row r="157" spans="1:33">
      <c r="A157" s="47"/>
      <c r="B157" s="47"/>
      <c r="C157" s="78"/>
      <c r="D157" s="100"/>
      <c r="E157" s="78"/>
      <c r="F157" s="78"/>
      <c r="G157" s="78"/>
      <c r="H157" s="78"/>
      <c r="I157" s="52"/>
      <c r="J157" s="114"/>
      <c r="K157" s="664"/>
      <c r="L157" s="666"/>
      <c r="M157" s="666"/>
      <c r="N157" s="666"/>
      <c r="O157" s="666"/>
      <c r="P157" s="666"/>
      <c r="Q157" s="666"/>
      <c r="R157" s="666"/>
      <c r="S157" s="666"/>
      <c r="T157" s="666"/>
      <c r="U157" s="666"/>
      <c r="V157" s="666"/>
      <c r="W157" s="666"/>
      <c r="X157" s="666"/>
      <c r="Y157" s="666"/>
      <c r="Z157" s="666"/>
      <c r="AA157" s="666"/>
      <c r="AB157" s="666"/>
      <c r="AC157" s="666"/>
      <c r="AD157" s="666"/>
      <c r="AE157" s="666"/>
    </row>
    <row r="158" spans="1:33" s="56" customFormat="1" ht="14.25">
      <c r="A158" s="203" t="s">
        <v>79</v>
      </c>
      <c r="B158" s="203"/>
      <c r="C158" s="204"/>
      <c r="D158" s="205"/>
      <c r="E158" s="204"/>
      <c r="F158" s="204"/>
      <c r="G158" s="204"/>
      <c r="H158" s="204"/>
      <c r="I158" s="206"/>
      <c r="J158" s="207"/>
      <c r="K158" s="675">
        <v>0</v>
      </c>
      <c r="L158" s="676">
        <f t="shared" ref="L158:AE158" si="60">SUM(L131,L154)</f>
        <v>0</v>
      </c>
      <c r="M158" s="676">
        <f t="shared" si="60"/>
        <v>139905.84615384616</v>
      </c>
      <c r="N158" s="676">
        <f t="shared" si="60"/>
        <v>143817.19107692307</v>
      </c>
      <c r="O158" s="676">
        <f t="shared" si="60"/>
        <v>146693.53489846154</v>
      </c>
      <c r="P158" s="676">
        <f t="shared" si="60"/>
        <v>149627.40559643076</v>
      </c>
      <c r="Q158" s="676">
        <f t="shared" si="60"/>
        <v>152619.95370835939</v>
      </c>
      <c r="R158" s="676">
        <f t="shared" si="60"/>
        <v>155672.35278252655</v>
      </c>
      <c r="S158" s="676">
        <f t="shared" si="60"/>
        <v>158785.7998381771</v>
      </c>
      <c r="T158" s="676">
        <f t="shared" si="60"/>
        <v>161961.51583494066</v>
      </c>
      <c r="U158" s="676">
        <f t="shared" si="60"/>
        <v>165200.74615163944</v>
      </c>
      <c r="V158" s="676">
        <f t="shared" si="60"/>
        <v>168504.76107467228</v>
      </c>
      <c r="W158" s="676">
        <f t="shared" si="60"/>
        <v>171874.85629616573</v>
      </c>
      <c r="X158" s="676">
        <f t="shared" si="60"/>
        <v>175312.35342208904</v>
      </c>
      <c r="Y158" s="676">
        <f t="shared" si="60"/>
        <v>178818.60049053084</v>
      </c>
      <c r="Z158" s="676">
        <f t="shared" si="60"/>
        <v>182394.97250034142</v>
      </c>
      <c r="AA158" s="676">
        <f t="shared" si="60"/>
        <v>186042.87195034826</v>
      </c>
      <c r="AB158" s="676">
        <f t="shared" si="60"/>
        <v>189763.72938935523</v>
      </c>
      <c r="AC158" s="676">
        <f t="shared" si="60"/>
        <v>193559.00397714233</v>
      </c>
      <c r="AD158" s="676">
        <f t="shared" si="60"/>
        <v>197430.18405668519</v>
      </c>
      <c r="AE158" s="676">
        <f t="shared" si="60"/>
        <v>201378.7877378189</v>
      </c>
      <c r="AG158" s="199"/>
    </row>
    <row r="159" spans="1:33">
      <c r="K159" s="664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</row>
    <row r="160" spans="1:33">
      <c r="A160" s="47" t="s">
        <v>7</v>
      </c>
      <c r="B160" s="47" t="s">
        <v>7</v>
      </c>
      <c r="C160" s="78" t="s">
        <v>7</v>
      </c>
      <c r="D160" s="100"/>
      <c r="E160" s="78" t="s">
        <v>7</v>
      </c>
      <c r="F160" s="78"/>
      <c r="G160" s="78" t="s">
        <v>7</v>
      </c>
      <c r="H160" s="78"/>
      <c r="I160" s="52" t="s">
        <v>7</v>
      </c>
      <c r="J160" s="114"/>
      <c r="K160" s="673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</row>
    <row r="161" spans="1:33">
      <c r="K161" s="664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G161" s="199"/>
    </row>
    <row r="162" spans="1:33" s="56" customFormat="1" ht="14.25">
      <c r="A162" s="208" t="s">
        <v>115</v>
      </c>
      <c r="B162" s="208"/>
      <c r="C162" s="208"/>
      <c r="D162" s="202"/>
      <c r="E162" s="208"/>
      <c r="F162" s="208"/>
      <c r="G162" s="208"/>
      <c r="H162" s="208"/>
      <c r="I162" s="208"/>
      <c r="J162" s="208"/>
      <c r="K162" s="678">
        <f>SUM(K152,K112)</f>
        <v>0</v>
      </c>
      <c r="L162" s="678">
        <f t="shared" ref="L162:AE162" si="61">SUM(L112,L158)</f>
        <v>367858.33333333331</v>
      </c>
      <c r="M162" s="678">
        <f t="shared" si="61"/>
        <v>883304.84615384613</v>
      </c>
      <c r="N162" s="678">
        <f t="shared" si="61"/>
        <v>902094.3710769231</v>
      </c>
      <c r="O162" s="678">
        <f t="shared" si="61"/>
        <v>920136.25849846145</v>
      </c>
      <c r="P162" s="678">
        <f t="shared" si="61"/>
        <v>938538.98366843071</v>
      </c>
      <c r="Q162" s="678">
        <f t="shared" si="61"/>
        <v>985653.64213699941</v>
      </c>
      <c r="R162" s="678">
        <f t="shared" si="61"/>
        <v>1000829.7961893713</v>
      </c>
      <c r="S162" s="678">
        <f t="shared" si="61"/>
        <v>1020846.3921131587</v>
      </c>
      <c r="T162" s="678">
        <f t="shared" si="61"/>
        <v>1041263.3199554221</v>
      </c>
      <c r="U162" s="678">
        <f t="shared" si="61"/>
        <v>1062088.5863545304</v>
      </c>
      <c r="V162" s="678">
        <f t="shared" si="61"/>
        <v>1087720.860871624</v>
      </c>
      <c r="W162" s="678">
        <f t="shared" si="61"/>
        <v>1104996.9652432536</v>
      </c>
      <c r="X162" s="678">
        <f t="shared" si="61"/>
        <v>1127096.9045481186</v>
      </c>
      <c r="Y162" s="678">
        <f t="shared" si="61"/>
        <v>1149638.8426390812</v>
      </c>
      <c r="Z162" s="678">
        <f t="shared" si="61"/>
        <v>1172631.6194918626</v>
      </c>
      <c r="AA162" s="678">
        <f t="shared" si="61"/>
        <v>1200411.3177125379</v>
      </c>
      <c r="AB162" s="678">
        <f t="shared" si="61"/>
        <v>1220005.9369193341</v>
      </c>
      <c r="AC162" s="678">
        <f t="shared" si="61"/>
        <v>1244406.0556577207</v>
      </c>
      <c r="AD162" s="678">
        <f t="shared" si="61"/>
        <v>1269294.1767708752</v>
      </c>
      <c r="AE162" s="678">
        <f t="shared" si="61"/>
        <v>1294680.0603062927</v>
      </c>
      <c r="AG162" s="199"/>
    </row>
    <row r="163" spans="1:33">
      <c r="K163" s="664"/>
      <c r="L163" s="666"/>
      <c r="M163" s="666"/>
      <c r="N163" s="666"/>
      <c r="O163" s="666"/>
      <c r="P163" s="666"/>
      <c r="Q163" s="666"/>
      <c r="R163" s="666"/>
      <c r="S163" s="666"/>
      <c r="T163" s="666"/>
      <c r="U163" s="666"/>
      <c r="V163" s="666"/>
      <c r="W163" s="666"/>
      <c r="X163" s="666"/>
      <c r="Y163" s="666"/>
      <c r="Z163" s="666"/>
      <c r="AA163" s="666"/>
      <c r="AB163" s="666"/>
      <c r="AC163" s="666"/>
      <c r="AD163" s="666"/>
      <c r="AE163" s="666"/>
      <c r="AG163" s="199"/>
    </row>
    <row r="164" spans="1:33">
      <c r="A164" s="251"/>
      <c r="B164" s="251"/>
      <c r="C164" s="251"/>
      <c r="D164" s="259"/>
      <c r="E164" s="251"/>
      <c r="F164" s="251"/>
      <c r="G164" s="251"/>
      <c r="H164" s="251"/>
      <c r="I164" s="251"/>
      <c r="J164" s="251"/>
      <c r="K164" s="679"/>
      <c r="L164" s="680"/>
      <c r="M164" s="680"/>
      <c r="N164" s="680"/>
      <c r="O164" s="680"/>
      <c r="P164" s="680"/>
      <c r="Q164" s="680"/>
      <c r="R164" s="680"/>
      <c r="S164" s="680"/>
      <c r="T164" s="680"/>
      <c r="U164" s="680"/>
      <c r="V164" s="680"/>
      <c r="W164" s="680"/>
      <c r="X164" s="680"/>
      <c r="Y164" s="680"/>
      <c r="Z164" s="680"/>
      <c r="AA164" s="680"/>
      <c r="AB164" s="680"/>
      <c r="AC164" s="680"/>
      <c r="AD164" s="680"/>
      <c r="AE164" s="680"/>
      <c r="AG164" s="199"/>
    </row>
    <row r="165" spans="1:33">
      <c r="K165" s="664"/>
      <c r="L165" s="666"/>
      <c r="M165" s="666"/>
      <c r="N165" s="666"/>
      <c r="O165" s="666"/>
      <c r="P165" s="666"/>
      <c r="Q165" s="666"/>
      <c r="R165" s="666"/>
      <c r="S165" s="666"/>
      <c r="T165" s="666"/>
      <c r="U165" s="666"/>
      <c r="V165" s="666"/>
      <c r="W165" s="666"/>
      <c r="X165" s="666"/>
      <c r="Y165" s="666"/>
      <c r="Z165" s="666"/>
      <c r="AA165" s="666"/>
      <c r="AB165" s="666"/>
      <c r="AC165" s="666"/>
      <c r="AD165" s="666"/>
      <c r="AE165" s="666"/>
      <c r="AG165" s="199"/>
    </row>
    <row r="166" spans="1:33">
      <c r="A166" s="249" t="s">
        <v>84</v>
      </c>
      <c r="B166" s="281"/>
      <c r="C166" s="281"/>
      <c r="D166" s="177"/>
      <c r="E166" s="281"/>
      <c r="F166" s="281"/>
      <c r="G166" s="281"/>
      <c r="H166" s="281"/>
      <c r="I166" s="281"/>
      <c r="J166" s="281"/>
      <c r="K166" s="681"/>
      <c r="L166" s="682"/>
      <c r="M166" s="682"/>
      <c r="N166" s="682"/>
      <c r="O166" s="682"/>
      <c r="P166" s="682"/>
      <c r="Q166" s="682"/>
      <c r="R166" s="682"/>
      <c r="S166" s="682"/>
      <c r="T166" s="682"/>
      <c r="U166" s="682"/>
      <c r="V166" s="682"/>
      <c r="W166" s="682"/>
      <c r="X166" s="682"/>
      <c r="Y166" s="682"/>
      <c r="Z166" s="682"/>
      <c r="AA166" s="682"/>
      <c r="AB166" s="682"/>
      <c r="AC166" s="682"/>
      <c r="AD166" s="682"/>
      <c r="AE166" s="682"/>
      <c r="AG166" s="199"/>
    </row>
    <row r="167" spans="1:33" s="252" customFormat="1">
      <c r="A167" s="257"/>
      <c r="D167" s="186"/>
      <c r="K167" s="664"/>
      <c r="L167" s="671"/>
      <c r="M167" s="671"/>
      <c r="N167" s="671"/>
      <c r="O167" s="671"/>
      <c r="P167" s="671"/>
      <c r="Q167" s="671"/>
      <c r="R167" s="671"/>
      <c r="S167" s="671"/>
      <c r="T167" s="671"/>
      <c r="U167" s="671"/>
      <c r="V167" s="671"/>
      <c r="W167" s="671"/>
      <c r="X167" s="671"/>
      <c r="Y167" s="671"/>
      <c r="Z167" s="671"/>
      <c r="AA167" s="671"/>
      <c r="AB167" s="671"/>
      <c r="AC167" s="671"/>
      <c r="AD167" s="671"/>
      <c r="AE167" s="671"/>
      <c r="AG167" s="363"/>
    </row>
    <row r="168" spans="1:33">
      <c r="A168" s="663" t="str">
        <f>'OPEX - Concept C1 - Carnival'!A168</f>
        <v>Investment (cash)</v>
      </c>
      <c r="B168" s="663"/>
      <c r="C168" s="663"/>
      <c r="D168" s="663"/>
      <c r="E168" s="663"/>
      <c r="F168" s="663"/>
      <c r="G168" s="663"/>
      <c r="H168" s="663"/>
      <c r="I168" s="663"/>
      <c r="J168" s="663"/>
      <c r="K168" s="883"/>
      <c r="L168" s="663"/>
      <c r="M168" s="663"/>
      <c r="N168" s="663"/>
      <c r="O168" s="663"/>
      <c r="P168" s="663"/>
      <c r="Q168" s="663"/>
      <c r="R168" s="663"/>
      <c r="S168" s="663"/>
      <c r="T168" s="663"/>
      <c r="U168" s="663"/>
      <c r="V168" s="663"/>
      <c r="W168" s="663"/>
      <c r="X168" s="663"/>
      <c r="Y168" s="663"/>
      <c r="Z168" s="663"/>
      <c r="AA168" s="663"/>
      <c r="AB168" s="663"/>
      <c r="AC168" s="663"/>
      <c r="AD168" s="663"/>
      <c r="AE168" s="663"/>
      <c r="AG168" s="199"/>
    </row>
    <row r="169" spans="1:33">
      <c r="A169" s="663" t="str">
        <f>'OPEX - Concept C1 - Carnival'!A169</f>
        <v xml:space="preserve">     Site Maintenance</v>
      </c>
      <c r="B169" s="663"/>
      <c r="C169" s="663"/>
      <c r="D169" s="663"/>
      <c r="E169" s="663"/>
      <c r="F169" s="663"/>
      <c r="G169" s="663"/>
      <c r="H169" s="663"/>
      <c r="I169" s="663"/>
      <c r="J169" s="663"/>
      <c r="K169" s="883">
        <f>'OPEX - Concept C1 - Carnival'!K169</f>
        <v>0</v>
      </c>
      <c r="L169" s="663">
        <f>'OPEX - Concept C1 - Carnival'!L169</f>
        <v>0</v>
      </c>
      <c r="M169" s="663">
        <f>'OPEX - Concept C1 - Carnival'!M169</f>
        <v>85775</v>
      </c>
      <c r="N169" s="663">
        <f>'OPEX - Concept C1 - Carnival'!N169</f>
        <v>87490.5</v>
      </c>
      <c r="O169" s="663">
        <f>'OPEX - Concept C1 - Carnival'!O169</f>
        <v>89240.31</v>
      </c>
      <c r="P169" s="663">
        <f>'OPEX - Concept C1 - Carnival'!P169</f>
        <v>91025.116199999989</v>
      </c>
      <c r="Q169" s="663">
        <f>'OPEX - Concept C1 - Carnival'!Q169</f>
        <v>92845.618524000005</v>
      </c>
      <c r="R169" s="663">
        <f>'OPEX - Concept C1 - Carnival'!R169</f>
        <v>94702.530894480005</v>
      </c>
      <c r="S169" s="663">
        <f>'OPEX - Concept C1 - Carnival'!S169</f>
        <v>96596.581512369608</v>
      </c>
      <c r="T169" s="663">
        <f>'OPEX - Concept C1 - Carnival'!T169</f>
        <v>98528.513142616997</v>
      </c>
      <c r="U169" s="663">
        <f>'OPEX - Concept C1 - Carnival'!U169</f>
        <v>100499.08340546934</v>
      </c>
      <c r="V169" s="663">
        <f>'OPEX - Concept C1 - Carnival'!V169</f>
        <v>102509.06507357873</v>
      </c>
      <c r="W169" s="663">
        <f>'OPEX - Concept C1 - Carnival'!W169</f>
        <v>104559.24637505031</v>
      </c>
      <c r="X169" s="663">
        <f>'OPEX - Concept C1 - Carnival'!X169</f>
        <v>106650.43130255131</v>
      </c>
      <c r="Y169" s="663">
        <f>'OPEX - Concept C1 - Carnival'!Y169</f>
        <v>108783.43992860234</v>
      </c>
      <c r="Z169" s="663">
        <f>'OPEX - Concept C1 - Carnival'!Z169</f>
        <v>110959.10872717437</v>
      </c>
      <c r="AA169" s="663">
        <f>'OPEX - Concept C1 - Carnival'!AA169</f>
        <v>113178.29090171788</v>
      </c>
      <c r="AB169" s="663">
        <f>'OPEX - Concept C1 - Carnival'!AB169</f>
        <v>115441.85671975224</v>
      </c>
      <c r="AC169" s="663">
        <f>'OPEX - Concept C1 - Carnival'!AC169</f>
        <v>117750.69385414729</v>
      </c>
      <c r="AD169" s="663">
        <f>'OPEX - Concept C1 - Carnival'!AD169</f>
        <v>120105.70773123024</v>
      </c>
      <c r="AE169" s="663">
        <f>'OPEX - Concept C1 - Carnival'!AE169</f>
        <v>122507.82188585485</v>
      </c>
      <c r="AG169" s="199"/>
    </row>
    <row r="170" spans="1:33" s="162" customFormat="1">
      <c r="A170" s="663"/>
      <c r="B170" s="663"/>
      <c r="C170" s="663"/>
      <c r="D170" s="663"/>
      <c r="E170" s="663"/>
      <c r="F170" s="663"/>
      <c r="G170" s="663"/>
      <c r="H170" s="663"/>
      <c r="I170" s="663"/>
      <c r="J170" s="663"/>
      <c r="K170" s="883"/>
      <c r="L170" s="663"/>
      <c r="M170" s="663"/>
      <c r="N170" s="663"/>
      <c r="O170" s="663"/>
      <c r="P170" s="663"/>
      <c r="Q170" s="663"/>
      <c r="R170" s="663"/>
      <c r="S170" s="663"/>
      <c r="T170" s="663"/>
      <c r="U170" s="663"/>
      <c r="V170" s="663"/>
      <c r="W170" s="663"/>
      <c r="X170" s="663"/>
      <c r="Y170" s="663"/>
      <c r="Z170" s="663"/>
      <c r="AA170" s="663"/>
      <c r="AB170" s="663"/>
      <c r="AC170" s="663"/>
      <c r="AD170" s="663"/>
      <c r="AE170" s="663"/>
      <c r="AG170" s="786"/>
    </row>
    <row r="171" spans="1:33" s="162" customFormat="1">
      <c r="A171" s="1103" t="str">
        <f>'OPEX - Concept C1 - Carnival'!A171</f>
        <v>Debt Service (Site Demolition, Design, Development/Preparation &amp; Shuttles)</v>
      </c>
      <c r="B171" s="663"/>
      <c r="C171" s="663"/>
      <c r="D171" s="663"/>
      <c r="E171" s="663"/>
      <c r="F171" s="663"/>
      <c r="G171" s="663"/>
      <c r="H171" s="663"/>
      <c r="I171" s="663"/>
      <c r="J171" s="663"/>
      <c r="K171" s="883">
        <f>'OPEX - Concept C1 - Carnival'!K171</f>
        <v>0</v>
      </c>
      <c r="L171" s="663">
        <f>'OPEX - Concept C1 - Carnival'!L171</f>
        <v>635662.67999999993</v>
      </c>
      <c r="M171" s="663">
        <f>'OPEX - Concept C1 - Carnival'!M171</f>
        <v>635662.67999999993</v>
      </c>
      <c r="N171" s="663">
        <f>'OPEX - Concept C1 - Carnival'!N171</f>
        <v>635662.67999999993</v>
      </c>
      <c r="O171" s="663">
        <f>'OPEX - Concept C1 - Carnival'!O171</f>
        <v>635662.67999999993</v>
      </c>
      <c r="P171" s="663">
        <f>'OPEX - Concept C1 - Carnival'!P171</f>
        <v>635662.67999999993</v>
      </c>
      <c r="Q171" s="663">
        <f>'OPEX - Concept C1 - Carnival'!Q171</f>
        <v>635662.67999999993</v>
      </c>
      <c r="R171" s="663">
        <f>'OPEX - Concept C1 - Carnival'!R171</f>
        <v>635662.67999999993</v>
      </c>
      <c r="S171" s="663">
        <f>'OPEX - Concept C1 - Carnival'!S171</f>
        <v>635662.67999999993</v>
      </c>
      <c r="T171" s="663">
        <f>'OPEX - Concept C1 - Carnival'!T171</f>
        <v>635662.67999999993</v>
      </c>
      <c r="U171" s="663">
        <f>'OPEX - Concept C1 - Carnival'!U171</f>
        <v>635662.67999999993</v>
      </c>
      <c r="V171" s="663">
        <f>'OPEX - Concept C1 - Carnival'!V171</f>
        <v>635662.67999999993</v>
      </c>
      <c r="W171" s="663">
        <f>'OPEX - Concept C1 - Carnival'!W171</f>
        <v>635662.67999999993</v>
      </c>
      <c r="X171" s="663">
        <f>'OPEX - Concept C1 - Carnival'!X171</f>
        <v>635662.67999999993</v>
      </c>
      <c r="Y171" s="663">
        <f>'OPEX - Concept C1 - Carnival'!Y171</f>
        <v>635662.67999999993</v>
      </c>
      <c r="Z171" s="663">
        <f>'OPEX - Concept C1 - Carnival'!Z171</f>
        <v>635662.67999999993</v>
      </c>
      <c r="AA171" s="663">
        <f>'OPEX - Concept C1 - Carnival'!AA171</f>
        <v>635662.67999999993</v>
      </c>
      <c r="AB171" s="663">
        <f>'OPEX - Concept C1 - Carnival'!AB171</f>
        <v>635662.67999999993</v>
      </c>
      <c r="AC171" s="663">
        <f>'OPEX - Concept C1 - Carnival'!AC171</f>
        <v>635662.67999999993</v>
      </c>
      <c r="AD171" s="663">
        <f>'OPEX - Concept C1 - Carnival'!AD171</f>
        <v>635662.67999999993</v>
      </c>
      <c r="AE171" s="663">
        <f>'OPEX - Concept C1 - Carnival'!AE171</f>
        <v>635662.67999999993</v>
      </c>
    </row>
    <row r="172" spans="1:33" s="702" customFormat="1">
      <c r="A172" s="341" t="s">
        <v>315</v>
      </c>
      <c r="B172" s="701"/>
      <c r="C172" s="703"/>
      <c r="D172" s="704"/>
      <c r="E172" s="705"/>
      <c r="F172" s="705"/>
      <c r="G172" s="705"/>
      <c r="H172" s="705"/>
      <c r="I172" s="706"/>
      <c r="J172" s="707"/>
      <c r="K172" s="699">
        <v>0</v>
      </c>
      <c r="L172" s="700">
        <v>0</v>
      </c>
      <c r="M172" s="700">
        <v>0</v>
      </c>
      <c r="N172" s="700">
        <v>0</v>
      </c>
      <c r="O172" s="700">
        <v>0</v>
      </c>
      <c r="P172" s="700">
        <v>0</v>
      </c>
      <c r="Q172" s="700">
        <v>0</v>
      </c>
      <c r="R172" s="700">
        <v>0</v>
      </c>
      <c r="S172" s="700">
        <v>0</v>
      </c>
      <c r="T172" s="700">
        <v>0</v>
      </c>
      <c r="U172" s="700">
        <v>0</v>
      </c>
      <c r="V172" s="700">
        <v>0</v>
      </c>
      <c r="W172" s="700">
        <v>0</v>
      </c>
      <c r="X172" s="700">
        <v>0</v>
      </c>
      <c r="Y172" s="700">
        <v>0</v>
      </c>
      <c r="Z172" s="700">
        <v>0</v>
      </c>
      <c r="AA172" s="700">
        <v>0</v>
      </c>
      <c r="AB172" s="700">
        <v>0</v>
      </c>
      <c r="AC172" s="700">
        <v>0</v>
      </c>
      <c r="AD172" s="700">
        <v>0</v>
      </c>
      <c r="AE172" s="700">
        <v>0</v>
      </c>
      <c r="AG172" s="708"/>
    </row>
    <row r="173" spans="1:33">
      <c r="A173" s="180" t="s">
        <v>316</v>
      </c>
      <c r="B173" s="180"/>
      <c r="C173" s="180"/>
      <c r="D173" s="116"/>
      <c r="E173" s="180"/>
      <c r="F173" s="180"/>
      <c r="G173" s="180"/>
      <c r="H173" s="180"/>
      <c r="I173" s="180"/>
      <c r="J173" s="180"/>
      <c r="K173" s="505">
        <v>0</v>
      </c>
      <c r="L173" s="506">
        <v>246000</v>
      </c>
      <c r="M173" s="506">
        <v>246000</v>
      </c>
      <c r="N173" s="506">
        <v>246000</v>
      </c>
      <c r="O173" s="506">
        <v>246000</v>
      </c>
      <c r="P173" s="506">
        <v>246000</v>
      </c>
      <c r="Q173" s="506">
        <v>246000</v>
      </c>
      <c r="R173" s="506">
        <v>246000</v>
      </c>
      <c r="S173" s="506">
        <v>246000</v>
      </c>
      <c r="T173" s="506">
        <v>246000</v>
      </c>
      <c r="U173" s="506">
        <v>246000</v>
      </c>
      <c r="V173" s="506">
        <v>246000</v>
      </c>
      <c r="W173" s="506">
        <v>246000</v>
      </c>
      <c r="X173" s="506">
        <v>246000</v>
      </c>
      <c r="Y173" s="506">
        <v>246000</v>
      </c>
      <c r="Z173" s="506">
        <v>246000</v>
      </c>
      <c r="AA173" s="506">
        <v>246000</v>
      </c>
      <c r="AB173" s="506">
        <v>246000</v>
      </c>
      <c r="AC173" s="506">
        <v>246000</v>
      </c>
      <c r="AD173" s="506">
        <v>246000</v>
      </c>
      <c r="AE173" s="506">
        <v>246000</v>
      </c>
      <c r="AG173" s="199"/>
    </row>
    <row r="174" spans="1:33" s="56" customFormat="1" ht="14.25">
      <c r="A174" s="56" t="s">
        <v>134</v>
      </c>
      <c r="D174" s="173"/>
      <c r="K174" s="524">
        <f t="shared" ref="K174:AE174" si="62">SUM(K168:K173)</f>
        <v>0</v>
      </c>
      <c r="L174" s="525">
        <f t="shared" si="62"/>
        <v>881662.67999999993</v>
      </c>
      <c r="M174" s="525">
        <f t="shared" si="62"/>
        <v>967437.67999999993</v>
      </c>
      <c r="N174" s="525">
        <f t="shared" si="62"/>
        <v>969153.17999999993</v>
      </c>
      <c r="O174" s="525">
        <f t="shared" si="62"/>
        <v>970902.99</v>
      </c>
      <c r="P174" s="525">
        <f t="shared" si="62"/>
        <v>972687.79619999998</v>
      </c>
      <c r="Q174" s="525">
        <f t="shared" si="62"/>
        <v>974508.29852399998</v>
      </c>
      <c r="R174" s="525">
        <f t="shared" si="62"/>
        <v>976365.21089447988</v>
      </c>
      <c r="S174" s="525">
        <f t="shared" si="62"/>
        <v>978259.2615123695</v>
      </c>
      <c r="T174" s="525">
        <f t="shared" si="62"/>
        <v>980191.19314261689</v>
      </c>
      <c r="U174" s="525">
        <f t="shared" si="62"/>
        <v>982161.76340546925</v>
      </c>
      <c r="V174" s="525">
        <f t="shared" si="62"/>
        <v>984171.74507357867</v>
      </c>
      <c r="W174" s="525">
        <f t="shared" si="62"/>
        <v>986221.92637505021</v>
      </c>
      <c r="X174" s="525">
        <f t="shared" si="62"/>
        <v>988313.11130255123</v>
      </c>
      <c r="Y174" s="525">
        <f t="shared" si="62"/>
        <v>990446.11992860225</v>
      </c>
      <c r="Z174" s="525">
        <f t="shared" si="62"/>
        <v>992621.78872717428</v>
      </c>
      <c r="AA174" s="525">
        <f t="shared" si="62"/>
        <v>994840.97090171778</v>
      </c>
      <c r="AB174" s="525">
        <f t="shared" si="62"/>
        <v>997104.53671975213</v>
      </c>
      <c r="AC174" s="525">
        <f t="shared" si="62"/>
        <v>999413.37385414727</v>
      </c>
      <c r="AD174" s="525">
        <f t="shared" si="62"/>
        <v>1001768.3877312301</v>
      </c>
      <c r="AE174" s="525">
        <f t="shared" si="62"/>
        <v>1004170.5018858548</v>
      </c>
      <c r="AG174" s="199"/>
    </row>
    <row r="175" spans="1:33">
      <c r="K175" s="683"/>
      <c r="L175" s="666"/>
      <c r="M175" s="666"/>
      <c r="N175" s="666"/>
      <c r="O175" s="666"/>
      <c r="P175" s="666"/>
      <c r="Q175" s="666"/>
      <c r="R175" s="666"/>
      <c r="S175" s="666"/>
      <c r="T175" s="666"/>
      <c r="U175" s="666"/>
      <c r="V175" s="666"/>
      <c r="W175" s="666"/>
      <c r="X175" s="666"/>
      <c r="Y175" s="666"/>
      <c r="Z175" s="666"/>
      <c r="AA175" s="666"/>
      <c r="AB175" s="666"/>
      <c r="AC175" s="666"/>
      <c r="AD175" s="666"/>
      <c r="AE175" s="666"/>
      <c r="AG175" s="199"/>
    </row>
    <row r="176" spans="1:33" s="56" customFormat="1" ht="14.25">
      <c r="A176" s="208" t="s">
        <v>86</v>
      </c>
      <c r="B176" s="718">
        <f>SUM(L176:AE176)</f>
        <v>19592402.516178593</v>
      </c>
      <c r="C176" s="208"/>
      <c r="D176" s="202"/>
      <c r="E176" s="208"/>
      <c r="F176" s="208"/>
      <c r="G176" s="208"/>
      <c r="H176" s="208"/>
      <c r="I176" s="208"/>
      <c r="J176" s="208"/>
      <c r="K176" s="678">
        <f>SUM(K169:K171)</f>
        <v>0</v>
      </c>
      <c r="L176" s="678">
        <f>L174</f>
        <v>881662.67999999993</v>
      </c>
      <c r="M176" s="678">
        <f t="shared" ref="M176:AE176" si="63">M174</f>
        <v>967437.67999999993</v>
      </c>
      <c r="N176" s="678">
        <f t="shared" si="63"/>
        <v>969153.17999999993</v>
      </c>
      <c r="O176" s="678">
        <f t="shared" si="63"/>
        <v>970902.99</v>
      </c>
      <c r="P176" s="678">
        <f t="shared" si="63"/>
        <v>972687.79619999998</v>
      </c>
      <c r="Q176" s="678">
        <f t="shared" si="63"/>
        <v>974508.29852399998</v>
      </c>
      <c r="R176" s="678">
        <f t="shared" si="63"/>
        <v>976365.21089447988</v>
      </c>
      <c r="S176" s="678">
        <f t="shared" si="63"/>
        <v>978259.2615123695</v>
      </c>
      <c r="T176" s="678">
        <f t="shared" si="63"/>
        <v>980191.19314261689</v>
      </c>
      <c r="U176" s="678">
        <f t="shared" si="63"/>
        <v>982161.76340546925</v>
      </c>
      <c r="V176" s="678">
        <f t="shared" si="63"/>
        <v>984171.74507357867</v>
      </c>
      <c r="W176" s="678">
        <f t="shared" si="63"/>
        <v>986221.92637505021</v>
      </c>
      <c r="X176" s="678">
        <f t="shared" si="63"/>
        <v>988313.11130255123</v>
      </c>
      <c r="Y176" s="678">
        <f t="shared" si="63"/>
        <v>990446.11992860225</v>
      </c>
      <c r="Z176" s="678">
        <f t="shared" si="63"/>
        <v>992621.78872717428</v>
      </c>
      <c r="AA176" s="678">
        <f t="shared" si="63"/>
        <v>994840.97090171778</v>
      </c>
      <c r="AB176" s="678">
        <f t="shared" si="63"/>
        <v>997104.53671975213</v>
      </c>
      <c r="AC176" s="678">
        <f t="shared" si="63"/>
        <v>999413.37385414727</v>
      </c>
      <c r="AD176" s="678">
        <f t="shared" si="63"/>
        <v>1001768.3877312301</v>
      </c>
      <c r="AE176" s="678">
        <f t="shared" si="63"/>
        <v>1004170.5018858548</v>
      </c>
      <c r="AG176" s="199"/>
    </row>
    <row r="177" spans="1:31">
      <c r="K177" s="662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1"/>
      <c r="Y177" s="201"/>
      <c r="Z177" s="201"/>
      <c r="AA177" s="201"/>
      <c r="AB177" s="201"/>
      <c r="AC177" s="201"/>
      <c r="AD177" s="201"/>
      <c r="AE177" s="201"/>
    </row>
    <row r="178" spans="1:31">
      <c r="A178" s="251"/>
      <c r="B178" s="251"/>
      <c r="C178" s="251"/>
      <c r="D178" s="259"/>
      <c r="E178" s="251"/>
      <c r="F178" s="251"/>
      <c r="G178" s="251"/>
      <c r="H178" s="251"/>
      <c r="I178" s="251"/>
      <c r="J178" s="251"/>
      <c r="K178" s="324"/>
      <c r="L178" s="325"/>
      <c r="M178" s="325"/>
      <c r="N178" s="325"/>
      <c r="O178" s="325"/>
      <c r="P178" s="325"/>
      <c r="Q178" s="325"/>
      <c r="R178" s="325"/>
      <c r="S178" s="325"/>
      <c r="T178" s="325"/>
      <c r="U178" s="325"/>
      <c r="V178" s="325"/>
      <c r="W178" s="325"/>
      <c r="X178" s="325"/>
      <c r="Y178" s="325"/>
      <c r="Z178" s="325"/>
      <c r="AA178" s="325"/>
      <c r="AB178" s="325"/>
      <c r="AC178" s="325"/>
      <c r="AD178" s="325"/>
      <c r="AE178" s="325"/>
    </row>
    <row r="179" spans="1:31">
      <c r="K179" s="322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1"/>
      <c r="Y179" s="201"/>
      <c r="Z179" s="201"/>
      <c r="AA179" s="201"/>
      <c r="AB179" s="201"/>
      <c r="AC179" s="201"/>
      <c r="AD179" s="201"/>
      <c r="AE179" s="201"/>
    </row>
    <row r="180" spans="1:31">
      <c r="A180"/>
      <c r="K180" s="322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</row>
    <row r="181" spans="1:31">
      <c r="A181"/>
      <c r="K181" s="322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</row>
    <row r="182" spans="1:31">
      <c r="K182" s="322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  <c r="AA182" s="201"/>
      <c r="AB182" s="201"/>
      <c r="AC182" s="201"/>
      <c r="AD182" s="201"/>
      <c r="AE182" s="201"/>
    </row>
    <row r="183" spans="1:31">
      <c r="K183" s="322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</row>
    <row r="184" spans="1:31">
      <c r="K184" s="322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  <c r="AA184" s="201"/>
      <c r="AB184" s="201"/>
      <c r="AC184" s="201"/>
      <c r="AD184" s="201"/>
      <c r="AE184" s="201"/>
    </row>
    <row r="185" spans="1:31">
      <c r="K185" s="322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</row>
    <row r="186" spans="1:31">
      <c r="K186" s="322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</row>
    <row r="187" spans="1:31">
      <c r="K187" s="322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</row>
    <row r="188" spans="1:31">
      <c r="K188" s="322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</row>
    <row r="189" spans="1:31">
      <c r="K189" s="322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</row>
    <row r="190" spans="1:31">
      <c r="K190" s="322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</row>
    <row r="191" spans="1:31">
      <c r="K191" s="322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</row>
    <row r="192" spans="1:31">
      <c r="K192" s="322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</row>
    <row r="193" spans="11:31">
      <c r="K193" s="322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201"/>
      <c r="AE193" s="20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FD193"/>
  <sheetViews>
    <sheetView topLeftCell="A64" zoomScale="70" zoomScaleNormal="70" workbookViewId="0">
      <selection activeCell="G90" sqref="G90"/>
    </sheetView>
  </sheetViews>
  <sheetFormatPr defaultColWidth="9" defaultRowHeight="16.5"/>
  <cols>
    <col min="1" max="1" width="45.625" style="33" customWidth="1"/>
    <col min="2" max="2" width="19.25" style="33" bestFit="1" customWidth="1"/>
    <col min="3" max="3" width="18.125" style="33" bestFit="1" customWidth="1"/>
    <col min="4" max="4" width="16.25" style="109" bestFit="1" customWidth="1"/>
    <col min="5" max="5" width="13.125" style="33" bestFit="1" customWidth="1"/>
    <col min="6" max="6" width="20.5" style="33" bestFit="1" customWidth="1"/>
    <col min="7" max="7" width="20.25" style="33" bestFit="1" customWidth="1"/>
    <col min="8" max="8" width="21.75" style="33" bestFit="1" customWidth="1"/>
    <col min="9" max="9" width="12.125" style="33" bestFit="1" customWidth="1"/>
    <col min="10" max="10" width="13.875" style="33" bestFit="1" customWidth="1"/>
    <col min="11" max="11" width="7.75" style="166" bestFit="1" customWidth="1"/>
    <col min="12" max="12" width="16.75" style="33" bestFit="1" customWidth="1"/>
    <col min="13" max="15" width="17.5" style="33" bestFit="1" customWidth="1"/>
    <col min="16" max="17" width="17.125" style="33" bestFit="1" customWidth="1"/>
    <col min="18" max="19" width="17.5" style="33" bestFit="1" customWidth="1"/>
    <col min="20" max="20" width="17.125" style="33" bestFit="1" customWidth="1"/>
    <col min="21" max="22" width="17.5" style="33" bestFit="1" customWidth="1"/>
    <col min="23" max="24" width="17.125" style="33" bestFit="1" customWidth="1"/>
    <col min="25" max="25" width="17.5" style="33" bestFit="1" customWidth="1"/>
    <col min="26" max="27" width="17.125" style="33" bestFit="1" customWidth="1"/>
    <col min="28" max="31" width="17.5" style="33" bestFit="1" customWidth="1"/>
    <col min="32" max="32" width="22.625" style="33" bestFit="1" customWidth="1"/>
    <col min="33" max="33" width="12.625" style="33" bestFit="1" customWidth="1"/>
    <col min="34" max="16384" width="9" style="33"/>
  </cols>
  <sheetData>
    <row r="1" spans="1:31" ht="18.75" thickBot="1">
      <c r="A1" s="11" t="str">
        <f>Intro!A1</f>
        <v>Town of Bar Harbor</v>
      </c>
      <c r="B1" s="13"/>
      <c r="C1" s="13"/>
      <c r="D1" s="99"/>
      <c r="E1" s="14"/>
      <c r="F1" s="14"/>
      <c r="G1" s="34"/>
      <c r="H1" s="34"/>
      <c r="I1" s="34"/>
      <c r="J1" s="34"/>
      <c r="K1" s="16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</row>
    <row r="2" spans="1:31" ht="17.25" thickBot="1">
      <c r="A2" s="380" t="str">
        <f>Intro!A2</f>
        <v>Ferry Property Business Plan</v>
      </c>
      <c r="B2" s="13"/>
      <c r="C2" s="13"/>
      <c r="D2" s="99"/>
      <c r="E2" s="14"/>
      <c r="F2" s="14"/>
      <c r="G2" s="34"/>
      <c r="H2" s="34"/>
      <c r="I2" s="34"/>
      <c r="J2" s="34"/>
      <c r="K2" s="16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</row>
    <row r="3" spans="1:31" s="392" customFormat="1" ht="14.25" thickBot="1">
      <c r="A3" s="384" t="str">
        <f>Intro!A3</f>
        <v>05.23.2018</v>
      </c>
      <c r="B3" s="2"/>
      <c r="C3" s="382"/>
      <c r="D3" s="393"/>
      <c r="E3" s="385"/>
      <c r="F3" s="385"/>
      <c r="G3" s="389"/>
      <c r="H3" s="389"/>
      <c r="I3" s="389"/>
      <c r="J3" s="389"/>
      <c r="K3" s="390"/>
      <c r="L3" s="391"/>
      <c r="M3" s="391"/>
      <c r="N3" s="391"/>
      <c r="O3" s="391"/>
      <c r="P3" s="391"/>
      <c r="Q3" s="391"/>
      <c r="R3" s="391"/>
      <c r="S3" s="391"/>
      <c r="T3" s="391"/>
      <c r="U3" s="391"/>
      <c r="V3" s="391"/>
      <c r="W3" s="391"/>
      <c r="X3" s="391"/>
      <c r="Y3" s="391"/>
      <c r="Z3" s="391"/>
      <c r="AA3" s="391"/>
      <c r="AB3" s="391"/>
      <c r="AC3" s="391"/>
      <c r="AD3" s="391"/>
      <c r="AE3" s="391"/>
    </row>
    <row r="4" spans="1:31" s="392" customFormat="1" ht="13.5">
      <c r="A4" s="384" t="str">
        <f ca="1">Intro!A4</f>
        <v>Town of Bar Harbor</v>
      </c>
      <c r="B4" s="382"/>
      <c r="C4" s="382"/>
      <c r="D4" s="393"/>
      <c r="E4" s="383">
        <f ca="1">NOW()</f>
        <v>43242.835659143515</v>
      </c>
      <c r="F4" s="383"/>
      <c r="G4" s="389"/>
      <c r="H4" s="389"/>
      <c r="I4" s="389"/>
      <c r="J4" s="389"/>
      <c r="K4" s="390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  <c r="W4" s="391"/>
      <c r="X4" s="391"/>
      <c r="Y4" s="391"/>
      <c r="Z4" s="391"/>
      <c r="AA4" s="391"/>
      <c r="AB4" s="391"/>
      <c r="AC4" s="391"/>
      <c r="AD4" s="391"/>
      <c r="AE4" s="391"/>
    </row>
    <row r="5" spans="1:31">
      <c r="A5" s="231" t="s">
        <v>342</v>
      </c>
      <c r="B5" s="231"/>
      <c r="C5" s="232"/>
      <c r="D5" s="233"/>
      <c r="E5" s="232"/>
      <c r="F5" s="232"/>
      <c r="G5" s="234"/>
      <c r="H5" s="234"/>
      <c r="I5" s="234"/>
      <c r="J5" s="234"/>
      <c r="K5" s="235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1:31">
      <c r="A6" s="237"/>
      <c r="B6" s="237"/>
      <c r="C6" s="237"/>
      <c r="D6" s="238"/>
      <c r="E6" s="237"/>
      <c r="F6" s="237"/>
      <c r="G6" s="237"/>
      <c r="H6" s="237"/>
      <c r="I6" s="237"/>
      <c r="J6" s="237"/>
      <c r="K6" s="659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</row>
    <row r="7" spans="1:31" ht="48.75" customHeight="1">
      <c r="A7" s="239"/>
      <c r="B7" s="240" t="s">
        <v>45</v>
      </c>
      <c r="C7" s="241" t="s">
        <v>46</v>
      </c>
      <c r="D7" s="242" t="s">
        <v>47</v>
      </c>
      <c r="E7" s="240" t="s">
        <v>21</v>
      </c>
      <c r="F7" s="240" t="s">
        <v>48</v>
      </c>
      <c r="G7" s="240" t="s">
        <v>49</v>
      </c>
      <c r="H7" s="240" t="s">
        <v>59</v>
      </c>
      <c r="I7" s="240" t="s">
        <v>22</v>
      </c>
      <c r="J7" s="240" t="s">
        <v>50</v>
      </c>
      <c r="K7" s="243">
        <v>2018</v>
      </c>
      <c r="L7" s="243">
        <v>2019</v>
      </c>
      <c r="M7" s="243">
        <v>2020</v>
      </c>
      <c r="N7" s="243">
        <v>2021</v>
      </c>
      <c r="O7" s="243">
        <v>2022</v>
      </c>
      <c r="P7" s="243">
        <v>2023</v>
      </c>
      <c r="Q7" s="243">
        <v>2024</v>
      </c>
      <c r="R7" s="243">
        <v>2025</v>
      </c>
      <c r="S7" s="243">
        <v>2026</v>
      </c>
      <c r="T7" s="243">
        <v>2027</v>
      </c>
      <c r="U7" s="243">
        <v>2028</v>
      </c>
      <c r="V7" s="243">
        <v>2029</v>
      </c>
      <c r="W7" s="243">
        <v>2030</v>
      </c>
      <c r="X7" s="243">
        <v>2031</v>
      </c>
      <c r="Y7" s="243">
        <v>2032</v>
      </c>
      <c r="Z7" s="243">
        <v>2033</v>
      </c>
      <c r="AA7" s="243">
        <v>2034</v>
      </c>
      <c r="AB7" s="243">
        <v>2035</v>
      </c>
      <c r="AC7" s="243">
        <v>2036</v>
      </c>
      <c r="AD7" s="243">
        <v>2037</v>
      </c>
      <c r="AE7" s="243">
        <v>2038</v>
      </c>
    </row>
    <row r="8" spans="1:31" s="18" customFormat="1" ht="17.25" thickBot="1">
      <c r="K8" s="488"/>
    </row>
    <row r="9" spans="1:31" s="18" customFormat="1" ht="17.25" thickBot="1">
      <c r="A9" s="117" t="s">
        <v>381</v>
      </c>
      <c r="B9" s="484" t="str">
        <f>'P&amp;L - Concept B2 - ALL'!B9</f>
        <v>Scenario 6 - All</v>
      </c>
      <c r="K9" s="489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  <c r="Y9" s="327"/>
      <c r="Z9" s="327"/>
      <c r="AA9" s="327"/>
      <c r="AB9" s="327"/>
      <c r="AC9" s="327"/>
      <c r="AD9" s="327"/>
      <c r="AE9" s="327"/>
    </row>
    <row r="10" spans="1:31" s="18" customFormat="1">
      <c r="A10" s="649"/>
      <c r="B10" s="372"/>
      <c r="K10" s="489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  <c r="Y10" s="327"/>
      <c r="Z10" s="327"/>
      <c r="AA10" s="327"/>
      <c r="AB10" s="327"/>
      <c r="AC10" s="327"/>
      <c r="AD10" s="327"/>
      <c r="AE10" s="327"/>
    </row>
    <row r="11" spans="1:31">
      <c r="A11" s="38" t="s">
        <v>52</v>
      </c>
      <c r="B11" s="38"/>
      <c r="C11" s="38"/>
      <c r="D11" s="101"/>
      <c r="E11" s="38"/>
      <c r="F11" s="38"/>
      <c r="G11" s="37"/>
      <c r="H11" s="37"/>
      <c r="I11" s="38"/>
      <c r="J11" s="37"/>
      <c r="K11" s="784">
        <f>'OPEX - Concept A1'!K11</f>
        <v>0</v>
      </c>
      <c r="L11" s="311">
        <f>'BH Tariffs'!D52</f>
        <v>1.02</v>
      </c>
      <c r="M11" s="311">
        <f>'BH Tariffs'!E52</f>
        <v>1.0404</v>
      </c>
      <c r="N11" s="311">
        <f>'BH Tariffs'!F52</f>
        <v>1.0612079999999999</v>
      </c>
      <c r="O11" s="311">
        <f>'BH Tariffs'!G52</f>
        <v>1.08243216</v>
      </c>
      <c r="P11" s="311">
        <f>'BH Tariffs'!H52</f>
        <v>1.1040808032</v>
      </c>
      <c r="Q11" s="311">
        <f>'BH Tariffs'!I52</f>
        <v>1.1261624192640001</v>
      </c>
      <c r="R11" s="311">
        <f>'BH Tariffs'!J52</f>
        <v>1.14868566764928</v>
      </c>
      <c r="S11" s="311">
        <f>'BH Tariffs'!K52</f>
        <v>1.1716593810022657</v>
      </c>
      <c r="T11" s="311">
        <f>'BH Tariffs'!L52</f>
        <v>1.1950925686223111</v>
      </c>
      <c r="U11" s="311">
        <f>'BH Tariffs'!M52</f>
        <v>1.2189944199947573</v>
      </c>
      <c r="V11" s="311">
        <f>'BH Tariffs'!N52</f>
        <v>1.2433743083946525</v>
      </c>
      <c r="W11" s="311">
        <f>'BH Tariffs'!O52</f>
        <v>1.2682417945625455</v>
      </c>
      <c r="X11" s="311">
        <f>'BH Tariffs'!P52</f>
        <v>1.2936066304537963</v>
      </c>
      <c r="Y11" s="311">
        <f>'BH Tariffs'!Q52</f>
        <v>1.3194787630628724</v>
      </c>
      <c r="Z11" s="311">
        <f>'BH Tariffs'!R52</f>
        <v>1.3458683383241299</v>
      </c>
      <c r="AA11" s="311">
        <f>'BH Tariffs'!S52</f>
        <v>1.3727857050906125</v>
      </c>
      <c r="AB11" s="311">
        <f>'BH Tariffs'!T52</f>
        <v>1.4002414191924248</v>
      </c>
      <c r="AC11" s="311">
        <f>'BH Tariffs'!U52</f>
        <v>1.4282462475762734</v>
      </c>
      <c r="AD11" s="311">
        <f>'BH Tariffs'!V52</f>
        <v>1.4568111725277988</v>
      </c>
      <c r="AE11" s="311">
        <f>'BH Tariffs'!W52</f>
        <v>1.4859473959783549</v>
      </c>
    </row>
    <row r="12" spans="1:31">
      <c r="A12" s="38" t="s">
        <v>58</v>
      </c>
      <c r="B12" s="38"/>
      <c r="C12" s="37"/>
      <c r="D12" s="76"/>
      <c r="E12" s="79">
        <v>0.2</v>
      </c>
      <c r="F12" s="172"/>
      <c r="G12" s="36"/>
      <c r="H12" s="36"/>
      <c r="I12" s="38"/>
      <c r="J12" s="36"/>
      <c r="K12" s="661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200"/>
      <c r="AC12" s="200"/>
      <c r="AD12" s="200"/>
      <c r="AE12" s="200"/>
    </row>
    <row r="13" spans="1:31">
      <c r="A13" s="38" t="s">
        <v>51</v>
      </c>
      <c r="B13" s="38"/>
      <c r="C13" s="37"/>
      <c r="D13" s="76"/>
      <c r="E13" s="79"/>
      <c r="F13" s="79">
        <v>0.4</v>
      </c>
      <c r="G13" s="36"/>
      <c r="H13" s="36"/>
      <c r="I13" s="38"/>
      <c r="J13" s="36"/>
      <c r="K13" s="661"/>
      <c r="L13" s="200"/>
      <c r="M13" s="200"/>
      <c r="N13" s="200"/>
      <c r="O13" s="200"/>
      <c r="P13" s="200"/>
      <c r="Q13" s="200"/>
      <c r="R13" s="200"/>
      <c r="S13" s="200"/>
      <c r="T13" s="200"/>
      <c r="U13" s="200"/>
      <c r="V13" s="200"/>
      <c r="W13" s="200"/>
      <c r="X13" s="200"/>
      <c r="Y13" s="200"/>
      <c r="Z13" s="200"/>
      <c r="AA13" s="200"/>
      <c r="AB13" s="200"/>
      <c r="AC13" s="200"/>
      <c r="AD13" s="200"/>
      <c r="AE13" s="200"/>
    </row>
    <row r="14" spans="1:31" s="18" customFormat="1">
      <c r="A14" s="649"/>
      <c r="B14" s="372"/>
      <c r="K14" s="489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7"/>
      <c r="X14" s="327"/>
      <c r="Y14" s="327"/>
      <c r="Z14" s="327"/>
      <c r="AA14" s="327"/>
      <c r="AB14" s="327"/>
      <c r="AC14" s="327"/>
      <c r="AD14" s="327"/>
      <c r="AE14" s="327"/>
    </row>
    <row r="15" spans="1:31" s="18" customFormat="1">
      <c r="K15" s="489"/>
      <c r="L15" s="327"/>
      <c r="M15" s="327"/>
      <c r="N15" s="327"/>
      <c r="O15" s="327"/>
      <c r="P15" s="327"/>
      <c r="Q15" s="327"/>
      <c r="R15" s="327"/>
      <c r="S15" s="327"/>
      <c r="T15" s="327"/>
      <c r="U15" s="327"/>
      <c r="V15" s="327"/>
      <c r="W15" s="327"/>
      <c r="X15" s="327"/>
      <c r="Y15" s="327"/>
      <c r="Z15" s="327"/>
      <c r="AA15" s="327"/>
      <c r="AB15" s="327"/>
      <c r="AC15" s="327"/>
      <c r="AD15" s="327"/>
      <c r="AE15" s="327"/>
    </row>
    <row r="16" spans="1:31" s="582" customFormat="1" ht="14.25">
      <c r="A16" s="582" t="s">
        <v>83</v>
      </c>
      <c r="K16" s="490"/>
      <c r="L16" s="785"/>
      <c r="M16" s="785"/>
      <c r="N16" s="785"/>
      <c r="O16" s="785"/>
      <c r="P16" s="785"/>
      <c r="Q16" s="785"/>
      <c r="R16" s="785"/>
      <c r="S16" s="785"/>
      <c r="T16" s="785"/>
      <c r="U16" s="785"/>
      <c r="V16" s="785"/>
      <c r="W16" s="785"/>
      <c r="X16" s="785"/>
      <c r="Y16" s="785"/>
      <c r="Z16" s="785"/>
      <c r="AA16" s="785"/>
      <c r="AB16" s="785"/>
      <c r="AC16" s="785"/>
      <c r="AD16" s="785"/>
      <c r="AE16" s="785"/>
    </row>
    <row r="17" spans="1:31" s="96" customFormat="1">
      <c r="A17" s="53" t="str">
        <f>'Cruise Projections'!A67</f>
        <v>Passengers</v>
      </c>
      <c r="B17" s="487"/>
      <c r="C17" s="487"/>
      <c r="K17" s="486">
        <f>'P&amp;L - Concept C1 - All'!D12</f>
        <v>0</v>
      </c>
      <c r="L17" s="313">
        <f>'P&amp;L - Concept C1 - All'!E12</f>
        <v>0</v>
      </c>
      <c r="M17" s="313">
        <f>'P&amp;L - Concept C1 - All'!F12</f>
        <v>261573</v>
      </c>
      <c r="N17" s="313">
        <f>'P&amp;L - Concept C1 - All'!G12</f>
        <v>261573</v>
      </c>
      <c r="O17" s="313">
        <f>'P&amp;L - Concept C1 - All'!H12</f>
        <v>261573</v>
      </c>
      <c r="P17" s="313">
        <f>'P&amp;L - Concept C1 - All'!I12</f>
        <v>261573</v>
      </c>
      <c r="Q17" s="313">
        <f>'P&amp;L - Concept C1 - All'!J12</f>
        <v>261573</v>
      </c>
      <c r="R17" s="313">
        <f>'P&amp;L - Concept C1 - All'!K12</f>
        <v>261573</v>
      </c>
      <c r="S17" s="313">
        <f>'P&amp;L - Concept C1 - All'!L12</f>
        <v>261573</v>
      </c>
      <c r="T17" s="313">
        <f>'P&amp;L - Concept C1 - All'!M12</f>
        <v>261573</v>
      </c>
      <c r="U17" s="313">
        <f>'P&amp;L - Concept C1 - All'!N12</f>
        <v>261573</v>
      </c>
      <c r="V17" s="313">
        <f>'P&amp;L - Concept C1 - All'!O12</f>
        <v>261573</v>
      </c>
      <c r="W17" s="313">
        <f>'P&amp;L - Concept C1 - All'!P12</f>
        <v>261573</v>
      </c>
      <c r="X17" s="313">
        <f>'P&amp;L - Concept C1 - All'!Q12</f>
        <v>261573</v>
      </c>
      <c r="Y17" s="313">
        <f>'P&amp;L - Concept C1 - All'!R12</f>
        <v>261573</v>
      </c>
      <c r="Z17" s="313">
        <f>'P&amp;L - Concept C1 - All'!S12</f>
        <v>261573</v>
      </c>
      <c r="AA17" s="313">
        <f>'P&amp;L - Concept C1 - All'!T12</f>
        <v>261573</v>
      </c>
      <c r="AB17" s="313">
        <f>'P&amp;L - Concept C1 - All'!U12</f>
        <v>261573</v>
      </c>
      <c r="AC17" s="313">
        <f>'P&amp;L - Concept C1 - All'!V12</f>
        <v>261573</v>
      </c>
      <c r="AD17" s="313">
        <f>'P&amp;L - Concept C1 - All'!W12</f>
        <v>261573</v>
      </c>
      <c r="AE17" s="313">
        <f>'P&amp;L - Concept C1 - All'!X12</f>
        <v>261573</v>
      </c>
    </row>
    <row r="18" spans="1:31" s="96" customFormat="1">
      <c r="A18" s="53" t="str">
        <f>'Cruise Projections'!A68</f>
        <v>Calls</v>
      </c>
      <c r="B18" s="487"/>
      <c r="C18" s="487"/>
      <c r="K18" s="486">
        <f>'P&amp;L - Concept C1 - All'!D13</f>
        <v>0</v>
      </c>
      <c r="L18" s="313">
        <f>'P&amp;L - Concept C1 - All'!E13</f>
        <v>0</v>
      </c>
      <c r="M18" s="313">
        <f>'P&amp;L - Concept C1 - All'!F13</f>
        <v>172</v>
      </c>
      <c r="N18" s="313">
        <f>'P&amp;L - Concept C1 - All'!G13</f>
        <v>172</v>
      </c>
      <c r="O18" s="313">
        <f>'P&amp;L - Concept C1 - All'!H13</f>
        <v>172</v>
      </c>
      <c r="P18" s="313">
        <f>'P&amp;L - Concept C1 - All'!I13</f>
        <v>172</v>
      </c>
      <c r="Q18" s="313">
        <f>'P&amp;L - Concept C1 - All'!J13</f>
        <v>172</v>
      </c>
      <c r="R18" s="313">
        <f>'P&amp;L - Concept C1 - All'!K13</f>
        <v>172</v>
      </c>
      <c r="S18" s="313">
        <f>'P&amp;L - Concept C1 - All'!L13</f>
        <v>172</v>
      </c>
      <c r="T18" s="313">
        <f>'P&amp;L - Concept C1 - All'!M13</f>
        <v>172</v>
      </c>
      <c r="U18" s="313">
        <f>'P&amp;L - Concept C1 - All'!N13</f>
        <v>172</v>
      </c>
      <c r="V18" s="313">
        <f>'P&amp;L - Concept C1 - All'!O13</f>
        <v>172</v>
      </c>
      <c r="W18" s="313">
        <f>'P&amp;L - Concept C1 - All'!P13</f>
        <v>172</v>
      </c>
      <c r="X18" s="313">
        <f>'P&amp;L - Concept C1 - All'!Q13</f>
        <v>172</v>
      </c>
      <c r="Y18" s="313">
        <f>'P&amp;L - Concept C1 - All'!R13</f>
        <v>172</v>
      </c>
      <c r="Z18" s="313">
        <f>'P&amp;L - Concept C1 - All'!S13</f>
        <v>172</v>
      </c>
      <c r="AA18" s="313">
        <f>'P&amp;L - Concept C1 - All'!T13</f>
        <v>172</v>
      </c>
      <c r="AB18" s="313">
        <f>'P&amp;L - Concept C1 - All'!U13</f>
        <v>172</v>
      </c>
      <c r="AC18" s="313">
        <f>'P&amp;L - Concept C1 - All'!V13</f>
        <v>172</v>
      </c>
      <c r="AD18" s="313">
        <f>'P&amp;L - Concept C1 - All'!W13</f>
        <v>172</v>
      </c>
      <c r="AE18" s="313">
        <f>'P&amp;L - Concept C1 - All'!X13</f>
        <v>172</v>
      </c>
    </row>
    <row r="19" spans="1:31" s="96" customFormat="1">
      <c r="A19" s="53" t="str">
        <f>'Cruise Projections'!A69</f>
        <v>Passengers per Call</v>
      </c>
      <c r="B19" s="487"/>
      <c r="C19" s="487"/>
      <c r="K19" s="486">
        <f>'P&amp;L - Concept C1 - All'!D14</f>
        <v>0</v>
      </c>
      <c r="L19" s="313">
        <f>'P&amp;L - Concept C1 - All'!E14</f>
        <v>0</v>
      </c>
      <c r="M19" s="313">
        <f>'P&amp;L - Concept C1 - All'!F14</f>
        <v>1520.7732558139535</v>
      </c>
      <c r="N19" s="313">
        <f>'P&amp;L - Concept C1 - All'!G14</f>
        <v>1520.7732558139535</v>
      </c>
      <c r="O19" s="313">
        <f>'P&amp;L - Concept C1 - All'!H14</f>
        <v>1520.7732558139535</v>
      </c>
      <c r="P19" s="313">
        <f>'P&amp;L - Concept C1 - All'!I14</f>
        <v>1520.7732558139535</v>
      </c>
      <c r="Q19" s="313">
        <f>'P&amp;L - Concept C1 - All'!J14</f>
        <v>1520.7732558139535</v>
      </c>
      <c r="R19" s="313">
        <f>'P&amp;L - Concept C1 - All'!K14</f>
        <v>1520.7732558139535</v>
      </c>
      <c r="S19" s="313">
        <f>'P&amp;L - Concept C1 - All'!L14</f>
        <v>1520.7732558139535</v>
      </c>
      <c r="T19" s="313">
        <f>'P&amp;L - Concept C1 - All'!M14</f>
        <v>1520.7732558139535</v>
      </c>
      <c r="U19" s="313">
        <f>'P&amp;L - Concept C1 - All'!N14</f>
        <v>1520.7732558139535</v>
      </c>
      <c r="V19" s="313">
        <f>'P&amp;L - Concept C1 - All'!O14</f>
        <v>1520.7732558139535</v>
      </c>
      <c r="W19" s="313">
        <f>'P&amp;L - Concept C1 - All'!P14</f>
        <v>1520.7732558139535</v>
      </c>
      <c r="X19" s="313">
        <f>'P&amp;L - Concept C1 - All'!Q14</f>
        <v>1520.7732558139535</v>
      </c>
      <c r="Y19" s="313">
        <f>'P&amp;L - Concept C1 - All'!R14</f>
        <v>1520.7732558139535</v>
      </c>
      <c r="Z19" s="313">
        <f>'P&amp;L - Concept C1 - All'!S14</f>
        <v>1520.7732558139535</v>
      </c>
      <c r="AA19" s="313">
        <f>'P&amp;L - Concept C1 - All'!T14</f>
        <v>1520.7732558139535</v>
      </c>
      <c r="AB19" s="313">
        <f>'P&amp;L - Concept C1 - All'!U14</f>
        <v>1520.7732558139535</v>
      </c>
      <c r="AC19" s="313">
        <f>'P&amp;L - Concept C1 - All'!V14</f>
        <v>1520.7732558139535</v>
      </c>
      <c r="AD19" s="313">
        <f>'P&amp;L - Concept C1 - All'!W14</f>
        <v>1520.7732558139535</v>
      </c>
      <c r="AE19" s="313">
        <f>'P&amp;L - Concept C1 - All'!X14</f>
        <v>1520.7732558139535</v>
      </c>
    </row>
    <row r="20" spans="1:31" s="96" customFormat="1">
      <c r="A20" s="54" t="s">
        <v>313</v>
      </c>
      <c r="B20" s="487"/>
      <c r="C20" s="487"/>
      <c r="K20" s="486">
        <f>'P&amp;L - Concept C1 - All'!D15</f>
        <v>0</v>
      </c>
      <c r="L20" s="313">
        <f>'P&amp;L - Concept C1 - All'!E15</f>
        <v>0</v>
      </c>
      <c r="M20" s="313">
        <f>'P&amp;L - Concept C1 - All'!F15</f>
        <v>4120</v>
      </c>
      <c r="N20" s="313">
        <f>'P&amp;L - Concept C1 - All'!G15</f>
        <v>4120</v>
      </c>
      <c r="O20" s="313">
        <f>'P&amp;L - Concept C1 - All'!H15</f>
        <v>4120</v>
      </c>
      <c r="P20" s="313">
        <f>'P&amp;L - Concept C1 - All'!I15</f>
        <v>4120</v>
      </c>
      <c r="Q20" s="313">
        <f>'P&amp;L - Concept C1 - All'!J15</f>
        <v>4120</v>
      </c>
      <c r="R20" s="313">
        <f>'P&amp;L - Concept C1 - All'!K15</f>
        <v>4120</v>
      </c>
      <c r="S20" s="313">
        <f>'P&amp;L - Concept C1 - All'!L15</f>
        <v>4120</v>
      </c>
      <c r="T20" s="313">
        <f>'P&amp;L - Concept C1 - All'!M15</f>
        <v>4120</v>
      </c>
      <c r="U20" s="313">
        <f>'P&amp;L - Concept C1 - All'!N15</f>
        <v>4120</v>
      </c>
      <c r="V20" s="313">
        <f>'P&amp;L - Concept C1 - All'!O15</f>
        <v>4120</v>
      </c>
      <c r="W20" s="313">
        <f>'P&amp;L - Concept C1 - All'!P15</f>
        <v>4120</v>
      </c>
      <c r="X20" s="313">
        <f>'P&amp;L - Concept C1 - All'!Q15</f>
        <v>4120</v>
      </c>
      <c r="Y20" s="313">
        <f>'P&amp;L - Concept C1 - All'!R15</f>
        <v>4120</v>
      </c>
      <c r="Z20" s="313">
        <f>'P&amp;L - Concept C1 - All'!S15</f>
        <v>4120</v>
      </c>
      <c r="AA20" s="313">
        <f>'P&amp;L - Concept C1 - All'!T15</f>
        <v>4120</v>
      </c>
      <c r="AB20" s="313">
        <f>'P&amp;L - Concept C1 - All'!U15</f>
        <v>4120</v>
      </c>
      <c r="AC20" s="313">
        <f>'P&amp;L - Concept C1 - All'!V15</f>
        <v>4120</v>
      </c>
      <c r="AD20" s="313">
        <f>'P&amp;L - Concept C1 - All'!W15</f>
        <v>4120</v>
      </c>
      <c r="AE20" s="313">
        <f>'P&amp;L - Concept C1 - All'!X15</f>
        <v>4120</v>
      </c>
    </row>
    <row r="21" spans="1:31" s="18" customFormat="1">
      <c r="A21" s="54"/>
      <c r="B21" s="21"/>
      <c r="C21" s="21"/>
      <c r="K21" s="486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  <c r="Y21" s="313"/>
      <c r="Z21" s="313"/>
      <c r="AA21" s="313"/>
      <c r="AB21" s="313"/>
      <c r="AC21" s="313"/>
      <c r="AD21" s="313"/>
      <c r="AE21" s="313"/>
    </row>
    <row r="22" spans="1:31" s="582" customFormat="1">
      <c r="A22" s="293" t="s">
        <v>163</v>
      </c>
      <c r="B22" s="581"/>
      <c r="C22" s="581"/>
      <c r="K22" s="491"/>
      <c r="L22" s="313"/>
      <c r="M22" s="313"/>
      <c r="N22" s="313"/>
      <c r="O22" s="313"/>
      <c r="P22" s="313"/>
      <c r="Q22" s="313"/>
      <c r="R22" s="313"/>
      <c r="S22" s="313"/>
      <c r="T22" s="313"/>
      <c r="U22" s="313"/>
      <c r="V22" s="313"/>
      <c r="W22" s="313"/>
      <c r="X22" s="313"/>
      <c r="Y22" s="313"/>
      <c r="Z22" s="313"/>
      <c r="AA22" s="313"/>
      <c r="AB22" s="313"/>
      <c r="AC22" s="313"/>
      <c r="AD22" s="313"/>
      <c r="AE22" s="313"/>
    </row>
    <row r="23" spans="1:31" s="96" customFormat="1">
      <c r="A23" s="54" t="str">
        <f>'International Ferry Projections'!A11</f>
        <v>Passengers</v>
      </c>
      <c r="B23" s="487"/>
      <c r="C23" s="487"/>
      <c r="K23" s="486">
        <f>'P&amp;L - Concept C1 - All'!D18</f>
        <v>0</v>
      </c>
      <c r="L23" s="313">
        <f>'P&amp;L - Concept C1 - All'!E18</f>
        <v>60000</v>
      </c>
      <c r="M23" s="313">
        <f>'P&amp;L - Concept C1 - All'!F18</f>
        <v>70000</v>
      </c>
      <c r="N23" s="313">
        <f>'P&amp;L - Concept C1 - All'!G18</f>
        <v>80000</v>
      </c>
      <c r="O23" s="313">
        <f>'P&amp;L - Concept C1 - All'!H18</f>
        <v>80000</v>
      </c>
      <c r="P23" s="313">
        <f>'P&amp;L - Concept C1 - All'!I18</f>
        <v>80000</v>
      </c>
      <c r="Q23" s="313">
        <f>'P&amp;L - Concept C1 - All'!J18</f>
        <v>80000</v>
      </c>
      <c r="R23" s="313">
        <f>'P&amp;L - Concept C1 - All'!K18</f>
        <v>80000</v>
      </c>
      <c r="S23" s="313">
        <f>'P&amp;L - Concept C1 - All'!L18</f>
        <v>80000</v>
      </c>
      <c r="T23" s="313">
        <f>'P&amp;L - Concept C1 - All'!M18</f>
        <v>80000</v>
      </c>
      <c r="U23" s="313">
        <f>'P&amp;L - Concept C1 - All'!N18</f>
        <v>80000</v>
      </c>
      <c r="V23" s="313">
        <f>'P&amp;L - Concept C1 - All'!O18</f>
        <v>80000</v>
      </c>
      <c r="W23" s="313">
        <f>'P&amp;L - Concept C1 - All'!P18</f>
        <v>80000</v>
      </c>
      <c r="X23" s="313">
        <f>'P&amp;L - Concept C1 - All'!Q18</f>
        <v>80000</v>
      </c>
      <c r="Y23" s="313">
        <f>'P&amp;L - Concept C1 - All'!R18</f>
        <v>80000</v>
      </c>
      <c r="Z23" s="313">
        <f>'P&amp;L - Concept C1 - All'!S18</f>
        <v>80000</v>
      </c>
      <c r="AA23" s="313">
        <f>'P&amp;L - Concept C1 - All'!T18</f>
        <v>80000</v>
      </c>
      <c r="AB23" s="313">
        <f>'P&amp;L - Concept C1 - All'!U18</f>
        <v>80000</v>
      </c>
      <c r="AC23" s="313">
        <f>'P&amp;L - Concept C1 - All'!V18</f>
        <v>80000</v>
      </c>
      <c r="AD23" s="313">
        <f>'P&amp;L - Concept C1 - All'!W18</f>
        <v>80000</v>
      </c>
      <c r="AE23" s="313">
        <f>'P&amp;L - Concept C1 - All'!X18</f>
        <v>80000</v>
      </c>
    </row>
    <row r="24" spans="1:31" s="96" customFormat="1">
      <c r="A24" s="54" t="str">
        <f>'International Ferry Projections'!A12</f>
        <v>Cars</v>
      </c>
      <c r="B24" s="487"/>
      <c r="C24" s="487"/>
      <c r="K24" s="486">
        <f>'P&amp;L - Concept C1 - All'!D19</f>
        <v>0</v>
      </c>
      <c r="L24" s="313">
        <f>'P&amp;L - Concept C1 - All'!E19</f>
        <v>24000</v>
      </c>
      <c r="M24" s="313">
        <f>'P&amp;L - Concept C1 - All'!F19</f>
        <v>28000</v>
      </c>
      <c r="N24" s="313">
        <f>'P&amp;L - Concept C1 - All'!G19</f>
        <v>32000</v>
      </c>
      <c r="O24" s="313">
        <f>'P&amp;L - Concept C1 - All'!H19</f>
        <v>32000</v>
      </c>
      <c r="P24" s="313">
        <f>'P&amp;L - Concept C1 - All'!I19</f>
        <v>32000</v>
      </c>
      <c r="Q24" s="313">
        <f>'P&amp;L - Concept C1 - All'!J19</f>
        <v>32000</v>
      </c>
      <c r="R24" s="313">
        <f>'P&amp;L - Concept C1 - All'!K19</f>
        <v>32000</v>
      </c>
      <c r="S24" s="313">
        <f>'P&amp;L - Concept C1 - All'!L19</f>
        <v>32000</v>
      </c>
      <c r="T24" s="313">
        <f>'P&amp;L - Concept C1 - All'!M19</f>
        <v>32000</v>
      </c>
      <c r="U24" s="313">
        <f>'P&amp;L - Concept C1 - All'!N19</f>
        <v>32000</v>
      </c>
      <c r="V24" s="313">
        <f>'P&amp;L - Concept C1 - All'!O19</f>
        <v>32000</v>
      </c>
      <c r="W24" s="313">
        <f>'P&amp;L - Concept C1 - All'!P19</f>
        <v>32000</v>
      </c>
      <c r="X24" s="313">
        <f>'P&amp;L - Concept C1 - All'!Q19</f>
        <v>32000</v>
      </c>
      <c r="Y24" s="313">
        <f>'P&amp;L - Concept C1 - All'!R19</f>
        <v>32000</v>
      </c>
      <c r="Z24" s="313">
        <f>'P&amp;L - Concept C1 - All'!S19</f>
        <v>32000</v>
      </c>
      <c r="AA24" s="313">
        <f>'P&amp;L - Concept C1 - All'!T19</f>
        <v>32000</v>
      </c>
      <c r="AB24" s="313">
        <f>'P&amp;L - Concept C1 - All'!U19</f>
        <v>32000</v>
      </c>
      <c r="AC24" s="313">
        <f>'P&amp;L - Concept C1 - All'!V19</f>
        <v>32000</v>
      </c>
      <c r="AD24" s="313">
        <f>'P&amp;L - Concept C1 - All'!W19</f>
        <v>32000</v>
      </c>
      <c r="AE24" s="313">
        <f>'P&amp;L - Concept C1 - All'!X19</f>
        <v>32000</v>
      </c>
    </row>
    <row r="25" spans="1:31" s="96" customFormat="1">
      <c r="A25" s="54" t="str">
        <f>'International Ferry Projections'!A13</f>
        <v>Buses</v>
      </c>
      <c r="B25" s="487"/>
      <c r="C25" s="487"/>
      <c r="K25" s="486">
        <f>'P&amp;L - Concept C1 - All'!D20</f>
        <v>0</v>
      </c>
      <c r="L25" s="313">
        <f>'P&amp;L - Concept C1 - All'!E20</f>
        <v>40</v>
      </c>
      <c r="M25" s="313">
        <f>'P&amp;L - Concept C1 - All'!F20</f>
        <v>50</v>
      </c>
      <c r="N25" s="313">
        <f>'P&amp;L - Concept C1 - All'!G20</f>
        <v>60</v>
      </c>
      <c r="O25" s="313">
        <f>'P&amp;L - Concept C1 - All'!H20</f>
        <v>60</v>
      </c>
      <c r="P25" s="313">
        <f>'P&amp;L - Concept C1 - All'!I20</f>
        <v>60</v>
      </c>
      <c r="Q25" s="313">
        <f>'P&amp;L - Concept C1 - All'!J20</f>
        <v>60</v>
      </c>
      <c r="R25" s="313">
        <f>'P&amp;L - Concept C1 - All'!K20</f>
        <v>60</v>
      </c>
      <c r="S25" s="313">
        <f>'P&amp;L - Concept C1 - All'!L20</f>
        <v>60</v>
      </c>
      <c r="T25" s="313">
        <f>'P&amp;L - Concept C1 - All'!M20</f>
        <v>60</v>
      </c>
      <c r="U25" s="313">
        <f>'P&amp;L - Concept C1 - All'!N20</f>
        <v>60</v>
      </c>
      <c r="V25" s="313">
        <f>'P&amp;L - Concept C1 - All'!O20</f>
        <v>60</v>
      </c>
      <c r="W25" s="313">
        <f>'P&amp;L - Concept C1 - All'!P20</f>
        <v>60</v>
      </c>
      <c r="X25" s="313">
        <f>'P&amp;L - Concept C1 - All'!Q20</f>
        <v>60</v>
      </c>
      <c r="Y25" s="313">
        <f>'P&amp;L - Concept C1 - All'!R20</f>
        <v>60</v>
      </c>
      <c r="Z25" s="313">
        <f>'P&amp;L - Concept C1 - All'!S20</f>
        <v>60</v>
      </c>
      <c r="AA25" s="313">
        <f>'P&amp;L - Concept C1 - All'!T20</f>
        <v>60</v>
      </c>
      <c r="AB25" s="313">
        <f>'P&amp;L - Concept C1 - All'!U20</f>
        <v>60</v>
      </c>
      <c r="AC25" s="313">
        <f>'P&amp;L - Concept C1 - All'!V20</f>
        <v>60</v>
      </c>
      <c r="AD25" s="313">
        <f>'P&amp;L - Concept C1 - All'!W20</f>
        <v>60</v>
      </c>
      <c r="AE25" s="313">
        <f>'P&amp;L - Concept C1 - All'!X20</f>
        <v>60</v>
      </c>
    </row>
    <row r="26" spans="1:31" s="18" customFormat="1">
      <c r="A26" s="54"/>
      <c r="B26" s="21"/>
      <c r="C26" s="21"/>
      <c r="K26" s="486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</row>
    <row r="27" spans="1:31" s="582" customFormat="1">
      <c r="A27" s="293" t="str">
        <f>'BH Tariffs'!A30</f>
        <v>Local Ferry</v>
      </c>
      <c r="B27" s="581"/>
      <c r="C27" s="581"/>
      <c r="K27" s="486"/>
      <c r="L27" s="313"/>
      <c r="M27" s="313"/>
      <c r="N27" s="313"/>
      <c r="O27" s="313"/>
      <c r="P27" s="313"/>
      <c r="Q27" s="313"/>
      <c r="R27" s="313"/>
      <c r="S27" s="313"/>
      <c r="T27" s="313"/>
      <c r="U27" s="313"/>
      <c r="V27" s="313"/>
      <c r="W27" s="313"/>
      <c r="X27" s="313"/>
      <c r="Y27" s="313"/>
      <c r="Z27" s="313"/>
      <c r="AA27" s="313"/>
      <c r="AB27" s="313"/>
      <c r="AC27" s="313"/>
      <c r="AD27" s="313"/>
      <c r="AE27" s="313"/>
    </row>
    <row r="28" spans="1:31" s="96" customFormat="1">
      <c r="A28" s="54" t="str">
        <f>'BH Tariffs'!A31</f>
        <v>Dock Rent (6 Months Only)</v>
      </c>
      <c r="B28" s="487"/>
      <c r="C28" s="487"/>
      <c r="K28" s="486">
        <f>'P&amp;L - Concept C1 - All'!D23</f>
        <v>0</v>
      </c>
      <c r="L28" s="313" t="str">
        <f>'P&amp;L - Concept C1 - All'!E23</f>
        <v>see Tariff</v>
      </c>
      <c r="M28" s="313" t="str">
        <f>'P&amp;L - Concept C1 - All'!F23</f>
        <v>see Tariff</v>
      </c>
      <c r="N28" s="313" t="str">
        <f>'P&amp;L - Concept C1 - All'!G23</f>
        <v>see Tariff</v>
      </c>
      <c r="O28" s="313" t="str">
        <f>'P&amp;L - Concept C1 - All'!H23</f>
        <v>see Tariff</v>
      </c>
      <c r="P28" s="313" t="str">
        <f>'P&amp;L - Concept C1 - All'!I23</f>
        <v>see Tariff</v>
      </c>
      <c r="Q28" s="313" t="str">
        <f>'P&amp;L - Concept C1 - All'!J23</f>
        <v>see Tariff</v>
      </c>
      <c r="R28" s="313" t="str">
        <f>'P&amp;L - Concept C1 - All'!K23</f>
        <v>see Tariff</v>
      </c>
      <c r="S28" s="313" t="str">
        <f>'P&amp;L - Concept C1 - All'!L23</f>
        <v>see Tariff</v>
      </c>
      <c r="T28" s="313" t="str">
        <f>'P&amp;L - Concept C1 - All'!M23</f>
        <v>see Tariff</v>
      </c>
      <c r="U28" s="313" t="str">
        <f>'P&amp;L - Concept C1 - All'!N23</f>
        <v>see Tariff</v>
      </c>
      <c r="V28" s="313" t="str">
        <f>'P&amp;L - Concept C1 - All'!O23</f>
        <v>see Tariff</v>
      </c>
      <c r="W28" s="313" t="str">
        <f>'P&amp;L - Concept C1 - All'!P23</f>
        <v>see Tariff</v>
      </c>
      <c r="X28" s="313" t="str">
        <f>'P&amp;L - Concept C1 - All'!Q23</f>
        <v>see Tariff</v>
      </c>
      <c r="Y28" s="313" t="str">
        <f>'P&amp;L - Concept C1 - All'!R23</f>
        <v>see Tariff</v>
      </c>
      <c r="Z28" s="313" t="str">
        <f>'P&amp;L - Concept C1 - All'!S23</f>
        <v>see Tariff</v>
      </c>
      <c r="AA28" s="313" t="str">
        <f>'P&amp;L - Concept C1 - All'!T23</f>
        <v>see Tariff</v>
      </c>
      <c r="AB28" s="313" t="str">
        <f>'P&amp;L - Concept C1 - All'!U23</f>
        <v>see Tariff</v>
      </c>
      <c r="AC28" s="313" t="str">
        <f>'P&amp;L - Concept C1 - All'!V23</f>
        <v>see Tariff</v>
      </c>
      <c r="AD28" s="313" t="str">
        <f>'P&amp;L - Concept C1 - All'!W23</f>
        <v>see Tariff</v>
      </c>
      <c r="AE28" s="313" t="str">
        <f>'P&amp;L - Concept C1 - All'!X23</f>
        <v>see Tariff</v>
      </c>
    </row>
    <row r="29" spans="1:31" s="341" customFormat="1">
      <c r="A29" s="552"/>
      <c r="B29" s="553"/>
      <c r="C29" s="553"/>
      <c r="K29" s="554"/>
      <c r="L29" s="313"/>
      <c r="M29" s="313"/>
      <c r="N29" s="313"/>
      <c r="O29" s="313"/>
      <c r="P29" s="313"/>
      <c r="Q29" s="313"/>
      <c r="R29" s="313"/>
      <c r="S29" s="313"/>
      <c r="T29" s="313"/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</row>
    <row r="30" spans="1:31" s="96" customFormat="1">
      <c r="A30" s="559" t="s">
        <v>227</v>
      </c>
      <c r="B30" s="487"/>
      <c r="C30" s="487"/>
      <c r="K30" s="486"/>
      <c r="L30" s="313"/>
      <c r="M30" s="313"/>
      <c r="N30" s="313"/>
      <c r="O30" s="313"/>
      <c r="P30" s="313"/>
      <c r="Q30" s="313"/>
      <c r="R30" s="313"/>
      <c r="S30" s="313"/>
      <c r="T30" s="313"/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</row>
    <row r="31" spans="1:31" s="96" customFormat="1">
      <c r="A31" s="559"/>
      <c r="B31" s="487"/>
      <c r="C31" s="487"/>
      <c r="K31" s="486"/>
      <c r="L31" s="313"/>
      <c r="M31" s="313"/>
      <c r="N31" s="313"/>
      <c r="O31" s="313"/>
      <c r="P31" s="313"/>
      <c r="Q31" s="313"/>
      <c r="R31" s="313"/>
      <c r="S31" s="313"/>
      <c r="T31" s="313"/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</row>
    <row r="32" spans="1:31" s="96" customFormat="1">
      <c r="A32" s="54" t="s">
        <v>420</v>
      </c>
      <c r="B32" s="487"/>
      <c r="C32" s="487"/>
      <c r="K32" s="486">
        <f>'P&amp;L - Concept C1 - All'!D27</f>
        <v>0</v>
      </c>
      <c r="L32" s="313">
        <f>'P&amp;L - Concept C1 - All'!E27</f>
        <v>0</v>
      </c>
      <c r="M32" s="313">
        <f>'P&amp;L - Concept C1 - All'!F27</f>
        <v>214</v>
      </c>
      <c r="N32" s="313">
        <f>'P&amp;L - Concept C1 - All'!G27</f>
        <v>214</v>
      </c>
      <c r="O32" s="313">
        <f>'P&amp;L - Concept C1 - All'!H27</f>
        <v>214</v>
      </c>
      <c r="P32" s="313">
        <f>'P&amp;L - Concept C1 - All'!I27</f>
        <v>214</v>
      </c>
      <c r="Q32" s="313">
        <f>'P&amp;L - Concept C1 - All'!J27</f>
        <v>214</v>
      </c>
      <c r="R32" s="313">
        <f>'P&amp;L - Concept C1 - All'!K27</f>
        <v>214</v>
      </c>
      <c r="S32" s="313">
        <f>'P&amp;L - Concept C1 - All'!L27</f>
        <v>214</v>
      </c>
      <c r="T32" s="313">
        <f>'P&amp;L - Concept C1 - All'!M27</f>
        <v>214</v>
      </c>
      <c r="U32" s="313">
        <f>'P&amp;L - Concept C1 - All'!N27</f>
        <v>214</v>
      </c>
      <c r="V32" s="313">
        <f>'P&amp;L - Concept C1 - All'!O27</f>
        <v>214</v>
      </c>
      <c r="W32" s="313">
        <f>'P&amp;L - Concept C1 - All'!P27</f>
        <v>214</v>
      </c>
      <c r="X32" s="313">
        <f>'P&amp;L - Concept C1 - All'!Q27</f>
        <v>214</v>
      </c>
      <c r="Y32" s="313">
        <f>'P&amp;L - Concept C1 - All'!R27</f>
        <v>214</v>
      </c>
      <c r="Z32" s="313">
        <f>'P&amp;L - Concept C1 - All'!S27</f>
        <v>214</v>
      </c>
      <c r="AA32" s="313">
        <f>'P&amp;L - Concept C1 - All'!T27</f>
        <v>214</v>
      </c>
      <c r="AB32" s="313">
        <f>'P&amp;L - Concept C1 - All'!U27</f>
        <v>214</v>
      </c>
      <c r="AC32" s="313">
        <f>'P&amp;L - Concept C1 - All'!V27</f>
        <v>214</v>
      </c>
      <c r="AD32" s="313">
        <f>'P&amp;L - Concept C1 - All'!W27</f>
        <v>214</v>
      </c>
      <c r="AE32" s="313">
        <f>'P&amp;L - Concept C1 - All'!X27</f>
        <v>214</v>
      </c>
    </row>
    <row r="33" spans="1:31" s="96" customFormat="1">
      <c r="A33" s="54" t="s">
        <v>205</v>
      </c>
      <c r="B33" s="487"/>
      <c r="C33" s="487"/>
      <c r="K33" s="486">
        <f>'P&amp;L - Concept C1 - All'!D28</f>
        <v>0</v>
      </c>
      <c r="L33" s="313">
        <f>'P&amp;L - Concept C1 - All'!E28</f>
        <v>0</v>
      </c>
      <c r="M33" s="313">
        <f>'P&amp;L - Concept C1 - All'!F28</f>
        <v>106</v>
      </c>
      <c r="N33" s="313">
        <f>'P&amp;L - Concept C1 - All'!G28</f>
        <v>106</v>
      </c>
      <c r="O33" s="313">
        <f>'P&amp;L - Concept C1 - All'!H28</f>
        <v>106</v>
      </c>
      <c r="P33" s="313">
        <f>'P&amp;L - Concept C1 - All'!I28</f>
        <v>106</v>
      </c>
      <c r="Q33" s="313">
        <f>'P&amp;L - Concept C1 - All'!J28</f>
        <v>106</v>
      </c>
      <c r="R33" s="313">
        <f>'P&amp;L - Concept C1 - All'!K28</f>
        <v>106</v>
      </c>
      <c r="S33" s="313">
        <f>'P&amp;L - Concept C1 - All'!L28</f>
        <v>106</v>
      </c>
      <c r="T33" s="313">
        <f>'P&amp;L - Concept C1 - All'!M28</f>
        <v>106</v>
      </c>
      <c r="U33" s="313">
        <f>'P&amp;L - Concept C1 - All'!N28</f>
        <v>106</v>
      </c>
      <c r="V33" s="313">
        <f>'P&amp;L - Concept C1 - All'!O28</f>
        <v>106</v>
      </c>
      <c r="W33" s="313">
        <f>'P&amp;L - Concept C1 - All'!P28</f>
        <v>106</v>
      </c>
      <c r="X33" s="313">
        <f>'P&amp;L - Concept C1 - All'!Q28</f>
        <v>106</v>
      </c>
      <c r="Y33" s="313">
        <f>'P&amp;L - Concept C1 - All'!R28</f>
        <v>106</v>
      </c>
      <c r="Z33" s="313">
        <f>'P&amp;L - Concept C1 - All'!S28</f>
        <v>106</v>
      </c>
      <c r="AA33" s="313">
        <f>'P&amp;L - Concept C1 - All'!T28</f>
        <v>106</v>
      </c>
      <c r="AB33" s="313">
        <f>'P&amp;L - Concept C1 - All'!U28</f>
        <v>106</v>
      </c>
      <c r="AC33" s="313">
        <f>'P&amp;L - Concept C1 - All'!V28</f>
        <v>106</v>
      </c>
      <c r="AD33" s="313">
        <f>'P&amp;L - Concept C1 - All'!W28</f>
        <v>106</v>
      </c>
      <c r="AE33" s="313">
        <f>'P&amp;L - Concept C1 - All'!X28</f>
        <v>106</v>
      </c>
    </row>
    <row r="34" spans="1:31" s="96" customFormat="1">
      <c r="A34" s="54" t="s">
        <v>219</v>
      </c>
      <c r="B34" s="487"/>
      <c r="C34" s="487"/>
      <c r="K34" s="486">
        <f>'P&amp;L - Concept C1 - All'!D29</f>
        <v>0</v>
      </c>
      <c r="L34" s="313">
        <f>'P&amp;L - Concept C1 - All'!E29</f>
        <v>150</v>
      </c>
      <c r="M34" s="313">
        <f>'P&amp;L - Concept C1 - All'!F29</f>
        <v>150</v>
      </c>
      <c r="N34" s="313">
        <f>'P&amp;L - Concept C1 - All'!G29</f>
        <v>150</v>
      </c>
      <c r="O34" s="313">
        <f>'P&amp;L - Concept C1 - All'!H29</f>
        <v>150</v>
      </c>
      <c r="P34" s="313">
        <f>'P&amp;L - Concept C1 - All'!I29</f>
        <v>150</v>
      </c>
      <c r="Q34" s="313">
        <f>'P&amp;L - Concept C1 - All'!J29</f>
        <v>150</v>
      </c>
      <c r="R34" s="313">
        <f>'P&amp;L - Concept C1 - All'!K29</f>
        <v>150</v>
      </c>
      <c r="S34" s="313">
        <f>'P&amp;L - Concept C1 - All'!L29</f>
        <v>150</v>
      </c>
      <c r="T34" s="313">
        <f>'P&amp;L - Concept C1 - All'!M29</f>
        <v>150</v>
      </c>
      <c r="U34" s="313">
        <f>'P&amp;L - Concept C1 - All'!N29</f>
        <v>150</v>
      </c>
      <c r="V34" s="313">
        <f>'P&amp;L - Concept C1 - All'!O29</f>
        <v>150</v>
      </c>
      <c r="W34" s="313">
        <f>'P&amp;L - Concept C1 - All'!P29</f>
        <v>150</v>
      </c>
      <c r="X34" s="313">
        <f>'P&amp;L - Concept C1 - All'!Q29</f>
        <v>150</v>
      </c>
      <c r="Y34" s="313">
        <f>'P&amp;L - Concept C1 - All'!R29</f>
        <v>150</v>
      </c>
      <c r="Z34" s="313">
        <f>'P&amp;L - Concept C1 - All'!S29</f>
        <v>150</v>
      </c>
      <c r="AA34" s="313">
        <f>'P&amp;L - Concept C1 - All'!T29</f>
        <v>150</v>
      </c>
      <c r="AB34" s="313">
        <f>'P&amp;L - Concept C1 - All'!U29</f>
        <v>150</v>
      </c>
      <c r="AC34" s="313">
        <f>'P&amp;L - Concept C1 - All'!V29</f>
        <v>150</v>
      </c>
      <c r="AD34" s="313">
        <f>'P&amp;L - Concept C1 - All'!W29</f>
        <v>150</v>
      </c>
      <c r="AE34" s="313">
        <f>'P&amp;L - Concept C1 - All'!X29</f>
        <v>150</v>
      </c>
    </row>
    <row r="35" spans="1:31" s="96" customFormat="1">
      <c r="A35" s="54" t="s">
        <v>220</v>
      </c>
      <c r="B35" s="487"/>
      <c r="C35" s="487"/>
      <c r="K35" s="486">
        <f>'P&amp;L - Concept C1 - All'!D30</f>
        <v>0</v>
      </c>
      <c r="L35" s="307">
        <f>'P&amp;L - Concept C1 - All'!E30</f>
        <v>0</v>
      </c>
      <c r="M35" s="307">
        <f>'P&amp;L - Concept C1 - All'!F30</f>
        <v>0.70666666666666667</v>
      </c>
      <c r="N35" s="307">
        <f>'P&amp;L - Concept C1 - All'!G30</f>
        <v>0.70666666666666667</v>
      </c>
      <c r="O35" s="307">
        <f>'P&amp;L - Concept C1 - All'!H30</f>
        <v>0.70666666666666667</v>
      </c>
      <c r="P35" s="307">
        <f>'P&amp;L - Concept C1 - All'!I30</f>
        <v>0.70666666666666667</v>
      </c>
      <c r="Q35" s="307">
        <f>'P&amp;L - Concept C1 - All'!J30</f>
        <v>0.70666666666666667</v>
      </c>
      <c r="R35" s="307">
        <f>'P&amp;L - Concept C1 - All'!K30</f>
        <v>0.70666666666666667</v>
      </c>
      <c r="S35" s="307">
        <f>'P&amp;L - Concept C1 - All'!L30</f>
        <v>0.70666666666666667</v>
      </c>
      <c r="T35" s="307">
        <f>'P&amp;L - Concept C1 - All'!M30</f>
        <v>0.70666666666666667</v>
      </c>
      <c r="U35" s="307">
        <f>'P&amp;L - Concept C1 - All'!N30</f>
        <v>0.70666666666666667</v>
      </c>
      <c r="V35" s="307">
        <f>'P&amp;L - Concept C1 - All'!O30</f>
        <v>0.70666666666666667</v>
      </c>
      <c r="W35" s="307">
        <f>'P&amp;L - Concept C1 - All'!P30</f>
        <v>0.70666666666666667</v>
      </c>
      <c r="X35" s="307">
        <f>'P&amp;L - Concept C1 - All'!Q30</f>
        <v>0.70666666666666667</v>
      </c>
      <c r="Y35" s="307">
        <f>'P&amp;L - Concept C1 - All'!R30</f>
        <v>0.70666666666666667</v>
      </c>
      <c r="Z35" s="307">
        <f>'P&amp;L - Concept C1 - All'!S30</f>
        <v>0.70666666666666667</v>
      </c>
      <c r="AA35" s="307">
        <f>'P&amp;L - Concept C1 - All'!T30</f>
        <v>0.70666666666666667</v>
      </c>
      <c r="AB35" s="307">
        <f>'P&amp;L - Concept C1 - All'!U30</f>
        <v>0.70666666666666667</v>
      </c>
      <c r="AC35" s="307">
        <f>'P&amp;L - Concept C1 - All'!V30</f>
        <v>0.70666666666666667</v>
      </c>
      <c r="AD35" s="307">
        <f>'P&amp;L - Concept C1 - All'!W30</f>
        <v>0.70666666666666667</v>
      </c>
      <c r="AE35" s="307">
        <f>'P&amp;L - Concept C1 - All'!X30</f>
        <v>0.70666666666666667</v>
      </c>
    </row>
    <row r="36" spans="1:31" s="96" customFormat="1">
      <c r="A36" s="54" t="s">
        <v>226</v>
      </c>
      <c r="B36" s="487"/>
      <c r="C36" s="487"/>
      <c r="K36" s="486">
        <f>'P&amp;L - Concept C1 - All'!D31</f>
        <v>0</v>
      </c>
      <c r="L36" s="313">
        <f>'P&amp;L - Concept C1 - All'!E31</f>
        <v>0</v>
      </c>
      <c r="M36" s="313">
        <f>'P&amp;L - Concept C1 - All'!F31</f>
        <v>125</v>
      </c>
      <c r="N36" s="313">
        <f>'P&amp;L - Concept C1 - All'!G31</f>
        <v>125</v>
      </c>
      <c r="O36" s="313">
        <f>'P&amp;L - Concept C1 - All'!H31</f>
        <v>125</v>
      </c>
      <c r="P36" s="313">
        <f>'P&amp;L - Concept C1 - All'!I31</f>
        <v>125</v>
      </c>
      <c r="Q36" s="313">
        <f>'P&amp;L - Concept C1 - All'!J31</f>
        <v>125</v>
      </c>
      <c r="R36" s="313">
        <f>'P&amp;L - Concept C1 - All'!K31</f>
        <v>125</v>
      </c>
      <c r="S36" s="313">
        <f>'P&amp;L - Concept C1 - All'!L31</f>
        <v>125</v>
      </c>
      <c r="T36" s="313">
        <f>'P&amp;L - Concept C1 - All'!M31</f>
        <v>125</v>
      </c>
      <c r="U36" s="313">
        <f>'P&amp;L - Concept C1 - All'!N31</f>
        <v>125</v>
      </c>
      <c r="V36" s="313">
        <f>'P&amp;L - Concept C1 - All'!O31</f>
        <v>125</v>
      </c>
      <c r="W36" s="313">
        <f>'P&amp;L - Concept C1 - All'!P31</f>
        <v>125</v>
      </c>
      <c r="X36" s="313">
        <f>'P&amp;L - Concept C1 - All'!Q31</f>
        <v>125</v>
      </c>
      <c r="Y36" s="313">
        <f>'P&amp;L - Concept C1 - All'!R31</f>
        <v>125</v>
      </c>
      <c r="Z36" s="313">
        <f>'P&amp;L - Concept C1 - All'!S31</f>
        <v>125</v>
      </c>
      <c r="AA36" s="313">
        <f>'P&amp;L - Concept C1 - All'!T31</f>
        <v>125</v>
      </c>
      <c r="AB36" s="313">
        <f>'P&amp;L - Concept C1 - All'!U31</f>
        <v>125</v>
      </c>
      <c r="AC36" s="313">
        <f>'P&amp;L - Concept C1 - All'!V31</f>
        <v>125</v>
      </c>
      <c r="AD36" s="313">
        <f>'P&amp;L - Concept C1 - All'!W31</f>
        <v>125</v>
      </c>
      <c r="AE36" s="313">
        <f>'P&amp;L - Concept C1 - All'!X31</f>
        <v>125</v>
      </c>
    </row>
    <row r="37" spans="1:31" s="18" customFormat="1">
      <c r="A37" s="54"/>
      <c r="B37" s="21"/>
      <c r="C37" s="21"/>
      <c r="K37" s="486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</row>
    <row r="38" spans="1:31" s="96" customFormat="1">
      <c r="A38" s="54" t="s">
        <v>206</v>
      </c>
      <c r="B38" s="487"/>
      <c r="C38" s="487"/>
      <c r="K38" s="486">
        <f>'P&amp;L - Concept C1 - All'!D33</f>
        <v>0</v>
      </c>
      <c r="L38" s="313">
        <f>'P&amp;L - Concept C1 - All'!E33</f>
        <v>0</v>
      </c>
      <c r="M38" s="313">
        <f>'P&amp;L - Concept C1 - All'!F33</f>
        <v>2467.6698113207549</v>
      </c>
      <c r="N38" s="313">
        <f>'P&amp;L - Concept C1 - All'!G33</f>
        <v>2467.6698113207549</v>
      </c>
      <c r="O38" s="313">
        <f>'P&amp;L - Concept C1 - All'!H33</f>
        <v>2467.6698113207549</v>
      </c>
      <c r="P38" s="313">
        <f>'P&amp;L - Concept C1 - All'!I33</f>
        <v>2467.6698113207549</v>
      </c>
      <c r="Q38" s="313">
        <f>'P&amp;L - Concept C1 - All'!J33</f>
        <v>2467.6698113207549</v>
      </c>
      <c r="R38" s="313">
        <f>'P&amp;L - Concept C1 - All'!K33</f>
        <v>2467.6698113207549</v>
      </c>
      <c r="S38" s="313">
        <f>'P&amp;L - Concept C1 - All'!L33</f>
        <v>2467.6698113207549</v>
      </c>
      <c r="T38" s="313">
        <f>'P&amp;L - Concept C1 - All'!M33</f>
        <v>2467.6698113207549</v>
      </c>
      <c r="U38" s="313">
        <f>'P&amp;L - Concept C1 - All'!N33</f>
        <v>2467.6698113207549</v>
      </c>
      <c r="V38" s="313">
        <f>'P&amp;L - Concept C1 - All'!O33</f>
        <v>2467.6698113207549</v>
      </c>
      <c r="W38" s="313">
        <f>'P&amp;L - Concept C1 - All'!P33</f>
        <v>2467.6698113207549</v>
      </c>
      <c r="X38" s="313">
        <f>'P&amp;L - Concept C1 - All'!Q33</f>
        <v>2467.6698113207549</v>
      </c>
      <c r="Y38" s="313">
        <f>'P&amp;L - Concept C1 - All'!R33</f>
        <v>2467.6698113207549</v>
      </c>
      <c r="Z38" s="313">
        <f>'P&amp;L - Concept C1 - All'!S33</f>
        <v>2467.6698113207549</v>
      </c>
      <c r="AA38" s="313">
        <f>'P&amp;L - Concept C1 - All'!T33</f>
        <v>2467.6698113207549</v>
      </c>
      <c r="AB38" s="313">
        <f>'P&amp;L - Concept C1 - All'!U33</f>
        <v>2467.6698113207549</v>
      </c>
      <c r="AC38" s="313">
        <f>'P&amp;L - Concept C1 - All'!V33</f>
        <v>2467.6698113207549</v>
      </c>
      <c r="AD38" s="313">
        <f>'P&amp;L - Concept C1 - All'!W33</f>
        <v>2467.6698113207549</v>
      </c>
      <c r="AE38" s="313">
        <f>'P&amp;L - Concept C1 - All'!X33</f>
        <v>2467.6698113207549</v>
      </c>
    </row>
    <row r="39" spans="1:31" s="96" customFormat="1">
      <c r="A39" s="54" t="s">
        <v>207</v>
      </c>
      <c r="B39" s="487"/>
      <c r="C39" s="487"/>
      <c r="K39" s="486">
        <f>'P&amp;L - Concept C1 - All'!D34</f>
        <v>0</v>
      </c>
      <c r="L39" s="313">
        <f>'P&amp;L - Concept C1 - All'!E34</f>
        <v>0</v>
      </c>
      <c r="M39" s="313">
        <f>'P&amp;L - Concept C1 - All'!F34</f>
        <v>5500</v>
      </c>
      <c r="N39" s="313">
        <f>'P&amp;L - Concept C1 - All'!G34</f>
        <v>5500</v>
      </c>
      <c r="O39" s="313">
        <f>'P&amp;L - Concept C1 - All'!H34</f>
        <v>5500</v>
      </c>
      <c r="P39" s="313">
        <f>'P&amp;L - Concept C1 - All'!I34</f>
        <v>5500</v>
      </c>
      <c r="Q39" s="313">
        <f>'P&amp;L - Concept C1 - All'!J34</f>
        <v>5500</v>
      </c>
      <c r="R39" s="313">
        <f>'P&amp;L - Concept C1 - All'!K34</f>
        <v>5500</v>
      </c>
      <c r="S39" s="313">
        <f>'P&amp;L - Concept C1 - All'!L34</f>
        <v>5500</v>
      </c>
      <c r="T39" s="313">
        <f>'P&amp;L - Concept C1 - All'!M34</f>
        <v>5500</v>
      </c>
      <c r="U39" s="313">
        <f>'P&amp;L - Concept C1 - All'!N34</f>
        <v>5500</v>
      </c>
      <c r="V39" s="313">
        <f>'P&amp;L - Concept C1 - All'!O34</f>
        <v>5500</v>
      </c>
      <c r="W39" s="313">
        <f>'P&amp;L - Concept C1 - All'!P34</f>
        <v>5500</v>
      </c>
      <c r="X39" s="313">
        <f>'P&amp;L - Concept C1 - All'!Q34</f>
        <v>5500</v>
      </c>
      <c r="Y39" s="313">
        <f>'P&amp;L - Concept C1 - All'!R34</f>
        <v>5500</v>
      </c>
      <c r="Z39" s="313">
        <f>'P&amp;L - Concept C1 - All'!S34</f>
        <v>5500</v>
      </c>
      <c r="AA39" s="313">
        <f>'P&amp;L - Concept C1 - All'!T34</f>
        <v>5500</v>
      </c>
      <c r="AB39" s="313">
        <f>'P&amp;L - Concept C1 - All'!U34</f>
        <v>5500</v>
      </c>
      <c r="AC39" s="313">
        <f>'P&amp;L - Concept C1 - All'!V34</f>
        <v>5500</v>
      </c>
      <c r="AD39" s="313">
        <f>'P&amp;L - Concept C1 - All'!W34</f>
        <v>5500</v>
      </c>
      <c r="AE39" s="313">
        <f>'P&amp;L - Concept C1 - All'!X34</f>
        <v>5500</v>
      </c>
    </row>
    <row r="40" spans="1:31" s="96" customFormat="1">
      <c r="A40" s="54" t="s">
        <v>221</v>
      </c>
      <c r="B40" s="487"/>
      <c r="C40" s="487"/>
      <c r="K40" s="486">
        <f>'P&amp;L - Concept C1 - All'!D35</f>
        <v>0</v>
      </c>
      <c r="L40" s="313">
        <f>'P&amp;L - Concept C1 - All'!E35</f>
        <v>400</v>
      </c>
      <c r="M40" s="313">
        <f>'P&amp;L - Concept C1 - All'!F35</f>
        <v>466.66666666666669</v>
      </c>
      <c r="N40" s="313">
        <f>'P&amp;L - Concept C1 - All'!G35</f>
        <v>533.33333333333337</v>
      </c>
      <c r="O40" s="313">
        <f>'P&amp;L - Concept C1 - All'!H35</f>
        <v>533.33333333333337</v>
      </c>
      <c r="P40" s="313">
        <f>'P&amp;L - Concept C1 - All'!I35</f>
        <v>533.33333333333337</v>
      </c>
      <c r="Q40" s="313">
        <f>'P&amp;L - Concept C1 - All'!J35</f>
        <v>533.33333333333337</v>
      </c>
      <c r="R40" s="313">
        <f>'P&amp;L - Concept C1 - All'!K35</f>
        <v>533.33333333333337</v>
      </c>
      <c r="S40" s="313">
        <f>'P&amp;L - Concept C1 - All'!L35</f>
        <v>533.33333333333337</v>
      </c>
      <c r="T40" s="313">
        <f>'P&amp;L - Concept C1 - All'!M35</f>
        <v>533.33333333333337</v>
      </c>
      <c r="U40" s="313">
        <f>'P&amp;L - Concept C1 - All'!N35</f>
        <v>533.33333333333337</v>
      </c>
      <c r="V40" s="313">
        <f>'P&amp;L - Concept C1 - All'!O35</f>
        <v>533.33333333333337</v>
      </c>
      <c r="W40" s="313">
        <f>'P&amp;L - Concept C1 - All'!P35</f>
        <v>533.33333333333337</v>
      </c>
      <c r="X40" s="313">
        <f>'P&amp;L - Concept C1 - All'!Q35</f>
        <v>533.33333333333337</v>
      </c>
      <c r="Y40" s="313">
        <f>'P&amp;L - Concept C1 - All'!R35</f>
        <v>533.33333333333337</v>
      </c>
      <c r="Z40" s="313">
        <f>'P&amp;L - Concept C1 - All'!S35</f>
        <v>533.33333333333337</v>
      </c>
      <c r="AA40" s="313">
        <f>'P&amp;L - Concept C1 - All'!T35</f>
        <v>533.33333333333337</v>
      </c>
      <c r="AB40" s="313">
        <f>'P&amp;L - Concept C1 - All'!U35</f>
        <v>533.33333333333337</v>
      </c>
      <c r="AC40" s="313">
        <f>'P&amp;L - Concept C1 - All'!V35</f>
        <v>533.33333333333337</v>
      </c>
      <c r="AD40" s="313">
        <f>'P&amp;L - Concept C1 - All'!W35</f>
        <v>533.33333333333337</v>
      </c>
      <c r="AE40" s="313">
        <f>'P&amp;L - Concept C1 - All'!X35</f>
        <v>533.33333333333337</v>
      </c>
    </row>
    <row r="41" spans="1:31" s="96" customFormat="1">
      <c r="A41" s="54" t="s">
        <v>222</v>
      </c>
      <c r="B41" s="487"/>
      <c r="C41" s="487"/>
      <c r="K41" s="486">
        <f>'P&amp;L - Concept C1 - All'!D36</f>
        <v>0</v>
      </c>
      <c r="L41" s="313">
        <f>'P&amp;L - Concept C1 - All'!E36</f>
        <v>800</v>
      </c>
      <c r="M41" s="313">
        <f>'P&amp;L - Concept C1 - All'!F36</f>
        <v>800</v>
      </c>
      <c r="N41" s="313">
        <f>'P&amp;L - Concept C1 - All'!G36</f>
        <v>800</v>
      </c>
      <c r="O41" s="313">
        <f>'P&amp;L - Concept C1 - All'!H36</f>
        <v>800</v>
      </c>
      <c r="P41" s="313">
        <f>'P&amp;L - Concept C1 - All'!I36</f>
        <v>800</v>
      </c>
      <c r="Q41" s="313">
        <f>'P&amp;L - Concept C1 - All'!J36</f>
        <v>800</v>
      </c>
      <c r="R41" s="313">
        <f>'P&amp;L - Concept C1 - All'!K36</f>
        <v>800</v>
      </c>
      <c r="S41" s="313">
        <f>'P&amp;L - Concept C1 - All'!L36</f>
        <v>800</v>
      </c>
      <c r="T41" s="313">
        <f>'P&amp;L - Concept C1 - All'!M36</f>
        <v>800</v>
      </c>
      <c r="U41" s="313">
        <f>'P&amp;L - Concept C1 - All'!N36</f>
        <v>800</v>
      </c>
      <c r="V41" s="313">
        <f>'P&amp;L - Concept C1 - All'!O36</f>
        <v>800</v>
      </c>
      <c r="W41" s="313">
        <f>'P&amp;L - Concept C1 - All'!P36</f>
        <v>800</v>
      </c>
      <c r="X41" s="313">
        <f>'P&amp;L - Concept C1 - All'!Q36</f>
        <v>800</v>
      </c>
      <c r="Y41" s="313">
        <f>'P&amp;L - Concept C1 - All'!R36</f>
        <v>800</v>
      </c>
      <c r="Z41" s="313">
        <f>'P&amp;L - Concept C1 - All'!S36</f>
        <v>800</v>
      </c>
      <c r="AA41" s="313">
        <f>'P&amp;L - Concept C1 - All'!T36</f>
        <v>800</v>
      </c>
      <c r="AB41" s="313">
        <f>'P&amp;L - Concept C1 - All'!U36</f>
        <v>800</v>
      </c>
      <c r="AC41" s="313">
        <f>'P&amp;L - Concept C1 - All'!V36</f>
        <v>800</v>
      </c>
      <c r="AD41" s="313">
        <f>'P&amp;L - Concept C1 - All'!W36</f>
        <v>800</v>
      </c>
      <c r="AE41" s="313">
        <f>'P&amp;L - Concept C1 - All'!X36</f>
        <v>800</v>
      </c>
    </row>
    <row r="42" spans="1:31" s="96" customFormat="1">
      <c r="A42" s="54" t="s">
        <v>208</v>
      </c>
      <c r="B42" s="487"/>
      <c r="C42" s="487"/>
      <c r="K42" s="486">
        <f>'P&amp;L - Concept C1 - All'!D37</f>
        <v>0</v>
      </c>
      <c r="L42" s="313">
        <f>'P&amp;L - Concept C1 - All'!E37</f>
        <v>800</v>
      </c>
      <c r="M42" s="313">
        <f>'P&amp;L - Concept C1 - All'!F37</f>
        <v>6300</v>
      </c>
      <c r="N42" s="313">
        <f>'P&amp;L - Concept C1 - All'!G37</f>
        <v>6300</v>
      </c>
      <c r="O42" s="313">
        <f>'P&amp;L - Concept C1 - All'!H37</f>
        <v>6300</v>
      </c>
      <c r="P42" s="313">
        <f>'P&amp;L - Concept C1 - All'!I37</f>
        <v>6300</v>
      </c>
      <c r="Q42" s="313">
        <f>'P&amp;L - Concept C1 - All'!J37</f>
        <v>6300</v>
      </c>
      <c r="R42" s="313">
        <f>'P&amp;L - Concept C1 - All'!K37</f>
        <v>6300</v>
      </c>
      <c r="S42" s="313">
        <f>'P&amp;L - Concept C1 - All'!L37</f>
        <v>6300</v>
      </c>
      <c r="T42" s="313">
        <f>'P&amp;L - Concept C1 - All'!M37</f>
        <v>6300</v>
      </c>
      <c r="U42" s="313">
        <f>'P&amp;L - Concept C1 - All'!N37</f>
        <v>6300</v>
      </c>
      <c r="V42" s="313">
        <f>'P&amp;L - Concept C1 - All'!O37</f>
        <v>6300</v>
      </c>
      <c r="W42" s="313">
        <f>'P&amp;L - Concept C1 - All'!P37</f>
        <v>6300</v>
      </c>
      <c r="X42" s="313">
        <f>'P&amp;L - Concept C1 - All'!Q37</f>
        <v>6300</v>
      </c>
      <c r="Y42" s="313">
        <f>'P&amp;L - Concept C1 - All'!R37</f>
        <v>6300</v>
      </c>
      <c r="Z42" s="313">
        <f>'P&amp;L - Concept C1 - All'!S37</f>
        <v>6300</v>
      </c>
      <c r="AA42" s="313">
        <f>'P&amp;L - Concept C1 - All'!T37</f>
        <v>6300</v>
      </c>
      <c r="AB42" s="313">
        <f>'P&amp;L - Concept C1 - All'!U37</f>
        <v>6300</v>
      </c>
      <c r="AC42" s="313">
        <f>'P&amp;L - Concept C1 - All'!V37</f>
        <v>6300</v>
      </c>
      <c r="AD42" s="313">
        <f>'P&amp;L - Concept C1 - All'!W37</f>
        <v>6300</v>
      </c>
      <c r="AE42" s="313">
        <f>'P&amp;L - Concept C1 - All'!X37</f>
        <v>6300</v>
      </c>
    </row>
    <row r="43" spans="1:31" s="96" customFormat="1">
      <c r="A43" s="54"/>
      <c r="B43" s="487"/>
      <c r="C43" s="487"/>
      <c r="K43" s="486"/>
      <c r="L43" s="313"/>
      <c r="M43" s="313"/>
      <c r="N43" s="313"/>
      <c r="O43" s="313"/>
      <c r="P43" s="313"/>
      <c r="Q43" s="313"/>
      <c r="R43" s="313"/>
      <c r="S43" s="313"/>
      <c r="T43" s="313"/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</row>
    <row r="44" spans="1:31" s="96" customFormat="1">
      <c r="A44" s="54" t="s">
        <v>223</v>
      </c>
      <c r="B44" s="583"/>
      <c r="C44" s="583"/>
      <c r="K44" s="486">
        <f>'P&amp;L - Concept C1 - All'!D39</f>
        <v>0</v>
      </c>
      <c r="L44" s="313">
        <f>'P&amp;L - Concept C1 - All'!E39</f>
        <v>160.26666666666668</v>
      </c>
      <c r="M44" s="313">
        <f>'P&amp;L - Concept C1 - All'!F39</f>
        <v>187</v>
      </c>
      <c r="N44" s="313">
        <f>'P&amp;L - Concept C1 - All'!G39</f>
        <v>213.73333333333332</v>
      </c>
      <c r="O44" s="313">
        <f>'P&amp;L - Concept C1 - All'!H39</f>
        <v>213.73333333333332</v>
      </c>
      <c r="P44" s="313">
        <f>'P&amp;L - Concept C1 - All'!I39</f>
        <v>213.73333333333332</v>
      </c>
      <c r="Q44" s="313">
        <f>'P&amp;L - Concept C1 - All'!J39</f>
        <v>213.73333333333332</v>
      </c>
      <c r="R44" s="313">
        <f>'P&amp;L - Concept C1 - All'!K39</f>
        <v>213.73333333333332</v>
      </c>
      <c r="S44" s="313">
        <f>'P&amp;L - Concept C1 - All'!L39</f>
        <v>213.73333333333332</v>
      </c>
      <c r="T44" s="313">
        <f>'P&amp;L - Concept C1 - All'!M39</f>
        <v>213.73333333333332</v>
      </c>
      <c r="U44" s="313">
        <f>'P&amp;L - Concept C1 - All'!N39</f>
        <v>213.73333333333332</v>
      </c>
      <c r="V44" s="313">
        <f>'P&amp;L - Concept C1 - All'!O39</f>
        <v>213.73333333333332</v>
      </c>
      <c r="W44" s="313">
        <f>'P&amp;L - Concept C1 - All'!P39</f>
        <v>213.73333333333332</v>
      </c>
      <c r="X44" s="313">
        <f>'P&amp;L - Concept C1 - All'!Q39</f>
        <v>213.73333333333332</v>
      </c>
      <c r="Y44" s="313">
        <f>'P&amp;L - Concept C1 - All'!R39</f>
        <v>213.73333333333332</v>
      </c>
      <c r="Z44" s="313">
        <f>'P&amp;L - Concept C1 - All'!S39</f>
        <v>213.73333333333332</v>
      </c>
      <c r="AA44" s="313">
        <f>'P&amp;L - Concept C1 - All'!T39</f>
        <v>213.73333333333332</v>
      </c>
      <c r="AB44" s="313">
        <f>'P&amp;L - Concept C1 - All'!U39</f>
        <v>213.73333333333332</v>
      </c>
      <c r="AC44" s="313">
        <f>'P&amp;L - Concept C1 - All'!V39</f>
        <v>213.73333333333332</v>
      </c>
      <c r="AD44" s="313">
        <f>'P&amp;L - Concept C1 - All'!W39</f>
        <v>213.73333333333332</v>
      </c>
      <c r="AE44" s="313">
        <f>'P&amp;L - Concept C1 - All'!X39</f>
        <v>213.73333333333332</v>
      </c>
    </row>
    <row r="45" spans="1:31" s="18" customFormat="1">
      <c r="A45" s="54"/>
      <c r="B45" s="74"/>
      <c r="C45" s="74"/>
      <c r="K45" s="492"/>
      <c r="L45" s="313"/>
      <c r="M45" s="313"/>
      <c r="N45" s="313"/>
      <c r="O45" s="313"/>
      <c r="P45" s="313"/>
      <c r="Q45" s="313"/>
      <c r="R45" s="313"/>
      <c r="S45" s="313"/>
      <c r="T45" s="313"/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</row>
    <row r="46" spans="1:31" s="18" customFormat="1">
      <c r="A46" s="293" t="s">
        <v>26</v>
      </c>
      <c r="B46" s="74"/>
      <c r="C46" s="74"/>
      <c r="K46" s="492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</row>
    <row r="47" spans="1:31" s="18" customFormat="1">
      <c r="A47" s="54" t="s">
        <v>264</v>
      </c>
      <c r="B47" s="277"/>
      <c r="C47" s="74"/>
      <c r="K47" s="486">
        <f>'P&amp;L - Concept C1 - All'!D42</f>
        <v>0</v>
      </c>
      <c r="L47" s="313">
        <f>'P&amp;L - Concept C1 - All'!E42</f>
        <v>13290.435763888891</v>
      </c>
      <c r="M47" s="313">
        <f>'P&amp;L - Concept C1 - All'!F42</f>
        <v>13290.435763888891</v>
      </c>
      <c r="N47" s="313">
        <f>'P&amp;L - Concept C1 - All'!G42</f>
        <v>13290.435763888891</v>
      </c>
      <c r="O47" s="313">
        <f>'P&amp;L - Concept C1 - All'!H42</f>
        <v>13290.435763888891</v>
      </c>
      <c r="P47" s="313">
        <f>'P&amp;L - Concept C1 - All'!I42</f>
        <v>13290.435763888891</v>
      </c>
      <c r="Q47" s="313">
        <f>'P&amp;L - Concept C1 - All'!J42</f>
        <v>13290.435763888891</v>
      </c>
      <c r="R47" s="313">
        <f>'P&amp;L - Concept C1 - All'!K42</f>
        <v>13290.435763888891</v>
      </c>
      <c r="S47" s="313">
        <f>'P&amp;L - Concept C1 - All'!L42</f>
        <v>13290.435763888891</v>
      </c>
      <c r="T47" s="313">
        <f>'P&amp;L - Concept C1 - All'!M42</f>
        <v>13290.435763888891</v>
      </c>
      <c r="U47" s="313">
        <f>'P&amp;L - Concept C1 - All'!N42</f>
        <v>13290.435763888891</v>
      </c>
      <c r="V47" s="313">
        <f>'P&amp;L - Concept C1 - All'!O42</f>
        <v>13290.435763888891</v>
      </c>
      <c r="W47" s="313">
        <f>'P&amp;L - Concept C1 - All'!P42</f>
        <v>13290.435763888891</v>
      </c>
      <c r="X47" s="313">
        <f>'P&amp;L - Concept C1 - All'!Q42</f>
        <v>13290.435763888891</v>
      </c>
      <c r="Y47" s="313">
        <f>'P&amp;L - Concept C1 - All'!R42</f>
        <v>13290.435763888891</v>
      </c>
      <c r="Z47" s="313">
        <f>'P&amp;L - Concept C1 - All'!S42</f>
        <v>13290.435763888891</v>
      </c>
      <c r="AA47" s="313">
        <f>'P&amp;L - Concept C1 - All'!T42</f>
        <v>13290.435763888891</v>
      </c>
      <c r="AB47" s="313">
        <f>'P&amp;L - Concept C1 - All'!U42</f>
        <v>13290.435763888891</v>
      </c>
      <c r="AC47" s="313">
        <f>'P&amp;L - Concept C1 - All'!V42</f>
        <v>13290.435763888891</v>
      </c>
      <c r="AD47" s="313">
        <f>'P&amp;L - Concept C1 - All'!W42</f>
        <v>13290.435763888891</v>
      </c>
      <c r="AE47" s="313">
        <f>'P&amp;L - Concept C1 - All'!X42</f>
        <v>13290.435763888891</v>
      </c>
    </row>
    <row r="48" spans="1:31" s="18" customFormat="1">
      <c r="A48" s="54" t="s">
        <v>267</v>
      </c>
      <c r="B48" s="277"/>
      <c r="C48" s="74"/>
      <c r="K48" s="486">
        <f>'P&amp;L - Concept C1 - All'!D43</f>
        <v>0</v>
      </c>
      <c r="L48" s="313">
        <f>'P&amp;L - Concept C1 - All'!E43</f>
        <v>13967.333333333327</v>
      </c>
      <c r="M48" s="313">
        <f>'P&amp;L - Concept C1 - All'!F43</f>
        <v>13967.333333333327</v>
      </c>
      <c r="N48" s="313">
        <f>'P&amp;L - Concept C1 - All'!G43</f>
        <v>13967.333333333327</v>
      </c>
      <c r="O48" s="313">
        <f>'P&amp;L - Concept C1 - All'!H43</f>
        <v>13967.333333333327</v>
      </c>
      <c r="P48" s="313">
        <f>'P&amp;L - Concept C1 - All'!I43</f>
        <v>13967.333333333327</v>
      </c>
      <c r="Q48" s="313">
        <f>'P&amp;L - Concept C1 - All'!J43</f>
        <v>13967.333333333327</v>
      </c>
      <c r="R48" s="313">
        <f>'P&amp;L - Concept C1 - All'!K43</f>
        <v>13967.333333333327</v>
      </c>
      <c r="S48" s="313">
        <f>'P&amp;L - Concept C1 - All'!L43</f>
        <v>13967.333333333327</v>
      </c>
      <c r="T48" s="313">
        <f>'P&amp;L - Concept C1 - All'!M43</f>
        <v>13967.333333333327</v>
      </c>
      <c r="U48" s="313">
        <f>'P&amp;L - Concept C1 - All'!N43</f>
        <v>13967.333333333327</v>
      </c>
      <c r="V48" s="313">
        <f>'P&amp;L - Concept C1 - All'!O43</f>
        <v>13967.333333333327</v>
      </c>
      <c r="W48" s="313">
        <f>'P&amp;L - Concept C1 - All'!P43</f>
        <v>13967.333333333327</v>
      </c>
      <c r="X48" s="313">
        <f>'P&amp;L - Concept C1 - All'!Q43</f>
        <v>13967.333333333327</v>
      </c>
      <c r="Y48" s="313">
        <f>'P&amp;L - Concept C1 - All'!R43</f>
        <v>13967.333333333327</v>
      </c>
      <c r="Z48" s="313">
        <f>'P&amp;L - Concept C1 - All'!S43</f>
        <v>13967.333333333327</v>
      </c>
      <c r="AA48" s="313">
        <f>'P&amp;L - Concept C1 - All'!T43</f>
        <v>13967.333333333327</v>
      </c>
      <c r="AB48" s="313">
        <f>'P&amp;L - Concept C1 - All'!U43</f>
        <v>13967.333333333327</v>
      </c>
      <c r="AC48" s="313">
        <f>'P&amp;L - Concept C1 - All'!V43</f>
        <v>13967.333333333327</v>
      </c>
      <c r="AD48" s="313">
        <f>'P&amp;L - Concept C1 - All'!W43</f>
        <v>13967.333333333327</v>
      </c>
      <c r="AE48" s="313">
        <f>'P&amp;L - Concept C1 - All'!X43</f>
        <v>13967.333333333327</v>
      </c>
    </row>
    <row r="49" spans="1:32 16384:16384" s="96" customFormat="1">
      <c r="A49" s="54" t="s">
        <v>274</v>
      </c>
      <c r="B49" s="435"/>
      <c r="C49" s="583"/>
      <c r="K49" s="486">
        <f>'P&amp;L - Concept C1 - All'!D44</f>
        <v>0</v>
      </c>
      <c r="L49" s="313">
        <f>'P&amp;L - Concept C1 - All'!E44</f>
        <v>27257.769097222219</v>
      </c>
      <c r="M49" s="313">
        <f>'P&amp;L - Concept C1 - All'!F44</f>
        <v>27257.769097222219</v>
      </c>
      <c r="N49" s="313">
        <f>'P&amp;L - Concept C1 - All'!G44</f>
        <v>27257.769097222219</v>
      </c>
      <c r="O49" s="313">
        <f>'P&amp;L - Concept C1 - All'!H44</f>
        <v>27257.769097222219</v>
      </c>
      <c r="P49" s="313">
        <f>'P&amp;L - Concept C1 - All'!I44</f>
        <v>27257.769097222219</v>
      </c>
      <c r="Q49" s="313">
        <f>'P&amp;L - Concept C1 - All'!J44</f>
        <v>27257.769097222219</v>
      </c>
      <c r="R49" s="313">
        <f>'P&amp;L - Concept C1 - All'!K44</f>
        <v>27257.769097222219</v>
      </c>
      <c r="S49" s="313">
        <f>'P&amp;L - Concept C1 - All'!L44</f>
        <v>27257.769097222219</v>
      </c>
      <c r="T49" s="313">
        <f>'P&amp;L - Concept C1 - All'!M44</f>
        <v>27257.769097222219</v>
      </c>
      <c r="U49" s="313">
        <f>'P&amp;L - Concept C1 - All'!N44</f>
        <v>27257.769097222219</v>
      </c>
      <c r="V49" s="313">
        <f>'P&amp;L - Concept C1 - All'!O44</f>
        <v>27257.769097222219</v>
      </c>
      <c r="W49" s="313">
        <f>'P&amp;L - Concept C1 - All'!P44</f>
        <v>27257.769097222219</v>
      </c>
      <c r="X49" s="313">
        <f>'P&amp;L - Concept C1 - All'!Q44</f>
        <v>27257.769097222219</v>
      </c>
      <c r="Y49" s="313">
        <f>'P&amp;L - Concept C1 - All'!R44</f>
        <v>27257.769097222219</v>
      </c>
      <c r="Z49" s="313">
        <f>'P&amp;L - Concept C1 - All'!S44</f>
        <v>27257.769097222219</v>
      </c>
      <c r="AA49" s="313">
        <f>'P&amp;L - Concept C1 - All'!T44</f>
        <v>27257.769097222219</v>
      </c>
      <c r="AB49" s="313">
        <f>'P&amp;L - Concept C1 - All'!U44</f>
        <v>27257.769097222219</v>
      </c>
      <c r="AC49" s="313">
        <f>'P&amp;L - Concept C1 - All'!V44</f>
        <v>27257.769097222219</v>
      </c>
      <c r="AD49" s="313">
        <f>'P&amp;L - Concept C1 - All'!W44</f>
        <v>27257.769097222219</v>
      </c>
      <c r="AE49" s="313">
        <f>'P&amp;L - Concept C1 - All'!X44</f>
        <v>27257.769097222219</v>
      </c>
    </row>
    <row r="50" spans="1:32 16384:16384" s="18" customFormat="1">
      <c r="A50" s="54"/>
      <c r="B50" s="277"/>
      <c r="C50" s="74"/>
      <c r="K50" s="499"/>
      <c r="L50" s="313"/>
      <c r="M50" s="313"/>
      <c r="N50" s="313"/>
      <c r="O50" s="313"/>
      <c r="P50" s="313"/>
      <c r="Q50" s="313"/>
      <c r="R50" s="313"/>
      <c r="S50" s="313"/>
      <c r="T50" s="313"/>
      <c r="U50" s="313"/>
      <c r="V50" s="313"/>
      <c r="W50" s="313"/>
      <c r="X50" s="313"/>
      <c r="Y50" s="313"/>
      <c r="Z50" s="313"/>
      <c r="AA50" s="313"/>
      <c r="AB50" s="313"/>
      <c r="AC50" s="313"/>
      <c r="AD50" s="313"/>
      <c r="AE50" s="313"/>
    </row>
    <row r="51" spans="1:32 16384:16384" s="96" customFormat="1">
      <c r="A51" s="54" t="s">
        <v>224</v>
      </c>
      <c r="B51" s="435"/>
      <c r="C51" s="583"/>
      <c r="K51" s="486">
        <f>'P&amp;L - Concept C1 - All'!D46</f>
        <v>0</v>
      </c>
      <c r="L51" s="496">
        <f>'P&amp;L - Concept C1 - All'!E46</f>
        <v>3</v>
      </c>
      <c r="M51" s="496">
        <f>'P&amp;L - Concept C1 - All'!F46</f>
        <v>3</v>
      </c>
      <c r="N51" s="496">
        <f>'P&amp;L - Concept C1 - All'!G46</f>
        <v>3</v>
      </c>
      <c r="O51" s="496">
        <f>'P&amp;L - Concept C1 - All'!H46</f>
        <v>3</v>
      </c>
      <c r="P51" s="496">
        <f>'P&amp;L - Concept C1 - All'!I46</f>
        <v>3</v>
      </c>
      <c r="Q51" s="496">
        <f>'P&amp;L - Concept C1 - All'!J46</f>
        <v>3</v>
      </c>
      <c r="R51" s="496">
        <f>'P&amp;L - Concept C1 - All'!K46</f>
        <v>3</v>
      </c>
      <c r="S51" s="496">
        <f>'P&amp;L - Concept C1 - All'!L46</f>
        <v>3</v>
      </c>
      <c r="T51" s="496">
        <f>'P&amp;L - Concept C1 - All'!M46</f>
        <v>3</v>
      </c>
      <c r="U51" s="496">
        <f>'P&amp;L - Concept C1 - All'!N46</f>
        <v>3</v>
      </c>
      <c r="V51" s="496">
        <f>'P&amp;L - Concept C1 - All'!O46</f>
        <v>3</v>
      </c>
      <c r="W51" s="496">
        <f>'P&amp;L - Concept C1 - All'!P46</f>
        <v>3</v>
      </c>
      <c r="X51" s="496">
        <f>'P&amp;L - Concept C1 - All'!Q46</f>
        <v>3</v>
      </c>
      <c r="Y51" s="496">
        <f>'P&amp;L - Concept C1 - All'!R46</f>
        <v>3</v>
      </c>
      <c r="Z51" s="496">
        <f>'P&amp;L - Concept C1 - All'!S46</f>
        <v>3</v>
      </c>
      <c r="AA51" s="496">
        <f>'P&amp;L - Concept C1 - All'!T46</f>
        <v>3</v>
      </c>
      <c r="AB51" s="496">
        <f>'P&amp;L - Concept C1 - All'!U46</f>
        <v>3</v>
      </c>
      <c r="AC51" s="496">
        <f>'P&amp;L - Concept C1 - All'!V46</f>
        <v>3</v>
      </c>
      <c r="AD51" s="496">
        <f>'P&amp;L - Concept C1 - All'!W46</f>
        <v>3</v>
      </c>
      <c r="AE51" s="496">
        <f>'P&amp;L - Concept C1 - All'!X46</f>
        <v>3</v>
      </c>
    </row>
    <row r="52" spans="1:32 16384:16384" s="96" customFormat="1">
      <c r="A52" s="54" t="s">
        <v>225</v>
      </c>
      <c r="B52" s="435"/>
      <c r="C52" s="583"/>
      <c r="K52" s="486">
        <f>'P&amp;L - Concept C1 - All'!D47</f>
        <v>0</v>
      </c>
      <c r="L52" s="496">
        <f>'P&amp;L - Concept C1 - All'!E47</f>
        <v>1</v>
      </c>
      <c r="M52" s="496">
        <f>'P&amp;L - Concept C1 - All'!F47</f>
        <v>1</v>
      </c>
      <c r="N52" s="496">
        <f>'P&amp;L - Concept C1 - All'!G47</f>
        <v>1</v>
      </c>
      <c r="O52" s="496">
        <f>'P&amp;L - Concept C1 - All'!H47</f>
        <v>1</v>
      </c>
      <c r="P52" s="496">
        <f>'P&amp;L - Concept C1 - All'!I47</f>
        <v>1</v>
      </c>
      <c r="Q52" s="496">
        <f>'P&amp;L - Concept C1 - All'!J47</f>
        <v>1</v>
      </c>
      <c r="R52" s="496">
        <f>'P&amp;L - Concept C1 - All'!K47</f>
        <v>1</v>
      </c>
      <c r="S52" s="496">
        <f>'P&amp;L - Concept C1 - All'!L47</f>
        <v>1</v>
      </c>
      <c r="T52" s="496">
        <f>'P&amp;L - Concept C1 - All'!M47</f>
        <v>1</v>
      </c>
      <c r="U52" s="496">
        <f>'P&amp;L - Concept C1 - All'!N47</f>
        <v>1</v>
      </c>
      <c r="V52" s="496">
        <f>'P&amp;L - Concept C1 - All'!O47</f>
        <v>1</v>
      </c>
      <c r="W52" s="496">
        <f>'P&amp;L - Concept C1 - All'!P47</f>
        <v>1</v>
      </c>
      <c r="X52" s="496">
        <f>'P&amp;L - Concept C1 - All'!Q47</f>
        <v>1</v>
      </c>
      <c r="Y52" s="496">
        <f>'P&amp;L - Concept C1 - All'!R47</f>
        <v>1</v>
      </c>
      <c r="Z52" s="496">
        <f>'P&amp;L - Concept C1 - All'!S47</f>
        <v>1</v>
      </c>
      <c r="AA52" s="496">
        <f>'P&amp;L - Concept C1 - All'!T47</f>
        <v>1</v>
      </c>
      <c r="AB52" s="496">
        <f>'P&amp;L - Concept C1 - All'!U47</f>
        <v>1</v>
      </c>
      <c r="AC52" s="496">
        <f>'P&amp;L - Concept C1 - All'!V47</f>
        <v>1</v>
      </c>
      <c r="AD52" s="496">
        <f>'P&amp;L - Concept C1 - All'!W47</f>
        <v>1</v>
      </c>
      <c r="AE52" s="496">
        <f>'P&amp;L - Concept C1 - All'!X47</f>
        <v>1</v>
      </c>
    </row>
    <row r="53" spans="1:32 16384:16384" s="18" customFormat="1">
      <c r="A53" s="54" t="s">
        <v>209</v>
      </c>
      <c r="B53" s="277"/>
      <c r="C53" s="74"/>
      <c r="K53" s="486">
        <f>'P&amp;L - Concept C1 - All'!D48</f>
        <v>0</v>
      </c>
      <c r="L53" s="496">
        <f>'P&amp;L - Concept C1 - All'!E48</f>
        <v>0.5</v>
      </c>
      <c r="M53" s="496">
        <f>'P&amp;L - Concept C1 - All'!F48</f>
        <v>0.5</v>
      </c>
      <c r="N53" s="496">
        <f>'P&amp;L - Concept C1 - All'!G48</f>
        <v>0.5</v>
      </c>
      <c r="O53" s="496">
        <f>'P&amp;L - Concept C1 - All'!H48</f>
        <v>0.5</v>
      </c>
      <c r="P53" s="496">
        <f>'P&amp;L - Concept C1 - All'!I48</f>
        <v>0.5</v>
      </c>
      <c r="Q53" s="496">
        <f>'P&amp;L - Concept C1 - All'!J48</f>
        <v>0.5</v>
      </c>
      <c r="R53" s="496">
        <f>'P&amp;L - Concept C1 - All'!K48</f>
        <v>0.5</v>
      </c>
      <c r="S53" s="496">
        <f>'P&amp;L - Concept C1 - All'!L48</f>
        <v>0.5</v>
      </c>
      <c r="T53" s="496">
        <f>'P&amp;L - Concept C1 - All'!M48</f>
        <v>0.5</v>
      </c>
      <c r="U53" s="496">
        <f>'P&amp;L - Concept C1 - All'!N48</f>
        <v>0.5</v>
      </c>
      <c r="V53" s="496">
        <f>'P&amp;L - Concept C1 - All'!O48</f>
        <v>0.5</v>
      </c>
      <c r="W53" s="496">
        <f>'P&amp;L - Concept C1 - All'!P48</f>
        <v>0.5</v>
      </c>
      <c r="X53" s="496">
        <f>'P&amp;L - Concept C1 - All'!Q48</f>
        <v>0.5</v>
      </c>
      <c r="Y53" s="496">
        <f>'P&amp;L - Concept C1 - All'!R48</f>
        <v>0.5</v>
      </c>
      <c r="Z53" s="496">
        <f>'P&amp;L - Concept C1 - All'!S48</f>
        <v>0.5</v>
      </c>
      <c r="AA53" s="496">
        <f>'P&amp;L - Concept C1 - All'!T48</f>
        <v>0.5</v>
      </c>
      <c r="AB53" s="496">
        <f>'P&amp;L - Concept C1 - All'!U48</f>
        <v>0.5</v>
      </c>
      <c r="AC53" s="496">
        <f>'P&amp;L - Concept C1 - All'!V48</f>
        <v>0.5</v>
      </c>
      <c r="AD53" s="496">
        <f>'P&amp;L - Concept C1 - All'!W48</f>
        <v>0.5</v>
      </c>
      <c r="AE53" s="496">
        <f>'P&amp;L - Concept C1 - All'!X48</f>
        <v>0.5</v>
      </c>
    </row>
    <row r="54" spans="1:32 16384:16384" s="18" customFormat="1">
      <c r="A54" s="54" t="s">
        <v>289</v>
      </c>
      <c r="B54" s="277"/>
      <c r="C54" s="74"/>
      <c r="K54" s="486">
        <f>'P&amp;L - Concept C1 - All'!D49</f>
        <v>0</v>
      </c>
      <c r="L54" s="496">
        <f>'P&amp;L - Concept C1 - All'!E49</f>
        <v>1.5</v>
      </c>
      <c r="M54" s="496">
        <f>'P&amp;L - Concept C1 - All'!F49</f>
        <v>1.5</v>
      </c>
      <c r="N54" s="496">
        <f>'P&amp;L - Concept C1 - All'!G49</f>
        <v>1.5</v>
      </c>
      <c r="O54" s="496">
        <f>'P&amp;L - Concept C1 - All'!H49</f>
        <v>1.5</v>
      </c>
      <c r="P54" s="496">
        <f>'P&amp;L - Concept C1 - All'!I49</f>
        <v>1.5</v>
      </c>
      <c r="Q54" s="496">
        <f>'P&amp;L - Concept C1 - All'!J49</f>
        <v>1.5</v>
      </c>
      <c r="R54" s="496">
        <f>'P&amp;L - Concept C1 - All'!K49</f>
        <v>1.5</v>
      </c>
      <c r="S54" s="496">
        <f>'P&amp;L - Concept C1 - All'!L49</f>
        <v>1.5</v>
      </c>
      <c r="T54" s="496">
        <f>'P&amp;L - Concept C1 - All'!M49</f>
        <v>1.5</v>
      </c>
      <c r="U54" s="496">
        <f>'P&amp;L - Concept C1 - All'!N49</f>
        <v>1.5</v>
      </c>
      <c r="V54" s="496">
        <f>'P&amp;L - Concept C1 - All'!O49</f>
        <v>1.5</v>
      </c>
      <c r="W54" s="496">
        <f>'P&amp;L - Concept C1 - All'!P49</f>
        <v>1.5</v>
      </c>
      <c r="X54" s="496">
        <f>'P&amp;L - Concept C1 - All'!Q49</f>
        <v>1.5</v>
      </c>
      <c r="Y54" s="496">
        <f>'P&amp;L - Concept C1 - All'!R49</f>
        <v>1.5</v>
      </c>
      <c r="Z54" s="496">
        <f>'P&amp;L - Concept C1 - All'!S49</f>
        <v>1.5</v>
      </c>
      <c r="AA54" s="496">
        <f>'P&amp;L - Concept C1 - All'!T49</f>
        <v>1.5</v>
      </c>
      <c r="AB54" s="496">
        <f>'P&amp;L - Concept C1 - All'!U49</f>
        <v>1.5</v>
      </c>
      <c r="AC54" s="496">
        <f>'P&amp;L - Concept C1 - All'!V49</f>
        <v>1.5</v>
      </c>
      <c r="AD54" s="496">
        <f>'P&amp;L - Concept C1 - All'!W49</f>
        <v>1.5</v>
      </c>
      <c r="AE54" s="496">
        <f>'P&amp;L - Concept C1 - All'!X49</f>
        <v>1.5</v>
      </c>
      <c r="XFD54" s="570">
        <f>SUM(K54:XFC54)</f>
        <v>30</v>
      </c>
    </row>
    <row r="55" spans="1:32 16384:16384" s="18" customFormat="1">
      <c r="A55" s="54"/>
      <c r="B55" s="277"/>
      <c r="C55" s="74"/>
      <c r="K55" s="486"/>
      <c r="L55" s="313"/>
      <c r="M55" s="313"/>
      <c r="N55" s="313"/>
      <c r="O55" s="313"/>
      <c r="P55" s="313"/>
      <c r="Q55" s="313"/>
      <c r="R55" s="313"/>
      <c r="S55" s="313"/>
      <c r="T55" s="313"/>
      <c r="U55" s="313"/>
      <c r="V55" s="313"/>
      <c r="W55" s="313"/>
      <c r="X55" s="313"/>
      <c r="Y55" s="313"/>
      <c r="Z55" s="313"/>
      <c r="AA55" s="313"/>
      <c r="AB55" s="313"/>
      <c r="AC55" s="313"/>
      <c r="AD55" s="313"/>
      <c r="AE55" s="313"/>
      <c r="XFD55" s="570"/>
    </row>
    <row r="56" spans="1:32 16384:16384" s="18" customFormat="1">
      <c r="A56" s="54" t="s">
        <v>312</v>
      </c>
      <c r="B56" s="277"/>
      <c r="C56" s="74"/>
      <c r="K56" s="486">
        <f>'P&amp;L - Concept C1 - All'!D51</f>
        <v>0</v>
      </c>
      <c r="L56" s="313">
        <f>'P&amp;L - Concept C1 - All'!E51</f>
        <v>7190</v>
      </c>
      <c r="M56" s="313">
        <f>'P&amp;L - Concept C1 - All'!F51</f>
        <v>7190</v>
      </c>
      <c r="N56" s="313">
        <f>'P&amp;L - Concept C1 - All'!G51</f>
        <v>7190</v>
      </c>
      <c r="O56" s="313">
        <f>'P&amp;L - Concept C1 - All'!H51</f>
        <v>7190</v>
      </c>
      <c r="P56" s="313">
        <f>'P&amp;L - Concept C1 - All'!I51</f>
        <v>7190</v>
      </c>
      <c r="Q56" s="313">
        <f>'P&amp;L - Concept C1 - All'!J51</f>
        <v>7190</v>
      </c>
      <c r="R56" s="313">
        <f>'P&amp;L - Concept C1 - All'!K51</f>
        <v>7190</v>
      </c>
      <c r="S56" s="313">
        <f>'P&amp;L - Concept C1 - All'!L51</f>
        <v>7190</v>
      </c>
      <c r="T56" s="313">
        <f>'P&amp;L - Concept C1 - All'!M51</f>
        <v>7190</v>
      </c>
      <c r="U56" s="313">
        <f>'P&amp;L - Concept C1 - All'!N51</f>
        <v>7190</v>
      </c>
      <c r="V56" s="313">
        <f>'P&amp;L - Concept C1 - All'!O51</f>
        <v>7190</v>
      </c>
      <c r="W56" s="313">
        <f>'P&amp;L - Concept C1 - All'!P51</f>
        <v>7190</v>
      </c>
      <c r="X56" s="313">
        <f>'P&amp;L - Concept C1 - All'!Q51</f>
        <v>7190</v>
      </c>
      <c r="Y56" s="313">
        <f>'P&amp;L - Concept C1 - All'!R51</f>
        <v>7190</v>
      </c>
      <c r="Z56" s="313">
        <f>'P&amp;L - Concept C1 - All'!S51</f>
        <v>7190</v>
      </c>
      <c r="AA56" s="313">
        <f>'P&amp;L - Concept C1 - All'!T51</f>
        <v>7190</v>
      </c>
      <c r="AB56" s="313">
        <f>'P&amp;L - Concept C1 - All'!U51</f>
        <v>7190</v>
      </c>
      <c r="AC56" s="313">
        <f>'P&amp;L - Concept C1 - All'!V51</f>
        <v>7190</v>
      </c>
      <c r="AD56" s="313">
        <f>'P&amp;L - Concept C1 - All'!W51</f>
        <v>7190</v>
      </c>
      <c r="AE56" s="313">
        <f>'P&amp;L - Concept C1 - All'!X51</f>
        <v>7190</v>
      </c>
      <c r="XFD56" s="570"/>
    </row>
    <row r="57" spans="1:32 16384:16384" s="18" customFormat="1">
      <c r="A57" s="54"/>
      <c r="B57" s="277"/>
      <c r="C57" s="74"/>
      <c r="K57" s="486"/>
      <c r="L57" s="313"/>
      <c r="M57" s="313"/>
      <c r="N57" s="313"/>
      <c r="O57" s="313"/>
      <c r="P57" s="313"/>
      <c r="Q57" s="313"/>
      <c r="R57" s="313"/>
      <c r="S57" s="313"/>
      <c r="T57" s="313"/>
      <c r="U57" s="313"/>
      <c r="V57" s="313"/>
      <c r="W57" s="313"/>
      <c r="X57" s="313"/>
      <c r="Y57" s="313"/>
      <c r="Z57" s="313"/>
      <c r="AA57" s="313"/>
      <c r="AB57" s="313"/>
      <c r="AC57" s="313"/>
      <c r="AD57" s="313"/>
      <c r="AE57" s="313"/>
    </row>
    <row r="58" spans="1:32 16384:16384" s="612" customFormat="1">
      <c r="A58" s="613" t="s">
        <v>292</v>
      </c>
      <c r="B58" s="614"/>
      <c r="C58" s="615"/>
      <c r="D58" s="717"/>
      <c r="E58" s="717"/>
      <c r="F58" s="717"/>
      <c r="G58" s="717"/>
      <c r="H58" s="717"/>
      <c r="I58" s="717"/>
      <c r="J58" s="717"/>
      <c r="K58" s="616">
        <f>'P&amp;L - Concept C1 - All'!D53</f>
        <v>0</v>
      </c>
      <c r="L58" s="616">
        <f>'P&amp;L - Concept C1 - All'!E53</f>
        <v>0</v>
      </c>
      <c r="M58" s="616">
        <f>'P&amp;L - Concept C1 - All'!F53</f>
        <v>0</v>
      </c>
      <c r="N58" s="616">
        <f>'P&amp;L - Concept C1 - All'!G53</f>
        <v>100000</v>
      </c>
      <c r="O58" s="616">
        <f>'P&amp;L - Concept C1 - All'!H53</f>
        <v>100000</v>
      </c>
      <c r="P58" s="616">
        <f>'P&amp;L - Concept C1 - All'!I53</f>
        <v>100000</v>
      </c>
      <c r="Q58" s="616">
        <f>'P&amp;L - Concept C1 - All'!J53</f>
        <v>100000</v>
      </c>
      <c r="R58" s="616">
        <f>'P&amp;L - Concept C1 - All'!K53</f>
        <v>100000</v>
      </c>
      <c r="S58" s="616">
        <f>'P&amp;L - Concept C1 - All'!L53</f>
        <v>100000</v>
      </c>
      <c r="T58" s="616">
        <f>'P&amp;L - Concept C1 - All'!M53</f>
        <v>100000</v>
      </c>
      <c r="U58" s="616">
        <f>'P&amp;L - Concept C1 - All'!N53</f>
        <v>100000</v>
      </c>
      <c r="V58" s="616">
        <f>'P&amp;L - Concept C1 - All'!O53</f>
        <v>100000</v>
      </c>
      <c r="W58" s="616">
        <f>'P&amp;L - Concept C1 - All'!P53</f>
        <v>100000</v>
      </c>
      <c r="X58" s="616">
        <f>'P&amp;L - Concept C1 - All'!Q53</f>
        <v>100000</v>
      </c>
      <c r="Y58" s="616">
        <f>'P&amp;L - Concept C1 - All'!R53</f>
        <v>100000</v>
      </c>
      <c r="Z58" s="616">
        <f>'P&amp;L - Concept C1 - All'!S53</f>
        <v>100000</v>
      </c>
      <c r="AA58" s="616">
        <f>'P&amp;L - Concept C1 - All'!T53</f>
        <v>100000</v>
      </c>
      <c r="AB58" s="616">
        <f>'P&amp;L - Concept C1 - All'!U53</f>
        <v>100000</v>
      </c>
      <c r="AC58" s="616">
        <f>'P&amp;L - Concept C1 - All'!V53</f>
        <v>100000</v>
      </c>
      <c r="AD58" s="616">
        <f>'P&amp;L - Concept C1 - All'!W53</f>
        <v>100000</v>
      </c>
      <c r="AE58" s="787">
        <f>'P&amp;L - Concept C1 - All'!X53</f>
        <v>100000</v>
      </c>
    </row>
    <row r="59" spans="1:32 16384:16384" s="18" customFormat="1">
      <c r="A59" s="54"/>
      <c r="B59" s="277"/>
      <c r="C59" s="74"/>
      <c r="K59" s="486"/>
      <c r="L59" s="313"/>
      <c r="M59" s="313"/>
      <c r="N59" s="313"/>
      <c r="O59" s="313"/>
      <c r="P59" s="313"/>
      <c r="Q59" s="313"/>
      <c r="R59" s="313"/>
      <c r="S59" s="313"/>
      <c r="T59" s="313"/>
      <c r="U59" s="313"/>
      <c r="V59" s="313"/>
      <c r="W59" s="313"/>
      <c r="X59" s="313"/>
      <c r="Y59" s="313"/>
      <c r="Z59" s="313"/>
      <c r="AA59" s="313"/>
      <c r="AB59" s="313"/>
      <c r="AC59" s="313"/>
      <c r="AD59" s="313"/>
      <c r="AE59" s="313"/>
    </row>
    <row r="60" spans="1:32 16384:16384" s="582" customFormat="1">
      <c r="A60" s="293" t="str">
        <f>'BH Tariffs'!A33</f>
        <v>Recreational/Commercial Marina</v>
      </c>
      <c r="B60" s="584"/>
      <c r="C60" s="585"/>
      <c r="K60" s="486"/>
      <c r="L60" s="313"/>
      <c r="M60" s="313"/>
      <c r="N60" s="313"/>
      <c r="O60" s="313"/>
      <c r="P60" s="313"/>
      <c r="Q60" s="313"/>
      <c r="R60" s="313"/>
      <c r="S60" s="313"/>
      <c r="T60" s="313"/>
      <c r="U60" s="313"/>
      <c r="V60" s="313"/>
      <c r="W60" s="313"/>
      <c r="X60" s="313"/>
      <c r="Y60" s="313"/>
      <c r="Z60" s="313"/>
      <c r="AA60" s="313"/>
      <c r="AB60" s="313"/>
      <c r="AC60" s="313"/>
      <c r="AD60" s="313"/>
      <c r="AE60" s="313"/>
    </row>
    <row r="61" spans="1:32 16384:16384" s="96" customFormat="1">
      <c r="A61" s="54" t="s">
        <v>291</v>
      </c>
      <c r="B61" s="435"/>
      <c r="C61" s="583"/>
      <c r="K61" s="486">
        <f>'P&amp;L - Concept C1 - All'!D56</f>
        <v>0</v>
      </c>
      <c r="L61" s="313">
        <f>'P&amp;L - Concept C1 - All'!E56</f>
        <v>0</v>
      </c>
      <c r="M61" s="313">
        <f>'P&amp;L - Concept C1 - All'!F56</f>
        <v>12</v>
      </c>
      <c r="N61" s="313">
        <f>'P&amp;L - Concept C1 - All'!G56</f>
        <v>12</v>
      </c>
      <c r="O61" s="313">
        <f>'P&amp;L - Concept C1 - All'!H56</f>
        <v>12</v>
      </c>
      <c r="P61" s="313">
        <f>'P&amp;L - Concept C1 - All'!I56</f>
        <v>12</v>
      </c>
      <c r="Q61" s="313">
        <f>'P&amp;L - Concept C1 - All'!J56</f>
        <v>12</v>
      </c>
      <c r="R61" s="313">
        <f>'P&amp;L - Concept C1 - All'!K56</f>
        <v>12</v>
      </c>
      <c r="S61" s="313">
        <f>'P&amp;L - Concept C1 - All'!L56</f>
        <v>12</v>
      </c>
      <c r="T61" s="313">
        <f>'P&amp;L - Concept C1 - All'!M56</f>
        <v>12</v>
      </c>
      <c r="U61" s="313">
        <f>'P&amp;L - Concept C1 - All'!N56</f>
        <v>12</v>
      </c>
      <c r="V61" s="313">
        <f>'P&amp;L - Concept C1 - All'!O56</f>
        <v>12</v>
      </c>
      <c r="W61" s="313">
        <f>'P&amp;L - Concept C1 - All'!P56</f>
        <v>12</v>
      </c>
      <c r="X61" s="313">
        <f>'P&amp;L - Concept C1 - All'!Q56</f>
        <v>12</v>
      </c>
      <c r="Y61" s="313">
        <f>'P&amp;L - Concept C1 - All'!R56</f>
        <v>12</v>
      </c>
      <c r="Z61" s="313">
        <f>'P&amp;L - Concept C1 - All'!S56</f>
        <v>12</v>
      </c>
      <c r="AA61" s="313">
        <f>'P&amp;L - Concept C1 - All'!T56</f>
        <v>12</v>
      </c>
      <c r="AB61" s="313">
        <f>'P&amp;L - Concept C1 - All'!U56</f>
        <v>12</v>
      </c>
      <c r="AC61" s="313">
        <f>'P&amp;L - Concept C1 - All'!V56</f>
        <v>12</v>
      </c>
      <c r="AD61" s="313">
        <f>'P&amp;L - Concept C1 - All'!W56</f>
        <v>12</v>
      </c>
      <c r="AE61" s="313">
        <f>'P&amp;L - Concept C1 - All'!X56</f>
        <v>12</v>
      </c>
    </row>
    <row r="62" spans="1:32 16384:16384" s="96" customFormat="1">
      <c r="A62" s="54" t="s">
        <v>293</v>
      </c>
      <c r="B62" s="435"/>
      <c r="C62" s="583"/>
      <c r="K62" s="486">
        <f>'P&amp;L - Concept C1 - All'!D57</f>
        <v>0</v>
      </c>
      <c r="L62" s="313">
        <f>'P&amp;L - Concept C1 - All'!E57</f>
        <v>0</v>
      </c>
      <c r="M62" s="313">
        <f>'P&amp;L - Concept C1 - All'!F57</f>
        <v>9557.1731249999993</v>
      </c>
      <c r="N62" s="313">
        <f>'P&amp;L - Concept C1 - All'!G57</f>
        <v>9557.1731249999993</v>
      </c>
      <c r="O62" s="313">
        <f>'P&amp;L - Concept C1 - All'!H57</f>
        <v>9557.1731249999993</v>
      </c>
      <c r="P62" s="313">
        <f>'P&amp;L - Concept C1 - All'!I57</f>
        <v>9557.1731249999993</v>
      </c>
      <c r="Q62" s="313">
        <f>'P&amp;L - Concept C1 - All'!J57</f>
        <v>9557.1731249999993</v>
      </c>
      <c r="R62" s="313">
        <f>'P&amp;L - Concept C1 - All'!K57</f>
        <v>9557.1731249999993</v>
      </c>
      <c r="S62" s="313">
        <f>'P&amp;L - Concept C1 - All'!L57</f>
        <v>9557.1731249999993</v>
      </c>
      <c r="T62" s="313">
        <f>'P&amp;L - Concept C1 - All'!M57</f>
        <v>9557.1731249999993</v>
      </c>
      <c r="U62" s="313">
        <f>'P&amp;L - Concept C1 - All'!N57</f>
        <v>9557.1731249999993</v>
      </c>
      <c r="V62" s="313">
        <f>'P&amp;L - Concept C1 - All'!O57</f>
        <v>9557.1731249999993</v>
      </c>
      <c r="W62" s="313">
        <f>'P&amp;L - Concept C1 - All'!P57</f>
        <v>9557.1731249999993</v>
      </c>
      <c r="X62" s="313">
        <f>'P&amp;L - Concept C1 - All'!Q57</f>
        <v>9557.1731249999993</v>
      </c>
      <c r="Y62" s="313">
        <f>'P&amp;L - Concept C1 - All'!R57</f>
        <v>9557.1731249999993</v>
      </c>
      <c r="Z62" s="313">
        <f>'P&amp;L - Concept C1 - All'!S57</f>
        <v>9557.1731249999993</v>
      </c>
      <c r="AA62" s="313">
        <f>'P&amp;L - Concept C1 - All'!T57</f>
        <v>9557.1731249999993</v>
      </c>
      <c r="AB62" s="313">
        <f>'P&amp;L - Concept C1 - All'!U57</f>
        <v>9557.1731249999993</v>
      </c>
      <c r="AC62" s="313">
        <f>'P&amp;L - Concept C1 - All'!V57</f>
        <v>9557.1731249999993</v>
      </c>
      <c r="AD62" s="313">
        <f>'P&amp;L - Concept C1 - All'!W57</f>
        <v>9557.1731249999993</v>
      </c>
      <c r="AE62" s="313">
        <f>'P&amp;L - Concept C1 - All'!X57</f>
        <v>9557.1731249999993</v>
      </c>
    </row>
    <row r="63" spans="1:32 16384:16384" s="96" customFormat="1">
      <c r="A63" s="54" t="s">
        <v>294</v>
      </c>
      <c r="B63" s="435"/>
      <c r="C63" s="583"/>
      <c r="K63" s="486">
        <f>'P&amp;L - Concept C1 - All'!D58</f>
        <v>0</v>
      </c>
      <c r="L63" s="313">
        <f>'P&amp;L - Concept C1 - All'!E58</f>
        <v>0</v>
      </c>
      <c r="M63" s="313">
        <f>'P&amp;L - Concept C1 - All'!F58</f>
        <v>359.1</v>
      </c>
      <c r="N63" s="313">
        <f>'P&amp;L - Concept C1 - All'!G58</f>
        <v>359.1</v>
      </c>
      <c r="O63" s="313">
        <f>'P&amp;L - Concept C1 - All'!H58</f>
        <v>359.1</v>
      </c>
      <c r="P63" s="313">
        <f>'P&amp;L - Concept C1 - All'!I58</f>
        <v>359.1</v>
      </c>
      <c r="Q63" s="313">
        <f>'P&amp;L - Concept C1 - All'!J58</f>
        <v>359.1</v>
      </c>
      <c r="R63" s="313">
        <f>'P&amp;L - Concept C1 - All'!K58</f>
        <v>359.1</v>
      </c>
      <c r="S63" s="313">
        <f>'P&amp;L - Concept C1 - All'!L58</f>
        <v>359.1</v>
      </c>
      <c r="T63" s="313">
        <f>'P&amp;L - Concept C1 - All'!M58</f>
        <v>359.1</v>
      </c>
      <c r="U63" s="313">
        <f>'P&amp;L - Concept C1 - All'!N58</f>
        <v>359.1</v>
      </c>
      <c r="V63" s="313">
        <f>'P&amp;L - Concept C1 - All'!O58</f>
        <v>359.1</v>
      </c>
      <c r="W63" s="313">
        <f>'P&amp;L - Concept C1 - All'!P58</f>
        <v>359.1</v>
      </c>
      <c r="X63" s="313">
        <f>'P&amp;L - Concept C1 - All'!Q58</f>
        <v>359.1</v>
      </c>
      <c r="Y63" s="313">
        <f>'P&amp;L - Concept C1 - All'!R58</f>
        <v>359.1</v>
      </c>
      <c r="Z63" s="313">
        <f>'P&amp;L - Concept C1 - All'!S58</f>
        <v>359.1</v>
      </c>
      <c r="AA63" s="313">
        <f>'P&amp;L - Concept C1 - All'!T58</f>
        <v>359.1</v>
      </c>
      <c r="AB63" s="313">
        <f>'P&amp;L - Concept C1 - All'!U58</f>
        <v>359.1</v>
      </c>
      <c r="AC63" s="313">
        <f>'P&amp;L - Concept C1 - All'!V58</f>
        <v>359.1</v>
      </c>
      <c r="AD63" s="313">
        <f>'P&amp;L - Concept C1 - All'!W58</f>
        <v>359.1</v>
      </c>
      <c r="AE63" s="313">
        <f>'P&amp;L - Concept C1 - All'!X58</f>
        <v>359.1</v>
      </c>
    </row>
    <row r="64" spans="1:32 16384:16384" s="167" customFormat="1">
      <c r="A64" s="497" t="s">
        <v>170</v>
      </c>
      <c r="B64" s="450"/>
      <c r="C64" s="498"/>
      <c r="K64" s="499">
        <f>'P&amp;L - Concept C1 - All'!D59</f>
        <v>0</v>
      </c>
      <c r="L64" s="500">
        <f>'P&amp;L - Concept C1 - All'!E59</f>
        <v>0</v>
      </c>
      <c r="M64" s="500">
        <f>'P&amp;L - Concept C1 - All'!F59</f>
        <v>0</v>
      </c>
      <c r="N64" s="500">
        <f>'P&amp;L - Concept C1 - All'!G59</f>
        <v>0</v>
      </c>
      <c r="O64" s="500">
        <f>'P&amp;L - Concept C1 - All'!H59</f>
        <v>0</v>
      </c>
      <c r="P64" s="500">
        <f>'P&amp;L - Concept C1 - All'!I59</f>
        <v>0</v>
      </c>
      <c r="Q64" s="500">
        <f>'P&amp;L - Concept C1 - All'!J59</f>
        <v>0</v>
      </c>
      <c r="R64" s="500">
        <f>'P&amp;L - Concept C1 - All'!K59</f>
        <v>0</v>
      </c>
      <c r="S64" s="500">
        <f>'P&amp;L - Concept C1 - All'!L59</f>
        <v>0</v>
      </c>
      <c r="T64" s="500">
        <f>'P&amp;L - Concept C1 - All'!M59</f>
        <v>0</v>
      </c>
      <c r="U64" s="500">
        <f>'P&amp;L - Concept C1 - All'!N59</f>
        <v>0</v>
      </c>
      <c r="V64" s="500">
        <f>'P&amp;L - Concept C1 - All'!O59</f>
        <v>0</v>
      </c>
      <c r="W64" s="500">
        <f>'P&amp;L - Concept C1 - All'!P59</f>
        <v>0</v>
      </c>
      <c r="X64" s="500">
        <f>'P&amp;L - Concept C1 - All'!Q59</f>
        <v>0</v>
      </c>
      <c r="Y64" s="500">
        <f>'P&amp;L - Concept C1 - All'!R59</f>
        <v>0</v>
      </c>
      <c r="Z64" s="500">
        <f>'P&amp;L - Concept C1 - All'!S59</f>
        <v>0</v>
      </c>
      <c r="AA64" s="500">
        <f>'P&amp;L - Concept C1 - All'!T59</f>
        <v>0</v>
      </c>
      <c r="AB64" s="500">
        <f>'P&amp;L - Concept C1 - All'!U59</f>
        <v>0</v>
      </c>
      <c r="AC64" s="500">
        <f>'P&amp;L - Concept C1 - All'!V59</f>
        <v>0</v>
      </c>
      <c r="AD64" s="500">
        <f>'P&amp;L - Concept C1 - All'!W59</f>
        <v>0</v>
      </c>
      <c r="AE64" s="500">
        <f>'P&amp;L - Concept C1 - All'!X59</f>
        <v>0</v>
      </c>
      <c r="AF64" s="167" t="str">
        <f>'P&amp;L - Concept C1 - All'!Y59</f>
        <v>cost recovery assumed</v>
      </c>
    </row>
    <row r="65" spans="1:32" s="167" customFormat="1">
      <c r="A65" s="497" t="s">
        <v>16</v>
      </c>
      <c r="B65" s="450"/>
      <c r="C65" s="498"/>
      <c r="K65" s="499">
        <f>'P&amp;L - Concept C1 - All'!D60</f>
        <v>0</v>
      </c>
      <c r="L65" s="500">
        <f>'P&amp;L - Concept C1 - All'!E60</f>
        <v>0</v>
      </c>
      <c r="M65" s="500">
        <f>'P&amp;L - Concept C1 - All'!F60</f>
        <v>0</v>
      </c>
      <c r="N65" s="500">
        <f>'P&amp;L - Concept C1 - All'!G60</f>
        <v>0</v>
      </c>
      <c r="O65" s="500">
        <f>'P&amp;L - Concept C1 - All'!H60</f>
        <v>0</v>
      </c>
      <c r="P65" s="500">
        <f>'P&amp;L - Concept C1 - All'!I60</f>
        <v>0</v>
      </c>
      <c r="Q65" s="500">
        <f>'P&amp;L - Concept C1 - All'!J60</f>
        <v>0</v>
      </c>
      <c r="R65" s="500">
        <f>'P&amp;L - Concept C1 - All'!K60</f>
        <v>0</v>
      </c>
      <c r="S65" s="500">
        <f>'P&amp;L - Concept C1 - All'!L60</f>
        <v>0</v>
      </c>
      <c r="T65" s="500">
        <f>'P&amp;L - Concept C1 - All'!M60</f>
        <v>0</v>
      </c>
      <c r="U65" s="500">
        <f>'P&amp;L - Concept C1 - All'!N60</f>
        <v>0</v>
      </c>
      <c r="V65" s="500">
        <f>'P&amp;L - Concept C1 - All'!O60</f>
        <v>0</v>
      </c>
      <c r="W65" s="500">
        <f>'P&amp;L - Concept C1 - All'!P60</f>
        <v>0</v>
      </c>
      <c r="X65" s="500">
        <f>'P&amp;L - Concept C1 - All'!Q60</f>
        <v>0</v>
      </c>
      <c r="Y65" s="500">
        <f>'P&amp;L - Concept C1 - All'!R60</f>
        <v>0</v>
      </c>
      <c r="Z65" s="500">
        <f>'P&amp;L - Concept C1 - All'!S60</f>
        <v>0</v>
      </c>
      <c r="AA65" s="500">
        <f>'P&amp;L - Concept C1 - All'!T60</f>
        <v>0</v>
      </c>
      <c r="AB65" s="500">
        <f>'P&amp;L - Concept C1 - All'!U60</f>
        <v>0</v>
      </c>
      <c r="AC65" s="500">
        <f>'P&amp;L - Concept C1 - All'!V60</f>
        <v>0</v>
      </c>
      <c r="AD65" s="500">
        <f>'P&amp;L - Concept C1 - All'!W60</f>
        <v>0</v>
      </c>
      <c r="AE65" s="500">
        <f>'P&amp;L - Concept C1 - All'!X60</f>
        <v>0</v>
      </c>
      <c r="AF65" s="167" t="str">
        <f>'P&amp;L - Concept C1 - All'!Y60</f>
        <v>cost recovery assumed</v>
      </c>
    </row>
    <row r="66" spans="1:32" s="18" customFormat="1">
      <c r="A66" s="54"/>
      <c r="B66" s="277"/>
      <c r="C66" s="74"/>
      <c r="K66" s="492"/>
      <c r="L66" s="313"/>
      <c r="M66" s="313"/>
      <c r="N66" s="313"/>
      <c r="O66" s="313"/>
      <c r="P66" s="313"/>
      <c r="Q66" s="313"/>
      <c r="R66" s="313"/>
      <c r="S66" s="313"/>
      <c r="T66" s="313"/>
      <c r="U66" s="313"/>
      <c r="V66" s="313"/>
      <c r="W66" s="313"/>
      <c r="X66" s="313"/>
      <c r="Y66" s="313"/>
      <c r="Z66" s="313"/>
      <c r="AA66" s="313"/>
      <c r="AB66" s="313"/>
      <c r="AC66" s="313"/>
      <c r="AD66" s="313"/>
      <c r="AE66" s="313"/>
    </row>
    <row r="67" spans="1:32" s="18" customFormat="1">
      <c r="A67" s="293" t="s">
        <v>2</v>
      </c>
      <c r="B67" s="277"/>
      <c r="C67" s="74"/>
      <c r="K67" s="492"/>
      <c r="L67" s="313"/>
      <c r="M67" s="313"/>
      <c r="N67" s="313"/>
      <c r="O67" s="313"/>
      <c r="P67" s="313"/>
      <c r="Q67" s="313"/>
      <c r="R67" s="313"/>
      <c r="S67" s="313"/>
      <c r="T67" s="313"/>
      <c r="U67" s="313"/>
      <c r="V67" s="313"/>
      <c r="W67" s="313"/>
      <c r="X67" s="313"/>
      <c r="Y67" s="313"/>
      <c r="Z67" s="313"/>
      <c r="AA67" s="313"/>
      <c r="AB67" s="313"/>
      <c r="AC67" s="313"/>
      <c r="AD67" s="313"/>
      <c r="AE67" s="313"/>
    </row>
    <row r="68" spans="1:32" s="96" customFormat="1">
      <c r="A68" s="54" t="s">
        <v>290</v>
      </c>
      <c r="B68" s="435">
        <v>500</v>
      </c>
      <c r="C68" s="487"/>
      <c r="K68" s="486">
        <f>'P&amp;L - Concept C1 - All'!D63</f>
        <v>0</v>
      </c>
      <c r="L68" s="313">
        <f>'P&amp;L - Concept C1 - All'!E63</f>
        <v>0</v>
      </c>
      <c r="M68" s="313">
        <f>'P&amp;L - Concept C1 - All'!F63</f>
        <v>0</v>
      </c>
      <c r="N68" s="313">
        <f>'P&amp;L - Concept C1 - All'!G63</f>
        <v>500</v>
      </c>
      <c r="O68" s="313">
        <f>'P&amp;L - Concept C1 - All'!H63</f>
        <v>500</v>
      </c>
      <c r="P68" s="313">
        <f>'P&amp;L - Concept C1 - All'!I63</f>
        <v>500</v>
      </c>
      <c r="Q68" s="313">
        <f>'P&amp;L - Concept C1 - All'!J63</f>
        <v>500</v>
      </c>
      <c r="R68" s="313">
        <f>'P&amp;L - Concept C1 - All'!K63</f>
        <v>500</v>
      </c>
      <c r="S68" s="313">
        <f>'P&amp;L - Concept C1 - All'!L63</f>
        <v>500</v>
      </c>
      <c r="T68" s="313">
        <f>'P&amp;L - Concept C1 - All'!M63</f>
        <v>500</v>
      </c>
      <c r="U68" s="313">
        <f>'P&amp;L - Concept C1 - All'!N63</f>
        <v>500</v>
      </c>
      <c r="V68" s="313">
        <f>'P&amp;L - Concept C1 - All'!O63</f>
        <v>500</v>
      </c>
      <c r="W68" s="313">
        <f>'P&amp;L - Concept C1 - All'!P63</f>
        <v>500</v>
      </c>
      <c r="X68" s="313">
        <f>'P&amp;L - Concept C1 - All'!Q63</f>
        <v>500</v>
      </c>
      <c r="Y68" s="313">
        <f>'P&amp;L - Concept C1 - All'!R63</f>
        <v>500</v>
      </c>
      <c r="Z68" s="313">
        <f>'P&amp;L - Concept C1 - All'!S63</f>
        <v>500</v>
      </c>
      <c r="AA68" s="313">
        <f>'P&amp;L - Concept C1 - All'!T63</f>
        <v>500</v>
      </c>
      <c r="AB68" s="313">
        <f>'P&amp;L - Concept C1 - All'!U63</f>
        <v>500</v>
      </c>
      <c r="AC68" s="313">
        <f>'P&amp;L - Concept C1 - All'!V63</f>
        <v>500</v>
      </c>
      <c r="AD68" s="313">
        <f>'P&amp;L - Concept C1 - All'!W63</f>
        <v>500</v>
      </c>
      <c r="AE68" s="313">
        <f>'P&amp;L - Concept C1 - All'!X63</f>
        <v>500</v>
      </c>
    </row>
    <row r="69" spans="1:32" s="96" customFormat="1">
      <c r="A69" s="54" t="s">
        <v>210</v>
      </c>
      <c r="B69" s="487"/>
      <c r="C69" s="487"/>
      <c r="K69" s="486">
        <f>'P&amp;L - Concept C1 - All'!D65</f>
        <v>0</v>
      </c>
      <c r="L69" s="313">
        <f>'P&amp;L - Concept C1 - All'!E65</f>
        <v>0</v>
      </c>
      <c r="M69" s="313">
        <f>'P&amp;L - Concept C1 - All'!F65</f>
        <v>1</v>
      </c>
      <c r="N69" s="313">
        <f>'P&amp;L - Concept C1 - All'!G65</f>
        <v>2</v>
      </c>
      <c r="O69" s="313">
        <f>'P&amp;L - Concept C1 - All'!H65</f>
        <v>2</v>
      </c>
      <c r="P69" s="313">
        <f>'P&amp;L - Concept C1 - All'!I65</f>
        <v>2</v>
      </c>
      <c r="Q69" s="313">
        <f>'P&amp;L - Concept C1 - All'!J65</f>
        <v>3</v>
      </c>
      <c r="R69" s="313">
        <f>'P&amp;L - Concept C1 - All'!K65</f>
        <v>3</v>
      </c>
      <c r="S69" s="313">
        <f>'P&amp;L - Concept C1 - All'!L65</f>
        <v>3</v>
      </c>
      <c r="T69" s="313">
        <f>'P&amp;L - Concept C1 - All'!M65</f>
        <v>3</v>
      </c>
      <c r="U69" s="313">
        <f>'P&amp;L - Concept C1 - All'!N65</f>
        <v>3</v>
      </c>
      <c r="V69" s="313">
        <f>'P&amp;L - Concept C1 - All'!O65</f>
        <v>4</v>
      </c>
      <c r="W69" s="313">
        <f>'P&amp;L - Concept C1 - All'!P65</f>
        <v>4</v>
      </c>
      <c r="X69" s="313">
        <f>'P&amp;L - Concept C1 - All'!Q65</f>
        <v>4</v>
      </c>
      <c r="Y69" s="313">
        <f>'P&amp;L - Concept C1 - All'!R65</f>
        <v>4</v>
      </c>
      <c r="Z69" s="313">
        <f>'P&amp;L - Concept C1 - All'!S65</f>
        <v>4</v>
      </c>
      <c r="AA69" s="313">
        <f>'P&amp;L - Concept C1 - All'!T65</f>
        <v>5</v>
      </c>
      <c r="AB69" s="313">
        <f>'P&amp;L - Concept C1 - All'!U65</f>
        <v>5</v>
      </c>
      <c r="AC69" s="313">
        <f>'P&amp;L - Concept C1 - All'!V65</f>
        <v>5</v>
      </c>
      <c r="AD69" s="313">
        <f>'P&amp;L - Concept C1 - All'!W65</f>
        <v>5</v>
      </c>
      <c r="AE69" s="313">
        <f>'P&amp;L - Concept C1 - All'!X65</f>
        <v>5</v>
      </c>
    </row>
    <row r="70" spans="1:32" s="96" customFormat="1">
      <c r="A70" s="96" t="s">
        <v>211</v>
      </c>
      <c r="K70" s="486">
        <f>'P&amp;L - Concept C1 - All'!D66</f>
        <v>0</v>
      </c>
      <c r="L70" s="313">
        <f>'P&amp;L - Concept C1 - All'!E66</f>
        <v>0</v>
      </c>
      <c r="M70" s="313">
        <f>'P&amp;L - Concept C1 - All'!F66</f>
        <v>3</v>
      </c>
      <c r="N70" s="313">
        <f>'P&amp;L - Concept C1 - All'!G66</f>
        <v>3</v>
      </c>
      <c r="O70" s="313">
        <f>'P&amp;L - Concept C1 - All'!H66</f>
        <v>3</v>
      </c>
      <c r="P70" s="313">
        <f>'P&amp;L - Concept C1 - All'!I66</f>
        <v>3</v>
      </c>
      <c r="Q70" s="313">
        <f>'P&amp;L - Concept C1 - All'!J66</f>
        <v>3</v>
      </c>
      <c r="R70" s="313">
        <f>'P&amp;L - Concept C1 - All'!K66</f>
        <v>3</v>
      </c>
      <c r="S70" s="313">
        <f>'P&amp;L - Concept C1 - All'!L66</f>
        <v>3</v>
      </c>
      <c r="T70" s="313">
        <f>'P&amp;L - Concept C1 - All'!M66</f>
        <v>3</v>
      </c>
      <c r="U70" s="313">
        <f>'P&amp;L - Concept C1 - All'!N66</f>
        <v>3</v>
      </c>
      <c r="V70" s="313">
        <f>'P&amp;L - Concept C1 - All'!O66</f>
        <v>3</v>
      </c>
      <c r="W70" s="313">
        <f>'P&amp;L - Concept C1 - All'!P66</f>
        <v>3</v>
      </c>
      <c r="X70" s="313">
        <f>'P&amp;L - Concept C1 - All'!Q66</f>
        <v>3</v>
      </c>
      <c r="Y70" s="313">
        <f>'P&amp;L - Concept C1 - All'!R66</f>
        <v>3</v>
      </c>
      <c r="Z70" s="313">
        <f>'P&amp;L - Concept C1 - All'!S66</f>
        <v>3</v>
      </c>
      <c r="AA70" s="313">
        <f>'P&amp;L - Concept C1 - All'!T66</f>
        <v>3</v>
      </c>
      <c r="AB70" s="313">
        <f>'P&amp;L - Concept C1 - All'!U66</f>
        <v>3</v>
      </c>
      <c r="AC70" s="313">
        <f>'P&amp;L - Concept C1 - All'!V66</f>
        <v>3</v>
      </c>
      <c r="AD70" s="313">
        <f>'P&amp;L - Concept C1 - All'!W66</f>
        <v>3</v>
      </c>
      <c r="AE70" s="313">
        <f>'P&amp;L - Concept C1 - All'!X66</f>
        <v>3</v>
      </c>
    </row>
    <row r="71" spans="1:32" s="96" customFormat="1">
      <c r="K71" s="486"/>
      <c r="L71" s="435"/>
      <c r="M71" s="435"/>
      <c r="N71" s="435"/>
      <c r="O71" s="435"/>
      <c r="P71" s="435"/>
      <c r="Q71" s="435"/>
      <c r="R71" s="435"/>
      <c r="S71" s="435"/>
      <c r="T71" s="435"/>
      <c r="U71" s="435"/>
      <c r="V71" s="435"/>
      <c r="W71" s="435"/>
      <c r="X71" s="435"/>
      <c r="Y71" s="435"/>
      <c r="Z71" s="435"/>
      <c r="AA71" s="435"/>
      <c r="AB71" s="435"/>
      <c r="AC71" s="435"/>
      <c r="AD71" s="435"/>
      <c r="AE71" s="435"/>
    </row>
    <row r="72" spans="1:32" s="18" customFormat="1">
      <c r="A72" s="28"/>
      <c r="K72" s="486"/>
      <c r="L72" s="331"/>
      <c r="M72" s="333"/>
      <c r="N72" s="331"/>
      <c r="O72" s="331"/>
      <c r="P72" s="331"/>
      <c r="Q72" s="331"/>
      <c r="R72" s="331"/>
      <c r="S72" s="331"/>
      <c r="T72" s="331"/>
      <c r="U72" s="331"/>
      <c r="V72" s="331"/>
      <c r="W72" s="331"/>
      <c r="X72" s="331"/>
      <c r="Y72" s="331"/>
      <c r="Z72" s="331"/>
      <c r="AA72" s="331"/>
      <c r="AB72" s="331"/>
      <c r="AC72" s="331"/>
      <c r="AD72" s="331"/>
      <c r="AE72" s="331"/>
    </row>
    <row r="73" spans="1:32">
      <c r="A73" s="168" t="s">
        <v>131</v>
      </c>
      <c r="B73" s="168"/>
      <c r="C73" s="169"/>
      <c r="D73" s="170"/>
      <c r="E73" s="171"/>
      <c r="F73" s="171"/>
      <c r="G73" s="171"/>
      <c r="H73" s="171"/>
      <c r="I73" s="168"/>
      <c r="J73" s="171"/>
      <c r="K73" s="681"/>
      <c r="L73" s="314"/>
      <c r="M73" s="314"/>
      <c r="N73" s="314"/>
      <c r="O73" s="314"/>
      <c r="P73" s="314"/>
      <c r="Q73" s="314"/>
      <c r="R73" s="314"/>
      <c r="S73" s="314"/>
      <c r="T73" s="314"/>
      <c r="U73" s="314"/>
      <c r="V73" s="314"/>
      <c r="W73" s="314"/>
      <c r="X73" s="314"/>
      <c r="Y73" s="314"/>
      <c r="Z73" s="314"/>
      <c r="AA73" s="314"/>
      <c r="AB73" s="314"/>
      <c r="AC73" s="314"/>
      <c r="AD73" s="314"/>
      <c r="AE73" s="314"/>
    </row>
    <row r="74" spans="1:32" s="252" customFormat="1">
      <c r="A74" s="183"/>
      <c r="B74" s="183"/>
      <c r="C74" s="364"/>
      <c r="D74" s="365"/>
      <c r="E74" s="184"/>
      <c r="F74" s="184"/>
      <c r="G74" s="184"/>
      <c r="H74" s="184"/>
      <c r="I74" s="183"/>
      <c r="J74" s="184"/>
      <c r="K74" s="664"/>
      <c r="L74" s="366"/>
      <c r="M74" s="366"/>
      <c r="N74" s="366"/>
      <c r="O74" s="366"/>
      <c r="P74" s="366"/>
      <c r="Q74" s="366"/>
      <c r="R74" s="366"/>
      <c r="S74" s="366"/>
      <c r="T74" s="366"/>
      <c r="U74" s="366"/>
      <c r="V74" s="366"/>
      <c r="W74" s="366"/>
      <c r="X74" s="366"/>
      <c r="Y74" s="366"/>
      <c r="Z74" s="366"/>
      <c r="AA74" s="366"/>
      <c r="AB74" s="366"/>
      <c r="AC74" s="366"/>
      <c r="AD74" s="366"/>
      <c r="AE74" s="366"/>
    </row>
    <row r="75" spans="1:32">
      <c r="A75" s="41" t="s">
        <v>13</v>
      </c>
      <c r="B75" s="41"/>
      <c r="C75" s="105"/>
      <c r="D75" s="106"/>
      <c r="E75" s="37"/>
      <c r="F75" s="37"/>
      <c r="G75" s="37"/>
      <c r="H75" s="37"/>
      <c r="I75" s="41"/>
      <c r="J75" s="37"/>
      <c r="K75" s="683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</row>
    <row r="76" spans="1:32">
      <c r="A76" s="96" t="s">
        <v>418</v>
      </c>
      <c r="B76" s="735" t="s">
        <v>12</v>
      </c>
      <c r="C76" s="663">
        <v>75000</v>
      </c>
      <c r="D76" s="736">
        <f t="shared" ref="D76:D78" si="0">C76/2080</f>
        <v>36.057692307692307</v>
      </c>
      <c r="E76" s="663">
        <v>0</v>
      </c>
      <c r="F76" s="663">
        <f>(C76*$F$13)</f>
        <v>30000</v>
      </c>
      <c r="G76" s="663">
        <f>SUM(C76,E76:F76)</f>
        <v>105000</v>
      </c>
      <c r="H76" s="663"/>
      <c r="I76" s="736"/>
      <c r="J76" s="663"/>
      <c r="K76" s="683">
        <v>0</v>
      </c>
      <c r="L76" s="665">
        <v>0</v>
      </c>
      <c r="M76" s="666">
        <f>G76</f>
        <v>105000</v>
      </c>
      <c r="N76" s="666">
        <f>($G$76*L11)</f>
        <v>107100</v>
      </c>
      <c r="O76" s="666">
        <f t="shared" ref="O76:AE76" si="1">($G$76*M11)</f>
        <v>109242</v>
      </c>
      <c r="P76" s="666">
        <f t="shared" si="1"/>
        <v>111426.84</v>
      </c>
      <c r="Q76" s="666">
        <f t="shared" si="1"/>
        <v>113655.3768</v>
      </c>
      <c r="R76" s="666">
        <f t="shared" si="1"/>
        <v>115928.48433600001</v>
      </c>
      <c r="S76" s="666">
        <f t="shared" si="1"/>
        <v>118247.05402272001</v>
      </c>
      <c r="T76" s="666">
        <f t="shared" si="1"/>
        <v>120611.9951031744</v>
      </c>
      <c r="U76" s="666">
        <f t="shared" si="1"/>
        <v>123024.2350052379</v>
      </c>
      <c r="V76" s="666">
        <f t="shared" si="1"/>
        <v>125484.71970534266</v>
      </c>
      <c r="W76" s="666">
        <f t="shared" si="1"/>
        <v>127994.41409944952</v>
      </c>
      <c r="X76" s="666">
        <f t="shared" si="1"/>
        <v>130554.30238143851</v>
      </c>
      <c r="Y76" s="666">
        <f t="shared" si="1"/>
        <v>133165.38842906727</v>
      </c>
      <c r="Z76" s="666">
        <f t="shared" si="1"/>
        <v>135828.69619764862</v>
      </c>
      <c r="AA76" s="666">
        <f t="shared" si="1"/>
        <v>138545.27012160158</v>
      </c>
      <c r="AB76" s="666">
        <f t="shared" si="1"/>
        <v>141316.17552403364</v>
      </c>
      <c r="AC76" s="666">
        <f t="shared" si="1"/>
        <v>144142.4990345143</v>
      </c>
      <c r="AD76" s="666">
        <f t="shared" si="1"/>
        <v>147025.34901520461</v>
      </c>
      <c r="AE76" s="666">
        <f t="shared" si="1"/>
        <v>149965.8559955087</v>
      </c>
    </row>
    <row r="77" spans="1:32">
      <c r="A77" s="96" t="s">
        <v>417</v>
      </c>
      <c r="B77" s="735" t="s">
        <v>12</v>
      </c>
      <c r="C77" s="663">
        <v>35000</v>
      </c>
      <c r="D77" s="736">
        <f t="shared" si="0"/>
        <v>16.826923076923077</v>
      </c>
      <c r="E77" s="663">
        <v>0</v>
      </c>
      <c r="F77" s="663">
        <f t="shared" ref="F77:F78" si="2">(C77*$F$13)</f>
        <v>14000</v>
      </c>
      <c r="G77" s="663">
        <f t="shared" ref="G77:G78" si="3">SUM(C77,E77:F77)</f>
        <v>49000</v>
      </c>
      <c r="H77" s="663"/>
      <c r="I77" s="736"/>
      <c r="J77" s="663"/>
      <c r="K77" s="683">
        <v>0</v>
      </c>
      <c r="L77" s="665">
        <f>G77*0.25</f>
        <v>12250</v>
      </c>
      <c r="M77" s="666">
        <f>G77*0.5</f>
        <v>24500</v>
      </c>
      <c r="N77" s="666">
        <f>($G$77*0.5*L11)</f>
        <v>24990</v>
      </c>
      <c r="O77" s="666">
        <f t="shared" ref="O77:AE77" si="4">($G$77*0.5*M11)</f>
        <v>25489.8</v>
      </c>
      <c r="P77" s="666">
        <f t="shared" si="4"/>
        <v>25999.595999999998</v>
      </c>
      <c r="Q77" s="666">
        <f t="shared" si="4"/>
        <v>26519.587919999998</v>
      </c>
      <c r="R77" s="666">
        <f t="shared" si="4"/>
        <v>27049.979678399999</v>
      </c>
      <c r="S77" s="666">
        <f t="shared" si="4"/>
        <v>27590.979271968001</v>
      </c>
      <c r="T77" s="666">
        <f t="shared" si="4"/>
        <v>28142.798857407361</v>
      </c>
      <c r="U77" s="666">
        <f t="shared" si="4"/>
        <v>28705.654834555509</v>
      </c>
      <c r="V77" s="666">
        <f t="shared" si="4"/>
        <v>29279.767931246621</v>
      </c>
      <c r="W77" s="666">
        <f t="shared" si="4"/>
        <v>29865.363289871555</v>
      </c>
      <c r="X77" s="666">
        <f t="shared" si="4"/>
        <v>30462.670555668985</v>
      </c>
      <c r="Y77" s="666">
        <f t="shared" si="4"/>
        <v>31071.923966782364</v>
      </c>
      <c r="Z77" s="666">
        <f t="shared" si="4"/>
        <v>31693.362446118008</v>
      </c>
      <c r="AA77" s="666">
        <f t="shared" si="4"/>
        <v>32327.229695040372</v>
      </c>
      <c r="AB77" s="666">
        <f t="shared" si="4"/>
        <v>32973.774288941182</v>
      </c>
      <c r="AC77" s="666">
        <f t="shared" si="4"/>
        <v>33633.249774720003</v>
      </c>
      <c r="AD77" s="666">
        <f t="shared" si="4"/>
        <v>34305.914770214411</v>
      </c>
      <c r="AE77" s="666">
        <f t="shared" si="4"/>
        <v>34992.0330656187</v>
      </c>
    </row>
    <row r="78" spans="1:32">
      <c r="A78" s="737" t="s">
        <v>422</v>
      </c>
      <c r="B78" s="738" t="s">
        <v>15</v>
      </c>
      <c r="C78" s="739">
        <v>15000</v>
      </c>
      <c r="D78" s="740">
        <f t="shared" si="0"/>
        <v>7.2115384615384617</v>
      </c>
      <c r="E78" s="739">
        <f>C78*$L$15</f>
        <v>0</v>
      </c>
      <c r="F78" s="739">
        <f t="shared" si="2"/>
        <v>6000</v>
      </c>
      <c r="G78" s="739">
        <f t="shared" si="3"/>
        <v>21000</v>
      </c>
      <c r="H78" s="739"/>
      <c r="I78" s="740"/>
      <c r="J78" s="739"/>
      <c r="K78" s="741">
        <v>0</v>
      </c>
      <c r="L78" s="742">
        <v>0</v>
      </c>
      <c r="M78" s="742">
        <f t="shared" ref="M78" si="5">G78</f>
        <v>21000</v>
      </c>
      <c r="N78" s="742">
        <f>($G$78*L11)</f>
        <v>21420</v>
      </c>
      <c r="O78" s="742">
        <f t="shared" ref="O78:AE78" si="6">($G$78*M11)</f>
        <v>21848.400000000001</v>
      </c>
      <c r="P78" s="742">
        <f t="shared" si="6"/>
        <v>22285.367999999999</v>
      </c>
      <c r="Q78" s="742">
        <f t="shared" si="6"/>
        <v>22731.075359999999</v>
      </c>
      <c r="R78" s="742">
        <f t="shared" si="6"/>
        <v>23185.6968672</v>
      </c>
      <c r="S78" s="742">
        <f t="shared" si="6"/>
        <v>23649.410804544001</v>
      </c>
      <c r="T78" s="742">
        <f t="shared" si="6"/>
        <v>24122.399020634883</v>
      </c>
      <c r="U78" s="742">
        <f t="shared" si="6"/>
        <v>24604.847001047579</v>
      </c>
      <c r="V78" s="742">
        <f t="shared" si="6"/>
        <v>25096.943941068534</v>
      </c>
      <c r="W78" s="742">
        <f t="shared" si="6"/>
        <v>25598.882819889903</v>
      </c>
      <c r="X78" s="742">
        <f t="shared" si="6"/>
        <v>26110.8604762877</v>
      </c>
      <c r="Y78" s="742">
        <f t="shared" si="6"/>
        <v>26633.077685813456</v>
      </c>
      <c r="Z78" s="742">
        <f t="shared" si="6"/>
        <v>27165.739239529721</v>
      </c>
      <c r="AA78" s="742">
        <f t="shared" si="6"/>
        <v>27709.054024320321</v>
      </c>
      <c r="AB78" s="742">
        <f t="shared" si="6"/>
        <v>28263.235104806728</v>
      </c>
      <c r="AC78" s="742">
        <f t="shared" si="6"/>
        <v>28828.499806902862</v>
      </c>
      <c r="AD78" s="742">
        <f t="shared" si="6"/>
        <v>29405.069803040922</v>
      </c>
      <c r="AE78" s="742">
        <f t="shared" si="6"/>
        <v>29993.17119910174</v>
      </c>
    </row>
    <row r="79" spans="1:32" s="56" customFormat="1" ht="14.25">
      <c r="A79" s="164" t="s">
        <v>416</v>
      </c>
      <c r="B79" s="164"/>
      <c r="C79" s="667">
        <f>SUM(C76:C78)</f>
        <v>125000</v>
      </c>
      <c r="D79" s="667"/>
      <c r="E79" s="667">
        <f>SUM(E76:E78)</f>
        <v>0</v>
      </c>
      <c r="F79" s="667">
        <f>SUM(F76:F78)</f>
        <v>50000</v>
      </c>
      <c r="G79" s="667">
        <f>SUM(G76:G78)</f>
        <v>175000</v>
      </c>
      <c r="H79" s="667"/>
      <c r="I79" s="668"/>
      <c r="J79" s="667"/>
      <c r="K79" s="685">
        <f>SUMIF($B76:$B78,"FT",K76:K78)</f>
        <v>0</v>
      </c>
      <c r="L79" s="669">
        <f t="shared" ref="L79:AE79" si="7">SUM(L76:L78)</f>
        <v>12250</v>
      </c>
      <c r="M79" s="669">
        <f t="shared" si="7"/>
        <v>150500</v>
      </c>
      <c r="N79" s="669">
        <f t="shared" si="7"/>
        <v>153510</v>
      </c>
      <c r="O79" s="669">
        <f t="shared" si="7"/>
        <v>156580.19999999998</v>
      </c>
      <c r="P79" s="669">
        <f t="shared" si="7"/>
        <v>159711.80399999997</v>
      </c>
      <c r="Q79" s="669">
        <f t="shared" si="7"/>
        <v>162906.04007999998</v>
      </c>
      <c r="R79" s="669">
        <f t="shared" si="7"/>
        <v>166164.16088159999</v>
      </c>
      <c r="S79" s="669">
        <f t="shared" si="7"/>
        <v>169487.444099232</v>
      </c>
      <c r="T79" s="669">
        <f t="shared" si="7"/>
        <v>172877.19298121665</v>
      </c>
      <c r="U79" s="669">
        <f t="shared" si="7"/>
        <v>176334.73684084098</v>
      </c>
      <c r="V79" s="669">
        <f t="shared" si="7"/>
        <v>179861.43157765782</v>
      </c>
      <c r="W79" s="669">
        <f t="shared" si="7"/>
        <v>183458.66020921097</v>
      </c>
      <c r="X79" s="669">
        <f t="shared" si="7"/>
        <v>187127.83341339519</v>
      </c>
      <c r="Y79" s="669">
        <f t="shared" si="7"/>
        <v>190870.39008166309</v>
      </c>
      <c r="Z79" s="669">
        <f t="shared" si="7"/>
        <v>194687.79788329633</v>
      </c>
      <c r="AA79" s="669">
        <f t="shared" si="7"/>
        <v>198581.5538409623</v>
      </c>
      <c r="AB79" s="669">
        <f t="shared" si="7"/>
        <v>202553.18491778153</v>
      </c>
      <c r="AC79" s="669">
        <f t="shared" si="7"/>
        <v>206604.24861613716</v>
      </c>
      <c r="AD79" s="669">
        <f t="shared" si="7"/>
        <v>210736.33358845994</v>
      </c>
      <c r="AE79" s="669">
        <f t="shared" si="7"/>
        <v>214951.06026022913</v>
      </c>
    </row>
    <row r="80" spans="1:32" s="56" customFormat="1" ht="14.25">
      <c r="A80" s="164"/>
      <c r="B80" s="164"/>
      <c r="C80" s="667"/>
      <c r="D80" s="667"/>
      <c r="E80" s="667"/>
      <c r="F80" s="667"/>
      <c r="G80" s="667"/>
      <c r="H80" s="667"/>
      <c r="I80" s="668"/>
      <c r="J80" s="667"/>
      <c r="K80" s="685"/>
      <c r="L80" s="669"/>
      <c r="M80" s="669"/>
      <c r="N80" s="669"/>
      <c r="O80" s="669"/>
      <c r="P80" s="669"/>
      <c r="Q80" s="669"/>
      <c r="R80" s="669"/>
      <c r="S80" s="669"/>
      <c r="T80" s="669"/>
      <c r="U80" s="669"/>
      <c r="V80" s="669"/>
      <c r="W80" s="669"/>
      <c r="X80" s="669"/>
      <c r="Y80" s="669"/>
      <c r="Z80" s="669"/>
      <c r="AA80" s="669"/>
      <c r="AB80" s="669"/>
      <c r="AC80" s="669"/>
      <c r="AD80" s="669"/>
      <c r="AE80" s="669"/>
    </row>
    <row r="81" spans="1:35">
      <c r="A81" s="37" t="s">
        <v>411</v>
      </c>
      <c r="B81" s="37"/>
      <c r="C81" s="57"/>
      <c r="E81" s="57"/>
      <c r="F81" s="57"/>
      <c r="G81" s="57"/>
      <c r="H81" s="57"/>
      <c r="I81" s="43"/>
      <c r="J81" s="42"/>
      <c r="K81" s="743">
        <f>COUNTIF(K76:K78,"&gt;100")</f>
        <v>0</v>
      </c>
      <c r="L81" s="496">
        <f t="shared" ref="L81:AE81" si="8">COUNTIF(L76:L77,"&gt;100")</f>
        <v>1</v>
      </c>
      <c r="M81" s="496">
        <f t="shared" si="8"/>
        <v>2</v>
      </c>
      <c r="N81" s="496">
        <f t="shared" si="8"/>
        <v>2</v>
      </c>
      <c r="O81" s="496">
        <f t="shared" si="8"/>
        <v>2</v>
      </c>
      <c r="P81" s="496">
        <f t="shared" si="8"/>
        <v>2</v>
      </c>
      <c r="Q81" s="496">
        <f t="shared" si="8"/>
        <v>2</v>
      </c>
      <c r="R81" s="496">
        <f t="shared" si="8"/>
        <v>2</v>
      </c>
      <c r="S81" s="496">
        <f t="shared" si="8"/>
        <v>2</v>
      </c>
      <c r="T81" s="496">
        <f t="shared" si="8"/>
        <v>2</v>
      </c>
      <c r="U81" s="496">
        <f t="shared" si="8"/>
        <v>2</v>
      </c>
      <c r="V81" s="496">
        <f t="shared" si="8"/>
        <v>2</v>
      </c>
      <c r="W81" s="496">
        <f t="shared" si="8"/>
        <v>2</v>
      </c>
      <c r="X81" s="496">
        <f t="shared" si="8"/>
        <v>2</v>
      </c>
      <c r="Y81" s="496">
        <f t="shared" si="8"/>
        <v>2</v>
      </c>
      <c r="Z81" s="496">
        <f t="shared" si="8"/>
        <v>2</v>
      </c>
      <c r="AA81" s="496">
        <f t="shared" si="8"/>
        <v>2</v>
      </c>
      <c r="AB81" s="496">
        <f t="shared" si="8"/>
        <v>2</v>
      </c>
      <c r="AC81" s="496">
        <f t="shared" si="8"/>
        <v>2</v>
      </c>
      <c r="AD81" s="496">
        <f t="shared" si="8"/>
        <v>2</v>
      </c>
      <c r="AE81" s="496">
        <f t="shared" si="8"/>
        <v>2</v>
      </c>
      <c r="AF81" s="744"/>
    </row>
    <row r="82" spans="1:35">
      <c r="A82" s="745" t="s">
        <v>412</v>
      </c>
      <c r="B82" s="745"/>
      <c r="C82" s="746"/>
      <c r="D82" s="116"/>
      <c r="E82" s="746"/>
      <c r="F82" s="746"/>
      <c r="G82" s="746"/>
      <c r="H82" s="746"/>
      <c r="I82" s="747"/>
      <c r="J82" s="748"/>
      <c r="K82" s="749">
        <f t="shared" ref="K82" si="9">K83-K81</f>
        <v>0</v>
      </c>
      <c r="L82" s="750">
        <f t="shared" ref="L82:AE82" si="10">COUNTIF(L78:L78,"&gt;100")</f>
        <v>0</v>
      </c>
      <c r="M82" s="750">
        <f t="shared" si="10"/>
        <v>1</v>
      </c>
      <c r="N82" s="750">
        <f t="shared" si="10"/>
        <v>1</v>
      </c>
      <c r="O82" s="750">
        <f t="shared" si="10"/>
        <v>1</v>
      </c>
      <c r="P82" s="750">
        <f t="shared" si="10"/>
        <v>1</v>
      </c>
      <c r="Q82" s="750">
        <f t="shared" si="10"/>
        <v>1</v>
      </c>
      <c r="R82" s="750">
        <f t="shared" si="10"/>
        <v>1</v>
      </c>
      <c r="S82" s="750">
        <f t="shared" si="10"/>
        <v>1</v>
      </c>
      <c r="T82" s="750">
        <f t="shared" si="10"/>
        <v>1</v>
      </c>
      <c r="U82" s="750">
        <f t="shared" si="10"/>
        <v>1</v>
      </c>
      <c r="V82" s="750">
        <f t="shared" si="10"/>
        <v>1</v>
      </c>
      <c r="W82" s="750">
        <f t="shared" si="10"/>
        <v>1</v>
      </c>
      <c r="X82" s="750">
        <f t="shared" si="10"/>
        <v>1</v>
      </c>
      <c r="Y82" s="750">
        <f t="shared" si="10"/>
        <v>1</v>
      </c>
      <c r="Z82" s="750">
        <f t="shared" si="10"/>
        <v>1</v>
      </c>
      <c r="AA82" s="750">
        <f t="shared" si="10"/>
        <v>1</v>
      </c>
      <c r="AB82" s="750">
        <f t="shared" si="10"/>
        <v>1</v>
      </c>
      <c r="AC82" s="750">
        <f t="shared" si="10"/>
        <v>1</v>
      </c>
      <c r="AD82" s="750">
        <f t="shared" si="10"/>
        <v>1</v>
      </c>
      <c r="AE82" s="750">
        <f t="shared" si="10"/>
        <v>1</v>
      </c>
    </row>
    <row r="83" spans="1:35" s="56" customFormat="1" ht="14.25">
      <c r="A83" s="164" t="s">
        <v>413</v>
      </c>
      <c r="B83" s="164"/>
      <c r="C83" s="75"/>
      <c r="D83" s="173"/>
      <c r="E83" s="75"/>
      <c r="F83" s="75"/>
      <c r="G83" s="75"/>
      <c r="H83" s="75"/>
      <c r="I83" s="174"/>
      <c r="J83" s="181"/>
      <c r="K83" s="751">
        <f>COUNTIF(K76:K78,"&gt;0")</f>
        <v>0</v>
      </c>
      <c r="L83" s="752">
        <f>SUM(L81:L82)</f>
        <v>1</v>
      </c>
      <c r="M83" s="752">
        <f t="shared" ref="M83:AE83" si="11">SUM(M81:M82)</f>
        <v>3</v>
      </c>
      <c r="N83" s="752">
        <f t="shared" si="11"/>
        <v>3</v>
      </c>
      <c r="O83" s="752">
        <f t="shared" si="11"/>
        <v>3</v>
      </c>
      <c r="P83" s="752">
        <f t="shared" si="11"/>
        <v>3</v>
      </c>
      <c r="Q83" s="752">
        <f t="shared" si="11"/>
        <v>3</v>
      </c>
      <c r="R83" s="752">
        <f t="shared" si="11"/>
        <v>3</v>
      </c>
      <c r="S83" s="752">
        <f t="shared" si="11"/>
        <v>3</v>
      </c>
      <c r="T83" s="752">
        <f t="shared" si="11"/>
        <v>3</v>
      </c>
      <c r="U83" s="752">
        <f t="shared" si="11"/>
        <v>3</v>
      </c>
      <c r="V83" s="752">
        <f t="shared" si="11"/>
        <v>3</v>
      </c>
      <c r="W83" s="752">
        <f t="shared" si="11"/>
        <v>3</v>
      </c>
      <c r="X83" s="752">
        <f t="shared" si="11"/>
        <v>3</v>
      </c>
      <c r="Y83" s="752">
        <f t="shared" si="11"/>
        <v>3</v>
      </c>
      <c r="Z83" s="752">
        <f t="shared" si="11"/>
        <v>3</v>
      </c>
      <c r="AA83" s="752">
        <f t="shared" si="11"/>
        <v>3</v>
      </c>
      <c r="AB83" s="752">
        <f t="shared" si="11"/>
        <v>3</v>
      </c>
      <c r="AC83" s="752">
        <f t="shared" si="11"/>
        <v>3</v>
      </c>
      <c r="AD83" s="752">
        <f t="shared" si="11"/>
        <v>3</v>
      </c>
      <c r="AE83" s="752">
        <f t="shared" si="11"/>
        <v>3</v>
      </c>
    </row>
    <row r="84" spans="1:35" s="56" customFormat="1" ht="14.25">
      <c r="A84" s="164"/>
      <c r="B84" s="164"/>
      <c r="C84" s="75"/>
      <c r="D84" s="173"/>
      <c r="E84" s="75"/>
      <c r="F84" s="75"/>
      <c r="G84" s="75"/>
      <c r="H84" s="75"/>
      <c r="I84" s="174"/>
      <c r="J84" s="181"/>
      <c r="K84" s="685"/>
      <c r="L84" s="315"/>
      <c r="M84" s="315"/>
      <c r="N84" s="315"/>
      <c r="O84" s="315"/>
      <c r="P84" s="315"/>
      <c r="Q84" s="315"/>
      <c r="R84" s="315"/>
      <c r="S84" s="315"/>
      <c r="T84" s="315"/>
      <c r="U84" s="315"/>
      <c r="V84" s="315"/>
      <c r="W84" s="315"/>
      <c r="X84" s="315"/>
      <c r="Y84" s="315"/>
      <c r="Z84" s="315"/>
      <c r="AA84" s="315"/>
      <c r="AB84" s="315"/>
      <c r="AC84" s="315"/>
      <c r="AD84" s="315"/>
      <c r="AE84" s="315"/>
    </row>
    <row r="85" spans="1:35">
      <c r="A85" s="48" t="s">
        <v>68</v>
      </c>
      <c r="B85" s="48"/>
      <c r="C85" s="77"/>
      <c r="D85" s="76"/>
      <c r="E85" s="57"/>
      <c r="F85" s="57"/>
      <c r="G85" s="77"/>
      <c r="H85" s="77"/>
      <c r="I85" s="50"/>
      <c r="J85" s="49"/>
      <c r="K85" s="683"/>
      <c r="L85" s="316"/>
      <c r="M85" s="316"/>
      <c r="N85" s="316"/>
      <c r="O85" s="316"/>
      <c r="P85" s="316"/>
      <c r="Q85" s="316"/>
      <c r="R85" s="316"/>
      <c r="S85" s="316"/>
      <c r="T85" s="316"/>
      <c r="U85" s="316"/>
      <c r="V85" s="316"/>
      <c r="W85" s="316"/>
      <c r="X85" s="316"/>
      <c r="Y85" s="316"/>
      <c r="Z85" s="316"/>
      <c r="AA85" s="316"/>
      <c r="AB85" s="316"/>
      <c r="AC85" s="316"/>
      <c r="AD85" s="316"/>
      <c r="AE85" s="316"/>
    </row>
    <row r="86" spans="1:35" s="68" customFormat="1" ht="14.25">
      <c r="A86" s="214" t="s">
        <v>80</v>
      </c>
      <c r="B86" s="189"/>
      <c r="C86" s="209"/>
      <c r="D86" s="210"/>
      <c r="E86" s="211"/>
      <c r="F86" s="211"/>
      <c r="G86" s="209"/>
      <c r="H86" s="209"/>
      <c r="I86" s="213"/>
      <c r="J86" s="212"/>
      <c r="K86" s="686"/>
      <c r="L86" s="317"/>
      <c r="M86" s="317"/>
      <c r="N86" s="317"/>
      <c r="O86" s="317"/>
      <c r="P86" s="317"/>
      <c r="Q86" s="317"/>
      <c r="R86" s="317"/>
      <c r="S86" s="317"/>
      <c r="T86" s="317"/>
      <c r="U86" s="317"/>
      <c r="V86" s="317"/>
      <c r="W86" s="317"/>
      <c r="X86" s="317"/>
      <c r="Y86" s="317"/>
      <c r="Z86" s="317"/>
      <c r="AA86" s="317"/>
      <c r="AB86" s="317"/>
      <c r="AC86" s="317"/>
      <c r="AD86" s="317"/>
      <c r="AE86" s="317"/>
    </row>
    <row r="87" spans="1:35">
      <c r="A87" s="37" t="s">
        <v>41</v>
      </c>
      <c r="B87" s="37"/>
      <c r="C87" s="110"/>
      <c r="D87" s="106"/>
      <c r="E87" s="57"/>
      <c r="F87" s="57"/>
      <c r="G87" s="57"/>
      <c r="H87" s="57"/>
      <c r="I87" s="51"/>
      <c r="J87" s="663"/>
      <c r="K87" s="683">
        <f>K$83*$J87*R$9</f>
        <v>0</v>
      </c>
      <c r="L87" s="666">
        <v>25000</v>
      </c>
      <c r="M87" s="666">
        <f>$L$87*L11</f>
        <v>25500</v>
      </c>
      <c r="N87" s="666">
        <f t="shared" ref="N87:AE87" si="12">$L$87*M11</f>
        <v>26010</v>
      </c>
      <c r="O87" s="666">
        <f t="shared" si="12"/>
        <v>26530.199999999997</v>
      </c>
      <c r="P87" s="666">
        <f t="shared" si="12"/>
        <v>27060.804</v>
      </c>
      <c r="Q87" s="666">
        <f t="shared" si="12"/>
        <v>27602.020080000002</v>
      </c>
      <c r="R87" s="666">
        <f t="shared" si="12"/>
        <v>28154.060481600001</v>
      </c>
      <c r="S87" s="666">
        <f t="shared" si="12"/>
        <v>28717.141691232002</v>
      </c>
      <c r="T87" s="666">
        <f t="shared" si="12"/>
        <v>29291.484525056643</v>
      </c>
      <c r="U87" s="666">
        <f t="shared" si="12"/>
        <v>29877.314215557777</v>
      </c>
      <c r="V87" s="666">
        <f t="shared" si="12"/>
        <v>30474.860499868933</v>
      </c>
      <c r="W87" s="666">
        <f t="shared" si="12"/>
        <v>31084.357709866312</v>
      </c>
      <c r="X87" s="666">
        <f t="shared" si="12"/>
        <v>31706.044864063639</v>
      </c>
      <c r="Y87" s="666">
        <f t="shared" si="12"/>
        <v>32340.165761344906</v>
      </c>
      <c r="Z87" s="666">
        <f t="shared" si="12"/>
        <v>32986.969076571811</v>
      </c>
      <c r="AA87" s="666">
        <f t="shared" si="12"/>
        <v>33646.708458103247</v>
      </c>
      <c r="AB87" s="666">
        <f t="shared" si="12"/>
        <v>34319.642627265312</v>
      </c>
      <c r="AC87" s="666">
        <f t="shared" si="12"/>
        <v>35006.03547981062</v>
      </c>
      <c r="AD87" s="666">
        <f t="shared" si="12"/>
        <v>35706.156189406836</v>
      </c>
      <c r="AE87" s="666">
        <f t="shared" si="12"/>
        <v>36420.279313194973</v>
      </c>
    </row>
    <row r="88" spans="1:35">
      <c r="A88" s="37" t="s">
        <v>424</v>
      </c>
      <c r="B88" s="37"/>
      <c r="C88" s="110"/>
      <c r="D88" s="106"/>
      <c r="E88" s="57"/>
      <c r="F88" s="57"/>
      <c r="G88" s="57"/>
      <c r="H88" s="57"/>
      <c r="I88" s="51"/>
      <c r="J88" s="663"/>
      <c r="K88" s="683">
        <f>K$83*$J88*R$9</f>
        <v>0</v>
      </c>
      <c r="L88" s="666">
        <v>10000</v>
      </c>
      <c r="M88" s="666">
        <v>500</v>
      </c>
      <c r="N88" s="666">
        <f>$M$88*M11</f>
        <v>520.20000000000005</v>
      </c>
      <c r="O88" s="666">
        <f>$M$88*N11</f>
        <v>530.60399999999993</v>
      </c>
      <c r="P88" s="666">
        <f>$M$88*O11</f>
        <v>541.21608000000003</v>
      </c>
      <c r="Q88" s="666">
        <v>5000</v>
      </c>
      <c r="R88" s="666">
        <f>$M$88*Q11</f>
        <v>563.08120963200008</v>
      </c>
      <c r="S88" s="666">
        <f>$M$88*R11</f>
        <v>574.34283382464002</v>
      </c>
      <c r="T88" s="666">
        <f>$M$88*S11</f>
        <v>585.82969050113286</v>
      </c>
      <c r="U88" s="666">
        <f>$M$88*T11</f>
        <v>597.54628431115555</v>
      </c>
      <c r="V88" s="666">
        <v>5000</v>
      </c>
      <c r="W88" s="666">
        <f>$M$88*V11</f>
        <v>621.68715419732621</v>
      </c>
      <c r="X88" s="666">
        <f>$M$88*W11</f>
        <v>634.12089728127273</v>
      </c>
      <c r="Y88" s="666">
        <f>$M$88*X11</f>
        <v>646.80331522689812</v>
      </c>
      <c r="Z88" s="666">
        <f>$M$88*Y11</f>
        <v>659.73938153143615</v>
      </c>
      <c r="AA88" s="666">
        <v>5000</v>
      </c>
      <c r="AB88" s="666">
        <f>$M$88*AA11</f>
        <v>686.39285254530625</v>
      </c>
      <c r="AC88" s="666">
        <f>$M$88*AB11</f>
        <v>700.12070959621246</v>
      </c>
      <c r="AD88" s="666">
        <f>$M$88*AC11</f>
        <v>714.1231237881367</v>
      </c>
      <c r="AE88" s="666">
        <f>$M$88*AD11</f>
        <v>728.40558626389941</v>
      </c>
    </row>
    <row r="89" spans="1:35">
      <c r="A89" s="37" t="s">
        <v>42</v>
      </c>
      <c r="B89" s="37"/>
      <c r="C89" s="110"/>
      <c r="D89" s="106"/>
      <c r="E89" s="57"/>
      <c r="F89" s="57"/>
      <c r="G89" s="57"/>
      <c r="H89" s="57"/>
      <c r="I89" s="51"/>
      <c r="J89" s="663"/>
      <c r="K89" s="683">
        <f>K$83*$J89*R$9</f>
        <v>0</v>
      </c>
      <c r="L89" s="666">
        <v>50000</v>
      </c>
      <c r="M89" s="666">
        <f t="shared" ref="M89:AE89" si="13">($L$89*L11)</f>
        <v>51000</v>
      </c>
      <c r="N89" s="666">
        <f t="shared" si="13"/>
        <v>52020</v>
      </c>
      <c r="O89" s="666">
        <f t="shared" si="13"/>
        <v>53060.399999999994</v>
      </c>
      <c r="P89" s="666">
        <f t="shared" si="13"/>
        <v>54121.608</v>
      </c>
      <c r="Q89" s="666">
        <f t="shared" si="13"/>
        <v>55204.040160000004</v>
      </c>
      <c r="R89" s="666">
        <f t="shared" si="13"/>
        <v>56308.120963200003</v>
      </c>
      <c r="S89" s="666">
        <f t="shared" si="13"/>
        <v>57434.283382464004</v>
      </c>
      <c r="T89" s="666">
        <f t="shared" si="13"/>
        <v>58582.969050113286</v>
      </c>
      <c r="U89" s="666">
        <f t="shared" si="13"/>
        <v>59754.628431115554</v>
      </c>
      <c r="V89" s="666">
        <f t="shared" si="13"/>
        <v>60949.720999737867</v>
      </c>
      <c r="W89" s="666">
        <f t="shared" si="13"/>
        <v>62168.715419732624</v>
      </c>
      <c r="X89" s="666">
        <f t="shared" si="13"/>
        <v>63412.089728127277</v>
      </c>
      <c r="Y89" s="666">
        <f t="shared" si="13"/>
        <v>64680.331522689812</v>
      </c>
      <c r="Z89" s="666">
        <f t="shared" si="13"/>
        <v>65973.938153143623</v>
      </c>
      <c r="AA89" s="666">
        <f t="shared" si="13"/>
        <v>67293.416916206494</v>
      </c>
      <c r="AB89" s="666">
        <f t="shared" si="13"/>
        <v>68639.285254530623</v>
      </c>
      <c r="AC89" s="666">
        <f t="shared" si="13"/>
        <v>70012.07095962124</v>
      </c>
      <c r="AD89" s="666">
        <f t="shared" si="13"/>
        <v>71412.312378813673</v>
      </c>
      <c r="AE89" s="666">
        <f t="shared" si="13"/>
        <v>72840.558626389946</v>
      </c>
    </row>
    <row r="90" spans="1:35">
      <c r="A90" s="37" t="s">
        <v>43</v>
      </c>
      <c r="B90" s="37"/>
      <c r="C90" s="110"/>
      <c r="D90" s="106"/>
      <c r="E90" s="57"/>
      <c r="F90" s="57"/>
      <c r="G90" s="57"/>
      <c r="H90" s="57"/>
      <c r="I90" s="51" t="s">
        <v>8</v>
      </c>
      <c r="J90" s="663">
        <v>500</v>
      </c>
      <c r="K90" s="683">
        <v>0</v>
      </c>
      <c r="L90" s="666">
        <f>J90*L83</f>
        <v>500</v>
      </c>
      <c r="M90" s="666">
        <f t="shared" ref="M90:AE90" si="14">$J$90*M83*L11</f>
        <v>1530</v>
      </c>
      <c r="N90" s="666">
        <f t="shared" si="14"/>
        <v>1560.6</v>
      </c>
      <c r="O90" s="666">
        <f t="shared" si="14"/>
        <v>1591.8119999999999</v>
      </c>
      <c r="P90" s="666">
        <f t="shared" si="14"/>
        <v>1623.64824</v>
      </c>
      <c r="Q90" s="666">
        <f t="shared" si="14"/>
        <v>1656.1212048</v>
      </c>
      <c r="R90" s="666">
        <f t="shared" si="14"/>
        <v>1689.243628896</v>
      </c>
      <c r="S90" s="666">
        <f t="shared" si="14"/>
        <v>1723.02850147392</v>
      </c>
      <c r="T90" s="666">
        <f t="shared" si="14"/>
        <v>1757.4890715033987</v>
      </c>
      <c r="U90" s="666">
        <f t="shared" si="14"/>
        <v>1792.6388529334665</v>
      </c>
      <c r="V90" s="666">
        <f t="shared" si="14"/>
        <v>1828.491629992136</v>
      </c>
      <c r="W90" s="666">
        <f t="shared" si="14"/>
        <v>1865.0614625919786</v>
      </c>
      <c r="X90" s="666">
        <f t="shared" si="14"/>
        <v>1902.3626918438183</v>
      </c>
      <c r="Y90" s="666">
        <f t="shared" si="14"/>
        <v>1940.4099456806944</v>
      </c>
      <c r="Z90" s="666">
        <f t="shared" si="14"/>
        <v>1979.2181445943086</v>
      </c>
      <c r="AA90" s="666">
        <f t="shared" si="14"/>
        <v>2018.8025074861948</v>
      </c>
      <c r="AB90" s="666">
        <f t="shared" si="14"/>
        <v>2059.1785576359189</v>
      </c>
      <c r="AC90" s="666">
        <f t="shared" si="14"/>
        <v>2100.3621287886372</v>
      </c>
      <c r="AD90" s="666">
        <f t="shared" si="14"/>
        <v>2142.3693713644102</v>
      </c>
      <c r="AE90" s="666">
        <f t="shared" si="14"/>
        <v>2185.2167587916983</v>
      </c>
    </row>
    <row r="91" spans="1:35">
      <c r="A91" s="37" t="s">
        <v>44</v>
      </c>
      <c r="B91" s="37"/>
      <c r="C91" s="110"/>
      <c r="D91" s="106"/>
      <c r="E91" s="57"/>
      <c r="F91" s="57"/>
      <c r="G91" s="57"/>
      <c r="H91" s="57"/>
      <c r="I91" s="51" t="s">
        <v>8</v>
      </c>
      <c r="J91" s="663">
        <v>250</v>
      </c>
      <c r="K91" s="683">
        <v>0</v>
      </c>
      <c r="L91" s="666">
        <f>J91*L83</f>
        <v>250</v>
      </c>
      <c r="M91" s="666">
        <f t="shared" ref="M91:AE91" si="15">$J$91*M83*L11</f>
        <v>765</v>
      </c>
      <c r="N91" s="666">
        <f t="shared" si="15"/>
        <v>780.3</v>
      </c>
      <c r="O91" s="666">
        <f t="shared" si="15"/>
        <v>795.90599999999995</v>
      </c>
      <c r="P91" s="666">
        <f t="shared" si="15"/>
        <v>811.82411999999999</v>
      </c>
      <c r="Q91" s="666">
        <f t="shared" si="15"/>
        <v>828.06060239999999</v>
      </c>
      <c r="R91" s="666">
        <f t="shared" si="15"/>
        <v>844.62181444800001</v>
      </c>
      <c r="S91" s="666">
        <f t="shared" si="15"/>
        <v>861.51425073695998</v>
      </c>
      <c r="T91" s="666">
        <f t="shared" si="15"/>
        <v>878.74453575169935</v>
      </c>
      <c r="U91" s="666">
        <f t="shared" si="15"/>
        <v>896.31942646673326</v>
      </c>
      <c r="V91" s="666">
        <f t="shared" si="15"/>
        <v>914.24581499606802</v>
      </c>
      <c r="W91" s="666">
        <f t="shared" si="15"/>
        <v>932.53073129598931</v>
      </c>
      <c r="X91" s="666">
        <f t="shared" si="15"/>
        <v>951.18134592190916</v>
      </c>
      <c r="Y91" s="666">
        <f t="shared" si="15"/>
        <v>970.20497284034718</v>
      </c>
      <c r="Z91" s="666">
        <f t="shared" si="15"/>
        <v>989.60907229715428</v>
      </c>
      <c r="AA91" s="666">
        <f t="shared" si="15"/>
        <v>1009.4012537430974</v>
      </c>
      <c r="AB91" s="666">
        <f t="shared" si="15"/>
        <v>1029.5892788179594</v>
      </c>
      <c r="AC91" s="666">
        <f t="shared" si="15"/>
        <v>1050.1810643943186</v>
      </c>
      <c r="AD91" s="666">
        <f t="shared" si="15"/>
        <v>1071.1846856822051</v>
      </c>
      <c r="AE91" s="666">
        <f t="shared" si="15"/>
        <v>1092.6083793958492</v>
      </c>
      <c r="AF91" s="44"/>
    </row>
    <row r="92" spans="1:35">
      <c r="A92" s="745" t="s">
        <v>2</v>
      </c>
      <c r="B92" s="745"/>
      <c r="C92" s="753"/>
      <c r="D92" s="754"/>
      <c r="E92" s="746"/>
      <c r="F92" s="746"/>
      <c r="G92" s="746"/>
      <c r="H92" s="746"/>
      <c r="I92" s="755"/>
      <c r="J92" s="739"/>
      <c r="K92" s="741">
        <v>0</v>
      </c>
      <c r="L92" s="742">
        <v>1000</v>
      </c>
      <c r="M92" s="742">
        <f t="shared" ref="M92:AE92" si="16">($L$92*L11)</f>
        <v>1020</v>
      </c>
      <c r="N92" s="742">
        <f t="shared" si="16"/>
        <v>1040.4000000000001</v>
      </c>
      <c r="O92" s="742">
        <f t="shared" si="16"/>
        <v>1061.2079999999999</v>
      </c>
      <c r="P92" s="742">
        <f t="shared" si="16"/>
        <v>1082.4321600000001</v>
      </c>
      <c r="Q92" s="742">
        <f t="shared" si="16"/>
        <v>1104.0808032</v>
      </c>
      <c r="R92" s="742">
        <f t="shared" si="16"/>
        <v>1126.1624192640002</v>
      </c>
      <c r="S92" s="742">
        <f t="shared" si="16"/>
        <v>1148.68566764928</v>
      </c>
      <c r="T92" s="742">
        <f t="shared" si="16"/>
        <v>1171.6593810022657</v>
      </c>
      <c r="U92" s="742">
        <f t="shared" si="16"/>
        <v>1195.0925686223111</v>
      </c>
      <c r="V92" s="742">
        <f t="shared" si="16"/>
        <v>1218.9944199947574</v>
      </c>
      <c r="W92" s="742">
        <f t="shared" si="16"/>
        <v>1243.3743083946524</v>
      </c>
      <c r="X92" s="742">
        <f t="shared" si="16"/>
        <v>1268.2417945625455</v>
      </c>
      <c r="Y92" s="742">
        <f t="shared" si="16"/>
        <v>1293.6066304537962</v>
      </c>
      <c r="Z92" s="742">
        <f t="shared" si="16"/>
        <v>1319.4787630628723</v>
      </c>
      <c r="AA92" s="742">
        <f t="shared" si="16"/>
        <v>1345.8683383241298</v>
      </c>
      <c r="AB92" s="742">
        <f t="shared" si="16"/>
        <v>1372.7857050906125</v>
      </c>
      <c r="AC92" s="742">
        <f t="shared" si="16"/>
        <v>1400.2414191924249</v>
      </c>
      <c r="AD92" s="742">
        <f t="shared" si="16"/>
        <v>1428.2462475762734</v>
      </c>
      <c r="AE92" s="742">
        <f t="shared" si="16"/>
        <v>1456.8111725277988</v>
      </c>
    </row>
    <row r="93" spans="1:35" s="56" customFormat="1" ht="14.25">
      <c r="A93" s="164" t="s">
        <v>409</v>
      </c>
      <c r="B93" s="215"/>
      <c r="C93" s="216"/>
      <c r="D93" s="217"/>
      <c r="E93" s="218"/>
      <c r="F93" s="218"/>
      <c r="G93" s="218"/>
      <c r="H93" s="218"/>
      <c r="I93" s="219"/>
      <c r="J93" s="756"/>
      <c r="K93" s="687">
        <f>SUM(K87:K92)</f>
        <v>0</v>
      </c>
      <c r="L93" s="757">
        <f>SUM(L87:L92)</f>
        <v>86750</v>
      </c>
      <c r="M93" s="757">
        <f t="shared" ref="M93:AE93" si="17">SUM(M87:M92)</f>
        <v>80315</v>
      </c>
      <c r="N93" s="757">
        <f t="shared" si="17"/>
        <v>81931.5</v>
      </c>
      <c r="O93" s="757">
        <f t="shared" si="17"/>
        <v>83570.13</v>
      </c>
      <c r="P93" s="757">
        <f t="shared" si="17"/>
        <v>85241.532599999991</v>
      </c>
      <c r="Q93" s="757">
        <f t="shared" si="17"/>
        <v>91394.322850400014</v>
      </c>
      <c r="R93" s="757">
        <f t="shared" si="17"/>
        <v>88685.290517040004</v>
      </c>
      <c r="S93" s="757">
        <f t="shared" si="17"/>
        <v>90458.996327380795</v>
      </c>
      <c r="T93" s="757">
        <f t="shared" si="17"/>
        <v>92268.176253928425</v>
      </c>
      <c r="U93" s="757">
        <f t="shared" si="17"/>
        <v>94113.539779006998</v>
      </c>
      <c r="V93" s="757">
        <f t="shared" si="17"/>
        <v>100386.31336458978</v>
      </c>
      <c r="W93" s="757">
        <f t="shared" si="17"/>
        <v>97915.726786078885</v>
      </c>
      <c r="X93" s="757">
        <f t="shared" si="17"/>
        <v>99874.041321800469</v>
      </c>
      <c r="Y93" s="757">
        <f t="shared" si="17"/>
        <v>101871.52214823647</v>
      </c>
      <c r="Z93" s="757">
        <f t="shared" si="17"/>
        <v>103908.9525912012</v>
      </c>
      <c r="AA93" s="757">
        <f t="shared" si="17"/>
        <v>110314.19747386317</v>
      </c>
      <c r="AB93" s="757">
        <f t="shared" si="17"/>
        <v>108106.87427588576</v>
      </c>
      <c r="AC93" s="757">
        <f t="shared" si="17"/>
        <v>110269.01176140344</v>
      </c>
      <c r="AD93" s="757">
        <f t="shared" si="17"/>
        <v>112474.39199663154</v>
      </c>
      <c r="AE93" s="757">
        <f t="shared" si="17"/>
        <v>114723.87983656416</v>
      </c>
    </row>
    <row r="94" spans="1:35" s="56" customFormat="1" ht="14.25">
      <c r="A94" s="164"/>
      <c r="B94" s="215"/>
      <c r="C94" s="216"/>
      <c r="D94" s="217"/>
      <c r="E94" s="218"/>
      <c r="F94" s="218"/>
      <c r="G94" s="218"/>
      <c r="H94" s="218"/>
      <c r="I94" s="219"/>
      <c r="J94" s="220"/>
      <c r="K94" s="687"/>
      <c r="L94" s="318"/>
      <c r="M94" s="318"/>
      <c r="N94" s="318"/>
      <c r="O94" s="318"/>
      <c r="P94" s="318"/>
      <c r="Q94" s="318"/>
      <c r="R94" s="318"/>
      <c r="S94" s="318"/>
      <c r="T94" s="318"/>
      <c r="U94" s="318"/>
      <c r="V94" s="318"/>
      <c r="W94" s="318"/>
      <c r="X94" s="318"/>
      <c r="Y94" s="318"/>
      <c r="Z94" s="318"/>
      <c r="AA94" s="318"/>
      <c r="AB94" s="318"/>
      <c r="AC94" s="318"/>
      <c r="AD94" s="318"/>
      <c r="AE94" s="318"/>
    </row>
    <row r="95" spans="1:35" s="56" customFormat="1" ht="14.25">
      <c r="A95" s="720" t="s">
        <v>26</v>
      </c>
      <c r="B95" s="215"/>
      <c r="C95" s="218"/>
      <c r="D95" s="721"/>
      <c r="E95" s="218"/>
      <c r="F95" s="218"/>
      <c r="G95" s="218"/>
      <c r="H95" s="218"/>
      <c r="I95" s="722"/>
      <c r="J95" s="220"/>
      <c r="K95" s="687"/>
      <c r="L95" s="318"/>
      <c r="M95" s="318"/>
      <c r="N95" s="318"/>
      <c r="O95" s="318"/>
      <c r="P95" s="318"/>
      <c r="Q95" s="318"/>
      <c r="R95" s="318"/>
      <c r="S95" s="318"/>
      <c r="T95" s="318"/>
      <c r="U95" s="318"/>
      <c r="V95" s="318"/>
      <c r="W95" s="318"/>
      <c r="X95" s="318"/>
      <c r="Y95" s="318"/>
      <c r="Z95" s="318"/>
      <c r="AA95" s="318"/>
      <c r="AB95" s="318"/>
      <c r="AC95" s="318"/>
      <c r="AD95" s="318"/>
      <c r="AE95" s="318"/>
      <c r="AF95" s="723"/>
      <c r="AG95" s="723"/>
      <c r="AH95" s="723"/>
      <c r="AI95" s="723"/>
    </row>
    <row r="96" spans="1:35">
      <c r="A96" s="190" t="s">
        <v>41</v>
      </c>
      <c r="B96" s="190"/>
      <c r="C96" s="194"/>
      <c r="D96" s="758"/>
      <c r="E96" s="194"/>
      <c r="F96" s="194"/>
      <c r="G96" s="759"/>
      <c r="H96" s="759"/>
      <c r="I96" s="760"/>
      <c r="J96" s="761"/>
      <c r="K96" s="689">
        <v>0</v>
      </c>
      <c r="L96" s="665">
        <v>1000</v>
      </c>
      <c r="M96" s="665">
        <f>$L$96*L11</f>
        <v>1020</v>
      </c>
      <c r="N96" s="665">
        <f t="shared" ref="N96:P96" si="18">$L$96*M11</f>
        <v>1040.4000000000001</v>
      </c>
      <c r="O96" s="665">
        <f t="shared" si="18"/>
        <v>1061.2079999999999</v>
      </c>
      <c r="P96" s="665">
        <f t="shared" si="18"/>
        <v>1082.4321600000001</v>
      </c>
      <c r="Q96" s="665">
        <v>25000</v>
      </c>
      <c r="R96" s="665">
        <f>$Q$96*L11</f>
        <v>25500</v>
      </c>
      <c r="S96" s="665">
        <f t="shared" ref="S96:AE96" si="19">$Q$96*M11</f>
        <v>26010</v>
      </c>
      <c r="T96" s="665">
        <f t="shared" si="19"/>
        <v>26530.199999999997</v>
      </c>
      <c r="U96" s="665">
        <f t="shared" si="19"/>
        <v>27060.804</v>
      </c>
      <c r="V96" s="665">
        <f t="shared" si="19"/>
        <v>27602.020080000002</v>
      </c>
      <c r="W96" s="665">
        <f t="shared" si="19"/>
        <v>28154.060481600001</v>
      </c>
      <c r="X96" s="665">
        <f t="shared" si="19"/>
        <v>28717.141691232002</v>
      </c>
      <c r="Y96" s="665">
        <f t="shared" si="19"/>
        <v>29291.484525056643</v>
      </c>
      <c r="Z96" s="665">
        <f t="shared" si="19"/>
        <v>29877.314215557777</v>
      </c>
      <c r="AA96" s="665">
        <f t="shared" si="19"/>
        <v>30474.860499868933</v>
      </c>
      <c r="AB96" s="665">
        <f t="shared" si="19"/>
        <v>31084.357709866312</v>
      </c>
      <c r="AC96" s="665">
        <f t="shared" si="19"/>
        <v>31706.044864063639</v>
      </c>
      <c r="AD96" s="665">
        <f t="shared" si="19"/>
        <v>32340.165761344906</v>
      </c>
      <c r="AE96" s="665">
        <f t="shared" si="19"/>
        <v>32986.969076571811</v>
      </c>
      <c r="AF96" s="55"/>
      <c r="AG96" s="55"/>
      <c r="AH96" s="55"/>
      <c r="AI96" s="55"/>
    </row>
    <row r="97" spans="1:33">
      <c r="A97" s="745" t="s">
        <v>302</v>
      </c>
      <c r="B97" s="745"/>
      <c r="C97" s="746"/>
      <c r="D97" s="116"/>
      <c r="E97" s="746"/>
      <c r="F97" s="746"/>
      <c r="G97" s="753"/>
      <c r="H97" s="753"/>
      <c r="I97" s="755"/>
      <c r="J97" s="762"/>
      <c r="K97" s="741">
        <v>0</v>
      </c>
      <c r="L97" s="742">
        <f>'P&amp;L - Concept B2 - Carnival'!E135</f>
        <v>233675</v>
      </c>
      <c r="M97" s="742">
        <f>'P&amp;L - Concept B2 - Carnival'!F135</f>
        <v>476697</v>
      </c>
      <c r="N97" s="742">
        <f>'P&amp;L - Concept B2 - Carnival'!G135</f>
        <v>486230.94000000006</v>
      </c>
      <c r="O97" s="742">
        <f>'P&amp;L - Concept B2 - Carnival'!H135</f>
        <v>495955.55879999994</v>
      </c>
      <c r="P97" s="742">
        <f>'P&amp;L - Concept B2 - Carnival'!I135</f>
        <v>505874.66997599998</v>
      </c>
      <c r="Q97" s="742">
        <f>'P&amp;L - Concept B2 - Carnival'!J135</f>
        <v>515992.16337552003</v>
      </c>
      <c r="R97" s="742">
        <f>'P&amp;L - Concept B2 - Carnival'!K135</f>
        <v>526312.00664303044</v>
      </c>
      <c r="S97" s="742">
        <f>'P&amp;L - Concept B2 - Carnival'!L135</f>
        <v>536838.24677589093</v>
      </c>
      <c r="T97" s="742">
        <f>'P&amp;L - Concept B2 - Carnival'!M135</f>
        <v>547575.01171140897</v>
      </c>
      <c r="U97" s="742">
        <f>'P&amp;L - Concept B2 - Carnival'!N135</f>
        <v>558526.51194563706</v>
      </c>
      <c r="V97" s="742">
        <f>'P&amp;L - Concept B2 - Carnival'!O135</f>
        <v>569697.04218454985</v>
      </c>
      <c r="W97" s="742">
        <f>'P&amp;L - Concept B2 - Carnival'!P135</f>
        <v>581090.98302824085</v>
      </c>
      <c r="X97" s="742">
        <f>'P&amp;L - Concept B2 - Carnival'!Q135</f>
        <v>592712.80268880562</v>
      </c>
      <c r="Y97" s="742">
        <f>'P&amp;L - Concept B2 - Carnival'!R135</f>
        <v>604567.05874258175</v>
      </c>
      <c r="Z97" s="742">
        <f>'P&amp;L - Concept B2 - Carnival'!S135</f>
        <v>616658.39991743339</v>
      </c>
      <c r="AA97" s="742">
        <f>'P&amp;L - Concept B2 - Carnival'!T135</f>
        <v>628991.5679157821</v>
      </c>
      <c r="AB97" s="742">
        <f>'P&amp;L - Concept B2 - Carnival'!U135</f>
        <v>641571.39927409776</v>
      </c>
      <c r="AC97" s="742">
        <f>'P&amp;L - Concept B2 - Carnival'!V135</f>
        <v>654402.82725957979</v>
      </c>
      <c r="AD97" s="742">
        <f>'P&amp;L - Concept B2 - Carnival'!W135</f>
        <v>667490.88380477135</v>
      </c>
      <c r="AE97" s="742">
        <f>'P&amp;L - Concept B2 - Carnival'!X135</f>
        <v>680840.70148086676</v>
      </c>
    </row>
    <row r="98" spans="1:33" s="56" customFormat="1" ht="14.25">
      <c r="A98" s="164" t="s">
        <v>410</v>
      </c>
      <c r="B98" s="164"/>
      <c r="C98" s="75"/>
      <c r="D98" s="173"/>
      <c r="E98" s="75"/>
      <c r="F98" s="75"/>
      <c r="G98" s="75"/>
      <c r="H98" s="75"/>
      <c r="I98" s="174"/>
      <c r="J98" s="175"/>
      <c r="K98" s="685">
        <v>0</v>
      </c>
      <c r="L98" s="669">
        <f>SUM(L96:L97)</f>
        <v>234675</v>
      </c>
      <c r="M98" s="669">
        <f t="shared" ref="M98:AE98" si="20">SUM(M96:M97)</f>
        <v>477717</v>
      </c>
      <c r="N98" s="669">
        <f t="shared" si="20"/>
        <v>487271.34000000008</v>
      </c>
      <c r="O98" s="669">
        <f t="shared" si="20"/>
        <v>497016.76679999992</v>
      </c>
      <c r="P98" s="669">
        <f t="shared" si="20"/>
        <v>506957.102136</v>
      </c>
      <c r="Q98" s="669">
        <f t="shared" si="20"/>
        <v>540992.16337552003</v>
      </c>
      <c r="R98" s="669">
        <f t="shared" si="20"/>
        <v>551812.00664303044</v>
      </c>
      <c r="S98" s="669">
        <f t="shared" si="20"/>
        <v>562848.24677589093</v>
      </c>
      <c r="T98" s="669">
        <f t="shared" si="20"/>
        <v>574105.21171140892</v>
      </c>
      <c r="U98" s="669">
        <f t="shared" si="20"/>
        <v>585587.31594563706</v>
      </c>
      <c r="V98" s="669">
        <f t="shared" si="20"/>
        <v>597299.0622645499</v>
      </c>
      <c r="W98" s="669">
        <f t="shared" si="20"/>
        <v>609245.04350984085</v>
      </c>
      <c r="X98" s="669">
        <f t="shared" si="20"/>
        <v>621429.9443800376</v>
      </c>
      <c r="Y98" s="669">
        <f t="shared" si="20"/>
        <v>633858.54326763842</v>
      </c>
      <c r="Z98" s="669">
        <f t="shared" si="20"/>
        <v>646535.71413299115</v>
      </c>
      <c r="AA98" s="669">
        <f t="shared" si="20"/>
        <v>659466.42841565108</v>
      </c>
      <c r="AB98" s="669">
        <f t="shared" si="20"/>
        <v>672655.75698396412</v>
      </c>
      <c r="AC98" s="669">
        <f t="shared" si="20"/>
        <v>686108.87212364341</v>
      </c>
      <c r="AD98" s="669">
        <f t="shared" si="20"/>
        <v>699831.0495661163</v>
      </c>
      <c r="AE98" s="669">
        <f t="shared" si="20"/>
        <v>713827.67055743863</v>
      </c>
    </row>
    <row r="99" spans="1:33" s="56" customFormat="1" ht="14.25">
      <c r="A99" s="164"/>
      <c r="B99" s="164"/>
      <c r="C99" s="75"/>
      <c r="D99" s="173"/>
      <c r="E99" s="75"/>
      <c r="F99" s="75"/>
      <c r="G99" s="75"/>
      <c r="H99" s="75"/>
      <c r="I99" s="174"/>
      <c r="J99" s="175"/>
      <c r="K99" s="685"/>
      <c r="L99" s="669"/>
      <c r="M99" s="669"/>
      <c r="N99" s="669"/>
      <c r="O99" s="669"/>
      <c r="P99" s="669"/>
      <c r="Q99" s="669"/>
      <c r="R99" s="669"/>
      <c r="S99" s="669"/>
      <c r="T99" s="669"/>
      <c r="U99" s="669"/>
      <c r="V99" s="669"/>
      <c r="W99" s="669"/>
      <c r="X99" s="669"/>
      <c r="Y99" s="669"/>
      <c r="Z99" s="669"/>
      <c r="AA99" s="669"/>
      <c r="AB99" s="669"/>
      <c r="AC99" s="669"/>
      <c r="AD99" s="669"/>
      <c r="AE99" s="669"/>
    </row>
    <row r="100" spans="1:33" s="56" customFormat="1" ht="14.25">
      <c r="A100" s="164" t="s">
        <v>78</v>
      </c>
      <c r="B100" s="164"/>
      <c r="C100" s="75"/>
      <c r="D100" s="173"/>
      <c r="E100" s="75"/>
      <c r="F100" s="75"/>
      <c r="G100" s="75"/>
      <c r="H100" s="75"/>
      <c r="I100" s="174"/>
      <c r="J100" s="175"/>
      <c r="K100" s="685">
        <v>0</v>
      </c>
      <c r="L100" s="669">
        <f>SUM(L93,L98)</f>
        <v>321425</v>
      </c>
      <c r="M100" s="669">
        <f t="shared" ref="M100:AE100" si="21">SUM(M93,M98)</f>
        <v>558032</v>
      </c>
      <c r="N100" s="669">
        <f t="shared" si="21"/>
        <v>569202.84000000008</v>
      </c>
      <c r="O100" s="669">
        <f t="shared" si="21"/>
        <v>580586.89679999999</v>
      </c>
      <c r="P100" s="669">
        <f t="shared" si="21"/>
        <v>592198.63473599998</v>
      </c>
      <c r="Q100" s="669">
        <f t="shared" si="21"/>
        <v>632386.48622592003</v>
      </c>
      <c r="R100" s="669">
        <f t="shared" si="21"/>
        <v>640497.29716007039</v>
      </c>
      <c r="S100" s="669">
        <f t="shared" si="21"/>
        <v>653307.2431032717</v>
      </c>
      <c r="T100" s="669">
        <f t="shared" si="21"/>
        <v>666373.38796533737</v>
      </c>
      <c r="U100" s="669">
        <f t="shared" si="21"/>
        <v>679700.85572464403</v>
      </c>
      <c r="V100" s="669">
        <f t="shared" si="21"/>
        <v>697685.37562913971</v>
      </c>
      <c r="W100" s="669">
        <f t="shared" si="21"/>
        <v>707160.77029591973</v>
      </c>
      <c r="X100" s="669">
        <f t="shared" si="21"/>
        <v>721303.98570183804</v>
      </c>
      <c r="Y100" s="669">
        <f t="shared" si="21"/>
        <v>735730.06541587494</v>
      </c>
      <c r="Z100" s="669">
        <f t="shared" si="21"/>
        <v>750444.66672419233</v>
      </c>
      <c r="AA100" s="669">
        <f t="shared" si="21"/>
        <v>769780.62588951422</v>
      </c>
      <c r="AB100" s="669">
        <f t="shared" si="21"/>
        <v>780762.63125984988</v>
      </c>
      <c r="AC100" s="669">
        <f t="shared" si="21"/>
        <v>796377.88388504682</v>
      </c>
      <c r="AD100" s="669">
        <f t="shared" si="21"/>
        <v>812305.44156274782</v>
      </c>
      <c r="AE100" s="669">
        <f t="shared" si="21"/>
        <v>828551.55039400281</v>
      </c>
    </row>
    <row r="101" spans="1:33">
      <c r="A101" s="47"/>
      <c r="B101" s="47"/>
      <c r="C101" s="78"/>
      <c r="D101" s="100"/>
      <c r="E101" s="78"/>
      <c r="F101" s="78"/>
      <c r="G101" s="78"/>
      <c r="H101" s="78"/>
      <c r="I101" s="52"/>
      <c r="J101" s="114"/>
      <c r="K101" s="683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</row>
    <row r="102" spans="1:33">
      <c r="A102" s="168" t="s">
        <v>25</v>
      </c>
      <c r="B102" s="168"/>
      <c r="C102" s="176"/>
      <c r="D102" s="177"/>
      <c r="E102" s="176"/>
      <c r="F102" s="176"/>
      <c r="G102" s="176"/>
      <c r="H102" s="176"/>
      <c r="I102" s="178"/>
      <c r="J102" s="179"/>
      <c r="K102" s="682"/>
      <c r="L102" s="319"/>
      <c r="M102" s="319"/>
      <c r="N102" s="319"/>
      <c r="O102" s="319"/>
      <c r="P102" s="319"/>
      <c r="Q102" s="319"/>
      <c r="R102" s="319"/>
      <c r="S102" s="319"/>
      <c r="T102" s="319"/>
      <c r="U102" s="319"/>
      <c r="V102" s="319"/>
      <c r="W102" s="319"/>
      <c r="X102" s="319"/>
      <c r="Y102" s="319"/>
      <c r="Z102" s="319"/>
      <c r="AA102" s="319"/>
      <c r="AB102" s="319"/>
      <c r="AC102" s="319"/>
      <c r="AD102" s="319"/>
      <c r="AE102" s="319"/>
    </row>
    <row r="103" spans="1:33" s="252" customFormat="1">
      <c r="A103" s="183"/>
      <c r="B103" s="183"/>
      <c r="C103" s="185"/>
      <c r="D103" s="186"/>
      <c r="E103" s="185"/>
      <c r="F103" s="185"/>
      <c r="G103" s="185"/>
      <c r="H103" s="185"/>
      <c r="I103" s="302"/>
      <c r="J103" s="188"/>
      <c r="K103" s="683"/>
      <c r="L103" s="320"/>
      <c r="M103" s="320"/>
      <c r="N103" s="320"/>
      <c r="O103" s="320"/>
      <c r="P103" s="320"/>
      <c r="Q103" s="320"/>
      <c r="R103" s="320"/>
      <c r="S103" s="320"/>
      <c r="T103" s="320"/>
      <c r="U103" s="320"/>
      <c r="V103" s="320"/>
      <c r="W103" s="320"/>
      <c r="X103" s="320"/>
      <c r="Y103" s="320"/>
      <c r="Z103" s="320"/>
      <c r="AA103" s="320"/>
      <c r="AB103" s="320"/>
      <c r="AC103" s="320"/>
      <c r="AD103" s="320"/>
      <c r="AE103" s="320"/>
    </row>
    <row r="104" spans="1:33">
      <c r="A104" s="37" t="s">
        <v>425</v>
      </c>
      <c r="B104" s="37"/>
      <c r="C104" s="57"/>
      <c r="E104" s="57"/>
      <c r="F104" s="57"/>
      <c r="G104" s="57"/>
      <c r="H104" s="998"/>
      <c r="I104" s="51" t="s">
        <v>532</v>
      </c>
      <c r="J104" s="624">
        <f>((10800/6)*7)+((11000/6)*7)</f>
        <v>25433.333333333332</v>
      </c>
      <c r="K104" s="683">
        <v>0</v>
      </c>
      <c r="L104" s="671">
        <f>J104</f>
        <v>25433.333333333332</v>
      </c>
      <c r="M104" s="671">
        <f>$L$104*L11</f>
        <v>25942</v>
      </c>
      <c r="N104" s="671">
        <f t="shared" ref="N104:AE104" si="22">$L$104*M11</f>
        <v>26460.84</v>
      </c>
      <c r="O104" s="671">
        <f t="shared" si="22"/>
        <v>26990.056799999998</v>
      </c>
      <c r="P104" s="671">
        <f t="shared" si="22"/>
        <v>27529.857935999997</v>
      </c>
      <c r="Q104" s="671">
        <f t="shared" si="22"/>
        <v>28080.45509472</v>
      </c>
      <c r="R104" s="671">
        <f t="shared" si="22"/>
        <v>28642.064196614399</v>
      </c>
      <c r="S104" s="671">
        <f t="shared" si="22"/>
        <v>29214.905480546688</v>
      </c>
      <c r="T104" s="671">
        <f t="shared" si="22"/>
        <v>29799.203590157624</v>
      </c>
      <c r="U104" s="671">
        <f t="shared" si="22"/>
        <v>30395.187661960776</v>
      </c>
      <c r="V104" s="671">
        <f t="shared" si="22"/>
        <v>31003.091415199993</v>
      </c>
      <c r="W104" s="671">
        <f t="shared" si="22"/>
        <v>31623.153243503992</v>
      </c>
      <c r="X104" s="671">
        <f t="shared" si="22"/>
        <v>32255.616308374072</v>
      </c>
      <c r="Y104" s="671">
        <f t="shared" si="22"/>
        <v>32900.728634541549</v>
      </c>
      <c r="Z104" s="671">
        <f t="shared" si="22"/>
        <v>33558.743207232386</v>
      </c>
      <c r="AA104" s="671">
        <f t="shared" si="22"/>
        <v>34229.918071377033</v>
      </c>
      <c r="AB104" s="671">
        <f t="shared" si="22"/>
        <v>34914.516432804579</v>
      </c>
      <c r="AC104" s="671">
        <f t="shared" si="22"/>
        <v>35612.80676146067</v>
      </c>
      <c r="AD104" s="671">
        <f t="shared" si="22"/>
        <v>36325.062896689888</v>
      </c>
      <c r="AE104" s="671">
        <f t="shared" si="22"/>
        <v>37051.56415462368</v>
      </c>
    </row>
    <row r="105" spans="1:33">
      <c r="A105" s="37" t="s">
        <v>16</v>
      </c>
      <c r="B105" s="37"/>
      <c r="C105" s="57"/>
      <c r="E105" s="57"/>
      <c r="F105" s="57"/>
      <c r="G105" s="57"/>
      <c r="H105" s="998"/>
      <c r="I105" s="51" t="s">
        <v>17</v>
      </c>
      <c r="J105" s="624">
        <f>1250</f>
        <v>1250</v>
      </c>
      <c r="K105" s="683">
        <v>0</v>
      </c>
      <c r="L105" s="671">
        <f>J105*7</f>
        <v>8750</v>
      </c>
      <c r="M105" s="671">
        <f>$L$105*L11</f>
        <v>8925</v>
      </c>
      <c r="N105" s="671">
        <f t="shared" ref="N105:AE105" si="23">$L$105*M11</f>
        <v>9103.5</v>
      </c>
      <c r="O105" s="671">
        <f t="shared" si="23"/>
        <v>9285.57</v>
      </c>
      <c r="P105" s="671">
        <f t="shared" si="23"/>
        <v>9471.2813999999998</v>
      </c>
      <c r="Q105" s="671">
        <f t="shared" si="23"/>
        <v>9660.7070280000007</v>
      </c>
      <c r="R105" s="671">
        <f t="shared" si="23"/>
        <v>9853.9211685600003</v>
      </c>
      <c r="S105" s="671">
        <f t="shared" si="23"/>
        <v>10050.9995919312</v>
      </c>
      <c r="T105" s="671">
        <f t="shared" si="23"/>
        <v>10252.019583769825</v>
      </c>
      <c r="U105" s="671">
        <f t="shared" si="23"/>
        <v>10457.059975445221</v>
      </c>
      <c r="V105" s="671">
        <f t="shared" si="23"/>
        <v>10666.201174954127</v>
      </c>
      <c r="W105" s="671">
        <f t="shared" si="23"/>
        <v>10879.52519845321</v>
      </c>
      <c r="X105" s="671">
        <f t="shared" si="23"/>
        <v>11097.115702422274</v>
      </c>
      <c r="Y105" s="671">
        <f t="shared" si="23"/>
        <v>11319.058016470717</v>
      </c>
      <c r="Z105" s="671">
        <f t="shared" si="23"/>
        <v>11545.439176800133</v>
      </c>
      <c r="AA105" s="671">
        <f t="shared" si="23"/>
        <v>11776.347960336136</v>
      </c>
      <c r="AB105" s="671">
        <f t="shared" si="23"/>
        <v>12011.874919542859</v>
      </c>
      <c r="AC105" s="671">
        <f t="shared" si="23"/>
        <v>12252.112417933717</v>
      </c>
      <c r="AD105" s="671">
        <f t="shared" si="23"/>
        <v>12497.154666292392</v>
      </c>
      <c r="AE105" s="671">
        <f t="shared" si="23"/>
        <v>12747.09775961824</v>
      </c>
    </row>
    <row r="106" spans="1:33" s="702" customFormat="1">
      <c r="A106" s="701" t="s">
        <v>53</v>
      </c>
      <c r="B106" s="701"/>
      <c r="C106" s="705"/>
      <c r="D106" s="984"/>
      <c r="E106" s="705"/>
      <c r="F106" s="705"/>
      <c r="G106" s="705"/>
      <c r="H106" s="985"/>
      <c r="I106" s="706" t="s">
        <v>17</v>
      </c>
      <c r="J106" s="986">
        <v>0</v>
      </c>
      <c r="K106" s="987">
        <v>0</v>
      </c>
      <c r="L106" s="988">
        <f t="shared" ref="L106:L107" si="24">J106*12</f>
        <v>0</v>
      </c>
      <c r="M106" s="988">
        <f t="shared" ref="M106:AB107" si="25">L106*1.03</f>
        <v>0</v>
      </c>
      <c r="N106" s="988">
        <f t="shared" si="25"/>
        <v>0</v>
      </c>
      <c r="O106" s="988">
        <f t="shared" si="25"/>
        <v>0</v>
      </c>
      <c r="P106" s="988">
        <f t="shared" si="25"/>
        <v>0</v>
      </c>
      <c r="Q106" s="988">
        <f t="shared" si="25"/>
        <v>0</v>
      </c>
      <c r="R106" s="988">
        <f t="shared" si="25"/>
        <v>0</v>
      </c>
      <c r="S106" s="988">
        <f t="shared" si="25"/>
        <v>0</v>
      </c>
      <c r="T106" s="988">
        <f t="shared" si="25"/>
        <v>0</v>
      </c>
      <c r="U106" s="988">
        <f t="shared" si="25"/>
        <v>0</v>
      </c>
      <c r="V106" s="988">
        <f t="shared" si="25"/>
        <v>0</v>
      </c>
      <c r="W106" s="988">
        <f t="shared" si="25"/>
        <v>0</v>
      </c>
      <c r="X106" s="988">
        <f t="shared" si="25"/>
        <v>0</v>
      </c>
      <c r="Y106" s="988">
        <f t="shared" si="25"/>
        <v>0</v>
      </c>
      <c r="Z106" s="988">
        <f t="shared" si="25"/>
        <v>0</v>
      </c>
      <c r="AA106" s="988">
        <f t="shared" si="25"/>
        <v>0</v>
      </c>
      <c r="AB106" s="988">
        <f t="shared" si="25"/>
        <v>0</v>
      </c>
      <c r="AC106" s="988">
        <f t="shared" ref="AC106:AE107" si="26">AB106*1.03</f>
        <v>0</v>
      </c>
      <c r="AD106" s="988">
        <f t="shared" si="26"/>
        <v>0</v>
      </c>
      <c r="AE106" s="988">
        <f t="shared" si="26"/>
        <v>0</v>
      </c>
    </row>
    <row r="107" spans="1:33" s="702" customFormat="1">
      <c r="A107" s="989" t="s">
        <v>54</v>
      </c>
      <c r="B107" s="990"/>
      <c r="C107" s="991"/>
      <c r="D107" s="992"/>
      <c r="E107" s="991"/>
      <c r="F107" s="991"/>
      <c r="G107" s="991"/>
      <c r="H107" s="993"/>
      <c r="I107" s="994" t="s">
        <v>17</v>
      </c>
      <c r="J107" s="995">
        <v>0</v>
      </c>
      <c r="K107" s="996">
        <v>0</v>
      </c>
      <c r="L107" s="997">
        <f t="shared" si="24"/>
        <v>0</v>
      </c>
      <c r="M107" s="997">
        <f t="shared" si="25"/>
        <v>0</v>
      </c>
      <c r="N107" s="997">
        <f t="shared" si="25"/>
        <v>0</v>
      </c>
      <c r="O107" s="997">
        <f t="shared" si="25"/>
        <v>0</v>
      </c>
      <c r="P107" s="997">
        <f t="shared" si="25"/>
        <v>0</v>
      </c>
      <c r="Q107" s="997">
        <f t="shared" si="25"/>
        <v>0</v>
      </c>
      <c r="R107" s="997">
        <f t="shared" si="25"/>
        <v>0</v>
      </c>
      <c r="S107" s="997">
        <f t="shared" si="25"/>
        <v>0</v>
      </c>
      <c r="T107" s="997">
        <f t="shared" si="25"/>
        <v>0</v>
      </c>
      <c r="U107" s="997">
        <f t="shared" si="25"/>
        <v>0</v>
      </c>
      <c r="V107" s="997">
        <f t="shared" si="25"/>
        <v>0</v>
      </c>
      <c r="W107" s="997">
        <f t="shared" si="25"/>
        <v>0</v>
      </c>
      <c r="X107" s="997">
        <f t="shared" si="25"/>
        <v>0</v>
      </c>
      <c r="Y107" s="997">
        <f t="shared" si="25"/>
        <v>0</v>
      </c>
      <c r="Z107" s="997">
        <f t="shared" si="25"/>
        <v>0</v>
      </c>
      <c r="AA107" s="997">
        <f t="shared" si="25"/>
        <v>0</v>
      </c>
      <c r="AB107" s="997">
        <f t="shared" si="25"/>
        <v>0</v>
      </c>
      <c r="AC107" s="997">
        <f t="shared" si="26"/>
        <v>0</v>
      </c>
      <c r="AD107" s="997">
        <f t="shared" si="26"/>
        <v>0</v>
      </c>
      <c r="AE107" s="997">
        <f t="shared" si="26"/>
        <v>0</v>
      </c>
    </row>
    <row r="108" spans="1:33" s="56" customFormat="1" ht="14.25">
      <c r="A108" s="56" t="s">
        <v>55</v>
      </c>
      <c r="B108" s="164"/>
      <c r="C108" s="75"/>
      <c r="D108" s="173"/>
      <c r="E108" s="75"/>
      <c r="F108" s="75"/>
      <c r="G108" s="75"/>
      <c r="H108" s="75"/>
      <c r="I108" s="999"/>
      <c r="J108" s="1000"/>
      <c r="K108" s="685">
        <v>0</v>
      </c>
      <c r="L108" s="1001">
        <f>SUM(L104:L107)</f>
        <v>34183.333333333328</v>
      </c>
      <c r="M108" s="1001">
        <f t="shared" ref="M108:AE108" si="27">SUM(M104:M107)</f>
        <v>34867</v>
      </c>
      <c r="N108" s="1001">
        <f t="shared" si="27"/>
        <v>35564.339999999997</v>
      </c>
      <c r="O108" s="1001">
        <f t="shared" si="27"/>
        <v>36275.626799999998</v>
      </c>
      <c r="P108" s="1001">
        <f t="shared" si="27"/>
        <v>37001.139335999993</v>
      </c>
      <c r="Q108" s="1001">
        <f t="shared" si="27"/>
        <v>37741.162122720001</v>
      </c>
      <c r="R108" s="1001">
        <f t="shared" si="27"/>
        <v>38495.985365174398</v>
      </c>
      <c r="S108" s="1001">
        <f t="shared" si="27"/>
        <v>39265.905072477886</v>
      </c>
      <c r="T108" s="1001">
        <f t="shared" si="27"/>
        <v>40051.22317392745</v>
      </c>
      <c r="U108" s="1001">
        <f t="shared" si="27"/>
        <v>40852.247637405999</v>
      </c>
      <c r="V108" s="1001">
        <f t="shared" si="27"/>
        <v>41669.292590154117</v>
      </c>
      <c r="W108" s="1001">
        <f t="shared" si="27"/>
        <v>42502.6784419572</v>
      </c>
      <c r="X108" s="1001">
        <f t="shared" si="27"/>
        <v>43352.732010796346</v>
      </c>
      <c r="Y108" s="1001">
        <f t="shared" si="27"/>
        <v>44219.786651012269</v>
      </c>
      <c r="Z108" s="1001">
        <f t="shared" si="27"/>
        <v>45104.182384032523</v>
      </c>
      <c r="AA108" s="1001">
        <f t="shared" si="27"/>
        <v>46006.266031713167</v>
      </c>
      <c r="AB108" s="1001">
        <f t="shared" si="27"/>
        <v>46926.39135234744</v>
      </c>
      <c r="AC108" s="1001">
        <f t="shared" si="27"/>
        <v>47864.91917939439</v>
      </c>
      <c r="AD108" s="1001">
        <f t="shared" si="27"/>
        <v>48822.217562982281</v>
      </c>
      <c r="AE108" s="1001">
        <f t="shared" si="27"/>
        <v>49798.661914241922</v>
      </c>
    </row>
    <row r="109" spans="1:33">
      <c r="A109" s="56"/>
      <c r="B109" s="37"/>
      <c r="C109" s="57"/>
      <c r="E109" s="57"/>
      <c r="F109" s="57"/>
      <c r="G109" s="57"/>
      <c r="H109" s="57"/>
      <c r="I109" s="51"/>
      <c r="J109" s="624"/>
      <c r="K109" s="683"/>
      <c r="L109" s="666"/>
      <c r="M109" s="666"/>
      <c r="N109" s="666"/>
      <c r="O109" s="666"/>
      <c r="P109" s="666"/>
      <c r="Q109" s="666"/>
      <c r="R109" s="666"/>
      <c r="S109" s="666"/>
      <c r="T109" s="666"/>
      <c r="U109" s="666"/>
      <c r="V109" s="666"/>
      <c r="W109" s="666"/>
      <c r="X109" s="666"/>
      <c r="Y109" s="666"/>
      <c r="Z109" s="666"/>
      <c r="AA109" s="666"/>
      <c r="AB109" s="666"/>
      <c r="AC109" s="666"/>
      <c r="AD109" s="666"/>
      <c r="AE109" s="666"/>
    </row>
    <row r="110" spans="1:33">
      <c r="A110" s="47" t="s">
        <v>7</v>
      </c>
      <c r="B110" s="47" t="s">
        <v>7</v>
      </c>
      <c r="C110" s="78" t="s">
        <v>7</v>
      </c>
      <c r="D110" s="100"/>
      <c r="E110" s="78" t="s">
        <v>7</v>
      </c>
      <c r="F110" s="78"/>
      <c r="G110" s="78" t="s">
        <v>7</v>
      </c>
      <c r="H110" s="78"/>
      <c r="I110" s="52" t="s">
        <v>7</v>
      </c>
      <c r="J110" s="672"/>
      <c r="K110" s="673"/>
      <c r="L110" s="672"/>
      <c r="M110" s="672"/>
      <c r="N110" s="672"/>
      <c r="O110" s="672"/>
      <c r="P110" s="672"/>
      <c r="Q110" s="672"/>
      <c r="R110" s="672"/>
      <c r="S110" s="672"/>
      <c r="T110" s="672"/>
      <c r="U110" s="672"/>
      <c r="V110" s="672"/>
      <c r="W110" s="672"/>
      <c r="X110" s="672"/>
      <c r="Y110" s="672"/>
      <c r="Z110" s="672"/>
      <c r="AA110" s="672"/>
      <c r="AB110" s="672"/>
      <c r="AC110" s="672"/>
      <c r="AD110" s="672"/>
      <c r="AE110" s="672"/>
    </row>
    <row r="111" spans="1:33">
      <c r="A111" s="47"/>
      <c r="B111" s="47"/>
      <c r="C111" s="78"/>
      <c r="D111" s="100"/>
      <c r="E111" s="78"/>
      <c r="F111" s="78"/>
      <c r="G111" s="78"/>
      <c r="H111" s="78"/>
      <c r="I111" s="52"/>
      <c r="J111" s="672"/>
      <c r="K111" s="683"/>
      <c r="L111" s="666"/>
      <c r="M111" s="666"/>
      <c r="N111" s="666"/>
      <c r="O111" s="666"/>
      <c r="P111" s="666"/>
      <c r="Q111" s="666"/>
      <c r="R111" s="666"/>
      <c r="S111" s="666"/>
      <c r="T111" s="666"/>
      <c r="U111" s="666"/>
      <c r="V111" s="666"/>
      <c r="W111" s="666"/>
      <c r="X111" s="666"/>
      <c r="Y111" s="666"/>
      <c r="Z111" s="666"/>
      <c r="AA111" s="666"/>
      <c r="AB111" s="666"/>
      <c r="AC111" s="666"/>
      <c r="AD111" s="666"/>
      <c r="AE111" s="666"/>
    </row>
    <row r="112" spans="1:33" s="56" customFormat="1" ht="14.25">
      <c r="A112" s="203" t="s">
        <v>303</v>
      </c>
      <c r="B112" s="203"/>
      <c r="C112" s="204"/>
      <c r="D112" s="205"/>
      <c r="E112" s="204"/>
      <c r="F112" s="204"/>
      <c r="G112" s="204"/>
      <c r="H112" s="204"/>
      <c r="I112" s="206"/>
      <c r="J112" s="674"/>
      <c r="K112" s="676">
        <f>SUM(K79,K100,K108)</f>
        <v>0</v>
      </c>
      <c r="L112" s="676">
        <f>SUM(L79,L100,L108)</f>
        <v>367858.33333333331</v>
      </c>
      <c r="M112" s="676">
        <f t="shared" ref="M112:AE112" si="28">SUM(M79,M100,M108)</f>
        <v>743399</v>
      </c>
      <c r="N112" s="676">
        <f t="shared" si="28"/>
        <v>758277.18</v>
      </c>
      <c r="O112" s="676">
        <f t="shared" si="28"/>
        <v>773442.72359999991</v>
      </c>
      <c r="P112" s="676">
        <f t="shared" si="28"/>
        <v>788911.57807199995</v>
      </c>
      <c r="Q112" s="676">
        <f t="shared" si="28"/>
        <v>833033.68842864002</v>
      </c>
      <c r="R112" s="676">
        <f t="shared" si="28"/>
        <v>845157.44340684474</v>
      </c>
      <c r="S112" s="676">
        <f t="shared" si="28"/>
        <v>862060.59227498155</v>
      </c>
      <c r="T112" s="676">
        <f t="shared" si="28"/>
        <v>879301.80412048136</v>
      </c>
      <c r="U112" s="676">
        <f t="shared" si="28"/>
        <v>896887.84020289104</v>
      </c>
      <c r="V112" s="676">
        <f t="shared" si="28"/>
        <v>919216.09979695163</v>
      </c>
      <c r="W112" s="676">
        <f t="shared" si="28"/>
        <v>933122.10894708789</v>
      </c>
      <c r="X112" s="676">
        <f t="shared" si="28"/>
        <v>951784.55112602958</v>
      </c>
      <c r="Y112" s="676">
        <f t="shared" si="28"/>
        <v>970820.24214855023</v>
      </c>
      <c r="Z112" s="676">
        <f t="shared" si="28"/>
        <v>990236.64699152112</v>
      </c>
      <c r="AA112" s="676">
        <f t="shared" si="28"/>
        <v>1014368.4457621898</v>
      </c>
      <c r="AB112" s="676">
        <f t="shared" si="28"/>
        <v>1030242.2075299788</v>
      </c>
      <c r="AC112" s="676">
        <f t="shared" si="28"/>
        <v>1050847.0516805784</v>
      </c>
      <c r="AD112" s="676">
        <f t="shared" si="28"/>
        <v>1071863.9927141902</v>
      </c>
      <c r="AE112" s="676">
        <f t="shared" si="28"/>
        <v>1093301.2725684738</v>
      </c>
      <c r="AG112" s="199"/>
    </row>
    <row r="113" spans="1:33">
      <c r="A113" s="37"/>
      <c r="B113" s="37"/>
      <c r="C113" s="57"/>
      <c r="E113" s="110"/>
      <c r="F113" s="110"/>
      <c r="G113" s="57"/>
      <c r="H113" s="57"/>
      <c r="I113" s="43"/>
      <c r="J113" s="44"/>
      <c r="K113" s="683"/>
      <c r="L113" s="115"/>
      <c r="M113" s="115"/>
      <c r="N113" s="115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5"/>
      <c r="Z113" s="115"/>
      <c r="AA113" s="115"/>
      <c r="AB113" s="115"/>
      <c r="AC113" s="115"/>
      <c r="AD113" s="115"/>
      <c r="AE113" s="115"/>
      <c r="AG113" s="199"/>
    </row>
    <row r="114" spans="1:33">
      <c r="A114" s="47" t="s">
        <v>7</v>
      </c>
      <c r="B114" s="47" t="s">
        <v>7</v>
      </c>
      <c r="C114" s="78" t="s">
        <v>7</v>
      </c>
      <c r="D114" s="100"/>
      <c r="E114" s="78" t="s">
        <v>7</v>
      </c>
      <c r="F114" s="78"/>
      <c r="G114" s="78" t="s">
        <v>7</v>
      </c>
      <c r="H114" s="78"/>
      <c r="I114" s="52" t="s">
        <v>7</v>
      </c>
      <c r="J114" s="114"/>
      <c r="K114" s="673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G114" s="199"/>
    </row>
    <row r="115" spans="1:33">
      <c r="A115" s="47"/>
      <c r="B115" s="47"/>
      <c r="C115" s="78"/>
      <c r="D115" s="100"/>
      <c r="E115" s="78"/>
      <c r="F115" s="78"/>
      <c r="G115" s="78"/>
      <c r="H115" s="78"/>
      <c r="I115" s="52"/>
      <c r="J115" s="114"/>
      <c r="K115" s="683"/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5"/>
      <c r="Z115" s="115"/>
      <c r="AA115" s="115"/>
      <c r="AB115" s="115"/>
      <c r="AC115" s="115"/>
      <c r="AD115" s="115"/>
      <c r="AE115" s="115"/>
      <c r="AG115" s="199"/>
    </row>
    <row r="116" spans="1:33">
      <c r="A116" s="168" t="s">
        <v>71</v>
      </c>
      <c r="B116" s="171"/>
      <c r="C116" s="176"/>
      <c r="D116" s="177"/>
      <c r="E116" s="176"/>
      <c r="F116" s="176"/>
      <c r="G116" s="176"/>
      <c r="H116" s="176"/>
      <c r="I116" s="182"/>
      <c r="J116" s="179"/>
      <c r="K116" s="682"/>
      <c r="L116" s="319"/>
      <c r="M116" s="319"/>
      <c r="N116" s="319"/>
      <c r="O116" s="319"/>
      <c r="P116" s="319"/>
      <c r="Q116" s="319"/>
      <c r="R116" s="319"/>
      <c r="S116" s="319"/>
      <c r="T116" s="319"/>
      <c r="U116" s="319"/>
      <c r="V116" s="319"/>
      <c r="W116" s="319"/>
      <c r="X116" s="319"/>
      <c r="Y116" s="319"/>
      <c r="Z116" s="319"/>
      <c r="AA116" s="319"/>
      <c r="AB116" s="319"/>
      <c r="AC116" s="319"/>
      <c r="AD116" s="319"/>
      <c r="AE116" s="319"/>
      <c r="AG116" s="199"/>
    </row>
    <row r="117" spans="1:33" s="252" customFormat="1">
      <c r="A117" s="183"/>
      <c r="B117" s="184"/>
      <c r="C117" s="185"/>
      <c r="D117" s="186"/>
      <c r="E117" s="185"/>
      <c r="F117" s="185"/>
      <c r="G117" s="185"/>
      <c r="H117" s="185"/>
      <c r="I117" s="187"/>
      <c r="J117" s="188"/>
      <c r="K117" s="683"/>
      <c r="L117" s="320"/>
      <c r="M117" s="320"/>
      <c r="N117" s="320"/>
      <c r="O117" s="320"/>
      <c r="P117" s="320"/>
      <c r="Q117" s="320"/>
      <c r="R117" s="320"/>
      <c r="S117" s="320"/>
      <c r="T117" s="320"/>
      <c r="U117" s="320"/>
      <c r="V117" s="320"/>
      <c r="W117" s="320"/>
      <c r="X117" s="320"/>
      <c r="Y117" s="320"/>
      <c r="Z117" s="320"/>
      <c r="AA117" s="320"/>
      <c r="AB117" s="320"/>
      <c r="AC117" s="320"/>
      <c r="AD117" s="320"/>
      <c r="AE117" s="320"/>
      <c r="AG117" s="363"/>
    </row>
    <row r="118" spans="1:33">
      <c r="A118" s="39" t="s">
        <v>0</v>
      </c>
      <c r="B118" s="39"/>
      <c r="C118" s="102"/>
      <c r="D118" s="103"/>
      <c r="E118" s="104"/>
      <c r="F118" s="104"/>
      <c r="G118" s="104"/>
      <c r="H118" s="104"/>
      <c r="I118" s="39"/>
      <c r="J118" s="104"/>
      <c r="K118" s="688"/>
      <c r="L118" s="335"/>
      <c r="M118" s="335"/>
      <c r="N118" s="335"/>
      <c r="O118" s="335"/>
      <c r="P118" s="335"/>
      <c r="Q118" s="335"/>
      <c r="R118" s="335"/>
      <c r="S118" s="335"/>
      <c r="T118" s="335"/>
      <c r="U118" s="335"/>
      <c r="V118" s="335"/>
      <c r="W118" s="335"/>
      <c r="X118" s="335"/>
      <c r="Y118" s="335"/>
      <c r="Z118" s="335"/>
      <c r="AA118" s="335"/>
      <c r="AB118" s="335"/>
      <c r="AC118" s="335"/>
      <c r="AD118" s="335"/>
      <c r="AE118" s="335"/>
    </row>
    <row r="119" spans="1:33">
      <c r="A119" s="41" t="s">
        <v>13</v>
      </c>
      <c r="B119" s="41"/>
      <c r="C119" s="105"/>
      <c r="D119" s="106"/>
      <c r="E119" s="37"/>
      <c r="F119" s="37"/>
      <c r="G119" s="37"/>
      <c r="H119" s="37"/>
      <c r="I119" s="41"/>
      <c r="J119" s="37"/>
      <c r="K119" s="683"/>
      <c r="L119" s="200"/>
      <c r="M119" s="200"/>
      <c r="N119" s="200"/>
      <c r="O119" s="200"/>
      <c r="P119" s="200"/>
      <c r="Q119" s="200"/>
      <c r="R119" s="200"/>
      <c r="S119" s="200"/>
      <c r="T119" s="200"/>
      <c r="U119" s="201"/>
      <c r="V119" s="323"/>
      <c r="W119" s="200"/>
      <c r="X119" s="200"/>
      <c r="Y119" s="200"/>
      <c r="Z119" s="200"/>
      <c r="AA119" s="200"/>
      <c r="AB119" s="200"/>
      <c r="AC119" s="200"/>
      <c r="AD119" s="200"/>
      <c r="AE119" s="201"/>
    </row>
    <row r="120" spans="1:33">
      <c r="A120" s="96" t="s">
        <v>56</v>
      </c>
      <c r="B120" s="735" t="s">
        <v>12</v>
      </c>
      <c r="C120" s="663">
        <v>55000</v>
      </c>
      <c r="D120" s="736">
        <f>C120/2080</f>
        <v>26.442307692307693</v>
      </c>
      <c r="E120" s="663">
        <v>0</v>
      </c>
      <c r="F120" s="663">
        <f>C120*$F$13</f>
        <v>22000</v>
      </c>
      <c r="G120" s="663">
        <f>SUM(C120,E120:F120)</f>
        <v>77000</v>
      </c>
      <c r="H120" s="736">
        <f>G120/2080*8</f>
        <v>296.15384615384613</v>
      </c>
      <c r="I120" s="736"/>
      <c r="J120" s="663"/>
      <c r="K120" s="683">
        <v>0</v>
      </c>
      <c r="L120" s="665">
        <v>0</v>
      </c>
      <c r="M120" s="665">
        <f>$H$120*M32*0.25</f>
        <v>15844.230769230768</v>
      </c>
      <c r="N120" s="665">
        <f t="shared" ref="N120:AE120" si="29">$M$120*M11</f>
        <v>16484.33769230769</v>
      </c>
      <c r="O120" s="665">
        <f t="shared" si="29"/>
        <v>16814.024446153842</v>
      </c>
      <c r="P120" s="665">
        <f t="shared" si="29"/>
        <v>17150.304935076922</v>
      </c>
      <c r="Q120" s="665">
        <f t="shared" si="29"/>
        <v>17493.31103377846</v>
      </c>
      <c r="R120" s="665">
        <f t="shared" si="29"/>
        <v>17843.177254454029</v>
      </c>
      <c r="S120" s="665">
        <f t="shared" si="29"/>
        <v>18200.040799543109</v>
      </c>
      <c r="T120" s="665">
        <f t="shared" si="29"/>
        <v>18564.041615533974</v>
      </c>
      <c r="U120" s="665">
        <f t="shared" si="29"/>
        <v>18935.322447844654</v>
      </c>
      <c r="V120" s="665">
        <f t="shared" si="29"/>
        <v>19314.028896801548</v>
      </c>
      <c r="W120" s="665">
        <f t="shared" si="29"/>
        <v>19700.30947473758</v>
      </c>
      <c r="X120" s="665">
        <f t="shared" si="29"/>
        <v>20094.31566423233</v>
      </c>
      <c r="Y120" s="665">
        <f t="shared" si="29"/>
        <v>20496.201977516976</v>
      </c>
      <c r="Z120" s="665">
        <f t="shared" si="29"/>
        <v>20906.126017067316</v>
      </c>
      <c r="AA120" s="665">
        <f t="shared" si="29"/>
        <v>21324.248537408665</v>
      </c>
      <c r="AB120" s="665">
        <f t="shared" si="29"/>
        <v>21750.733508156838</v>
      </c>
      <c r="AC120" s="665">
        <f t="shared" si="29"/>
        <v>22185.748178319976</v>
      </c>
      <c r="AD120" s="665">
        <f t="shared" si="29"/>
        <v>22629.463141886376</v>
      </c>
      <c r="AE120" s="665">
        <f t="shared" si="29"/>
        <v>23082.052404724102</v>
      </c>
    </row>
    <row r="121" spans="1:33">
      <c r="A121" s="96" t="s">
        <v>57</v>
      </c>
      <c r="B121" s="735" t="s">
        <v>15</v>
      </c>
      <c r="C121" s="663">
        <v>15000</v>
      </c>
      <c r="D121" s="736">
        <f>C121/2080</f>
        <v>7.2115384615384617</v>
      </c>
      <c r="E121" s="663">
        <f>C121*E12</f>
        <v>3000</v>
      </c>
      <c r="F121" s="663">
        <f t="shared" ref="F121:F122" si="30">C121*$F$13</f>
        <v>6000</v>
      </c>
      <c r="G121" s="663">
        <f t="shared" ref="G121:G122" si="31">SUM(C121,E121:F121)</f>
        <v>24000</v>
      </c>
      <c r="H121" s="736">
        <f>G121/2080*12</f>
        <v>138.46153846153845</v>
      </c>
      <c r="I121" s="736"/>
      <c r="J121" s="663"/>
      <c r="K121" s="683">
        <v>0</v>
      </c>
      <c r="L121" s="665">
        <v>0</v>
      </c>
      <c r="M121" s="665">
        <f>$H$121*M32*0.5</f>
        <v>14815.384615384615</v>
      </c>
      <c r="N121" s="665">
        <f t="shared" ref="N121:AE121" si="32">$M$121*M11</f>
        <v>15413.926153846154</v>
      </c>
      <c r="O121" s="665">
        <f t="shared" si="32"/>
        <v>15722.204676923076</v>
      </c>
      <c r="P121" s="665">
        <f t="shared" si="32"/>
        <v>16036.648770461537</v>
      </c>
      <c r="Q121" s="665">
        <f t="shared" si="32"/>
        <v>16357.381745870769</v>
      </c>
      <c r="R121" s="665">
        <f t="shared" si="32"/>
        <v>16684.529380788186</v>
      </c>
      <c r="S121" s="665">
        <f t="shared" si="32"/>
        <v>17018.219968403948</v>
      </c>
      <c r="T121" s="665">
        <f t="shared" si="32"/>
        <v>17358.58436777203</v>
      </c>
      <c r="U121" s="665">
        <f t="shared" si="32"/>
        <v>17705.756055127469</v>
      </c>
      <c r="V121" s="665">
        <f t="shared" si="32"/>
        <v>18059.871176230019</v>
      </c>
      <c r="W121" s="665">
        <f t="shared" si="32"/>
        <v>18421.068599754621</v>
      </c>
      <c r="X121" s="665">
        <f t="shared" si="32"/>
        <v>18789.489971749714</v>
      </c>
      <c r="Y121" s="665">
        <f t="shared" si="32"/>
        <v>19165.279771184705</v>
      </c>
      <c r="Z121" s="665">
        <f t="shared" si="32"/>
        <v>19548.5853666084</v>
      </c>
      <c r="AA121" s="665">
        <f t="shared" si="32"/>
        <v>19939.55707394057</v>
      </c>
      <c r="AB121" s="665">
        <f t="shared" si="32"/>
        <v>20338.348215419381</v>
      </c>
      <c r="AC121" s="665">
        <f t="shared" si="32"/>
        <v>20745.115179727771</v>
      </c>
      <c r="AD121" s="665">
        <f t="shared" si="32"/>
        <v>21160.017483322328</v>
      </c>
      <c r="AE121" s="665">
        <f t="shared" si="32"/>
        <v>21583.217832988772</v>
      </c>
    </row>
    <row r="122" spans="1:33">
      <c r="A122" s="737" t="s">
        <v>57</v>
      </c>
      <c r="B122" s="738" t="s">
        <v>15</v>
      </c>
      <c r="C122" s="739">
        <v>15000</v>
      </c>
      <c r="D122" s="740">
        <f>C122/2080</f>
        <v>7.2115384615384617</v>
      </c>
      <c r="E122" s="739">
        <f>C122*$E$12</f>
        <v>3000</v>
      </c>
      <c r="F122" s="739">
        <f t="shared" si="30"/>
        <v>6000</v>
      </c>
      <c r="G122" s="739">
        <f t="shared" si="31"/>
        <v>24000</v>
      </c>
      <c r="H122" s="740">
        <f t="shared" ref="H122" si="33">G122/2080*12</f>
        <v>138.46153846153845</v>
      </c>
      <c r="I122" s="740"/>
      <c r="J122" s="739"/>
      <c r="K122" s="741">
        <v>0</v>
      </c>
      <c r="L122" s="742">
        <v>0</v>
      </c>
      <c r="M122" s="742">
        <f>$H$122*M32*0.5</f>
        <v>14815.384615384615</v>
      </c>
      <c r="N122" s="742">
        <f t="shared" ref="N122:AE122" si="34">$M$122*M11</f>
        <v>15413.926153846154</v>
      </c>
      <c r="O122" s="742">
        <f t="shared" si="34"/>
        <v>15722.204676923076</v>
      </c>
      <c r="P122" s="742">
        <f t="shared" si="34"/>
        <v>16036.648770461537</v>
      </c>
      <c r="Q122" s="742">
        <f t="shared" si="34"/>
        <v>16357.381745870769</v>
      </c>
      <c r="R122" s="742">
        <f t="shared" si="34"/>
        <v>16684.529380788186</v>
      </c>
      <c r="S122" s="742">
        <f t="shared" si="34"/>
        <v>17018.219968403948</v>
      </c>
      <c r="T122" s="742">
        <f t="shared" si="34"/>
        <v>17358.58436777203</v>
      </c>
      <c r="U122" s="742">
        <f t="shared" si="34"/>
        <v>17705.756055127469</v>
      </c>
      <c r="V122" s="742">
        <f t="shared" si="34"/>
        <v>18059.871176230019</v>
      </c>
      <c r="W122" s="742">
        <f t="shared" si="34"/>
        <v>18421.068599754621</v>
      </c>
      <c r="X122" s="742">
        <f t="shared" si="34"/>
        <v>18789.489971749714</v>
      </c>
      <c r="Y122" s="742">
        <f t="shared" si="34"/>
        <v>19165.279771184705</v>
      </c>
      <c r="Z122" s="742">
        <f t="shared" si="34"/>
        <v>19548.5853666084</v>
      </c>
      <c r="AA122" s="742">
        <f t="shared" si="34"/>
        <v>19939.55707394057</v>
      </c>
      <c r="AB122" s="742">
        <f t="shared" si="34"/>
        <v>20338.348215419381</v>
      </c>
      <c r="AC122" s="742">
        <f t="shared" si="34"/>
        <v>20745.115179727771</v>
      </c>
      <c r="AD122" s="742">
        <f t="shared" si="34"/>
        <v>21160.017483322328</v>
      </c>
      <c r="AE122" s="742">
        <f t="shared" si="34"/>
        <v>21583.217832988772</v>
      </c>
    </row>
    <row r="123" spans="1:33">
      <c r="A123" s="164" t="s">
        <v>414</v>
      </c>
      <c r="B123" s="164"/>
      <c r="C123" s="667">
        <f>SUM(C120:C122)</f>
        <v>85000</v>
      </c>
      <c r="D123" s="667"/>
      <c r="E123" s="667">
        <f>SUM(E120:E122)</f>
        <v>6000</v>
      </c>
      <c r="F123" s="667">
        <f>SUM(F120:F122)</f>
        <v>34000</v>
      </c>
      <c r="G123" s="667">
        <f>SUM(G120:G122)</f>
        <v>125000</v>
      </c>
      <c r="H123" s="667">
        <f>SUM(H120:H122)</f>
        <v>573.07692307692309</v>
      </c>
      <c r="I123" s="668"/>
      <c r="J123" s="667"/>
      <c r="K123" s="685">
        <f>SUMIF($B120:$B122,"FT",K120:K122)</f>
        <v>0</v>
      </c>
      <c r="L123" s="669">
        <f>SUM(L120:L122)</f>
        <v>0</v>
      </c>
      <c r="M123" s="669">
        <f t="shared" ref="M123:AE123" si="35">SUM(M120:M122)</f>
        <v>45475</v>
      </c>
      <c r="N123" s="669">
        <f t="shared" si="35"/>
        <v>47312.19</v>
      </c>
      <c r="O123" s="669">
        <f t="shared" si="35"/>
        <v>48258.433799999999</v>
      </c>
      <c r="P123" s="669">
        <f t="shared" si="35"/>
        <v>49223.602475999993</v>
      </c>
      <c r="Q123" s="669">
        <f t="shared" si="35"/>
        <v>50208.074525520002</v>
      </c>
      <c r="R123" s="669">
        <f t="shared" si="35"/>
        <v>51212.236016030394</v>
      </c>
      <c r="S123" s="669">
        <f t="shared" si="35"/>
        <v>52236.480736351004</v>
      </c>
      <c r="T123" s="669">
        <f t="shared" si="35"/>
        <v>53281.210351078029</v>
      </c>
      <c r="U123" s="669">
        <f t="shared" si="35"/>
        <v>54346.834558099596</v>
      </c>
      <c r="V123" s="669">
        <f t="shared" si="35"/>
        <v>55433.771249261583</v>
      </c>
      <c r="W123" s="669">
        <f t="shared" si="35"/>
        <v>56542.446674246821</v>
      </c>
      <c r="X123" s="669">
        <f t="shared" si="35"/>
        <v>57673.295607731765</v>
      </c>
      <c r="Y123" s="669">
        <f t="shared" si="35"/>
        <v>58826.761519886393</v>
      </c>
      <c r="Z123" s="669">
        <f t="shared" si="35"/>
        <v>60003.29675028412</v>
      </c>
      <c r="AA123" s="669">
        <f t="shared" si="35"/>
        <v>61203.362685289801</v>
      </c>
      <c r="AB123" s="669">
        <f t="shared" si="35"/>
        <v>62427.4299389956</v>
      </c>
      <c r="AC123" s="669">
        <f t="shared" si="35"/>
        <v>63675.978537775518</v>
      </c>
      <c r="AD123" s="669">
        <f t="shared" si="35"/>
        <v>64949.498108531028</v>
      </c>
      <c r="AE123" s="669">
        <f t="shared" si="35"/>
        <v>66248.488070701642</v>
      </c>
    </row>
    <row r="124" spans="1:33">
      <c r="A124" s="37"/>
      <c r="B124" s="37"/>
      <c r="C124" s="663"/>
      <c r="D124" s="663"/>
      <c r="E124" s="663"/>
      <c r="F124" s="663"/>
      <c r="G124" s="663"/>
      <c r="H124" s="663"/>
      <c r="I124" s="670"/>
      <c r="J124" s="663"/>
      <c r="K124" s="683"/>
      <c r="L124" s="666"/>
      <c r="M124" s="666"/>
      <c r="N124" s="666"/>
      <c r="O124" s="666"/>
      <c r="P124" s="666"/>
      <c r="Q124" s="666"/>
      <c r="R124" s="666"/>
      <c r="S124" s="666"/>
      <c r="T124" s="666"/>
      <c r="U124" s="666"/>
      <c r="V124" s="666"/>
      <c r="W124" s="666"/>
      <c r="X124" s="666"/>
      <c r="Y124" s="666"/>
      <c r="Z124" s="666"/>
      <c r="AA124" s="666"/>
      <c r="AB124" s="666"/>
      <c r="AC124" s="666"/>
      <c r="AD124" s="666"/>
      <c r="AE124" s="666"/>
    </row>
    <row r="125" spans="1:33">
      <c r="A125" s="37" t="s">
        <v>11</v>
      </c>
      <c r="B125" s="37"/>
      <c r="C125" s="663"/>
      <c r="D125" s="663"/>
      <c r="E125" s="663"/>
      <c r="F125" s="663"/>
      <c r="G125" s="663"/>
      <c r="H125" s="663"/>
      <c r="I125" s="670"/>
      <c r="J125" s="663"/>
      <c r="K125" s="743">
        <f>COUNTIF(K120:K122,"&gt;100")</f>
        <v>0</v>
      </c>
      <c r="L125" s="496">
        <f>COUNTIF(L120,"&gt;100")</f>
        <v>0</v>
      </c>
      <c r="M125" s="496">
        <f t="shared" ref="M125:AE125" si="36">COUNTIF(M120,"&gt;100")</f>
        <v>1</v>
      </c>
      <c r="N125" s="496">
        <f t="shared" si="36"/>
        <v>1</v>
      </c>
      <c r="O125" s="496">
        <f t="shared" si="36"/>
        <v>1</v>
      </c>
      <c r="P125" s="496">
        <f t="shared" si="36"/>
        <v>1</v>
      </c>
      <c r="Q125" s="496">
        <f t="shared" si="36"/>
        <v>1</v>
      </c>
      <c r="R125" s="496">
        <f t="shared" si="36"/>
        <v>1</v>
      </c>
      <c r="S125" s="496">
        <f t="shared" si="36"/>
        <v>1</v>
      </c>
      <c r="T125" s="496">
        <f t="shared" si="36"/>
        <v>1</v>
      </c>
      <c r="U125" s="496">
        <f t="shared" si="36"/>
        <v>1</v>
      </c>
      <c r="V125" s="496">
        <f t="shared" si="36"/>
        <v>1</v>
      </c>
      <c r="W125" s="496">
        <f t="shared" si="36"/>
        <v>1</v>
      </c>
      <c r="X125" s="496">
        <f t="shared" si="36"/>
        <v>1</v>
      </c>
      <c r="Y125" s="496">
        <f t="shared" si="36"/>
        <v>1</v>
      </c>
      <c r="Z125" s="496">
        <f t="shared" si="36"/>
        <v>1</v>
      </c>
      <c r="AA125" s="496">
        <f t="shared" si="36"/>
        <v>1</v>
      </c>
      <c r="AB125" s="496">
        <f t="shared" si="36"/>
        <v>1</v>
      </c>
      <c r="AC125" s="496">
        <f t="shared" si="36"/>
        <v>1</v>
      </c>
      <c r="AD125" s="496">
        <f t="shared" si="36"/>
        <v>1</v>
      </c>
      <c r="AE125" s="496">
        <f t="shared" si="36"/>
        <v>1</v>
      </c>
    </row>
    <row r="126" spans="1:33">
      <c r="A126" s="745" t="s">
        <v>10</v>
      </c>
      <c r="B126" s="745"/>
      <c r="C126" s="739"/>
      <c r="D126" s="739"/>
      <c r="E126" s="739"/>
      <c r="F126" s="739"/>
      <c r="G126" s="739"/>
      <c r="H126" s="739"/>
      <c r="I126" s="763"/>
      <c r="J126" s="739"/>
      <c r="K126" s="749">
        <f t="shared" ref="K126" si="37">K127-K125</f>
        <v>0</v>
      </c>
      <c r="L126" s="750">
        <f>COUNTIF(L121:L122,"&gt;100")</f>
        <v>0</v>
      </c>
      <c r="M126" s="750">
        <f t="shared" ref="M126:AE126" si="38">COUNTIF(M121:M122,"&gt;100")</f>
        <v>2</v>
      </c>
      <c r="N126" s="750">
        <f t="shared" si="38"/>
        <v>2</v>
      </c>
      <c r="O126" s="750">
        <f t="shared" si="38"/>
        <v>2</v>
      </c>
      <c r="P126" s="750">
        <f t="shared" si="38"/>
        <v>2</v>
      </c>
      <c r="Q126" s="750">
        <f t="shared" si="38"/>
        <v>2</v>
      </c>
      <c r="R126" s="750">
        <f t="shared" si="38"/>
        <v>2</v>
      </c>
      <c r="S126" s="750">
        <f t="shared" si="38"/>
        <v>2</v>
      </c>
      <c r="T126" s="750">
        <f t="shared" si="38"/>
        <v>2</v>
      </c>
      <c r="U126" s="750">
        <f t="shared" si="38"/>
        <v>2</v>
      </c>
      <c r="V126" s="750">
        <f t="shared" si="38"/>
        <v>2</v>
      </c>
      <c r="W126" s="750">
        <f t="shared" si="38"/>
        <v>2</v>
      </c>
      <c r="X126" s="750">
        <f t="shared" si="38"/>
        <v>2</v>
      </c>
      <c r="Y126" s="750">
        <f t="shared" si="38"/>
        <v>2</v>
      </c>
      <c r="Z126" s="750">
        <f t="shared" si="38"/>
        <v>2</v>
      </c>
      <c r="AA126" s="750">
        <f t="shared" si="38"/>
        <v>2</v>
      </c>
      <c r="AB126" s="750">
        <f t="shared" si="38"/>
        <v>2</v>
      </c>
      <c r="AC126" s="750">
        <f t="shared" si="38"/>
        <v>2</v>
      </c>
      <c r="AD126" s="750">
        <f t="shared" si="38"/>
        <v>2</v>
      </c>
      <c r="AE126" s="750">
        <f t="shared" si="38"/>
        <v>2</v>
      </c>
    </row>
    <row r="127" spans="1:33">
      <c r="A127" s="164" t="s">
        <v>9</v>
      </c>
      <c r="B127" s="164"/>
      <c r="C127" s="667"/>
      <c r="D127" s="667"/>
      <c r="E127" s="667"/>
      <c r="F127" s="667"/>
      <c r="G127" s="667"/>
      <c r="H127" s="667"/>
      <c r="I127" s="668"/>
      <c r="J127" s="667"/>
      <c r="K127" s="751">
        <f t="shared" ref="K127:AE127" si="39">COUNTIF(K120:K122,"&gt;0")</f>
        <v>0</v>
      </c>
      <c r="L127" s="752">
        <f t="shared" si="39"/>
        <v>0</v>
      </c>
      <c r="M127" s="752">
        <f t="shared" si="39"/>
        <v>3</v>
      </c>
      <c r="N127" s="752">
        <f t="shared" si="39"/>
        <v>3</v>
      </c>
      <c r="O127" s="752">
        <f t="shared" si="39"/>
        <v>3</v>
      </c>
      <c r="P127" s="752">
        <f t="shared" si="39"/>
        <v>3</v>
      </c>
      <c r="Q127" s="752">
        <f t="shared" si="39"/>
        <v>3</v>
      </c>
      <c r="R127" s="752">
        <f t="shared" si="39"/>
        <v>3</v>
      </c>
      <c r="S127" s="752">
        <f t="shared" si="39"/>
        <v>3</v>
      </c>
      <c r="T127" s="752">
        <f t="shared" si="39"/>
        <v>3</v>
      </c>
      <c r="U127" s="752">
        <f t="shared" si="39"/>
        <v>3</v>
      </c>
      <c r="V127" s="752">
        <f t="shared" si="39"/>
        <v>3</v>
      </c>
      <c r="W127" s="752">
        <f t="shared" si="39"/>
        <v>3</v>
      </c>
      <c r="X127" s="752">
        <f t="shared" si="39"/>
        <v>3</v>
      </c>
      <c r="Y127" s="752">
        <f t="shared" si="39"/>
        <v>3</v>
      </c>
      <c r="Z127" s="752">
        <f t="shared" si="39"/>
        <v>3</v>
      </c>
      <c r="AA127" s="752">
        <f t="shared" si="39"/>
        <v>3</v>
      </c>
      <c r="AB127" s="752">
        <f t="shared" si="39"/>
        <v>3</v>
      </c>
      <c r="AC127" s="752">
        <f t="shared" si="39"/>
        <v>3</v>
      </c>
      <c r="AD127" s="752">
        <f t="shared" si="39"/>
        <v>3</v>
      </c>
      <c r="AE127" s="752">
        <f t="shared" si="39"/>
        <v>3</v>
      </c>
    </row>
    <row r="128" spans="1:33">
      <c r="A128" s="37"/>
      <c r="B128" s="37"/>
      <c r="C128" s="57"/>
      <c r="E128" s="57"/>
      <c r="F128" s="57"/>
      <c r="G128" s="57"/>
      <c r="H128" s="57"/>
      <c r="I128" s="43"/>
      <c r="J128" s="42"/>
      <c r="K128" s="683"/>
      <c r="L128" s="316"/>
      <c r="M128" s="316"/>
      <c r="N128" s="316"/>
      <c r="O128" s="316"/>
      <c r="P128" s="316"/>
      <c r="Q128" s="316"/>
      <c r="R128" s="316"/>
      <c r="S128" s="316"/>
      <c r="T128" s="316"/>
      <c r="U128" s="316"/>
      <c r="V128" s="316"/>
      <c r="W128" s="316"/>
      <c r="X128" s="316"/>
      <c r="Y128" s="316"/>
      <c r="Z128" s="316"/>
      <c r="AA128" s="316"/>
      <c r="AB128" s="316"/>
      <c r="AC128" s="316"/>
      <c r="AD128" s="316"/>
      <c r="AE128" s="316"/>
    </row>
    <row r="129" spans="1:33" s="55" customFormat="1">
      <c r="A129" s="190" t="s">
        <v>60</v>
      </c>
      <c r="B129" s="191"/>
      <c r="C129" s="192"/>
      <c r="D129" s="193"/>
      <c r="E129" s="194"/>
      <c r="F129" s="194"/>
      <c r="G129" s="192"/>
      <c r="H129" s="192"/>
      <c r="I129" s="195">
        <v>0.2</v>
      </c>
      <c r="J129" s="196"/>
      <c r="K129" s="683">
        <v>0</v>
      </c>
      <c r="L129" s="665">
        <f>$I$129*L123</f>
        <v>0</v>
      </c>
      <c r="M129" s="665">
        <f t="shared" ref="M129:AE129" si="40">$I$129*M123</f>
        <v>9095</v>
      </c>
      <c r="N129" s="665">
        <f t="shared" si="40"/>
        <v>9462.4380000000001</v>
      </c>
      <c r="O129" s="665">
        <f t="shared" si="40"/>
        <v>9651.6867600000005</v>
      </c>
      <c r="P129" s="665">
        <f t="shared" si="40"/>
        <v>9844.7204951999993</v>
      </c>
      <c r="Q129" s="665">
        <f t="shared" si="40"/>
        <v>10041.614905104001</v>
      </c>
      <c r="R129" s="665">
        <f t="shared" si="40"/>
        <v>10242.44720320608</v>
      </c>
      <c r="S129" s="665">
        <f t="shared" si="40"/>
        <v>10447.296147270201</v>
      </c>
      <c r="T129" s="665">
        <f t="shared" si="40"/>
        <v>10656.242070215607</v>
      </c>
      <c r="U129" s="665">
        <f t="shared" si="40"/>
        <v>10869.36691161992</v>
      </c>
      <c r="V129" s="665">
        <f t="shared" si="40"/>
        <v>11086.754249852318</v>
      </c>
      <c r="W129" s="665">
        <f t="shared" si="40"/>
        <v>11308.489334849364</v>
      </c>
      <c r="X129" s="665">
        <f t="shared" si="40"/>
        <v>11534.659121546354</v>
      </c>
      <c r="Y129" s="665">
        <f t="shared" si="40"/>
        <v>11765.352303977279</v>
      </c>
      <c r="Z129" s="665">
        <f t="shared" si="40"/>
        <v>12000.659350056825</v>
      </c>
      <c r="AA129" s="665">
        <f t="shared" si="40"/>
        <v>12240.672537057961</v>
      </c>
      <c r="AB129" s="665">
        <f t="shared" si="40"/>
        <v>12485.48598779912</v>
      </c>
      <c r="AC129" s="665">
        <f t="shared" si="40"/>
        <v>12735.195707555104</v>
      </c>
      <c r="AD129" s="665">
        <f t="shared" si="40"/>
        <v>12989.899621706207</v>
      </c>
      <c r="AE129" s="665">
        <f t="shared" si="40"/>
        <v>13249.697614140328</v>
      </c>
    </row>
    <row r="130" spans="1:33">
      <c r="A130" s="190"/>
      <c r="B130" s="191"/>
      <c r="C130" s="192"/>
      <c r="D130" s="193"/>
      <c r="E130" s="194"/>
      <c r="F130" s="194"/>
      <c r="G130" s="192"/>
      <c r="H130" s="192"/>
      <c r="I130" s="195"/>
      <c r="J130" s="196"/>
      <c r="K130" s="685"/>
      <c r="L130" s="665"/>
      <c r="M130" s="665"/>
      <c r="N130" s="665"/>
      <c r="O130" s="665"/>
      <c r="P130" s="665"/>
      <c r="Q130" s="665"/>
      <c r="R130" s="665"/>
      <c r="S130" s="665"/>
      <c r="T130" s="665"/>
      <c r="U130" s="665"/>
      <c r="V130" s="665"/>
      <c r="W130" s="665"/>
      <c r="X130" s="665"/>
      <c r="Y130" s="665"/>
      <c r="Z130" s="665"/>
      <c r="AA130" s="665"/>
      <c r="AB130" s="665"/>
      <c r="AC130" s="665"/>
      <c r="AD130" s="665"/>
      <c r="AE130" s="665"/>
    </row>
    <row r="131" spans="1:33">
      <c r="A131" s="164" t="s">
        <v>61</v>
      </c>
      <c r="B131" s="164"/>
      <c r="C131" s="75"/>
      <c r="D131" s="173"/>
      <c r="E131" s="75"/>
      <c r="F131" s="75"/>
      <c r="G131" s="75"/>
      <c r="H131" s="75"/>
      <c r="I131" s="174"/>
      <c r="J131" s="175"/>
      <c r="K131" s="685">
        <v>0</v>
      </c>
      <c r="L131" s="669">
        <f>SUM(L123,L129)</f>
        <v>0</v>
      </c>
      <c r="M131" s="669">
        <f t="shared" ref="M131:AE131" si="41">SUM(M123,M129)</f>
        <v>54570</v>
      </c>
      <c r="N131" s="669">
        <f t="shared" si="41"/>
        <v>56774.628000000004</v>
      </c>
      <c r="O131" s="669">
        <f t="shared" si="41"/>
        <v>57910.120559999996</v>
      </c>
      <c r="P131" s="669">
        <f t="shared" si="41"/>
        <v>59068.322971199988</v>
      </c>
      <c r="Q131" s="669">
        <f t="shared" si="41"/>
        <v>60249.689430623999</v>
      </c>
      <c r="R131" s="669">
        <f t="shared" si="41"/>
        <v>61454.683219236475</v>
      </c>
      <c r="S131" s="669">
        <f t="shared" si="41"/>
        <v>62683.776883621205</v>
      </c>
      <c r="T131" s="669">
        <f t="shared" si="41"/>
        <v>63937.452421293638</v>
      </c>
      <c r="U131" s="669">
        <f t="shared" si="41"/>
        <v>65216.201469719512</v>
      </c>
      <c r="V131" s="669">
        <f t="shared" si="41"/>
        <v>66520.525499113894</v>
      </c>
      <c r="W131" s="669">
        <f t="shared" si="41"/>
        <v>67850.936009096185</v>
      </c>
      <c r="X131" s="669">
        <f t="shared" si="41"/>
        <v>69207.954729278121</v>
      </c>
      <c r="Y131" s="669">
        <f t="shared" si="41"/>
        <v>70592.113823863678</v>
      </c>
      <c r="Z131" s="669">
        <f t="shared" si="41"/>
        <v>72003.956100340947</v>
      </c>
      <c r="AA131" s="669">
        <f t="shared" si="41"/>
        <v>73444.035222347768</v>
      </c>
      <c r="AB131" s="669">
        <f t="shared" si="41"/>
        <v>74912.915926794725</v>
      </c>
      <c r="AC131" s="669">
        <f t="shared" si="41"/>
        <v>76411.174245330621</v>
      </c>
      <c r="AD131" s="669">
        <f t="shared" si="41"/>
        <v>77939.397730237237</v>
      </c>
      <c r="AE131" s="669">
        <f t="shared" si="41"/>
        <v>79498.18568484197</v>
      </c>
    </row>
    <row r="132" spans="1:33">
      <c r="A132" s="183"/>
      <c r="B132" s="184"/>
      <c r="C132" s="185"/>
      <c r="D132" s="186"/>
      <c r="E132" s="185"/>
      <c r="F132" s="185"/>
      <c r="G132" s="185"/>
      <c r="H132" s="185"/>
      <c r="I132" s="187"/>
      <c r="J132" s="188"/>
      <c r="K132" s="683"/>
      <c r="L132" s="320"/>
      <c r="M132" s="320"/>
      <c r="N132" s="320"/>
      <c r="O132" s="320"/>
      <c r="P132" s="320"/>
      <c r="Q132" s="320"/>
      <c r="R132" s="320"/>
      <c r="S132" s="320"/>
      <c r="T132" s="320"/>
      <c r="U132" s="320"/>
      <c r="V132" s="320"/>
      <c r="W132" s="320"/>
      <c r="X132" s="320"/>
      <c r="Y132" s="320"/>
      <c r="Z132" s="320"/>
      <c r="AA132" s="320"/>
      <c r="AB132" s="320"/>
      <c r="AC132" s="320"/>
      <c r="AD132" s="320"/>
      <c r="AE132" s="320"/>
    </row>
    <row r="133" spans="1:33">
      <c r="A133" s="39" t="s">
        <v>4</v>
      </c>
      <c r="B133" s="39"/>
      <c r="C133" s="111"/>
      <c r="D133" s="112"/>
      <c r="E133" s="111"/>
      <c r="F133" s="111"/>
      <c r="G133" s="111"/>
      <c r="H133" s="111"/>
      <c r="I133" s="40"/>
      <c r="J133" s="113"/>
      <c r="K133" s="688"/>
      <c r="L133" s="321"/>
      <c r="M133" s="321"/>
      <c r="N133" s="321"/>
      <c r="O133" s="321"/>
      <c r="P133" s="321"/>
      <c r="Q133" s="321"/>
      <c r="R133" s="321"/>
      <c r="S133" s="321"/>
      <c r="T133" s="321"/>
      <c r="U133" s="321"/>
      <c r="V133" s="321"/>
      <c r="W133" s="321"/>
      <c r="X133" s="321"/>
      <c r="Y133" s="321"/>
      <c r="Z133" s="321"/>
      <c r="AA133" s="321"/>
      <c r="AB133" s="321"/>
      <c r="AC133" s="321"/>
      <c r="AD133" s="321"/>
      <c r="AE133" s="321"/>
    </row>
    <row r="134" spans="1:33">
      <c r="A134" s="41" t="s">
        <v>13</v>
      </c>
      <c r="B134" s="41"/>
      <c r="C134" s="105"/>
      <c r="D134" s="106"/>
      <c r="E134" s="37"/>
      <c r="F134" s="37"/>
      <c r="G134" s="37"/>
      <c r="H134" s="37"/>
      <c r="I134" s="41"/>
      <c r="J134" s="37"/>
      <c r="K134" s="683"/>
      <c r="L134" s="200"/>
      <c r="M134" s="200"/>
      <c r="N134" s="200"/>
      <c r="O134" s="200"/>
      <c r="P134" s="200"/>
      <c r="Q134" s="200"/>
      <c r="R134" s="200"/>
      <c r="S134" s="200"/>
      <c r="T134" s="200"/>
      <c r="U134" s="201"/>
      <c r="V134" s="323"/>
      <c r="W134" s="200"/>
      <c r="X134" s="200"/>
      <c r="Y134" s="200"/>
      <c r="Z134" s="200"/>
      <c r="AA134" s="200"/>
      <c r="AB134" s="200"/>
      <c r="AC134" s="200"/>
      <c r="AD134" s="200"/>
      <c r="AE134" s="201"/>
    </row>
    <row r="135" spans="1:33">
      <c r="A135" s="33" t="s">
        <v>65</v>
      </c>
      <c r="B135" s="735" t="s">
        <v>12</v>
      </c>
      <c r="C135" s="663">
        <v>65000</v>
      </c>
      <c r="D135" s="736">
        <f>C135/2080</f>
        <v>31.25</v>
      </c>
      <c r="E135" s="663">
        <v>0</v>
      </c>
      <c r="F135" s="663">
        <f>C135*$F$13</f>
        <v>26000</v>
      </c>
      <c r="G135" s="663">
        <f>SUM(C135,E135:F135)</f>
        <v>91000</v>
      </c>
      <c r="H135" s="736">
        <f>G135/2080*8</f>
        <v>350</v>
      </c>
      <c r="I135" s="764"/>
      <c r="J135" s="765"/>
      <c r="K135" s="683">
        <v>0</v>
      </c>
      <c r="L135" s="665">
        <v>0</v>
      </c>
      <c r="M135" s="665">
        <f>$H$135*M32*0.25</f>
        <v>18725</v>
      </c>
      <c r="N135" s="665">
        <f t="shared" ref="N135:AE135" si="42">$M$135*L11</f>
        <v>19099.5</v>
      </c>
      <c r="O135" s="665">
        <f t="shared" si="42"/>
        <v>19481.490000000002</v>
      </c>
      <c r="P135" s="665">
        <f t="shared" si="42"/>
        <v>19871.1198</v>
      </c>
      <c r="Q135" s="665">
        <f t="shared" si="42"/>
        <v>20268.542195999999</v>
      </c>
      <c r="R135" s="665">
        <f t="shared" si="42"/>
        <v>20673.91303992</v>
      </c>
      <c r="S135" s="665">
        <f t="shared" si="42"/>
        <v>21087.391300718402</v>
      </c>
      <c r="T135" s="665">
        <f t="shared" si="42"/>
        <v>21509.139126732767</v>
      </c>
      <c r="U135" s="665">
        <f t="shared" si="42"/>
        <v>21939.321909267426</v>
      </c>
      <c r="V135" s="665">
        <f t="shared" si="42"/>
        <v>22378.108347452773</v>
      </c>
      <c r="W135" s="665">
        <f t="shared" si="42"/>
        <v>22825.670514401831</v>
      </c>
      <c r="X135" s="665">
        <f t="shared" si="42"/>
        <v>23282.183924689867</v>
      </c>
      <c r="Y135" s="665">
        <f t="shared" si="42"/>
        <v>23747.827603183665</v>
      </c>
      <c r="Z135" s="665">
        <f t="shared" si="42"/>
        <v>24222.784155247336</v>
      </c>
      <c r="AA135" s="665">
        <f t="shared" si="42"/>
        <v>24707.239838352285</v>
      </c>
      <c r="AB135" s="665">
        <f t="shared" si="42"/>
        <v>25201.384635119332</v>
      </c>
      <c r="AC135" s="665">
        <f t="shared" si="42"/>
        <v>25705.412327821719</v>
      </c>
      <c r="AD135" s="665">
        <f t="shared" si="42"/>
        <v>26219.520574378155</v>
      </c>
      <c r="AE135" s="665">
        <f t="shared" si="42"/>
        <v>26743.910985865718</v>
      </c>
    </row>
    <row r="136" spans="1:33">
      <c r="A136" s="37" t="s">
        <v>62</v>
      </c>
      <c r="B136" s="735" t="s">
        <v>12</v>
      </c>
      <c r="C136" s="663">
        <v>85000</v>
      </c>
      <c r="D136" s="736">
        <f>C136/2080</f>
        <v>40.865384615384613</v>
      </c>
      <c r="E136" s="663">
        <f>C136*$L$15</f>
        <v>0</v>
      </c>
      <c r="F136" s="663">
        <f t="shared" ref="F136:F139" si="43">C136*$F$13</f>
        <v>34000</v>
      </c>
      <c r="G136" s="663">
        <f t="shared" ref="G136:G139" si="44">SUM(C136,E136:F136)</f>
        <v>119000</v>
      </c>
      <c r="H136" s="736">
        <f>G136/2080*8</f>
        <v>457.69230769230768</v>
      </c>
      <c r="I136" s="764"/>
      <c r="J136" s="765"/>
      <c r="K136" s="683">
        <v>0</v>
      </c>
      <c r="L136" s="665">
        <v>0</v>
      </c>
      <c r="M136" s="665">
        <f>$H$136*M32*0.1</f>
        <v>9794.6153846153848</v>
      </c>
      <c r="N136" s="665">
        <f t="shared" ref="N136:AE136" si="45">$M$136*L11</f>
        <v>9990.5076923076922</v>
      </c>
      <c r="O136" s="665">
        <f t="shared" si="45"/>
        <v>10190.317846153846</v>
      </c>
      <c r="P136" s="665">
        <f t="shared" si="45"/>
        <v>10394.124203076923</v>
      </c>
      <c r="Q136" s="665">
        <f t="shared" si="45"/>
        <v>10602.006687138461</v>
      </c>
      <c r="R136" s="665">
        <f t="shared" si="45"/>
        <v>10814.046820881231</v>
      </c>
      <c r="S136" s="665">
        <f t="shared" si="45"/>
        <v>11030.327757298855</v>
      </c>
      <c r="T136" s="665">
        <f t="shared" si="45"/>
        <v>11250.934312444833</v>
      </c>
      <c r="U136" s="665">
        <f t="shared" si="45"/>
        <v>11475.95299869373</v>
      </c>
      <c r="V136" s="665">
        <f t="shared" si="45"/>
        <v>11705.472058667605</v>
      </c>
      <c r="W136" s="665">
        <f t="shared" si="45"/>
        <v>11939.581499840959</v>
      </c>
      <c r="X136" s="665">
        <f t="shared" si="45"/>
        <v>12178.373129837777</v>
      </c>
      <c r="Y136" s="665">
        <f t="shared" si="45"/>
        <v>12421.940592434532</v>
      </c>
      <c r="Z136" s="665">
        <f t="shared" si="45"/>
        <v>12670.379404283221</v>
      </c>
      <c r="AA136" s="665">
        <f t="shared" si="45"/>
        <v>12923.786992368889</v>
      </c>
      <c r="AB136" s="665">
        <f t="shared" si="45"/>
        <v>13182.262732216266</v>
      </c>
      <c r="AC136" s="665">
        <f t="shared" si="45"/>
        <v>13445.907986860591</v>
      </c>
      <c r="AD136" s="665">
        <f t="shared" si="45"/>
        <v>13714.826146597805</v>
      </c>
      <c r="AE136" s="665">
        <f t="shared" si="45"/>
        <v>13989.122669529761</v>
      </c>
    </row>
    <row r="137" spans="1:33">
      <c r="A137" s="37" t="s">
        <v>419</v>
      </c>
      <c r="B137" s="735" t="s">
        <v>12</v>
      </c>
      <c r="C137" s="663">
        <v>75000</v>
      </c>
      <c r="D137" s="736">
        <f>C137/2080</f>
        <v>36.057692307692307</v>
      </c>
      <c r="E137" s="663">
        <f>C137*$L$15</f>
        <v>0</v>
      </c>
      <c r="F137" s="663">
        <f t="shared" si="43"/>
        <v>30000</v>
      </c>
      <c r="G137" s="663">
        <f t="shared" si="44"/>
        <v>105000</v>
      </c>
      <c r="H137" s="736">
        <f>G137/2080*8</f>
        <v>403.84615384615387</v>
      </c>
      <c r="I137" s="764"/>
      <c r="J137" s="765"/>
      <c r="K137" s="683">
        <v>0</v>
      </c>
      <c r="L137" s="665">
        <v>0</v>
      </c>
      <c r="M137" s="665">
        <f>$H$137*M32*0.1</f>
        <v>8642.3076923076933</v>
      </c>
      <c r="N137" s="665">
        <f t="shared" ref="N137:AE137" si="46">$M$137*L11</f>
        <v>8815.1538461538476</v>
      </c>
      <c r="O137" s="665">
        <f t="shared" si="46"/>
        <v>8991.4569230769248</v>
      </c>
      <c r="P137" s="665">
        <f t="shared" si="46"/>
        <v>9171.2860615384616</v>
      </c>
      <c r="Q137" s="665">
        <f t="shared" si="46"/>
        <v>9354.7117827692309</v>
      </c>
      <c r="R137" s="665">
        <f t="shared" si="46"/>
        <v>9541.8060184246169</v>
      </c>
      <c r="S137" s="665">
        <f t="shared" si="46"/>
        <v>9732.6421387931096</v>
      </c>
      <c r="T137" s="665">
        <f t="shared" si="46"/>
        <v>9927.2949815689717</v>
      </c>
      <c r="U137" s="665">
        <f t="shared" si="46"/>
        <v>10125.840881200351</v>
      </c>
      <c r="V137" s="665">
        <f t="shared" si="46"/>
        <v>10328.357698824359</v>
      </c>
      <c r="W137" s="665">
        <f t="shared" si="46"/>
        <v>10534.924852800847</v>
      </c>
      <c r="X137" s="665">
        <f t="shared" si="46"/>
        <v>10745.623349856864</v>
      </c>
      <c r="Y137" s="665">
        <f t="shared" si="46"/>
        <v>10960.535816854001</v>
      </c>
      <c r="Z137" s="665">
        <f t="shared" si="46"/>
        <v>11179.746533191079</v>
      </c>
      <c r="AA137" s="665">
        <f t="shared" si="46"/>
        <v>11403.341463854902</v>
      </c>
      <c r="AB137" s="665">
        <f t="shared" si="46"/>
        <v>11631.408293132001</v>
      </c>
      <c r="AC137" s="665">
        <f t="shared" si="46"/>
        <v>11864.03645899464</v>
      </c>
      <c r="AD137" s="665">
        <f t="shared" si="46"/>
        <v>12101.317188174535</v>
      </c>
      <c r="AE137" s="665">
        <f t="shared" si="46"/>
        <v>12343.343531938026</v>
      </c>
    </row>
    <row r="138" spans="1:33">
      <c r="A138" s="37" t="s">
        <v>63</v>
      </c>
      <c r="B138" s="735" t="s">
        <v>15</v>
      </c>
      <c r="C138" s="663">
        <v>15000</v>
      </c>
      <c r="D138" s="736">
        <f t="shared" ref="D138:D139" si="47">C138/2080</f>
        <v>7.2115384615384617</v>
      </c>
      <c r="E138" s="663">
        <f>C138*$L$15</f>
        <v>0</v>
      </c>
      <c r="F138" s="663">
        <f t="shared" si="43"/>
        <v>6000</v>
      </c>
      <c r="G138" s="663">
        <f t="shared" si="44"/>
        <v>21000</v>
      </c>
      <c r="H138" s="736">
        <f t="shared" ref="H138:H139" si="48">G138/2080*8</f>
        <v>80.769230769230774</v>
      </c>
      <c r="I138" s="764"/>
      <c r="J138" s="765"/>
      <c r="K138" s="683">
        <v>0</v>
      </c>
      <c r="L138" s="665">
        <v>0</v>
      </c>
      <c r="M138" s="665">
        <f>($H$138*M32)*0.5</f>
        <v>8642.3076923076933</v>
      </c>
      <c r="N138" s="665">
        <f t="shared" ref="N138:AE138" si="49">$M$138*L11</f>
        <v>8815.1538461538476</v>
      </c>
      <c r="O138" s="665">
        <f t="shared" si="49"/>
        <v>8991.4569230769248</v>
      </c>
      <c r="P138" s="665">
        <f t="shared" si="49"/>
        <v>9171.2860615384616</v>
      </c>
      <c r="Q138" s="665">
        <f t="shared" si="49"/>
        <v>9354.7117827692309</v>
      </c>
      <c r="R138" s="665">
        <f t="shared" si="49"/>
        <v>9541.8060184246169</v>
      </c>
      <c r="S138" s="665">
        <f t="shared" si="49"/>
        <v>9732.6421387931096</v>
      </c>
      <c r="T138" s="665">
        <f t="shared" si="49"/>
        <v>9927.2949815689717</v>
      </c>
      <c r="U138" s="665">
        <f t="shared" si="49"/>
        <v>10125.840881200351</v>
      </c>
      <c r="V138" s="665">
        <f t="shared" si="49"/>
        <v>10328.357698824359</v>
      </c>
      <c r="W138" s="665">
        <f t="shared" si="49"/>
        <v>10534.924852800847</v>
      </c>
      <c r="X138" s="665">
        <f t="shared" si="49"/>
        <v>10745.623349856864</v>
      </c>
      <c r="Y138" s="665">
        <f t="shared" si="49"/>
        <v>10960.535816854001</v>
      </c>
      <c r="Z138" s="665">
        <f t="shared" si="49"/>
        <v>11179.746533191079</v>
      </c>
      <c r="AA138" s="665">
        <f t="shared" si="49"/>
        <v>11403.341463854902</v>
      </c>
      <c r="AB138" s="665">
        <f t="shared" si="49"/>
        <v>11631.408293132001</v>
      </c>
      <c r="AC138" s="665">
        <f t="shared" si="49"/>
        <v>11864.03645899464</v>
      </c>
      <c r="AD138" s="665">
        <f t="shared" si="49"/>
        <v>12101.317188174535</v>
      </c>
      <c r="AE138" s="665">
        <f t="shared" si="49"/>
        <v>12343.343531938026</v>
      </c>
    </row>
    <row r="139" spans="1:33">
      <c r="A139" s="745" t="s">
        <v>63</v>
      </c>
      <c r="B139" s="738" t="s">
        <v>15</v>
      </c>
      <c r="C139" s="739">
        <v>15000</v>
      </c>
      <c r="D139" s="740">
        <f t="shared" si="47"/>
        <v>7.2115384615384617</v>
      </c>
      <c r="E139" s="739">
        <f>C139*$L$15</f>
        <v>0</v>
      </c>
      <c r="F139" s="739">
        <f t="shared" si="43"/>
        <v>6000</v>
      </c>
      <c r="G139" s="739">
        <f t="shared" si="44"/>
        <v>21000</v>
      </c>
      <c r="H139" s="740">
        <f t="shared" si="48"/>
        <v>80.769230769230774</v>
      </c>
      <c r="I139" s="766"/>
      <c r="J139" s="767"/>
      <c r="K139" s="741">
        <v>0</v>
      </c>
      <c r="L139" s="742">
        <v>0</v>
      </c>
      <c r="M139" s="742">
        <f>($H$139*M32)*0.5</f>
        <v>8642.3076923076933</v>
      </c>
      <c r="N139" s="742">
        <f t="shared" ref="N139:AE139" si="50">$M$139*L11</f>
        <v>8815.1538461538476</v>
      </c>
      <c r="O139" s="742">
        <f t="shared" si="50"/>
        <v>8991.4569230769248</v>
      </c>
      <c r="P139" s="742">
        <f t="shared" si="50"/>
        <v>9171.2860615384616</v>
      </c>
      <c r="Q139" s="742">
        <f t="shared" si="50"/>
        <v>9354.7117827692309</v>
      </c>
      <c r="R139" s="742">
        <f t="shared" si="50"/>
        <v>9541.8060184246169</v>
      </c>
      <c r="S139" s="742">
        <f t="shared" si="50"/>
        <v>9732.6421387931096</v>
      </c>
      <c r="T139" s="742">
        <f t="shared" si="50"/>
        <v>9927.2949815689717</v>
      </c>
      <c r="U139" s="742">
        <f t="shared" si="50"/>
        <v>10125.840881200351</v>
      </c>
      <c r="V139" s="742">
        <f t="shared" si="50"/>
        <v>10328.357698824359</v>
      </c>
      <c r="W139" s="742">
        <f t="shared" si="50"/>
        <v>10534.924852800847</v>
      </c>
      <c r="X139" s="742">
        <f t="shared" si="50"/>
        <v>10745.623349856864</v>
      </c>
      <c r="Y139" s="742">
        <f t="shared" si="50"/>
        <v>10960.535816854001</v>
      </c>
      <c r="Z139" s="742">
        <f t="shared" si="50"/>
        <v>11179.746533191079</v>
      </c>
      <c r="AA139" s="742">
        <f t="shared" si="50"/>
        <v>11403.341463854902</v>
      </c>
      <c r="AB139" s="742">
        <f t="shared" si="50"/>
        <v>11631.408293132001</v>
      </c>
      <c r="AC139" s="742">
        <f t="shared" si="50"/>
        <v>11864.03645899464</v>
      </c>
      <c r="AD139" s="742">
        <f t="shared" si="50"/>
        <v>12101.317188174535</v>
      </c>
      <c r="AE139" s="742">
        <f t="shared" si="50"/>
        <v>12343.343531938026</v>
      </c>
    </row>
    <row r="140" spans="1:33" s="56" customFormat="1" ht="14.25">
      <c r="A140" s="164" t="s">
        <v>415</v>
      </c>
      <c r="B140" s="164"/>
      <c r="C140" s="667">
        <f>SUM(C135:C139)</f>
        <v>255000</v>
      </c>
      <c r="D140" s="667"/>
      <c r="E140" s="667">
        <f>SUM(E135:E139)</f>
        <v>0</v>
      </c>
      <c r="F140" s="667">
        <f>SUM(F135:F139)</f>
        <v>102000</v>
      </c>
      <c r="G140" s="667">
        <f>SUM(G135:G139)</f>
        <v>357000</v>
      </c>
      <c r="H140" s="667">
        <f>SUM(H135:H139)</f>
        <v>1373.0769230769229</v>
      </c>
      <c r="I140" s="768"/>
      <c r="J140" s="769"/>
      <c r="K140" s="685">
        <f>SUMIF($B135:$B139,"FT",K135:K139)</f>
        <v>0</v>
      </c>
      <c r="L140" s="669">
        <f>SUMIF($B135:$B139,"FT",L135:L139)</f>
        <v>0</v>
      </c>
      <c r="M140" s="669">
        <f>SUM(M135:M139)</f>
        <v>54446.538461538468</v>
      </c>
      <c r="N140" s="669">
        <f t="shared" ref="N140:AE140" si="51">SUM(N135:N139)</f>
        <v>55535.469230769231</v>
      </c>
      <c r="O140" s="669">
        <f t="shared" si="51"/>
        <v>56646.178615384626</v>
      </c>
      <c r="P140" s="669">
        <f t="shared" si="51"/>
        <v>57779.102187692311</v>
      </c>
      <c r="Q140" s="669">
        <f t="shared" si="51"/>
        <v>58934.684231446139</v>
      </c>
      <c r="R140" s="669">
        <f t="shared" si="51"/>
        <v>60113.377916075071</v>
      </c>
      <c r="S140" s="669">
        <f t="shared" si="51"/>
        <v>61315.645474396588</v>
      </c>
      <c r="T140" s="669">
        <f t="shared" si="51"/>
        <v>62541.958383884514</v>
      </c>
      <c r="U140" s="669">
        <f t="shared" si="51"/>
        <v>63792.797551562195</v>
      </c>
      <c r="V140" s="669">
        <f t="shared" si="51"/>
        <v>65068.653502593457</v>
      </c>
      <c r="W140" s="669">
        <f t="shared" si="51"/>
        <v>66370.026572645322</v>
      </c>
      <c r="X140" s="669">
        <f t="shared" si="51"/>
        <v>67697.427104098228</v>
      </c>
      <c r="Y140" s="669">
        <f t="shared" si="51"/>
        <v>69051.375646180197</v>
      </c>
      <c r="Z140" s="669">
        <f t="shared" si="51"/>
        <v>70432.403159103793</v>
      </c>
      <c r="AA140" s="669">
        <f t="shared" si="51"/>
        <v>71841.051222285882</v>
      </c>
      <c r="AB140" s="669">
        <f t="shared" si="51"/>
        <v>73277.872246731597</v>
      </c>
      <c r="AC140" s="669">
        <f t="shared" si="51"/>
        <v>74743.429691666228</v>
      </c>
      <c r="AD140" s="669">
        <f t="shared" si="51"/>
        <v>76238.298285499564</v>
      </c>
      <c r="AE140" s="669">
        <f t="shared" si="51"/>
        <v>77763.064251209551</v>
      </c>
    </row>
    <row r="141" spans="1:33">
      <c r="A141" s="37"/>
      <c r="B141" s="37"/>
      <c r="C141" s="663"/>
      <c r="D141" s="663"/>
      <c r="E141" s="663"/>
      <c r="F141" s="663"/>
      <c r="G141" s="663"/>
      <c r="H141" s="663"/>
      <c r="I141" s="107"/>
      <c r="J141" s="108"/>
      <c r="K141" s="683"/>
      <c r="L141" s="666"/>
      <c r="M141" s="666"/>
      <c r="N141" s="666"/>
      <c r="O141" s="666"/>
      <c r="P141" s="666"/>
      <c r="Q141" s="666"/>
      <c r="R141" s="666"/>
      <c r="S141" s="666"/>
      <c r="T141" s="666"/>
      <c r="U141" s="666"/>
      <c r="V141" s="666"/>
      <c r="W141" s="666"/>
      <c r="X141" s="666"/>
      <c r="Y141" s="666"/>
      <c r="Z141" s="666"/>
      <c r="AA141" s="666"/>
      <c r="AB141" s="666"/>
      <c r="AC141" s="666"/>
      <c r="AD141" s="666"/>
      <c r="AE141" s="666"/>
    </row>
    <row r="142" spans="1:33">
      <c r="A142" s="37" t="s">
        <v>11</v>
      </c>
      <c r="B142" s="37"/>
      <c r="C142" s="57"/>
      <c r="E142" s="57"/>
      <c r="F142" s="57"/>
      <c r="G142" s="57"/>
      <c r="H142" s="57"/>
      <c r="I142" s="43"/>
      <c r="J142" s="42"/>
      <c r="K142" s="770">
        <f>COUNTIF(K135:K139,"&gt;100")</f>
        <v>0</v>
      </c>
      <c r="L142" s="771">
        <f>COUNTIF(L135:L137,"&gt;100")</f>
        <v>0</v>
      </c>
      <c r="M142" s="771">
        <f t="shared" ref="M142:AE142" si="52">COUNTIF(M135:M137,"&gt;100")</f>
        <v>3</v>
      </c>
      <c r="N142" s="771">
        <f t="shared" si="52"/>
        <v>3</v>
      </c>
      <c r="O142" s="771">
        <f t="shared" si="52"/>
        <v>3</v>
      </c>
      <c r="P142" s="771">
        <f t="shared" si="52"/>
        <v>3</v>
      </c>
      <c r="Q142" s="771">
        <f t="shared" si="52"/>
        <v>3</v>
      </c>
      <c r="R142" s="771">
        <f t="shared" si="52"/>
        <v>3</v>
      </c>
      <c r="S142" s="771">
        <f t="shared" si="52"/>
        <v>3</v>
      </c>
      <c r="T142" s="771">
        <f t="shared" si="52"/>
        <v>3</v>
      </c>
      <c r="U142" s="771">
        <f t="shared" si="52"/>
        <v>3</v>
      </c>
      <c r="V142" s="771">
        <f t="shared" si="52"/>
        <v>3</v>
      </c>
      <c r="W142" s="771">
        <f t="shared" si="52"/>
        <v>3</v>
      </c>
      <c r="X142" s="771">
        <f t="shared" si="52"/>
        <v>3</v>
      </c>
      <c r="Y142" s="771">
        <f t="shared" si="52"/>
        <v>3</v>
      </c>
      <c r="Z142" s="771">
        <f t="shared" si="52"/>
        <v>3</v>
      </c>
      <c r="AA142" s="771">
        <f t="shared" si="52"/>
        <v>3</v>
      </c>
      <c r="AB142" s="771">
        <f t="shared" si="52"/>
        <v>3</v>
      </c>
      <c r="AC142" s="771">
        <f t="shared" si="52"/>
        <v>3</v>
      </c>
      <c r="AD142" s="771">
        <f t="shared" si="52"/>
        <v>3</v>
      </c>
      <c r="AE142" s="771">
        <f t="shared" si="52"/>
        <v>3</v>
      </c>
      <c r="AF142" s="772"/>
      <c r="AG142" s="772"/>
    </row>
    <row r="143" spans="1:33">
      <c r="A143" s="745" t="s">
        <v>10</v>
      </c>
      <c r="B143" s="745"/>
      <c r="C143" s="746"/>
      <c r="D143" s="116"/>
      <c r="E143" s="746"/>
      <c r="F143" s="746"/>
      <c r="G143" s="746"/>
      <c r="H143" s="746"/>
      <c r="I143" s="747"/>
      <c r="J143" s="748"/>
      <c r="K143" s="773">
        <v>0</v>
      </c>
      <c r="L143" s="774">
        <f>COUNTIF(L138:L139,"&gt;100")</f>
        <v>0</v>
      </c>
      <c r="M143" s="774">
        <f t="shared" ref="M143:AE143" si="53">COUNTIF(M138:M139,"&gt;100")</f>
        <v>2</v>
      </c>
      <c r="N143" s="774">
        <f t="shared" si="53"/>
        <v>2</v>
      </c>
      <c r="O143" s="774">
        <f t="shared" si="53"/>
        <v>2</v>
      </c>
      <c r="P143" s="774">
        <f t="shared" si="53"/>
        <v>2</v>
      </c>
      <c r="Q143" s="774">
        <f t="shared" si="53"/>
        <v>2</v>
      </c>
      <c r="R143" s="774">
        <f t="shared" si="53"/>
        <v>2</v>
      </c>
      <c r="S143" s="774">
        <f t="shared" si="53"/>
        <v>2</v>
      </c>
      <c r="T143" s="774">
        <f t="shared" si="53"/>
        <v>2</v>
      </c>
      <c r="U143" s="774">
        <f t="shared" si="53"/>
        <v>2</v>
      </c>
      <c r="V143" s="774">
        <f t="shared" si="53"/>
        <v>2</v>
      </c>
      <c r="W143" s="774">
        <f t="shared" si="53"/>
        <v>2</v>
      </c>
      <c r="X143" s="774">
        <f t="shared" si="53"/>
        <v>2</v>
      </c>
      <c r="Y143" s="774">
        <f t="shared" si="53"/>
        <v>2</v>
      </c>
      <c r="Z143" s="774">
        <f t="shared" si="53"/>
        <v>2</v>
      </c>
      <c r="AA143" s="774">
        <f t="shared" si="53"/>
        <v>2</v>
      </c>
      <c r="AB143" s="774">
        <f t="shared" si="53"/>
        <v>2</v>
      </c>
      <c r="AC143" s="774">
        <f t="shared" si="53"/>
        <v>2</v>
      </c>
      <c r="AD143" s="774">
        <f t="shared" si="53"/>
        <v>2</v>
      </c>
      <c r="AE143" s="774">
        <f t="shared" si="53"/>
        <v>2</v>
      </c>
      <c r="AF143" s="772"/>
      <c r="AG143" s="772"/>
    </row>
    <row r="144" spans="1:33" s="56" customFormat="1" ht="14.25">
      <c r="A144" s="164" t="s">
        <v>9</v>
      </c>
      <c r="B144" s="164"/>
      <c r="C144" s="75"/>
      <c r="D144" s="173"/>
      <c r="E144" s="75"/>
      <c r="F144" s="75"/>
      <c r="G144" s="75"/>
      <c r="H144" s="75"/>
      <c r="I144" s="174"/>
      <c r="J144" s="181"/>
      <c r="K144" s="775">
        <v>0</v>
      </c>
      <c r="L144" s="776">
        <f>SUM(L142:L143)</f>
        <v>0</v>
      </c>
      <c r="M144" s="776">
        <f t="shared" ref="M144:AE144" si="54">COUNTIF(M135:M139,"&gt;0")</f>
        <v>5</v>
      </c>
      <c r="N144" s="776">
        <f t="shared" si="54"/>
        <v>5</v>
      </c>
      <c r="O144" s="776">
        <f t="shared" si="54"/>
        <v>5</v>
      </c>
      <c r="P144" s="776">
        <f t="shared" si="54"/>
        <v>5</v>
      </c>
      <c r="Q144" s="776">
        <f t="shared" si="54"/>
        <v>5</v>
      </c>
      <c r="R144" s="776">
        <f t="shared" si="54"/>
        <v>5</v>
      </c>
      <c r="S144" s="776">
        <f t="shared" si="54"/>
        <v>5</v>
      </c>
      <c r="T144" s="776">
        <f t="shared" si="54"/>
        <v>5</v>
      </c>
      <c r="U144" s="776">
        <f t="shared" si="54"/>
        <v>5</v>
      </c>
      <c r="V144" s="776">
        <f t="shared" si="54"/>
        <v>5</v>
      </c>
      <c r="W144" s="776">
        <f t="shared" si="54"/>
        <v>5</v>
      </c>
      <c r="X144" s="776">
        <f t="shared" si="54"/>
        <v>5</v>
      </c>
      <c r="Y144" s="776">
        <f t="shared" si="54"/>
        <v>5</v>
      </c>
      <c r="Z144" s="776">
        <f t="shared" si="54"/>
        <v>5</v>
      </c>
      <c r="AA144" s="776">
        <f t="shared" si="54"/>
        <v>5</v>
      </c>
      <c r="AB144" s="776">
        <f t="shared" si="54"/>
        <v>5</v>
      </c>
      <c r="AC144" s="776">
        <f t="shared" si="54"/>
        <v>5</v>
      </c>
      <c r="AD144" s="776">
        <f t="shared" si="54"/>
        <v>5</v>
      </c>
      <c r="AE144" s="776">
        <f t="shared" si="54"/>
        <v>5</v>
      </c>
      <c r="AF144" s="723"/>
      <c r="AG144" s="723"/>
    </row>
    <row r="145" spans="1:33">
      <c r="B145" s="37"/>
      <c r="C145" s="57"/>
      <c r="E145" s="57"/>
      <c r="F145" s="57"/>
      <c r="G145" s="57"/>
      <c r="H145" s="57"/>
      <c r="I145" s="43"/>
      <c r="J145" s="42"/>
      <c r="K145" s="683"/>
      <c r="L145" s="316"/>
      <c r="M145" s="316"/>
      <c r="N145" s="316"/>
      <c r="O145" s="316"/>
      <c r="P145" s="316"/>
      <c r="Q145" s="316"/>
      <c r="R145" s="316"/>
      <c r="S145" s="316"/>
      <c r="T145" s="316"/>
      <c r="U145" s="316"/>
      <c r="V145" s="316"/>
      <c r="W145" s="316"/>
      <c r="X145" s="316"/>
      <c r="Y145" s="316"/>
      <c r="Z145" s="316"/>
      <c r="AA145" s="316"/>
      <c r="AB145" s="316"/>
      <c r="AC145" s="316"/>
      <c r="AD145" s="316"/>
      <c r="AE145" s="316"/>
    </row>
    <row r="146" spans="1:33">
      <c r="A146" s="33" t="s">
        <v>60</v>
      </c>
      <c r="B146" s="191"/>
      <c r="C146" s="192"/>
      <c r="D146" s="193"/>
      <c r="E146" s="194"/>
      <c r="F146" s="194"/>
      <c r="G146" s="192"/>
      <c r="H146" s="192"/>
      <c r="I146" s="195">
        <v>0.2</v>
      </c>
      <c r="J146" s="196"/>
      <c r="K146" s="689">
        <v>0</v>
      </c>
      <c r="L146" s="665">
        <f t="shared" ref="L146:AE146" si="55">L140*$I$146</f>
        <v>0</v>
      </c>
      <c r="M146" s="665">
        <f t="shared" si="55"/>
        <v>10889.307692307695</v>
      </c>
      <c r="N146" s="665">
        <f t="shared" si="55"/>
        <v>11107.093846153846</v>
      </c>
      <c r="O146" s="665">
        <f t="shared" si="55"/>
        <v>11329.235723076927</v>
      </c>
      <c r="P146" s="665">
        <f t="shared" si="55"/>
        <v>11555.820437538463</v>
      </c>
      <c r="Q146" s="665">
        <f t="shared" si="55"/>
        <v>11786.936846289229</v>
      </c>
      <c r="R146" s="665">
        <f t="shared" si="55"/>
        <v>12022.675583215016</v>
      </c>
      <c r="S146" s="665">
        <f t="shared" si="55"/>
        <v>12263.129094879318</v>
      </c>
      <c r="T146" s="665">
        <f t="shared" si="55"/>
        <v>12508.391676776904</v>
      </c>
      <c r="U146" s="665">
        <f t="shared" si="55"/>
        <v>12758.55951031244</v>
      </c>
      <c r="V146" s="665">
        <f t="shared" si="55"/>
        <v>13013.730700518692</v>
      </c>
      <c r="W146" s="665">
        <f t="shared" si="55"/>
        <v>13274.005314529066</v>
      </c>
      <c r="X146" s="665">
        <f t="shared" si="55"/>
        <v>13539.485420819647</v>
      </c>
      <c r="Y146" s="665">
        <f t="shared" si="55"/>
        <v>13810.275129236041</v>
      </c>
      <c r="Z146" s="665">
        <f t="shared" si="55"/>
        <v>14086.480631820759</v>
      </c>
      <c r="AA146" s="665">
        <f t="shared" si="55"/>
        <v>14368.210244457177</v>
      </c>
      <c r="AB146" s="665">
        <f t="shared" si="55"/>
        <v>14655.574449346321</v>
      </c>
      <c r="AC146" s="665">
        <f t="shared" si="55"/>
        <v>14948.685938333247</v>
      </c>
      <c r="AD146" s="665">
        <f t="shared" si="55"/>
        <v>15247.659657099914</v>
      </c>
      <c r="AE146" s="665">
        <f t="shared" si="55"/>
        <v>15552.612850241911</v>
      </c>
    </row>
    <row r="147" spans="1:33">
      <c r="B147" s="191"/>
      <c r="C147" s="192"/>
      <c r="D147" s="193"/>
      <c r="E147" s="194"/>
      <c r="F147" s="194"/>
      <c r="G147" s="192"/>
      <c r="H147" s="192"/>
      <c r="I147" s="195"/>
      <c r="J147" s="196"/>
      <c r="K147" s="689"/>
      <c r="L147" s="665"/>
      <c r="M147" s="665"/>
      <c r="N147" s="665"/>
      <c r="O147" s="665"/>
      <c r="P147" s="665"/>
      <c r="Q147" s="665"/>
      <c r="R147" s="665"/>
      <c r="S147" s="665"/>
      <c r="T147" s="665"/>
      <c r="U147" s="665"/>
      <c r="V147" s="665"/>
      <c r="W147" s="665"/>
      <c r="X147" s="665"/>
      <c r="Y147" s="665"/>
      <c r="Z147" s="665"/>
      <c r="AA147" s="665"/>
      <c r="AB147" s="665"/>
      <c r="AC147" s="665"/>
      <c r="AD147" s="665"/>
      <c r="AE147" s="665"/>
    </row>
    <row r="148" spans="1:33" s="197" customFormat="1" ht="14.25">
      <c r="A148" s="197" t="s">
        <v>68</v>
      </c>
      <c r="D148" s="198"/>
      <c r="K148" s="690"/>
      <c r="L148" s="677"/>
      <c r="M148" s="677"/>
      <c r="N148" s="677"/>
      <c r="O148" s="677"/>
      <c r="P148" s="677"/>
      <c r="Q148" s="677"/>
      <c r="R148" s="677"/>
      <c r="S148" s="677"/>
      <c r="T148" s="677"/>
      <c r="U148" s="677"/>
      <c r="V148" s="677"/>
      <c r="W148" s="677"/>
      <c r="X148" s="677"/>
      <c r="Y148" s="677"/>
      <c r="Z148" s="677"/>
      <c r="AA148" s="677"/>
      <c r="AB148" s="677"/>
      <c r="AC148" s="677"/>
      <c r="AD148" s="677"/>
      <c r="AE148" s="677"/>
    </row>
    <row r="149" spans="1:33">
      <c r="A149" s="37" t="s">
        <v>423</v>
      </c>
      <c r="B149" s="37"/>
      <c r="C149" s="110"/>
      <c r="D149" s="106"/>
      <c r="E149" s="57"/>
      <c r="F149" s="57"/>
      <c r="G149" s="57"/>
      <c r="H149" s="57"/>
      <c r="I149" s="49"/>
      <c r="J149" s="44"/>
      <c r="K149" s="683">
        <f>COUNTIF(K$115:K$122,"&gt;0")*$J149*R$9</f>
        <v>0</v>
      </c>
      <c r="L149" s="666">
        <v>0</v>
      </c>
      <c r="M149" s="666">
        <v>10000</v>
      </c>
      <c r="N149" s="666">
        <f t="shared" ref="N149:AE149" si="56">$M$149*L11</f>
        <v>10200</v>
      </c>
      <c r="O149" s="666">
        <f t="shared" si="56"/>
        <v>10404</v>
      </c>
      <c r="P149" s="666">
        <f t="shared" si="56"/>
        <v>10612.08</v>
      </c>
      <c r="Q149" s="666">
        <f t="shared" si="56"/>
        <v>10824.321599999999</v>
      </c>
      <c r="R149" s="666">
        <f t="shared" si="56"/>
        <v>11040.808032000001</v>
      </c>
      <c r="S149" s="666">
        <f t="shared" si="56"/>
        <v>11261.62419264</v>
      </c>
      <c r="T149" s="666">
        <f t="shared" si="56"/>
        <v>11486.8566764928</v>
      </c>
      <c r="U149" s="666">
        <f t="shared" si="56"/>
        <v>11716.593810022658</v>
      </c>
      <c r="V149" s="666">
        <f t="shared" si="56"/>
        <v>11950.92568622311</v>
      </c>
      <c r="W149" s="666">
        <f t="shared" si="56"/>
        <v>12189.944199947573</v>
      </c>
      <c r="X149" s="666">
        <f t="shared" si="56"/>
        <v>12433.743083946525</v>
      </c>
      <c r="Y149" s="666">
        <f t="shared" si="56"/>
        <v>12682.417945625455</v>
      </c>
      <c r="Z149" s="666">
        <f t="shared" si="56"/>
        <v>12936.066304537962</v>
      </c>
      <c r="AA149" s="666">
        <f t="shared" si="56"/>
        <v>13194.787630628723</v>
      </c>
      <c r="AB149" s="666">
        <f t="shared" si="56"/>
        <v>13458.683383241299</v>
      </c>
      <c r="AC149" s="666">
        <f t="shared" si="56"/>
        <v>13727.857050906125</v>
      </c>
      <c r="AD149" s="666">
        <f t="shared" si="56"/>
        <v>14002.414191924248</v>
      </c>
      <c r="AE149" s="666">
        <f t="shared" si="56"/>
        <v>14282.462475762733</v>
      </c>
    </row>
    <row r="150" spans="1:33">
      <c r="A150" s="37" t="s">
        <v>67</v>
      </c>
      <c r="B150" s="37"/>
      <c r="C150" s="110"/>
      <c r="D150" s="106"/>
      <c r="E150" s="57"/>
      <c r="F150" s="57"/>
      <c r="G150" s="57"/>
      <c r="H150" s="57"/>
      <c r="I150" s="51"/>
      <c r="J150" s="44"/>
      <c r="K150" s="683">
        <v>0</v>
      </c>
      <c r="L150" s="666">
        <v>0</v>
      </c>
      <c r="M150" s="666">
        <v>10000</v>
      </c>
      <c r="N150" s="666">
        <f t="shared" ref="N150:AE150" si="57">$M$150*L11</f>
        <v>10200</v>
      </c>
      <c r="O150" s="666">
        <f t="shared" si="57"/>
        <v>10404</v>
      </c>
      <c r="P150" s="666">
        <f t="shared" si="57"/>
        <v>10612.08</v>
      </c>
      <c r="Q150" s="666">
        <f t="shared" si="57"/>
        <v>10824.321599999999</v>
      </c>
      <c r="R150" s="666">
        <f t="shared" si="57"/>
        <v>11040.808032000001</v>
      </c>
      <c r="S150" s="666">
        <f t="shared" si="57"/>
        <v>11261.62419264</v>
      </c>
      <c r="T150" s="666">
        <f t="shared" si="57"/>
        <v>11486.8566764928</v>
      </c>
      <c r="U150" s="666">
        <f t="shared" si="57"/>
        <v>11716.593810022658</v>
      </c>
      <c r="V150" s="666">
        <f t="shared" si="57"/>
        <v>11950.92568622311</v>
      </c>
      <c r="W150" s="666">
        <f t="shared" si="57"/>
        <v>12189.944199947573</v>
      </c>
      <c r="X150" s="666">
        <f t="shared" si="57"/>
        <v>12433.743083946525</v>
      </c>
      <c r="Y150" s="666">
        <f t="shared" si="57"/>
        <v>12682.417945625455</v>
      </c>
      <c r="Z150" s="666">
        <f t="shared" si="57"/>
        <v>12936.066304537962</v>
      </c>
      <c r="AA150" s="666">
        <f t="shared" si="57"/>
        <v>13194.787630628723</v>
      </c>
      <c r="AB150" s="666">
        <f t="shared" si="57"/>
        <v>13458.683383241299</v>
      </c>
      <c r="AC150" s="666">
        <f t="shared" si="57"/>
        <v>13727.857050906125</v>
      </c>
      <c r="AD150" s="666">
        <f t="shared" si="57"/>
        <v>14002.414191924248</v>
      </c>
      <c r="AE150" s="666">
        <f t="shared" si="57"/>
        <v>14282.462475762733</v>
      </c>
    </row>
    <row r="151" spans="1:33">
      <c r="A151" s="180" t="s">
        <v>2</v>
      </c>
      <c r="B151" s="777"/>
      <c r="C151" s="778"/>
      <c r="D151" s="779"/>
      <c r="E151" s="746"/>
      <c r="F151" s="746"/>
      <c r="G151" s="778"/>
      <c r="H151" s="778"/>
      <c r="I151" s="780"/>
      <c r="J151" s="781"/>
      <c r="K151" s="741">
        <v>0</v>
      </c>
      <c r="L151" s="742">
        <v>0</v>
      </c>
      <c r="M151" s="742">
        <v>0</v>
      </c>
      <c r="N151" s="742">
        <v>0</v>
      </c>
      <c r="O151" s="742">
        <v>0</v>
      </c>
      <c r="P151" s="742">
        <v>0</v>
      </c>
      <c r="Q151" s="742">
        <v>0</v>
      </c>
      <c r="R151" s="742">
        <v>0</v>
      </c>
      <c r="S151" s="742">
        <v>0</v>
      </c>
      <c r="T151" s="742">
        <v>0</v>
      </c>
      <c r="U151" s="742">
        <v>0</v>
      </c>
      <c r="V151" s="742">
        <v>0</v>
      </c>
      <c r="W151" s="742">
        <v>0</v>
      </c>
      <c r="X151" s="742">
        <v>0</v>
      </c>
      <c r="Y151" s="742">
        <v>0</v>
      </c>
      <c r="Z151" s="742">
        <v>0</v>
      </c>
      <c r="AA151" s="742">
        <v>0</v>
      </c>
      <c r="AB151" s="742">
        <v>0</v>
      </c>
      <c r="AC151" s="742">
        <v>0</v>
      </c>
      <c r="AD151" s="742">
        <v>0</v>
      </c>
      <c r="AE151" s="742">
        <v>0</v>
      </c>
    </row>
    <row r="152" spans="1:33" s="56" customFormat="1" ht="14.25">
      <c r="A152" s="164" t="s">
        <v>78</v>
      </c>
      <c r="B152" s="164"/>
      <c r="C152" s="75"/>
      <c r="D152" s="173"/>
      <c r="E152" s="75"/>
      <c r="F152" s="75"/>
      <c r="G152" s="75"/>
      <c r="H152" s="75"/>
      <c r="I152" s="174"/>
      <c r="J152" s="175"/>
      <c r="K152" s="685">
        <v>0</v>
      </c>
      <c r="L152" s="669">
        <f t="shared" ref="L152:AE152" si="58">SUM(L149:L151)</f>
        <v>0</v>
      </c>
      <c r="M152" s="669">
        <f t="shared" si="58"/>
        <v>20000</v>
      </c>
      <c r="N152" s="669">
        <f t="shared" si="58"/>
        <v>20400</v>
      </c>
      <c r="O152" s="669">
        <f t="shared" si="58"/>
        <v>20808</v>
      </c>
      <c r="P152" s="669">
        <f t="shared" si="58"/>
        <v>21224.16</v>
      </c>
      <c r="Q152" s="669">
        <f t="shared" si="58"/>
        <v>21648.643199999999</v>
      </c>
      <c r="R152" s="669">
        <f t="shared" si="58"/>
        <v>22081.616064000002</v>
      </c>
      <c r="S152" s="669">
        <f t="shared" si="58"/>
        <v>22523.24838528</v>
      </c>
      <c r="T152" s="669">
        <f t="shared" si="58"/>
        <v>22973.7133529856</v>
      </c>
      <c r="U152" s="669">
        <f t="shared" si="58"/>
        <v>23433.187620045315</v>
      </c>
      <c r="V152" s="669">
        <f t="shared" si="58"/>
        <v>23901.851372446221</v>
      </c>
      <c r="W152" s="669">
        <f t="shared" si="58"/>
        <v>24379.888399895146</v>
      </c>
      <c r="X152" s="669">
        <f t="shared" si="58"/>
        <v>24867.48616789305</v>
      </c>
      <c r="Y152" s="669">
        <f t="shared" si="58"/>
        <v>25364.83589125091</v>
      </c>
      <c r="Z152" s="669">
        <f t="shared" si="58"/>
        <v>25872.132609075925</v>
      </c>
      <c r="AA152" s="669">
        <f t="shared" si="58"/>
        <v>26389.575261257447</v>
      </c>
      <c r="AB152" s="669">
        <f t="shared" si="58"/>
        <v>26917.366766482599</v>
      </c>
      <c r="AC152" s="669">
        <f t="shared" si="58"/>
        <v>27455.714101812249</v>
      </c>
      <c r="AD152" s="669">
        <f t="shared" si="58"/>
        <v>28004.828383848497</v>
      </c>
      <c r="AE152" s="669">
        <f t="shared" si="58"/>
        <v>28564.924951525467</v>
      </c>
    </row>
    <row r="153" spans="1:33" s="56" customFormat="1" ht="14.25">
      <c r="A153" s="164"/>
      <c r="B153" s="164"/>
      <c r="C153" s="75"/>
      <c r="D153" s="173"/>
      <c r="E153" s="75"/>
      <c r="F153" s="75"/>
      <c r="G153" s="75"/>
      <c r="H153" s="75"/>
      <c r="I153" s="174"/>
      <c r="J153" s="175"/>
      <c r="K153" s="685"/>
      <c r="L153" s="669"/>
      <c r="M153" s="669"/>
      <c r="N153" s="669"/>
      <c r="O153" s="669"/>
      <c r="P153" s="669"/>
      <c r="Q153" s="669"/>
      <c r="R153" s="669"/>
      <c r="S153" s="669"/>
      <c r="T153" s="669"/>
      <c r="U153" s="669"/>
      <c r="V153" s="669"/>
      <c r="W153" s="669"/>
      <c r="X153" s="669"/>
      <c r="Y153" s="669"/>
      <c r="Z153" s="669"/>
      <c r="AA153" s="669"/>
      <c r="AB153" s="669"/>
      <c r="AC153" s="669"/>
      <c r="AD153" s="669"/>
      <c r="AE153" s="669"/>
    </row>
    <row r="154" spans="1:33" s="56" customFormat="1" ht="14.25">
      <c r="A154" s="164" t="s">
        <v>66</v>
      </c>
      <c r="B154" s="164"/>
      <c r="C154" s="75"/>
      <c r="D154" s="173"/>
      <c r="E154" s="75"/>
      <c r="F154" s="75"/>
      <c r="G154" s="75"/>
      <c r="H154" s="75"/>
      <c r="I154" s="174"/>
      <c r="J154" s="175"/>
      <c r="K154" s="685">
        <v>0</v>
      </c>
      <c r="L154" s="669">
        <f>SUM(L140,L152)</f>
        <v>0</v>
      </c>
      <c r="M154" s="669">
        <f>SUM(M140,M146,M152)</f>
        <v>85335.846153846156</v>
      </c>
      <c r="N154" s="669">
        <f t="shared" ref="N154:AE154" si="59">SUM(N140,N146,N152)</f>
        <v>87042.563076923077</v>
      </c>
      <c r="O154" s="669">
        <f t="shared" si="59"/>
        <v>88783.41433846156</v>
      </c>
      <c r="P154" s="669">
        <f t="shared" si="59"/>
        <v>90559.082625230774</v>
      </c>
      <c r="Q154" s="669">
        <f t="shared" si="59"/>
        <v>92370.264277735376</v>
      </c>
      <c r="R154" s="669">
        <f t="shared" si="59"/>
        <v>94217.669563290081</v>
      </c>
      <c r="S154" s="669">
        <f t="shared" si="59"/>
        <v>96102.022954555898</v>
      </c>
      <c r="T154" s="669">
        <f t="shared" si="59"/>
        <v>98024.063413647003</v>
      </c>
      <c r="U154" s="669">
        <f t="shared" si="59"/>
        <v>99984.544681919942</v>
      </c>
      <c r="V154" s="669">
        <f t="shared" si="59"/>
        <v>101984.23557555837</v>
      </c>
      <c r="W154" s="669">
        <f t="shared" si="59"/>
        <v>104023.92028706953</v>
      </c>
      <c r="X154" s="669">
        <f t="shared" si="59"/>
        <v>106104.39869281092</v>
      </c>
      <c r="Y154" s="669">
        <f t="shared" si="59"/>
        <v>108226.48666666714</v>
      </c>
      <c r="Z154" s="669">
        <f t="shared" si="59"/>
        <v>110391.01640000047</v>
      </c>
      <c r="AA154" s="669">
        <f t="shared" si="59"/>
        <v>112598.8367280005</v>
      </c>
      <c r="AB154" s="669">
        <f t="shared" si="59"/>
        <v>114850.8134625605</v>
      </c>
      <c r="AC154" s="669">
        <f t="shared" si="59"/>
        <v>117147.82973181173</v>
      </c>
      <c r="AD154" s="669">
        <f t="shared" si="59"/>
        <v>119490.78632644797</v>
      </c>
      <c r="AE154" s="669">
        <f t="shared" si="59"/>
        <v>121880.60205297693</v>
      </c>
    </row>
    <row r="155" spans="1:33" s="56" customFormat="1" ht="14.25">
      <c r="A155" s="164"/>
      <c r="B155" s="164"/>
      <c r="C155" s="75"/>
      <c r="D155" s="173"/>
      <c r="E155" s="75"/>
      <c r="F155" s="75"/>
      <c r="G155" s="75"/>
      <c r="H155" s="75"/>
      <c r="I155" s="174"/>
      <c r="J155" s="175"/>
      <c r="K155" s="685"/>
      <c r="L155" s="669"/>
      <c r="M155" s="669"/>
      <c r="N155" s="669"/>
      <c r="O155" s="669"/>
      <c r="P155" s="669"/>
      <c r="Q155" s="669"/>
      <c r="R155" s="669"/>
      <c r="S155" s="669"/>
      <c r="T155" s="669"/>
      <c r="U155" s="669"/>
      <c r="V155" s="669"/>
      <c r="W155" s="669"/>
      <c r="X155" s="669"/>
      <c r="Y155" s="669"/>
      <c r="Z155" s="669"/>
      <c r="AA155" s="669"/>
      <c r="AB155" s="669"/>
      <c r="AC155" s="669"/>
      <c r="AD155" s="669"/>
      <c r="AE155" s="669"/>
    </row>
    <row r="156" spans="1:33">
      <c r="A156" s="47" t="s">
        <v>7</v>
      </c>
      <c r="B156" s="47" t="s">
        <v>7</v>
      </c>
      <c r="C156" s="78" t="s">
        <v>7</v>
      </c>
      <c r="D156" s="100"/>
      <c r="E156" s="78" t="s">
        <v>7</v>
      </c>
      <c r="F156" s="78"/>
      <c r="G156" s="78" t="s">
        <v>7</v>
      </c>
      <c r="H156" s="78"/>
      <c r="I156" s="52" t="s">
        <v>7</v>
      </c>
      <c r="J156" s="114"/>
      <c r="K156" s="673"/>
      <c r="L156" s="672"/>
      <c r="M156" s="672"/>
      <c r="N156" s="672"/>
      <c r="O156" s="672"/>
      <c r="P156" s="672"/>
      <c r="Q156" s="672"/>
      <c r="R156" s="672"/>
      <c r="S156" s="672"/>
      <c r="T156" s="672"/>
      <c r="U156" s="672"/>
      <c r="V156" s="672"/>
      <c r="W156" s="672"/>
      <c r="X156" s="672"/>
      <c r="Y156" s="672"/>
      <c r="Z156" s="672"/>
      <c r="AA156" s="672"/>
      <c r="AB156" s="672"/>
      <c r="AC156" s="672"/>
      <c r="AD156" s="672"/>
      <c r="AE156" s="672"/>
    </row>
    <row r="157" spans="1:33">
      <c r="A157" s="47"/>
      <c r="B157" s="47"/>
      <c r="C157" s="78"/>
      <c r="D157" s="100"/>
      <c r="E157" s="78"/>
      <c r="F157" s="78"/>
      <c r="G157" s="78"/>
      <c r="H157" s="78"/>
      <c r="I157" s="52"/>
      <c r="J157" s="114"/>
      <c r="K157" s="664"/>
      <c r="L157" s="666"/>
      <c r="M157" s="666"/>
      <c r="N157" s="666"/>
      <c r="O157" s="666"/>
      <c r="P157" s="666"/>
      <c r="Q157" s="666"/>
      <c r="R157" s="666"/>
      <c r="S157" s="666"/>
      <c r="T157" s="666"/>
      <c r="U157" s="666"/>
      <c r="V157" s="666"/>
      <c r="W157" s="666"/>
      <c r="X157" s="666"/>
      <c r="Y157" s="666"/>
      <c r="Z157" s="666"/>
      <c r="AA157" s="666"/>
      <c r="AB157" s="666"/>
      <c r="AC157" s="666"/>
      <c r="AD157" s="666"/>
      <c r="AE157" s="666"/>
    </row>
    <row r="158" spans="1:33" s="56" customFormat="1" ht="14.25">
      <c r="A158" s="203" t="s">
        <v>79</v>
      </c>
      <c r="B158" s="203"/>
      <c r="C158" s="204"/>
      <c r="D158" s="205"/>
      <c r="E158" s="204"/>
      <c r="F158" s="204"/>
      <c r="G158" s="204"/>
      <c r="H158" s="204"/>
      <c r="I158" s="206"/>
      <c r="J158" s="207"/>
      <c r="K158" s="675">
        <v>0</v>
      </c>
      <c r="L158" s="676">
        <f t="shared" ref="L158:AE158" si="60">SUM(L131,L154)</f>
        <v>0</v>
      </c>
      <c r="M158" s="676">
        <f t="shared" si="60"/>
        <v>139905.84615384616</v>
      </c>
      <c r="N158" s="676">
        <f t="shared" si="60"/>
        <v>143817.19107692307</v>
      </c>
      <c r="O158" s="676">
        <f t="shared" si="60"/>
        <v>146693.53489846154</v>
      </c>
      <c r="P158" s="676">
        <f t="shared" si="60"/>
        <v>149627.40559643076</v>
      </c>
      <c r="Q158" s="676">
        <f t="shared" si="60"/>
        <v>152619.95370835939</v>
      </c>
      <c r="R158" s="676">
        <f t="shared" si="60"/>
        <v>155672.35278252655</v>
      </c>
      <c r="S158" s="676">
        <f t="shared" si="60"/>
        <v>158785.7998381771</v>
      </c>
      <c r="T158" s="676">
        <f t="shared" si="60"/>
        <v>161961.51583494066</v>
      </c>
      <c r="U158" s="676">
        <f t="shared" si="60"/>
        <v>165200.74615163944</v>
      </c>
      <c r="V158" s="676">
        <f t="shared" si="60"/>
        <v>168504.76107467228</v>
      </c>
      <c r="W158" s="676">
        <f t="shared" si="60"/>
        <v>171874.85629616573</v>
      </c>
      <c r="X158" s="676">
        <f t="shared" si="60"/>
        <v>175312.35342208904</v>
      </c>
      <c r="Y158" s="676">
        <f t="shared" si="60"/>
        <v>178818.60049053084</v>
      </c>
      <c r="Z158" s="676">
        <f t="shared" si="60"/>
        <v>182394.97250034142</v>
      </c>
      <c r="AA158" s="676">
        <f t="shared" si="60"/>
        <v>186042.87195034826</v>
      </c>
      <c r="AB158" s="676">
        <f t="shared" si="60"/>
        <v>189763.72938935523</v>
      </c>
      <c r="AC158" s="676">
        <f t="shared" si="60"/>
        <v>193559.00397714233</v>
      </c>
      <c r="AD158" s="676">
        <f t="shared" si="60"/>
        <v>197430.18405668519</v>
      </c>
      <c r="AE158" s="676">
        <f t="shared" si="60"/>
        <v>201378.7877378189</v>
      </c>
      <c r="AG158" s="199"/>
    </row>
    <row r="159" spans="1:33">
      <c r="K159" s="664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</row>
    <row r="160" spans="1:33">
      <c r="A160" s="47" t="s">
        <v>7</v>
      </c>
      <c r="B160" s="47" t="s">
        <v>7</v>
      </c>
      <c r="C160" s="78" t="s">
        <v>7</v>
      </c>
      <c r="D160" s="100"/>
      <c r="E160" s="78" t="s">
        <v>7</v>
      </c>
      <c r="F160" s="78"/>
      <c r="G160" s="78" t="s">
        <v>7</v>
      </c>
      <c r="H160" s="78"/>
      <c r="I160" s="52" t="s">
        <v>7</v>
      </c>
      <c r="J160" s="114"/>
      <c r="K160" s="673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</row>
    <row r="161" spans="1:33">
      <c r="K161" s="664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G161" s="199"/>
    </row>
    <row r="162" spans="1:33" s="56" customFormat="1" ht="14.25">
      <c r="A162" s="208" t="s">
        <v>115</v>
      </c>
      <c r="B162" s="208"/>
      <c r="C162" s="208"/>
      <c r="D162" s="202"/>
      <c r="E162" s="208"/>
      <c r="F162" s="208"/>
      <c r="G162" s="208"/>
      <c r="H162" s="208"/>
      <c r="I162" s="208"/>
      <c r="J162" s="208"/>
      <c r="K162" s="678">
        <f>SUM(K152,K112)</f>
        <v>0</v>
      </c>
      <c r="L162" s="678">
        <f t="shared" ref="L162:AE162" si="61">SUM(L112,L158)</f>
        <v>367858.33333333331</v>
      </c>
      <c r="M162" s="678">
        <f t="shared" si="61"/>
        <v>883304.84615384613</v>
      </c>
      <c r="N162" s="678">
        <f t="shared" si="61"/>
        <v>902094.3710769231</v>
      </c>
      <c r="O162" s="678">
        <f t="shared" si="61"/>
        <v>920136.25849846145</v>
      </c>
      <c r="P162" s="678">
        <f t="shared" si="61"/>
        <v>938538.98366843071</v>
      </c>
      <c r="Q162" s="678">
        <f t="shared" si="61"/>
        <v>985653.64213699941</v>
      </c>
      <c r="R162" s="678">
        <f t="shared" si="61"/>
        <v>1000829.7961893713</v>
      </c>
      <c r="S162" s="678">
        <f t="shared" si="61"/>
        <v>1020846.3921131587</v>
      </c>
      <c r="T162" s="678">
        <f t="shared" si="61"/>
        <v>1041263.3199554221</v>
      </c>
      <c r="U162" s="678">
        <f t="shared" si="61"/>
        <v>1062088.5863545304</v>
      </c>
      <c r="V162" s="678">
        <f t="shared" si="61"/>
        <v>1087720.860871624</v>
      </c>
      <c r="W162" s="678">
        <f t="shared" si="61"/>
        <v>1104996.9652432536</v>
      </c>
      <c r="X162" s="678">
        <f t="shared" si="61"/>
        <v>1127096.9045481186</v>
      </c>
      <c r="Y162" s="678">
        <f t="shared" si="61"/>
        <v>1149638.8426390812</v>
      </c>
      <c r="Z162" s="678">
        <f t="shared" si="61"/>
        <v>1172631.6194918626</v>
      </c>
      <c r="AA162" s="678">
        <f t="shared" si="61"/>
        <v>1200411.3177125379</v>
      </c>
      <c r="AB162" s="678">
        <f t="shared" si="61"/>
        <v>1220005.9369193341</v>
      </c>
      <c r="AC162" s="678">
        <f t="shared" si="61"/>
        <v>1244406.0556577207</v>
      </c>
      <c r="AD162" s="678">
        <f t="shared" si="61"/>
        <v>1269294.1767708752</v>
      </c>
      <c r="AE162" s="678">
        <f t="shared" si="61"/>
        <v>1294680.0603062927</v>
      </c>
      <c r="AG162" s="199"/>
    </row>
    <row r="163" spans="1:33">
      <c r="K163" s="664"/>
      <c r="L163" s="666"/>
      <c r="M163" s="666"/>
      <c r="N163" s="666"/>
      <c r="O163" s="666"/>
      <c r="P163" s="666"/>
      <c r="Q163" s="666"/>
      <c r="R163" s="666"/>
      <c r="S163" s="666"/>
      <c r="T163" s="666"/>
      <c r="U163" s="666"/>
      <c r="V163" s="666"/>
      <c r="W163" s="666"/>
      <c r="X163" s="666"/>
      <c r="Y163" s="666"/>
      <c r="Z163" s="666"/>
      <c r="AA163" s="666"/>
      <c r="AB163" s="666"/>
      <c r="AC163" s="666"/>
      <c r="AD163" s="666"/>
      <c r="AE163" s="666"/>
      <c r="AG163" s="199"/>
    </row>
    <row r="164" spans="1:33">
      <c r="A164" s="251"/>
      <c r="B164" s="251"/>
      <c r="C164" s="251"/>
      <c r="D164" s="259"/>
      <c r="E164" s="251"/>
      <c r="F164" s="251"/>
      <c r="G164" s="251"/>
      <c r="H164" s="251"/>
      <c r="I164" s="251"/>
      <c r="J164" s="251"/>
      <c r="K164" s="679"/>
      <c r="L164" s="680"/>
      <c r="M164" s="680"/>
      <c r="N164" s="680"/>
      <c r="O164" s="680"/>
      <c r="P164" s="680"/>
      <c r="Q164" s="680"/>
      <c r="R164" s="680"/>
      <c r="S164" s="680"/>
      <c r="T164" s="680"/>
      <c r="U164" s="680"/>
      <c r="V164" s="680"/>
      <c r="W164" s="680"/>
      <c r="X164" s="680"/>
      <c r="Y164" s="680"/>
      <c r="Z164" s="680"/>
      <c r="AA164" s="680"/>
      <c r="AB164" s="680"/>
      <c r="AC164" s="680"/>
      <c r="AD164" s="680"/>
      <c r="AE164" s="680"/>
      <c r="AG164" s="199"/>
    </row>
    <row r="165" spans="1:33">
      <c r="K165" s="664"/>
      <c r="L165" s="666"/>
      <c r="M165" s="666"/>
      <c r="N165" s="666"/>
      <c r="O165" s="666"/>
      <c r="P165" s="666"/>
      <c r="Q165" s="666"/>
      <c r="R165" s="666"/>
      <c r="S165" s="666"/>
      <c r="T165" s="666"/>
      <c r="U165" s="666"/>
      <c r="V165" s="666"/>
      <c r="W165" s="666"/>
      <c r="X165" s="666"/>
      <c r="Y165" s="666"/>
      <c r="Z165" s="666"/>
      <c r="AA165" s="666"/>
      <c r="AB165" s="666"/>
      <c r="AC165" s="666"/>
      <c r="AD165" s="666"/>
      <c r="AE165" s="666"/>
      <c r="AG165" s="199"/>
    </row>
    <row r="166" spans="1:33">
      <c r="A166" s="249" t="s">
        <v>84</v>
      </c>
      <c r="B166" s="281"/>
      <c r="C166" s="281"/>
      <c r="D166" s="177"/>
      <c r="E166" s="281"/>
      <c r="F166" s="281"/>
      <c r="G166" s="281"/>
      <c r="H166" s="281"/>
      <c r="I166" s="281"/>
      <c r="J166" s="281"/>
      <c r="K166" s="681"/>
      <c r="L166" s="682"/>
      <c r="M166" s="682"/>
      <c r="N166" s="682"/>
      <c r="O166" s="682"/>
      <c r="P166" s="682"/>
      <c r="Q166" s="682"/>
      <c r="R166" s="682"/>
      <c r="S166" s="682"/>
      <c r="T166" s="682"/>
      <c r="U166" s="682"/>
      <c r="V166" s="682"/>
      <c r="W166" s="682"/>
      <c r="X166" s="682"/>
      <c r="Y166" s="682"/>
      <c r="Z166" s="682"/>
      <c r="AA166" s="682"/>
      <c r="AB166" s="682"/>
      <c r="AC166" s="682"/>
      <c r="AD166" s="682"/>
      <c r="AE166" s="682"/>
      <c r="AG166" s="199"/>
    </row>
    <row r="167" spans="1:33" s="252" customFormat="1">
      <c r="A167" s="257"/>
      <c r="D167" s="186"/>
      <c r="K167" s="664"/>
      <c r="L167" s="671"/>
      <c r="M167" s="671"/>
      <c r="N167" s="671"/>
      <c r="O167" s="671"/>
      <c r="P167" s="671"/>
      <c r="Q167" s="671"/>
      <c r="R167" s="671"/>
      <c r="S167" s="671"/>
      <c r="T167" s="671"/>
      <c r="U167" s="671"/>
      <c r="V167" s="671"/>
      <c r="W167" s="671"/>
      <c r="X167" s="671"/>
      <c r="Y167" s="671"/>
      <c r="Z167" s="671"/>
      <c r="AA167" s="671"/>
      <c r="AB167" s="671"/>
      <c r="AC167" s="671"/>
      <c r="AD167" s="671"/>
      <c r="AE167" s="671"/>
      <c r="AG167" s="363"/>
    </row>
    <row r="168" spans="1:33">
      <c r="A168" s="663" t="str">
        <f>'OPEX - Concept C1 - Carnival'!A168</f>
        <v>Investment (cash)</v>
      </c>
      <c r="B168" s="663"/>
      <c r="C168" s="663"/>
      <c r="D168" s="663"/>
      <c r="E168" s="663"/>
      <c r="F168" s="663"/>
      <c r="G168" s="663"/>
      <c r="H168" s="663"/>
      <c r="I168" s="663"/>
      <c r="J168" s="663"/>
      <c r="K168" s="883"/>
      <c r="L168" s="663"/>
      <c r="M168" s="663"/>
      <c r="N168" s="663"/>
      <c r="O168" s="663"/>
      <c r="P168" s="663"/>
      <c r="Q168" s="663"/>
      <c r="R168" s="663"/>
      <c r="S168" s="663"/>
      <c r="T168" s="663"/>
      <c r="U168" s="663"/>
      <c r="V168" s="663"/>
      <c r="W168" s="663"/>
      <c r="X168" s="663"/>
      <c r="Y168" s="663"/>
      <c r="Z168" s="663"/>
      <c r="AA168" s="663"/>
      <c r="AB168" s="663"/>
      <c r="AC168" s="663"/>
      <c r="AD168" s="663"/>
      <c r="AE168" s="663"/>
      <c r="AG168" s="199"/>
    </row>
    <row r="169" spans="1:33">
      <c r="A169" s="663" t="str">
        <f>'OPEX - Concept C1 - Carnival'!A169</f>
        <v xml:space="preserve">     Site Maintenance</v>
      </c>
      <c r="B169" s="663"/>
      <c r="C169" s="663"/>
      <c r="D169" s="663"/>
      <c r="E169" s="663"/>
      <c r="F169" s="663"/>
      <c r="G169" s="663"/>
      <c r="H169" s="663"/>
      <c r="I169" s="663"/>
      <c r="J169" s="663"/>
      <c r="K169" s="883">
        <f>'OPEX - Concept C1 - Carnival'!K169</f>
        <v>0</v>
      </c>
      <c r="L169" s="663">
        <f>'OPEX - Concept C1 - Carnival'!L169</f>
        <v>0</v>
      </c>
      <c r="M169" s="663">
        <f>'OPEX - Concept C1 - Carnival'!M169</f>
        <v>85775</v>
      </c>
      <c r="N169" s="663">
        <f>'OPEX - Concept C1 - Carnival'!N169</f>
        <v>87490.5</v>
      </c>
      <c r="O169" s="663">
        <f>'OPEX - Concept C1 - Carnival'!O169</f>
        <v>89240.31</v>
      </c>
      <c r="P169" s="663">
        <f>'OPEX - Concept C1 - Carnival'!P169</f>
        <v>91025.116199999989</v>
      </c>
      <c r="Q169" s="663">
        <f>'OPEX - Concept C1 - Carnival'!Q169</f>
        <v>92845.618524000005</v>
      </c>
      <c r="R169" s="663">
        <f>'OPEX - Concept C1 - Carnival'!R169</f>
        <v>94702.530894480005</v>
      </c>
      <c r="S169" s="663">
        <f>'OPEX - Concept C1 - Carnival'!S169</f>
        <v>96596.581512369608</v>
      </c>
      <c r="T169" s="663">
        <f>'OPEX - Concept C1 - Carnival'!T169</f>
        <v>98528.513142616997</v>
      </c>
      <c r="U169" s="663">
        <f>'OPEX - Concept C1 - Carnival'!U169</f>
        <v>100499.08340546934</v>
      </c>
      <c r="V169" s="663">
        <f>'OPEX - Concept C1 - Carnival'!V169</f>
        <v>102509.06507357873</v>
      </c>
      <c r="W169" s="663">
        <f>'OPEX - Concept C1 - Carnival'!W169</f>
        <v>104559.24637505031</v>
      </c>
      <c r="X169" s="663">
        <f>'OPEX - Concept C1 - Carnival'!X169</f>
        <v>106650.43130255131</v>
      </c>
      <c r="Y169" s="663">
        <f>'OPEX - Concept C1 - Carnival'!Y169</f>
        <v>108783.43992860234</v>
      </c>
      <c r="Z169" s="663">
        <f>'OPEX - Concept C1 - Carnival'!Z169</f>
        <v>110959.10872717437</v>
      </c>
      <c r="AA169" s="663">
        <f>'OPEX - Concept C1 - Carnival'!AA169</f>
        <v>113178.29090171788</v>
      </c>
      <c r="AB169" s="663">
        <f>'OPEX - Concept C1 - Carnival'!AB169</f>
        <v>115441.85671975224</v>
      </c>
      <c r="AC169" s="663">
        <f>'OPEX - Concept C1 - Carnival'!AC169</f>
        <v>117750.69385414729</v>
      </c>
      <c r="AD169" s="663">
        <f>'OPEX - Concept C1 - Carnival'!AD169</f>
        <v>120105.70773123024</v>
      </c>
      <c r="AE169" s="663">
        <f>'OPEX - Concept C1 - Carnival'!AE169</f>
        <v>122507.82188585485</v>
      </c>
      <c r="AG169" s="199"/>
    </row>
    <row r="170" spans="1:33" s="162" customFormat="1">
      <c r="A170" s="663"/>
      <c r="B170" s="663"/>
      <c r="C170" s="663"/>
      <c r="D170" s="663"/>
      <c r="E170" s="663"/>
      <c r="F170" s="663"/>
      <c r="G170" s="663"/>
      <c r="H170" s="663"/>
      <c r="I170" s="663"/>
      <c r="J170" s="663"/>
      <c r="K170" s="883"/>
      <c r="L170" s="663"/>
      <c r="M170" s="663"/>
      <c r="N170" s="663"/>
      <c r="O170" s="663"/>
      <c r="P170" s="663"/>
      <c r="Q170" s="663"/>
      <c r="R170" s="663"/>
      <c r="S170" s="663"/>
      <c r="T170" s="663"/>
      <c r="U170" s="663"/>
      <c r="V170" s="663"/>
      <c r="W170" s="663"/>
      <c r="X170" s="663"/>
      <c r="Y170" s="663"/>
      <c r="Z170" s="663"/>
      <c r="AA170" s="663"/>
      <c r="AB170" s="663"/>
      <c r="AC170" s="663"/>
      <c r="AD170" s="663"/>
      <c r="AE170" s="663"/>
      <c r="AG170" s="786"/>
    </row>
    <row r="171" spans="1:33" s="162" customFormat="1">
      <c r="A171" s="1103" t="str">
        <f>'OPEX - Concept C1 - Carnival'!A171</f>
        <v>Debt Service (Site Demolition, Design, Development/Preparation &amp; Shuttles)</v>
      </c>
      <c r="B171" s="663"/>
      <c r="C171" s="663"/>
      <c r="D171" s="663"/>
      <c r="E171" s="663"/>
      <c r="F171" s="663"/>
      <c r="G171" s="663"/>
      <c r="H171" s="663"/>
      <c r="I171" s="663"/>
      <c r="J171" s="663"/>
      <c r="K171" s="883">
        <f>'OPEX - Concept C1 - Carnival'!K171</f>
        <v>0</v>
      </c>
      <c r="L171" s="663">
        <f>'OPEX - Concept C1 - Carnival'!L171</f>
        <v>635662.67999999993</v>
      </c>
      <c r="M171" s="663">
        <f>'OPEX - Concept C1 - Carnival'!M171</f>
        <v>635662.67999999993</v>
      </c>
      <c r="N171" s="663">
        <f>'OPEX - Concept C1 - Carnival'!N171</f>
        <v>635662.67999999993</v>
      </c>
      <c r="O171" s="663">
        <f>'OPEX - Concept C1 - Carnival'!O171</f>
        <v>635662.67999999993</v>
      </c>
      <c r="P171" s="663">
        <f>'OPEX - Concept C1 - Carnival'!P171</f>
        <v>635662.67999999993</v>
      </c>
      <c r="Q171" s="663">
        <f>'OPEX - Concept C1 - Carnival'!Q171</f>
        <v>635662.67999999993</v>
      </c>
      <c r="R171" s="663">
        <f>'OPEX - Concept C1 - Carnival'!R171</f>
        <v>635662.67999999993</v>
      </c>
      <c r="S171" s="663">
        <f>'OPEX - Concept C1 - Carnival'!S171</f>
        <v>635662.67999999993</v>
      </c>
      <c r="T171" s="663">
        <f>'OPEX - Concept C1 - Carnival'!T171</f>
        <v>635662.67999999993</v>
      </c>
      <c r="U171" s="663">
        <f>'OPEX - Concept C1 - Carnival'!U171</f>
        <v>635662.67999999993</v>
      </c>
      <c r="V171" s="663">
        <f>'OPEX - Concept C1 - Carnival'!V171</f>
        <v>635662.67999999993</v>
      </c>
      <c r="W171" s="663">
        <f>'OPEX - Concept C1 - Carnival'!W171</f>
        <v>635662.67999999993</v>
      </c>
      <c r="X171" s="663">
        <f>'OPEX - Concept C1 - Carnival'!X171</f>
        <v>635662.67999999993</v>
      </c>
      <c r="Y171" s="663">
        <f>'OPEX - Concept C1 - Carnival'!Y171</f>
        <v>635662.67999999993</v>
      </c>
      <c r="Z171" s="663">
        <f>'OPEX - Concept C1 - Carnival'!Z171</f>
        <v>635662.67999999993</v>
      </c>
      <c r="AA171" s="663">
        <f>'OPEX - Concept C1 - Carnival'!AA171</f>
        <v>635662.67999999993</v>
      </c>
      <c r="AB171" s="663">
        <f>'OPEX - Concept C1 - Carnival'!AB171</f>
        <v>635662.67999999993</v>
      </c>
      <c r="AC171" s="663">
        <f>'OPEX - Concept C1 - Carnival'!AC171</f>
        <v>635662.67999999993</v>
      </c>
      <c r="AD171" s="663">
        <f>'OPEX - Concept C1 - Carnival'!AD171</f>
        <v>635662.67999999993</v>
      </c>
      <c r="AE171" s="663">
        <f>'OPEX - Concept C1 - Carnival'!AE171</f>
        <v>635662.67999999993</v>
      </c>
    </row>
    <row r="172" spans="1:33" s="702" customFormat="1">
      <c r="A172" s="341" t="s">
        <v>315</v>
      </c>
      <c r="B172" s="701"/>
      <c r="C172" s="703"/>
      <c r="D172" s="704"/>
      <c r="E172" s="705"/>
      <c r="F172" s="705"/>
      <c r="G172" s="705"/>
      <c r="H172" s="705"/>
      <c r="I172" s="706"/>
      <c r="J172" s="707"/>
      <c r="K172" s="699">
        <v>0</v>
      </c>
      <c r="L172" s="700">
        <v>0</v>
      </c>
      <c r="M172" s="700">
        <v>0</v>
      </c>
      <c r="N172" s="700">
        <v>0</v>
      </c>
      <c r="O172" s="700">
        <v>0</v>
      </c>
      <c r="P172" s="700">
        <v>0</v>
      </c>
      <c r="Q172" s="700">
        <v>0</v>
      </c>
      <c r="R172" s="700">
        <v>0</v>
      </c>
      <c r="S172" s="700">
        <v>0</v>
      </c>
      <c r="T172" s="700">
        <v>0</v>
      </c>
      <c r="U172" s="700">
        <v>0</v>
      </c>
      <c r="V172" s="700">
        <v>0</v>
      </c>
      <c r="W172" s="700">
        <v>0</v>
      </c>
      <c r="X172" s="700">
        <v>0</v>
      </c>
      <c r="Y172" s="700">
        <v>0</v>
      </c>
      <c r="Z172" s="700">
        <v>0</v>
      </c>
      <c r="AA172" s="700">
        <v>0</v>
      </c>
      <c r="AB172" s="700">
        <v>0</v>
      </c>
      <c r="AC172" s="700">
        <v>0</v>
      </c>
      <c r="AD172" s="700">
        <v>0</v>
      </c>
      <c r="AE172" s="700">
        <v>0</v>
      </c>
      <c r="AG172" s="708"/>
    </row>
    <row r="173" spans="1:33">
      <c r="A173" s="180" t="s">
        <v>316</v>
      </c>
      <c r="B173" s="180"/>
      <c r="C173" s="180"/>
      <c r="D173" s="116"/>
      <c r="E173" s="180"/>
      <c r="F173" s="180"/>
      <c r="G173" s="180"/>
      <c r="H173" s="180"/>
      <c r="I173" s="180"/>
      <c r="J173" s="180"/>
      <c r="K173" s="505">
        <v>0</v>
      </c>
      <c r="L173" s="506">
        <v>246000</v>
      </c>
      <c r="M173" s="506">
        <v>246000</v>
      </c>
      <c r="N173" s="506">
        <v>246000</v>
      </c>
      <c r="O173" s="506">
        <v>246000</v>
      </c>
      <c r="P173" s="506">
        <v>246000</v>
      </c>
      <c r="Q173" s="506">
        <v>246000</v>
      </c>
      <c r="R173" s="506">
        <v>246000</v>
      </c>
      <c r="S173" s="506">
        <v>246000</v>
      </c>
      <c r="T173" s="506">
        <v>246000</v>
      </c>
      <c r="U173" s="506">
        <v>246000</v>
      </c>
      <c r="V173" s="506">
        <v>246000</v>
      </c>
      <c r="W173" s="506">
        <v>246000</v>
      </c>
      <c r="X173" s="506">
        <v>246000</v>
      </c>
      <c r="Y173" s="506">
        <v>246000</v>
      </c>
      <c r="Z173" s="506">
        <v>246000</v>
      </c>
      <c r="AA173" s="506">
        <v>246000</v>
      </c>
      <c r="AB173" s="506">
        <v>246000</v>
      </c>
      <c r="AC173" s="506">
        <v>246000</v>
      </c>
      <c r="AD173" s="506">
        <v>246000</v>
      </c>
      <c r="AE173" s="506">
        <v>246000</v>
      </c>
      <c r="AG173" s="199"/>
    </row>
    <row r="174" spans="1:33" s="56" customFormat="1" ht="14.25">
      <c r="A174" s="56" t="s">
        <v>134</v>
      </c>
      <c r="D174" s="173"/>
      <c r="K174" s="524">
        <f t="shared" ref="K174:AE174" si="62">SUM(K168:K173)</f>
        <v>0</v>
      </c>
      <c r="L174" s="525">
        <f t="shared" si="62"/>
        <v>881662.67999999993</v>
      </c>
      <c r="M174" s="525">
        <f t="shared" si="62"/>
        <v>967437.67999999993</v>
      </c>
      <c r="N174" s="525">
        <f t="shared" si="62"/>
        <v>969153.17999999993</v>
      </c>
      <c r="O174" s="525">
        <f t="shared" si="62"/>
        <v>970902.99</v>
      </c>
      <c r="P174" s="525">
        <f t="shared" si="62"/>
        <v>972687.79619999998</v>
      </c>
      <c r="Q174" s="525">
        <f t="shared" si="62"/>
        <v>974508.29852399998</v>
      </c>
      <c r="R174" s="525">
        <f t="shared" si="62"/>
        <v>976365.21089447988</v>
      </c>
      <c r="S174" s="525">
        <f t="shared" si="62"/>
        <v>978259.2615123695</v>
      </c>
      <c r="T174" s="525">
        <f t="shared" si="62"/>
        <v>980191.19314261689</v>
      </c>
      <c r="U174" s="525">
        <f t="shared" si="62"/>
        <v>982161.76340546925</v>
      </c>
      <c r="V174" s="525">
        <f t="shared" si="62"/>
        <v>984171.74507357867</v>
      </c>
      <c r="W174" s="525">
        <f t="shared" si="62"/>
        <v>986221.92637505021</v>
      </c>
      <c r="X174" s="525">
        <f t="shared" si="62"/>
        <v>988313.11130255123</v>
      </c>
      <c r="Y174" s="525">
        <f t="shared" si="62"/>
        <v>990446.11992860225</v>
      </c>
      <c r="Z174" s="525">
        <f t="shared" si="62"/>
        <v>992621.78872717428</v>
      </c>
      <c r="AA174" s="525">
        <f t="shared" si="62"/>
        <v>994840.97090171778</v>
      </c>
      <c r="AB174" s="525">
        <f t="shared" si="62"/>
        <v>997104.53671975213</v>
      </c>
      <c r="AC174" s="525">
        <f t="shared" si="62"/>
        <v>999413.37385414727</v>
      </c>
      <c r="AD174" s="525">
        <f t="shared" si="62"/>
        <v>1001768.3877312301</v>
      </c>
      <c r="AE174" s="525">
        <f t="shared" si="62"/>
        <v>1004170.5018858548</v>
      </c>
      <c r="AG174" s="199"/>
    </row>
    <row r="175" spans="1:33">
      <c r="K175" s="683"/>
      <c r="L175" s="666"/>
      <c r="M175" s="666"/>
      <c r="N175" s="666"/>
      <c r="O175" s="666"/>
      <c r="P175" s="666"/>
      <c r="Q175" s="666"/>
      <c r="R175" s="666"/>
      <c r="S175" s="666"/>
      <c r="T175" s="666"/>
      <c r="U175" s="666"/>
      <c r="V175" s="666"/>
      <c r="W175" s="666"/>
      <c r="X175" s="666"/>
      <c r="Y175" s="666"/>
      <c r="Z175" s="666"/>
      <c r="AA175" s="666"/>
      <c r="AB175" s="666"/>
      <c r="AC175" s="666"/>
      <c r="AD175" s="666"/>
      <c r="AE175" s="666"/>
      <c r="AG175" s="199"/>
    </row>
    <row r="176" spans="1:33" s="56" customFormat="1" ht="14.25">
      <c r="A176" s="208" t="s">
        <v>86</v>
      </c>
      <c r="B176" s="718">
        <f>SUM(L176:AE176)</f>
        <v>19592402.516178593</v>
      </c>
      <c r="C176" s="208"/>
      <c r="D176" s="202"/>
      <c r="E176" s="208"/>
      <c r="F176" s="208"/>
      <c r="G176" s="208"/>
      <c r="H176" s="208"/>
      <c r="I176" s="208"/>
      <c r="J176" s="208"/>
      <c r="K176" s="678">
        <f>SUM(K169:K171)</f>
        <v>0</v>
      </c>
      <c r="L176" s="678">
        <f>L174</f>
        <v>881662.67999999993</v>
      </c>
      <c r="M176" s="678">
        <f t="shared" ref="M176:AE176" si="63">M174</f>
        <v>967437.67999999993</v>
      </c>
      <c r="N176" s="678">
        <f t="shared" si="63"/>
        <v>969153.17999999993</v>
      </c>
      <c r="O176" s="678">
        <f t="shared" si="63"/>
        <v>970902.99</v>
      </c>
      <c r="P176" s="678">
        <f t="shared" si="63"/>
        <v>972687.79619999998</v>
      </c>
      <c r="Q176" s="678">
        <f t="shared" si="63"/>
        <v>974508.29852399998</v>
      </c>
      <c r="R176" s="678">
        <f t="shared" si="63"/>
        <v>976365.21089447988</v>
      </c>
      <c r="S176" s="678">
        <f t="shared" si="63"/>
        <v>978259.2615123695</v>
      </c>
      <c r="T176" s="678">
        <f t="shared" si="63"/>
        <v>980191.19314261689</v>
      </c>
      <c r="U176" s="678">
        <f t="shared" si="63"/>
        <v>982161.76340546925</v>
      </c>
      <c r="V176" s="678">
        <f t="shared" si="63"/>
        <v>984171.74507357867</v>
      </c>
      <c r="W176" s="678">
        <f t="shared" si="63"/>
        <v>986221.92637505021</v>
      </c>
      <c r="X176" s="678">
        <f t="shared" si="63"/>
        <v>988313.11130255123</v>
      </c>
      <c r="Y176" s="678">
        <f t="shared" si="63"/>
        <v>990446.11992860225</v>
      </c>
      <c r="Z176" s="678">
        <f t="shared" si="63"/>
        <v>992621.78872717428</v>
      </c>
      <c r="AA176" s="678">
        <f t="shared" si="63"/>
        <v>994840.97090171778</v>
      </c>
      <c r="AB176" s="678">
        <f t="shared" si="63"/>
        <v>997104.53671975213</v>
      </c>
      <c r="AC176" s="678">
        <f t="shared" si="63"/>
        <v>999413.37385414727</v>
      </c>
      <c r="AD176" s="678">
        <f t="shared" si="63"/>
        <v>1001768.3877312301</v>
      </c>
      <c r="AE176" s="678">
        <f t="shared" si="63"/>
        <v>1004170.5018858548</v>
      </c>
      <c r="AG176" s="199"/>
    </row>
    <row r="177" spans="1:31">
      <c r="K177" s="662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1"/>
      <c r="Y177" s="201"/>
      <c r="Z177" s="201"/>
      <c r="AA177" s="201"/>
      <c r="AB177" s="201"/>
      <c r="AC177" s="201"/>
      <c r="AD177" s="201"/>
      <c r="AE177" s="201"/>
    </row>
    <row r="178" spans="1:31">
      <c r="A178" s="251"/>
      <c r="B178" s="251"/>
      <c r="C178" s="251"/>
      <c r="D178" s="259"/>
      <c r="E178" s="251"/>
      <c r="F178" s="251"/>
      <c r="G178" s="251"/>
      <c r="H178" s="251"/>
      <c r="I178" s="251"/>
      <c r="J178" s="251"/>
      <c r="K178" s="324"/>
      <c r="L178" s="325"/>
      <c r="M178" s="325"/>
      <c r="N178" s="325"/>
      <c r="O178" s="325"/>
      <c r="P178" s="325"/>
      <c r="Q178" s="325"/>
      <c r="R178" s="325"/>
      <c r="S178" s="325"/>
      <c r="T178" s="325"/>
      <c r="U178" s="325"/>
      <c r="V178" s="325"/>
      <c r="W178" s="325"/>
      <c r="X178" s="325"/>
      <c r="Y178" s="325"/>
      <c r="Z178" s="325"/>
      <c r="AA178" s="325"/>
      <c r="AB178" s="325"/>
      <c r="AC178" s="325"/>
      <c r="AD178" s="325"/>
      <c r="AE178" s="325"/>
    </row>
    <row r="179" spans="1:31">
      <c r="K179" s="322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1"/>
      <c r="Y179" s="201"/>
      <c r="Z179" s="201"/>
      <c r="AA179" s="201"/>
      <c r="AB179" s="201"/>
      <c r="AC179" s="201"/>
      <c r="AD179" s="201"/>
      <c r="AE179" s="201"/>
    </row>
    <row r="180" spans="1:31">
      <c r="A180"/>
      <c r="K180" s="322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</row>
    <row r="181" spans="1:31">
      <c r="A181"/>
      <c r="K181" s="322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</row>
    <row r="182" spans="1:31">
      <c r="K182" s="322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  <c r="AA182" s="201"/>
      <c r="AB182" s="201"/>
      <c r="AC182" s="201"/>
      <c r="AD182" s="201"/>
      <c r="AE182" s="201"/>
    </row>
    <row r="183" spans="1:31">
      <c r="K183" s="322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</row>
    <row r="184" spans="1:31">
      <c r="K184" s="322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  <c r="AA184" s="201"/>
      <c r="AB184" s="201"/>
      <c r="AC184" s="201"/>
      <c r="AD184" s="201"/>
      <c r="AE184" s="201"/>
    </row>
    <row r="185" spans="1:31">
      <c r="K185" s="322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</row>
    <row r="186" spans="1:31">
      <c r="K186" s="322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</row>
    <row r="187" spans="1:31">
      <c r="K187" s="322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</row>
    <row r="188" spans="1:31">
      <c r="K188" s="322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</row>
    <row r="189" spans="1:31">
      <c r="K189" s="322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</row>
    <row r="190" spans="1:31">
      <c r="K190" s="322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</row>
    <row r="191" spans="1:31">
      <c r="K191" s="322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</row>
    <row r="192" spans="1:31">
      <c r="K192" s="322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</row>
    <row r="193" spans="11:31">
      <c r="K193" s="322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201"/>
      <c r="AE193" s="201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FD194"/>
  <sheetViews>
    <sheetView topLeftCell="A61" zoomScale="70" zoomScaleNormal="70" workbookViewId="0">
      <selection activeCell="P88" sqref="P88:AE88"/>
    </sheetView>
  </sheetViews>
  <sheetFormatPr defaultColWidth="9" defaultRowHeight="16.5"/>
  <cols>
    <col min="1" max="1" width="45.625" style="33" customWidth="1"/>
    <col min="2" max="2" width="51.25" style="33" bestFit="1" customWidth="1"/>
    <col min="3" max="3" width="18.125" style="33" bestFit="1" customWidth="1"/>
    <col min="4" max="4" width="16.25" style="109" bestFit="1" customWidth="1"/>
    <col min="5" max="5" width="13.125" style="33" bestFit="1" customWidth="1"/>
    <col min="6" max="6" width="20.5" style="33" bestFit="1" customWidth="1"/>
    <col min="7" max="7" width="20.25" style="33" bestFit="1" customWidth="1"/>
    <col min="8" max="8" width="26.75" style="33" bestFit="1" customWidth="1"/>
    <col min="9" max="9" width="12.125" style="33" bestFit="1" customWidth="1"/>
    <col min="10" max="10" width="13.875" style="33" bestFit="1" customWidth="1"/>
    <col min="11" max="11" width="7.75" style="166" bestFit="1" customWidth="1"/>
    <col min="12" max="13" width="17.5" style="33" bestFit="1" customWidth="1"/>
    <col min="14" max="15" width="17.125" style="33" bestFit="1" customWidth="1"/>
    <col min="16" max="18" width="17.5" style="33" bestFit="1" customWidth="1"/>
    <col min="19" max="20" width="17.125" style="33" bestFit="1" customWidth="1"/>
    <col min="21" max="21" width="17.5" style="33" bestFit="1" customWidth="1"/>
    <col min="22" max="23" width="17.125" style="33" bestFit="1" customWidth="1"/>
    <col min="24" max="31" width="17.5" style="33" bestFit="1" customWidth="1"/>
    <col min="32" max="32" width="21.875" style="33" bestFit="1" customWidth="1"/>
    <col min="33" max="33" width="12.625" style="33" bestFit="1" customWidth="1"/>
    <col min="34" max="16384" width="9" style="33"/>
  </cols>
  <sheetData>
    <row r="1" spans="1:31" ht="18.75" thickBot="1">
      <c r="A1" s="11" t="str">
        <f>Intro!A1</f>
        <v>Town of Bar Harbor</v>
      </c>
      <c r="B1" s="13"/>
      <c r="C1" s="13"/>
      <c r="D1" s="99"/>
      <c r="E1" s="14"/>
      <c r="F1" s="14"/>
      <c r="G1" s="34"/>
      <c r="H1" s="34"/>
      <c r="I1" s="34"/>
      <c r="J1" s="34"/>
      <c r="K1" s="16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</row>
    <row r="2" spans="1:31" ht="17.25" thickBot="1">
      <c r="A2" s="380" t="str">
        <f>Intro!A2</f>
        <v>Ferry Property Business Plan</v>
      </c>
      <c r="B2" s="13"/>
      <c r="C2" s="13"/>
      <c r="D2" s="99"/>
      <c r="E2" s="14"/>
      <c r="F2" s="14"/>
      <c r="G2" s="34"/>
      <c r="H2" s="34"/>
      <c r="I2" s="34"/>
      <c r="J2" s="34"/>
      <c r="K2" s="16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</row>
    <row r="3" spans="1:31" s="392" customFormat="1" ht="14.25" thickBot="1">
      <c r="A3" s="384" t="str">
        <f>Intro!A3</f>
        <v>05.23.2018</v>
      </c>
      <c r="B3" s="2"/>
      <c r="C3" s="382"/>
      <c r="D3" s="393"/>
      <c r="E3" s="385"/>
      <c r="F3" s="385"/>
      <c r="G3" s="389"/>
      <c r="H3" s="389"/>
      <c r="I3" s="389"/>
      <c r="J3" s="389"/>
      <c r="K3" s="390"/>
      <c r="L3" s="391"/>
      <c r="M3" s="391"/>
      <c r="N3" s="391"/>
      <c r="O3" s="391"/>
      <c r="P3" s="391"/>
      <c r="Q3" s="391"/>
      <c r="R3" s="391"/>
      <c r="S3" s="391"/>
      <c r="T3" s="391"/>
      <c r="U3" s="391"/>
      <c r="V3" s="391"/>
      <c r="W3" s="391"/>
      <c r="X3" s="391"/>
      <c r="Y3" s="391"/>
      <c r="Z3" s="391"/>
      <c r="AA3" s="391"/>
      <c r="AB3" s="391"/>
      <c r="AC3" s="391"/>
      <c r="AD3" s="391"/>
      <c r="AE3" s="391"/>
    </row>
    <row r="4" spans="1:31" s="392" customFormat="1" ht="13.5">
      <c r="A4" s="384" t="str">
        <f ca="1">Intro!A4</f>
        <v>Town of Bar Harbor</v>
      </c>
      <c r="B4" s="382"/>
      <c r="C4" s="382"/>
      <c r="D4" s="393"/>
      <c r="E4" s="383">
        <f ca="1">NOW()</f>
        <v>43242.835659143515</v>
      </c>
      <c r="F4" s="383"/>
      <c r="G4" s="389"/>
      <c r="H4" s="389"/>
      <c r="I4" s="389"/>
      <c r="J4" s="389"/>
      <c r="K4" s="390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  <c r="W4" s="391"/>
      <c r="X4" s="391"/>
      <c r="Y4" s="391"/>
      <c r="Z4" s="391"/>
      <c r="AA4" s="391"/>
      <c r="AB4" s="391"/>
      <c r="AC4" s="391"/>
      <c r="AD4" s="391"/>
      <c r="AE4" s="391"/>
    </row>
    <row r="5" spans="1:31">
      <c r="A5" s="231" t="s">
        <v>342</v>
      </c>
      <c r="B5" s="231"/>
      <c r="C5" s="232"/>
      <c r="D5" s="233"/>
      <c r="E5" s="232"/>
      <c r="F5" s="232"/>
      <c r="G5" s="234"/>
      <c r="H5" s="234"/>
      <c r="I5" s="234"/>
      <c r="J5" s="234"/>
      <c r="K5" s="235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1:31">
      <c r="A6" s="237"/>
      <c r="B6" s="237"/>
      <c r="C6" s="237"/>
      <c r="D6" s="238"/>
      <c r="E6" s="237"/>
      <c r="F6" s="237"/>
      <c r="G6" s="237"/>
      <c r="H6" s="237"/>
      <c r="I6" s="237"/>
      <c r="J6" s="237"/>
      <c r="K6" s="659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</row>
    <row r="7" spans="1:31" ht="48.75" customHeight="1">
      <c r="A7" s="239"/>
      <c r="B7" s="240" t="s">
        <v>45</v>
      </c>
      <c r="C7" s="241" t="s">
        <v>46</v>
      </c>
      <c r="D7" s="242" t="s">
        <v>47</v>
      </c>
      <c r="E7" s="240" t="s">
        <v>21</v>
      </c>
      <c r="F7" s="240" t="s">
        <v>48</v>
      </c>
      <c r="G7" s="240" t="s">
        <v>49</v>
      </c>
      <c r="H7" s="240" t="s">
        <v>59</v>
      </c>
      <c r="I7" s="240" t="s">
        <v>22</v>
      </c>
      <c r="J7" s="240" t="s">
        <v>50</v>
      </c>
      <c r="K7" s="243">
        <v>2018</v>
      </c>
      <c r="L7" s="243">
        <v>2019</v>
      </c>
      <c r="M7" s="243">
        <v>2020</v>
      </c>
      <c r="N7" s="243">
        <v>2021</v>
      </c>
      <c r="O7" s="243">
        <v>2022</v>
      </c>
      <c r="P7" s="243">
        <v>2023</v>
      </c>
      <c r="Q7" s="243">
        <v>2024</v>
      </c>
      <c r="R7" s="243">
        <v>2025</v>
      </c>
      <c r="S7" s="243">
        <v>2026</v>
      </c>
      <c r="T7" s="243">
        <v>2027</v>
      </c>
      <c r="U7" s="243">
        <v>2028</v>
      </c>
      <c r="V7" s="243">
        <v>2029</v>
      </c>
      <c r="W7" s="243">
        <v>2030</v>
      </c>
      <c r="X7" s="243">
        <v>2031</v>
      </c>
      <c r="Y7" s="243">
        <v>2032</v>
      </c>
      <c r="Z7" s="243">
        <v>2033</v>
      </c>
      <c r="AA7" s="243">
        <v>2034</v>
      </c>
      <c r="AB7" s="243">
        <v>2035</v>
      </c>
      <c r="AC7" s="243">
        <v>2036</v>
      </c>
      <c r="AD7" s="243">
        <v>2037</v>
      </c>
      <c r="AE7" s="243">
        <v>2038</v>
      </c>
    </row>
    <row r="8" spans="1:31" s="18" customFormat="1" ht="17.25" thickBot="1">
      <c r="K8" s="488"/>
    </row>
    <row r="9" spans="1:31" s="18" customFormat="1" ht="17.25" thickBot="1">
      <c r="A9" s="117" t="s">
        <v>381</v>
      </c>
      <c r="B9" s="484" t="str">
        <f>'P&amp;L - Concept B3 - Carnival'!B9</f>
        <v>Scenario 3 - Percent of 2018 Business - Carnival</v>
      </c>
      <c r="K9" s="489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  <c r="Y9" s="327"/>
      <c r="Z9" s="327"/>
      <c r="AA9" s="327"/>
      <c r="AB9" s="327"/>
      <c r="AC9" s="327"/>
      <c r="AD9" s="327"/>
      <c r="AE9" s="327"/>
    </row>
    <row r="10" spans="1:31" s="18" customFormat="1">
      <c r="A10" s="649"/>
      <c r="B10" s="372"/>
      <c r="K10" s="489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  <c r="Y10" s="327"/>
      <c r="Z10" s="327"/>
      <c r="AA10" s="327"/>
      <c r="AB10" s="327"/>
      <c r="AC10" s="327"/>
      <c r="AD10" s="327"/>
      <c r="AE10" s="327"/>
    </row>
    <row r="11" spans="1:31">
      <c r="A11" s="38" t="s">
        <v>52</v>
      </c>
      <c r="B11" s="38"/>
      <c r="C11" s="38"/>
      <c r="D11" s="101"/>
      <c r="E11" s="38"/>
      <c r="F11" s="38"/>
      <c r="G11" s="37"/>
      <c r="H11" s="37"/>
      <c r="I11" s="38"/>
      <c r="J11" s="37"/>
      <c r="K11" s="784">
        <f>'OPEX - Concept A1'!K11</f>
        <v>0</v>
      </c>
      <c r="L11" s="311">
        <f>'BH Tariffs'!D52</f>
        <v>1.02</v>
      </c>
      <c r="M11" s="311">
        <f>'BH Tariffs'!E52</f>
        <v>1.0404</v>
      </c>
      <c r="N11" s="311">
        <f>'BH Tariffs'!F52</f>
        <v>1.0612079999999999</v>
      </c>
      <c r="O11" s="311">
        <f>'BH Tariffs'!G52</f>
        <v>1.08243216</v>
      </c>
      <c r="P11" s="311">
        <f>'BH Tariffs'!H52</f>
        <v>1.1040808032</v>
      </c>
      <c r="Q11" s="311">
        <f>'BH Tariffs'!I52</f>
        <v>1.1261624192640001</v>
      </c>
      <c r="R11" s="311">
        <f>'BH Tariffs'!J52</f>
        <v>1.14868566764928</v>
      </c>
      <c r="S11" s="311">
        <f>'BH Tariffs'!K52</f>
        <v>1.1716593810022657</v>
      </c>
      <c r="T11" s="311">
        <f>'BH Tariffs'!L52</f>
        <v>1.1950925686223111</v>
      </c>
      <c r="U11" s="311">
        <f>'BH Tariffs'!M52</f>
        <v>1.2189944199947573</v>
      </c>
      <c r="V11" s="311">
        <f>'BH Tariffs'!N52</f>
        <v>1.2433743083946525</v>
      </c>
      <c r="W11" s="311">
        <f>'BH Tariffs'!O52</f>
        <v>1.2682417945625455</v>
      </c>
      <c r="X11" s="311">
        <f>'BH Tariffs'!P52</f>
        <v>1.2936066304537963</v>
      </c>
      <c r="Y11" s="311">
        <f>'BH Tariffs'!Q52</f>
        <v>1.3194787630628724</v>
      </c>
      <c r="Z11" s="311">
        <f>'BH Tariffs'!R52</f>
        <v>1.3458683383241299</v>
      </c>
      <c r="AA11" s="311">
        <f>'BH Tariffs'!S52</f>
        <v>1.3727857050906125</v>
      </c>
      <c r="AB11" s="311">
        <f>'BH Tariffs'!T52</f>
        <v>1.4002414191924248</v>
      </c>
      <c r="AC11" s="311">
        <f>'BH Tariffs'!U52</f>
        <v>1.4282462475762734</v>
      </c>
      <c r="AD11" s="311">
        <f>'BH Tariffs'!V52</f>
        <v>1.4568111725277988</v>
      </c>
      <c r="AE11" s="311">
        <f>'BH Tariffs'!W52</f>
        <v>1.4859473959783549</v>
      </c>
    </row>
    <row r="12" spans="1:31">
      <c r="A12" s="38" t="s">
        <v>58</v>
      </c>
      <c r="B12" s="38"/>
      <c r="C12" s="37"/>
      <c r="D12" s="76"/>
      <c r="E12" s="79">
        <v>0.2</v>
      </c>
      <c r="F12" s="172"/>
      <c r="G12" s="36"/>
      <c r="H12" s="36"/>
      <c r="I12" s="38"/>
      <c r="J12" s="36"/>
      <c r="K12" s="661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200"/>
      <c r="AC12" s="200"/>
      <c r="AD12" s="200"/>
      <c r="AE12" s="200"/>
    </row>
    <row r="13" spans="1:31">
      <c r="A13" s="38" t="s">
        <v>51</v>
      </c>
      <c r="B13" s="38"/>
      <c r="C13" s="37"/>
      <c r="D13" s="76"/>
      <c r="E13" s="79"/>
      <c r="F13" s="79">
        <v>0.4</v>
      </c>
      <c r="G13" s="36"/>
      <c r="H13" s="36"/>
      <c r="I13" s="38"/>
      <c r="J13" s="36"/>
      <c r="K13" s="661"/>
      <c r="L13" s="200"/>
      <c r="M13" s="200"/>
      <c r="N13" s="200"/>
      <c r="O13" s="200"/>
      <c r="P13" s="200"/>
      <c r="Q13" s="200"/>
      <c r="R13" s="200"/>
      <c r="S13" s="200"/>
      <c r="T13" s="200"/>
      <c r="U13" s="200"/>
      <c r="V13" s="200"/>
      <c r="W13" s="200"/>
      <c r="X13" s="200"/>
      <c r="Y13" s="200"/>
      <c r="Z13" s="200"/>
      <c r="AA13" s="200"/>
      <c r="AB13" s="200"/>
      <c r="AC13" s="200"/>
      <c r="AD13" s="200"/>
      <c r="AE13" s="200"/>
    </row>
    <row r="14" spans="1:31" s="18" customFormat="1">
      <c r="A14" s="649"/>
      <c r="B14" s="372"/>
      <c r="K14" s="489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7"/>
      <c r="X14" s="327"/>
      <c r="Y14" s="327"/>
      <c r="Z14" s="327"/>
      <c r="AA14" s="327"/>
      <c r="AB14" s="327"/>
      <c r="AC14" s="327"/>
      <c r="AD14" s="327"/>
      <c r="AE14" s="327"/>
    </row>
    <row r="15" spans="1:31" s="18" customFormat="1">
      <c r="K15" s="489"/>
      <c r="L15" s="327"/>
      <c r="M15" s="327"/>
      <c r="N15" s="327"/>
      <c r="O15" s="327"/>
      <c r="P15" s="327"/>
      <c r="Q15" s="327"/>
      <c r="R15" s="327"/>
      <c r="S15" s="327"/>
      <c r="T15" s="327"/>
      <c r="U15" s="327"/>
      <c r="V15" s="327"/>
      <c r="W15" s="327"/>
      <c r="X15" s="327"/>
      <c r="Y15" s="327"/>
      <c r="Z15" s="327"/>
      <c r="AA15" s="327"/>
      <c r="AB15" s="327"/>
      <c r="AC15" s="327"/>
      <c r="AD15" s="327"/>
      <c r="AE15" s="327"/>
    </row>
    <row r="16" spans="1:31" s="582" customFormat="1" ht="14.25">
      <c r="A16" s="582" t="s">
        <v>83</v>
      </c>
      <c r="K16" s="490"/>
      <c r="L16" s="785"/>
      <c r="M16" s="785"/>
      <c r="N16" s="785"/>
      <c r="O16" s="785"/>
      <c r="P16" s="785"/>
      <c r="Q16" s="785"/>
      <c r="R16" s="785"/>
      <c r="S16" s="785"/>
      <c r="T16" s="785"/>
      <c r="U16" s="785"/>
      <c r="V16" s="785"/>
      <c r="W16" s="785"/>
      <c r="X16" s="785"/>
      <c r="Y16" s="785"/>
      <c r="Z16" s="785"/>
      <c r="AA16" s="785"/>
      <c r="AB16" s="785"/>
      <c r="AC16" s="785"/>
      <c r="AD16" s="785"/>
      <c r="AE16" s="785"/>
    </row>
    <row r="17" spans="1:31" s="96" customFormat="1">
      <c r="A17" s="53" t="str">
        <f>'Cruise Projections'!A67</f>
        <v>Passengers</v>
      </c>
      <c r="B17" s="487"/>
      <c r="C17" s="487"/>
      <c r="K17" s="486">
        <f>'P&amp;L - Concept C2 - Carnival'!D12</f>
        <v>0</v>
      </c>
      <c r="L17" s="313">
        <f>'P&amp;L - Concept C2 - Carnival'!E12</f>
        <v>0</v>
      </c>
      <c r="M17" s="313">
        <f>'P&amp;L - Concept C2 - Carnival'!F12</f>
        <v>105331.33459735833</v>
      </c>
      <c r="N17" s="313">
        <f>'P&amp;L - Concept C2 - Carnival'!G12</f>
        <v>105331.33459735833</v>
      </c>
      <c r="O17" s="313">
        <f>'P&amp;L - Concept C2 - Carnival'!H12</f>
        <v>105331.33459735833</v>
      </c>
      <c r="P17" s="313">
        <f>'P&amp;L - Concept C2 - Carnival'!I12</f>
        <v>105331.33459735833</v>
      </c>
      <c r="Q17" s="313">
        <f>'P&amp;L - Concept C2 - Carnival'!J12</f>
        <v>105331.33459735833</v>
      </c>
      <c r="R17" s="313">
        <f>'P&amp;L - Concept C2 - Carnival'!K12</f>
        <v>105331.33459735833</v>
      </c>
      <c r="S17" s="313">
        <f>'P&amp;L - Concept C2 - Carnival'!L12</f>
        <v>105331.33459735833</v>
      </c>
      <c r="T17" s="313">
        <f>'P&amp;L - Concept C2 - Carnival'!M12</f>
        <v>105331.33459735833</v>
      </c>
      <c r="U17" s="313">
        <f>'P&amp;L - Concept C2 - Carnival'!N12</f>
        <v>105331.33459735833</v>
      </c>
      <c r="V17" s="313">
        <f>'P&amp;L - Concept C2 - Carnival'!O12</f>
        <v>105331.33459735833</v>
      </c>
      <c r="W17" s="313">
        <f>'P&amp;L - Concept C2 - Carnival'!P12</f>
        <v>105331.33459735833</v>
      </c>
      <c r="X17" s="313">
        <f>'P&amp;L - Concept C2 - Carnival'!Q12</f>
        <v>105331.33459735833</v>
      </c>
      <c r="Y17" s="313">
        <f>'P&amp;L - Concept C2 - Carnival'!R12</f>
        <v>105331.33459735833</v>
      </c>
      <c r="Z17" s="313">
        <f>'P&amp;L - Concept C2 - Carnival'!S12</f>
        <v>105331.33459735833</v>
      </c>
      <c r="AA17" s="313">
        <f>'P&amp;L - Concept C2 - Carnival'!T12</f>
        <v>105331.33459735833</v>
      </c>
      <c r="AB17" s="313">
        <f>'P&amp;L - Concept C2 - Carnival'!U12</f>
        <v>105331.33459735833</v>
      </c>
      <c r="AC17" s="313">
        <f>'P&amp;L - Concept C2 - Carnival'!V12</f>
        <v>105331.33459735833</v>
      </c>
      <c r="AD17" s="313">
        <f>'P&amp;L - Concept C2 - Carnival'!W12</f>
        <v>105331.33459735833</v>
      </c>
      <c r="AE17" s="313">
        <f>'P&amp;L - Concept C2 - Carnival'!X12</f>
        <v>105331.33459735833</v>
      </c>
    </row>
    <row r="18" spans="1:31" s="96" customFormat="1">
      <c r="A18" s="53" t="str">
        <f>'Cruise Projections'!A68</f>
        <v>Calls</v>
      </c>
      <c r="B18" s="487"/>
      <c r="C18" s="487"/>
      <c r="K18" s="486">
        <f>'P&amp;L - Concept C2 - Carnival'!D13</f>
        <v>0</v>
      </c>
      <c r="L18" s="313">
        <f>'P&amp;L - Concept C2 - Carnival'!E13</f>
        <v>0</v>
      </c>
      <c r="M18" s="313">
        <f>'P&amp;L - Concept C2 - Carnival'!F13</f>
        <v>60.199999999999996</v>
      </c>
      <c r="N18" s="313">
        <f>'P&amp;L - Concept C2 - Carnival'!G13</f>
        <v>60.199999999999996</v>
      </c>
      <c r="O18" s="313">
        <f>'P&amp;L - Concept C2 - Carnival'!H13</f>
        <v>60.199999999999996</v>
      </c>
      <c r="P18" s="313">
        <f>'P&amp;L - Concept C2 - Carnival'!I13</f>
        <v>60.199999999999996</v>
      </c>
      <c r="Q18" s="313">
        <f>'P&amp;L - Concept C2 - Carnival'!J13</f>
        <v>60.199999999999996</v>
      </c>
      <c r="R18" s="313">
        <f>'P&amp;L - Concept C2 - Carnival'!K13</f>
        <v>60.199999999999996</v>
      </c>
      <c r="S18" s="313">
        <f>'P&amp;L - Concept C2 - Carnival'!L13</f>
        <v>60.199999999999996</v>
      </c>
      <c r="T18" s="313">
        <f>'P&amp;L - Concept C2 - Carnival'!M13</f>
        <v>60.199999999999996</v>
      </c>
      <c r="U18" s="313">
        <f>'P&amp;L - Concept C2 - Carnival'!N13</f>
        <v>60.199999999999996</v>
      </c>
      <c r="V18" s="313">
        <f>'P&amp;L - Concept C2 - Carnival'!O13</f>
        <v>60.199999999999996</v>
      </c>
      <c r="W18" s="313">
        <f>'P&amp;L - Concept C2 - Carnival'!P13</f>
        <v>60.199999999999996</v>
      </c>
      <c r="X18" s="313">
        <f>'P&amp;L - Concept C2 - Carnival'!Q13</f>
        <v>60.199999999999996</v>
      </c>
      <c r="Y18" s="313">
        <f>'P&amp;L - Concept C2 - Carnival'!R13</f>
        <v>60.199999999999996</v>
      </c>
      <c r="Z18" s="313">
        <f>'P&amp;L - Concept C2 - Carnival'!S13</f>
        <v>60.199999999999996</v>
      </c>
      <c r="AA18" s="313">
        <f>'P&amp;L - Concept C2 - Carnival'!T13</f>
        <v>60.199999999999996</v>
      </c>
      <c r="AB18" s="313">
        <f>'P&amp;L - Concept C2 - Carnival'!U13</f>
        <v>60.199999999999996</v>
      </c>
      <c r="AC18" s="313">
        <f>'P&amp;L - Concept C2 - Carnival'!V13</f>
        <v>60.199999999999996</v>
      </c>
      <c r="AD18" s="313">
        <f>'P&amp;L - Concept C2 - Carnival'!W13</f>
        <v>60.199999999999996</v>
      </c>
      <c r="AE18" s="313">
        <f>'P&amp;L - Concept C2 - Carnival'!X13</f>
        <v>60.199999999999996</v>
      </c>
    </row>
    <row r="19" spans="1:31" s="96" customFormat="1">
      <c r="A19" s="53" t="str">
        <f>'Cruise Projections'!A69</f>
        <v>Passengers per Call</v>
      </c>
      <c r="B19" s="487"/>
      <c r="C19" s="487"/>
      <c r="K19" s="486">
        <f>'P&amp;L - Concept C2 - Carnival'!D14</f>
        <v>0</v>
      </c>
      <c r="L19" s="313">
        <f>'P&amp;L - Concept C2 - Carnival'!E14</f>
        <v>0</v>
      </c>
      <c r="M19" s="313">
        <f>'P&amp;L - Concept C2 - Carnival'!F14</f>
        <v>1749.6899434777133</v>
      </c>
      <c r="N19" s="313">
        <f>'P&amp;L - Concept C2 - Carnival'!G14</f>
        <v>1749.6899434777133</v>
      </c>
      <c r="O19" s="313">
        <f>'P&amp;L - Concept C2 - Carnival'!H14</f>
        <v>1749.6899434777133</v>
      </c>
      <c r="P19" s="313">
        <f>'P&amp;L - Concept C2 - Carnival'!I14</f>
        <v>1749.6899434777133</v>
      </c>
      <c r="Q19" s="313">
        <f>'P&amp;L - Concept C2 - Carnival'!J14</f>
        <v>1749.6899434777133</v>
      </c>
      <c r="R19" s="313">
        <f>'P&amp;L - Concept C2 - Carnival'!K14</f>
        <v>1749.6899434777133</v>
      </c>
      <c r="S19" s="313">
        <f>'P&amp;L - Concept C2 - Carnival'!L14</f>
        <v>1749.6899434777133</v>
      </c>
      <c r="T19" s="313">
        <f>'P&amp;L - Concept C2 - Carnival'!M14</f>
        <v>1749.6899434777133</v>
      </c>
      <c r="U19" s="313">
        <f>'P&amp;L - Concept C2 - Carnival'!N14</f>
        <v>1749.6899434777133</v>
      </c>
      <c r="V19" s="313">
        <f>'P&amp;L - Concept C2 - Carnival'!O14</f>
        <v>1749.6899434777133</v>
      </c>
      <c r="W19" s="313">
        <f>'P&amp;L - Concept C2 - Carnival'!P14</f>
        <v>1749.6899434777133</v>
      </c>
      <c r="X19" s="313">
        <f>'P&amp;L - Concept C2 - Carnival'!Q14</f>
        <v>1749.6899434777133</v>
      </c>
      <c r="Y19" s="313">
        <f>'P&amp;L - Concept C2 - Carnival'!R14</f>
        <v>1749.6899434777133</v>
      </c>
      <c r="Z19" s="313">
        <f>'P&amp;L - Concept C2 - Carnival'!S14</f>
        <v>1749.6899434777133</v>
      </c>
      <c r="AA19" s="313">
        <f>'P&amp;L - Concept C2 - Carnival'!T14</f>
        <v>1749.6899434777133</v>
      </c>
      <c r="AB19" s="313">
        <f>'P&amp;L - Concept C2 - Carnival'!U14</f>
        <v>1749.6899434777133</v>
      </c>
      <c r="AC19" s="313">
        <f>'P&amp;L - Concept C2 - Carnival'!V14</f>
        <v>1749.6899434777133</v>
      </c>
      <c r="AD19" s="313">
        <f>'P&amp;L - Concept C2 - Carnival'!W14</f>
        <v>1749.6899434777133</v>
      </c>
      <c r="AE19" s="313">
        <f>'P&amp;L - Concept C2 - Carnival'!X14</f>
        <v>1749.6899434777133</v>
      </c>
    </row>
    <row r="20" spans="1:31" s="96" customFormat="1">
      <c r="A20" s="54" t="s">
        <v>313</v>
      </c>
      <c r="B20" s="487"/>
      <c r="C20" s="487"/>
      <c r="K20" s="486">
        <f>'P&amp;L - Concept C2 - Carnival'!D15</f>
        <v>0</v>
      </c>
      <c r="L20" s="313">
        <f>'P&amp;L - Concept C2 - Carnival'!E15</f>
        <v>0</v>
      </c>
      <c r="M20" s="313">
        <f>'P&amp;L - Concept C2 - Carnival'!F15</f>
        <v>4120</v>
      </c>
      <c r="N20" s="313">
        <f>'P&amp;L - Concept C2 - Carnival'!G15</f>
        <v>4120</v>
      </c>
      <c r="O20" s="313">
        <f>'P&amp;L - Concept C2 - Carnival'!H15</f>
        <v>4120</v>
      </c>
      <c r="P20" s="313">
        <f>'P&amp;L - Concept C2 - Carnival'!I15</f>
        <v>4120</v>
      </c>
      <c r="Q20" s="313">
        <f>'P&amp;L - Concept C2 - Carnival'!J15</f>
        <v>4120</v>
      </c>
      <c r="R20" s="313">
        <f>'P&amp;L - Concept C2 - Carnival'!K15</f>
        <v>4120</v>
      </c>
      <c r="S20" s="313">
        <f>'P&amp;L - Concept C2 - Carnival'!L15</f>
        <v>4120</v>
      </c>
      <c r="T20" s="313">
        <f>'P&amp;L - Concept C2 - Carnival'!M15</f>
        <v>4120</v>
      </c>
      <c r="U20" s="313">
        <f>'P&amp;L - Concept C2 - Carnival'!N15</f>
        <v>4120</v>
      </c>
      <c r="V20" s="313">
        <f>'P&amp;L - Concept C2 - Carnival'!O15</f>
        <v>4120</v>
      </c>
      <c r="W20" s="313">
        <f>'P&amp;L - Concept C2 - Carnival'!P15</f>
        <v>4120</v>
      </c>
      <c r="X20" s="313">
        <f>'P&amp;L - Concept C2 - Carnival'!Q15</f>
        <v>4120</v>
      </c>
      <c r="Y20" s="313">
        <f>'P&amp;L - Concept C2 - Carnival'!R15</f>
        <v>4120</v>
      </c>
      <c r="Z20" s="313">
        <f>'P&amp;L - Concept C2 - Carnival'!S15</f>
        <v>4120</v>
      </c>
      <c r="AA20" s="313">
        <f>'P&amp;L - Concept C2 - Carnival'!T15</f>
        <v>4120</v>
      </c>
      <c r="AB20" s="313">
        <f>'P&amp;L - Concept C2 - Carnival'!U15</f>
        <v>4120</v>
      </c>
      <c r="AC20" s="313">
        <f>'P&amp;L - Concept C2 - Carnival'!V15</f>
        <v>4120</v>
      </c>
      <c r="AD20" s="313">
        <f>'P&amp;L - Concept C2 - Carnival'!W15</f>
        <v>4120</v>
      </c>
      <c r="AE20" s="313">
        <f>'P&amp;L - Concept C2 - Carnival'!X15</f>
        <v>4120</v>
      </c>
    </row>
    <row r="21" spans="1:31" s="18" customFormat="1">
      <c r="A21" s="54"/>
      <c r="B21" s="21"/>
      <c r="C21" s="21"/>
      <c r="K21" s="486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  <c r="Y21" s="313"/>
      <c r="Z21" s="313"/>
      <c r="AA21" s="313"/>
      <c r="AB21" s="313"/>
      <c r="AC21" s="313"/>
      <c r="AD21" s="313"/>
      <c r="AE21" s="313"/>
    </row>
    <row r="22" spans="1:31" s="582" customFormat="1">
      <c r="A22" s="293" t="s">
        <v>163</v>
      </c>
      <c r="B22" s="581"/>
      <c r="C22" s="581"/>
      <c r="K22" s="491"/>
      <c r="L22" s="313"/>
      <c r="M22" s="313"/>
      <c r="N22" s="313"/>
      <c r="O22" s="313"/>
      <c r="P22" s="313"/>
      <c r="Q22" s="313"/>
      <c r="R22" s="313"/>
      <c r="S22" s="313"/>
      <c r="T22" s="313"/>
      <c r="U22" s="313"/>
      <c r="V22" s="313"/>
      <c r="W22" s="313"/>
      <c r="X22" s="313"/>
      <c r="Y22" s="313"/>
      <c r="Z22" s="313"/>
      <c r="AA22" s="313"/>
      <c r="AB22" s="313"/>
      <c r="AC22" s="313"/>
      <c r="AD22" s="313"/>
      <c r="AE22" s="313"/>
    </row>
    <row r="23" spans="1:31" s="96" customFormat="1">
      <c r="A23" s="54" t="str">
        <f>'International Ferry Projections'!A11</f>
        <v>Passengers</v>
      </c>
      <c r="B23" s="487"/>
      <c r="C23" s="487"/>
      <c r="K23" s="486">
        <f>'P&amp;L - Concept C2 - Carnival'!D18</f>
        <v>0</v>
      </c>
      <c r="L23" s="313">
        <f>'P&amp;L - Concept C2 - Carnival'!E18</f>
        <v>60000</v>
      </c>
      <c r="M23" s="313">
        <f>'P&amp;L - Concept C2 - Carnival'!F18</f>
        <v>70000</v>
      </c>
      <c r="N23" s="313">
        <f>'P&amp;L - Concept C2 - Carnival'!G18</f>
        <v>80000</v>
      </c>
      <c r="O23" s="313">
        <f>'P&amp;L - Concept C2 - Carnival'!H18</f>
        <v>80000</v>
      </c>
      <c r="P23" s="313">
        <f>'P&amp;L - Concept C2 - Carnival'!I18</f>
        <v>80000</v>
      </c>
      <c r="Q23" s="313">
        <f>'P&amp;L - Concept C2 - Carnival'!J18</f>
        <v>80000</v>
      </c>
      <c r="R23" s="313">
        <f>'P&amp;L - Concept C2 - Carnival'!K18</f>
        <v>80000</v>
      </c>
      <c r="S23" s="313">
        <f>'P&amp;L - Concept C2 - Carnival'!L18</f>
        <v>80000</v>
      </c>
      <c r="T23" s="313">
        <f>'P&amp;L - Concept C2 - Carnival'!M18</f>
        <v>80000</v>
      </c>
      <c r="U23" s="313">
        <f>'P&amp;L - Concept C2 - Carnival'!N18</f>
        <v>80000</v>
      </c>
      <c r="V23" s="313">
        <f>'P&amp;L - Concept C2 - Carnival'!O18</f>
        <v>80000</v>
      </c>
      <c r="W23" s="313">
        <f>'P&amp;L - Concept C2 - Carnival'!P18</f>
        <v>80000</v>
      </c>
      <c r="X23" s="313">
        <f>'P&amp;L - Concept C2 - Carnival'!Q18</f>
        <v>80000</v>
      </c>
      <c r="Y23" s="313">
        <f>'P&amp;L - Concept C2 - Carnival'!R18</f>
        <v>80000</v>
      </c>
      <c r="Z23" s="313">
        <f>'P&amp;L - Concept C2 - Carnival'!S18</f>
        <v>80000</v>
      </c>
      <c r="AA23" s="313">
        <f>'P&amp;L - Concept C2 - Carnival'!T18</f>
        <v>80000</v>
      </c>
      <c r="AB23" s="313">
        <f>'P&amp;L - Concept C2 - Carnival'!U18</f>
        <v>80000</v>
      </c>
      <c r="AC23" s="313">
        <f>'P&amp;L - Concept C2 - Carnival'!V18</f>
        <v>80000</v>
      </c>
      <c r="AD23" s="313">
        <f>'P&amp;L - Concept C2 - Carnival'!W18</f>
        <v>80000</v>
      </c>
      <c r="AE23" s="313">
        <f>'P&amp;L - Concept C2 - Carnival'!X18</f>
        <v>80000</v>
      </c>
    </row>
    <row r="24" spans="1:31" s="96" customFormat="1">
      <c r="A24" s="54" t="str">
        <f>'International Ferry Projections'!A12</f>
        <v>Cars</v>
      </c>
      <c r="B24" s="487"/>
      <c r="C24" s="487"/>
      <c r="K24" s="486">
        <f>'P&amp;L - Concept C2 - Carnival'!D19</f>
        <v>0</v>
      </c>
      <c r="L24" s="313">
        <f>'P&amp;L - Concept C2 - Carnival'!E19</f>
        <v>24000</v>
      </c>
      <c r="M24" s="313">
        <f>'P&amp;L - Concept C2 - Carnival'!F19</f>
        <v>28000</v>
      </c>
      <c r="N24" s="313">
        <f>'P&amp;L - Concept C2 - Carnival'!G19</f>
        <v>32000</v>
      </c>
      <c r="O24" s="313">
        <f>'P&amp;L - Concept C2 - Carnival'!H19</f>
        <v>32000</v>
      </c>
      <c r="P24" s="313">
        <f>'P&amp;L - Concept C2 - Carnival'!I19</f>
        <v>32000</v>
      </c>
      <c r="Q24" s="313">
        <f>'P&amp;L - Concept C2 - Carnival'!J19</f>
        <v>32000</v>
      </c>
      <c r="R24" s="313">
        <f>'P&amp;L - Concept C2 - Carnival'!K19</f>
        <v>32000</v>
      </c>
      <c r="S24" s="313">
        <f>'P&amp;L - Concept C2 - Carnival'!L19</f>
        <v>32000</v>
      </c>
      <c r="T24" s="313">
        <f>'P&amp;L - Concept C2 - Carnival'!M19</f>
        <v>32000</v>
      </c>
      <c r="U24" s="313">
        <f>'P&amp;L - Concept C2 - Carnival'!N19</f>
        <v>32000</v>
      </c>
      <c r="V24" s="313">
        <f>'P&amp;L - Concept C2 - Carnival'!O19</f>
        <v>32000</v>
      </c>
      <c r="W24" s="313">
        <f>'P&amp;L - Concept C2 - Carnival'!P19</f>
        <v>32000</v>
      </c>
      <c r="X24" s="313">
        <f>'P&amp;L - Concept C2 - Carnival'!Q19</f>
        <v>32000</v>
      </c>
      <c r="Y24" s="313">
        <f>'P&amp;L - Concept C2 - Carnival'!R19</f>
        <v>32000</v>
      </c>
      <c r="Z24" s="313">
        <f>'P&amp;L - Concept C2 - Carnival'!S19</f>
        <v>32000</v>
      </c>
      <c r="AA24" s="313">
        <f>'P&amp;L - Concept C2 - Carnival'!T19</f>
        <v>32000</v>
      </c>
      <c r="AB24" s="313">
        <f>'P&amp;L - Concept C2 - Carnival'!U19</f>
        <v>32000</v>
      </c>
      <c r="AC24" s="313">
        <f>'P&amp;L - Concept C2 - Carnival'!V19</f>
        <v>32000</v>
      </c>
      <c r="AD24" s="313">
        <f>'P&amp;L - Concept C2 - Carnival'!W19</f>
        <v>32000</v>
      </c>
      <c r="AE24" s="313">
        <f>'P&amp;L - Concept C2 - Carnival'!X19</f>
        <v>32000</v>
      </c>
    </row>
    <row r="25" spans="1:31" s="96" customFormat="1">
      <c r="A25" s="54" t="str">
        <f>'International Ferry Projections'!A13</f>
        <v>Buses</v>
      </c>
      <c r="B25" s="487"/>
      <c r="C25" s="487"/>
      <c r="K25" s="486">
        <f>'P&amp;L - Concept C2 - Carnival'!D20</f>
        <v>0</v>
      </c>
      <c r="L25" s="313">
        <f>'P&amp;L - Concept C2 - Carnival'!E20</f>
        <v>40</v>
      </c>
      <c r="M25" s="313">
        <f>'P&amp;L - Concept C2 - Carnival'!F20</f>
        <v>50</v>
      </c>
      <c r="N25" s="313">
        <f>'P&amp;L - Concept C2 - Carnival'!G20</f>
        <v>60</v>
      </c>
      <c r="O25" s="313">
        <f>'P&amp;L - Concept C2 - Carnival'!H20</f>
        <v>60</v>
      </c>
      <c r="P25" s="313">
        <f>'P&amp;L - Concept C2 - Carnival'!I20</f>
        <v>60</v>
      </c>
      <c r="Q25" s="313">
        <f>'P&amp;L - Concept C2 - Carnival'!J20</f>
        <v>60</v>
      </c>
      <c r="R25" s="313">
        <f>'P&amp;L - Concept C2 - Carnival'!K20</f>
        <v>60</v>
      </c>
      <c r="S25" s="313">
        <f>'P&amp;L - Concept C2 - Carnival'!L20</f>
        <v>60</v>
      </c>
      <c r="T25" s="313">
        <f>'P&amp;L - Concept C2 - Carnival'!M20</f>
        <v>60</v>
      </c>
      <c r="U25" s="313">
        <f>'P&amp;L - Concept C2 - Carnival'!N20</f>
        <v>60</v>
      </c>
      <c r="V25" s="313">
        <f>'P&amp;L - Concept C2 - Carnival'!O20</f>
        <v>60</v>
      </c>
      <c r="W25" s="313">
        <f>'P&amp;L - Concept C2 - Carnival'!P20</f>
        <v>60</v>
      </c>
      <c r="X25" s="313">
        <f>'P&amp;L - Concept C2 - Carnival'!Q20</f>
        <v>60</v>
      </c>
      <c r="Y25" s="313">
        <f>'P&amp;L - Concept C2 - Carnival'!R20</f>
        <v>60</v>
      </c>
      <c r="Z25" s="313">
        <f>'P&amp;L - Concept C2 - Carnival'!S20</f>
        <v>60</v>
      </c>
      <c r="AA25" s="313">
        <f>'P&amp;L - Concept C2 - Carnival'!T20</f>
        <v>60</v>
      </c>
      <c r="AB25" s="313">
        <f>'P&amp;L - Concept C2 - Carnival'!U20</f>
        <v>60</v>
      </c>
      <c r="AC25" s="313">
        <f>'P&amp;L - Concept C2 - Carnival'!V20</f>
        <v>60</v>
      </c>
      <c r="AD25" s="313">
        <f>'P&amp;L - Concept C2 - Carnival'!W20</f>
        <v>60</v>
      </c>
      <c r="AE25" s="313">
        <f>'P&amp;L - Concept C2 - Carnival'!X20</f>
        <v>60</v>
      </c>
    </row>
    <row r="26" spans="1:31" s="18" customFormat="1">
      <c r="A26" s="54"/>
      <c r="B26" s="21"/>
      <c r="C26" s="21"/>
      <c r="K26" s="486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</row>
    <row r="27" spans="1:31" s="582" customFormat="1">
      <c r="A27" s="293" t="str">
        <f>'BH Tariffs'!A30</f>
        <v>Local Ferry</v>
      </c>
      <c r="B27" s="581"/>
      <c r="C27" s="581"/>
      <c r="K27" s="486"/>
      <c r="L27" s="313"/>
      <c r="M27" s="313"/>
      <c r="N27" s="313"/>
      <c r="O27" s="313"/>
      <c r="P27" s="313"/>
      <c r="Q27" s="313"/>
      <c r="R27" s="313"/>
      <c r="S27" s="313"/>
      <c r="T27" s="313"/>
      <c r="U27" s="313"/>
      <c r="V27" s="313"/>
      <c r="W27" s="313"/>
      <c r="X27" s="313"/>
      <c r="Y27" s="313"/>
      <c r="Z27" s="313"/>
      <c r="AA27" s="313"/>
      <c r="AB27" s="313"/>
      <c r="AC27" s="313"/>
      <c r="AD27" s="313"/>
      <c r="AE27" s="313"/>
    </row>
    <row r="28" spans="1:31" s="96" customFormat="1">
      <c r="A28" s="54" t="str">
        <f>'BH Tariffs'!A31</f>
        <v>Dock Rent (6 Months Only)</v>
      </c>
      <c r="B28" s="487"/>
      <c r="C28" s="487"/>
      <c r="K28" s="486">
        <f>'P&amp;L - Concept C2 - Carnival'!D23</f>
        <v>0</v>
      </c>
      <c r="L28" s="313" t="str">
        <f>'P&amp;L - Concept C2 - Carnival'!E23</f>
        <v>see Tariff</v>
      </c>
      <c r="M28" s="313" t="str">
        <f>'P&amp;L - Concept C2 - Carnival'!F23</f>
        <v>see Tariff</v>
      </c>
      <c r="N28" s="313" t="str">
        <f>'P&amp;L - Concept C2 - Carnival'!G23</f>
        <v>see Tariff</v>
      </c>
      <c r="O28" s="313" t="str">
        <f>'P&amp;L - Concept C2 - Carnival'!H23</f>
        <v>see Tariff</v>
      </c>
      <c r="P28" s="313" t="str">
        <f>'P&amp;L - Concept C2 - Carnival'!I23</f>
        <v>see Tariff</v>
      </c>
      <c r="Q28" s="313" t="str">
        <f>'P&amp;L - Concept C2 - Carnival'!J23</f>
        <v>see Tariff</v>
      </c>
      <c r="R28" s="313" t="str">
        <f>'P&amp;L - Concept C2 - Carnival'!K23</f>
        <v>see Tariff</v>
      </c>
      <c r="S28" s="313" t="str">
        <f>'P&amp;L - Concept C2 - Carnival'!L23</f>
        <v>see Tariff</v>
      </c>
      <c r="T28" s="313" t="str">
        <f>'P&amp;L - Concept C2 - Carnival'!M23</f>
        <v>see Tariff</v>
      </c>
      <c r="U28" s="313" t="str">
        <f>'P&amp;L - Concept C2 - Carnival'!N23</f>
        <v>see Tariff</v>
      </c>
      <c r="V28" s="313" t="str">
        <f>'P&amp;L - Concept C2 - Carnival'!O23</f>
        <v>see Tariff</v>
      </c>
      <c r="W28" s="313" t="str">
        <f>'P&amp;L - Concept C2 - Carnival'!P23</f>
        <v>see Tariff</v>
      </c>
      <c r="X28" s="313" t="str">
        <f>'P&amp;L - Concept C2 - Carnival'!Q23</f>
        <v>see Tariff</v>
      </c>
      <c r="Y28" s="313" t="str">
        <f>'P&amp;L - Concept C2 - Carnival'!R23</f>
        <v>see Tariff</v>
      </c>
      <c r="Z28" s="313" t="str">
        <f>'P&amp;L - Concept C2 - Carnival'!S23</f>
        <v>see Tariff</v>
      </c>
      <c r="AA28" s="313" t="str">
        <f>'P&amp;L - Concept C2 - Carnival'!T23</f>
        <v>see Tariff</v>
      </c>
      <c r="AB28" s="313" t="str">
        <f>'P&amp;L - Concept C2 - Carnival'!U23</f>
        <v>see Tariff</v>
      </c>
      <c r="AC28" s="313" t="str">
        <f>'P&amp;L - Concept C2 - Carnival'!V23</f>
        <v>see Tariff</v>
      </c>
      <c r="AD28" s="313" t="str">
        <f>'P&amp;L - Concept C2 - Carnival'!W23</f>
        <v>see Tariff</v>
      </c>
      <c r="AE28" s="313" t="str">
        <f>'P&amp;L - Concept C2 - Carnival'!X23</f>
        <v>see Tariff</v>
      </c>
    </row>
    <row r="29" spans="1:31" s="341" customFormat="1">
      <c r="A29" s="552"/>
      <c r="B29" s="553"/>
      <c r="C29" s="553"/>
      <c r="K29" s="554"/>
      <c r="L29" s="313"/>
      <c r="M29" s="313"/>
      <c r="N29" s="313"/>
      <c r="O29" s="313"/>
      <c r="P29" s="313"/>
      <c r="Q29" s="313"/>
      <c r="R29" s="313"/>
      <c r="S29" s="313"/>
      <c r="T29" s="313"/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</row>
    <row r="30" spans="1:31" s="96" customFormat="1">
      <c r="A30" s="559" t="s">
        <v>227</v>
      </c>
      <c r="B30" s="487"/>
      <c r="C30" s="487"/>
      <c r="K30" s="486"/>
      <c r="L30" s="313"/>
      <c r="M30" s="313"/>
      <c r="N30" s="313"/>
      <c r="O30" s="313"/>
      <c r="P30" s="313"/>
      <c r="Q30" s="313"/>
      <c r="R30" s="313"/>
      <c r="S30" s="313"/>
      <c r="T30" s="313"/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</row>
    <row r="31" spans="1:31" s="96" customFormat="1">
      <c r="A31" s="559"/>
      <c r="B31" s="487"/>
      <c r="C31" s="487"/>
      <c r="K31" s="486"/>
      <c r="L31" s="313"/>
      <c r="M31" s="313"/>
      <c r="N31" s="313"/>
      <c r="O31" s="313"/>
      <c r="P31" s="313"/>
      <c r="Q31" s="313"/>
      <c r="R31" s="313"/>
      <c r="S31" s="313"/>
      <c r="T31" s="313"/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</row>
    <row r="32" spans="1:31" s="96" customFormat="1">
      <c r="A32" s="54" t="s">
        <v>420</v>
      </c>
      <c r="B32" s="487"/>
      <c r="C32" s="487"/>
      <c r="K32" s="486">
        <f>'P&amp;L - Concept C2 - Carnival'!D27</f>
        <v>0</v>
      </c>
      <c r="L32" s="313">
        <f>'P&amp;L - Concept C2 - Carnival'!E27</f>
        <v>0</v>
      </c>
      <c r="M32" s="313">
        <f>'P&amp;L - Concept C2 - Carnival'!F27</f>
        <v>214</v>
      </c>
      <c r="N32" s="313">
        <f>'P&amp;L - Concept C2 - Carnival'!G27</f>
        <v>214</v>
      </c>
      <c r="O32" s="313">
        <f>'P&amp;L - Concept C2 - Carnival'!H27</f>
        <v>214</v>
      </c>
      <c r="P32" s="313">
        <f>'P&amp;L - Concept C2 - Carnival'!I27</f>
        <v>214</v>
      </c>
      <c r="Q32" s="313">
        <f>'P&amp;L - Concept C2 - Carnival'!J27</f>
        <v>214</v>
      </c>
      <c r="R32" s="313">
        <f>'P&amp;L - Concept C2 - Carnival'!K27</f>
        <v>214</v>
      </c>
      <c r="S32" s="313">
        <f>'P&amp;L - Concept C2 - Carnival'!L27</f>
        <v>214</v>
      </c>
      <c r="T32" s="313">
        <f>'P&amp;L - Concept C2 - Carnival'!M27</f>
        <v>214</v>
      </c>
      <c r="U32" s="313">
        <f>'P&amp;L - Concept C2 - Carnival'!N27</f>
        <v>214</v>
      </c>
      <c r="V32" s="313">
        <f>'P&amp;L - Concept C2 - Carnival'!O27</f>
        <v>214</v>
      </c>
      <c r="W32" s="313">
        <f>'P&amp;L - Concept C2 - Carnival'!P27</f>
        <v>214</v>
      </c>
      <c r="X32" s="313">
        <f>'P&amp;L - Concept C2 - Carnival'!Q27</f>
        <v>214</v>
      </c>
      <c r="Y32" s="313">
        <f>'P&amp;L - Concept C2 - Carnival'!R27</f>
        <v>214</v>
      </c>
      <c r="Z32" s="313">
        <f>'P&amp;L - Concept C2 - Carnival'!S27</f>
        <v>214</v>
      </c>
      <c r="AA32" s="313">
        <f>'P&amp;L - Concept C2 - Carnival'!T27</f>
        <v>214</v>
      </c>
      <c r="AB32" s="313">
        <f>'P&amp;L - Concept C2 - Carnival'!U27</f>
        <v>214</v>
      </c>
      <c r="AC32" s="313">
        <f>'P&amp;L - Concept C2 - Carnival'!V27</f>
        <v>214</v>
      </c>
      <c r="AD32" s="313">
        <f>'P&amp;L - Concept C2 - Carnival'!W27</f>
        <v>214</v>
      </c>
      <c r="AE32" s="313">
        <f>'P&amp;L - Concept C2 - Carnival'!X27</f>
        <v>214</v>
      </c>
    </row>
    <row r="33" spans="1:31" s="96" customFormat="1">
      <c r="A33" s="54" t="s">
        <v>205</v>
      </c>
      <c r="B33" s="487"/>
      <c r="C33" s="487"/>
      <c r="K33" s="486">
        <f>'P&amp;L - Concept C2 - Carnival'!D28</f>
        <v>0</v>
      </c>
      <c r="L33" s="313">
        <f>'P&amp;L - Concept C2 - Carnival'!E28</f>
        <v>0</v>
      </c>
      <c r="M33" s="313">
        <f>'P&amp;L - Concept C2 - Carnival'!F28</f>
        <v>60.199999999999996</v>
      </c>
      <c r="N33" s="313">
        <f>'P&amp;L - Concept C2 - Carnival'!G28</f>
        <v>60.199999999999996</v>
      </c>
      <c r="O33" s="313">
        <f>'P&amp;L - Concept C2 - Carnival'!H28</f>
        <v>60.199999999999996</v>
      </c>
      <c r="P33" s="313">
        <f>'P&amp;L - Concept C2 - Carnival'!I28</f>
        <v>60.199999999999996</v>
      </c>
      <c r="Q33" s="313">
        <f>'P&amp;L - Concept C2 - Carnival'!J28</f>
        <v>60.199999999999996</v>
      </c>
      <c r="R33" s="313">
        <f>'P&amp;L - Concept C2 - Carnival'!K28</f>
        <v>60.199999999999996</v>
      </c>
      <c r="S33" s="313">
        <f>'P&amp;L - Concept C2 - Carnival'!L28</f>
        <v>60.199999999999996</v>
      </c>
      <c r="T33" s="313">
        <f>'P&amp;L - Concept C2 - Carnival'!M28</f>
        <v>60.199999999999996</v>
      </c>
      <c r="U33" s="313">
        <f>'P&amp;L - Concept C2 - Carnival'!N28</f>
        <v>60.199999999999996</v>
      </c>
      <c r="V33" s="313">
        <f>'P&amp;L - Concept C2 - Carnival'!O28</f>
        <v>60.199999999999996</v>
      </c>
      <c r="W33" s="313">
        <f>'P&amp;L - Concept C2 - Carnival'!P28</f>
        <v>60.199999999999996</v>
      </c>
      <c r="X33" s="313">
        <f>'P&amp;L - Concept C2 - Carnival'!Q28</f>
        <v>60.199999999999996</v>
      </c>
      <c r="Y33" s="313">
        <f>'P&amp;L - Concept C2 - Carnival'!R28</f>
        <v>60.199999999999996</v>
      </c>
      <c r="Z33" s="313">
        <f>'P&amp;L - Concept C2 - Carnival'!S28</f>
        <v>60.199999999999996</v>
      </c>
      <c r="AA33" s="313">
        <f>'P&amp;L - Concept C2 - Carnival'!T28</f>
        <v>60.199999999999996</v>
      </c>
      <c r="AB33" s="313">
        <f>'P&amp;L - Concept C2 - Carnival'!U28</f>
        <v>60.199999999999996</v>
      </c>
      <c r="AC33" s="313">
        <f>'P&amp;L - Concept C2 - Carnival'!V28</f>
        <v>60.199999999999996</v>
      </c>
      <c r="AD33" s="313">
        <f>'P&amp;L - Concept C2 - Carnival'!W28</f>
        <v>60.199999999999996</v>
      </c>
      <c r="AE33" s="313">
        <f>'P&amp;L - Concept C2 - Carnival'!X28</f>
        <v>60.199999999999996</v>
      </c>
    </row>
    <row r="34" spans="1:31" s="96" customFormat="1">
      <c r="A34" s="54" t="s">
        <v>219</v>
      </c>
      <c r="B34" s="487"/>
      <c r="C34" s="487"/>
      <c r="K34" s="486">
        <f>'P&amp;L - Concept C2 - Carnival'!D29</f>
        <v>0</v>
      </c>
      <c r="L34" s="313">
        <f>'P&amp;L - Concept C2 - Carnival'!E29</f>
        <v>150</v>
      </c>
      <c r="M34" s="313">
        <f>'P&amp;L - Concept C2 - Carnival'!F29</f>
        <v>150</v>
      </c>
      <c r="N34" s="313">
        <f>'P&amp;L - Concept C2 - Carnival'!G29</f>
        <v>150</v>
      </c>
      <c r="O34" s="313">
        <f>'P&amp;L - Concept C2 - Carnival'!H29</f>
        <v>150</v>
      </c>
      <c r="P34" s="313">
        <f>'P&amp;L - Concept C2 - Carnival'!I29</f>
        <v>150</v>
      </c>
      <c r="Q34" s="313">
        <f>'P&amp;L - Concept C2 - Carnival'!J29</f>
        <v>150</v>
      </c>
      <c r="R34" s="313">
        <f>'P&amp;L - Concept C2 - Carnival'!K29</f>
        <v>150</v>
      </c>
      <c r="S34" s="313">
        <f>'P&amp;L - Concept C2 - Carnival'!L29</f>
        <v>150</v>
      </c>
      <c r="T34" s="313">
        <f>'P&amp;L - Concept C2 - Carnival'!M29</f>
        <v>150</v>
      </c>
      <c r="U34" s="313">
        <f>'P&amp;L - Concept C2 - Carnival'!N29</f>
        <v>150</v>
      </c>
      <c r="V34" s="313">
        <f>'P&amp;L - Concept C2 - Carnival'!O29</f>
        <v>150</v>
      </c>
      <c r="W34" s="313">
        <f>'P&amp;L - Concept C2 - Carnival'!P29</f>
        <v>150</v>
      </c>
      <c r="X34" s="313">
        <f>'P&amp;L - Concept C2 - Carnival'!Q29</f>
        <v>150</v>
      </c>
      <c r="Y34" s="313">
        <f>'P&amp;L - Concept C2 - Carnival'!R29</f>
        <v>150</v>
      </c>
      <c r="Z34" s="313">
        <f>'P&amp;L - Concept C2 - Carnival'!S29</f>
        <v>150</v>
      </c>
      <c r="AA34" s="313">
        <f>'P&amp;L - Concept C2 - Carnival'!T29</f>
        <v>150</v>
      </c>
      <c r="AB34" s="313">
        <f>'P&amp;L - Concept C2 - Carnival'!U29</f>
        <v>150</v>
      </c>
      <c r="AC34" s="313">
        <f>'P&amp;L - Concept C2 - Carnival'!V29</f>
        <v>150</v>
      </c>
      <c r="AD34" s="313">
        <f>'P&amp;L - Concept C2 - Carnival'!W29</f>
        <v>150</v>
      </c>
      <c r="AE34" s="313">
        <f>'P&amp;L - Concept C2 - Carnival'!X29</f>
        <v>150</v>
      </c>
    </row>
    <row r="35" spans="1:31" s="96" customFormat="1">
      <c r="A35" s="54" t="s">
        <v>220</v>
      </c>
      <c r="B35" s="487"/>
      <c r="C35" s="487"/>
      <c r="K35" s="486">
        <f>'P&amp;L - Concept C2 - Carnival'!D30</f>
        <v>0</v>
      </c>
      <c r="L35" s="307">
        <f>'P&amp;L - Concept C2 - Carnival'!E30</f>
        <v>0</v>
      </c>
      <c r="M35" s="307">
        <f>'P&amp;L - Concept C2 - Carnival'!F30</f>
        <v>0.40133333333333332</v>
      </c>
      <c r="N35" s="307">
        <f>'P&amp;L - Concept C2 - Carnival'!G30</f>
        <v>0.40133333333333332</v>
      </c>
      <c r="O35" s="307">
        <f>'P&amp;L - Concept C2 - Carnival'!H30</f>
        <v>0.40133333333333332</v>
      </c>
      <c r="P35" s="307">
        <f>'P&amp;L - Concept C2 - Carnival'!I30</f>
        <v>0.40133333333333332</v>
      </c>
      <c r="Q35" s="307">
        <f>'P&amp;L - Concept C2 - Carnival'!J30</f>
        <v>0.40133333333333332</v>
      </c>
      <c r="R35" s="307">
        <f>'P&amp;L - Concept C2 - Carnival'!K30</f>
        <v>0.40133333333333332</v>
      </c>
      <c r="S35" s="307">
        <f>'P&amp;L - Concept C2 - Carnival'!L30</f>
        <v>0.40133333333333332</v>
      </c>
      <c r="T35" s="307">
        <f>'P&amp;L - Concept C2 - Carnival'!M30</f>
        <v>0.40133333333333332</v>
      </c>
      <c r="U35" s="307">
        <f>'P&amp;L - Concept C2 - Carnival'!N30</f>
        <v>0.40133333333333332</v>
      </c>
      <c r="V35" s="307">
        <f>'P&amp;L - Concept C2 - Carnival'!O30</f>
        <v>0.40133333333333332</v>
      </c>
      <c r="W35" s="307">
        <f>'P&amp;L - Concept C2 - Carnival'!P30</f>
        <v>0.40133333333333332</v>
      </c>
      <c r="X35" s="307">
        <f>'P&amp;L - Concept C2 - Carnival'!Q30</f>
        <v>0.40133333333333332</v>
      </c>
      <c r="Y35" s="307">
        <f>'P&amp;L - Concept C2 - Carnival'!R30</f>
        <v>0.40133333333333332</v>
      </c>
      <c r="Z35" s="307">
        <f>'P&amp;L - Concept C2 - Carnival'!S30</f>
        <v>0.40133333333333332</v>
      </c>
      <c r="AA35" s="307">
        <f>'P&amp;L - Concept C2 - Carnival'!T30</f>
        <v>0.40133333333333332</v>
      </c>
      <c r="AB35" s="307">
        <f>'P&amp;L - Concept C2 - Carnival'!U30</f>
        <v>0.40133333333333332</v>
      </c>
      <c r="AC35" s="307">
        <f>'P&amp;L - Concept C2 - Carnival'!V30</f>
        <v>0.40133333333333332</v>
      </c>
      <c r="AD35" s="307">
        <f>'P&amp;L - Concept C2 - Carnival'!W30</f>
        <v>0.40133333333333332</v>
      </c>
      <c r="AE35" s="307">
        <f>'P&amp;L - Concept C2 - Carnival'!X30</f>
        <v>0.40133333333333332</v>
      </c>
    </row>
    <row r="36" spans="1:31" s="96" customFormat="1">
      <c r="A36" s="54" t="s">
        <v>226</v>
      </c>
      <c r="B36" s="487"/>
      <c r="C36" s="487"/>
      <c r="K36" s="486">
        <f>'P&amp;L - Concept C2 - Carnival'!D31</f>
        <v>0</v>
      </c>
      <c r="L36" s="313">
        <f>'P&amp;L - Concept C2 - Carnival'!E31</f>
        <v>0</v>
      </c>
      <c r="M36" s="313">
        <f>'P&amp;L - Concept C2 - Carnival'!F31</f>
        <v>125</v>
      </c>
      <c r="N36" s="313">
        <f>'P&amp;L - Concept C2 - Carnival'!G31</f>
        <v>125</v>
      </c>
      <c r="O36" s="313">
        <f>'P&amp;L - Concept C2 - Carnival'!H31</f>
        <v>125</v>
      </c>
      <c r="P36" s="313">
        <f>'P&amp;L - Concept C2 - Carnival'!I31</f>
        <v>125</v>
      </c>
      <c r="Q36" s="313">
        <f>'P&amp;L - Concept C2 - Carnival'!J31</f>
        <v>125</v>
      </c>
      <c r="R36" s="313">
        <f>'P&amp;L - Concept C2 - Carnival'!K31</f>
        <v>125</v>
      </c>
      <c r="S36" s="313">
        <f>'P&amp;L - Concept C2 - Carnival'!L31</f>
        <v>125</v>
      </c>
      <c r="T36" s="313">
        <f>'P&amp;L - Concept C2 - Carnival'!M31</f>
        <v>125</v>
      </c>
      <c r="U36" s="313">
        <f>'P&amp;L - Concept C2 - Carnival'!N31</f>
        <v>125</v>
      </c>
      <c r="V36" s="313">
        <f>'P&amp;L - Concept C2 - Carnival'!O31</f>
        <v>125</v>
      </c>
      <c r="W36" s="313">
        <f>'P&amp;L - Concept C2 - Carnival'!P31</f>
        <v>125</v>
      </c>
      <c r="X36" s="313">
        <f>'P&amp;L - Concept C2 - Carnival'!Q31</f>
        <v>125</v>
      </c>
      <c r="Y36" s="313">
        <f>'P&amp;L - Concept C2 - Carnival'!R31</f>
        <v>125</v>
      </c>
      <c r="Z36" s="313">
        <f>'P&amp;L - Concept C2 - Carnival'!S31</f>
        <v>125</v>
      </c>
      <c r="AA36" s="313">
        <f>'P&amp;L - Concept C2 - Carnival'!T31</f>
        <v>125</v>
      </c>
      <c r="AB36" s="313">
        <f>'P&amp;L - Concept C2 - Carnival'!U31</f>
        <v>125</v>
      </c>
      <c r="AC36" s="313">
        <f>'P&amp;L - Concept C2 - Carnival'!V31</f>
        <v>125</v>
      </c>
      <c r="AD36" s="313">
        <f>'P&amp;L - Concept C2 - Carnival'!W31</f>
        <v>125</v>
      </c>
      <c r="AE36" s="313">
        <f>'P&amp;L - Concept C2 - Carnival'!X31</f>
        <v>125</v>
      </c>
    </row>
    <row r="37" spans="1:31" s="96" customFormat="1">
      <c r="A37" s="54"/>
      <c r="B37" s="487"/>
      <c r="C37" s="487"/>
      <c r="K37" s="486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</row>
    <row r="38" spans="1:31" s="96" customFormat="1">
      <c r="A38" s="54" t="s">
        <v>206</v>
      </c>
      <c r="B38" s="487"/>
      <c r="C38" s="487"/>
      <c r="K38" s="486">
        <f>'P&amp;L - Concept C2 - Carnival'!D33</f>
        <v>0</v>
      </c>
      <c r="L38" s="313">
        <f>'P&amp;L - Concept C2 - Carnival'!E33</f>
        <v>0</v>
      </c>
      <c r="M38" s="313">
        <f>'P&amp;L - Concept C2 - Carnival'!F33</f>
        <v>1749.6899434777133</v>
      </c>
      <c r="N38" s="313">
        <f>'P&amp;L - Concept C2 - Carnival'!G33</f>
        <v>1749.6899434777133</v>
      </c>
      <c r="O38" s="313">
        <f>'P&amp;L - Concept C2 - Carnival'!H33</f>
        <v>1749.6899434777133</v>
      </c>
      <c r="P38" s="313">
        <f>'P&amp;L - Concept C2 - Carnival'!I33</f>
        <v>1749.6899434777133</v>
      </c>
      <c r="Q38" s="313">
        <f>'P&amp;L - Concept C2 - Carnival'!J33</f>
        <v>1749.6899434777133</v>
      </c>
      <c r="R38" s="313">
        <f>'P&amp;L - Concept C2 - Carnival'!K33</f>
        <v>1749.6899434777133</v>
      </c>
      <c r="S38" s="313">
        <f>'P&amp;L - Concept C2 - Carnival'!L33</f>
        <v>1749.6899434777133</v>
      </c>
      <c r="T38" s="313">
        <f>'P&amp;L - Concept C2 - Carnival'!M33</f>
        <v>1749.6899434777133</v>
      </c>
      <c r="U38" s="313">
        <f>'P&amp;L - Concept C2 - Carnival'!N33</f>
        <v>1749.6899434777133</v>
      </c>
      <c r="V38" s="313">
        <f>'P&amp;L - Concept C2 - Carnival'!O33</f>
        <v>1749.6899434777133</v>
      </c>
      <c r="W38" s="313">
        <f>'P&amp;L - Concept C2 - Carnival'!P33</f>
        <v>1749.6899434777133</v>
      </c>
      <c r="X38" s="313">
        <f>'P&amp;L - Concept C2 - Carnival'!Q33</f>
        <v>1749.6899434777133</v>
      </c>
      <c r="Y38" s="313">
        <f>'P&amp;L - Concept C2 - Carnival'!R33</f>
        <v>1749.6899434777133</v>
      </c>
      <c r="Z38" s="313">
        <f>'P&amp;L - Concept C2 - Carnival'!S33</f>
        <v>1749.6899434777133</v>
      </c>
      <c r="AA38" s="313">
        <f>'P&amp;L - Concept C2 - Carnival'!T33</f>
        <v>1749.6899434777133</v>
      </c>
      <c r="AB38" s="313">
        <f>'P&amp;L - Concept C2 - Carnival'!U33</f>
        <v>1749.6899434777133</v>
      </c>
      <c r="AC38" s="313">
        <f>'P&amp;L - Concept C2 - Carnival'!V33</f>
        <v>1749.6899434777133</v>
      </c>
      <c r="AD38" s="313">
        <f>'P&amp;L - Concept C2 - Carnival'!W33</f>
        <v>1749.6899434777133</v>
      </c>
      <c r="AE38" s="313">
        <f>'P&amp;L - Concept C2 - Carnival'!X33</f>
        <v>1749.6899434777133</v>
      </c>
    </row>
    <row r="39" spans="1:31" s="96" customFormat="1">
      <c r="A39" s="54" t="s">
        <v>207</v>
      </c>
      <c r="B39" s="487"/>
      <c r="C39" s="487"/>
      <c r="K39" s="486">
        <f>'P&amp;L - Concept C2 - Carnival'!D34</f>
        <v>0</v>
      </c>
      <c r="L39" s="313">
        <f>'P&amp;L - Concept C2 - Carnival'!E34</f>
        <v>0</v>
      </c>
      <c r="M39" s="313">
        <f>'P&amp;L - Concept C2 - Carnival'!F34</f>
        <v>5500</v>
      </c>
      <c r="N39" s="313">
        <f>'P&amp;L - Concept C2 - Carnival'!G34</f>
        <v>5500</v>
      </c>
      <c r="O39" s="313">
        <f>'P&amp;L - Concept C2 - Carnival'!H34</f>
        <v>5500</v>
      </c>
      <c r="P39" s="313">
        <f>'P&amp;L - Concept C2 - Carnival'!I34</f>
        <v>5500</v>
      </c>
      <c r="Q39" s="313">
        <f>'P&amp;L - Concept C2 - Carnival'!J34</f>
        <v>5500</v>
      </c>
      <c r="R39" s="313">
        <f>'P&amp;L - Concept C2 - Carnival'!K34</f>
        <v>5500</v>
      </c>
      <c r="S39" s="313">
        <f>'P&amp;L - Concept C2 - Carnival'!L34</f>
        <v>5500</v>
      </c>
      <c r="T39" s="313">
        <f>'P&amp;L - Concept C2 - Carnival'!M34</f>
        <v>5500</v>
      </c>
      <c r="U39" s="313">
        <f>'P&amp;L - Concept C2 - Carnival'!N34</f>
        <v>5500</v>
      </c>
      <c r="V39" s="313">
        <f>'P&amp;L - Concept C2 - Carnival'!O34</f>
        <v>5500</v>
      </c>
      <c r="W39" s="313">
        <f>'P&amp;L - Concept C2 - Carnival'!P34</f>
        <v>5500</v>
      </c>
      <c r="X39" s="313">
        <f>'P&amp;L - Concept C2 - Carnival'!Q34</f>
        <v>5500</v>
      </c>
      <c r="Y39" s="313">
        <f>'P&amp;L - Concept C2 - Carnival'!R34</f>
        <v>5500</v>
      </c>
      <c r="Z39" s="313">
        <f>'P&amp;L - Concept C2 - Carnival'!S34</f>
        <v>5500</v>
      </c>
      <c r="AA39" s="313">
        <f>'P&amp;L - Concept C2 - Carnival'!T34</f>
        <v>5500</v>
      </c>
      <c r="AB39" s="313">
        <f>'P&amp;L - Concept C2 - Carnival'!U34</f>
        <v>5500</v>
      </c>
      <c r="AC39" s="313">
        <f>'P&amp;L - Concept C2 - Carnival'!V34</f>
        <v>5500</v>
      </c>
      <c r="AD39" s="313">
        <f>'P&amp;L - Concept C2 - Carnival'!W34</f>
        <v>5500</v>
      </c>
      <c r="AE39" s="313">
        <f>'P&amp;L - Concept C2 - Carnival'!X34</f>
        <v>5500</v>
      </c>
    </row>
    <row r="40" spans="1:31" s="96" customFormat="1">
      <c r="A40" s="54" t="s">
        <v>221</v>
      </c>
      <c r="B40" s="487"/>
      <c r="C40" s="487"/>
      <c r="K40" s="486">
        <f>'P&amp;L - Concept C2 - Carnival'!D35</f>
        <v>0</v>
      </c>
      <c r="L40" s="313">
        <f>'P&amp;L - Concept C2 - Carnival'!E35</f>
        <v>400</v>
      </c>
      <c r="M40" s="313">
        <f>'P&amp;L - Concept C2 - Carnival'!F35</f>
        <v>466.66666666666669</v>
      </c>
      <c r="N40" s="313">
        <f>'P&amp;L - Concept C2 - Carnival'!G35</f>
        <v>533.33333333333337</v>
      </c>
      <c r="O40" s="313">
        <f>'P&amp;L - Concept C2 - Carnival'!H35</f>
        <v>533.33333333333337</v>
      </c>
      <c r="P40" s="313">
        <f>'P&amp;L - Concept C2 - Carnival'!I35</f>
        <v>533.33333333333337</v>
      </c>
      <c r="Q40" s="313">
        <f>'P&amp;L - Concept C2 - Carnival'!J35</f>
        <v>533.33333333333337</v>
      </c>
      <c r="R40" s="313">
        <f>'P&amp;L - Concept C2 - Carnival'!K35</f>
        <v>533.33333333333337</v>
      </c>
      <c r="S40" s="313">
        <f>'P&amp;L - Concept C2 - Carnival'!L35</f>
        <v>533.33333333333337</v>
      </c>
      <c r="T40" s="313">
        <f>'P&amp;L - Concept C2 - Carnival'!M35</f>
        <v>533.33333333333337</v>
      </c>
      <c r="U40" s="313">
        <f>'P&amp;L - Concept C2 - Carnival'!N35</f>
        <v>533.33333333333337</v>
      </c>
      <c r="V40" s="313">
        <f>'P&amp;L - Concept C2 - Carnival'!O35</f>
        <v>533.33333333333337</v>
      </c>
      <c r="W40" s="313">
        <f>'P&amp;L - Concept C2 - Carnival'!P35</f>
        <v>533.33333333333337</v>
      </c>
      <c r="X40" s="313">
        <f>'P&amp;L - Concept C2 - Carnival'!Q35</f>
        <v>533.33333333333337</v>
      </c>
      <c r="Y40" s="313">
        <f>'P&amp;L - Concept C2 - Carnival'!R35</f>
        <v>533.33333333333337</v>
      </c>
      <c r="Z40" s="313">
        <f>'P&amp;L - Concept C2 - Carnival'!S35</f>
        <v>533.33333333333337</v>
      </c>
      <c r="AA40" s="313">
        <f>'P&amp;L - Concept C2 - Carnival'!T35</f>
        <v>533.33333333333337</v>
      </c>
      <c r="AB40" s="313">
        <f>'P&amp;L - Concept C2 - Carnival'!U35</f>
        <v>533.33333333333337</v>
      </c>
      <c r="AC40" s="313">
        <f>'P&amp;L - Concept C2 - Carnival'!V35</f>
        <v>533.33333333333337</v>
      </c>
      <c r="AD40" s="313">
        <f>'P&amp;L - Concept C2 - Carnival'!W35</f>
        <v>533.33333333333337</v>
      </c>
      <c r="AE40" s="313">
        <f>'P&amp;L - Concept C2 - Carnival'!X35</f>
        <v>533.33333333333337</v>
      </c>
    </row>
    <row r="41" spans="1:31" s="96" customFormat="1">
      <c r="A41" s="54" t="s">
        <v>222</v>
      </c>
      <c r="B41" s="487"/>
      <c r="C41" s="487"/>
      <c r="K41" s="486">
        <f>'P&amp;L - Concept C2 - Carnival'!D36</f>
        <v>0</v>
      </c>
      <c r="L41" s="313">
        <f>'P&amp;L - Concept C2 - Carnival'!E36</f>
        <v>800</v>
      </c>
      <c r="M41" s="313">
        <f>'P&amp;L - Concept C2 - Carnival'!F36</f>
        <v>800</v>
      </c>
      <c r="N41" s="313">
        <f>'P&amp;L - Concept C2 - Carnival'!G36</f>
        <v>800</v>
      </c>
      <c r="O41" s="313">
        <f>'P&amp;L - Concept C2 - Carnival'!H36</f>
        <v>800</v>
      </c>
      <c r="P41" s="313">
        <f>'P&amp;L - Concept C2 - Carnival'!I36</f>
        <v>800</v>
      </c>
      <c r="Q41" s="313">
        <f>'P&amp;L - Concept C2 - Carnival'!J36</f>
        <v>800</v>
      </c>
      <c r="R41" s="313">
        <f>'P&amp;L - Concept C2 - Carnival'!K36</f>
        <v>800</v>
      </c>
      <c r="S41" s="313">
        <f>'P&amp;L - Concept C2 - Carnival'!L36</f>
        <v>800</v>
      </c>
      <c r="T41" s="313">
        <f>'P&amp;L - Concept C2 - Carnival'!M36</f>
        <v>800</v>
      </c>
      <c r="U41" s="313">
        <f>'P&amp;L - Concept C2 - Carnival'!N36</f>
        <v>800</v>
      </c>
      <c r="V41" s="313">
        <f>'P&amp;L - Concept C2 - Carnival'!O36</f>
        <v>800</v>
      </c>
      <c r="W41" s="313">
        <f>'P&amp;L - Concept C2 - Carnival'!P36</f>
        <v>800</v>
      </c>
      <c r="X41" s="313">
        <f>'P&amp;L - Concept C2 - Carnival'!Q36</f>
        <v>800</v>
      </c>
      <c r="Y41" s="313">
        <f>'P&amp;L - Concept C2 - Carnival'!R36</f>
        <v>800</v>
      </c>
      <c r="Z41" s="313">
        <f>'P&amp;L - Concept C2 - Carnival'!S36</f>
        <v>800</v>
      </c>
      <c r="AA41" s="313">
        <f>'P&amp;L - Concept C2 - Carnival'!T36</f>
        <v>800</v>
      </c>
      <c r="AB41" s="313">
        <f>'P&amp;L - Concept C2 - Carnival'!U36</f>
        <v>800</v>
      </c>
      <c r="AC41" s="313">
        <f>'P&amp;L - Concept C2 - Carnival'!V36</f>
        <v>800</v>
      </c>
      <c r="AD41" s="313">
        <f>'P&amp;L - Concept C2 - Carnival'!W36</f>
        <v>800</v>
      </c>
      <c r="AE41" s="313">
        <f>'P&amp;L - Concept C2 - Carnival'!X36</f>
        <v>800</v>
      </c>
    </row>
    <row r="42" spans="1:31" s="96" customFormat="1">
      <c r="A42" s="54" t="s">
        <v>208</v>
      </c>
      <c r="B42" s="487"/>
      <c r="C42" s="487"/>
      <c r="K42" s="486">
        <f>'P&amp;L - Concept C2 - Carnival'!D37</f>
        <v>0</v>
      </c>
      <c r="L42" s="313">
        <f>'P&amp;L - Concept C2 - Carnival'!E37</f>
        <v>800</v>
      </c>
      <c r="M42" s="313">
        <f>'P&amp;L - Concept C2 - Carnival'!F37</f>
        <v>6300</v>
      </c>
      <c r="N42" s="313">
        <f>'P&amp;L - Concept C2 - Carnival'!G37</f>
        <v>6300</v>
      </c>
      <c r="O42" s="313">
        <f>'P&amp;L - Concept C2 - Carnival'!H37</f>
        <v>6300</v>
      </c>
      <c r="P42" s="313">
        <f>'P&amp;L - Concept C2 - Carnival'!I37</f>
        <v>6300</v>
      </c>
      <c r="Q42" s="313">
        <f>'P&amp;L - Concept C2 - Carnival'!J37</f>
        <v>6300</v>
      </c>
      <c r="R42" s="313">
        <f>'P&amp;L - Concept C2 - Carnival'!K37</f>
        <v>6300</v>
      </c>
      <c r="S42" s="313">
        <f>'P&amp;L - Concept C2 - Carnival'!L37</f>
        <v>6300</v>
      </c>
      <c r="T42" s="313">
        <f>'P&amp;L - Concept C2 - Carnival'!M37</f>
        <v>6300</v>
      </c>
      <c r="U42" s="313">
        <f>'P&amp;L - Concept C2 - Carnival'!N37</f>
        <v>6300</v>
      </c>
      <c r="V42" s="313">
        <f>'P&amp;L - Concept C2 - Carnival'!O37</f>
        <v>6300</v>
      </c>
      <c r="W42" s="313">
        <f>'P&amp;L - Concept C2 - Carnival'!P37</f>
        <v>6300</v>
      </c>
      <c r="X42" s="313">
        <f>'P&amp;L - Concept C2 - Carnival'!Q37</f>
        <v>6300</v>
      </c>
      <c r="Y42" s="313">
        <f>'P&amp;L - Concept C2 - Carnival'!R37</f>
        <v>6300</v>
      </c>
      <c r="Z42" s="313">
        <f>'P&amp;L - Concept C2 - Carnival'!S37</f>
        <v>6300</v>
      </c>
      <c r="AA42" s="313">
        <f>'P&amp;L - Concept C2 - Carnival'!T37</f>
        <v>6300</v>
      </c>
      <c r="AB42" s="313">
        <f>'P&amp;L - Concept C2 - Carnival'!U37</f>
        <v>6300</v>
      </c>
      <c r="AC42" s="313">
        <f>'P&amp;L - Concept C2 - Carnival'!V37</f>
        <v>6300</v>
      </c>
      <c r="AD42" s="313">
        <f>'P&amp;L - Concept C2 - Carnival'!W37</f>
        <v>6300</v>
      </c>
      <c r="AE42" s="313">
        <f>'P&amp;L - Concept C2 - Carnival'!X37</f>
        <v>6300</v>
      </c>
    </row>
    <row r="43" spans="1:31" s="96" customFormat="1">
      <c r="A43" s="54"/>
      <c r="B43" s="487"/>
      <c r="C43" s="487"/>
      <c r="K43" s="486"/>
      <c r="L43" s="313"/>
      <c r="M43" s="313"/>
      <c r="N43" s="313"/>
      <c r="O43" s="313"/>
      <c r="P43" s="313"/>
      <c r="Q43" s="313"/>
      <c r="R43" s="313"/>
      <c r="S43" s="313"/>
      <c r="T43" s="313"/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</row>
    <row r="44" spans="1:31" s="96" customFormat="1">
      <c r="A44" s="54" t="s">
        <v>223</v>
      </c>
      <c r="B44" s="583"/>
      <c r="C44" s="583"/>
      <c r="K44" s="486">
        <f>'P&amp;L - Concept C2 - Carnival'!D39</f>
        <v>0</v>
      </c>
      <c r="L44" s="313">
        <f>'P&amp;L - Concept C2 - Carnival'!E39</f>
        <v>160.26666666666668</v>
      </c>
      <c r="M44" s="313">
        <f>'P&amp;L - Concept C2 - Carnival'!F39</f>
        <v>187</v>
      </c>
      <c r="N44" s="313">
        <f>'P&amp;L - Concept C2 - Carnival'!G39</f>
        <v>213.73333333333332</v>
      </c>
      <c r="O44" s="313">
        <f>'P&amp;L - Concept C2 - Carnival'!H39</f>
        <v>213.73333333333332</v>
      </c>
      <c r="P44" s="313">
        <f>'P&amp;L - Concept C2 - Carnival'!I39</f>
        <v>213.73333333333332</v>
      </c>
      <c r="Q44" s="313">
        <f>'P&amp;L - Concept C2 - Carnival'!J39</f>
        <v>213.73333333333332</v>
      </c>
      <c r="R44" s="313">
        <f>'P&amp;L - Concept C2 - Carnival'!K39</f>
        <v>213.73333333333332</v>
      </c>
      <c r="S44" s="313">
        <f>'P&amp;L - Concept C2 - Carnival'!L39</f>
        <v>213.73333333333332</v>
      </c>
      <c r="T44" s="313">
        <f>'P&amp;L - Concept C2 - Carnival'!M39</f>
        <v>213.73333333333332</v>
      </c>
      <c r="U44" s="313">
        <f>'P&amp;L - Concept C2 - Carnival'!N39</f>
        <v>213.73333333333332</v>
      </c>
      <c r="V44" s="313">
        <f>'P&amp;L - Concept C2 - Carnival'!O39</f>
        <v>213.73333333333332</v>
      </c>
      <c r="W44" s="313">
        <f>'P&amp;L - Concept C2 - Carnival'!P39</f>
        <v>213.73333333333332</v>
      </c>
      <c r="X44" s="313">
        <f>'P&amp;L - Concept C2 - Carnival'!Q39</f>
        <v>213.73333333333332</v>
      </c>
      <c r="Y44" s="313">
        <f>'P&amp;L - Concept C2 - Carnival'!R39</f>
        <v>213.73333333333332</v>
      </c>
      <c r="Z44" s="313">
        <f>'P&amp;L - Concept C2 - Carnival'!S39</f>
        <v>213.73333333333332</v>
      </c>
      <c r="AA44" s="313">
        <f>'P&amp;L - Concept C2 - Carnival'!T39</f>
        <v>213.73333333333332</v>
      </c>
      <c r="AB44" s="313">
        <f>'P&amp;L - Concept C2 - Carnival'!U39</f>
        <v>213.73333333333332</v>
      </c>
      <c r="AC44" s="313">
        <f>'P&amp;L - Concept C2 - Carnival'!V39</f>
        <v>213.73333333333332</v>
      </c>
      <c r="AD44" s="313">
        <f>'P&amp;L - Concept C2 - Carnival'!W39</f>
        <v>213.73333333333332</v>
      </c>
      <c r="AE44" s="313">
        <f>'P&amp;L - Concept C2 - Carnival'!X39</f>
        <v>213.73333333333332</v>
      </c>
    </row>
    <row r="45" spans="1:31" s="96" customFormat="1">
      <c r="A45" s="54"/>
      <c r="B45" s="583"/>
      <c r="C45" s="583"/>
      <c r="K45" s="492"/>
      <c r="L45" s="313"/>
      <c r="M45" s="313"/>
      <c r="N45" s="313"/>
      <c r="O45" s="313"/>
      <c r="P45" s="313"/>
      <c r="Q45" s="313"/>
      <c r="R45" s="313"/>
      <c r="S45" s="313"/>
      <c r="T45" s="313"/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</row>
    <row r="46" spans="1:31" s="18" customFormat="1">
      <c r="A46" s="293" t="s">
        <v>26</v>
      </c>
      <c r="B46" s="74"/>
      <c r="C46" s="74"/>
      <c r="K46" s="492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</row>
    <row r="47" spans="1:31" s="18" customFormat="1">
      <c r="A47" s="54" t="s">
        <v>264</v>
      </c>
      <c r="B47" s="277"/>
      <c r="C47" s="74"/>
      <c r="K47" s="486">
        <f>'P&amp;L - Concept C2 - Carnival'!D42</f>
        <v>0</v>
      </c>
      <c r="L47" s="313">
        <f>'P&amp;L - Concept C2 - Carnival'!E42</f>
        <v>13920.314236111111</v>
      </c>
      <c r="M47" s="313">
        <f>'P&amp;L - Concept C2 - Carnival'!F42</f>
        <v>13920.314236111111</v>
      </c>
      <c r="N47" s="313">
        <f>'P&amp;L - Concept C2 - Carnival'!G42</f>
        <v>13920.314236111111</v>
      </c>
      <c r="O47" s="313">
        <f>'P&amp;L - Concept C2 - Carnival'!H42</f>
        <v>13920.314236111111</v>
      </c>
      <c r="P47" s="313">
        <f>'P&amp;L - Concept C2 - Carnival'!I42</f>
        <v>13920.314236111111</v>
      </c>
      <c r="Q47" s="313">
        <f>'P&amp;L - Concept C2 - Carnival'!J42</f>
        <v>13920.314236111111</v>
      </c>
      <c r="R47" s="313">
        <f>'P&amp;L - Concept C2 - Carnival'!K42</f>
        <v>13920.314236111111</v>
      </c>
      <c r="S47" s="313">
        <f>'P&amp;L - Concept C2 - Carnival'!L42</f>
        <v>13920.314236111111</v>
      </c>
      <c r="T47" s="313">
        <f>'P&amp;L - Concept C2 - Carnival'!M42</f>
        <v>13920.314236111111</v>
      </c>
      <c r="U47" s="313">
        <f>'P&amp;L - Concept C2 - Carnival'!N42</f>
        <v>13920.314236111111</v>
      </c>
      <c r="V47" s="313">
        <f>'P&amp;L - Concept C2 - Carnival'!O42</f>
        <v>13920.314236111111</v>
      </c>
      <c r="W47" s="313">
        <f>'P&amp;L - Concept C2 - Carnival'!P42</f>
        <v>13920.314236111111</v>
      </c>
      <c r="X47" s="313">
        <f>'P&amp;L - Concept C2 - Carnival'!Q42</f>
        <v>13920.314236111111</v>
      </c>
      <c r="Y47" s="313">
        <f>'P&amp;L - Concept C2 - Carnival'!R42</f>
        <v>13920.314236111111</v>
      </c>
      <c r="Z47" s="313">
        <f>'P&amp;L - Concept C2 - Carnival'!S42</f>
        <v>13920.314236111111</v>
      </c>
      <c r="AA47" s="313">
        <f>'P&amp;L - Concept C2 - Carnival'!T42</f>
        <v>13920.314236111111</v>
      </c>
      <c r="AB47" s="313">
        <f>'P&amp;L - Concept C2 - Carnival'!U42</f>
        <v>13920.314236111111</v>
      </c>
      <c r="AC47" s="313">
        <f>'P&amp;L - Concept C2 - Carnival'!V42</f>
        <v>13920.314236111111</v>
      </c>
      <c r="AD47" s="313">
        <f>'P&amp;L - Concept C2 - Carnival'!W42</f>
        <v>13920.314236111111</v>
      </c>
      <c r="AE47" s="313">
        <f>'P&amp;L - Concept C2 - Carnival'!X42</f>
        <v>13920.314236111111</v>
      </c>
    </row>
    <row r="48" spans="1:31" s="18" customFormat="1">
      <c r="A48" s="54" t="s">
        <v>267</v>
      </c>
      <c r="B48" s="277"/>
      <c r="C48" s="74"/>
      <c r="K48" s="486">
        <f>'P&amp;L - Concept C2 - Carnival'!D43</f>
        <v>0</v>
      </c>
      <c r="L48" s="313">
        <f>'P&amp;L - Concept C2 - Carnival'!E43</f>
        <v>13115.666666666662</v>
      </c>
      <c r="M48" s="313">
        <f>'P&amp;L - Concept C2 - Carnival'!F43</f>
        <v>13115.666666666662</v>
      </c>
      <c r="N48" s="313">
        <f>'P&amp;L - Concept C2 - Carnival'!G43</f>
        <v>13115.666666666662</v>
      </c>
      <c r="O48" s="313">
        <f>'P&amp;L - Concept C2 - Carnival'!H43</f>
        <v>13115.666666666662</v>
      </c>
      <c r="P48" s="313">
        <f>'P&amp;L - Concept C2 - Carnival'!I43</f>
        <v>13115.666666666662</v>
      </c>
      <c r="Q48" s="313">
        <f>'P&amp;L - Concept C2 - Carnival'!J43</f>
        <v>13115.666666666662</v>
      </c>
      <c r="R48" s="313">
        <f>'P&amp;L - Concept C2 - Carnival'!K43</f>
        <v>13115.666666666662</v>
      </c>
      <c r="S48" s="313">
        <f>'P&amp;L - Concept C2 - Carnival'!L43</f>
        <v>13115.666666666662</v>
      </c>
      <c r="T48" s="313">
        <f>'P&amp;L - Concept C2 - Carnival'!M43</f>
        <v>13115.666666666662</v>
      </c>
      <c r="U48" s="313">
        <f>'P&amp;L - Concept C2 - Carnival'!N43</f>
        <v>13115.666666666662</v>
      </c>
      <c r="V48" s="313">
        <f>'P&amp;L - Concept C2 - Carnival'!O43</f>
        <v>13115.666666666662</v>
      </c>
      <c r="W48" s="313">
        <f>'P&amp;L - Concept C2 - Carnival'!P43</f>
        <v>13115.666666666662</v>
      </c>
      <c r="X48" s="313">
        <f>'P&amp;L - Concept C2 - Carnival'!Q43</f>
        <v>13115.666666666662</v>
      </c>
      <c r="Y48" s="313">
        <f>'P&amp;L - Concept C2 - Carnival'!R43</f>
        <v>13115.666666666662</v>
      </c>
      <c r="Z48" s="313">
        <f>'P&amp;L - Concept C2 - Carnival'!S43</f>
        <v>13115.666666666662</v>
      </c>
      <c r="AA48" s="313">
        <f>'P&amp;L - Concept C2 - Carnival'!T43</f>
        <v>13115.666666666662</v>
      </c>
      <c r="AB48" s="313">
        <f>'P&amp;L - Concept C2 - Carnival'!U43</f>
        <v>13115.666666666662</v>
      </c>
      <c r="AC48" s="313">
        <f>'P&amp;L - Concept C2 - Carnival'!V43</f>
        <v>13115.666666666662</v>
      </c>
      <c r="AD48" s="313">
        <f>'P&amp;L - Concept C2 - Carnival'!W43</f>
        <v>13115.666666666662</v>
      </c>
      <c r="AE48" s="313">
        <f>'P&amp;L - Concept C2 - Carnival'!X43</f>
        <v>13115.666666666662</v>
      </c>
    </row>
    <row r="49" spans="1:32 16384:16384" s="96" customFormat="1">
      <c r="A49" s="54" t="s">
        <v>274</v>
      </c>
      <c r="B49" s="435"/>
      <c r="C49" s="583"/>
      <c r="K49" s="486">
        <f>'P&amp;L - Concept C2 - Carnival'!D44</f>
        <v>0</v>
      </c>
      <c r="L49" s="313">
        <f>'P&amp;L - Concept C2 - Carnival'!E44</f>
        <v>27035.980902777774</v>
      </c>
      <c r="M49" s="313">
        <f>'P&amp;L - Concept C2 - Carnival'!F44</f>
        <v>27035.980902777774</v>
      </c>
      <c r="N49" s="313">
        <f>'P&amp;L - Concept C2 - Carnival'!G44</f>
        <v>27035.980902777774</v>
      </c>
      <c r="O49" s="313">
        <f>'P&amp;L - Concept C2 - Carnival'!H44</f>
        <v>27035.980902777774</v>
      </c>
      <c r="P49" s="313">
        <f>'P&amp;L - Concept C2 - Carnival'!I44</f>
        <v>27035.980902777774</v>
      </c>
      <c r="Q49" s="313">
        <f>'P&amp;L - Concept C2 - Carnival'!J44</f>
        <v>27035.980902777774</v>
      </c>
      <c r="R49" s="313">
        <f>'P&amp;L - Concept C2 - Carnival'!K44</f>
        <v>27035.980902777774</v>
      </c>
      <c r="S49" s="313">
        <f>'P&amp;L - Concept C2 - Carnival'!L44</f>
        <v>27035.980902777774</v>
      </c>
      <c r="T49" s="313">
        <f>'P&amp;L - Concept C2 - Carnival'!M44</f>
        <v>27035.980902777774</v>
      </c>
      <c r="U49" s="313">
        <f>'P&amp;L - Concept C2 - Carnival'!N44</f>
        <v>27035.980902777774</v>
      </c>
      <c r="V49" s="313">
        <f>'P&amp;L - Concept C2 - Carnival'!O44</f>
        <v>27035.980902777774</v>
      </c>
      <c r="W49" s="313">
        <f>'P&amp;L - Concept C2 - Carnival'!P44</f>
        <v>27035.980902777774</v>
      </c>
      <c r="X49" s="313">
        <f>'P&amp;L - Concept C2 - Carnival'!Q44</f>
        <v>27035.980902777774</v>
      </c>
      <c r="Y49" s="313">
        <f>'P&amp;L - Concept C2 - Carnival'!R44</f>
        <v>27035.980902777774</v>
      </c>
      <c r="Z49" s="313">
        <f>'P&amp;L - Concept C2 - Carnival'!S44</f>
        <v>27035.980902777774</v>
      </c>
      <c r="AA49" s="313">
        <f>'P&amp;L - Concept C2 - Carnival'!T44</f>
        <v>27035.980902777774</v>
      </c>
      <c r="AB49" s="313">
        <f>'P&amp;L - Concept C2 - Carnival'!U44</f>
        <v>27035.980902777774</v>
      </c>
      <c r="AC49" s="313">
        <f>'P&amp;L - Concept C2 - Carnival'!V44</f>
        <v>27035.980902777774</v>
      </c>
      <c r="AD49" s="313">
        <f>'P&amp;L - Concept C2 - Carnival'!W44</f>
        <v>27035.980902777774</v>
      </c>
      <c r="AE49" s="313">
        <f>'P&amp;L - Concept C2 - Carnival'!X44</f>
        <v>27035.980902777774</v>
      </c>
    </row>
    <row r="50" spans="1:32 16384:16384" s="18" customFormat="1">
      <c r="A50" s="54"/>
      <c r="B50" s="277"/>
      <c r="C50" s="74"/>
      <c r="K50" s="499"/>
      <c r="L50" s="313"/>
      <c r="M50" s="313"/>
      <c r="N50" s="313"/>
      <c r="O50" s="313"/>
      <c r="P50" s="313"/>
      <c r="Q50" s="313"/>
      <c r="R50" s="313"/>
      <c r="S50" s="313"/>
      <c r="T50" s="313"/>
      <c r="U50" s="313"/>
      <c r="V50" s="313"/>
      <c r="W50" s="313"/>
      <c r="X50" s="313"/>
      <c r="Y50" s="313"/>
      <c r="Z50" s="313"/>
      <c r="AA50" s="313"/>
      <c r="AB50" s="313"/>
      <c r="AC50" s="313"/>
      <c r="AD50" s="313"/>
      <c r="AE50" s="313"/>
    </row>
    <row r="51" spans="1:32 16384:16384" s="96" customFormat="1">
      <c r="A51" s="54" t="s">
        <v>224</v>
      </c>
      <c r="B51" s="435"/>
      <c r="C51" s="583"/>
      <c r="K51" s="486">
        <f>'P&amp;L - Concept C2 - Carnival'!D46</f>
        <v>0</v>
      </c>
      <c r="L51" s="496">
        <f>'P&amp;L - Concept C2 - Carnival'!E46</f>
        <v>3</v>
      </c>
      <c r="M51" s="496">
        <f>'P&amp;L - Concept C2 - Carnival'!F46</f>
        <v>3</v>
      </c>
      <c r="N51" s="496">
        <f>'P&amp;L - Concept C2 - Carnival'!G46</f>
        <v>3</v>
      </c>
      <c r="O51" s="496">
        <f>'P&amp;L - Concept C2 - Carnival'!H46</f>
        <v>3</v>
      </c>
      <c r="P51" s="496">
        <f>'P&amp;L - Concept C2 - Carnival'!I46</f>
        <v>3</v>
      </c>
      <c r="Q51" s="496">
        <f>'P&amp;L - Concept C2 - Carnival'!J46</f>
        <v>3</v>
      </c>
      <c r="R51" s="496">
        <f>'P&amp;L - Concept C2 - Carnival'!K46</f>
        <v>3</v>
      </c>
      <c r="S51" s="496">
        <f>'P&amp;L - Concept C2 - Carnival'!L46</f>
        <v>3</v>
      </c>
      <c r="T51" s="496">
        <f>'P&amp;L - Concept C2 - Carnival'!M46</f>
        <v>3</v>
      </c>
      <c r="U51" s="496">
        <f>'P&amp;L - Concept C2 - Carnival'!N46</f>
        <v>3</v>
      </c>
      <c r="V51" s="496">
        <f>'P&amp;L - Concept C2 - Carnival'!O46</f>
        <v>3</v>
      </c>
      <c r="W51" s="496">
        <f>'P&amp;L - Concept C2 - Carnival'!P46</f>
        <v>3</v>
      </c>
      <c r="X51" s="496">
        <f>'P&amp;L - Concept C2 - Carnival'!Q46</f>
        <v>3</v>
      </c>
      <c r="Y51" s="496">
        <f>'P&amp;L - Concept C2 - Carnival'!R46</f>
        <v>3</v>
      </c>
      <c r="Z51" s="496">
        <f>'P&amp;L - Concept C2 - Carnival'!S46</f>
        <v>3</v>
      </c>
      <c r="AA51" s="496">
        <f>'P&amp;L - Concept C2 - Carnival'!T46</f>
        <v>3</v>
      </c>
      <c r="AB51" s="496">
        <f>'P&amp;L - Concept C2 - Carnival'!U46</f>
        <v>3</v>
      </c>
      <c r="AC51" s="496">
        <f>'P&amp;L - Concept C2 - Carnival'!V46</f>
        <v>3</v>
      </c>
      <c r="AD51" s="496">
        <f>'P&amp;L - Concept C2 - Carnival'!W46</f>
        <v>3</v>
      </c>
      <c r="AE51" s="496">
        <f>'P&amp;L - Concept C2 - Carnival'!X46</f>
        <v>3</v>
      </c>
    </row>
    <row r="52" spans="1:32 16384:16384" s="96" customFormat="1">
      <c r="A52" s="54" t="s">
        <v>225</v>
      </c>
      <c r="B52" s="435"/>
      <c r="C52" s="583"/>
      <c r="K52" s="486">
        <f>'P&amp;L - Concept C2 - Carnival'!D47</f>
        <v>0</v>
      </c>
      <c r="L52" s="496">
        <f>'P&amp;L - Concept C2 - Carnival'!E47</f>
        <v>1</v>
      </c>
      <c r="M52" s="496">
        <f>'P&amp;L - Concept C2 - Carnival'!F47</f>
        <v>1</v>
      </c>
      <c r="N52" s="496">
        <f>'P&amp;L - Concept C2 - Carnival'!G47</f>
        <v>1</v>
      </c>
      <c r="O52" s="496">
        <f>'P&amp;L - Concept C2 - Carnival'!H47</f>
        <v>1</v>
      </c>
      <c r="P52" s="496">
        <f>'P&amp;L - Concept C2 - Carnival'!I47</f>
        <v>1</v>
      </c>
      <c r="Q52" s="496">
        <f>'P&amp;L - Concept C2 - Carnival'!J47</f>
        <v>1</v>
      </c>
      <c r="R52" s="496">
        <f>'P&amp;L - Concept C2 - Carnival'!K47</f>
        <v>1</v>
      </c>
      <c r="S52" s="496">
        <f>'P&amp;L - Concept C2 - Carnival'!L47</f>
        <v>1</v>
      </c>
      <c r="T52" s="496">
        <f>'P&amp;L - Concept C2 - Carnival'!M47</f>
        <v>1</v>
      </c>
      <c r="U52" s="496">
        <f>'P&amp;L - Concept C2 - Carnival'!N47</f>
        <v>1</v>
      </c>
      <c r="V52" s="496">
        <f>'P&amp;L - Concept C2 - Carnival'!O47</f>
        <v>1</v>
      </c>
      <c r="W52" s="496">
        <f>'P&amp;L - Concept C2 - Carnival'!P47</f>
        <v>1</v>
      </c>
      <c r="X52" s="496">
        <f>'P&amp;L - Concept C2 - Carnival'!Q47</f>
        <v>1</v>
      </c>
      <c r="Y52" s="496">
        <f>'P&amp;L - Concept C2 - Carnival'!R47</f>
        <v>1</v>
      </c>
      <c r="Z52" s="496">
        <f>'P&amp;L - Concept C2 - Carnival'!S47</f>
        <v>1</v>
      </c>
      <c r="AA52" s="496">
        <f>'P&amp;L - Concept C2 - Carnival'!T47</f>
        <v>1</v>
      </c>
      <c r="AB52" s="496">
        <f>'P&amp;L - Concept C2 - Carnival'!U47</f>
        <v>1</v>
      </c>
      <c r="AC52" s="496">
        <f>'P&amp;L - Concept C2 - Carnival'!V47</f>
        <v>1</v>
      </c>
      <c r="AD52" s="496">
        <f>'P&amp;L - Concept C2 - Carnival'!W47</f>
        <v>1</v>
      </c>
      <c r="AE52" s="496">
        <f>'P&amp;L - Concept C2 - Carnival'!X47</f>
        <v>1</v>
      </c>
    </row>
    <row r="53" spans="1:32 16384:16384" s="18" customFormat="1">
      <c r="A53" s="54" t="s">
        <v>209</v>
      </c>
      <c r="B53" s="277"/>
      <c r="C53" s="74"/>
      <c r="K53" s="486">
        <f>'P&amp;L - Concept C2 - Carnival'!D48</f>
        <v>0</v>
      </c>
      <c r="L53" s="496">
        <f>'P&amp;L - Concept C2 - Carnival'!E48</f>
        <v>0.5</v>
      </c>
      <c r="M53" s="496">
        <f>'P&amp;L - Concept C2 - Carnival'!F48</f>
        <v>0.5</v>
      </c>
      <c r="N53" s="496">
        <f>'P&amp;L - Concept C2 - Carnival'!G48</f>
        <v>0.5</v>
      </c>
      <c r="O53" s="496">
        <f>'P&amp;L - Concept C2 - Carnival'!H48</f>
        <v>0.5</v>
      </c>
      <c r="P53" s="496">
        <f>'P&amp;L - Concept C2 - Carnival'!I48</f>
        <v>0.5</v>
      </c>
      <c r="Q53" s="496">
        <f>'P&amp;L - Concept C2 - Carnival'!J48</f>
        <v>0.5</v>
      </c>
      <c r="R53" s="496">
        <f>'P&amp;L - Concept C2 - Carnival'!K48</f>
        <v>0.5</v>
      </c>
      <c r="S53" s="496">
        <f>'P&amp;L - Concept C2 - Carnival'!L48</f>
        <v>0.5</v>
      </c>
      <c r="T53" s="496">
        <f>'P&amp;L - Concept C2 - Carnival'!M48</f>
        <v>0.5</v>
      </c>
      <c r="U53" s="496">
        <f>'P&amp;L - Concept C2 - Carnival'!N48</f>
        <v>0.5</v>
      </c>
      <c r="V53" s="496">
        <f>'P&amp;L - Concept C2 - Carnival'!O48</f>
        <v>0.5</v>
      </c>
      <c r="W53" s="496">
        <f>'P&amp;L - Concept C2 - Carnival'!P48</f>
        <v>0.5</v>
      </c>
      <c r="X53" s="496">
        <f>'P&amp;L - Concept C2 - Carnival'!Q48</f>
        <v>0.5</v>
      </c>
      <c r="Y53" s="496">
        <f>'P&amp;L - Concept C2 - Carnival'!R48</f>
        <v>0.5</v>
      </c>
      <c r="Z53" s="496">
        <f>'P&amp;L - Concept C2 - Carnival'!S48</f>
        <v>0.5</v>
      </c>
      <c r="AA53" s="496">
        <f>'P&amp;L - Concept C2 - Carnival'!T48</f>
        <v>0.5</v>
      </c>
      <c r="AB53" s="496">
        <f>'P&amp;L - Concept C2 - Carnival'!U48</f>
        <v>0.5</v>
      </c>
      <c r="AC53" s="496">
        <f>'P&amp;L - Concept C2 - Carnival'!V48</f>
        <v>0.5</v>
      </c>
      <c r="AD53" s="496">
        <f>'P&amp;L - Concept C2 - Carnival'!W48</f>
        <v>0.5</v>
      </c>
      <c r="AE53" s="496">
        <f>'P&amp;L - Concept C2 - Carnival'!X48</f>
        <v>0.5</v>
      </c>
    </row>
    <row r="54" spans="1:32 16384:16384" s="18" customFormat="1">
      <c r="A54" s="54" t="s">
        <v>289</v>
      </c>
      <c r="B54" s="277"/>
      <c r="C54" s="74"/>
      <c r="K54" s="486">
        <f>'P&amp;L - Concept C2 - Carnival'!D49</f>
        <v>0</v>
      </c>
      <c r="L54" s="496">
        <f>'P&amp;L - Concept C2 - Carnival'!E49</f>
        <v>1.5</v>
      </c>
      <c r="M54" s="496">
        <f>'P&amp;L - Concept C2 - Carnival'!F49</f>
        <v>1.5</v>
      </c>
      <c r="N54" s="496">
        <f>'P&amp;L - Concept C2 - Carnival'!G49</f>
        <v>1.5</v>
      </c>
      <c r="O54" s="496">
        <f>'P&amp;L - Concept C2 - Carnival'!H49</f>
        <v>1.5</v>
      </c>
      <c r="P54" s="496">
        <f>'P&amp;L - Concept C2 - Carnival'!I49</f>
        <v>1.5</v>
      </c>
      <c r="Q54" s="496">
        <f>'P&amp;L - Concept C2 - Carnival'!J49</f>
        <v>1.5</v>
      </c>
      <c r="R54" s="496">
        <f>'P&amp;L - Concept C2 - Carnival'!K49</f>
        <v>1.5</v>
      </c>
      <c r="S54" s="496">
        <f>'P&amp;L - Concept C2 - Carnival'!L49</f>
        <v>1.5</v>
      </c>
      <c r="T54" s="496">
        <f>'P&amp;L - Concept C2 - Carnival'!M49</f>
        <v>1.5</v>
      </c>
      <c r="U54" s="496">
        <f>'P&amp;L - Concept C2 - Carnival'!N49</f>
        <v>1.5</v>
      </c>
      <c r="V54" s="496">
        <f>'P&amp;L - Concept C2 - Carnival'!O49</f>
        <v>1.5</v>
      </c>
      <c r="W54" s="496">
        <f>'P&amp;L - Concept C2 - Carnival'!P49</f>
        <v>1.5</v>
      </c>
      <c r="X54" s="496">
        <f>'P&amp;L - Concept C2 - Carnival'!Q49</f>
        <v>1.5</v>
      </c>
      <c r="Y54" s="496">
        <f>'P&amp;L - Concept C2 - Carnival'!R49</f>
        <v>1.5</v>
      </c>
      <c r="Z54" s="496">
        <f>'P&amp;L - Concept C2 - Carnival'!S49</f>
        <v>1.5</v>
      </c>
      <c r="AA54" s="496">
        <f>'P&amp;L - Concept C2 - Carnival'!T49</f>
        <v>1.5</v>
      </c>
      <c r="AB54" s="496">
        <f>'P&amp;L - Concept C2 - Carnival'!U49</f>
        <v>1.5</v>
      </c>
      <c r="AC54" s="496">
        <f>'P&amp;L - Concept C2 - Carnival'!V49</f>
        <v>1.5</v>
      </c>
      <c r="AD54" s="496">
        <f>'P&amp;L - Concept C2 - Carnival'!W49</f>
        <v>1.5</v>
      </c>
      <c r="AE54" s="496">
        <f>'P&amp;L - Concept C2 - Carnival'!X49</f>
        <v>1.5</v>
      </c>
      <c r="XFD54" s="570">
        <f>SUM(K54:XFC54)</f>
        <v>30</v>
      </c>
    </row>
    <row r="55" spans="1:32 16384:16384" s="18" customFormat="1">
      <c r="A55" s="54"/>
      <c r="B55" s="277"/>
      <c r="C55" s="74"/>
      <c r="K55" s="486"/>
      <c r="L55" s="313"/>
      <c r="M55" s="313"/>
      <c r="N55" s="313"/>
      <c r="O55" s="313"/>
      <c r="P55" s="313"/>
      <c r="Q55" s="313"/>
      <c r="R55" s="313"/>
      <c r="S55" s="313"/>
      <c r="T55" s="313"/>
      <c r="U55" s="313"/>
      <c r="V55" s="313"/>
      <c r="W55" s="313"/>
      <c r="X55" s="313"/>
      <c r="Y55" s="313"/>
      <c r="Z55" s="313"/>
      <c r="AA55" s="313"/>
      <c r="AB55" s="313"/>
      <c r="AC55" s="313"/>
      <c r="AD55" s="313"/>
      <c r="AE55" s="313"/>
      <c r="XFD55" s="570"/>
    </row>
    <row r="56" spans="1:32 16384:16384" s="18" customFormat="1">
      <c r="A56" s="54" t="s">
        <v>312</v>
      </c>
      <c r="B56" s="277"/>
      <c r="C56" s="74"/>
      <c r="K56" s="486">
        <f>'P&amp;L - Concept C2 - Carnival'!D51</f>
        <v>0</v>
      </c>
      <c r="L56" s="313">
        <f>'P&amp;L - Concept C2 - Carnival'!E51</f>
        <v>7190</v>
      </c>
      <c r="M56" s="313">
        <f>'P&amp;L - Concept C2 - Carnival'!F51</f>
        <v>7190</v>
      </c>
      <c r="N56" s="313">
        <f>'P&amp;L - Concept C2 - Carnival'!G51</f>
        <v>7190</v>
      </c>
      <c r="O56" s="313">
        <f>'P&amp;L - Concept C2 - Carnival'!H51</f>
        <v>7190</v>
      </c>
      <c r="P56" s="313">
        <f>'P&amp;L - Concept C2 - Carnival'!I51</f>
        <v>7190</v>
      </c>
      <c r="Q56" s="313">
        <f>'P&amp;L - Concept C2 - Carnival'!J51</f>
        <v>7190</v>
      </c>
      <c r="R56" s="313">
        <f>'P&amp;L - Concept C2 - Carnival'!K51</f>
        <v>7190</v>
      </c>
      <c r="S56" s="313">
        <f>'P&amp;L - Concept C2 - Carnival'!L51</f>
        <v>7190</v>
      </c>
      <c r="T56" s="313">
        <f>'P&amp;L - Concept C2 - Carnival'!M51</f>
        <v>7190</v>
      </c>
      <c r="U56" s="313">
        <f>'P&amp;L - Concept C2 - Carnival'!N51</f>
        <v>7190</v>
      </c>
      <c r="V56" s="313">
        <f>'P&amp;L - Concept C2 - Carnival'!O51</f>
        <v>7190</v>
      </c>
      <c r="W56" s="313">
        <f>'P&amp;L - Concept C2 - Carnival'!P51</f>
        <v>7190</v>
      </c>
      <c r="X56" s="313">
        <f>'P&amp;L - Concept C2 - Carnival'!Q51</f>
        <v>7190</v>
      </c>
      <c r="Y56" s="313">
        <f>'P&amp;L - Concept C2 - Carnival'!R51</f>
        <v>7190</v>
      </c>
      <c r="Z56" s="313">
        <f>'P&amp;L - Concept C2 - Carnival'!S51</f>
        <v>7190</v>
      </c>
      <c r="AA56" s="313">
        <f>'P&amp;L - Concept C2 - Carnival'!T51</f>
        <v>7190</v>
      </c>
      <c r="AB56" s="313">
        <f>'P&amp;L - Concept C2 - Carnival'!U51</f>
        <v>7190</v>
      </c>
      <c r="AC56" s="313">
        <f>'P&amp;L - Concept C2 - Carnival'!V51</f>
        <v>7190</v>
      </c>
      <c r="AD56" s="313">
        <f>'P&amp;L - Concept C2 - Carnival'!W51</f>
        <v>7190</v>
      </c>
      <c r="AE56" s="313">
        <f>'P&amp;L - Concept C2 - Carnival'!X51</f>
        <v>7190</v>
      </c>
      <c r="XFD56" s="570"/>
    </row>
    <row r="57" spans="1:32 16384:16384" s="18" customFormat="1">
      <c r="A57" s="54"/>
      <c r="B57" s="277"/>
      <c r="C57" s="74"/>
      <c r="K57" s="486"/>
      <c r="L57" s="313"/>
      <c r="M57" s="313"/>
      <c r="N57" s="313"/>
      <c r="O57" s="313"/>
      <c r="P57" s="313"/>
      <c r="Q57" s="313"/>
      <c r="R57" s="313"/>
      <c r="S57" s="313"/>
      <c r="T57" s="313"/>
      <c r="U57" s="313"/>
      <c r="V57" s="313"/>
      <c r="W57" s="313"/>
      <c r="X57" s="313"/>
      <c r="Y57" s="313"/>
      <c r="Z57" s="313"/>
      <c r="AA57" s="313"/>
      <c r="AB57" s="313"/>
      <c r="AC57" s="313"/>
      <c r="AD57" s="313"/>
      <c r="AE57" s="313"/>
    </row>
    <row r="58" spans="1:32 16384:16384" s="612" customFormat="1">
      <c r="A58" s="613" t="s">
        <v>292</v>
      </c>
      <c r="B58" s="614"/>
      <c r="C58" s="615"/>
      <c r="D58" s="717"/>
      <c r="E58" s="717"/>
      <c r="F58" s="717"/>
      <c r="G58" s="717"/>
      <c r="H58" s="717"/>
      <c r="I58" s="717"/>
      <c r="J58" s="717"/>
      <c r="K58" s="616">
        <f>'P&amp;L - Concept C2 - Carnival'!D53</f>
        <v>0</v>
      </c>
      <c r="L58" s="616">
        <f>'P&amp;L - Concept C2 - Carnival'!E53</f>
        <v>0</v>
      </c>
      <c r="M58" s="616">
        <f>'P&amp;L - Concept C2 - Carnival'!F53</f>
        <v>0</v>
      </c>
      <c r="N58" s="616">
        <f>'P&amp;L - Concept C2 - Carnival'!G53</f>
        <v>100000</v>
      </c>
      <c r="O58" s="616">
        <f>'P&amp;L - Concept C2 - Carnival'!H53</f>
        <v>100000</v>
      </c>
      <c r="P58" s="616">
        <f>'P&amp;L - Concept C2 - Carnival'!I53</f>
        <v>100000</v>
      </c>
      <c r="Q58" s="616">
        <f>'P&amp;L - Concept C2 - Carnival'!J53</f>
        <v>100000</v>
      </c>
      <c r="R58" s="616">
        <f>'P&amp;L - Concept C2 - Carnival'!K53</f>
        <v>100000</v>
      </c>
      <c r="S58" s="616">
        <f>'P&amp;L - Concept C2 - Carnival'!L53</f>
        <v>100000</v>
      </c>
      <c r="T58" s="616">
        <f>'P&amp;L - Concept C2 - Carnival'!M53</f>
        <v>100000</v>
      </c>
      <c r="U58" s="616">
        <f>'P&amp;L - Concept C2 - Carnival'!N53</f>
        <v>100000</v>
      </c>
      <c r="V58" s="616">
        <f>'P&amp;L - Concept C2 - Carnival'!O53</f>
        <v>100000</v>
      </c>
      <c r="W58" s="616">
        <f>'P&amp;L - Concept C2 - Carnival'!P53</f>
        <v>100000</v>
      </c>
      <c r="X58" s="616">
        <f>'P&amp;L - Concept C2 - Carnival'!Q53</f>
        <v>100000</v>
      </c>
      <c r="Y58" s="616">
        <f>'P&amp;L - Concept C2 - Carnival'!R53</f>
        <v>100000</v>
      </c>
      <c r="Z58" s="616">
        <f>'P&amp;L - Concept C2 - Carnival'!S53</f>
        <v>100000</v>
      </c>
      <c r="AA58" s="616">
        <f>'P&amp;L - Concept C2 - Carnival'!T53</f>
        <v>100000</v>
      </c>
      <c r="AB58" s="616">
        <f>'P&amp;L - Concept C2 - Carnival'!U53</f>
        <v>100000</v>
      </c>
      <c r="AC58" s="616">
        <f>'P&amp;L - Concept C2 - Carnival'!V53</f>
        <v>100000</v>
      </c>
      <c r="AD58" s="616">
        <f>'P&amp;L - Concept C2 - Carnival'!W53</f>
        <v>100000</v>
      </c>
      <c r="AE58" s="787">
        <f>'P&amp;L - Concept C2 - Carnival'!X53</f>
        <v>100000</v>
      </c>
    </row>
    <row r="59" spans="1:32 16384:16384" s="18" customFormat="1">
      <c r="A59" s="54"/>
      <c r="B59" s="277"/>
      <c r="C59" s="74"/>
      <c r="K59" s="486"/>
      <c r="L59" s="313"/>
      <c r="M59" s="313"/>
      <c r="N59" s="313"/>
      <c r="O59" s="313"/>
      <c r="P59" s="313"/>
      <c r="Q59" s="313"/>
      <c r="R59" s="313"/>
      <c r="S59" s="313"/>
      <c r="T59" s="313"/>
      <c r="U59" s="313"/>
      <c r="V59" s="313"/>
      <c r="W59" s="313"/>
      <c r="X59" s="313"/>
      <c r="Y59" s="313"/>
      <c r="Z59" s="313"/>
      <c r="AA59" s="313"/>
      <c r="AB59" s="313"/>
      <c r="AC59" s="313"/>
      <c r="AD59" s="313"/>
      <c r="AE59" s="313"/>
    </row>
    <row r="60" spans="1:32 16384:16384" s="582" customFormat="1">
      <c r="A60" s="293" t="str">
        <f>'BH Tariffs'!A33</f>
        <v>Recreational/Commercial Marina</v>
      </c>
      <c r="B60" s="584"/>
      <c r="C60" s="585"/>
      <c r="K60" s="486"/>
      <c r="L60" s="313"/>
      <c r="M60" s="313"/>
      <c r="N60" s="313"/>
      <c r="O60" s="313"/>
      <c r="P60" s="313"/>
      <c r="Q60" s="313"/>
      <c r="R60" s="313"/>
      <c r="S60" s="313"/>
      <c r="T60" s="313"/>
      <c r="U60" s="313"/>
      <c r="V60" s="313"/>
      <c r="W60" s="313"/>
      <c r="X60" s="313"/>
      <c r="Y60" s="313"/>
      <c r="Z60" s="313"/>
      <c r="AA60" s="313"/>
      <c r="AB60" s="313"/>
      <c r="AC60" s="313"/>
      <c r="AD60" s="313"/>
      <c r="AE60" s="313"/>
    </row>
    <row r="61" spans="1:32 16384:16384" s="96" customFormat="1">
      <c r="A61" s="54" t="s">
        <v>291</v>
      </c>
      <c r="B61" s="435"/>
      <c r="C61" s="583"/>
      <c r="K61" s="486">
        <f>'P&amp;L - Concept C2 - Carnival'!D56</f>
        <v>0</v>
      </c>
      <c r="L61" s="313">
        <f>'P&amp;L - Concept C2 - Carnival'!E56</f>
        <v>0</v>
      </c>
      <c r="M61" s="313">
        <f>'P&amp;L - Concept C2 - Carnival'!F56</f>
        <v>32</v>
      </c>
      <c r="N61" s="313">
        <f>'P&amp;L - Concept C2 - Carnival'!G56</f>
        <v>32</v>
      </c>
      <c r="O61" s="313">
        <f>'P&amp;L - Concept C2 - Carnival'!H56</f>
        <v>32</v>
      </c>
      <c r="P61" s="313">
        <f>'P&amp;L - Concept C2 - Carnival'!I56</f>
        <v>32</v>
      </c>
      <c r="Q61" s="313">
        <f>'P&amp;L - Concept C2 - Carnival'!J56</f>
        <v>32</v>
      </c>
      <c r="R61" s="313">
        <f>'P&amp;L - Concept C2 - Carnival'!K56</f>
        <v>32</v>
      </c>
      <c r="S61" s="313">
        <f>'P&amp;L - Concept C2 - Carnival'!L56</f>
        <v>32</v>
      </c>
      <c r="T61" s="313">
        <f>'P&amp;L - Concept C2 - Carnival'!M56</f>
        <v>32</v>
      </c>
      <c r="U61" s="313">
        <f>'P&amp;L - Concept C2 - Carnival'!N56</f>
        <v>32</v>
      </c>
      <c r="V61" s="313">
        <f>'P&amp;L - Concept C2 - Carnival'!O56</f>
        <v>32</v>
      </c>
      <c r="W61" s="313">
        <f>'P&amp;L - Concept C2 - Carnival'!P56</f>
        <v>32</v>
      </c>
      <c r="X61" s="313">
        <f>'P&amp;L - Concept C2 - Carnival'!Q56</f>
        <v>32</v>
      </c>
      <c r="Y61" s="313">
        <f>'P&amp;L - Concept C2 - Carnival'!R56</f>
        <v>32</v>
      </c>
      <c r="Z61" s="313">
        <f>'P&amp;L - Concept C2 - Carnival'!S56</f>
        <v>32</v>
      </c>
      <c r="AA61" s="313">
        <f>'P&amp;L - Concept C2 - Carnival'!T56</f>
        <v>32</v>
      </c>
      <c r="AB61" s="313">
        <f>'P&amp;L - Concept C2 - Carnival'!U56</f>
        <v>32</v>
      </c>
      <c r="AC61" s="313">
        <f>'P&amp;L - Concept C2 - Carnival'!V56</f>
        <v>32</v>
      </c>
      <c r="AD61" s="313">
        <f>'P&amp;L - Concept C2 - Carnival'!W56</f>
        <v>32</v>
      </c>
      <c r="AE61" s="313">
        <f>'P&amp;L - Concept C2 - Carnival'!X56</f>
        <v>32</v>
      </c>
    </row>
    <row r="62" spans="1:32 16384:16384" s="96" customFormat="1">
      <c r="A62" s="54" t="s">
        <v>293</v>
      </c>
      <c r="B62" s="435"/>
      <c r="C62" s="583"/>
      <c r="K62" s="486">
        <f>'P&amp;L - Concept C2 - Carnival'!D57</f>
        <v>0</v>
      </c>
      <c r="L62" s="313">
        <f>'P&amp;L - Concept C2 - Carnival'!E57</f>
        <v>0</v>
      </c>
      <c r="M62" s="313">
        <f>'P&amp;L - Concept C2 - Carnival'!F57</f>
        <v>30264.381562500002</v>
      </c>
      <c r="N62" s="313">
        <f>'P&amp;L - Concept C2 - Carnival'!G57</f>
        <v>30264.381562500002</v>
      </c>
      <c r="O62" s="313">
        <f>'P&amp;L - Concept C2 - Carnival'!H57</f>
        <v>30264.381562500002</v>
      </c>
      <c r="P62" s="313">
        <f>'P&amp;L - Concept C2 - Carnival'!I57</f>
        <v>30264.381562500002</v>
      </c>
      <c r="Q62" s="313">
        <f>'P&amp;L - Concept C2 - Carnival'!J57</f>
        <v>30264.381562500002</v>
      </c>
      <c r="R62" s="313">
        <f>'P&amp;L - Concept C2 - Carnival'!K57</f>
        <v>30264.381562500002</v>
      </c>
      <c r="S62" s="313">
        <f>'P&amp;L - Concept C2 - Carnival'!L57</f>
        <v>30264.381562500002</v>
      </c>
      <c r="T62" s="313">
        <f>'P&amp;L - Concept C2 - Carnival'!M57</f>
        <v>30264.381562500002</v>
      </c>
      <c r="U62" s="313">
        <f>'P&amp;L - Concept C2 - Carnival'!N57</f>
        <v>30264.381562500002</v>
      </c>
      <c r="V62" s="313">
        <f>'P&amp;L - Concept C2 - Carnival'!O57</f>
        <v>30264.381562500002</v>
      </c>
      <c r="W62" s="313">
        <f>'P&amp;L - Concept C2 - Carnival'!P57</f>
        <v>30264.381562500002</v>
      </c>
      <c r="X62" s="313">
        <f>'P&amp;L - Concept C2 - Carnival'!Q57</f>
        <v>30264.381562500002</v>
      </c>
      <c r="Y62" s="313">
        <f>'P&amp;L - Concept C2 - Carnival'!R57</f>
        <v>30264.381562500002</v>
      </c>
      <c r="Z62" s="313">
        <f>'P&amp;L - Concept C2 - Carnival'!S57</f>
        <v>30264.381562500002</v>
      </c>
      <c r="AA62" s="313">
        <f>'P&amp;L - Concept C2 - Carnival'!T57</f>
        <v>30264.381562500002</v>
      </c>
      <c r="AB62" s="313">
        <f>'P&amp;L - Concept C2 - Carnival'!U57</f>
        <v>30264.381562500002</v>
      </c>
      <c r="AC62" s="313">
        <f>'P&amp;L - Concept C2 - Carnival'!V57</f>
        <v>30264.381562500002</v>
      </c>
      <c r="AD62" s="313">
        <f>'P&amp;L - Concept C2 - Carnival'!W57</f>
        <v>30264.381562500002</v>
      </c>
      <c r="AE62" s="313">
        <f>'P&amp;L - Concept C2 - Carnival'!X57</f>
        <v>30264.381562500002</v>
      </c>
    </row>
    <row r="63" spans="1:32 16384:16384" s="96" customFormat="1">
      <c r="A63" s="54" t="s">
        <v>294</v>
      </c>
      <c r="B63" s="435"/>
      <c r="C63" s="583"/>
      <c r="K63" s="486">
        <f>'P&amp;L - Concept C2 - Carnival'!D58</f>
        <v>0</v>
      </c>
      <c r="L63" s="313">
        <f>'P&amp;L - Concept C2 - Carnival'!E58</f>
        <v>0</v>
      </c>
      <c r="M63" s="313">
        <f>'P&amp;L - Concept C2 - Carnival'!F58</f>
        <v>1137.1500000000001</v>
      </c>
      <c r="N63" s="313">
        <f>'P&amp;L - Concept C2 - Carnival'!G58</f>
        <v>1137.1500000000001</v>
      </c>
      <c r="O63" s="313">
        <f>'P&amp;L - Concept C2 - Carnival'!H58</f>
        <v>1137.1500000000001</v>
      </c>
      <c r="P63" s="313">
        <f>'P&amp;L - Concept C2 - Carnival'!I58</f>
        <v>1137.1500000000001</v>
      </c>
      <c r="Q63" s="313">
        <f>'P&amp;L - Concept C2 - Carnival'!J58</f>
        <v>1137.1500000000001</v>
      </c>
      <c r="R63" s="313">
        <f>'P&amp;L - Concept C2 - Carnival'!K58</f>
        <v>1137.1500000000001</v>
      </c>
      <c r="S63" s="313">
        <f>'P&amp;L - Concept C2 - Carnival'!L58</f>
        <v>1137.1500000000001</v>
      </c>
      <c r="T63" s="313">
        <f>'P&amp;L - Concept C2 - Carnival'!M58</f>
        <v>1137.1500000000001</v>
      </c>
      <c r="U63" s="313">
        <f>'P&amp;L - Concept C2 - Carnival'!N58</f>
        <v>1137.1500000000001</v>
      </c>
      <c r="V63" s="313">
        <f>'P&amp;L - Concept C2 - Carnival'!O58</f>
        <v>1137.1500000000001</v>
      </c>
      <c r="W63" s="313">
        <f>'P&amp;L - Concept C2 - Carnival'!P58</f>
        <v>1137.1500000000001</v>
      </c>
      <c r="X63" s="313">
        <f>'P&amp;L - Concept C2 - Carnival'!Q58</f>
        <v>1137.1500000000001</v>
      </c>
      <c r="Y63" s="313">
        <f>'P&amp;L - Concept C2 - Carnival'!R58</f>
        <v>1137.1500000000001</v>
      </c>
      <c r="Z63" s="313">
        <f>'P&amp;L - Concept C2 - Carnival'!S58</f>
        <v>1137.1500000000001</v>
      </c>
      <c r="AA63" s="313">
        <f>'P&amp;L - Concept C2 - Carnival'!T58</f>
        <v>1137.1500000000001</v>
      </c>
      <c r="AB63" s="313">
        <f>'P&amp;L - Concept C2 - Carnival'!U58</f>
        <v>1137.1500000000001</v>
      </c>
      <c r="AC63" s="313">
        <f>'P&amp;L - Concept C2 - Carnival'!V58</f>
        <v>1137.1500000000001</v>
      </c>
      <c r="AD63" s="313">
        <f>'P&amp;L - Concept C2 - Carnival'!W58</f>
        <v>1137.1500000000001</v>
      </c>
      <c r="AE63" s="313">
        <f>'P&amp;L - Concept C2 - Carnival'!X58</f>
        <v>1137.1500000000001</v>
      </c>
    </row>
    <row r="64" spans="1:32 16384:16384" s="167" customFormat="1">
      <c r="A64" s="497" t="s">
        <v>170</v>
      </c>
      <c r="B64" s="450"/>
      <c r="C64" s="498"/>
      <c r="K64" s="499">
        <f>'P&amp;L - Concept C2 - Carnival'!D59</f>
        <v>0</v>
      </c>
      <c r="L64" s="500">
        <f>'P&amp;L - Concept C2 - Carnival'!E59</f>
        <v>0</v>
      </c>
      <c r="M64" s="500">
        <f>'P&amp;L - Concept C2 - Carnival'!F59</f>
        <v>0</v>
      </c>
      <c r="N64" s="500">
        <f>'P&amp;L - Concept C2 - Carnival'!G59</f>
        <v>0</v>
      </c>
      <c r="O64" s="500">
        <f>'P&amp;L - Concept C2 - Carnival'!H59</f>
        <v>0</v>
      </c>
      <c r="P64" s="500">
        <f>'P&amp;L - Concept C2 - Carnival'!I59</f>
        <v>0</v>
      </c>
      <c r="Q64" s="500">
        <f>'P&amp;L - Concept C2 - Carnival'!J59</f>
        <v>0</v>
      </c>
      <c r="R64" s="500">
        <f>'P&amp;L - Concept C2 - Carnival'!K59</f>
        <v>0</v>
      </c>
      <c r="S64" s="500">
        <f>'P&amp;L - Concept C2 - Carnival'!L59</f>
        <v>0</v>
      </c>
      <c r="T64" s="500">
        <f>'P&amp;L - Concept C2 - Carnival'!M59</f>
        <v>0</v>
      </c>
      <c r="U64" s="500">
        <f>'P&amp;L - Concept C2 - Carnival'!N59</f>
        <v>0</v>
      </c>
      <c r="V64" s="500">
        <f>'P&amp;L - Concept C2 - Carnival'!O59</f>
        <v>0</v>
      </c>
      <c r="W64" s="500">
        <f>'P&amp;L - Concept C2 - Carnival'!P59</f>
        <v>0</v>
      </c>
      <c r="X64" s="500">
        <f>'P&amp;L - Concept C2 - Carnival'!Q59</f>
        <v>0</v>
      </c>
      <c r="Y64" s="500">
        <f>'P&amp;L - Concept C2 - Carnival'!R59</f>
        <v>0</v>
      </c>
      <c r="Z64" s="500">
        <f>'P&amp;L - Concept C2 - Carnival'!S59</f>
        <v>0</v>
      </c>
      <c r="AA64" s="500">
        <f>'P&amp;L - Concept C2 - Carnival'!T59</f>
        <v>0</v>
      </c>
      <c r="AB64" s="500">
        <f>'P&amp;L - Concept C2 - Carnival'!U59</f>
        <v>0</v>
      </c>
      <c r="AC64" s="500">
        <f>'P&amp;L - Concept C2 - Carnival'!V59</f>
        <v>0</v>
      </c>
      <c r="AD64" s="500">
        <f>'P&amp;L - Concept C2 - Carnival'!W59</f>
        <v>0</v>
      </c>
      <c r="AE64" s="500">
        <f>'P&amp;L - Concept C2 - Carnival'!X59</f>
        <v>0</v>
      </c>
      <c r="AF64" s="167" t="str">
        <f>'P&amp;L - Concept C2 - Carnival'!Y59</f>
        <v>cost recovery assumed</v>
      </c>
    </row>
    <row r="65" spans="1:32" s="167" customFormat="1">
      <c r="A65" s="497" t="s">
        <v>16</v>
      </c>
      <c r="B65" s="450"/>
      <c r="C65" s="498"/>
      <c r="K65" s="499">
        <f>'P&amp;L - Concept C2 - Carnival'!D60</f>
        <v>0</v>
      </c>
      <c r="L65" s="500">
        <f>'P&amp;L - Concept C2 - Carnival'!E60</f>
        <v>0</v>
      </c>
      <c r="M65" s="500">
        <f>'P&amp;L - Concept C2 - Carnival'!F60</f>
        <v>0</v>
      </c>
      <c r="N65" s="500">
        <f>'P&amp;L - Concept C2 - Carnival'!G60</f>
        <v>0</v>
      </c>
      <c r="O65" s="500">
        <f>'P&amp;L - Concept C2 - Carnival'!H60</f>
        <v>0</v>
      </c>
      <c r="P65" s="500">
        <f>'P&amp;L - Concept C2 - Carnival'!I60</f>
        <v>0</v>
      </c>
      <c r="Q65" s="500">
        <f>'P&amp;L - Concept C2 - Carnival'!J60</f>
        <v>0</v>
      </c>
      <c r="R65" s="500">
        <f>'P&amp;L - Concept C2 - Carnival'!K60</f>
        <v>0</v>
      </c>
      <c r="S65" s="500">
        <f>'P&amp;L - Concept C2 - Carnival'!L60</f>
        <v>0</v>
      </c>
      <c r="T65" s="500">
        <f>'P&amp;L - Concept C2 - Carnival'!M60</f>
        <v>0</v>
      </c>
      <c r="U65" s="500">
        <f>'P&amp;L - Concept C2 - Carnival'!N60</f>
        <v>0</v>
      </c>
      <c r="V65" s="500">
        <f>'P&amp;L - Concept C2 - Carnival'!O60</f>
        <v>0</v>
      </c>
      <c r="W65" s="500">
        <f>'P&amp;L - Concept C2 - Carnival'!P60</f>
        <v>0</v>
      </c>
      <c r="X65" s="500">
        <f>'P&amp;L - Concept C2 - Carnival'!Q60</f>
        <v>0</v>
      </c>
      <c r="Y65" s="500">
        <f>'P&amp;L - Concept C2 - Carnival'!R60</f>
        <v>0</v>
      </c>
      <c r="Z65" s="500">
        <f>'P&amp;L - Concept C2 - Carnival'!S60</f>
        <v>0</v>
      </c>
      <c r="AA65" s="500">
        <f>'P&amp;L - Concept C2 - Carnival'!T60</f>
        <v>0</v>
      </c>
      <c r="AB65" s="500">
        <f>'P&amp;L - Concept C2 - Carnival'!U60</f>
        <v>0</v>
      </c>
      <c r="AC65" s="500">
        <f>'P&amp;L - Concept C2 - Carnival'!V60</f>
        <v>0</v>
      </c>
      <c r="AD65" s="500">
        <f>'P&amp;L - Concept C2 - Carnival'!W60</f>
        <v>0</v>
      </c>
      <c r="AE65" s="500">
        <f>'P&amp;L - Concept C2 - Carnival'!X60</f>
        <v>0</v>
      </c>
      <c r="AF65" s="167" t="str">
        <f>'P&amp;L - Concept C2 - Carnival'!Y60</f>
        <v>cost recovery assumed</v>
      </c>
    </row>
    <row r="66" spans="1:32" s="18" customFormat="1">
      <c r="A66" s="54"/>
      <c r="B66" s="277"/>
      <c r="C66" s="74"/>
      <c r="K66" s="492"/>
      <c r="L66" s="313"/>
      <c r="M66" s="313"/>
      <c r="N66" s="313"/>
      <c r="O66" s="313"/>
      <c r="P66" s="313"/>
      <c r="Q66" s="313"/>
      <c r="R66" s="313"/>
      <c r="S66" s="313"/>
      <c r="T66" s="313"/>
      <c r="U66" s="313"/>
      <c r="V66" s="313"/>
      <c r="W66" s="313"/>
      <c r="X66" s="313"/>
      <c r="Y66" s="313"/>
      <c r="Z66" s="313"/>
      <c r="AA66" s="313"/>
      <c r="AB66" s="313"/>
      <c r="AC66" s="313"/>
      <c r="AD66" s="313"/>
      <c r="AE66" s="313"/>
    </row>
    <row r="67" spans="1:32" s="18" customFormat="1">
      <c r="A67" s="293" t="s">
        <v>2</v>
      </c>
      <c r="B67" s="277"/>
      <c r="C67" s="74"/>
      <c r="K67" s="492"/>
      <c r="L67" s="313"/>
      <c r="M67" s="313"/>
      <c r="N67" s="313"/>
      <c r="O67" s="313"/>
      <c r="P67" s="313"/>
      <c r="Q67" s="313"/>
      <c r="R67" s="313"/>
      <c r="S67" s="313"/>
      <c r="T67" s="313"/>
      <c r="U67" s="313"/>
      <c r="V67" s="313"/>
      <c r="W67" s="313"/>
      <c r="X67" s="313"/>
      <c r="Y67" s="313"/>
      <c r="Z67" s="313"/>
      <c r="AA67" s="313"/>
      <c r="AB67" s="313"/>
      <c r="AC67" s="313"/>
      <c r="AD67" s="313"/>
      <c r="AE67" s="313"/>
    </row>
    <row r="68" spans="1:32" s="96" customFormat="1">
      <c r="A68" s="54" t="s">
        <v>290</v>
      </c>
      <c r="B68" s="435">
        <v>500</v>
      </c>
      <c r="C68" s="487"/>
      <c r="K68" s="486">
        <f>'P&amp;L - Concept C2 - Carnival'!D63</f>
        <v>0</v>
      </c>
      <c r="L68" s="313">
        <f>'P&amp;L - Concept C2 - Carnival'!E63</f>
        <v>0</v>
      </c>
      <c r="M68" s="313">
        <f>'P&amp;L - Concept C2 - Carnival'!F63</f>
        <v>0</v>
      </c>
      <c r="N68" s="313">
        <f>'P&amp;L - Concept C2 - Carnival'!G63</f>
        <v>500</v>
      </c>
      <c r="O68" s="313">
        <f>'P&amp;L - Concept C2 - Carnival'!H63</f>
        <v>500</v>
      </c>
      <c r="P68" s="313">
        <f>'P&amp;L - Concept C2 - Carnival'!I63</f>
        <v>500</v>
      </c>
      <c r="Q68" s="313">
        <f>'P&amp;L - Concept C2 - Carnival'!J63</f>
        <v>500</v>
      </c>
      <c r="R68" s="313">
        <f>'P&amp;L - Concept C2 - Carnival'!K63</f>
        <v>500</v>
      </c>
      <c r="S68" s="313">
        <f>'P&amp;L - Concept C2 - Carnival'!L63</f>
        <v>500</v>
      </c>
      <c r="T68" s="313">
        <f>'P&amp;L - Concept C2 - Carnival'!M63</f>
        <v>500</v>
      </c>
      <c r="U68" s="313">
        <f>'P&amp;L - Concept C2 - Carnival'!N63</f>
        <v>500</v>
      </c>
      <c r="V68" s="313">
        <f>'P&amp;L - Concept C2 - Carnival'!O63</f>
        <v>500</v>
      </c>
      <c r="W68" s="313">
        <f>'P&amp;L - Concept C2 - Carnival'!P63</f>
        <v>500</v>
      </c>
      <c r="X68" s="313">
        <f>'P&amp;L - Concept C2 - Carnival'!Q63</f>
        <v>500</v>
      </c>
      <c r="Y68" s="313">
        <f>'P&amp;L - Concept C2 - Carnival'!R63</f>
        <v>500</v>
      </c>
      <c r="Z68" s="313">
        <f>'P&amp;L - Concept C2 - Carnival'!S63</f>
        <v>500</v>
      </c>
      <c r="AA68" s="313">
        <f>'P&amp;L - Concept C2 - Carnival'!T63</f>
        <v>500</v>
      </c>
      <c r="AB68" s="313">
        <f>'P&amp;L - Concept C2 - Carnival'!U63</f>
        <v>500</v>
      </c>
      <c r="AC68" s="313">
        <f>'P&amp;L - Concept C2 - Carnival'!V63</f>
        <v>500</v>
      </c>
      <c r="AD68" s="313">
        <f>'P&amp;L - Concept C2 - Carnival'!W63</f>
        <v>500</v>
      </c>
      <c r="AE68" s="313">
        <f>'P&amp;L - Concept C2 - Carnival'!X63</f>
        <v>500</v>
      </c>
    </row>
    <row r="69" spans="1:32" s="96" customFormat="1">
      <c r="A69" s="54" t="s">
        <v>210</v>
      </c>
      <c r="B69" s="487"/>
      <c r="C69" s="487"/>
      <c r="K69" s="486">
        <f>'P&amp;L - Concept C2 - Carnival'!D65</f>
        <v>0</v>
      </c>
      <c r="L69" s="313">
        <f>'P&amp;L - Concept C2 - Carnival'!E65</f>
        <v>0</v>
      </c>
      <c r="M69" s="313">
        <f>'P&amp;L - Concept C2 - Carnival'!F65</f>
        <v>1</v>
      </c>
      <c r="N69" s="313">
        <f>'P&amp;L - Concept C2 - Carnival'!G65</f>
        <v>2</v>
      </c>
      <c r="O69" s="313">
        <f>'P&amp;L - Concept C2 - Carnival'!H65</f>
        <v>2</v>
      </c>
      <c r="P69" s="313">
        <f>'P&amp;L - Concept C2 - Carnival'!I65</f>
        <v>2</v>
      </c>
      <c r="Q69" s="313">
        <f>'P&amp;L - Concept C2 - Carnival'!J65</f>
        <v>3</v>
      </c>
      <c r="R69" s="313">
        <f>'P&amp;L - Concept C2 - Carnival'!K65</f>
        <v>3</v>
      </c>
      <c r="S69" s="313">
        <f>'P&amp;L - Concept C2 - Carnival'!L65</f>
        <v>3</v>
      </c>
      <c r="T69" s="313">
        <f>'P&amp;L - Concept C2 - Carnival'!M65</f>
        <v>3</v>
      </c>
      <c r="U69" s="313">
        <f>'P&amp;L - Concept C2 - Carnival'!N65</f>
        <v>3</v>
      </c>
      <c r="V69" s="313">
        <f>'P&amp;L - Concept C2 - Carnival'!O65</f>
        <v>4</v>
      </c>
      <c r="W69" s="313">
        <f>'P&amp;L - Concept C2 - Carnival'!P65</f>
        <v>4</v>
      </c>
      <c r="X69" s="313">
        <f>'P&amp;L - Concept C2 - Carnival'!Q65</f>
        <v>4</v>
      </c>
      <c r="Y69" s="313">
        <f>'P&amp;L - Concept C2 - Carnival'!R65</f>
        <v>4</v>
      </c>
      <c r="Z69" s="313">
        <f>'P&amp;L - Concept C2 - Carnival'!S65</f>
        <v>4</v>
      </c>
      <c r="AA69" s="313">
        <f>'P&amp;L - Concept C2 - Carnival'!T65</f>
        <v>5</v>
      </c>
      <c r="AB69" s="313">
        <f>'P&amp;L - Concept C2 - Carnival'!U65</f>
        <v>5</v>
      </c>
      <c r="AC69" s="313">
        <f>'P&amp;L - Concept C2 - Carnival'!V65</f>
        <v>5</v>
      </c>
      <c r="AD69" s="313">
        <f>'P&amp;L - Concept C2 - Carnival'!W65</f>
        <v>5</v>
      </c>
      <c r="AE69" s="313">
        <f>'P&amp;L - Concept C2 - Carnival'!X65</f>
        <v>5</v>
      </c>
    </row>
    <row r="70" spans="1:32" s="96" customFormat="1">
      <c r="A70" s="96" t="s">
        <v>211</v>
      </c>
      <c r="K70" s="486">
        <f>'P&amp;L - Concept C2 - Carnival'!D66</f>
        <v>0</v>
      </c>
      <c r="L70" s="313">
        <f>'P&amp;L - Concept C2 - Carnival'!E66</f>
        <v>0</v>
      </c>
      <c r="M70" s="313">
        <f>'P&amp;L - Concept C2 - Carnival'!F66</f>
        <v>3</v>
      </c>
      <c r="N70" s="313">
        <f>'P&amp;L - Concept C2 - Carnival'!G66</f>
        <v>3</v>
      </c>
      <c r="O70" s="313">
        <f>'P&amp;L - Concept C2 - Carnival'!H66</f>
        <v>3</v>
      </c>
      <c r="P70" s="313">
        <f>'P&amp;L - Concept C2 - Carnival'!I66</f>
        <v>3</v>
      </c>
      <c r="Q70" s="313">
        <f>'P&amp;L - Concept C2 - Carnival'!J66</f>
        <v>3</v>
      </c>
      <c r="R70" s="313">
        <f>'P&amp;L - Concept C2 - Carnival'!K66</f>
        <v>3</v>
      </c>
      <c r="S70" s="313">
        <f>'P&amp;L - Concept C2 - Carnival'!L66</f>
        <v>3</v>
      </c>
      <c r="T70" s="313">
        <f>'P&amp;L - Concept C2 - Carnival'!M66</f>
        <v>3</v>
      </c>
      <c r="U70" s="313">
        <f>'P&amp;L - Concept C2 - Carnival'!N66</f>
        <v>3</v>
      </c>
      <c r="V70" s="313">
        <f>'P&amp;L - Concept C2 - Carnival'!O66</f>
        <v>3</v>
      </c>
      <c r="W70" s="313">
        <f>'P&amp;L - Concept C2 - Carnival'!P66</f>
        <v>3</v>
      </c>
      <c r="X70" s="313">
        <f>'P&amp;L - Concept C2 - Carnival'!Q66</f>
        <v>3</v>
      </c>
      <c r="Y70" s="313">
        <f>'P&amp;L - Concept C2 - Carnival'!R66</f>
        <v>3</v>
      </c>
      <c r="Z70" s="313">
        <f>'P&amp;L - Concept C2 - Carnival'!S66</f>
        <v>3</v>
      </c>
      <c r="AA70" s="313">
        <f>'P&amp;L - Concept C2 - Carnival'!T66</f>
        <v>3</v>
      </c>
      <c r="AB70" s="313">
        <f>'P&amp;L - Concept C2 - Carnival'!U66</f>
        <v>3</v>
      </c>
      <c r="AC70" s="313">
        <f>'P&amp;L - Concept C2 - Carnival'!V66</f>
        <v>3</v>
      </c>
      <c r="AD70" s="313">
        <f>'P&amp;L - Concept C2 - Carnival'!W66</f>
        <v>3</v>
      </c>
      <c r="AE70" s="313">
        <f>'P&amp;L - Concept C2 - Carnival'!X66</f>
        <v>3</v>
      </c>
    </row>
    <row r="71" spans="1:32" s="96" customFormat="1">
      <c r="K71" s="486"/>
      <c r="L71" s="435"/>
      <c r="M71" s="435"/>
      <c r="N71" s="435"/>
      <c r="O71" s="435"/>
      <c r="P71" s="435"/>
      <c r="Q71" s="435"/>
      <c r="R71" s="435"/>
      <c r="S71" s="435"/>
      <c r="T71" s="435"/>
      <c r="U71" s="435"/>
      <c r="V71" s="435"/>
      <c r="W71" s="435"/>
      <c r="X71" s="435"/>
      <c r="Y71" s="435"/>
      <c r="Z71" s="435"/>
      <c r="AA71" s="435"/>
      <c r="AB71" s="435"/>
      <c r="AC71" s="435"/>
      <c r="AD71" s="435"/>
      <c r="AE71" s="435"/>
    </row>
    <row r="72" spans="1:32" s="18" customFormat="1">
      <c r="A72" s="28"/>
      <c r="K72" s="486"/>
      <c r="L72" s="331"/>
      <c r="M72" s="333"/>
      <c r="N72" s="331"/>
      <c r="O72" s="331"/>
      <c r="P72" s="331"/>
      <c r="Q72" s="331"/>
      <c r="R72" s="331"/>
      <c r="S72" s="331"/>
      <c r="T72" s="331"/>
      <c r="U72" s="331"/>
      <c r="V72" s="331"/>
      <c r="W72" s="331"/>
      <c r="X72" s="331"/>
      <c r="Y72" s="331"/>
      <c r="Z72" s="331"/>
      <c r="AA72" s="331"/>
      <c r="AB72" s="331"/>
      <c r="AC72" s="331"/>
      <c r="AD72" s="331"/>
      <c r="AE72" s="331"/>
    </row>
    <row r="73" spans="1:32">
      <c r="A73" s="168" t="s">
        <v>131</v>
      </c>
      <c r="B73" s="168"/>
      <c r="C73" s="169"/>
      <c r="D73" s="170"/>
      <c r="E73" s="171"/>
      <c r="F73" s="171"/>
      <c r="G73" s="171"/>
      <c r="H73" s="171"/>
      <c r="I73" s="168"/>
      <c r="J73" s="171"/>
      <c r="K73" s="681"/>
      <c r="L73" s="314"/>
      <c r="M73" s="314"/>
      <c r="N73" s="314"/>
      <c r="O73" s="314"/>
      <c r="P73" s="314"/>
      <c r="Q73" s="314"/>
      <c r="R73" s="314"/>
      <c r="S73" s="314"/>
      <c r="T73" s="314"/>
      <c r="U73" s="314"/>
      <c r="V73" s="314"/>
      <c r="W73" s="314"/>
      <c r="X73" s="314"/>
      <c r="Y73" s="314"/>
      <c r="Z73" s="314"/>
      <c r="AA73" s="314"/>
      <c r="AB73" s="314"/>
      <c r="AC73" s="314"/>
      <c r="AD73" s="314"/>
      <c r="AE73" s="314"/>
    </row>
    <row r="74" spans="1:32" s="252" customFormat="1">
      <c r="A74" s="183"/>
      <c r="B74" s="183"/>
      <c r="C74" s="364"/>
      <c r="D74" s="365"/>
      <c r="E74" s="184"/>
      <c r="F74" s="184"/>
      <c r="G74" s="184"/>
      <c r="H74" s="184"/>
      <c r="I74" s="183"/>
      <c r="J74" s="184"/>
      <c r="K74" s="664"/>
      <c r="L74" s="366"/>
      <c r="M74" s="366"/>
      <c r="N74" s="366"/>
      <c r="O74" s="366"/>
      <c r="P74" s="366"/>
      <c r="Q74" s="366"/>
      <c r="R74" s="366"/>
      <c r="S74" s="366"/>
      <c r="T74" s="366"/>
      <c r="U74" s="366"/>
      <c r="V74" s="366"/>
      <c r="W74" s="366"/>
      <c r="X74" s="366"/>
      <c r="Y74" s="366"/>
      <c r="Z74" s="366"/>
      <c r="AA74" s="366"/>
      <c r="AB74" s="366"/>
      <c r="AC74" s="366"/>
      <c r="AD74" s="366"/>
      <c r="AE74" s="366"/>
    </row>
    <row r="75" spans="1:32">
      <c r="A75" s="41" t="s">
        <v>13</v>
      </c>
      <c r="B75" s="41"/>
      <c r="C75" s="105"/>
      <c r="D75" s="106"/>
      <c r="E75" s="37"/>
      <c r="F75" s="37"/>
      <c r="G75" s="37"/>
      <c r="H75" s="37"/>
      <c r="I75" s="41"/>
      <c r="J75" s="37"/>
      <c r="K75" s="683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</row>
    <row r="76" spans="1:32">
      <c r="A76" s="96" t="s">
        <v>418</v>
      </c>
      <c r="B76" s="735" t="s">
        <v>12</v>
      </c>
      <c r="C76" s="663">
        <v>75000</v>
      </c>
      <c r="D76" s="736">
        <f t="shared" ref="D76:D79" si="0">C76/2080</f>
        <v>36.057692307692307</v>
      </c>
      <c r="E76" s="663">
        <v>0</v>
      </c>
      <c r="F76" s="663">
        <f>(C76*$F$13)</f>
        <v>30000</v>
      </c>
      <c r="G76" s="663">
        <f>SUM(C76,E76:F76)</f>
        <v>105000</v>
      </c>
      <c r="H76" s="663"/>
      <c r="I76" s="736"/>
      <c r="J76" s="663"/>
      <c r="K76" s="683">
        <v>0</v>
      </c>
      <c r="L76" s="665">
        <v>0</v>
      </c>
      <c r="M76" s="666">
        <f>G76</f>
        <v>105000</v>
      </c>
      <c r="N76" s="666">
        <f>($G$76*L11)</f>
        <v>107100</v>
      </c>
      <c r="O76" s="666">
        <f t="shared" ref="O76:AE76" si="1">($G$76*M11)</f>
        <v>109242</v>
      </c>
      <c r="P76" s="666">
        <f t="shared" si="1"/>
        <v>111426.84</v>
      </c>
      <c r="Q76" s="666">
        <f t="shared" si="1"/>
        <v>113655.3768</v>
      </c>
      <c r="R76" s="666">
        <f t="shared" si="1"/>
        <v>115928.48433600001</v>
      </c>
      <c r="S76" s="666">
        <f t="shared" si="1"/>
        <v>118247.05402272001</v>
      </c>
      <c r="T76" s="666">
        <f t="shared" si="1"/>
        <v>120611.9951031744</v>
      </c>
      <c r="U76" s="666">
        <f t="shared" si="1"/>
        <v>123024.2350052379</v>
      </c>
      <c r="V76" s="666">
        <f t="shared" si="1"/>
        <v>125484.71970534266</v>
      </c>
      <c r="W76" s="666">
        <f t="shared" si="1"/>
        <v>127994.41409944952</v>
      </c>
      <c r="X76" s="666">
        <f t="shared" si="1"/>
        <v>130554.30238143851</v>
      </c>
      <c r="Y76" s="666">
        <f t="shared" si="1"/>
        <v>133165.38842906727</v>
      </c>
      <c r="Z76" s="666">
        <f t="shared" si="1"/>
        <v>135828.69619764862</v>
      </c>
      <c r="AA76" s="666">
        <f t="shared" si="1"/>
        <v>138545.27012160158</v>
      </c>
      <c r="AB76" s="666">
        <f t="shared" si="1"/>
        <v>141316.17552403364</v>
      </c>
      <c r="AC76" s="666">
        <f t="shared" si="1"/>
        <v>144142.4990345143</v>
      </c>
      <c r="AD76" s="666">
        <f t="shared" si="1"/>
        <v>147025.34901520461</v>
      </c>
      <c r="AE76" s="666">
        <f t="shared" si="1"/>
        <v>149965.8559955087</v>
      </c>
    </row>
    <row r="77" spans="1:32">
      <c r="A77" s="96" t="s">
        <v>417</v>
      </c>
      <c r="B77" s="735" t="s">
        <v>12</v>
      </c>
      <c r="C77" s="663">
        <v>35000</v>
      </c>
      <c r="D77" s="736">
        <f t="shared" si="0"/>
        <v>16.826923076923077</v>
      </c>
      <c r="E77" s="663">
        <v>0</v>
      </c>
      <c r="F77" s="663">
        <f t="shared" ref="F77:F79" si="2">(C77*$F$13)</f>
        <v>14000</v>
      </c>
      <c r="G77" s="663">
        <f t="shared" ref="G77:G79" si="3">SUM(C77,E77:F77)</f>
        <v>49000</v>
      </c>
      <c r="H77" s="663"/>
      <c r="I77" s="736"/>
      <c r="J77" s="663"/>
      <c r="K77" s="683">
        <v>0</v>
      </c>
      <c r="L77" s="665">
        <f>G77*0.25</f>
        <v>12250</v>
      </c>
      <c r="M77" s="666">
        <f>G77*0.5</f>
        <v>24500</v>
      </c>
      <c r="N77" s="666">
        <f>($G$77*0.5*L11)</f>
        <v>24990</v>
      </c>
      <c r="O77" s="666">
        <f t="shared" ref="O77:AE77" si="4">($G$77*0.5*M11)</f>
        <v>25489.8</v>
      </c>
      <c r="P77" s="666">
        <f t="shared" si="4"/>
        <v>25999.595999999998</v>
      </c>
      <c r="Q77" s="666">
        <f t="shared" si="4"/>
        <v>26519.587919999998</v>
      </c>
      <c r="R77" s="666">
        <f t="shared" si="4"/>
        <v>27049.979678399999</v>
      </c>
      <c r="S77" s="666">
        <f t="shared" si="4"/>
        <v>27590.979271968001</v>
      </c>
      <c r="T77" s="666">
        <f t="shared" si="4"/>
        <v>28142.798857407361</v>
      </c>
      <c r="U77" s="666">
        <f t="shared" si="4"/>
        <v>28705.654834555509</v>
      </c>
      <c r="V77" s="666">
        <f t="shared" si="4"/>
        <v>29279.767931246621</v>
      </c>
      <c r="W77" s="666">
        <f t="shared" si="4"/>
        <v>29865.363289871555</v>
      </c>
      <c r="X77" s="666">
        <f t="shared" si="4"/>
        <v>30462.670555668985</v>
      </c>
      <c r="Y77" s="666">
        <f t="shared" si="4"/>
        <v>31071.923966782364</v>
      </c>
      <c r="Z77" s="666">
        <f t="shared" si="4"/>
        <v>31693.362446118008</v>
      </c>
      <c r="AA77" s="666">
        <f t="shared" si="4"/>
        <v>32327.229695040372</v>
      </c>
      <c r="AB77" s="666">
        <f t="shared" si="4"/>
        <v>32973.774288941182</v>
      </c>
      <c r="AC77" s="666">
        <f t="shared" si="4"/>
        <v>33633.249774720003</v>
      </c>
      <c r="AD77" s="666">
        <f t="shared" si="4"/>
        <v>34305.914770214411</v>
      </c>
      <c r="AE77" s="666">
        <f t="shared" si="4"/>
        <v>34992.0330656187</v>
      </c>
    </row>
    <row r="78" spans="1:32">
      <c r="A78" s="96" t="s">
        <v>422</v>
      </c>
      <c r="B78" s="735" t="s">
        <v>15</v>
      </c>
      <c r="C78" s="663">
        <v>15000</v>
      </c>
      <c r="D78" s="736">
        <f t="shared" si="0"/>
        <v>7.2115384615384617</v>
      </c>
      <c r="E78" s="663">
        <f>C78*$L$15</f>
        <v>0</v>
      </c>
      <c r="F78" s="663">
        <f t="shared" si="2"/>
        <v>6000</v>
      </c>
      <c r="G78" s="663">
        <f t="shared" si="3"/>
        <v>21000</v>
      </c>
      <c r="H78" s="663"/>
      <c r="I78" s="736"/>
      <c r="J78" s="663"/>
      <c r="K78" s="683">
        <v>0</v>
      </c>
      <c r="L78" s="665">
        <v>0</v>
      </c>
      <c r="M78" s="666">
        <f t="shared" ref="M78" si="5">G78</f>
        <v>21000</v>
      </c>
      <c r="N78" s="666">
        <f>($G$78*L11)</f>
        <v>21420</v>
      </c>
      <c r="O78" s="666">
        <f t="shared" ref="O78:AE78" si="6">($G$78*M11)</f>
        <v>21848.400000000001</v>
      </c>
      <c r="P78" s="666">
        <f t="shared" si="6"/>
        <v>22285.367999999999</v>
      </c>
      <c r="Q78" s="666">
        <f t="shared" si="6"/>
        <v>22731.075359999999</v>
      </c>
      <c r="R78" s="666">
        <f t="shared" si="6"/>
        <v>23185.6968672</v>
      </c>
      <c r="S78" s="666">
        <f t="shared" si="6"/>
        <v>23649.410804544001</v>
      </c>
      <c r="T78" s="666">
        <f t="shared" si="6"/>
        <v>24122.399020634883</v>
      </c>
      <c r="U78" s="666">
        <f t="shared" si="6"/>
        <v>24604.847001047579</v>
      </c>
      <c r="V78" s="666">
        <f t="shared" si="6"/>
        <v>25096.943941068534</v>
      </c>
      <c r="W78" s="666">
        <f t="shared" si="6"/>
        <v>25598.882819889903</v>
      </c>
      <c r="X78" s="666">
        <f t="shared" si="6"/>
        <v>26110.8604762877</v>
      </c>
      <c r="Y78" s="666">
        <f t="shared" si="6"/>
        <v>26633.077685813456</v>
      </c>
      <c r="Z78" s="666">
        <f t="shared" si="6"/>
        <v>27165.739239529721</v>
      </c>
      <c r="AA78" s="666">
        <f t="shared" si="6"/>
        <v>27709.054024320321</v>
      </c>
      <c r="AB78" s="666">
        <f t="shared" si="6"/>
        <v>28263.235104806728</v>
      </c>
      <c r="AC78" s="666">
        <f t="shared" si="6"/>
        <v>28828.499806902862</v>
      </c>
      <c r="AD78" s="666">
        <f t="shared" si="6"/>
        <v>29405.069803040922</v>
      </c>
      <c r="AE78" s="666">
        <f t="shared" si="6"/>
        <v>29993.17119910174</v>
      </c>
    </row>
    <row r="79" spans="1:32">
      <c r="A79" s="737" t="s">
        <v>422</v>
      </c>
      <c r="B79" s="738" t="s">
        <v>15</v>
      </c>
      <c r="C79" s="739">
        <v>15000</v>
      </c>
      <c r="D79" s="740">
        <f t="shared" si="0"/>
        <v>7.2115384615384617</v>
      </c>
      <c r="E79" s="739">
        <f>C79*$L$15</f>
        <v>0</v>
      </c>
      <c r="F79" s="739">
        <f t="shared" si="2"/>
        <v>6000</v>
      </c>
      <c r="G79" s="739">
        <f t="shared" si="3"/>
        <v>21000</v>
      </c>
      <c r="H79" s="739"/>
      <c r="I79" s="740"/>
      <c r="J79" s="739"/>
      <c r="K79" s="741">
        <v>0</v>
      </c>
      <c r="L79" s="742">
        <v>0</v>
      </c>
      <c r="M79" s="742">
        <f t="shared" ref="M79" si="7">G79</f>
        <v>21000</v>
      </c>
      <c r="N79" s="742">
        <f>($G$79*L11)</f>
        <v>21420</v>
      </c>
      <c r="O79" s="742">
        <f t="shared" ref="O79:AE79" si="8">($G$79*M11)</f>
        <v>21848.400000000001</v>
      </c>
      <c r="P79" s="742">
        <f t="shared" si="8"/>
        <v>22285.367999999999</v>
      </c>
      <c r="Q79" s="742">
        <f t="shared" si="8"/>
        <v>22731.075359999999</v>
      </c>
      <c r="R79" s="742">
        <f t="shared" si="8"/>
        <v>23185.6968672</v>
      </c>
      <c r="S79" s="742">
        <f t="shared" si="8"/>
        <v>23649.410804544001</v>
      </c>
      <c r="T79" s="742">
        <f t="shared" si="8"/>
        <v>24122.399020634883</v>
      </c>
      <c r="U79" s="742">
        <f t="shared" si="8"/>
        <v>24604.847001047579</v>
      </c>
      <c r="V79" s="742">
        <f t="shared" si="8"/>
        <v>25096.943941068534</v>
      </c>
      <c r="W79" s="742">
        <f t="shared" si="8"/>
        <v>25598.882819889903</v>
      </c>
      <c r="X79" s="742">
        <f t="shared" si="8"/>
        <v>26110.8604762877</v>
      </c>
      <c r="Y79" s="742">
        <f t="shared" si="8"/>
        <v>26633.077685813456</v>
      </c>
      <c r="Z79" s="742">
        <f t="shared" si="8"/>
        <v>27165.739239529721</v>
      </c>
      <c r="AA79" s="742">
        <f t="shared" si="8"/>
        <v>27709.054024320321</v>
      </c>
      <c r="AB79" s="742">
        <f t="shared" si="8"/>
        <v>28263.235104806728</v>
      </c>
      <c r="AC79" s="742">
        <f t="shared" si="8"/>
        <v>28828.499806902862</v>
      </c>
      <c r="AD79" s="742">
        <f t="shared" si="8"/>
        <v>29405.069803040922</v>
      </c>
      <c r="AE79" s="742">
        <f t="shared" si="8"/>
        <v>29993.17119910174</v>
      </c>
    </row>
    <row r="80" spans="1:32" s="56" customFormat="1" ht="14.25">
      <c r="A80" s="164" t="s">
        <v>416</v>
      </c>
      <c r="B80" s="164"/>
      <c r="C80" s="667">
        <f>SUM(C76:C79)</f>
        <v>140000</v>
      </c>
      <c r="D80" s="667"/>
      <c r="E80" s="667">
        <f>SUM(E76:E79)</f>
        <v>0</v>
      </c>
      <c r="F80" s="667">
        <f>SUM(F76:F79)</f>
        <v>56000</v>
      </c>
      <c r="G80" s="667">
        <f>SUM(G76:G79)</f>
        <v>196000</v>
      </c>
      <c r="H80" s="667"/>
      <c r="I80" s="668"/>
      <c r="J80" s="667"/>
      <c r="K80" s="685">
        <f>SUMIF($B76:$B79,"FT",K76:K79)</f>
        <v>0</v>
      </c>
      <c r="L80" s="669">
        <f t="shared" ref="L80:AE80" si="9">SUM(L76:L79)</f>
        <v>12250</v>
      </c>
      <c r="M80" s="669">
        <f t="shared" si="9"/>
        <v>171500</v>
      </c>
      <c r="N80" s="669">
        <f t="shared" si="9"/>
        <v>174930</v>
      </c>
      <c r="O80" s="669">
        <f t="shared" si="9"/>
        <v>178428.59999999998</v>
      </c>
      <c r="P80" s="669">
        <f t="shared" si="9"/>
        <v>181997.17199999996</v>
      </c>
      <c r="Q80" s="669">
        <f t="shared" si="9"/>
        <v>185637.11543999997</v>
      </c>
      <c r="R80" s="669">
        <f t="shared" si="9"/>
        <v>189349.85774879999</v>
      </c>
      <c r="S80" s="669">
        <f t="shared" si="9"/>
        <v>193136.85490377599</v>
      </c>
      <c r="T80" s="669">
        <f t="shared" si="9"/>
        <v>196999.59200185153</v>
      </c>
      <c r="U80" s="669">
        <f t="shared" si="9"/>
        <v>200939.58384188855</v>
      </c>
      <c r="V80" s="669">
        <f t="shared" si="9"/>
        <v>204958.37551872636</v>
      </c>
      <c r="W80" s="669">
        <f t="shared" si="9"/>
        <v>209057.54302910087</v>
      </c>
      <c r="X80" s="669">
        <f t="shared" si="9"/>
        <v>213238.69388968288</v>
      </c>
      <c r="Y80" s="669">
        <f t="shared" si="9"/>
        <v>217503.46776747654</v>
      </c>
      <c r="Z80" s="669">
        <f t="shared" si="9"/>
        <v>221853.53712282603</v>
      </c>
      <c r="AA80" s="669">
        <f t="shared" si="9"/>
        <v>226290.60786528263</v>
      </c>
      <c r="AB80" s="669">
        <f t="shared" si="9"/>
        <v>230816.42002258825</v>
      </c>
      <c r="AC80" s="669">
        <f t="shared" si="9"/>
        <v>235432.74842304003</v>
      </c>
      <c r="AD80" s="669">
        <f t="shared" si="9"/>
        <v>240141.40339150085</v>
      </c>
      <c r="AE80" s="669">
        <f t="shared" si="9"/>
        <v>244944.23145933088</v>
      </c>
    </row>
    <row r="81" spans="1:35" s="56" customFormat="1" ht="14.25">
      <c r="A81" s="164"/>
      <c r="B81" s="164"/>
      <c r="C81" s="667"/>
      <c r="D81" s="667"/>
      <c r="E81" s="667"/>
      <c r="F81" s="667"/>
      <c r="G81" s="667"/>
      <c r="H81" s="667"/>
      <c r="I81" s="668"/>
      <c r="J81" s="667"/>
      <c r="K81" s="685"/>
      <c r="L81" s="669"/>
      <c r="M81" s="669"/>
      <c r="N81" s="669"/>
      <c r="O81" s="669"/>
      <c r="P81" s="669"/>
      <c r="Q81" s="669"/>
      <c r="R81" s="669"/>
      <c r="S81" s="669"/>
      <c r="T81" s="669"/>
      <c r="U81" s="669"/>
      <c r="V81" s="669"/>
      <c r="W81" s="669"/>
      <c r="X81" s="669"/>
      <c r="Y81" s="669"/>
      <c r="Z81" s="669"/>
      <c r="AA81" s="669"/>
      <c r="AB81" s="669"/>
      <c r="AC81" s="669"/>
      <c r="AD81" s="669"/>
      <c r="AE81" s="669"/>
    </row>
    <row r="82" spans="1:35">
      <c r="A82" s="37" t="s">
        <v>411</v>
      </c>
      <c r="B82" s="37"/>
      <c r="C82" s="57"/>
      <c r="E82" s="57"/>
      <c r="F82" s="57"/>
      <c r="G82" s="57"/>
      <c r="H82" s="57"/>
      <c r="I82" s="43"/>
      <c r="J82" s="42"/>
      <c r="K82" s="743">
        <f>COUNTIF(K76:K79,"&gt;100")</f>
        <v>0</v>
      </c>
      <c r="L82" s="496">
        <f t="shared" ref="L82:AE82" si="10">COUNTIF(L76:L77,"&gt;100")</f>
        <v>1</v>
      </c>
      <c r="M82" s="496">
        <f t="shared" si="10"/>
        <v>2</v>
      </c>
      <c r="N82" s="496">
        <f t="shared" si="10"/>
        <v>2</v>
      </c>
      <c r="O82" s="496">
        <f t="shared" si="10"/>
        <v>2</v>
      </c>
      <c r="P82" s="496">
        <f t="shared" si="10"/>
        <v>2</v>
      </c>
      <c r="Q82" s="496">
        <f t="shared" si="10"/>
        <v>2</v>
      </c>
      <c r="R82" s="496">
        <f t="shared" si="10"/>
        <v>2</v>
      </c>
      <c r="S82" s="496">
        <f t="shared" si="10"/>
        <v>2</v>
      </c>
      <c r="T82" s="496">
        <f t="shared" si="10"/>
        <v>2</v>
      </c>
      <c r="U82" s="496">
        <f t="shared" si="10"/>
        <v>2</v>
      </c>
      <c r="V82" s="496">
        <f t="shared" si="10"/>
        <v>2</v>
      </c>
      <c r="W82" s="496">
        <f t="shared" si="10"/>
        <v>2</v>
      </c>
      <c r="X82" s="496">
        <f t="shared" si="10"/>
        <v>2</v>
      </c>
      <c r="Y82" s="496">
        <f t="shared" si="10"/>
        <v>2</v>
      </c>
      <c r="Z82" s="496">
        <f t="shared" si="10"/>
        <v>2</v>
      </c>
      <c r="AA82" s="496">
        <f t="shared" si="10"/>
        <v>2</v>
      </c>
      <c r="AB82" s="496">
        <f t="shared" si="10"/>
        <v>2</v>
      </c>
      <c r="AC82" s="496">
        <f t="shared" si="10"/>
        <v>2</v>
      </c>
      <c r="AD82" s="496">
        <f t="shared" si="10"/>
        <v>2</v>
      </c>
      <c r="AE82" s="496">
        <f t="shared" si="10"/>
        <v>2</v>
      </c>
      <c r="AF82" s="744"/>
    </row>
    <row r="83" spans="1:35">
      <c r="A83" s="745" t="s">
        <v>412</v>
      </c>
      <c r="B83" s="745"/>
      <c r="C83" s="746"/>
      <c r="D83" s="116"/>
      <c r="E83" s="746"/>
      <c r="F83" s="746"/>
      <c r="G83" s="746"/>
      <c r="H83" s="746"/>
      <c r="I83" s="747"/>
      <c r="J83" s="748"/>
      <c r="K83" s="749">
        <f t="shared" ref="K83" si="11">K84-K82</f>
        <v>0</v>
      </c>
      <c r="L83" s="750">
        <f t="shared" ref="L83:AE83" si="12">COUNTIF(L78:L79,"&gt;100")</f>
        <v>0</v>
      </c>
      <c r="M83" s="750">
        <f t="shared" si="12"/>
        <v>2</v>
      </c>
      <c r="N83" s="750">
        <f t="shared" si="12"/>
        <v>2</v>
      </c>
      <c r="O83" s="750">
        <f t="shared" si="12"/>
        <v>2</v>
      </c>
      <c r="P83" s="750">
        <f t="shared" si="12"/>
        <v>2</v>
      </c>
      <c r="Q83" s="750">
        <f t="shared" si="12"/>
        <v>2</v>
      </c>
      <c r="R83" s="750">
        <f t="shared" si="12"/>
        <v>2</v>
      </c>
      <c r="S83" s="750">
        <f t="shared" si="12"/>
        <v>2</v>
      </c>
      <c r="T83" s="750">
        <f t="shared" si="12"/>
        <v>2</v>
      </c>
      <c r="U83" s="750">
        <f t="shared" si="12"/>
        <v>2</v>
      </c>
      <c r="V83" s="750">
        <f t="shared" si="12"/>
        <v>2</v>
      </c>
      <c r="W83" s="750">
        <f t="shared" si="12"/>
        <v>2</v>
      </c>
      <c r="X83" s="750">
        <f t="shared" si="12"/>
        <v>2</v>
      </c>
      <c r="Y83" s="750">
        <f t="shared" si="12"/>
        <v>2</v>
      </c>
      <c r="Z83" s="750">
        <f t="shared" si="12"/>
        <v>2</v>
      </c>
      <c r="AA83" s="750">
        <f t="shared" si="12"/>
        <v>2</v>
      </c>
      <c r="AB83" s="750">
        <f t="shared" si="12"/>
        <v>2</v>
      </c>
      <c r="AC83" s="750">
        <f t="shared" si="12"/>
        <v>2</v>
      </c>
      <c r="AD83" s="750">
        <f t="shared" si="12"/>
        <v>2</v>
      </c>
      <c r="AE83" s="750">
        <f t="shared" si="12"/>
        <v>2</v>
      </c>
    </row>
    <row r="84" spans="1:35" s="56" customFormat="1" ht="14.25">
      <c r="A84" s="164" t="s">
        <v>413</v>
      </c>
      <c r="B84" s="164"/>
      <c r="C84" s="75"/>
      <c r="D84" s="173"/>
      <c r="E84" s="75"/>
      <c r="F84" s="75"/>
      <c r="G84" s="75"/>
      <c r="H84" s="75"/>
      <c r="I84" s="174"/>
      <c r="J84" s="181"/>
      <c r="K84" s="751">
        <f>COUNTIF(K76:K79,"&gt;0")</f>
        <v>0</v>
      </c>
      <c r="L84" s="752">
        <f>SUM(L82:L83)</f>
        <v>1</v>
      </c>
      <c r="M84" s="752">
        <f t="shared" ref="M84:AE84" si="13">SUM(M82:M83)</f>
        <v>4</v>
      </c>
      <c r="N84" s="752">
        <f t="shared" si="13"/>
        <v>4</v>
      </c>
      <c r="O84" s="752">
        <f t="shared" si="13"/>
        <v>4</v>
      </c>
      <c r="P84" s="752">
        <f t="shared" si="13"/>
        <v>4</v>
      </c>
      <c r="Q84" s="752">
        <f t="shared" si="13"/>
        <v>4</v>
      </c>
      <c r="R84" s="752">
        <f t="shared" si="13"/>
        <v>4</v>
      </c>
      <c r="S84" s="752">
        <f t="shared" si="13"/>
        <v>4</v>
      </c>
      <c r="T84" s="752">
        <f t="shared" si="13"/>
        <v>4</v>
      </c>
      <c r="U84" s="752">
        <f t="shared" si="13"/>
        <v>4</v>
      </c>
      <c r="V84" s="752">
        <f t="shared" si="13"/>
        <v>4</v>
      </c>
      <c r="W84" s="752">
        <f t="shared" si="13"/>
        <v>4</v>
      </c>
      <c r="X84" s="752">
        <f t="shared" si="13"/>
        <v>4</v>
      </c>
      <c r="Y84" s="752">
        <f t="shared" si="13"/>
        <v>4</v>
      </c>
      <c r="Z84" s="752">
        <f t="shared" si="13"/>
        <v>4</v>
      </c>
      <c r="AA84" s="752">
        <f t="shared" si="13"/>
        <v>4</v>
      </c>
      <c r="AB84" s="752">
        <f t="shared" si="13"/>
        <v>4</v>
      </c>
      <c r="AC84" s="752">
        <f t="shared" si="13"/>
        <v>4</v>
      </c>
      <c r="AD84" s="752">
        <f t="shared" si="13"/>
        <v>4</v>
      </c>
      <c r="AE84" s="752">
        <f t="shared" si="13"/>
        <v>4</v>
      </c>
    </row>
    <row r="85" spans="1:35" s="56" customFormat="1" ht="14.25">
      <c r="A85" s="164"/>
      <c r="B85" s="164"/>
      <c r="C85" s="75"/>
      <c r="D85" s="173"/>
      <c r="E85" s="75"/>
      <c r="F85" s="75"/>
      <c r="G85" s="75"/>
      <c r="H85" s="75"/>
      <c r="I85" s="174"/>
      <c r="J85" s="181"/>
      <c r="K85" s="685"/>
      <c r="L85" s="315"/>
      <c r="M85" s="315"/>
      <c r="N85" s="315"/>
      <c r="O85" s="315"/>
      <c r="P85" s="315"/>
      <c r="Q85" s="315"/>
      <c r="R85" s="315"/>
      <c r="S85" s="315"/>
      <c r="T85" s="315"/>
      <c r="U85" s="315"/>
      <c r="V85" s="315"/>
      <c r="W85" s="315"/>
      <c r="X85" s="315"/>
      <c r="Y85" s="315"/>
      <c r="Z85" s="315"/>
      <c r="AA85" s="315"/>
      <c r="AB85" s="315"/>
      <c r="AC85" s="315"/>
      <c r="AD85" s="315"/>
      <c r="AE85" s="315"/>
    </row>
    <row r="86" spans="1:35">
      <c r="A86" s="48" t="s">
        <v>68</v>
      </c>
      <c r="B86" s="48"/>
      <c r="C86" s="77"/>
      <c r="D86" s="76"/>
      <c r="E86" s="57"/>
      <c r="F86" s="57"/>
      <c r="G86" s="77"/>
      <c r="H86" s="77"/>
      <c r="I86" s="50"/>
      <c r="J86" s="49"/>
      <c r="K86" s="683"/>
      <c r="L86" s="316"/>
      <c r="M86" s="316"/>
      <c r="N86" s="316"/>
      <c r="O86" s="316"/>
      <c r="P86" s="316"/>
      <c r="Q86" s="316"/>
      <c r="R86" s="316"/>
      <c r="S86" s="316"/>
      <c r="T86" s="316"/>
      <c r="U86" s="316"/>
      <c r="V86" s="316"/>
      <c r="W86" s="316"/>
      <c r="X86" s="316"/>
      <c r="Y86" s="316"/>
      <c r="Z86" s="316"/>
      <c r="AA86" s="316"/>
      <c r="AB86" s="316"/>
      <c r="AC86" s="316"/>
      <c r="AD86" s="316"/>
      <c r="AE86" s="316"/>
    </row>
    <row r="87" spans="1:35" s="68" customFormat="1" ht="14.25">
      <c r="A87" s="214" t="s">
        <v>80</v>
      </c>
      <c r="B87" s="189"/>
      <c r="C87" s="209"/>
      <c r="D87" s="210"/>
      <c r="E87" s="211"/>
      <c r="F87" s="211"/>
      <c r="G87" s="209"/>
      <c r="H87" s="209"/>
      <c r="I87" s="213"/>
      <c r="J87" s="212"/>
      <c r="K87" s="686"/>
      <c r="L87" s="317"/>
      <c r="M87" s="317"/>
      <c r="N87" s="317"/>
      <c r="O87" s="317"/>
      <c r="P87" s="317"/>
      <c r="Q87" s="317"/>
      <c r="R87" s="317"/>
      <c r="S87" s="317"/>
      <c r="T87" s="317"/>
      <c r="U87" s="317"/>
      <c r="V87" s="317"/>
      <c r="W87" s="317"/>
      <c r="X87" s="317"/>
      <c r="Y87" s="317"/>
      <c r="Z87" s="317"/>
      <c r="AA87" s="317"/>
      <c r="AB87" s="317"/>
      <c r="AC87" s="317"/>
      <c r="AD87" s="317"/>
      <c r="AE87" s="317"/>
    </row>
    <row r="88" spans="1:35">
      <c r="A88" s="37" t="s">
        <v>41</v>
      </c>
      <c r="B88" s="37"/>
      <c r="C88" s="110"/>
      <c r="D88" s="106"/>
      <c r="E88" s="57"/>
      <c r="F88" s="57"/>
      <c r="G88" s="57"/>
      <c r="H88" s="57"/>
      <c r="I88" s="51"/>
      <c r="J88" s="663"/>
      <c r="K88" s="683">
        <f>K$84*$J88*R$9</f>
        <v>0</v>
      </c>
      <c r="L88" s="666">
        <v>25000</v>
      </c>
      <c r="M88" s="666">
        <f>$L$88*L11</f>
        <v>25500</v>
      </c>
      <c r="N88" s="666">
        <f t="shared" ref="N88:P88" si="14">$L$88*M11</f>
        <v>26010</v>
      </c>
      <c r="O88" s="666">
        <f t="shared" si="14"/>
        <v>26530.199999999997</v>
      </c>
      <c r="P88" s="666">
        <f t="shared" si="14"/>
        <v>27060.804</v>
      </c>
      <c r="Q88" s="666">
        <f t="shared" ref="Q88" si="15">$L$88*P11</f>
        <v>27602.020080000002</v>
      </c>
      <c r="R88" s="666">
        <f t="shared" ref="R88" si="16">$L$88*Q11</f>
        <v>28154.060481600001</v>
      </c>
      <c r="S88" s="666">
        <f t="shared" ref="S88" si="17">$L$88*R11</f>
        <v>28717.141691232002</v>
      </c>
      <c r="T88" s="666">
        <f t="shared" ref="T88" si="18">$L$88*S11</f>
        <v>29291.484525056643</v>
      </c>
      <c r="U88" s="666">
        <f t="shared" ref="U88" si="19">$L$88*T11</f>
        <v>29877.314215557777</v>
      </c>
      <c r="V88" s="666">
        <f t="shared" ref="V88" si="20">$L$88*U11</f>
        <v>30474.860499868933</v>
      </c>
      <c r="W88" s="666">
        <f t="shared" ref="W88" si="21">$L$88*V11</f>
        <v>31084.357709866312</v>
      </c>
      <c r="X88" s="666">
        <f t="shared" ref="X88" si="22">$L$88*W11</f>
        <v>31706.044864063639</v>
      </c>
      <c r="Y88" s="666">
        <f t="shared" ref="Y88" si="23">$L$88*X11</f>
        <v>32340.165761344906</v>
      </c>
      <c r="Z88" s="666">
        <f t="shared" ref="Z88" si="24">$L$88*Y11</f>
        <v>32986.969076571811</v>
      </c>
      <c r="AA88" s="666">
        <f t="shared" ref="AA88" si="25">$L$88*Z11</f>
        <v>33646.708458103247</v>
      </c>
      <c r="AB88" s="666">
        <f t="shared" ref="AB88" si="26">$L$88*AA11</f>
        <v>34319.642627265312</v>
      </c>
      <c r="AC88" s="666">
        <f t="shared" ref="AC88" si="27">$L$88*AB11</f>
        <v>35006.03547981062</v>
      </c>
      <c r="AD88" s="666">
        <f t="shared" ref="AD88" si="28">$L$88*AC11</f>
        <v>35706.156189406836</v>
      </c>
      <c r="AE88" s="666">
        <f t="shared" ref="AE88" si="29">$L$88*AD11</f>
        <v>36420.279313194973</v>
      </c>
    </row>
    <row r="89" spans="1:35">
      <c r="A89" s="37" t="s">
        <v>424</v>
      </c>
      <c r="B89" s="37"/>
      <c r="C89" s="110"/>
      <c r="D89" s="106"/>
      <c r="E89" s="57"/>
      <c r="F89" s="57"/>
      <c r="G89" s="57"/>
      <c r="H89" s="57"/>
      <c r="I89" s="51"/>
      <c r="J89" s="663"/>
      <c r="K89" s="683">
        <f>K$84*$J89*R$9</f>
        <v>0</v>
      </c>
      <c r="L89" s="666">
        <v>10000</v>
      </c>
      <c r="M89" s="666">
        <v>500</v>
      </c>
      <c r="N89" s="666">
        <f>$M$89*M11</f>
        <v>520.20000000000005</v>
      </c>
      <c r="O89" s="666">
        <f>$M$89*N11</f>
        <v>530.60399999999993</v>
      </c>
      <c r="P89" s="666">
        <f>$M$89*O11</f>
        <v>541.21608000000003</v>
      </c>
      <c r="Q89" s="666">
        <v>5000</v>
      </c>
      <c r="R89" s="666">
        <f>$M$89*Q11</f>
        <v>563.08120963200008</v>
      </c>
      <c r="S89" s="666">
        <f>$M$89*R11</f>
        <v>574.34283382464002</v>
      </c>
      <c r="T89" s="666">
        <f>$M$89*S11</f>
        <v>585.82969050113286</v>
      </c>
      <c r="U89" s="666">
        <f>$M$89*T11</f>
        <v>597.54628431115555</v>
      </c>
      <c r="V89" s="666">
        <v>5000</v>
      </c>
      <c r="W89" s="666">
        <f>$M$89*V11</f>
        <v>621.68715419732621</v>
      </c>
      <c r="X89" s="666">
        <f>$M$89*W11</f>
        <v>634.12089728127273</v>
      </c>
      <c r="Y89" s="666">
        <f>$M$89*X11</f>
        <v>646.80331522689812</v>
      </c>
      <c r="Z89" s="666">
        <f>$M$89*Y11</f>
        <v>659.73938153143615</v>
      </c>
      <c r="AA89" s="666">
        <v>5000</v>
      </c>
      <c r="AB89" s="666">
        <f>$M$89*AA11</f>
        <v>686.39285254530625</v>
      </c>
      <c r="AC89" s="666">
        <f>$M$89*AB11</f>
        <v>700.12070959621246</v>
      </c>
      <c r="AD89" s="666">
        <f>$M$89*AC11</f>
        <v>714.1231237881367</v>
      </c>
      <c r="AE89" s="666">
        <f>$M$89*AD11</f>
        <v>728.40558626389941</v>
      </c>
    </row>
    <row r="90" spans="1:35">
      <c r="A90" s="37" t="s">
        <v>42</v>
      </c>
      <c r="B90" s="37"/>
      <c r="C90" s="110"/>
      <c r="D90" s="106"/>
      <c r="E90" s="57"/>
      <c r="F90" s="57"/>
      <c r="G90" s="57"/>
      <c r="H90" s="57"/>
      <c r="I90" s="51"/>
      <c r="J90" s="663"/>
      <c r="K90" s="683">
        <f>K$84*$J90*R$9</f>
        <v>0</v>
      </c>
      <c r="L90" s="666">
        <v>50000</v>
      </c>
      <c r="M90" s="666">
        <f t="shared" ref="M90:AE90" si="30">($L$90*L11)</f>
        <v>51000</v>
      </c>
      <c r="N90" s="666">
        <f t="shared" si="30"/>
        <v>52020</v>
      </c>
      <c r="O90" s="666">
        <f t="shared" si="30"/>
        <v>53060.399999999994</v>
      </c>
      <c r="P90" s="666">
        <f t="shared" si="30"/>
        <v>54121.608</v>
      </c>
      <c r="Q90" s="666">
        <f t="shared" si="30"/>
        <v>55204.040160000004</v>
      </c>
      <c r="R90" s="666">
        <f t="shared" si="30"/>
        <v>56308.120963200003</v>
      </c>
      <c r="S90" s="666">
        <f t="shared" si="30"/>
        <v>57434.283382464004</v>
      </c>
      <c r="T90" s="666">
        <f t="shared" si="30"/>
        <v>58582.969050113286</v>
      </c>
      <c r="U90" s="666">
        <f t="shared" si="30"/>
        <v>59754.628431115554</v>
      </c>
      <c r="V90" s="666">
        <f t="shared" si="30"/>
        <v>60949.720999737867</v>
      </c>
      <c r="W90" s="666">
        <f t="shared" si="30"/>
        <v>62168.715419732624</v>
      </c>
      <c r="X90" s="666">
        <f t="shared" si="30"/>
        <v>63412.089728127277</v>
      </c>
      <c r="Y90" s="666">
        <f t="shared" si="30"/>
        <v>64680.331522689812</v>
      </c>
      <c r="Z90" s="666">
        <f t="shared" si="30"/>
        <v>65973.938153143623</v>
      </c>
      <c r="AA90" s="666">
        <f t="shared" si="30"/>
        <v>67293.416916206494</v>
      </c>
      <c r="AB90" s="666">
        <f t="shared" si="30"/>
        <v>68639.285254530623</v>
      </c>
      <c r="AC90" s="666">
        <f t="shared" si="30"/>
        <v>70012.07095962124</v>
      </c>
      <c r="AD90" s="666">
        <f t="shared" si="30"/>
        <v>71412.312378813673</v>
      </c>
      <c r="AE90" s="666">
        <f t="shared" si="30"/>
        <v>72840.558626389946</v>
      </c>
    </row>
    <row r="91" spans="1:35">
      <c r="A91" s="37" t="s">
        <v>43</v>
      </c>
      <c r="B91" s="37"/>
      <c r="C91" s="110"/>
      <c r="D91" s="106"/>
      <c r="E91" s="57"/>
      <c r="F91" s="57"/>
      <c r="G91" s="57"/>
      <c r="H91" s="57"/>
      <c r="I91" s="51" t="s">
        <v>8</v>
      </c>
      <c r="J91" s="663">
        <v>500</v>
      </c>
      <c r="K91" s="683">
        <v>0</v>
      </c>
      <c r="L91" s="666">
        <f>J91*L84</f>
        <v>500</v>
      </c>
      <c r="M91" s="666">
        <f t="shared" ref="M91:AE91" si="31">$J$91*M84*L11</f>
        <v>2040</v>
      </c>
      <c r="N91" s="666">
        <f t="shared" si="31"/>
        <v>2080.8000000000002</v>
      </c>
      <c r="O91" s="666">
        <f t="shared" si="31"/>
        <v>2122.4159999999997</v>
      </c>
      <c r="P91" s="666">
        <f t="shared" si="31"/>
        <v>2164.8643200000001</v>
      </c>
      <c r="Q91" s="666">
        <f t="shared" si="31"/>
        <v>2208.1616064</v>
      </c>
      <c r="R91" s="666">
        <f t="shared" si="31"/>
        <v>2252.3248385280003</v>
      </c>
      <c r="S91" s="666">
        <f t="shared" si="31"/>
        <v>2297.3713352985601</v>
      </c>
      <c r="T91" s="666">
        <f t="shared" si="31"/>
        <v>2343.3187620045314</v>
      </c>
      <c r="U91" s="666">
        <f t="shared" si="31"/>
        <v>2390.1851372446222</v>
      </c>
      <c r="V91" s="666">
        <f t="shared" si="31"/>
        <v>2437.9888399895149</v>
      </c>
      <c r="W91" s="666">
        <f t="shared" si="31"/>
        <v>2486.7486167893048</v>
      </c>
      <c r="X91" s="666">
        <f t="shared" si="31"/>
        <v>2536.4835891250909</v>
      </c>
      <c r="Y91" s="666">
        <f t="shared" si="31"/>
        <v>2587.2132609075925</v>
      </c>
      <c r="Z91" s="666">
        <f t="shared" si="31"/>
        <v>2638.9575261257446</v>
      </c>
      <c r="AA91" s="666">
        <f t="shared" si="31"/>
        <v>2691.7366766482596</v>
      </c>
      <c r="AB91" s="666">
        <f t="shared" si="31"/>
        <v>2745.571410181225</v>
      </c>
      <c r="AC91" s="666">
        <f t="shared" si="31"/>
        <v>2800.4828383848499</v>
      </c>
      <c r="AD91" s="666">
        <f t="shared" si="31"/>
        <v>2856.4924951525468</v>
      </c>
      <c r="AE91" s="666">
        <f t="shared" si="31"/>
        <v>2913.6223450555976</v>
      </c>
    </row>
    <row r="92" spans="1:35">
      <c r="A92" s="37" t="s">
        <v>44</v>
      </c>
      <c r="B92" s="37"/>
      <c r="C92" s="110"/>
      <c r="D92" s="106"/>
      <c r="E92" s="57"/>
      <c r="F92" s="57"/>
      <c r="G92" s="57"/>
      <c r="H92" s="57"/>
      <c r="I92" s="51" t="s">
        <v>8</v>
      </c>
      <c r="J92" s="663">
        <v>250</v>
      </c>
      <c r="K92" s="683">
        <v>0</v>
      </c>
      <c r="L92" s="666">
        <f>J92*L84</f>
        <v>250</v>
      </c>
      <c r="M92" s="666">
        <f t="shared" ref="M92:AE92" si="32">$J$92*M84*L11</f>
        <v>1020</v>
      </c>
      <c r="N92" s="666">
        <f t="shared" si="32"/>
        <v>1040.4000000000001</v>
      </c>
      <c r="O92" s="666">
        <f t="shared" si="32"/>
        <v>1061.2079999999999</v>
      </c>
      <c r="P92" s="666">
        <f t="shared" si="32"/>
        <v>1082.4321600000001</v>
      </c>
      <c r="Q92" s="666">
        <f t="shared" si="32"/>
        <v>1104.0808032</v>
      </c>
      <c r="R92" s="666">
        <f t="shared" si="32"/>
        <v>1126.1624192640002</v>
      </c>
      <c r="S92" s="666">
        <f t="shared" si="32"/>
        <v>1148.68566764928</v>
      </c>
      <c r="T92" s="666">
        <f t="shared" si="32"/>
        <v>1171.6593810022657</v>
      </c>
      <c r="U92" s="666">
        <f t="shared" si="32"/>
        <v>1195.0925686223111</v>
      </c>
      <c r="V92" s="666">
        <f t="shared" si="32"/>
        <v>1218.9944199947574</v>
      </c>
      <c r="W92" s="666">
        <f t="shared" si="32"/>
        <v>1243.3743083946524</v>
      </c>
      <c r="X92" s="666">
        <f t="shared" si="32"/>
        <v>1268.2417945625455</v>
      </c>
      <c r="Y92" s="666">
        <f t="shared" si="32"/>
        <v>1293.6066304537962</v>
      </c>
      <c r="Z92" s="666">
        <f t="shared" si="32"/>
        <v>1319.4787630628723</v>
      </c>
      <c r="AA92" s="666">
        <f t="shared" si="32"/>
        <v>1345.8683383241298</v>
      </c>
      <c r="AB92" s="666">
        <f t="shared" si="32"/>
        <v>1372.7857050906125</v>
      </c>
      <c r="AC92" s="666">
        <f t="shared" si="32"/>
        <v>1400.2414191924249</v>
      </c>
      <c r="AD92" s="666">
        <f t="shared" si="32"/>
        <v>1428.2462475762734</v>
      </c>
      <c r="AE92" s="666">
        <f t="shared" si="32"/>
        <v>1456.8111725277988</v>
      </c>
      <c r="AF92" s="44"/>
    </row>
    <row r="93" spans="1:35">
      <c r="A93" s="745" t="s">
        <v>2</v>
      </c>
      <c r="B93" s="745"/>
      <c r="C93" s="753"/>
      <c r="D93" s="754"/>
      <c r="E93" s="746"/>
      <c r="F93" s="746"/>
      <c r="G93" s="746"/>
      <c r="H93" s="746"/>
      <c r="I93" s="755"/>
      <c r="J93" s="739"/>
      <c r="K93" s="741">
        <v>0</v>
      </c>
      <c r="L93" s="742">
        <v>1000</v>
      </c>
      <c r="M93" s="742">
        <f t="shared" ref="M93:AE93" si="33">($L$93*L11)</f>
        <v>1020</v>
      </c>
      <c r="N93" s="742">
        <f t="shared" si="33"/>
        <v>1040.4000000000001</v>
      </c>
      <c r="O93" s="742">
        <f t="shared" si="33"/>
        <v>1061.2079999999999</v>
      </c>
      <c r="P93" s="742">
        <f t="shared" si="33"/>
        <v>1082.4321600000001</v>
      </c>
      <c r="Q93" s="742">
        <f t="shared" si="33"/>
        <v>1104.0808032</v>
      </c>
      <c r="R93" s="742">
        <f t="shared" si="33"/>
        <v>1126.1624192640002</v>
      </c>
      <c r="S93" s="742">
        <f t="shared" si="33"/>
        <v>1148.68566764928</v>
      </c>
      <c r="T93" s="742">
        <f t="shared" si="33"/>
        <v>1171.6593810022657</v>
      </c>
      <c r="U93" s="742">
        <f t="shared" si="33"/>
        <v>1195.0925686223111</v>
      </c>
      <c r="V93" s="742">
        <f t="shared" si="33"/>
        <v>1218.9944199947574</v>
      </c>
      <c r="W93" s="742">
        <f t="shared" si="33"/>
        <v>1243.3743083946524</v>
      </c>
      <c r="X93" s="742">
        <f t="shared" si="33"/>
        <v>1268.2417945625455</v>
      </c>
      <c r="Y93" s="742">
        <f t="shared" si="33"/>
        <v>1293.6066304537962</v>
      </c>
      <c r="Z93" s="742">
        <f t="shared" si="33"/>
        <v>1319.4787630628723</v>
      </c>
      <c r="AA93" s="742">
        <f t="shared" si="33"/>
        <v>1345.8683383241298</v>
      </c>
      <c r="AB93" s="742">
        <f t="shared" si="33"/>
        <v>1372.7857050906125</v>
      </c>
      <c r="AC93" s="742">
        <f t="shared" si="33"/>
        <v>1400.2414191924249</v>
      </c>
      <c r="AD93" s="742">
        <f t="shared" si="33"/>
        <v>1428.2462475762734</v>
      </c>
      <c r="AE93" s="742">
        <f t="shared" si="33"/>
        <v>1456.8111725277988</v>
      </c>
    </row>
    <row r="94" spans="1:35" s="56" customFormat="1" ht="14.25">
      <c r="A94" s="164" t="s">
        <v>409</v>
      </c>
      <c r="B94" s="215"/>
      <c r="C94" s="216"/>
      <c r="D94" s="217"/>
      <c r="E94" s="218"/>
      <c r="F94" s="218"/>
      <c r="G94" s="218"/>
      <c r="H94" s="218"/>
      <c r="I94" s="219"/>
      <c r="J94" s="756"/>
      <c r="K94" s="687">
        <f>SUM(K88:K93)</f>
        <v>0</v>
      </c>
      <c r="L94" s="757">
        <f>SUM(L88:L93)</f>
        <v>86750</v>
      </c>
      <c r="M94" s="757">
        <f t="shared" ref="M94:AE94" si="34">SUM(M88:M93)</f>
        <v>81080</v>
      </c>
      <c r="N94" s="757">
        <f t="shared" si="34"/>
        <v>82711.799999999988</v>
      </c>
      <c r="O94" s="757">
        <f t="shared" si="34"/>
        <v>84366.035999999993</v>
      </c>
      <c r="P94" s="757">
        <f t="shared" si="34"/>
        <v>86053.356719999982</v>
      </c>
      <c r="Q94" s="757">
        <f t="shared" si="34"/>
        <v>92222.383452800015</v>
      </c>
      <c r="R94" s="757">
        <f t="shared" si="34"/>
        <v>89529.912331488013</v>
      </c>
      <c r="S94" s="757">
        <f t="shared" si="34"/>
        <v>91320.510578117755</v>
      </c>
      <c r="T94" s="757">
        <f t="shared" si="34"/>
        <v>93146.920789680124</v>
      </c>
      <c r="U94" s="757">
        <f t="shared" si="34"/>
        <v>95009.859205473724</v>
      </c>
      <c r="V94" s="757">
        <f t="shared" si="34"/>
        <v>101300.55917958585</v>
      </c>
      <c r="W94" s="757">
        <f t="shared" si="34"/>
        <v>98848.257517374863</v>
      </c>
      <c r="X94" s="757">
        <f t="shared" si="34"/>
        <v>100825.22266772237</v>
      </c>
      <c r="Y94" s="757">
        <f t="shared" si="34"/>
        <v>102841.72712107681</v>
      </c>
      <c r="Z94" s="757">
        <f t="shared" si="34"/>
        <v>104898.56166349835</v>
      </c>
      <c r="AA94" s="757">
        <f t="shared" si="34"/>
        <v>111323.59872760627</v>
      </c>
      <c r="AB94" s="757">
        <f t="shared" si="34"/>
        <v>109136.4635547037</v>
      </c>
      <c r="AC94" s="757">
        <f t="shared" si="34"/>
        <v>111319.19282579776</v>
      </c>
      <c r="AD94" s="757">
        <f t="shared" si="34"/>
        <v>113545.57668231374</v>
      </c>
      <c r="AE94" s="757">
        <f t="shared" si="34"/>
        <v>115816.48821596001</v>
      </c>
    </row>
    <row r="95" spans="1:35" s="56" customFormat="1" ht="14.25">
      <c r="A95" s="164"/>
      <c r="B95" s="215"/>
      <c r="C95" s="216"/>
      <c r="D95" s="217"/>
      <c r="E95" s="218"/>
      <c r="F95" s="218"/>
      <c r="G95" s="218"/>
      <c r="H95" s="218"/>
      <c r="I95" s="219"/>
      <c r="J95" s="220"/>
      <c r="K95" s="687"/>
      <c r="L95" s="318"/>
      <c r="M95" s="318"/>
      <c r="N95" s="318"/>
      <c r="O95" s="318"/>
      <c r="P95" s="318"/>
      <c r="Q95" s="318"/>
      <c r="R95" s="318"/>
      <c r="S95" s="318"/>
      <c r="T95" s="318"/>
      <c r="U95" s="318"/>
      <c r="V95" s="318"/>
      <c r="W95" s="318"/>
      <c r="X95" s="318"/>
      <c r="Y95" s="318"/>
      <c r="Z95" s="318"/>
      <c r="AA95" s="318"/>
      <c r="AB95" s="318"/>
      <c r="AC95" s="318"/>
      <c r="AD95" s="318"/>
      <c r="AE95" s="318"/>
    </row>
    <row r="96" spans="1:35" s="56" customFormat="1" ht="14.25">
      <c r="A96" s="720" t="s">
        <v>26</v>
      </c>
      <c r="B96" s="215"/>
      <c r="C96" s="218"/>
      <c r="D96" s="721"/>
      <c r="E96" s="218"/>
      <c r="F96" s="218"/>
      <c r="G96" s="218"/>
      <c r="H96" s="218"/>
      <c r="I96" s="722"/>
      <c r="J96" s="220"/>
      <c r="K96" s="687"/>
      <c r="L96" s="318"/>
      <c r="M96" s="318"/>
      <c r="N96" s="318"/>
      <c r="O96" s="318"/>
      <c r="P96" s="318"/>
      <c r="Q96" s="318"/>
      <c r="R96" s="318"/>
      <c r="S96" s="318"/>
      <c r="T96" s="318"/>
      <c r="U96" s="318"/>
      <c r="V96" s="318"/>
      <c r="W96" s="318"/>
      <c r="X96" s="318"/>
      <c r="Y96" s="318"/>
      <c r="Z96" s="318"/>
      <c r="AA96" s="318"/>
      <c r="AB96" s="318"/>
      <c r="AC96" s="318"/>
      <c r="AD96" s="318"/>
      <c r="AE96" s="318"/>
      <c r="AF96" s="723"/>
      <c r="AG96" s="723"/>
      <c r="AH96" s="723"/>
      <c r="AI96" s="723"/>
    </row>
    <row r="97" spans="1:35">
      <c r="A97" s="190" t="s">
        <v>41</v>
      </c>
      <c r="B97" s="190"/>
      <c r="C97" s="194"/>
      <c r="D97" s="758"/>
      <c r="E97" s="194"/>
      <c r="F97" s="194"/>
      <c r="G97" s="759"/>
      <c r="H97" s="759"/>
      <c r="I97" s="760"/>
      <c r="J97" s="761"/>
      <c r="K97" s="689">
        <v>0</v>
      </c>
      <c r="L97" s="665">
        <v>1000</v>
      </c>
      <c r="M97" s="665">
        <f>$L$97*L11</f>
        <v>1020</v>
      </c>
      <c r="N97" s="665">
        <f t="shared" ref="N97:P97" si="35">$L$97*M11</f>
        <v>1040.4000000000001</v>
      </c>
      <c r="O97" s="665">
        <f t="shared" si="35"/>
        <v>1061.2079999999999</v>
      </c>
      <c r="P97" s="665">
        <f t="shared" si="35"/>
        <v>1082.4321600000001</v>
      </c>
      <c r="Q97" s="665">
        <v>25000</v>
      </c>
      <c r="R97" s="665">
        <f>$Q$97*L11</f>
        <v>25500</v>
      </c>
      <c r="S97" s="665">
        <f t="shared" ref="S97:AE97" si="36">$Q$97*M11</f>
        <v>26010</v>
      </c>
      <c r="T97" s="665">
        <f t="shared" si="36"/>
        <v>26530.199999999997</v>
      </c>
      <c r="U97" s="665">
        <f t="shared" si="36"/>
        <v>27060.804</v>
      </c>
      <c r="V97" s="665">
        <f t="shared" si="36"/>
        <v>27602.020080000002</v>
      </c>
      <c r="W97" s="665">
        <f t="shared" si="36"/>
        <v>28154.060481600001</v>
      </c>
      <c r="X97" s="665">
        <f t="shared" si="36"/>
        <v>28717.141691232002</v>
      </c>
      <c r="Y97" s="665">
        <f t="shared" si="36"/>
        <v>29291.484525056643</v>
      </c>
      <c r="Z97" s="665">
        <f t="shared" si="36"/>
        <v>29877.314215557777</v>
      </c>
      <c r="AA97" s="665">
        <f t="shared" si="36"/>
        <v>30474.860499868933</v>
      </c>
      <c r="AB97" s="665">
        <f t="shared" si="36"/>
        <v>31084.357709866312</v>
      </c>
      <c r="AC97" s="665">
        <f t="shared" si="36"/>
        <v>31706.044864063639</v>
      </c>
      <c r="AD97" s="665">
        <f t="shared" si="36"/>
        <v>32340.165761344906</v>
      </c>
      <c r="AE97" s="665">
        <f t="shared" si="36"/>
        <v>32986.969076571811</v>
      </c>
      <c r="AF97" s="55"/>
      <c r="AG97" s="55"/>
      <c r="AH97" s="55"/>
      <c r="AI97" s="55"/>
    </row>
    <row r="98" spans="1:35">
      <c r="A98" s="745" t="s">
        <v>302</v>
      </c>
      <c r="B98" s="745"/>
      <c r="C98" s="746"/>
      <c r="D98" s="116"/>
      <c r="E98" s="746"/>
      <c r="F98" s="746"/>
      <c r="G98" s="753"/>
      <c r="H98" s="753"/>
      <c r="I98" s="755"/>
      <c r="J98" s="762"/>
      <c r="K98" s="741">
        <v>0</v>
      </c>
      <c r="L98" s="742">
        <f>'Shuttle Projections'!C39/2</f>
        <v>233675</v>
      </c>
      <c r="M98" s="742">
        <f>'Shuttle Projections'!D39</f>
        <v>476697</v>
      </c>
      <c r="N98" s="742">
        <f>'Shuttle Projections'!E39</f>
        <v>486230.94000000006</v>
      </c>
      <c r="O98" s="742">
        <f>'Shuttle Projections'!F39</f>
        <v>495955.55879999994</v>
      </c>
      <c r="P98" s="742">
        <f>'Shuttle Projections'!G39</f>
        <v>505874.66997599998</v>
      </c>
      <c r="Q98" s="742">
        <f>'Shuttle Projections'!H39</f>
        <v>515992.16337552003</v>
      </c>
      <c r="R98" s="742">
        <f>'Shuttle Projections'!I39</f>
        <v>526312.00664303044</v>
      </c>
      <c r="S98" s="742">
        <f>'Shuttle Projections'!J39</f>
        <v>536838.24677589093</v>
      </c>
      <c r="T98" s="742">
        <f>'Shuttle Projections'!K39</f>
        <v>547575.01171140897</v>
      </c>
      <c r="U98" s="742">
        <f>'Shuttle Projections'!L39</f>
        <v>558526.51194563706</v>
      </c>
      <c r="V98" s="742">
        <f>'Shuttle Projections'!M39</f>
        <v>569697.04218454985</v>
      </c>
      <c r="W98" s="742">
        <f>'Shuttle Projections'!N39</f>
        <v>581090.98302824085</v>
      </c>
      <c r="X98" s="742">
        <f>'Shuttle Projections'!O39</f>
        <v>592712.80268880562</v>
      </c>
      <c r="Y98" s="742">
        <f>'Shuttle Projections'!P39</f>
        <v>604567.05874258175</v>
      </c>
      <c r="Z98" s="742">
        <f>'Shuttle Projections'!Q39</f>
        <v>616658.39991743339</v>
      </c>
      <c r="AA98" s="742">
        <f>'Shuttle Projections'!R39</f>
        <v>628991.5679157821</v>
      </c>
      <c r="AB98" s="742">
        <f>'Shuttle Projections'!S39</f>
        <v>641571.39927409776</v>
      </c>
      <c r="AC98" s="742">
        <f>'Shuttle Projections'!T39</f>
        <v>654402.82725957979</v>
      </c>
      <c r="AD98" s="742">
        <f>'Shuttle Projections'!U39</f>
        <v>667490.88380477135</v>
      </c>
      <c r="AE98" s="742">
        <f>'Shuttle Projections'!V39</f>
        <v>680840.70148086676</v>
      </c>
    </row>
    <row r="99" spans="1:35" s="56" customFormat="1" ht="14.25">
      <c r="A99" s="164" t="s">
        <v>410</v>
      </c>
      <c r="B99" s="164"/>
      <c r="C99" s="75"/>
      <c r="D99" s="173"/>
      <c r="E99" s="75"/>
      <c r="F99" s="75"/>
      <c r="G99" s="75"/>
      <c r="H99" s="75"/>
      <c r="I99" s="174"/>
      <c r="J99" s="175"/>
      <c r="K99" s="685">
        <v>0</v>
      </c>
      <c r="L99" s="669">
        <f>SUM(L97:L98)</f>
        <v>234675</v>
      </c>
      <c r="M99" s="669">
        <f t="shared" ref="M99:AE99" si="37">SUM(M97:M98)</f>
        <v>477717</v>
      </c>
      <c r="N99" s="669">
        <f t="shared" si="37"/>
        <v>487271.34000000008</v>
      </c>
      <c r="O99" s="669">
        <f t="shared" si="37"/>
        <v>497016.76679999992</v>
      </c>
      <c r="P99" s="669">
        <f t="shared" si="37"/>
        <v>506957.102136</v>
      </c>
      <c r="Q99" s="669">
        <f t="shared" si="37"/>
        <v>540992.16337552003</v>
      </c>
      <c r="R99" s="669">
        <f t="shared" si="37"/>
        <v>551812.00664303044</v>
      </c>
      <c r="S99" s="669">
        <f t="shared" si="37"/>
        <v>562848.24677589093</v>
      </c>
      <c r="T99" s="669">
        <f t="shared" si="37"/>
        <v>574105.21171140892</v>
      </c>
      <c r="U99" s="669">
        <f t="shared" si="37"/>
        <v>585587.31594563706</v>
      </c>
      <c r="V99" s="669">
        <f t="shared" si="37"/>
        <v>597299.0622645499</v>
      </c>
      <c r="W99" s="669">
        <f t="shared" si="37"/>
        <v>609245.04350984085</v>
      </c>
      <c r="X99" s="669">
        <f t="shared" si="37"/>
        <v>621429.9443800376</v>
      </c>
      <c r="Y99" s="669">
        <f t="shared" si="37"/>
        <v>633858.54326763842</v>
      </c>
      <c r="Z99" s="669">
        <f t="shared" si="37"/>
        <v>646535.71413299115</v>
      </c>
      <c r="AA99" s="669">
        <f t="shared" si="37"/>
        <v>659466.42841565108</v>
      </c>
      <c r="AB99" s="669">
        <f t="shared" si="37"/>
        <v>672655.75698396412</v>
      </c>
      <c r="AC99" s="669">
        <f t="shared" si="37"/>
        <v>686108.87212364341</v>
      </c>
      <c r="AD99" s="669">
        <f t="shared" si="37"/>
        <v>699831.0495661163</v>
      </c>
      <c r="AE99" s="669">
        <f t="shared" si="37"/>
        <v>713827.67055743863</v>
      </c>
    </row>
    <row r="100" spans="1:35" s="56" customFormat="1" ht="14.25">
      <c r="A100" s="164"/>
      <c r="B100" s="164"/>
      <c r="C100" s="75"/>
      <c r="D100" s="173"/>
      <c r="E100" s="75"/>
      <c r="F100" s="75"/>
      <c r="G100" s="75"/>
      <c r="H100" s="75"/>
      <c r="I100" s="174"/>
      <c r="J100" s="175"/>
      <c r="K100" s="685"/>
      <c r="L100" s="669"/>
      <c r="M100" s="669"/>
      <c r="N100" s="669"/>
      <c r="O100" s="669"/>
      <c r="P100" s="669"/>
      <c r="Q100" s="669"/>
      <c r="R100" s="669"/>
      <c r="S100" s="669"/>
      <c r="T100" s="669"/>
      <c r="U100" s="669"/>
      <c r="V100" s="669"/>
      <c r="W100" s="669"/>
      <c r="X100" s="669"/>
      <c r="Y100" s="669"/>
      <c r="Z100" s="669"/>
      <c r="AA100" s="669"/>
      <c r="AB100" s="669"/>
      <c r="AC100" s="669"/>
      <c r="AD100" s="669"/>
      <c r="AE100" s="669"/>
    </row>
    <row r="101" spans="1:35" s="56" customFormat="1" ht="14.25">
      <c r="A101" s="164" t="s">
        <v>78</v>
      </c>
      <c r="B101" s="164"/>
      <c r="C101" s="75"/>
      <c r="D101" s="173"/>
      <c r="E101" s="75"/>
      <c r="F101" s="75"/>
      <c r="G101" s="75"/>
      <c r="H101" s="75"/>
      <c r="I101" s="174"/>
      <c r="J101" s="175"/>
      <c r="K101" s="685">
        <v>0</v>
      </c>
      <c r="L101" s="669">
        <f>SUM(L94,L99)</f>
        <v>321425</v>
      </c>
      <c r="M101" s="669">
        <f t="shared" ref="M101:AE101" si="38">SUM(M94,M99)</f>
        <v>558797</v>
      </c>
      <c r="N101" s="669">
        <f t="shared" si="38"/>
        <v>569983.14000000013</v>
      </c>
      <c r="O101" s="669">
        <f t="shared" si="38"/>
        <v>581382.80279999995</v>
      </c>
      <c r="P101" s="669">
        <f t="shared" si="38"/>
        <v>593010.45885599998</v>
      </c>
      <c r="Q101" s="669">
        <f t="shared" si="38"/>
        <v>633214.54682832002</v>
      </c>
      <c r="R101" s="669">
        <f t="shared" si="38"/>
        <v>641341.91897451843</v>
      </c>
      <c r="S101" s="669">
        <f t="shared" si="38"/>
        <v>654168.75735400873</v>
      </c>
      <c r="T101" s="669">
        <f t="shared" si="38"/>
        <v>667252.13250108901</v>
      </c>
      <c r="U101" s="669">
        <f t="shared" si="38"/>
        <v>680597.17515111074</v>
      </c>
      <c r="V101" s="669">
        <f t="shared" si="38"/>
        <v>698599.62144413579</v>
      </c>
      <c r="W101" s="669">
        <f t="shared" si="38"/>
        <v>708093.30102721567</v>
      </c>
      <c r="X101" s="669">
        <f t="shared" si="38"/>
        <v>722255.16704775998</v>
      </c>
      <c r="Y101" s="669">
        <f t="shared" si="38"/>
        <v>736700.2703887152</v>
      </c>
      <c r="Z101" s="669">
        <f t="shared" si="38"/>
        <v>751434.27579648956</v>
      </c>
      <c r="AA101" s="669">
        <f t="shared" si="38"/>
        <v>770790.02714325732</v>
      </c>
      <c r="AB101" s="669">
        <f t="shared" si="38"/>
        <v>781792.22053866787</v>
      </c>
      <c r="AC101" s="669">
        <f t="shared" si="38"/>
        <v>797428.06494944112</v>
      </c>
      <c r="AD101" s="669">
        <f t="shared" si="38"/>
        <v>813376.62624843</v>
      </c>
      <c r="AE101" s="669">
        <f t="shared" si="38"/>
        <v>829644.15877339861</v>
      </c>
    </row>
    <row r="102" spans="1:35">
      <c r="A102" s="47"/>
      <c r="B102" s="47"/>
      <c r="C102" s="78"/>
      <c r="D102" s="100"/>
      <c r="E102" s="78"/>
      <c r="F102" s="78"/>
      <c r="G102" s="78"/>
      <c r="H102" s="78"/>
      <c r="I102" s="52"/>
      <c r="J102" s="114"/>
      <c r="K102" s="683"/>
      <c r="L102" s="115"/>
      <c r="M102" s="115"/>
      <c r="N102" s="115"/>
      <c r="O102" s="115"/>
      <c r="P102" s="115"/>
      <c r="Q102" s="115"/>
      <c r="R102" s="115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</row>
    <row r="103" spans="1:35">
      <c r="A103" s="168" t="s">
        <v>25</v>
      </c>
      <c r="B103" s="168"/>
      <c r="C103" s="176"/>
      <c r="D103" s="177"/>
      <c r="E103" s="176"/>
      <c r="F103" s="176"/>
      <c r="G103" s="176"/>
      <c r="H103" s="176"/>
      <c r="I103" s="178"/>
      <c r="J103" s="179"/>
      <c r="K103" s="682"/>
      <c r="L103" s="319"/>
      <c r="M103" s="319"/>
      <c r="N103" s="319"/>
      <c r="O103" s="319"/>
      <c r="P103" s="319"/>
      <c r="Q103" s="319"/>
      <c r="R103" s="319"/>
      <c r="S103" s="319"/>
      <c r="T103" s="319"/>
      <c r="U103" s="319"/>
      <c r="V103" s="319"/>
      <c r="W103" s="319"/>
      <c r="X103" s="319"/>
      <c r="Y103" s="319"/>
      <c r="Z103" s="319"/>
      <c r="AA103" s="319"/>
      <c r="AB103" s="319"/>
      <c r="AC103" s="319"/>
      <c r="AD103" s="319"/>
      <c r="AE103" s="319"/>
    </row>
    <row r="104" spans="1:35" s="252" customFormat="1">
      <c r="A104" s="183"/>
      <c r="B104" s="183"/>
      <c r="C104" s="185"/>
      <c r="D104" s="186"/>
      <c r="E104" s="185"/>
      <c r="F104" s="185"/>
      <c r="G104" s="185"/>
      <c r="H104" s="185"/>
      <c r="I104" s="302"/>
      <c r="J104" s="188"/>
      <c r="K104" s="683"/>
      <c r="L104" s="320"/>
      <c r="M104" s="320"/>
      <c r="N104" s="320"/>
      <c r="O104" s="320"/>
      <c r="P104" s="320"/>
      <c r="Q104" s="320"/>
      <c r="R104" s="320"/>
      <c r="S104" s="320"/>
      <c r="T104" s="320"/>
      <c r="U104" s="320"/>
      <c r="V104" s="320"/>
      <c r="W104" s="320"/>
      <c r="X104" s="320"/>
      <c r="Y104" s="320"/>
      <c r="Z104" s="320"/>
      <c r="AA104" s="320"/>
      <c r="AB104" s="320"/>
      <c r="AC104" s="320"/>
      <c r="AD104" s="320"/>
      <c r="AE104" s="320"/>
    </row>
    <row r="105" spans="1:35">
      <c r="A105" s="37" t="s">
        <v>425</v>
      </c>
      <c r="B105" s="37"/>
      <c r="C105" s="57"/>
      <c r="E105" s="57"/>
      <c r="F105" s="57"/>
      <c r="G105" s="57"/>
      <c r="H105" s="998"/>
      <c r="I105" s="51" t="s">
        <v>532</v>
      </c>
      <c r="J105" s="624">
        <f>((10800/6)*7)+((11000/6)*7)</f>
        <v>25433.333333333332</v>
      </c>
      <c r="K105" s="683">
        <v>0</v>
      </c>
      <c r="L105" s="671">
        <f>J105</f>
        <v>25433.333333333332</v>
      </c>
      <c r="M105" s="671">
        <f>$L$105*L11</f>
        <v>25942</v>
      </c>
      <c r="N105" s="671">
        <f t="shared" ref="N105:AE105" si="39">$L$105*M11</f>
        <v>26460.84</v>
      </c>
      <c r="O105" s="671">
        <f t="shared" si="39"/>
        <v>26990.056799999998</v>
      </c>
      <c r="P105" s="671">
        <f t="shared" si="39"/>
        <v>27529.857935999997</v>
      </c>
      <c r="Q105" s="671">
        <f t="shared" si="39"/>
        <v>28080.45509472</v>
      </c>
      <c r="R105" s="671">
        <f t="shared" si="39"/>
        <v>28642.064196614399</v>
      </c>
      <c r="S105" s="671">
        <f t="shared" si="39"/>
        <v>29214.905480546688</v>
      </c>
      <c r="T105" s="671">
        <f t="shared" si="39"/>
        <v>29799.203590157624</v>
      </c>
      <c r="U105" s="671">
        <f t="shared" si="39"/>
        <v>30395.187661960776</v>
      </c>
      <c r="V105" s="671">
        <f t="shared" si="39"/>
        <v>31003.091415199993</v>
      </c>
      <c r="W105" s="671">
        <f t="shared" si="39"/>
        <v>31623.153243503992</v>
      </c>
      <c r="X105" s="671">
        <f t="shared" si="39"/>
        <v>32255.616308374072</v>
      </c>
      <c r="Y105" s="671">
        <f t="shared" si="39"/>
        <v>32900.728634541549</v>
      </c>
      <c r="Z105" s="671">
        <f t="shared" si="39"/>
        <v>33558.743207232386</v>
      </c>
      <c r="AA105" s="671">
        <f t="shared" si="39"/>
        <v>34229.918071377033</v>
      </c>
      <c r="AB105" s="671">
        <f t="shared" si="39"/>
        <v>34914.516432804579</v>
      </c>
      <c r="AC105" s="671">
        <f t="shared" si="39"/>
        <v>35612.80676146067</v>
      </c>
      <c r="AD105" s="671">
        <f t="shared" si="39"/>
        <v>36325.062896689888</v>
      </c>
      <c r="AE105" s="671">
        <f t="shared" si="39"/>
        <v>37051.56415462368</v>
      </c>
    </row>
    <row r="106" spans="1:35">
      <c r="A106" s="37" t="s">
        <v>16</v>
      </c>
      <c r="B106" s="37"/>
      <c r="C106" s="57"/>
      <c r="E106" s="57"/>
      <c r="F106" s="57"/>
      <c r="G106" s="57"/>
      <c r="H106" s="998"/>
      <c r="I106" s="51" t="s">
        <v>17</v>
      </c>
      <c r="J106" s="624">
        <f>1250</f>
        <v>1250</v>
      </c>
      <c r="K106" s="683">
        <v>0</v>
      </c>
      <c r="L106" s="671">
        <f>J106*7</f>
        <v>8750</v>
      </c>
      <c r="M106" s="671">
        <f>$L$106*L11</f>
        <v>8925</v>
      </c>
      <c r="N106" s="671">
        <f t="shared" ref="N106:AE106" si="40">$L$106*M11</f>
        <v>9103.5</v>
      </c>
      <c r="O106" s="671">
        <f t="shared" si="40"/>
        <v>9285.57</v>
      </c>
      <c r="P106" s="671">
        <f t="shared" si="40"/>
        <v>9471.2813999999998</v>
      </c>
      <c r="Q106" s="671">
        <f t="shared" si="40"/>
        <v>9660.7070280000007</v>
      </c>
      <c r="R106" s="671">
        <f t="shared" si="40"/>
        <v>9853.9211685600003</v>
      </c>
      <c r="S106" s="671">
        <f t="shared" si="40"/>
        <v>10050.9995919312</v>
      </c>
      <c r="T106" s="671">
        <f t="shared" si="40"/>
        <v>10252.019583769825</v>
      </c>
      <c r="U106" s="671">
        <f t="shared" si="40"/>
        <v>10457.059975445221</v>
      </c>
      <c r="V106" s="671">
        <f t="shared" si="40"/>
        <v>10666.201174954127</v>
      </c>
      <c r="W106" s="671">
        <f t="shared" si="40"/>
        <v>10879.52519845321</v>
      </c>
      <c r="X106" s="671">
        <f t="shared" si="40"/>
        <v>11097.115702422274</v>
      </c>
      <c r="Y106" s="671">
        <f t="shared" si="40"/>
        <v>11319.058016470717</v>
      </c>
      <c r="Z106" s="671">
        <f t="shared" si="40"/>
        <v>11545.439176800133</v>
      </c>
      <c r="AA106" s="671">
        <f t="shared" si="40"/>
        <v>11776.347960336136</v>
      </c>
      <c r="AB106" s="671">
        <f t="shared" si="40"/>
        <v>12011.874919542859</v>
      </c>
      <c r="AC106" s="671">
        <f t="shared" si="40"/>
        <v>12252.112417933717</v>
      </c>
      <c r="AD106" s="671">
        <f t="shared" si="40"/>
        <v>12497.154666292392</v>
      </c>
      <c r="AE106" s="671">
        <f t="shared" si="40"/>
        <v>12747.09775961824</v>
      </c>
    </row>
    <row r="107" spans="1:35" s="702" customFormat="1">
      <c r="A107" s="701" t="s">
        <v>53</v>
      </c>
      <c r="B107" s="701"/>
      <c r="C107" s="705"/>
      <c r="D107" s="984"/>
      <c r="E107" s="705"/>
      <c r="F107" s="705"/>
      <c r="G107" s="705"/>
      <c r="H107" s="985"/>
      <c r="I107" s="706" t="s">
        <v>17</v>
      </c>
      <c r="J107" s="986">
        <v>0</v>
      </c>
      <c r="K107" s="987">
        <v>0</v>
      </c>
      <c r="L107" s="988">
        <f t="shared" ref="L107:L108" si="41">J107*12</f>
        <v>0</v>
      </c>
      <c r="M107" s="988">
        <f t="shared" ref="M107:M108" si="42">L107*1.03</f>
        <v>0</v>
      </c>
      <c r="N107" s="988">
        <f t="shared" ref="N107:N108" si="43">M107*1.03</f>
        <v>0</v>
      </c>
      <c r="O107" s="988">
        <f t="shared" ref="O107:O108" si="44">N107*1.03</f>
        <v>0</v>
      </c>
      <c r="P107" s="988">
        <f t="shared" ref="P107:P108" si="45">O107*1.03</f>
        <v>0</v>
      </c>
      <c r="Q107" s="988">
        <f t="shared" ref="Q107:Q108" si="46">P107*1.03</f>
        <v>0</v>
      </c>
      <c r="R107" s="988">
        <f t="shared" ref="R107:R108" si="47">Q107*1.03</f>
        <v>0</v>
      </c>
      <c r="S107" s="988">
        <f t="shared" ref="S107:S108" si="48">R107*1.03</f>
        <v>0</v>
      </c>
      <c r="T107" s="988">
        <f t="shared" ref="T107:T108" si="49">S107*1.03</f>
        <v>0</v>
      </c>
      <c r="U107" s="988">
        <f t="shared" ref="U107:U108" si="50">T107*1.03</f>
        <v>0</v>
      </c>
      <c r="V107" s="988">
        <f t="shared" ref="V107:V108" si="51">U107*1.03</f>
        <v>0</v>
      </c>
      <c r="W107" s="988">
        <f t="shared" ref="W107:W108" si="52">V107*1.03</f>
        <v>0</v>
      </c>
      <c r="X107" s="988">
        <f t="shared" ref="X107:X108" si="53">W107*1.03</f>
        <v>0</v>
      </c>
      <c r="Y107" s="988">
        <f t="shared" ref="Y107:Y108" si="54">X107*1.03</f>
        <v>0</v>
      </c>
      <c r="Z107" s="988">
        <f t="shared" ref="Z107:Z108" si="55">Y107*1.03</f>
        <v>0</v>
      </c>
      <c r="AA107" s="988">
        <f t="shared" ref="AA107:AA108" si="56">Z107*1.03</f>
        <v>0</v>
      </c>
      <c r="AB107" s="988">
        <f t="shared" ref="AB107:AB108" si="57">AA107*1.03</f>
        <v>0</v>
      </c>
      <c r="AC107" s="988">
        <f t="shared" ref="AC107:AC108" si="58">AB107*1.03</f>
        <v>0</v>
      </c>
      <c r="AD107" s="988">
        <f t="shared" ref="AD107:AD108" si="59">AC107*1.03</f>
        <v>0</v>
      </c>
      <c r="AE107" s="988">
        <f t="shared" ref="AE107:AE108" si="60">AD107*1.03</f>
        <v>0</v>
      </c>
    </row>
    <row r="108" spans="1:35" s="702" customFormat="1">
      <c r="A108" s="989" t="s">
        <v>54</v>
      </c>
      <c r="B108" s="990"/>
      <c r="C108" s="991"/>
      <c r="D108" s="992"/>
      <c r="E108" s="991"/>
      <c r="F108" s="991"/>
      <c r="G108" s="991"/>
      <c r="H108" s="993"/>
      <c r="I108" s="994" t="s">
        <v>17</v>
      </c>
      <c r="J108" s="995">
        <v>0</v>
      </c>
      <c r="K108" s="996">
        <v>0</v>
      </c>
      <c r="L108" s="997">
        <f t="shared" si="41"/>
        <v>0</v>
      </c>
      <c r="M108" s="997">
        <f t="shared" si="42"/>
        <v>0</v>
      </c>
      <c r="N108" s="997">
        <f t="shared" si="43"/>
        <v>0</v>
      </c>
      <c r="O108" s="997">
        <f t="shared" si="44"/>
        <v>0</v>
      </c>
      <c r="P108" s="997">
        <f t="shared" si="45"/>
        <v>0</v>
      </c>
      <c r="Q108" s="997">
        <f t="shared" si="46"/>
        <v>0</v>
      </c>
      <c r="R108" s="997">
        <f t="shared" si="47"/>
        <v>0</v>
      </c>
      <c r="S108" s="997">
        <f t="shared" si="48"/>
        <v>0</v>
      </c>
      <c r="T108" s="997">
        <f t="shared" si="49"/>
        <v>0</v>
      </c>
      <c r="U108" s="997">
        <f t="shared" si="50"/>
        <v>0</v>
      </c>
      <c r="V108" s="997">
        <f t="shared" si="51"/>
        <v>0</v>
      </c>
      <c r="W108" s="997">
        <f t="shared" si="52"/>
        <v>0</v>
      </c>
      <c r="X108" s="997">
        <f t="shared" si="53"/>
        <v>0</v>
      </c>
      <c r="Y108" s="997">
        <f t="shared" si="54"/>
        <v>0</v>
      </c>
      <c r="Z108" s="997">
        <f t="shared" si="55"/>
        <v>0</v>
      </c>
      <c r="AA108" s="997">
        <f t="shared" si="56"/>
        <v>0</v>
      </c>
      <c r="AB108" s="997">
        <f t="shared" si="57"/>
        <v>0</v>
      </c>
      <c r="AC108" s="997">
        <f t="shared" si="58"/>
        <v>0</v>
      </c>
      <c r="AD108" s="997">
        <f t="shared" si="59"/>
        <v>0</v>
      </c>
      <c r="AE108" s="997">
        <f t="shared" si="60"/>
        <v>0</v>
      </c>
    </row>
    <row r="109" spans="1:35" s="56" customFormat="1" ht="14.25">
      <c r="A109" s="56" t="s">
        <v>55</v>
      </c>
      <c r="B109" s="164"/>
      <c r="C109" s="75"/>
      <c r="D109" s="173"/>
      <c r="E109" s="75"/>
      <c r="F109" s="75"/>
      <c r="G109" s="75"/>
      <c r="H109" s="75"/>
      <c r="I109" s="999"/>
      <c r="J109" s="1000"/>
      <c r="K109" s="685">
        <v>0</v>
      </c>
      <c r="L109" s="1001">
        <f>SUM(L105:L108)</f>
        <v>34183.333333333328</v>
      </c>
      <c r="M109" s="1001">
        <f t="shared" ref="M109" si="61">SUM(M105:M108)</f>
        <v>34867</v>
      </c>
      <c r="N109" s="1001">
        <f t="shared" ref="N109" si="62">SUM(N105:N108)</f>
        <v>35564.339999999997</v>
      </c>
      <c r="O109" s="1001">
        <f t="shared" ref="O109" si="63">SUM(O105:O108)</f>
        <v>36275.626799999998</v>
      </c>
      <c r="P109" s="1001">
        <f t="shared" ref="P109" si="64">SUM(P105:P108)</f>
        <v>37001.139335999993</v>
      </c>
      <c r="Q109" s="1001">
        <f t="shared" ref="Q109" si="65">SUM(Q105:Q108)</f>
        <v>37741.162122720001</v>
      </c>
      <c r="R109" s="1001">
        <f t="shared" ref="R109" si="66">SUM(R105:R108)</f>
        <v>38495.985365174398</v>
      </c>
      <c r="S109" s="1001">
        <f t="shared" ref="S109" si="67">SUM(S105:S108)</f>
        <v>39265.905072477886</v>
      </c>
      <c r="T109" s="1001">
        <f t="shared" ref="T109" si="68">SUM(T105:T108)</f>
        <v>40051.22317392745</v>
      </c>
      <c r="U109" s="1001">
        <f t="shared" ref="U109" si="69">SUM(U105:U108)</f>
        <v>40852.247637405999</v>
      </c>
      <c r="V109" s="1001">
        <f t="shared" ref="V109" si="70">SUM(V105:V108)</f>
        <v>41669.292590154117</v>
      </c>
      <c r="W109" s="1001">
        <f t="shared" ref="W109" si="71">SUM(W105:W108)</f>
        <v>42502.6784419572</v>
      </c>
      <c r="X109" s="1001">
        <f t="shared" ref="X109" si="72">SUM(X105:X108)</f>
        <v>43352.732010796346</v>
      </c>
      <c r="Y109" s="1001">
        <f t="shared" ref="Y109" si="73">SUM(Y105:Y108)</f>
        <v>44219.786651012269</v>
      </c>
      <c r="Z109" s="1001">
        <f t="shared" ref="Z109" si="74">SUM(Z105:Z108)</f>
        <v>45104.182384032523</v>
      </c>
      <c r="AA109" s="1001">
        <f t="shared" ref="AA109" si="75">SUM(AA105:AA108)</f>
        <v>46006.266031713167</v>
      </c>
      <c r="AB109" s="1001">
        <f t="shared" ref="AB109" si="76">SUM(AB105:AB108)</f>
        <v>46926.39135234744</v>
      </c>
      <c r="AC109" s="1001">
        <f t="shared" ref="AC109" si="77">SUM(AC105:AC108)</f>
        <v>47864.91917939439</v>
      </c>
      <c r="AD109" s="1001">
        <f t="shared" ref="AD109" si="78">SUM(AD105:AD108)</f>
        <v>48822.217562982281</v>
      </c>
      <c r="AE109" s="1001">
        <f t="shared" ref="AE109" si="79">SUM(AE105:AE108)</f>
        <v>49798.661914241922</v>
      </c>
    </row>
    <row r="110" spans="1:35">
      <c r="A110" s="56"/>
      <c r="B110" s="37"/>
      <c r="C110" s="57"/>
      <c r="E110" s="57"/>
      <c r="F110" s="57"/>
      <c r="G110" s="57"/>
      <c r="H110" s="57"/>
      <c r="I110" s="51"/>
      <c r="J110" s="624"/>
      <c r="K110" s="683"/>
      <c r="L110" s="666"/>
      <c r="M110" s="666"/>
      <c r="N110" s="666"/>
      <c r="O110" s="666"/>
      <c r="P110" s="666"/>
      <c r="Q110" s="666"/>
      <c r="R110" s="666"/>
      <c r="S110" s="666"/>
      <c r="T110" s="666"/>
      <c r="U110" s="666"/>
      <c r="V110" s="666"/>
      <c r="W110" s="666"/>
      <c r="X110" s="666"/>
      <c r="Y110" s="666"/>
      <c r="Z110" s="666"/>
      <c r="AA110" s="666"/>
      <c r="AB110" s="666"/>
      <c r="AC110" s="666"/>
      <c r="AD110" s="666"/>
      <c r="AE110" s="666"/>
    </row>
    <row r="111" spans="1:35">
      <c r="A111" s="47" t="s">
        <v>7</v>
      </c>
      <c r="B111" s="47" t="s">
        <v>7</v>
      </c>
      <c r="C111" s="78" t="s">
        <v>7</v>
      </c>
      <c r="D111" s="100"/>
      <c r="E111" s="78" t="s">
        <v>7</v>
      </c>
      <c r="F111" s="78"/>
      <c r="G111" s="78" t="s">
        <v>7</v>
      </c>
      <c r="H111" s="78"/>
      <c r="I111" s="52" t="s">
        <v>7</v>
      </c>
      <c r="J111" s="672"/>
      <c r="K111" s="673"/>
      <c r="L111" s="672"/>
      <c r="M111" s="672"/>
      <c r="N111" s="672"/>
      <c r="O111" s="672"/>
      <c r="P111" s="672"/>
      <c r="Q111" s="672"/>
      <c r="R111" s="672"/>
      <c r="S111" s="672"/>
      <c r="T111" s="672"/>
      <c r="U111" s="672"/>
      <c r="V111" s="672"/>
      <c r="W111" s="672"/>
      <c r="X111" s="672"/>
      <c r="Y111" s="672"/>
      <c r="Z111" s="672"/>
      <c r="AA111" s="672"/>
      <c r="AB111" s="672"/>
      <c r="AC111" s="672"/>
      <c r="AD111" s="672"/>
      <c r="AE111" s="672"/>
    </row>
    <row r="112" spans="1:35">
      <c r="A112" s="47"/>
      <c r="B112" s="47"/>
      <c r="C112" s="78"/>
      <c r="D112" s="100"/>
      <c r="E112" s="78"/>
      <c r="F112" s="78"/>
      <c r="G112" s="78"/>
      <c r="H112" s="78"/>
      <c r="I112" s="52"/>
      <c r="J112" s="672"/>
      <c r="K112" s="683"/>
      <c r="L112" s="666"/>
      <c r="M112" s="666"/>
      <c r="N112" s="666"/>
      <c r="O112" s="666"/>
      <c r="P112" s="666"/>
      <c r="Q112" s="666"/>
      <c r="R112" s="666"/>
      <c r="S112" s="666"/>
      <c r="T112" s="666"/>
      <c r="U112" s="666"/>
      <c r="V112" s="666"/>
      <c r="W112" s="666"/>
      <c r="X112" s="666"/>
      <c r="Y112" s="666"/>
      <c r="Z112" s="666"/>
      <c r="AA112" s="666"/>
      <c r="AB112" s="666"/>
      <c r="AC112" s="666"/>
      <c r="AD112" s="666"/>
      <c r="AE112" s="666"/>
    </row>
    <row r="113" spans="1:33" s="56" customFormat="1" ht="14.25">
      <c r="A113" s="203" t="s">
        <v>303</v>
      </c>
      <c r="B113" s="203"/>
      <c r="C113" s="204"/>
      <c r="D113" s="205"/>
      <c r="E113" s="204"/>
      <c r="F113" s="204"/>
      <c r="G113" s="204"/>
      <c r="H113" s="204"/>
      <c r="I113" s="206"/>
      <c r="J113" s="674"/>
      <c r="K113" s="676">
        <f>SUM(K80,K101,K109)</f>
        <v>0</v>
      </c>
      <c r="L113" s="676">
        <f>SUM(L80,L101,L109)</f>
        <v>367858.33333333331</v>
      </c>
      <c r="M113" s="676">
        <f t="shared" ref="M113:AE113" si="80">SUM(M80,M101,M109)</f>
        <v>765164</v>
      </c>
      <c r="N113" s="676">
        <f t="shared" si="80"/>
        <v>780477.4800000001</v>
      </c>
      <c r="O113" s="676">
        <f t="shared" si="80"/>
        <v>796087.02959999989</v>
      </c>
      <c r="P113" s="676">
        <f t="shared" si="80"/>
        <v>812008.77019199985</v>
      </c>
      <c r="Q113" s="676">
        <f t="shared" si="80"/>
        <v>856592.82439104002</v>
      </c>
      <c r="R113" s="676">
        <f t="shared" si="80"/>
        <v>869187.76208849275</v>
      </c>
      <c r="S113" s="676">
        <f t="shared" si="80"/>
        <v>886571.51733026258</v>
      </c>
      <c r="T113" s="676">
        <f t="shared" si="80"/>
        <v>904302.94767686795</v>
      </c>
      <c r="U113" s="676">
        <f t="shared" si="80"/>
        <v>922389.00663040532</v>
      </c>
      <c r="V113" s="676">
        <f t="shared" si="80"/>
        <v>945227.28955301619</v>
      </c>
      <c r="W113" s="676">
        <f t="shared" si="80"/>
        <v>959653.52249827376</v>
      </c>
      <c r="X113" s="676">
        <f t="shared" si="80"/>
        <v>978846.59294823918</v>
      </c>
      <c r="Y113" s="676">
        <f t="shared" si="80"/>
        <v>998423.52480720403</v>
      </c>
      <c r="Z113" s="676">
        <f t="shared" si="80"/>
        <v>1018391.9953033482</v>
      </c>
      <c r="AA113" s="676">
        <f t="shared" si="80"/>
        <v>1043086.9010402532</v>
      </c>
      <c r="AB113" s="676">
        <f t="shared" si="80"/>
        <v>1059535.0319136034</v>
      </c>
      <c r="AC113" s="676">
        <f t="shared" si="80"/>
        <v>1080725.7325518755</v>
      </c>
      <c r="AD113" s="676">
        <f t="shared" si="80"/>
        <v>1102340.2472029133</v>
      </c>
      <c r="AE113" s="676">
        <f t="shared" si="80"/>
        <v>1124387.0521469715</v>
      </c>
      <c r="AG113" s="199"/>
    </row>
    <row r="114" spans="1:33">
      <c r="A114" s="37"/>
      <c r="B114" s="37"/>
      <c r="C114" s="57"/>
      <c r="E114" s="110"/>
      <c r="F114" s="110"/>
      <c r="G114" s="57"/>
      <c r="H114" s="57"/>
      <c r="I114" s="43"/>
      <c r="J114" s="44"/>
      <c r="K114" s="683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5"/>
      <c r="Z114" s="115"/>
      <c r="AA114" s="115"/>
      <c r="AB114" s="115"/>
      <c r="AC114" s="115"/>
      <c r="AD114" s="115"/>
      <c r="AE114" s="115"/>
      <c r="AG114" s="199"/>
    </row>
    <row r="115" spans="1:33">
      <c r="A115" s="47" t="s">
        <v>7</v>
      </c>
      <c r="B115" s="47" t="s">
        <v>7</v>
      </c>
      <c r="C115" s="78" t="s">
        <v>7</v>
      </c>
      <c r="D115" s="100"/>
      <c r="E115" s="78" t="s">
        <v>7</v>
      </c>
      <c r="F115" s="78"/>
      <c r="G115" s="78" t="s">
        <v>7</v>
      </c>
      <c r="H115" s="78"/>
      <c r="I115" s="52" t="s">
        <v>7</v>
      </c>
      <c r="J115" s="114"/>
      <c r="K115" s="673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G115" s="199"/>
    </row>
    <row r="116" spans="1:33">
      <c r="A116" s="47"/>
      <c r="B116" s="47"/>
      <c r="C116" s="78"/>
      <c r="D116" s="100"/>
      <c r="E116" s="78"/>
      <c r="F116" s="78"/>
      <c r="G116" s="78"/>
      <c r="H116" s="78"/>
      <c r="I116" s="52"/>
      <c r="J116" s="114"/>
      <c r="K116" s="683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5"/>
      <c r="Z116" s="115"/>
      <c r="AA116" s="115"/>
      <c r="AB116" s="115"/>
      <c r="AC116" s="115"/>
      <c r="AD116" s="115"/>
      <c r="AE116" s="115"/>
      <c r="AG116" s="199"/>
    </row>
    <row r="117" spans="1:33">
      <c r="A117" s="168" t="s">
        <v>71</v>
      </c>
      <c r="B117" s="171"/>
      <c r="C117" s="176"/>
      <c r="D117" s="177"/>
      <c r="E117" s="176"/>
      <c r="F117" s="176"/>
      <c r="G117" s="176"/>
      <c r="H117" s="176"/>
      <c r="I117" s="182"/>
      <c r="J117" s="179"/>
      <c r="K117" s="682"/>
      <c r="L117" s="319"/>
      <c r="M117" s="319"/>
      <c r="N117" s="319"/>
      <c r="O117" s="319"/>
      <c r="P117" s="319"/>
      <c r="Q117" s="319"/>
      <c r="R117" s="319"/>
      <c r="S117" s="319"/>
      <c r="T117" s="319"/>
      <c r="U117" s="319"/>
      <c r="V117" s="319"/>
      <c r="W117" s="319"/>
      <c r="X117" s="319"/>
      <c r="Y117" s="319"/>
      <c r="Z117" s="319"/>
      <c r="AA117" s="319"/>
      <c r="AB117" s="319"/>
      <c r="AC117" s="319"/>
      <c r="AD117" s="319"/>
      <c r="AE117" s="319"/>
      <c r="AG117" s="199"/>
    </row>
    <row r="118" spans="1:33" s="252" customFormat="1">
      <c r="A118" s="183"/>
      <c r="B118" s="184"/>
      <c r="C118" s="185"/>
      <c r="D118" s="186"/>
      <c r="E118" s="185"/>
      <c r="F118" s="185"/>
      <c r="G118" s="185"/>
      <c r="H118" s="185"/>
      <c r="I118" s="187"/>
      <c r="J118" s="188"/>
      <c r="K118" s="683"/>
      <c r="L118" s="320"/>
      <c r="M118" s="320"/>
      <c r="N118" s="320"/>
      <c r="O118" s="320"/>
      <c r="P118" s="320"/>
      <c r="Q118" s="320"/>
      <c r="R118" s="320"/>
      <c r="S118" s="320"/>
      <c r="T118" s="320"/>
      <c r="U118" s="320"/>
      <c r="V118" s="320"/>
      <c r="W118" s="320"/>
      <c r="X118" s="320"/>
      <c r="Y118" s="320"/>
      <c r="Z118" s="320"/>
      <c r="AA118" s="320"/>
      <c r="AB118" s="320"/>
      <c r="AC118" s="320"/>
      <c r="AD118" s="320"/>
      <c r="AE118" s="320"/>
      <c r="AG118" s="363"/>
    </row>
    <row r="119" spans="1:33">
      <c r="A119" s="39" t="s">
        <v>0</v>
      </c>
      <c r="B119" s="39"/>
      <c r="C119" s="102"/>
      <c r="D119" s="103"/>
      <c r="E119" s="104"/>
      <c r="F119" s="104"/>
      <c r="G119" s="104"/>
      <c r="H119" s="104"/>
      <c r="I119" s="39"/>
      <c r="J119" s="104"/>
      <c r="K119" s="688"/>
      <c r="L119" s="335"/>
      <c r="M119" s="335"/>
      <c r="N119" s="335"/>
      <c r="O119" s="335"/>
      <c r="P119" s="335"/>
      <c r="Q119" s="335"/>
      <c r="R119" s="335"/>
      <c r="S119" s="335"/>
      <c r="T119" s="335"/>
      <c r="U119" s="335"/>
      <c r="V119" s="335"/>
      <c r="W119" s="335"/>
      <c r="X119" s="335"/>
      <c r="Y119" s="335"/>
      <c r="Z119" s="335"/>
      <c r="AA119" s="335"/>
      <c r="AB119" s="335"/>
      <c r="AC119" s="335"/>
      <c r="AD119" s="335"/>
      <c r="AE119" s="335"/>
    </row>
    <row r="120" spans="1:33">
      <c r="A120" s="41" t="s">
        <v>13</v>
      </c>
      <c r="B120" s="41"/>
      <c r="C120" s="105"/>
      <c r="D120" s="106"/>
      <c r="E120" s="37"/>
      <c r="F120" s="37"/>
      <c r="G120" s="37"/>
      <c r="H120" s="37"/>
      <c r="I120" s="41"/>
      <c r="J120" s="37"/>
      <c r="K120" s="683"/>
      <c r="L120" s="200"/>
      <c r="M120" s="200"/>
      <c r="N120" s="200"/>
      <c r="O120" s="200"/>
      <c r="P120" s="200"/>
      <c r="Q120" s="200"/>
      <c r="R120" s="200"/>
      <c r="S120" s="200"/>
      <c r="T120" s="200"/>
      <c r="U120" s="201"/>
      <c r="V120" s="323"/>
      <c r="W120" s="200"/>
      <c r="X120" s="200"/>
      <c r="Y120" s="200"/>
      <c r="Z120" s="200"/>
      <c r="AA120" s="200"/>
      <c r="AB120" s="200"/>
      <c r="AC120" s="200"/>
      <c r="AD120" s="200"/>
      <c r="AE120" s="201"/>
    </row>
    <row r="121" spans="1:33">
      <c r="A121" s="96" t="s">
        <v>56</v>
      </c>
      <c r="B121" s="735" t="s">
        <v>12</v>
      </c>
      <c r="C121" s="663">
        <v>55000</v>
      </c>
      <c r="D121" s="736">
        <f>C121/2080</f>
        <v>26.442307692307693</v>
      </c>
      <c r="E121" s="663">
        <v>0</v>
      </c>
      <c r="F121" s="663">
        <f>C121*$F$13</f>
        <v>22000</v>
      </c>
      <c r="G121" s="663">
        <f>SUM(C121,E121:F121)</f>
        <v>77000</v>
      </c>
      <c r="H121" s="736">
        <f>G121/2080*8</f>
        <v>296.15384615384613</v>
      </c>
      <c r="I121" s="736"/>
      <c r="J121" s="663"/>
      <c r="K121" s="683">
        <v>0</v>
      </c>
      <c r="L121" s="665">
        <v>0</v>
      </c>
      <c r="M121" s="665">
        <f>$H$121*M32*0.25</f>
        <v>15844.230769230768</v>
      </c>
      <c r="N121" s="665">
        <f t="shared" ref="N121:AE121" si="81">$M$121*M11</f>
        <v>16484.33769230769</v>
      </c>
      <c r="O121" s="665">
        <f t="shared" si="81"/>
        <v>16814.024446153842</v>
      </c>
      <c r="P121" s="665">
        <f t="shared" si="81"/>
        <v>17150.304935076922</v>
      </c>
      <c r="Q121" s="665">
        <f t="shared" si="81"/>
        <v>17493.31103377846</v>
      </c>
      <c r="R121" s="665">
        <f t="shared" si="81"/>
        <v>17843.177254454029</v>
      </c>
      <c r="S121" s="665">
        <f t="shared" si="81"/>
        <v>18200.040799543109</v>
      </c>
      <c r="T121" s="665">
        <f t="shared" si="81"/>
        <v>18564.041615533974</v>
      </c>
      <c r="U121" s="665">
        <f t="shared" si="81"/>
        <v>18935.322447844654</v>
      </c>
      <c r="V121" s="665">
        <f t="shared" si="81"/>
        <v>19314.028896801548</v>
      </c>
      <c r="W121" s="665">
        <f t="shared" si="81"/>
        <v>19700.30947473758</v>
      </c>
      <c r="X121" s="665">
        <f t="shared" si="81"/>
        <v>20094.31566423233</v>
      </c>
      <c r="Y121" s="665">
        <f t="shared" si="81"/>
        <v>20496.201977516976</v>
      </c>
      <c r="Z121" s="665">
        <f t="shared" si="81"/>
        <v>20906.126017067316</v>
      </c>
      <c r="AA121" s="665">
        <f t="shared" si="81"/>
        <v>21324.248537408665</v>
      </c>
      <c r="AB121" s="665">
        <f t="shared" si="81"/>
        <v>21750.733508156838</v>
      </c>
      <c r="AC121" s="665">
        <f t="shared" si="81"/>
        <v>22185.748178319976</v>
      </c>
      <c r="AD121" s="665">
        <f t="shared" si="81"/>
        <v>22629.463141886376</v>
      </c>
      <c r="AE121" s="665">
        <f t="shared" si="81"/>
        <v>23082.052404724102</v>
      </c>
    </row>
    <row r="122" spans="1:33">
      <c r="A122" s="96" t="s">
        <v>57</v>
      </c>
      <c r="B122" s="735" t="s">
        <v>15</v>
      </c>
      <c r="C122" s="663">
        <v>15000</v>
      </c>
      <c r="D122" s="736">
        <f>C122/2080</f>
        <v>7.2115384615384617</v>
      </c>
      <c r="E122" s="663">
        <f>C122*E12</f>
        <v>3000</v>
      </c>
      <c r="F122" s="663">
        <f t="shared" ref="F122:F123" si="82">C122*$F$13</f>
        <v>6000</v>
      </c>
      <c r="G122" s="663">
        <f t="shared" ref="G122:G123" si="83">SUM(C122,E122:F122)</f>
        <v>24000</v>
      </c>
      <c r="H122" s="736">
        <f>G122/2080*12</f>
        <v>138.46153846153845</v>
      </c>
      <c r="I122" s="736"/>
      <c r="J122" s="663"/>
      <c r="K122" s="683">
        <v>0</v>
      </c>
      <c r="L122" s="665">
        <v>0</v>
      </c>
      <c r="M122" s="665">
        <f>$H$122*M32*0.5</f>
        <v>14815.384615384615</v>
      </c>
      <c r="N122" s="665">
        <f t="shared" ref="N122:AE122" si="84">$M$122*M11</f>
        <v>15413.926153846154</v>
      </c>
      <c r="O122" s="665">
        <f t="shared" si="84"/>
        <v>15722.204676923076</v>
      </c>
      <c r="P122" s="665">
        <f t="shared" si="84"/>
        <v>16036.648770461537</v>
      </c>
      <c r="Q122" s="665">
        <f t="shared" si="84"/>
        <v>16357.381745870769</v>
      </c>
      <c r="R122" s="665">
        <f t="shared" si="84"/>
        <v>16684.529380788186</v>
      </c>
      <c r="S122" s="665">
        <f t="shared" si="84"/>
        <v>17018.219968403948</v>
      </c>
      <c r="T122" s="665">
        <f t="shared" si="84"/>
        <v>17358.58436777203</v>
      </c>
      <c r="U122" s="665">
        <f t="shared" si="84"/>
        <v>17705.756055127469</v>
      </c>
      <c r="V122" s="665">
        <f t="shared" si="84"/>
        <v>18059.871176230019</v>
      </c>
      <c r="W122" s="665">
        <f t="shared" si="84"/>
        <v>18421.068599754621</v>
      </c>
      <c r="X122" s="665">
        <f t="shared" si="84"/>
        <v>18789.489971749714</v>
      </c>
      <c r="Y122" s="665">
        <f t="shared" si="84"/>
        <v>19165.279771184705</v>
      </c>
      <c r="Z122" s="665">
        <f t="shared" si="84"/>
        <v>19548.5853666084</v>
      </c>
      <c r="AA122" s="665">
        <f t="shared" si="84"/>
        <v>19939.55707394057</v>
      </c>
      <c r="AB122" s="665">
        <f t="shared" si="84"/>
        <v>20338.348215419381</v>
      </c>
      <c r="AC122" s="665">
        <f t="shared" si="84"/>
        <v>20745.115179727771</v>
      </c>
      <c r="AD122" s="665">
        <f t="shared" si="84"/>
        <v>21160.017483322328</v>
      </c>
      <c r="AE122" s="665">
        <f t="shared" si="84"/>
        <v>21583.217832988772</v>
      </c>
    </row>
    <row r="123" spans="1:33">
      <c r="A123" s="737" t="s">
        <v>57</v>
      </c>
      <c r="B123" s="738" t="s">
        <v>15</v>
      </c>
      <c r="C123" s="739">
        <v>15000</v>
      </c>
      <c r="D123" s="740">
        <f>C123/2080</f>
        <v>7.2115384615384617</v>
      </c>
      <c r="E123" s="739">
        <f>C123*$E$12</f>
        <v>3000</v>
      </c>
      <c r="F123" s="739">
        <f t="shared" si="82"/>
        <v>6000</v>
      </c>
      <c r="G123" s="739">
        <f t="shared" si="83"/>
        <v>24000</v>
      </c>
      <c r="H123" s="740">
        <f t="shared" ref="H123" si="85">G123/2080*12</f>
        <v>138.46153846153845</v>
      </c>
      <c r="I123" s="740"/>
      <c r="J123" s="739"/>
      <c r="K123" s="741">
        <v>0</v>
      </c>
      <c r="L123" s="742">
        <v>0</v>
      </c>
      <c r="M123" s="742">
        <f>$H$123*M32*0.5</f>
        <v>14815.384615384615</v>
      </c>
      <c r="N123" s="742">
        <f t="shared" ref="N123:AE123" si="86">$M$123*M11</f>
        <v>15413.926153846154</v>
      </c>
      <c r="O123" s="742">
        <f t="shared" si="86"/>
        <v>15722.204676923076</v>
      </c>
      <c r="P123" s="742">
        <f t="shared" si="86"/>
        <v>16036.648770461537</v>
      </c>
      <c r="Q123" s="742">
        <f t="shared" si="86"/>
        <v>16357.381745870769</v>
      </c>
      <c r="R123" s="742">
        <f t="shared" si="86"/>
        <v>16684.529380788186</v>
      </c>
      <c r="S123" s="742">
        <f t="shared" si="86"/>
        <v>17018.219968403948</v>
      </c>
      <c r="T123" s="742">
        <f t="shared" si="86"/>
        <v>17358.58436777203</v>
      </c>
      <c r="U123" s="742">
        <f t="shared" si="86"/>
        <v>17705.756055127469</v>
      </c>
      <c r="V123" s="742">
        <f t="shared" si="86"/>
        <v>18059.871176230019</v>
      </c>
      <c r="W123" s="742">
        <f t="shared" si="86"/>
        <v>18421.068599754621</v>
      </c>
      <c r="X123" s="742">
        <f t="shared" si="86"/>
        <v>18789.489971749714</v>
      </c>
      <c r="Y123" s="742">
        <f t="shared" si="86"/>
        <v>19165.279771184705</v>
      </c>
      <c r="Z123" s="742">
        <f t="shared" si="86"/>
        <v>19548.5853666084</v>
      </c>
      <c r="AA123" s="742">
        <f t="shared" si="86"/>
        <v>19939.55707394057</v>
      </c>
      <c r="AB123" s="742">
        <f t="shared" si="86"/>
        <v>20338.348215419381</v>
      </c>
      <c r="AC123" s="742">
        <f t="shared" si="86"/>
        <v>20745.115179727771</v>
      </c>
      <c r="AD123" s="742">
        <f t="shared" si="86"/>
        <v>21160.017483322328</v>
      </c>
      <c r="AE123" s="742">
        <f t="shared" si="86"/>
        <v>21583.217832988772</v>
      </c>
    </row>
    <row r="124" spans="1:33">
      <c r="A124" s="164" t="s">
        <v>414</v>
      </c>
      <c r="B124" s="164"/>
      <c r="C124" s="667">
        <f>SUM(C121:C123)</f>
        <v>85000</v>
      </c>
      <c r="D124" s="667"/>
      <c r="E124" s="667">
        <f>SUM(E121:E123)</f>
        <v>6000</v>
      </c>
      <c r="F124" s="667">
        <f>SUM(F121:F123)</f>
        <v>34000</v>
      </c>
      <c r="G124" s="667">
        <f>SUM(G121:G123)</f>
        <v>125000</v>
      </c>
      <c r="H124" s="667">
        <f>SUM(H121:H123)</f>
        <v>573.07692307692309</v>
      </c>
      <c r="I124" s="668"/>
      <c r="J124" s="667"/>
      <c r="K124" s="685">
        <f>SUMIF($B121:$B123,"FT",K121:K123)</f>
        <v>0</v>
      </c>
      <c r="L124" s="669">
        <f>SUM(L121:L123)</f>
        <v>0</v>
      </c>
      <c r="M124" s="669">
        <f t="shared" ref="M124:AE124" si="87">SUM(M121:M123)</f>
        <v>45475</v>
      </c>
      <c r="N124" s="669">
        <f t="shared" si="87"/>
        <v>47312.19</v>
      </c>
      <c r="O124" s="669">
        <f t="shared" si="87"/>
        <v>48258.433799999999</v>
      </c>
      <c r="P124" s="669">
        <f t="shared" si="87"/>
        <v>49223.602475999993</v>
      </c>
      <c r="Q124" s="669">
        <f t="shared" si="87"/>
        <v>50208.074525520002</v>
      </c>
      <c r="R124" s="669">
        <f t="shared" si="87"/>
        <v>51212.236016030394</v>
      </c>
      <c r="S124" s="669">
        <f t="shared" si="87"/>
        <v>52236.480736351004</v>
      </c>
      <c r="T124" s="669">
        <f t="shared" si="87"/>
        <v>53281.210351078029</v>
      </c>
      <c r="U124" s="669">
        <f t="shared" si="87"/>
        <v>54346.834558099596</v>
      </c>
      <c r="V124" s="669">
        <f t="shared" si="87"/>
        <v>55433.771249261583</v>
      </c>
      <c r="W124" s="669">
        <f t="shared" si="87"/>
        <v>56542.446674246821</v>
      </c>
      <c r="X124" s="669">
        <f t="shared" si="87"/>
        <v>57673.295607731765</v>
      </c>
      <c r="Y124" s="669">
        <f t="shared" si="87"/>
        <v>58826.761519886393</v>
      </c>
      <c r="Z124" s="669">
        <f t="shared" si="87"/>
        <v>60003.29675028412</v>
      </c>
      <c r="AA124" s="669">
        <f t="shared" si="87"/>
        <v>61203.362685289801</v>
      </c>
      <c r="AB124" s="669">
        <f t="shared" si="87"/>
        <v>62427.4299389956</v>
      </c>
      <c r="AC124" s="669">
        <f t="shared" si="87"/>
        <v>63675.978537775518</v>
      </c>
      <c r="AD124" s="669">
        <f t="shared" si="87"/>
        <v>64949.498108531028</v>
      </c>
      <c r="AE124" s="669">
        <f t="shared" si="87"/>
        <v>66248.488070701642</v>
      </c>
    </row>
    <row r="125" spans="1:33">
      <c r="A125" s="37"/>
      <c r="B125" s="37"/>
      <c r="C125" s="663"/>
      <c r="D125" s="663"/>
      <c r="E125" s="663"/>
      <c r="F125" s="663"/>
      <c r="G125" s="663"/>
      <c r="H125" s="663"/>
      <c r="I125" s="670"/>
      <c r="J125" s="663"/>
      <c r="K125" s="683"/>
      <c r="L125" s="666"/>
      <c r="M125" s="666"/>
      <c r="N125" s="666"/>
      <c r="O125" s="666"/>
      <c r="P125" s="666"/>
      <c r="Q125" s="666"/>
      <c r="R125" s="666"/>
      <c r="S125" s="666"/>
      <c r="T125" s="666"/>
      <c r="U125" s="666"/>
      <c r="V125" s="666"/>
      <c r="W125" s="666"/>
      <c r="X125" s="666"/>
      <c r="Y125" s="666"/>
      <c r="Z125" s="666"/>
      <c r="AA125" s="666"/>
      <c r="AB125" s="666"/>
      <c r="AC125" s="666"/>
      <c r="AD125" s="666"/>
      <c r="AE125" s="666"/>
    </row>
    <row r="126" spans="1:33">
      <c r="A126" s="37" t="s">
        <v>11</v>
      </c>
      <c r="B126" s="37"/>
      <c r="C126" s="663"/>
      <c r="D126" s="663"/>
      <c r="E126" s="663"/>
      <c r="F126" s="663"/>
      <c r="G126" s="663"/>
      <c r="H126" s="663"/>
      <c r="I126" s="670"/>
      <c r="J126" s="663"/>
      <c r="K126" s="743">
        <f>COUNTIF(K121:K123,"&gt;100")</f>
        <v>0</v>
      </c>
      <c r="L126" s="496">
        <f>COUNTIF(L121,"&gt;100")</f>
        <v>0</v>
      </c>
      <c r="M126" s="496">
        <f t="shared" ref="M126:AE126" si="88">COUNTIF(M121,"&gt;100")</f>
        <v>1</v>
      </c>
      <c r="N126" s="496">
        <f t="shared" si="88"/>
        <v>1</v>
      </c>
      <c r="O126" s="496">
        <f t="shared" si="88"/>
        <v>1</v>
      </c>
      <c r="P126" s="496">
        <f t="shared" si="88"/>
        <v>1</v>
      </c>
      <c r="Q126" s="496">
        <f t="shared" si="88"/>
        <v>1</v>
      </c>
      <c r="R126" s="496">
        <f t="shared" si="88"/>
        <v>1</v>
      </c>
      <c r="S126" s="496">
        <f t="shared" si="88"/>
        <v>1</v>
      </c>
      <c r="T126" s="496">
        <f t="shared" si="88"/>
        <v>1</v>
      </c>
      <c r="U126" s="496">
        <f t="shared" si="88"/>
        <v>1</v>
      </c>
      <c r="V126" s="496">
        <f t="shared" si="88"/>
        <v>1</v>
      </c>
      <c r="W126" s="496">
        <f t="shared" si="88"/>
        <v>1</v>
      </c>
      <c r="X126" s="496">
        <f t="shared" si="88"/>
        <v>1</v>
      </c>
      <c r="Y126" s="496">
        <f t="shared" si="88"/>
        <v>1</v>
      </c>
      <c r="Z126" s="496">
        <f t="shared" si="88"/>
        <v>1</v>
      </c>
      <c r="AA126" s="496">
        <f t="shared" si="88"/>
        <v>1</v>
      </c>
      <c r="AB126" s="496">
        <f t="shared" si="88"/>
        <v>1</v>
      </c>
      <c r="AC126" s="496">
        <f t="shared" si="88"/>
        <v>1</v>
      </c>
      <c r="AD126" s="496">
        <f t="shared" si="88"/>
        <v>1</v>
      </c>
      <c r="AE126" s="496">
        <f t="shared" si="88"/>
        <v>1</v>
      </c>
    </row>
    <row r="127" spans="1:33">
      <c r="A127" s="745" t="s">
        <v>10</v>
      </c>
      <c r="B127" s="745"/>
      <c r="C127" s="739"/>
      <c r="D127" s="739"/>
      <c r="E127" s="739"/>
      <c r="F127" s="739"/>
      <c r="G127" s="739"/>
      <c r="H127" s="739"/>
      <c r="I127" s="763"/>
      <c r="J127" s="739"/>
      <c r="K127" s="749">
        <f t="shared" ref="K127" si="89">K128-K126</f>
        <v>0</v>
      </c>
      <c r="L127" s="750">
        <f>COUNTIF(L122:L123,"&gt;100")</f>
        <v>0</v>
      </c>
      <c r="M127" s="750">
        <f t="shared" ref="M127:AE127" si="90">COUNTIF(M122:M123,"&gt;100")</f>
        <v>2</v>
      </c>
      <c r="N127" s="750">
        <f t="shared" si="90"/>
        <v>2</v>
      </c>
      <c r="O127" s="750">
        <f t="shared" si="90"/>
        <v>2</v>
      </c>
      <c r="P127" s="750">
        <f t="shared" si="90"/>
        <v>2</v>
      </c>
      <c r="Q127" s="750">
        <f t="shared" si="90"/>
        <v>2</v>
      </c>
      <c r="R127" s="750">
        <f t="shared" si="90"/>
        <v>2</v>
      </c>
      <c r="S127" s="750">
        <f t="shared" si="90"/>
        <v>2</v>
      </c>
      <c r="T127" s="750">
        <f t="shared" si="90"/>
        <v>2</v>
      </c>
      <c r="U127" s="750">
        <f t="shared" si="90"/>
        <v>2</v>
      </c>
      <c r="V127" s="750">
        <f t="shared" si="90"/>
        <v>2</v>
      </c>
      <c r="W127" s="750">
        <f t="shared" si="90"/>
        <v>2</v>
      </c>
      <c r="X127" s="750">
        <f t="shared" si="90"/>
        <v>2</v>
      </c>
      <c r="Y127" s="750">
        <f t="shared" si="90"/>
        <v>2</v>
      </c>
      <c r="Z127" s="750">
        <f t="shared" si="90"/>
        <v>2</v>
      </c>
      <c r="AA127" s="750">
        <f t="shared" si="90"/>
        <v>2</v>
      </c>
      <c r="AB127" s="750">
        <f t="shared" si="90"/>
        <v>2</v>
      </c>
      <c r="AC127" s="750">
        <f t="shared" si="90"/>
        <v>2</v>
      </c>
      <c r="AD127" s="750">
        <f t="shared" si="90"/>
        <v>2</v>
      </c>
      <c r="AE127" s="750">
        <f t="shared" si="90"/>
        <v>2</v>
      </c>
    </row>
    <row r="128" spans="1:33">
      <c r="A128" s="164" t="s">
        <v>9</v>
      </c>
      <c r="B128" s="164"/>
      <c r="C128" s="667"/>
      <c r="D128" s="667"/>
      <c r="E128" s="667"/>
      <c r="F128" s="667"/>
      <c r="G128" s="667"/>
      <c r="H128" s="667"/>
      <c r="I128" s="668"/>
      <c r="J128" s="667"/>
      <c r="K128" s="751">
        <f t="shared" ref="K128:AE128" si="91">COUNTIF(K121:K123,"&gt;0")</f>
        <v>0</v>
      </c>
      <c r="L128" s="752">
        <f t="shared" si="91"/>
        <v>0</v>
      </c>
      <c r="M128" s="752">
        <f t="shared" si="91"/>
        <v>3</v>
      </c>
      <c r="N128" s="752">
        <f t="shared" si="91"/>
        <v>3</v>
      </c>
      <c r="O128" s="752">
        <f t="shared" si="91"/>
        <v>3</v>
      </c>
      <c r="P128" s="752">
        <f t="shared" si="91"/>
        <v>3</v>
      </c>
      <c r="Q128" s="752">
        <f t="shared" si="91"/>
        <v>3</v>
      </c>
      <c r="R128" s="752">
        <f t="shared" si="91"/>
        <v>3</v>
      </c>
      <c r="S128" s="752">
        <f t="shared" si="91"/>
        <v>3</v>
      </c>
      <c r="T128" s="752">
        <f t="shared" si="91"/>
        <v>3</v>
      </c>
      <c r="U128" s="752">
        <f t="shared" si="91"/>
        <v>3</v>
      </c>
      <c r="V128" s="752">
        <f t="shared" si="91"/>
        <v>3</v>
      </c>
      <c r="W128" s="752">
        <f t="shared" si="91"/>
        <v>3</v>
      </c>
      <c r="X128" s="752">
        <f t="shared" si="91"/>
        <v>3</v>
      </c>
      <c r="Y128" s="752">
        <f t="shared" si="91"/>
        <v>3</v>
      </c>
      <c r="Z128" s="752">
        <f t="shared" si="91"/>
        <v>3</v>
      </c>
      <c r="AA128" s="752">
        <f t="shared" si="91"/>
        <v>3</v>
      </c>
      <c r="AB128" s="752">
        <f t="shared" si="91"/>
        <v>3</v>
      </c>
      <c r="AC128" s="752">
        <f t="shared" si="91"/>
        <v>3</v>
      </c>
      <c r="AD128" s="752">
        <f t="shared" si="91"/>
        <v>3</v>
      </c>
      <c r="AE128" s="752">
        <f t="shared" si="91"/>
        <v>3</v>
      </c>
    </row>
    <row r="129" spans="1:33">
      <c r="A129" s="37"/>
      <c r="B129" s="37"/>
      <c r="C129" s="57"/>
      <c r="E129" s="57"/>
      <c r="F129" s="57"/>
      <c r="G129" s="57"/>
      <c r="H129" s="57"/>
      <c r="I129" s="43"/>
      <c r="J129" s="42"/>
      <c r="K129" s="683"/>
      <c r="L129" s="316"/>
      <c r="M129" s="316"/>
      <c r="N129" s="316"/>
      <c r="O129" s="316"/>
      <c r="P129" s="316"/>
      <c r="Q129" s="316"/>
      <c r="R129" s="316"/>
      <c r="S129" s="316"/>
      <c r="T129" s="316"/>
      <c r="U129" s="316"/>
      <c r="V129" s="316"/>
      <c r="W129" s="316"/>
      <c r="X129" s="316"/>
      <c r="Y129" s="316"/>
      <c r="Z129" s="316"/>
      <c r="AA129" s="316"/>
      <c r="AB129" s="316"/>
      <c r="AC129" s="316"/>
      <c r="AD129" s="316"/>
      <c r="AE129" s="316"/>
    </row>
    <row r="130" spans="1:33" s="55" customFormat="1">
      <c r="A130" s="190" t="s">
        <v>60</v>
      </c>
      <c r="B130" s="191"/>
      <c r="C130" s="192"/>
      <c r="D130" s="193"/>
      <c r="E130" s="194"/>
      <c r="F130" s="194"/>
      <c r="G130" s="192"/>
      <c r="H130" s="192"/>
      <c r="I130" s="195">
        <v>0.2</v>
      </c>
      <c r="J130" s="196"/>
      <c r="K130" s="683">
        <v>0</v>
      </c>
      <c r="L130" s="665">
        <f>$I$130*L124</f>
        <v>0</v>
      </c>
      <c r="M130" s="665">
        <f t="shared" ref="M130:AE130" si="92">$I$130*M124</f>
        <v>9095</v>
      </c>
      <c r="N130" s="665">
        <f t="shared" si="92"/>
        <v>9462.4380000000001</v>
      </c>
      <c r="O130" s="665">
        <f t="shared" si="92"/>
        <v>9651.6867600000005</v>
      </c>
      <c r="P130" s="665">
        <f t="shared" si="92"/>
        <v>9844.7204951999993</v>
      </c>
      <c r="Q130" s="665">
        <f t="shared" si="92"/>
        <v>10041.614905104001</v>
      </c>
      <c r="R130" s="665">
        <f t="shared" si="92"/>
        <v>10242.44720320608</v>
      </c>
      <c r="S130" s="665">
        <f t="shared" si="92"/>
        <v>10447.296147270201</v>
      </c>
      <c r="T130" s="665">
        <f t="shared" si="92"/>
        <v>10656.242070215607</v>
      </c>
      <c r="U130" s="665">
        <f t="shared" si="92"/>
        <v>10869.36691161992</v>
      </c>
      <c r="V130" s="665">
        <f t="shared" si="92"/>
        <v>11086.754249852318</v>
      </c>
      <c r="W130" s="665">
        <f t="shared" si="92"/>
        <v>11308.489334849364</v>
      </c>
      <c r="X130" s="665">
        <f t="shared" si="92"/>
        <v>11534.659121546354</v>
      </c>
      <c r="Y130" s="665">
        <f t="shared" si="92"/>
        <v>11765.352303977279</v>
      </c>
      <c r="Z130" s="665">
        <f t="shared" si="92"/>
        <v>12000.659350056825</v>
      </c>
      <c r="AA130" s="665">
        <f t="shared" si="92"/>
        <v>12240.672537057961</v>
      </c>
      <c r="AB130" s="665">
        <f t="shared" si="92"/>
        <v>12485.48598779912</v>
      </c>
      <c r="AC130" s="665">
        <f t="shared" si="92"/>
        <v>12735.195707555104</v>
      </c>
      <c r="AD130" s="665">
        <f t="shared" si="92"/>
        <v>12989.899621706207</v>
      </c>
      <c r="AE130" s="665">
        <f t="shared" si="92"/>
        <v>13249.697614140328</v>
      </c>
    </row>
    <row r="131" spans="1:33">
      <c r="A131" s="190"/>
      <c r="B131" s="191"/>
      <c r="C131" s="192"/>
      <c r="D131" s="193"/>
      <c r="E131" s="194"/>
      <c r="F131" s="194"/>
      <c r="G131" s="192"/>
      <c r="H131" s="192"/>
      <c r="I131" s="195"/>
      <c r="J131" s="196"/>
      <c r="K131" s="685"/>
      <c r="L131" s="665"/>
      <c r="M131" s="665"/>
      <c r="N131" s="665"/>
      <c r="O131" s="665"/>
      <c r="P131" s="665"/>
      <c r="Q131" s="665"/>
      <c r="R131" s="665"/>
      <c r="S131" s="665"/>
      <c r="T131" s="665"/>
      <c r="U131" s="665"/>
      <c r="V131" s="665"/>
      <c r="W131" s="665"/>
      <c r="X131" s="665"/>
      <c r="Y131" s="665"/>
      <c r="Z131" s="665"/>
      <c r="AA131" s="665"/>
      <c r="AB131" s="665"/>
      <c r="AC131" s="665"/>
      <c r="AD131" s="665"/>
      <c r="AE131" s="665"/>
    </row>
    <row r="132" spans="1:33">
      <c r="A132" s="164" t="s">
        <v>61</v>
      </c>
      <c r="B132" s="164"/>
      <c r="C132" s="75"/>
      <c r="D132" s="173"/>
      <c r="E132" s="75"/>
      <c r="F132" s="75"/>
      <c r="G132" s="75"/>
      <c r="H132" s="75"/>
      <c r="I132" s="174"/>
      <c r="J132" s="175"/>
      <c r="K132" s="685">
        <v>0</v>
      </c>
      <c r="L132" s="669">
        <f>SUM(L124,L130)</f>
        <v>0</v>
      </c>
      <c r="M132" s="669">
        <f t="shared" ref="M132:AE132" si="93">SUM(M124,M130)</f>
        <v>54570</v>
      </c>
      <c r="N132" s="669">
        <f t="shared" si="93"/>
        <v>56774.628000000004</v>
      </c>
      <c r="O132" s="669">
        <f t="shared" si="93"/>
        <v>57910.120559999996</v>
      </c>
      <c r="P132" s="669">
        <f t="shared" si="93"/>
        <v>59068.322971199988</v>
      </c>
      <c r="Q132" s="669">
        <f t="shared" si="93"/>
        <v>60249.689430623999</v>
      </c>
      <c r="R132" s="669">
        <f t="shared" si="93"/>
        <v>61454.683219236475</v>
      </c>
      <c r="S132" s="669">
        <f t="shared" si="93"/>
        <v>62683.776883621205</v>
      </c>
      <c r="T132" s="669">
        <f t="shared" si="93"/>
        <v>63937.452421293638</v>
      </c>
      <c r="U132" s="669">
        <f t="shared" si="93"/>
        <v>65216.201469719512</v>
      </c>
      <c r="V132" s="669">
        <f t="shared" si="93"/>
        <v>66520.525499113894</v>
      </c>
      <c r="W132" s="669">
        <f t="shared" si="93"/>
        <v>67850.936009096185</v>
      </c>
      <c r="X132" s="669">
        <f t="shared" si="93"/>
        <v>69207.954729278121</v>
      </c>
      <c r="Y132" s="669">
        <f t="shared" si="93"/>
        <v>70592.113823863678</v>
      </c>
      <c r="Z132" s="669">
        <f t="shared" si="93"/>
        <v>72003.956100340947</v>
      </c>
      <c r="AA132" s="669">
        <f t="shared" si="93"/>
        <v>73444.035222347768</v>
      </c>
      <c r="AB132" s="669">
        <f t="shared" si="93"/>
        <v>74912.915926794725</v>
      </c>
      <c r="AC132" s="669">
        <f t="shared" si="93"/>
        <v>76411.174245330621</v>
      </c>
      <c r="AD132" s="669">
        <f t="shared" si="93"/>
        <v>77939.397730237237</v>
      </c>
      <c r="AE132" s="669">
        <f t="shared" si="93"/>
        <v>79498.18568484197</v>
      </c>
    </row>
    <row r="133" spans="1:33">
      <c r="A133" s="183"/>
      <c r="B133" s="184"/>
      <c r="C133" s="185"/>
      <c r="D133" s="186"/>
      <c r="E133" s="185"/>
      <c r="F133" s="185"/>
      <c r="G133" s="185"/>
      <c r="H133" s="185"/>
      <c r="I133" s="187"/>
      <c r="J133" s="188"/>
      <c r="K133" s="683"/>
      <c r="L133" s="320"/>
      <c r="M133" s="320"/>
      <c r="N133" s="320"/>
      <c r="O133" s="320"/>
      <c r="P133" s="320"/>
      <c r="Q133" s="320"/>
      <c r="R133" s="320"/>
      <c r="S133" s="320"/>
      <c r="T133" s="320"/>
      <c r="U133" s="320"/>
      <c r="V133" s="320"/>
      <c r="W133" s="320"/>
      <c r="X133" s="320"/>
      <c r="Y133" s="320"/>
      <c r="Z133" s="320"/>
      <c r="AA133" s="320"/>
      <c r="AB133" s="320"/>
      <c r="AC133" s="320"/>
      <c r="AD133" s="320"/>
      <c r="AE133" s="320"/>
    </row>
    <row r="134" spans="1:33">
      <c r="A134" s="39" t="s">
        <v>4</v>
      </c>
      <c r="B134" s="39"/>
      <c r="C134" s="111"/>
      <c r="D134" s="112"/>
      <c r="E134" s="111"/>
      <c r="F134" s="111"/>
      <c r="G134" s="111"/>
      <c r="H134" s="111"/>
      <c r="I134" s="40"/>
      <c r="J134" s="113"/>
      <c r="K134" s="688"/>
      <c r="L134" s="321"/>
      <c r="M134" s="321"/>
      <c r="N134" s="321"/>
      <c r="O134" s="321"/>
      <c r="P134" s="321"/>
      <c r="Q134" s="321"/>
      <c r="R134" s="321"/>
      <c r="S134" s="321"/>
      <c r="T134" s="321"/>
      <c r="U134" s="321"/>
      <c r="V134" s="321"/>
      <c r="W134" s="321"/>
      <c r="X134" s="321"/>
      <c r="Y134" s="321"/>
      <c r="Z134" s="321"/>
      <c r="AA134" s="321"/>
      <c r="AB134" s="321"/>
      <c r="AC134" s="321"/>
      <c r="AD134" s="321"/>
      <c r="AE134" s="321"/>
    </row>
    <row r="135" spans="1:33">
      <c r="A135" s="41" t="s">
        <v>13</v>
      </c>
      <c r="B135" s="41"/>
      <c r="C135" s="105"/>
      <c r="D135" s="106"/>
      <c r="E135" s="37"/>
      <c r="F135" s="37"/>
      <c r="G135" s="37"/>
      <c r="H135" s="37"/>
      <c r="I135" s="41"/>
      <c r="J135" s="37"/>
      <c r="K135" s="683"/>
      <c r="L135" s="200"/>
      <c r="M135" s="200"/>
      <c r="N135" s="200"/>
      <c r="O135" s="200"/>
      <c r="P135" s="200"/>
      <c r="Q135" s="200"/>
      <c r="R135" s="200"/>
      <c r="S135" s="200"/>
      <c r="T135" s="200"/>
      <c r="U135" s="201"/>
      <c r="V135" s="323"/>
      <c r="W135" s="200"/>
      <c r="X135" s="200"/>
      <c r="Y135" s="200"/>
      <c r="Z135" s="200"/>
      <c r="AA135" s="200"/>
      <c r="AB135" s="200"/>
      <c r="AC135" s="200"/>
      <c r="AD135" s="200"/>
      <c r="AE135" s="201"/>
    </row>
    <row r="136" spans="1:33">
      <c r="A136" s="33" t="s">
        <v>65</v>
      </c>
      <c r="B136" s="735" t="s">
        <v>12</v>
      </c>
      <c r="C136" s="663">
        <v>65000</v>
      </c>
      <c r="D136" s="736">
        <f>C136/2080</f>
        <v>31.25</v>
      </c>
      <c r="E136" s="663">
        <v>0</v>
      </c>
      <c r="F136" s="663">
        <f>C136*$F$13</f>
        <v>26000</v>
      </c>
      <c r="G136" s="663">
        <f>SUM(C136,E136:F136)</f>
        <v>91000</v>
      </c>
      <c r="H136" s="736">
        <f>G136/2080*8</f>
        <v>350</v>
      </c>
      <c r="I136" s="764"/>
      <c r="J136" s="765"/>
      <c r="K136" s="683">
        <v>0</v>
      </c>
      <c r="L136" s="665">
        <v>0</v>
      </c>
      <c r="M136" s="665">
        <f>$H$136*M32*0.25</f>
        <v>18725</v>
      </c>
      <c r="N136" s="665">
        <f t="shared" ref="N136:AE136" si="94">$M$136*L11</f>
        <v>19099.5</v>
      </c>
      <c r="O136" s="665">
        <f t="shared" si="94"/>
        <v>19481.490000000002</v>
      </c>
      <c r="P136" s="665">
        <f t="shared" si="94"/>
        <v>19871.1198</v>
      </c>
      <c r="Q136" s="665">
        <f t="shared" si="94"/>
        <v>20268.542195999999</v>
      </c>
      <c r="R136" s="665">
        <f t="shared" si="94"/>
        <v>20673.91303992</v>
      </c>
      <c r="S136" s="665">
        <f t="shared" si="94"/>
        <v>21087.391300718402</v>
      </c>
      <c r="T136" s="665">
        <f t="shared" si="94"/>
        <v>21509.139126732767</v>
      </c>
      <c r="U136" s="665">
        <f t="shared" si="94"/>
        <v>21939.321909267426</v>
      </c>
      <c r="V136" s="665">
        <f t="shared" si="94"/>
        <v>22378.108347452773</v>
      </c>
      <c r="W136" s="665">
        <f t="shared" si="94"/>
        <v>22825.670514401831</v>
      </c>
      <c r="X136" s="665">
        <f t="shared" si="94"/>
        <v>23282.183924689867</v>
      </c>
      <c r="Y136" s="665">
        <f t="shared" si="94"/>
        <v>23747.827603183665</v>
      </c>
      <c r="Z136" s="665">
        <f t="shared" si="94"/>
        <v>24222.784155247336</v>
      </c>
      <c r="AA136" s="665">
        <f t="shared" si="94"/>
        <v>24707.239838352285</v>
      </c>
      <c r="AB136" s="665">
        <f t="shared" si="94"/>
        <v>25201.384635119332</v>
      </c>
      <c r="AC136" s="665">
        <f t="shared" si="94"/>
        <v>25705.412327821719</v>
      </c>
      <c r="AD136" s="665">
        <f t="shared" si="94"/>
        <v>26219.520574378155</v>
      </c>
      <c r="AE136" s="665">
        <f t="shared" si="94"/>
        <v>26743.910985865718</v>
      </c>
    </row>
    <row r="137" spans="1:33">
      <c r="A137" s="37" t="s">
        <v>62</v>
      </c>
      <c r="B137" s="735" t="s">
        <v>12</v>
      </c>
      <c r="C137" s="663">
        <v>85000</v>
      </c>
      <c r="D137" s="736">
        <f>C137/2080</f>
        <v>40.865384615384613</v>
      </c>
      <c r="E137" s="663">
        <f>C137*$L$15</f>
        <v>0</v>
      </c>
      <c r="F137" s="663">
        <f t="shared" ref="F137:F140" si="95">C137*$F$13</f>
        <v>34000</v>
      </c>
      <c r="G137" s="663">
        <f t="shared" ref="G137:G140" si="96">SUM(C137,E137:F137)</f>
        <v>119000</v>
      </c>
      <c r="H137" s="736">
        <f>G137/2080*8</f>
        <v>457.69230769230768</v>
      </c>
      <c r="I137" s="764"/>
      <c r="J137" s="765"/>
      <c r="K137" s="683">
        <v>0</v>
      </c>
      <c r="L137" s="665">
        <v>0</v>
      </c>
      <c r="M137" s="665">
        <f>$H$137*M32*0.1</f>
        <v>9794.6153846153848</v>
      </c>
      <c r="N137" s="665">
        <f t="shared" ref="N137:AE137" si="97">$M$137*L11</f>
        <v>9990.5076923076922</v>
      </c>
      <c r="O137" s="665">
        <f t="shared" si="97"/>
        <v>10190.317846153846</v>
      </c>
      <c r="P137" s="665">
        <f t="shared" si="97"/>
        <v>10394.124203076923</v>
      </c>
      <c r="Q137" s="665">
        <f t="shared" si="97"/>
        <v>10602.006687138461</v>
      </c>
      <c r="R137" s="665">
        <f t="shared" si="97"/>
        <v>10814.046820881231</v>
      </c>
      <c r="S137" s="665">
        <f t="shared" si="97"/>
        <v>11030.327757298855</v>
      </c>
      <c r="T137" s="665">
        <f t="shared" si="97"/>
        <v>11250.934312444833</v>
      </c>
      <c r="U137" s="665">
        <f t="shared" si="97"/>
        <v>11475.95299869373</v>
      </c>
      <c r="V137" s="665">
        <f t="shared" si="97"/>
        <v>11705.472058667605</v>
      </c>
      <c r="W137" s="665">
        <f t="shared" si="97"/>
        <v>11939.581499840959</v>
      </c>
      <c r="X137" s="665">
        <f t="shared" si="97"/>
        <v>12178.373129837777</v>
      </c>
      <c r="Y137" s="665">
        <f t="shared" si="97"/>
        <v>12421.940592434532</v>
      </c>
      <c r="Z137" s="665">
        <f t="shared" si="97"/>
        <v>12670.379404283221</v>
      </c>
      <c r="AA137" s="665">
        <f t="shared" si="97"/>
        <v>12923.786992368889</v>
      </c>
      <c r="AB137" s="665">
        <f t="shared" si="97"/>
        <v>13182.262732216266</v>
      </c>
      <c r="AC137" s="665">
        <f t="shared" si="97"/>
        <v>13445.907986860591</v>
      </c>
      <c r="AD137" s="665">
        <f t="shared" si="97"/>
        <v>13714.826146597805</v>
      </c>
      <c r="AE137" s="665">
        <f t="shared" si="97"/>
        <v>13989.122669529761</v>
      </c>
    </row>
    <row r="138" spans="1:33">
      <c r="A138" s="37" t="s">
        <v>419</v>
      </c>
      <c r="B138" s="735" t="s">
        <v>12</v>
      </c>
      <c r="C138" s="663">
        <v>75000</v>
      </c>
      <c r="D138" s="736">
        <f>C138/2080</f>
        <v>36.057692307692307</v>
      </c>
      <c r="E138" s="663">
        <f>C138*$L$15</f>
        <v>0</v>
      </c>
      <c r="F138" s="663">
        <f t="shared" si="95"/>
        <v>30000</v>
      </c>
      <c r="G138" s="663">
        <f t="shared" si="96"/>
        <v>105000</v>
      </c>
      <c r="H138" s="736">
        <f>G138/2080*8</f>
        <v>403.84615384615387</v>
      </c>
      <c r="I138" s="764"/>
      <c r="J138" s="765"/>
      <c r="K138" s="683">
        <v>0</v>
      </c>
      <c r="L138" s="665">
        <v>0</v>
      </c>
      <c r="M138" s="665">
        <f>$H$138*M32*0.1</f>
        <v>8642.3076923076933</v>
      </c>
      <c r="N138" s="665">
        <f t="shared" ref="N138:AE138" si="98">$M$138*L11</f>
        <v>8815.1538461538476</v>
      </c>
      <c r="O138" s="665">
        <f t="shared" si="98"/>
        <v>8991.4569230769248</v>
      </c>
      <c r="P138" s="665">
        <f t="shared" si="98"/>
        <v>9171.2860615384616</v>
      </c>
      <c r="Q138" s="665">
        <f t="shared" si="98"/>
        <v>9354.7117827692309</v>
      </c>
      <c r="R138" s="665">
        <f t="shared" si="98"/>
        <v>9541.8060184246169</v>
      </c>
      <c r="S138" s="665">
        <f t="shared" si="98"/>
        <v>9732.6421387931096</v>
      </c>
      <c r="T138" s="665">
        <f t="shared" si="98"/>
        <v>9927.2949815689717</v>
      </c>
      <c r="U138" s="665">
        <f t="shared" si="98"/>
        <v>10125.840881200351</v>
      </c>
      <c r="V138" s="665">
        <f t="shared" si="98"/>
        <v>10328.357698824359</v>
      </c>
      <c r="W138" s="665">
        <f t="shared" si="98"/>
        <v>10534.924852800847</v>
      </c>
      <c r="X138" s="665">
        <f t="shared" si="98"/>
        <v>10745.623349856864</v>
      </c>
      <c r="Y138" s="665">
        <f t="shared" si="98"/>
        <v>10960.535816854001</v>
      </c>
      <c r="Z138" s="665">
        <f t="shared" si="98"/>
        <v>11179.746533191079</v>
      </c>
      <c r="AA138" s="665">
        <f t="shared" si="98"/>
        <v>11403.341463854902</v>
      </c>
      <c r="AB138" s="665">
        <f t="shared" si="98"/>
        <v>11631.408293132001</v>
      </c>
      <c r="AC138" s="665">
        <f t="shared" si="98"/>
        <v>11864.03645899464</v>
      </c>
      <c r="AD138" s="665">
        <f t="shared" si="98"/>
        <v>12101.317188174535</v>
      </c>
      <c r="AE138" s="665">
        <f t="shared" si="98"/>
        <v>12343.343531938026</v>
      </c>
    </row>
    <row r="139" spans="1:33">
      <c r="A139" s="37" t="s">
        <v>63</v>
      </c>
      <c r="B139" s="735" t="s">
        <v>15</v>
      </c>
      <c r="C139" s="663">
        <v>15000</v>
      </c>
      <c r="D139" s="736">
        <f t="shared" ref="D139:D140" si="99">C139/2080</f>
        <v>7.2115384615384617</v>
      </c>
      <c r="E139" s="663">
        <f>C139*$L$15</f>
        <v>0</v>
      </c>
      <c r="F139" s="663">
        <f t="shared" si="95"/>
        <v>6000</v>
      </c>
      <c r="G139" s="663">
        <f t="shared" si="96"/>
        <v>21000</v>
      </c>
      <c r="H139" s="736">
        <f t="shared" ref="H139:H140" si="100">G139/2080*8</f>
        <v>80.769230769230774</v>
      </c>
      <c r="I139" s="764"/>
      <c r="J139" s="765"/>
      <c r="K139" s="683">
        <v>0</v>
      </c>
      <c r="L139" s="665">
        <v>0</v>
      </c>
      <c r="M139" s="665">
        <f>($H$139*M32)*0.5</f>
        <v>8642.3076923076933</v>
      </c>
      <c r="N139" s="665">
        <f t="shared" ref="N139:AE139" si="101">$M$139*L11</f>
        <v>8815.1538461538476</v>
      </c>
      <c r="O139" s="665">
        <f t="shared" si="101"/>
        <v>8991.4569230769248</v>
      </c>
      <c r="P139" s="665">
        <f t="shared" si="101"/>
        <v>9171.2860615384616</v>
      </c>
      <c r="Q139" s="665">
        <f t="shared" si="101"/>
        <v>9354.7117827692309</v>
      </c>
      <c r="R139" s="665">
        <f t="shared" si="101"/>
        <v>9541.8060184246169</v>
      </c>
      <c r="S139" s="665">
        <f t="shared" si="101"/>
        <v>9732.6421387931096</v>
      </c>
      <c r="T139" s="665">
        <f t="shared" si="101"/>
        <v>9927.2949815689717</v>
      </c>
      <c r="U139" s="665">
        <f t="shared" si="101"/>
        <v>10125.840881200351</v>
      </c>
      <c r="V139" s="665">
        <f t="shared" si="101"/>
        <v>10328.357698824359</v>
      </c>
      <c r="W139" s="665">
        <f t="shared" si="101"/>
        <v>10534.924852800847</v>
      </c>
      <c r="X139" s="665">
        <f t="shared" si="101"/>
        <v>10745.623349856864</v>
      </c>
      <c r="Y139" s="665">
        <f t="shared" si="101"/>
        <v>10960.535816854001</v>
      </c>
      <c r="Z139" s="665">
        <f t="shared" si="101"/>
        <v>11179.746533191079</v>
      </c>
      <c r="AA139" s="665">
        <f t="shared" si="101"/>
        <v>11403.341463854902</v>
      </c>
      <c r="AB139" s="665">
        <f t="shared" si="101"/>
        <v>11631.408293132001</v>
      </c>
      <c r="AC139" s="665">
        <f t="shared" si="101"/>
        <v>11864.03645899464</v>
      </c>
      <c r="AD139" s="665">
        <f t="shared" si="101"/>
        <v>12101.317188174535</v>
      </c>
      <c r="AE139" s="665">
        <f t="shared" si="101"/>
        <v>12343.343531938026</v>
      </c>
    </row>
    <row r="140" spans="1:33">
      <c r="A140" s="745" t="s">
        <v>63</v>
      </c>
      <c r="B140" s="738" t="s">
        <v>15</v>
      </c>
      <c r="C140" s="739">
        <v>15000</v>
      </c>
      <c r="D140" s="740">
        <f t="shared" si="99"/>
        <v>7.2115384615384617</v>
      </c>
      <c r="E140" s="739">
        <f>C140*$L$15</f>
        <v>0</v>
      </c>
      <c r="F140" s="739">
        <f t="shared" si="95"/>
        <v>6000</v>
      </c>
      <c r="G140" s="739">
        <f t="shared" si="96"/>
        <v>21000</v>
      </c>
      <c r="H140" s="740">
        <f t="shared" si="100"/>
        <v>80.769230769230774</v>
      </c>
      <c r="I140" s="766"/>
      <c r="J140" s="767"/>
      <c r="K140" s="741">
        <v>0</v>
      </c>
      <c r="L140" s="742">
        <v>0</v>
      </c>
      <c r="M140" s="742">
        <f>($H$140*M32)*0.5</f>
        <v>8642.3076923076933</v>
      </c>
      <c r="N140" s="742">
        <f t="shared" ref="N140:AE140" si="102">$M$140*L11</f>
        <v>8815.1538461538476</v>
      </c>
      <c r="O140" s="742">
        <f t="shared" si="102"/>
        <v>8991.4569230769248</v>
      </c>
      <c r="P140" s="742">
        <f t="shared" si="102"/>
        <v>9171.2860615384616</v>
      </c>
      <c r="Q140" s="742">
        <f t="shared" si="102"/>
        <v>9354.7117827692309</v>
      </c>
      <c r="R140" s="742">
        <f t="shared" si="102"/>
        <v>9541.8060184246169</v>
      </c>
      <c r="S140" s="742">
        <f t="shared" si="102"/>
        <v>9732.6421387931096</v>
      </c>
      <c r="T140" s="742">
        <f t="shared" si="102"/>
        <v>9927.2949815689717</v>
      </c>
      <c r="U140" s="742">
        <f t="shared" si="102"/>
        <v>10125.840881200351</v>
      </c>
      <c r="V140" s="742">
        <f t="shared" si="102"/>
        <v>10328.357698824359</v>
      </c>
      <c r="W140" s="742">
        <f t="shared" si="102"/>
        <v>10534.924852800847</v>
      </c>
      <c r="X140" s="742">
        <f t="shared" si="102"/>
        <v>10745.623349856864</v>
      </c>
      <c r="Y140" s="742">
        <f t="shared" si="102"/>
        <v>10960.535816854001</v>
      </c>
      <c r="Z140" s="742">
        <f t="shared" si="102"/>
        <v>11179.746533191079</v>
      </c>
      <c r="AA140" s="742">
        <f t="shared" si="102"/>
        <v>11403.341463854902</v>
      </c>
      <c r="AB140" s="742">
        <f t="shared" si="102"/>
        <v>11631.408293132001</v>
      </c>
      <c r="AC140" s="742">
        <f t="shared" si="102"/>
        <v>11864.03645899464</v>
      </c>
      <c r="AD140" s="742">
        <f t="shared" si="102"/>
        <v>12101.317188174535</v>
      </c>
      <c r="AE140" s="742">
        <f t="shared" si="102"/>
        <v>12343.343531938026</v>
      </c>
    </row>
    <row r="141" spans="1:33" s="56" customFormat="1" ht="14.25">
      <c r="A141" s="164" t="s">
        <v>415</v>
      </c>
      <c r="B141" s="164"/>
      <c r="C141" s="667">
        <f>SUM(C136:C140)</f>
        <v>255000</v>
      </c>
      <c r="D141" s="667"/>
      <c r="E141" s="667">
        <f>SUM(E136:E140)</f>
        <v>0</v>
      </c>
      <c r="F141" s="667">
        <f>SUM(F136:F140)</f>
        <v>102000</v>
      </c>
      <c r="G141" s="667">
        <f>SUM(G136:G140)</f>
        <v>357000</v>
      </c>
      <c r="H141" s="667">
        <f>SUM(H136:H140)</f>
        <v>1373.0769230769229</v>
      </c>
      <c r="I141" s="768"/>
      <c r="J141" s="769"/>
      <c r="K141" s="685">
        <f>SUMIF($B136:$B140,"FT",K136:K140)</f>
        <v>0</v>
      </c>
      <c r="L141" s="669">
        <f>SUMIF($B136:$B140,"FT",L136:L140)</f>
        <v>0</v>
      </c>
      <c r="M141" s="669">
        <f>SUM(M136:M140)</f>
        <v>54446.538461538468</v>
      </c>
      <c r="N141" s="669">
        <f t="shared" ref="N141:AE141" si="103">SUM(N136:N140)</f>
        <v>55535.469230769231</v>
      </c>
      <c r="O141" s="669">
        <f t="shared" si="103"/>
        <v>56646.178615384626</v>
      </c>
      <c r="P141" s="669">
        <f t="shared" si="103"/>
        <v>57779.102187692311</v>
      </c>
      <c r="Q141" s="669">
        <f t="shared" si="103"/>
        <v>58934.684231446139</v>
      </c>
      <c r="R141" s="669">
        <f t="shared" si="103"/>
        <v>60113.377916075071</v>
      </c>
      <c r="S141" s="669">
        <f t="shared" si="103"/>
        <v>61315.645474396588</v>
      </c>
      <c r="T141" s="669">
        <f t="shared" si="103"/>
        <v>62541.958383884514</v>
      </c>
      <c r="U141" s="669">
        <f t="shared" si="103"/>
        <v>63792.797551562195</v>
      </c>
      <c r="V141" s="669">
        <f t="shared" si="103"/>
        <v>65068.653502593457</v>
      </c>
      <c r="W141" s="669">
        <f t="shared" si="103"/>
        <v>66370.026572645322</v>
      </c>
      <c r="X141" s="669">
        <f t="shared" si="103"/>
        <v>67697.427104098228</v>
      </c>
      <c r="Y141" s="669">
        <f t="shared" si="103"/>
        <v>69051.375646180197</v>
      </c>
      <c r="Z141" s="669">
        <f t="shared" si="103"/>
        <v>70432.403159103793</v>
      </c>
      <c r="AA141" s="669">
        <f t="shared" si="103"/>
        <v>71841.051222285882</v>
      </c>
      <c r="AB141" s="669">
        <f t="shared" si="103"/>
        <v>73277.872246731597</v>
      </c>
      <c r="AC141" s="669">
        <f t="shared" si="103"/>
        <v>74743.429691666228</v>
      </c>
      <c r="AD141" s="669">
        <f t="shared" si="103"/>
        <v>76238.298285499564</v>
      </c>
      <c r="AE141" s="669">
        <f t="shared" si="103"/>
        <v>77763.064251209551</v>
      </c>
    </row>
    <row r="142" spans="1:33">
      <c r="A142" s="37"/>
      <c r="B142" s="37"/>
      <c r="C142" s="663"/>
      <c r="D142" s="663"/>
      <c r="E142" s="663"/>
      <c r="F142" s="663"/>
      <c r="G142" s="663"/>
      <c r="H142" s="663"/>
      <c r="I142" s="107"/>
      <c r="J142" s="108"/>
      <c r="K142" s="683"/>
      <c r="L142" s="666"/>
      <c r="M142" s="666"/>
      <c r="N142" s="666"/>
      <c r="O142" s="666"/>
      <c r="P142" s="666"/>
      <c r="Q142" s="666"/>
      <c r="R142" s="666"/>
      <c r="S142" s="666"/>
      <c r="T142" s="666"/>
      <c r="U142" s="666"/>
      <c r="V142" s="666"/>
      <c r="W142" s="666"/>
      <c r="X142" s="666"/>
      <c r="Y142" s="666"/>
      <c r="Z142" s="666"/>
      <c r="AA142" s="666"/>
      <c r="AB142" s="666"/>
      <c r="AC142" s="666"/>
      <c r="AD142" s="666"/>
      <c r="AE142" s="666"/>
    </row>
    <row r="143" spans="1:33">
      <c r="A143" s="37" t="s">
        <v>11</v>
      </c>
      <c r="B143" s="37"/>
      <c r="C143" s="57"/>
      <c r="E143" s="57"/>
      <c r="F143" s="57"/>
      <c r="G143" s="57"/>
      <c r="H143" s="57"/>
      <c r="I143" s="43"/>
      <c r="J143" s="42"/>
      <c r="K143" s="770">
        <f>COUNTIF(K136:K140,"&gt;100")</f>
        <v>0</v>
      </c>
      <c r="L143" s="771">
        <f>COUNTIF(L136:L138,"&gt;100")</f>
        <v>0</v>
      </c>
      <c r="M143" s="771">
        <f t="shared" ref="M143:AE143" si="104">COUNTIF(M136:M138,"&gt;100")</f>
        <v>3</v>
      </c>
      <c r="N143" s="771">
        <f t="shared" si="104"/>
        <v>3</v>
      </c>
      <c r="O143" s="771">
        <f t="shared" si="104"/>
        <v>3</v>
      </c>
      <c r="P143" s="771">
        <f t="shared" si="104"/>
        <v>3</v>
      </c>
      <c r="Q143" s="771">
        <f t="shared" si="104"/>
        <v>3</v>
      </c>
      <c r="R143" s="771">
        <f t="shared" si="104"/>
        <v>3</v>
      </c>
      <c r="S143" s="771">
        <f t="shared" si="104"/>
        <v>3</v>
      </c>
      <c r="T143" s="771">
        <f t="shared" si="104"/>
        <v>3</v>
      </c>
      <c r="U143" s="771">
        <f t="shared" si="104"/>
        <v>3</v>
      </c>
      <c r="V143" s="771">
        <f t="shared" si="104"/>
        <v>3</v>
      </c>
      <c r="W143" s="771">
        <f t="shared" si="104"/>
        <v>3</v>
      </c>
      <c r="X143" s="771">
        <f t="shared" si="104"/>
        <v>3</v>
      </c>
      <c r="Y143" s="771">
        <f t="shared" si="104"/>
        <v>3</v>
      </c>
      <c r="Z143" s="771">
        <f t="shared" si="104"/>
        <v>3</v>
      </c>
      <c r="AA143" s="771">
        <f t="shared" si="104"/>
        <v>3</v>
      </c>
      <c r="AB143" s="771">
        <f t="shared" si="104"/>
        <v>3</v>
      </c>
      <c r="AC143" s="771">
        <f t="shared" si="104"/>
        <v>3</v>
      </c>
      <c r="AD143" s="771">
        <f t="shared" si="104"/>
        <v>3</v>
      </c>
      <c r="AE143" s="771">
        <f t="shared" si="104"/>
        <v>3</v>
      </c>
      <c r="AF143" s="772"/>
      <c r="AG143" s="772"/>
    </row>
    <row r="144" spans="1:33">
      <c r="A144" s="745" t="s">
        <v>10</v>
      </c>
      <c r="B144" s="745"/>
      <c r="C144" s="746"/>
      <c r="D144" s="116"/>
      <c r="E144" s="746"/>
      <c r="F144" s="746"/>
      <c r="G144" s="746"/>
      <c r="H144" s="746"/>
      <c r="I144" s="747"/>
      <c r="J144" s="748"/>
      <c r="K144" s="773">
        <v>0</v>
      </c>
      <c r="L144" s="774">
        <f>COUNTIF(L139:L140,"&gt;100")</f>
        <v>0</v>
      </c>
      <c r="M144" s="774">
        <f t="shared" ref="M144:AE144" si="105">COUNTIF(M139:M140,"&gt;100")</f>
        <v>2</v>
      </c>
      <c r="N144" s="774">
        <f t="shared" si="105"/>
        <v>2</v>
      </c>
      <c r="O144" s="774">
        <f t="shared" si="105"/>
        <v>2</v>
      </c>
      <c r="P144" s="774">
        <f t="shared" si="105"/>
        <v>2</v>
      </c>
      <c r="Q144" s="774">
        <f t="shared" si="105"/>
        <v>2</v>
      </c>
      <c r="R144" s="774">
        <f t="shared" si="105"/>
        <v>2</v>
      </c>
      <c r="S144" s="774">
        <f t="shared" si="105"/>
        <v>2</v>
      </c>
      <c r="T144" s="774">
        <f t="shared" si="105"/>
        <v>2</v>
      </c>
      <c r="U144" s="774">
        <f t="shared" si="105"/>
        <v>2</v>
      </c>
      <c r="V144" s="774">
        <f t="shared" si="105"/>
        <v>2</v>
      </c>
      <c r="W144" s="774">
        <f t="shared" si="105"/>
        <v>2</v>
      </c>
      <c r="X144" s="774">
        <f t="shared" si="105"/>
        <v>2</v>
      </c>
      <c r="Y144" s="774">
        <f t="shared" si="105"/>
        <v>2</v>
      </c>
      <c r="Z144" s="774">
        <f t="shared" si="105"/>
        <v>2</v>
      </c>
      <c r="AA144" s="774">
        <f t="shared" si="105"/>
        <v>2</v>
      </c>
      <c r="AB144" s="774">
        <f t="shared" si="105"/>
        <v>2</v>
      </c>
      <c r="AC144" s="774">
        <f t="shared" si="105"/>
        <v>2</v>
      </c>
      <c r="AD144" s="774">
        <f t="shared" si="105"/>
        <v>2</v>
      </c>
      <c r="AE144" s="774">
        <f t="shared" si="105"/>
        <v>2</v>
      </c>
      <c r="AF144" s="772"/>
      <c r="AG144" s="772"/>
    </row>
    <row r="145" spans="1:33" s="56" customFormat="1" ht="14.25">
      <c r="A145" s="164" t="s">
        <v>9</v>
      </c>
      <c r="B145" s="164"/>
      <c r="C145" s="75"/>
      <c r="D145" s="173"/>
      <c r="E145" s="75"/>
      <c r="F145" s="75"/>
      <c r="G145" s="75"/>
      <c r="H145" s="75"/>
      <c r="I145" s="174"/>
      <c r="J145" s="181"/>
      <c r="K145" s="775">
        <v>0</v>
      </c>
      <c r="L145" s="776">
        <f>SUM(L143:L144)</f>
        <v>0</v>
      </c>
      <c r="M145" s="776">
        <f t="shared" ref="M145:AE145" si="106">COUNTIF(M136:M140,"&gt;0")</f>
        <v>5</v>
      </c>
      <c r="N145" s="776">
        <f t="shared" si="106"/>
        <v>5</v>
      </c>
      <c r="O145" s="776">
        <f t="shared" si="106"/>
        <v>5</v>
      </c>
      <c r="P145" s="776">
        <f t="shared" si="106"/>
        <v>5</v>
      </c>
      <c r="Q145" s="776">
        <f t="shared" si="106"/>
        <v>5</v>
      </c>
      <c r="R145" s="776">
        <f t="shared" si="106"/>
        <v>5</v>
      </c>
      <c r="S145" s="776">
        <f t="shared" si="106"/>
        <v>5</v>
      </c>
      <c r="T145" s="776">
        <f t="shared" si="106"/>
        <v>5</v>
      </c>
      <c r="U145" s="776">
        <f t="shared" si="106"/>
        <v>5</v>
      </c>
      <c r="V145" s="776">
        <f t="shared" si="106"/>
        <v>5</v>
      </c>
      <c r="W145" s="776">
        <f t="shared" si="106"/>
        <v>5</v>
      </c>
      <c r="X145" s="776">
        <f t="shared" si="106"/>
        <v>5</v>
      </c>
      <c r="Y145" s="776">
        <f t="shared" si="106"/>
        <v>5</v>
      </c>
      <c r="Z145" s="776">
        <f t="shared" si="106"/>
        <v>5</v>
      </c>
      <c r="AA145" s="776">
        <f t="shared" si="106"/>
        <v>5</v>
      </c>
      <c r="AB145" s="776">
        <f t="shared" si="106"/>
        <v>5</v>
      </c>
      <c r="AC145" s="776">
        <f t="shared" si="106"/>
        <v>5</v>
      </c>
      <c r="AD145" s="776">
        <f t="shared" si="106"/>
        <v>5</v>
      </c>
      <c r="AE145" s="776">
        <f t="shared" si="106"/>
        <v>5</v>
      </c>
      <c r="AF145" s="723"/>
      <c r="AG145" s="723"/>
    </row>
    <row r="146" spans="1:33">
      <c r="B146" s="37"/>
      <c r="C146" s="57"/>
      <c r="E146" s="57"/>
      <c r="F146" s="57"/>
      <c r="G146" s="57"/>
      <c r="H146" s="57"/>
      <c r="I146" s="43"/>
      <c r="J146" s="42"/>
      <c r="K146" s="683"/>
      <c r="L146" s="316"/>
      <c r="M146" s="316"/>
      <c r="N146" s="316"/>
      <c r="O146" s="316"/>
      <c r="P146" s="316"/>
      <c r="Q146" s="316"/>
      <c r="R146" s="316"/>
      <c r="S146" s="316"/>
      <c r="T146" s="316"/>
      <c r="U146" s="316"/>
      <c r="V146" s="316"/>
      <c r="W146" s="316"/>
      <c r="X146" s="316"/>
      <c r="Y146" s="316"/>
      <c r="Z146" s="316"/>
      <c r="AA146" s="316"/>
      <c r="AB146" s="316"/>
      <c r="AC146" s="316"/>
      <c r="AD146" s="316"/>
      <c r="AE146" s="316"/>
    </row>
    <row r="147" spans="1:33">
      <c r="A147" s="33" t="s">
        <v>60</v>
      </c>
      <c r="B147" s="191"/>
      <c r="C147" s="192"/>
      <c r="D147" s="193"/>
      <c r="E147" s="194"/>
      <c r="F147" s="194"/>
      <c r="G147" s="192"/>
      <c r="H147" s="192"/>
      <c r="I147" s="195">
        <v>0.2</v>
      </c>
      <c r="J147" s="196"/>
      <c r="K147" s="689">
        <v>0</v>
      </c>
      <c r="L147" s="665">
        <f t="shared" ref="L147:AE147" si="107">L141*$I$147</f>
        <v>0</v>
      </c>
      <c r="M147" s="665">
        <f t="shared" si="107"/>
        <v>10889.307692307695</v>
      </c>
      <c r="N147" s="665">
        <f t="shared" si="107"/>
        <v>11107.093846153846</v>
      </c>
      <c r="O147" s="665">
        <f t="shared" si="107"/>
        <v>11329.235723076927</v>
      </c>
      <c r="P147" s="665">
        <f t="shared" si="107"/>
        <v>11555.820437538463</v>
      </c>
      <c r="Q147" s="665">
        <f t="shared" si="107"/>
        <v>11786.936846289229</v>
      </c>
      <c r="R147" s="665">
        <f t="shared" si="107"/>
        <v>12022.675583215016</v>
      </c>
      <c r="S147" s="665">
        <f t="shared" si="107"/>
        <v>12263.129094879318</v>
      </c>
      <c r="T147" s="665">
        <f t="shared" si="107"/>
        <v>12508.391676776904</v>
      </c>
      <c r="U147" s="665">
        <f t="shared" si="107"/>
        <v>12758.55951031244</v>
      </c>
      <c r="V147" s="665">
        <f t="shared" si="107"/>
        <v>13013.730700518692</v>
      </c>
      <c r="W147" s="665">
        <f t="shared" si="107"/>
        <v>13274.005314529066</v>
      </c>
      <c r="X147" s="665">
        <f t="shared" si="107"/>
        <v>13539.485420819647</v>
      </c>
      <c r="Y147" s="665">
        <f t="shared" si="107"/>
        <v>13810.275129236041</v>
      </c>
      <c r="Z147" s="665">
        <f t="shared" si="107"/>
        <v>14086.480631820759</v>
      </c>
      <c r="AA147" s="665">
        <f t="shared" si="107"/>
        <v>14368.210244457177</v>
      </c>
      <c r="AB147" s="665">
        <f t="shared" si="107"/>
        <v>14655.574449346321</v>
      </c>
      <c r="AC147" s="665">
        <f t="shared" si="107"/>
        <v>14948.685938333247</v>
      </c>
      <c r="AD147" s="665">
        <f t="shared" si="107"/>
        <v>15247.659657099914</v>
      </c>
      <c r="AE147" s="665">
        <f t="shared" si="107"/>
        <v>15552.612850241911</v>
      </c>
    </row>
    <row r="148" spans="1:33">
      <c r="B148" s="191"/>
      <c r="C148" s="192"/>
      <c r="D148" s="193"/>
      <c r="E148" s="194"/>
      <c r="F148" s="194"/>
      <c r="G148" s="192"/>
      <c r="H148" s="192"/>
      <c r="I148" s="195"/>
      <c r="J148" s="196"/>
      <c r="K148" s="689"/>
      <c r="L148" s="665"/>
      <c r="M148" s="665"/>
      <c r="N148" s="665"/>
      <c r="O148" s="665"/>
      <c r="P148" s="665"/>
      <c r="Q148" s="665"/>
      <c r="R148" s="665"/>
      <c r="S148" s="665"/>
      <c r="T148" s="665"/>
      <c r="U148" s="665"/>
      <c r="V148" s="665"/>
      <c r="W148" s="665"/>
      <c r="X148" s="665"/>
      <c r="Y148" s="665"/>
      <c r="Z148" s="665"/>
      <c r="AA148" s="665"/>
      <c r="AB148" s="665"/>
      <c r="AC148" s="665"/>
      <c r="AD148" s="665"/>
      <c r="AE148" s="665"/>
    </row>
    <row r="149" spans="1:33" s="197" customFormat="1" ht="14.25">
      <c r="A149" s="197" t="s">
        <v>68</v>
      </c>
      <c r="D149" s="198"/>
      <c r="K149" s="690"/>
      <c r="L149" s="677"/>
      <c r="M149" s="677"/>
      <c r="N149" s="677"/>
      <c r="O149" s="677"/>
      <c r="P149" s="677"/>
      <c r="Q149" s="677"/>
      <c r="R149" s="677"/>
      <c r="S149" s="677"/>
      <c r="T149" s="677"/>
      <c r="U149" s="677"/>
      <c r="V149" s="677"/>
      <c r="W149" s="677"/>
      <c r="X149" s="677"/>
      <c r="Y149" s="677"/>
      <c r="Z149" s="677"/>
      <c r="AA149" s="677"/>
      <c r="AB149" s="677"/>
      <c r="AC149" s="677"/>
      <c r="AD149" s="677"/>
      <c r="AE149" s="677"/>
    </row>
    <row r="150" spans="1:33">
      <c r="A150" s="37" t="s">
        <v>423</v>
      </c>
      <c r="B150" s="37"/>
      <c r="C150" s="110"/>
      <c r="D150" s="106"/>
      <c r="E150" s="57"/>
      <c r="F150" s="57"/>
      <c r="G150" s="57"/>
      <c r="H150" s="57"/>
      <c r="I150" s="49"/>
      <c r="J150" s="44"/>
      <c r="K150" s="683">
        <f>COUNTIF(K$116:K$123,"&gt;0")*$J150*R$9</f>
        <v>0</v>
      </c>
      <c r="L150" s="666">
        <v>0</v>
      </c>
      <c r="M150" s="666">
        <v>10000</v>
      </c>
      <c r="N150" s="666">
        <f t="shared" ref="N150:AE150" si="108">$M$150*L11</f>
        <v>10200</v>
      </c>
      <c r="O150" s="666">
        <f t="shared" si="108"/>
        <v>10404</v>
      </c>
      <c r="P150" s="666">
        <f t="shared" si="108"/>
        <v>10612.08</v>
      </c>
      <c r="Q150" s="666">
        <f t="shared" si="108"/>
        <v>10824.321599999999</v>
      </c>
      <c r="R150" s="666">
        <f t="shared" si="108"/>
        <v>11040.808032000001</v>
      </c>
      <c r="S150" s="666">
        <f t="shared" si="108"/>
        <v>11261.62419264</v>
      </c>
      <c r="T150" s="666">
        <f t="shared" si="108"/>
        <v>11486.8566764928</v>
      </c>
      <c r="U150" s="666">
        <f t="shared" si="108"/>
        <v>11716.593810022658</v>
      </c>
      <c r="V150" s="666">
        <f t="shared" si="108"/>
        <v>11950.92568622311</v>
      </c>
      <c r="W150" s="666">
        <f t="shared" si="108"/>
        <v>12189.944199947573</v>
      </c>
      <c r="X150" s="666">
        <f t="shared" si="108"/>
        <v>12433.743083946525</v>
      </c>
      <c r="Y150" s="666">
        <f t="shared" si="108"/>
        <v>12682.417945625455</v>
      </c>
      <c r="Z150" s="666">
        <f t="shared" si="108"/>
        <v>12936.066304537962</v>
      </c>
      <c r="AA150" s="666">
        <f t="shared" si="108"/>
        <v>13194.787630628723</v>
      </c>
      <c r="AB150" s="666">
        <f t="shared" si="108"/>
        <v>13458.683383241299</v>
      </c>
      <c r="AC150" s="666">
        <f t="shared" si="108"/>
        <v>13727.857050906125</v>
      </c>
      <c r="AD150" s="666">
        <f t="shared" si="108"/>
        <v>14002.414191924248</v>
      </c>
      <c r="AE150" s="666">
        <f t="shared" si="108"/>
        <v>14282.462475762733</v>
      </c>
    </row>
    <row r="151" spans="1:33">
      <c r="A151" s="37" t="s">
        <v>67</v>
      </c>
      <c r="B151" s="37"/>
      <c r="C151" s="110"/>
      <c r="D151" s="106"/>
      <c r="E151" s="57"/>
      <c r="F151" s="57"/>
      <c r="G151" s="57"/>
      <c r="H151" s="57"/>
      <c r="I151" s="51"/>
      <c r="J151" s="44"/>
      <c r="K151" s="683">
        <v>0</v>
      </c>
      <c r="L151" s="666">
        <v>0</v>
      </c>
      <c r="M151" s="666">
        <v>10000</v>
      </c>
      <c r="N151" s="666">
        <f t="shared" ref="N151:AE151" si="109">$M$151*L11</f>
        <v>10200</v>
      </c>
      <c r="O151" s="666">
        <f t="shared" si="109"/>
        <v>10404</v>
      </c>
      <c r="P151" s="666">
        <f t="shared" si="109"/>
        <v>10612.08</v>
      </c>
      <c r="Q151" s="666">
        <f t="shared" si="109"/>
        <v>10824.321599999999</v>
      </c>
      <c r="R151" s="666">
        <f t="shared" si="109"/>
        <v>11040.808032000001</v>
      </c>
      <c r="S151" s="666">
        <f t="shared" si="109"/>
        <v>11261.62419264</v>
      </c>
      <c r="T151" s="666">
        <f t="shared" si="109"/>
        <v>11486.8566764928</v>
      </c>
      <c r="U151" s="666">
        <f t="shared" si="109"/>
        <v>11716.593810022658</v>
      </c>
      <c r="V151" s="666">
        <f t="shared" si="109"/>
        <v>11950.92568622311</v>
      </c>
      <c r="W151" s="666">
        <f t="shared" si="109"/>
        <v>12189.944199947573</v>
      </c>
      <c r="X151" s="666">
        <f t="shared" si="109"/>
        <v>12433.743083946525</v>
      </c>
      <c r="Y151" s="666">
        <f t="shared" si="109"/>
        <v>12682.417945625455</v>
      </c>
      <c r="Z151" s="666">
        <f t="shared" si="109"/>
        <v>12936.066304537962</v>
      </c>
      <c r="AA151" s="666">
        <f t="shared" si="109"/>
        <v>13194.787630628723</v>
      </c>
      <c r="AB151" s="666">
        <f t="shared" si="109"/>
        <v>13458.683383241299</v>
      </c>
      <c r="AC151" s="666">
        <f t="shared" si="109"/>
        <v>13727.857050906125</v>
      </c>
      <c r="AD151" s="666">
        <f t="shared" si="109"/>
        <v>14002.414191924248</v>
      </c>
      <c r="AE151" s="666">
        <f t="shared" si="109"/>
        <v>14282.462475762733</v>
      </c>
    </row>
    <row r="152" spans="1:33">
      <c r="A152" s="180" t="s">
        <v>2</v>
      </c>
      <c r="B152" s="777"/>
      <c r="C152" s="778"/>
      <c r="D152" s="779"/>
      <c r="E152" s="746"/>
      <c r="F152" s="746"/>
      <c r="G152" s="778"/>
      <c r="H152" s="778"/>
      <c r="I152" s="780"/>
      <c r="J152" s="781"/>
      <c r="K152" s="741">
        <v>0</v>
      </c>
      <c r="L152" s="742">
        <v>0</v>
      </c>
      <c r="M152" s="742">
        <v>0</v>
      </c>
      <c r="N152" s="742">
        <v>0</v>
      </c>
      <c r="O152" s="742">
        <v>0</v>
      </c>
      <c r="P152" s="742">
        <v>0</v>
      </c>
      <c r="Q152" s="742">
        <v>0</v>
      </c>
      <c r="R152" s="742">
        <v>0</v>
      </c>
      <c r="S152" s="742">
        <v>0</v>
      </c>
      <c r="T152" s="742">
        <v>0</v>
      </c>
      <c r="U152" s="742">
        <v>0</v>
      </c>
      <c r="V152" s="742">
        <v>0</v>
      </c>
      <c r="W152" s="742">
        <v>0</v>
      </c>
      <c r="X152" s="742">
        <v>0</v>
      </c>
      <c r="Y152" s="742">
        <v>0</v>
      </c>
      <c r="Z152" s="742">
        <v>0</v>
      </c>
      <c r="AA152" s="742">
        <v>0</v>
      </c>
      <c r="AB152" s="742">
        <v>0</v>
      </c>
      <c r="AC152" s="742">
        <v>0</v>
      </c>
      <c r="AD152" s="742">
        <v>0</v>
      </c>
      <c r="AE152" s="742">
        <v>0</v>
      </c>
    </row>
    <row r="153" spans="1:33" s="56" customFormat="1" ht="14.25">
      <c r="A153" s="164" t="s">
        <v>78</v>
      </c>
      <c r="B153" s="164"/>
      <c r="C153" s="75"/>
      <c r="D153" s="173"/>
      <c r="E153" s="75"/>
      <c r="F153" s="75"/>
      <c r="G153" s="75"/>
      <c r="H153" s="75"/>
      <c r="I153" s="174"/>
      <c r="J153" s="175"/>
      <c r="K153" s="685">
        <v>0</v>
      </c>
      <c r="L153" s="669">
        <f t="shared" ref="L153:AE153" si="110">SUM(L150:L152)</f>
        <v>0</v>
      </c>
      <c r="M153" s="669">
        <f t="shared" si="110"/>
        <v>20000</v>
      </c>
      <c r="N153" s="669">
        <f t="shared" si="110"/>
        <v>20400</v>
      </c>
      <c r="O153" s="669">
        <f t="shared" si="110"/>
        <v>20808</v>
      </c>
      <c r="P153" s="669">
        <f t="shared" si="110"/>
        <v>21224.16</v>
      </c>
      <c r="Q153" s="669">
        <f t="shared" si="110"/>
        <v>21648.643199999999</v>
      </c>
      <c r="R153" s="669">
        <f t="shared" si="110"/>
        <v>22081.616064000002</v>
      </c>
      <c r="S153" s="669">
        <f t="shared" si="110"/>
        <v>22523.24838528</v>
      </c>
      <c r="T153" s="669">
        <f t="shared" si="110"/>
        <v>22973.7133529856</v>
      </c>
      <c r="U153" s="669">
        <f t="shared" si="110"/>
        <v>23433.187620045315</v>
      </c>
      <c r="V153" s="669">
        <f t="shared" si="110"/>
        <v>23901.851372446221</v>
      </c>
      <c r="W153" s="669">
        <f t="shared" si="110"/>
        <v>24379.888399895146</v>
      </c>
      <c r="X153" s="669">
        <f t="shared" si="110"/>
        <v>24867.48616789305</v>
      </c>
      <c r="Y153" s="669">
        <f t="shared" si="110"/>
        <v>25364.83589125091</v>
      </c>
      <c r="Z153" s="669">
        <f t="shared" si="110"/>
        <v>25872.132609075925</v>
      </c>
      <c r="AA153" s="669">
        <f t="shared" si="110"/>
        <v>26389.575261257447</v>
      </c>
      <c r="AB153" s="669">
        <f t="shared" si="110"/>
        <v>26917.366766482599</v>
      </c>
      <c r="AC153" s="669">
        <f t="shared" si="110"/>
        <v>27455.714101812249</v>
      </c>
      <c r="AD153" s="669">
        <f t="shared" si="110"/>
        <v>28004.828383848497</v>
      </c>
      <c r="AE153" s="669">
        <f t="shared" si="110"/>
        <v>28564.924951525467</v>
      </c>
    </row>
    <row r="154" spans="1:33" s="56" customFormat="1" ht="14.25">
      <c r="A154" s="164"/>
      <c r="B154" s="164"/>
      <c r="C154" s="75"/>
      <c r="D154" s="173"/>
      <c r="E154" s="75"/>
      <c r="F154" s="75"/>
      <c r="G154" s="75"/>
      <c r="H154" s="75"/>
      <c r="I154" s="174"/>
      <c r="J154" s="175"/>
      <c r="K154" s="685"/>
      <c r="L154" s="669"/>
      <c r="M154" s="669"/>
      <c r="N154" s="669"/>
      <c r="O154" s="669"/>
      <c r="P154" s="669"/>
      <c r="Q154" s="669"/>
      <c r="R154" s="669"/>
      <c r="S154" s="669"/>
      <c r="T154" s="669"/>
      <c r="U154" s="669"/>
      <c r="V154" s="669"/>
      <c r="W154" s="669"/>
      <c r="X154" s="669"/>
      <c r="Y154" s="669"/>
      <c r="Z154" s="669"/>
      <c r="AA154" s="669"/>
      <c r="AB154" s="669"/>
      <c r="AC154" s="669"/>
      <c r="AD154" s="669"/>
      <c r="AE154" s="669"/>
    </row>
    <row r="155" spans="1:33" s="56" customFormat="1" ht="14.25">
      <c r="A155" s="164" t="s">
        <v>66</v>
      </c>
      <c r="B155" s="164"/>
      <c r="C155" s="75"/>
      <c r="D155" s="173"/>
      <c r="E155" s="75"/>
      <c r="F155" s="75"/>
      <c r="G155" s="75"/>
      <c r="H155" s="75"/>
      <c r="I155" s="174"/>
      <c r="J155" s="175"/>
      <c r="K155" s="685">
        <v>0</v>
      </c>
      <c r="L155" s="669">
        <f>SUM(L141,L153)</f>
        <v>0</v>
      </c>
      <c r="M155" s="669">
        <f>SUM(M141,M147,M153)</f>
        <v>85335.846153846156</v>
      </c>
      <c r="N155" s="669">
        <f t="shared" ref="N155:AE155" si="111">SUM(N141,N147,N153)</f>
        <v>87042.563076923077</v>
      </c>
      <c r="O155" s="669">
        <f t="shared" si="111"/>
        <v>88783.41433846156</v>
      </c>
      <c r="P155" s="669">
        <f t="shared" si="111"/>
        <v>90559.082625230774</v>
      </c>
      <c r="Q155" s="669">
        <f t="shared" si="111"/>
        <v>92370.264277735376</v>
      </c>
      <c r="R155" s="669">
        <f t="shared" si="111"/>
        <v>94217.669563290081</v>
      </c>
      <c r="S155" s="669">
        <f t="shared" si="111"/>
        <v>96102.022954555898</v>
      </c>
      <c r="T155" s="669">
        <f t="shared" si="111"/>
        <v>98024.063413647003</v>
      </c>
      <c r="U155" s="669">
        <f t="shared" si="111"/>
        <v>99984.544681919942</v>
      </c>
      <c r="V155" s="669">
        <f t="shared" si="111"/>
        <v>101984.23557555837</v>
      </c>
      <c r="W155" s="669">
        <f t="shared" si="111"/>
        <v>104023.92028706953</v>
      </c>
      <c r="X155" s="669">
        <f t="shared" si="111"/>
        <v>106104.39869281092</v>
      </c>
      <c r="Y155" s="669">
        <f t="shared" si="111"/>
        <v>108226.48666666714</v>
      </c>
      <c r="Z155" s="669">
        <f t="shared" si="111"/>
        <v>110391.01640000047</v>
      </c>
      <c r="AA155" s="669">
        <f t="shared" si="111"/>
        <v>112598.8367280005</v>
      </c>
      <c r="AB155" s="669">
        <f t="shared" si="111"/>
        <v>114850.8134625605</v>
      </c>
      <c r="AC155" s="669">
        <f t="shared" si="111"/>
        <v>117147.82973181173</v>
      </c>
      <c r="AD155" s="669">
        <f t="shared" si="111"/>
        <v>119490.78632644797</v>
      </c>
      <c r="AE155" s="669">
        <f t="shared" si="111"/>
        <v>121880.60205297693</v>
      </c>
    </row>
    <row r="156" spans="1:33" s="56" customFormat="1" ht="14.25">
      <c r="A156" s="164"/>
      <c r="B156" s="164"/>
      <c r="C156" s="75"/>
      <c r="D156" s="173"/>
      <c r="E156" s="75"/>
      <c r="F156" s="75"/>
      <c r="G156" s="75"/>
      <c r="H156" s="75"/>
      <c r="I156" s="174"/>
      <c r="J156" s="175"/>
      <c r="K156" s="685"/>
      <c r="L156" s="669"/>
      <c r="M156" s="669"/>
      <c r="N156" s="669"/>
      <c r="O156" s="669"/>
      <c r="P156" s="669"/>
      <c r="Q156" s="669"/>
      <c r="R156" s="669"/>
      <c r="S156" s="669"/>
      <c r="T156" s="669"/>
      <c r="U156" s="669"/>
      <c r="V156" s="669"/>
      <c r="W156" s="669"/>
      <c r="X156" s="669"/>
      <c r="Y156" s="669"/>
      <c r="Z156" s="669"/>
      <c r="AA156" s="669"/>
      <c r="AB156" s="669"/>
      <c r="AC156" s="669"/>
      <c r="AD156" s="669"/>
      <c r="AE156" s="669"/>
    </row>
    <row r="157" spans="1:33">
      <c r="A157" s="47" t="s">
        <v>7</v>
      </c>
      <c r="B157" s="47" t="s">
        <v>7</v>
      </c>
      <c r="C157" s="78" t="s">
        <v>7</v>
      </c>
      <c r="D157" s="100"/>
      <c r="E157" s="78" t="s">
        <v>7</v>
      </c>
      <c r="F157" s="78"/>
      <c r="G157" s="78" t="s">
        <v>7</v>
      </c>
      <c r="H157" s="78"/>
      <c r="I157" s="52" t="s">
        <v>7</v>
      </c>
      <c r="J157" s="114"/>
      <c r="K157" s="673"/>
      <c r="L157" s="672"/>
      <c r="M157" s="672"/>
      <c r="N157" s="672"/>
      <c r="O157" s="672"/>
      <c r="P157" s="672"/>
      <c r="Q157" s="672"/>
      <c r="R157" s="672"/>
      <c r="S157" s="672"/>
      <c r="T157" s="672"/>
      <c r="U157" s="672"/>
      <c r="V157" s="672"/>
      <c r="W157" s="672"/>
      <c r="X157" s="672"/>
      <c r="Y157" s="672"/>
      <c r="Z157" s="672"/>
      <c r="AA157" s="672"/>
      <c r="AB157" s="672"/>
      <c r="AC157" s="672"/>
      <c r="AD157" s="672"/>
      <c r="AE157" s="672"/>
    </row>
    <row r="158" spans="1:33">
      <c r="A158" s="47"/>
      <c r="B158" s="47"/>
      <c r="C158" s="78"/>
      <c r="D158" s="100"/>
      <c r="E158" s="78"/>
      <c r="F158" s="78"/>
      <c r="G158" s="78"/>
      <c r="H158" s="78"/>
      <c r="I158" s="52"/>
      <c r="J158" s="114"/>
      <c r="K158" s="664"/>
      <c r="L158" s="666"/>
      <c r="M158" s="666"/>
      <c r="N158" s="666"/>
      <c r="O158" s="666"/>
      <c r="P158" s="666"/>
      <c r="Q158" s="666"/>
      <c r="R158" s="666"/>
      <c r="S158" s="666"/>
      <c r="T158" s="666"/>
      <c r="U158" s="666"/>
      <c r="V158" s="666"/>
      <c r="W158" s="666"/>
      <c r="X158" s="666"/>
      <c r="Y158" s="666"/>
      <c r="Z158" s="666"/>
      <c r="AA158" s="666"/>
      <c r="AB158" s="666"/>
      <c r="AC158" s="666"/>
      <c r="AD158" s="666"/>
      <c r="AE158" s="666"/>
    </row>
    <row r="159" spans="1:33" s="56" customFormat="1" ht="14.25">
      <c r="A159" s="203" t="s">
        <v>79</v>
      </c>
      <c r="B159" s="203"/>
      <c r="C159" s="204"/>
      <c r="D159" s="205"/>
      <c r="E159" s="204"/>
      <c r="F159" s="204"/>
      <c r="G159" s="204"/>
      <c r="H159" s="204"/>
      <c r="I159" s="206"/>
      <c r="J159" s="207"/>
      <c r="K159" s="675">
        <v>0</v>
      </c>
      <c r="L159" s="676">
        <f t="shared" ref="L159:AE159" si="112">SUM(L132,L155)</f>
        <v>0</v>
      </c>
      <c r="M159" s="676">
        <f t="shared" si="112"/>
        <v>139905.84615384616</v>
      </c>
      <c r="N159" s="676">
        <f t="shared" si="112"/>
        <v>143817.19107692307</v>
      </c>
      <c r="O159" s="676">
        <f t="shared" si="112"/>
        <v>146693.53489846154</v>
      </c>
      <c r="P159" s="676">
        <f t="shared" si="112"/>
        <v>149627.40559643076</v>
      </c>
      <c r="Q159" s="676">
        <f t="shared" si="112"/>
        <v>152619.95370835939</v>
      </c>
      <c r="R159" s="676">
        <f t="shared" si="112"/>
        <v>155672.35278252655</v>
      </c>
      <c r="S159" s="676">
        <f t="shared" si="112"/>
        <v>158785.7998381771</v>
      </c>
      <c r="T159" s="676">
        <f t="shared" si="112"/>
        <v>161961.51583494066</v>
      </c>
      <c r="U159" s="676">
        <f t="shared" si="112"/>
        <v>165200.74615163944</v>
      </c>
      <c r="V159" s="676">
        <f t="shared" si="112"/>
        <v>168504.76107467228</v>
      </c>
      <c r="W159" s="676">
        <f t="shared" si="112"/>
        <v>171874.85629616573</v>
      </c>
      <c r="X159" s="676">
        <f t="shared" si="112"/>
        <v>175312.35342208904</v>
      </c>
      <c r="Y159" s="676">
        <f t="shared" si="112"/>
        <v>178818.60049053084</v>
      </c>
      <c r="Z159" s="676">
        <f t="shared" si="112"/>
        <v>182394.97250034142</v>
      </c>
      <c r="AA159" s="676">
        <f t="shared" si="112"/>
        <v>186042.87195034826</v>
      </c>
      <c r="AB159" s="676">
        <f t="shared" si="112"/>
        <v>189763.72938935523</v>
      </c>
      <c r="AC159" s="676">
        <f t="shared" si="112"/>
        <v>193559.00397714233</v>
      </c>
      <c r="AD159" s="676">
        <f t="shared" si="112"/>
        <v>197430.18405668519</v>
      </c>
      <c r="AE159" s="676">
        <f t="shared" si="112"/>
        <v>201378.7877378189</v>
      </c>
      <c r="AG159" s="199"/>
    </row>
    <row r="160" spans="1:33">
      <c r="K160" s="664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</row>
    <row r="161" spans="1:33">
      <c r="A161" s="47" t="s">
        <v>7</v>
      </c>
      <c r="B161" s="47" t="s">
        <v>7</v>
      </c>
      <c r="C161" s="78" t="s">
        <v>7</v>
      </c>
      <c r="D161" s="100"/>
      <c r="E161" s="78" t="s">
        <v>7</v>
      </c>
      <c r="F161" s="78"/>
      <c r="G161" s="78" t="s">
        <v>7</v>
      </c>
      <c r="H161" s="78"/>
      <c r="I161" s="52" t="s">
        <v>7</v>
      </c>
      <c r="J161" s="114"/>
      <c r="K161" s="673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</row>
    <row r="162" spans="1:33">
      <c r="K162" s="664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G162" s="199"/>
    </row>
    <row r="163" spans="1:33" s="56" customFormat="1" ht="14.25">
      <c r="A163" s="208" t="s">
        <v>115</v>
      </c>
      <c r="B163" s="208"/>
      <c r="C163" s="208"/>
      <c r="D163" s="202"/>
      <c r="E163" s="208"/>
      <c r="F163" s="208"/>
      <c r="G163" s="208"/>
      <c r="H163" s="208"/>
      <c r="I163" s="208"/>
      <c r="J163" s="208"/>
      <c r="K163" s="678">
        <f>SUM(K153,K113)</f>
        <v>0</v>
      </c>
      <c r="L163" s="678">
        <f t="shared" ref="L163:AE163" si="113">SUM(L113,L159)</f>
        <v>367858.33333333331</v>
      </c>
      <c r="M163" s="678">
        <f t="shared" si="113"/>
        <v>905069.84615384613</v>
      </c>
      <c r="N163" s="678">
        <f t="shared" si="113"/>
        <v>924294.67107692314</v>
      </c>
      <c r="O163" s="678">
        <f t="shared" si="113"/>
        <v>942780.56449846143</v>
      </c>
      <c r="P163" s="678">
        <f t="shared" si="113"/>
        <v>961636.17578843061</v>
      </c>
      <c r="Q163" s="678">
        <f t="shared" si="113"/>
        <v>1009212.7780993994</v>
      </c>
      <c r="R163" s="678">
        <f t="shared" si="113"/>
        <v>1024860.1148710193</v>
      </c>
      <c r="S163" s="678">
        <f t="shared" si="113"/>
        <v>1045357.3171684397</v>
      </c>
      <c r="T163" s="678">
        <f t="shared" si="113"/>
        <v>1066264.4635118085</v>
      </c>
      <c r="U163" s="678">
        <f t="shared" si="113"/>
        <v>1087589.7527820447</v>
      </c>
      <c r="V163" s="678">
        <f t="shared" si="113"/>
        <v>1113732.0506276884</v>
      </c>
      <c r="W163" s="678">
        <f t="shared" si="113"/>
        <v>1131528.3787944396</v>
      </c>
      <c r="X163" s="678">
        <f t="shared" si="113"/>
        <v>1154158.9463703283</v>
      </c>
      <c r="Y163" s="678">
        <f t="shared" si="113"/>
        <v>1177242.125297735</v>
      </c>
      <c r="Z163" s="678">
        <f t="shared" si="113"/>
        <v>1200786.9678036897</v>
      </c>
      <c r="AA163" s="678">
        <f t="shared" si="113"/>
        <v>1229129.7729906016</v>
      </c>
      <c r="AB163" s="678">
        <f t="shared" si="113"/>
        <v>1249298.7613029587</v>
      </c>
      <c r="AC163" s="678">
        <f t="shared" si="113"/>
        <v>1274284.7365290178</v>
      </c>
      <c r="AD163" s="678">
        <f t="shared" si="113"/>
        <v>1299770.4312595986</v>
      </c>
      <c r="AE163" s="678">
        <f t="shared" si="113"/>
        <v>1325765.8398847904</v>
      </c>
      <c r="AG163" s="199"/>
    </row>
    <row r="164" spans="1:33">
      <c r="K164" s="664"/>
      <c r="L164" s="666"/>
      <c r="M164" s="666"/>
      <c r="N164" s="666"/>
      <c r="O164" s="666"/>
      <c r="P164" s="666"/>
      <c r="Q164" s="666"/>
      <c r="R164" s="666"/>
      <c r="S164" s="666"/>
      <c r="T164" s="666"/>
      <c r="U164" s="666"/>
      <c r="V164" s="666"/>
      <c r="W164" s="666"/>
      <c r="X164" s="666"/>
      <c r="Y164" s="666"/>
      <c r="Z164" s="666"/>
      <c r="AA164" s="666"/>
      <c r="AB164" s="666"/>
      <c r="AC164" s="666"/>
      <c r="AD164" s="666"/>
      <c r="AE164" s="666"/>
      <c r="AG164" s="199"/>
    </row>
    <row r="165" spans="1:33">
      <c r="A165" s="251"/>
      <c r="B165" s="251"/>
      <c r="C165" s="251"/>
      <c r="D165" s="259"/>
      <c r="E165" s="251"/>
      <c r="F165" s="251"/>
      <c r="G165" s="251"/>
      <c r="H165" s="251"/>
      <c r="I165" s="251"/>
      <c r="J165" s="251"/>
      <c r="K165" s="679"/>
      <c r="L165" s="680"/>
      <c r="M165" s="680"/>
      <c r="N165" s="680"/>
      <c r="O165" s="680"/>
      <c r="P165" s="680"/>
      <c r="Q165" s="680"/>
      <c r="R165" s="680"/>
      <c r="S165" s="680"/>
      <c r="T165" s="680"/>
      <c r="U165" s="680"/>
      <c r="V165" s="680"/>
      <c r="W165" s="680"/>
      <c r="X165" s="680"/>
      <c r="Y165" s="680"/>
      <c r="Z165" s="680"/>
      <c r="AA165" s="680"/>
      <c r="AB165" s="680"/>
      <c r="AC165" s="680"/>
      <c r="AD165" s="680"/>
      <c r="AE165" s="680"/>
      <c r="AG165" s="199"/>
    </row>
    <row r="166" spans="1:33">
      <c r="K166" s="664"/>
      <c r="L166" s="666"/>
      <c r="M166" s="666"/>
      <c r="N166" s="666"/>
      <c r="O166" s="666"/>
      <c r="P166" s="666"/>
      <c r="Q166" s="666"/>
      <c r="R166" s="666"/>
      <c r="S166" s="666"/>
      <c r="T166" s="666"/>
      <c r="U166" s="666"/>
      <c r="V166" s="666"/>
      <c r="W166" s="666"/>
      <c r="X166" s="666"/>
      <c r="Y166" s="666"/>
      <c r="Z166" s="666"/>
      <c r="AA166" s="666"/>
      <c r="AB166" s="666"/>
      <c r="AC166" s="666"/>
      <c r="AD166" s="666"/>
      <c r="AE166" s="666"/>
      <c r="AG166" s="199"/>
    </row>
    <row r="167" spans="1:33">
      <c r="A167" s="249" t="s">
        <v>84</v>
      </c>
      <c r="B167" s="281"/>
      <c r="C167" s="281"/>
      <c r="D167" s="177"/>
      <c r="E167" s="281"/>
      <c r="F167" s="281"/>
      <c r="G167" s="281"/>
      <c r="H167" s="281"/>
      <c r="I167" s="281"/>
      <c r="J167" s="281"/>
      <c r="K167" s="681"/>
      <c r="L167" s="682"/>
      <c r="M167" s="682"/>
      <c r="N167" s="682"/>
      <c r="O167" s="682"/>
      <c r="P167" s="682"/>
      <c r="Q167" s="682"/>
      <c r="R167" s="682"/>
      <c r="S167" s="682"/>
      <c r="T167" s="682"/>
      <c r="U167" s="682"/>
      <c r="V167" s="682"/>
      <c r="W167" s="682"/>
      <c r="X167" s="682"/>
      <c r="Y167" s="682"/>
      <c r="Z167" s="682"/>
      <c r="AA167" s="682"/>
      <c r="AB167" s="682"/>
      <c r="AC167" s="682"/>
      <c r="AD167" s="682"/>
      <c r="AE167" s="682"/>
      <c r="AG167" s="199"/>
    </row>
    <row r="168" spans="1:33" s="252" customFormat="1">
      <c r="A168" s="257"/>
      <c r="D168" s="186"/>
      <c r="K168" s="664"/>
      <c r="L168" s="671"/>
      <c r="M168" s="671"/>
      <c r="N168" s="671"/>
      <c r="O168" s="671"/>
      <c r="P168" s="671"/>
      <c r="Q168" s="671"/>
      <c r="R168" s="671"/>
      <c r="S168" s="671"/>
      <c r="T168" s="671"/>
      <c r="U168" s="671"/>
      <c r="V168" s="671"/>
      <c r="W168" s="671"/>
      <c r="X168" s="671"/>
      <c r="Y168" s="671"/>
      <c r="Z168" s="671"/>
      <c r="AA168" s="671"/>
      <c r="AB168" s="671"/>
      <c r="AC168" s="671"/>
      <c r="AD168" s="671"/>
      <c r="AE168" s="671"/>
      <c r="AG168" s="363"/>
    </row>
    <row r="169" spans="1:33">
      <c r="A169" s="96" t="s">
        <v>136</v>
      </c>
      <c r="B169" s="37"/>
      <c r="C169" s="110"/>
      <c r="D169" s="106"/>
      <c r="E169" s="57"/>
      <c r="F169" s="57"/>
      <c r="G169" s="57"/>
      <c r="H169" s="57"/>
      <c r="I169" s="51"/>
      <c r="J169" s="44"/>
      <c r="K169" s="514"/>
      <c r="L169" s="515"/>
      <c r="M169" s="515"/>
      <c r="N169" s="515"/>
      <c r="O169" s="515"/>
      <c r="P169" s="515"/>
      <c r="Q169" s="515"/>
      <c r="R169" s="515"/>
      <c r="S169" s="515"/>
      <c r="T169" s="515"/>
      <c r="U169" s="515"/>
      <c r="V169" s="515"/>
      <c r="W169" s="515"/>
      <c r="X169" s="515"/>
      <c r="Y169" s="515"/>
      <c r="Z169" s="515"/>
      <c r="AA169" s="515"/>
      <c r="AB169" s="515"/>
      <c r="AC169" s="515"/>
      <c r="AD169" s="515"/>
      <c r="AE169" s="515"/>
      <c r="AG169" s="199"/>
    </row>
    <row r="170" spans="1:33">
      <c r="A170" s="37" t="s">
        <v>456</v>
      </c>
      <c r="K170" s="683">
        <v>0</v>
      </c>
      <c r="L170" s="663">
        <v>0</v>
      </c>
      <c r="M170" s="663">
        <v>96205</v>
      </c>
      <c r="N170" s="663">
        <f>$M$170*L11</f>
        <v>98129.1</v>
      </c>
      <c r="O170" s="663">
        <f t="shared" ref="O170:AE170" si="114">$M$170*M11</f>
        <v>100091.682</v>
      </c>
      <c r="P170" s="663">
        <f t="shared" si="114"/>
        <v>102093.51564</v>
      </c>
      <c r="Q170" s="663">
        <f t="shared" si="114"/>
        <v>104135.3859528</v>
      </c>
      <c r="R170" s="663">
        <f t="shared" si="114"/>
        <v>106218.093671856</v>
      </c>
      <c r="S170" s="663">
        <f t="shared" si="114"/>
        <v>108342.45554529312</v>
      </c>
      <c r="T170" s="663">
        <f t="shared" si="114"/>
        <v>110509.30465619899</v>
      </c>
      <c r="U170" s="663">
        <f t="shared" si="114"/>
        <v>112719.49074932297</v>
      </c>
      <c r="V170" s="663">
        <f t="shared" si="114"/>
        <v>114973.88056430944</v>
      </c>
      <c r="W170" s="663">
        <f t="shared" si="114"/>
        <v>117273.35817559563</v>
      </c>
      <c r="X170" s="663">
        <f t="shared" si="114"/>
        <v>119618.82533910754</v>
      </c>
      <c r="Y170" s="663">
        <f t="shared" si="114"/>
        <v>122011.20184588969</v>
      </c>
      <c r="Z170" s="663">
        <f t="shared" si="114"/>
        <v>124451.42588280747</v>
      </c>
      <c r="AA170" s="663">
        <f t="shared" si="114"/>
        <v>126940.45440046364</v>
      </c>
      <c r="AB170" s="663">
        <f t="shared" si="114"/>
        <v>129479.26348847292</v>
      </c>
      <c r="AC170" s="663">
        <f t="shared" si="114"/>
        <v>132068.84875824238</v>
      </c>
      <c r="AD170" s="663">
        <f t="shared" si="114"/>
        <v>134710.22573340722</v>
      </c>
      <c r="AE170" s="663">
        <f t="shared" si="114"/>
        <v>137404.43024807537</v>
      </c>
    </row>
    <row r="171" spans="1:33">
      <c r="K171" s="683"/>
    </row>
    <row r="172" spans="1:33">
      <c r="A172" s="37" t="s">
        <v>576</v>
      </c>
      <c r="K172" s="683">
        <v>0</v>
      </c>
      <c r="L172" s="882">
        <f>'Capital Financing'!$B$77</f>
        <v>676285.92</v>
      </c>
      <c r="M172" s="882">
        <f>'Capital Financing'!$B$77</f>
        <v>676285.92</v>
      </c>
      <c r="N172" s="882">
        <f>'Capital Financing'!$B$77</f>
        <v>676285.92</v>
      </c>
      <c r="O172" s="882">
        <f>'Capital Financing'!$B$77</f>
        <v>676285.92</v>
      </c>
      <c r="P172" s="882">
        <f>'Capital Financing'!$B$77</f>
        <v>676285.92</v>
      </c>
      <c r="Q172" s="882">
        <f>'Capital Financing'!$B$77</f>
        <v>676285.92</v>
      </c>
      <c r="R172" s="882">
        <f>'Capital Financing'!$B$77</f>
        <v>676285.92</v>
      </c>
      <c r="S172" s="882">
        <f>'Capital Financing'!$B$77</f>
        <v>676285.92</v>
      </c>
      <c r="T172" s="882">
        <f>'Capital Financing'!$B$77</f>
        <v>676285.92</v>
      </c>
      <c r="U172" s="882">
        <f>'Capital Financing'!$B$77</f>
        <v>676285.92</v>
      </c>
      <c r="V172" s="882">
        <f>'Capital Financing'!$B$77</f>
        <v>676285.92</v>
      </c>
      <c r="W172" s="882">
        <f>'Capital Financing'!$B$77</f>
        <v>676285.92</v>
      </c>
      <c r="X172" s="882">
        <f>'Capital Financing'!$B$77</f>
        <v>676285.92</v>
      </c>
      <c r="Y172" s="882">
        <f>'Capital Financing'!$B$77</f>
        <v>676285.92</v>
      </c>
      <c r="Z172" s="882">
        <f>'Capital Financing'!$B$77</f>
        <v>676285.92</v>
      </c>
      <c r="AA172" s="882">
        <f>'Capital Financing'!$B$77</f>
        <v>676285.92</v>
      </c>
      <c r="AB172" s="882">
        <f>'Capital Financing'!$B$77</f>
        <v>676285.92</v>
      </c>
      <c r="AC172" s="882">
        <f>'Capital Financing'!$B$77</f>
        <v>676285.92</v>
      </c>
      <c r="AD172" s="882">
        <f>'Capital Financing'!$B$77</f>
        <v>676285.92</v>
      </c>
      <c r="AE172" s="882">
        <f>'Capital Financing'!$B$77</f>
        <v>676285.92</v>
      </c>
    </row>
    <row r="173" spans="1:33" s="702" customFormat="1">
      <c r="A173" s="341" t="s">
        <v>315</v>
      </c>
      <c r="B173" s="701"/>
      <c r="C173" s="703"/>
      <c r="D173" s="704"/>
      <c r="E173" s="705"/>
      <c r="F173" s="705"/>
      <c r="G173" s="705"/>
      <c r="H173" s="705"/>
      <c r="I173" s="706"/>
      <c r="J173" s="707"/>
      <c r="K173" s="699">
        <v>0</v>
      </c>
      <c r="L173" s="700">
        <v>0</v>
      </c>
      <c r="M173" s="700">
        <v>0</v>
      </c>
      <c r="N173" s="700">
        <v>0</v>
      </c>
      <c r="O173" s="700">
        <v>0</v>
      </c>
      <c r="P173" s="700">
        <v>0</v>
      </c>
      <c r="Q173" s="700">
        <v>0</v>
      </c>
      <c r="R173" s="700">
        <v>0</v>
      </c>
      <c r="S173" s="700">
        <v>0</v>
      </c>
      <c r="T173" s="700">
        <v>0</v>
      </c>
      <c r="U173" s="700">
        <v>0</v>
      </c>
      <c r="V173" s="700">
        <v>0</v>
      </c>
      <c r="W173" s="700">
        <v>0</v>
      </c>
      <c r="X173" s="700">
        <v>0</v>
      </c>
      <c r="Y173" s="700">
        <v>0</v>
      </c>
      <c r="Z173" s="700">
        <v>0</v>
      </c>
      <c r="AA173" s="700">
        <v>0</v>
      </c>
      <c r="AB173" s="700">
        <v>0</v>
      </c>
      <c r="AC173" s="700">
        <v>0</v>
      </c>
      <c r="AD173" s="700">
        <v>0</v>
      </c>
      <c r="AE173" s="700">
        <v>0</v>
      </c>
      <c r="AG173" s="708"/>
    </row>
    <row r="174" spans="1:33">
      <c r="A174" s="180" t="s">
        <v>316</v>
      </c>
      <c r="B174" s="180"/>
      <c r="C174" s="180"/>
      <c r="D174" s="116"/>
      <c r="E174" s="180"/>
      <c r="F174" s="180"/>
      <c r="G174" s="180"/>
      <c r="H174" s="180"/>
      <c r="I174" s="180"/>
      <c r="J174" s="180"/>
      <c r="K174" s="505">
        <v>0</v>
      </c>
      <c r="L174" s="506">
        <v>246000</v>
      </c>
      <c r="M174" s="506">
        <v>246000</v>
      </c>
      <c r="N174" s="506">
        <v>246000</v>
      </c>
      <c r="O174" s="506">
        <v>246000</v>
      </c>
      <c r="P174" s="506">
        <v>246000</v>
      </c>
      <c r="Q174" s="506">
        <v>246000</v>
      </c>
      <c r="R174" s="506">
        <v>246000</v>
      </c>
      <c r="S174" s="506">
        <v>246000</v>
      </c>
      <c r="T174" s="506">
        <v>246000</v>
      </c>
      <c r="U174" s="506">
        <v>246000</v>
      </c>
      <c r="V174" s="506">
        <v>246000</v>
      </c>
      <c r="W174" s="506">
        <v>246000</v>
      </c>
      <c r="X174" s="506">
        <v>246000</v>
      </c>
      <c r="Y174" s="506">
        <v>246000</v>
      </c>
      <c r="Z174" s="506">
        <v>246000</v>
      </c>
      <c r="AA174" s="506">
        <v>246000</v>
      </c>
      <c r="AB174" s="506">
        <v>246000</v>
      </c>
      <c r="AC174" s="506">
        <v>246000</v>
      </c>
      <c r="AD174" s="506">
        <v>246000</v>
      </c>
      <c r="AE174" s="506">
        <v>246000</v>
      </c>
      <c r="AG174" s="199"/>
    </row>
    <row r="175" spans="1:33" s="56" customFormat="1" ht="14.25">
      <c r="A175" s="56" t="s">
        <v>134</v>
      </c>
      <c r="D175" s="173"/>
      <c r="K175" s="524">
        <f t="shared" ref="K175:AE175" si="115">SUM(K169:K174)</f>
        <v>0</v>
      </c>
      <c r="L175" s="525">
        <f t="shared" si="115"/>
        <v>922285.92</v>
      </c>
      <c r="M175" s="525">
        <f t="shared" si="115"/>
        <v>1018490.92</v>
      </c>
      <c r="N175" s="525">
        <f t="shared" si="115"/>
        <v>1020415.02</v>
      </c>
      <c r="O175" s="525">
        <f t="shared" si="115"/>
        <v>1022377.6020000001</v>
      </c>
      <c r="P175" s="525">
        <f t="shared" si="115"/>
        <v>1024379.43564</v>
      </c>
      <c r="Q175" s="525">
        <f t="shared" si="115"/>
        <v>1026421.3059528001</v>
      </c>
      <c r="R175" s="525">
        <f t="shared" si="115"/>
        <v>1028504.013671856</v>
      </c>
      <c r="S175" s="525">
        <f t="shared" si="115"/>
        <v>1030628.3755452932</v>
      </c>
      <c r="T175" s="525">
        <f t="shared" si="115"/>
        <v>1032795.224656199</v>
      </c>
      <c r="U175" s="525">
        <f t="shared" si="115"/>
        <v>1035005.410749323</v>
      </c>
      <c r="V175" s="525">
        <f t="shared" si="115"/>
        <v>1037259.8005643095</v>
      </c>
      <c r="W175" s="525">
        <f t="shared" si="115"/>
        <v>1039559.2781755957</v>
      </c>
      <c r="X175" s="525">
        <f t="shared" si="115"/>
        <v>1041904.7453391076</v>
      </c>
      <c r="Y175" s="525">
        <f t="shared" si="115"/>
        <v>1044297.1218458897</v>
      </c>
      <c r="Z175" s="525">
        <f t="shared" si="115"/>
        <v>1046737.3458828075</v>
      </c>
      <c r="AA175" s="525">
        <f t="shared" si="115"/>
        <v>1049226.3744004637</v>
      </c>
      <c r="AB175" s="525">
        <f t="shared" si="115"/>
        <v>1051765.1834884728</v>
      </c>
      <c r="AC175" s="525">
        <f t="shared" si="115"/>
        <v>1054354.7687582425</v>
      </c>
      <c r="AD175" s="525">
        <f t="shared" si="115"/>
        <v>1056996.1457334072</v>
      </c>
      <c r="AE175" s="525">
        <f t="shared" si="115"/>
        <v>1059690.3502480756</v>
      </c>
      <c r="AG175" s="199"/>
    </row>
    <row r="176" spans="1:33">
      <c r="K176" s="683"/>
      <c r="L176" s="666"/>
      <c r="M176" s="666"/>
      <c r="N176" s="666"/>
      <c r="O176" s="666"/>
      <c r="P176" s="666"/>
      <c r="Q176" s="666"/>
      <c r="R176" s="666"/>
      <c r="S176" s="666"/>
      <c r="T176" s="666"/>
      <c r="U176" s="666"/>
      <c r="V176" s="666"/>
      <c r="W176" s="666"/>
      <c r="X176" s="666"/>
      <c r="Y176" s="666"/>
      <c r="Z176" s="666"/>
      <c r="AA176" s="666"/>
      <c r="AB176" s="666"/>
      <c r="AC176" s="666"/>
      <c r="AD176" s="666"/>
      <c r="AE176" s="666"/>
      <c r="AG176" s="199"/>
    </row>
    <row r="177" spans="1:33" s="56" customFormat="1" ht="14.25">
      <c r="A177" s="208" t="s">
        <v>86</v>
      </c>
      <c r="B177" s="718">
        <f>SUM(L177:AE177)</f>
        <v>20643094.342651844</v>
      </c>
      <c r="C177" s="208"/>
      <c r="D177" s="202"/>
      <c r="E177" s="208"/>
      <c r="F177" s="208"/>
      <c r="G177" s="208"/>
      <c r="H177" s="208"/>
      <c r="I177" s="208"/>
      <c r="J177" s="208"/>
      <c r="K177" s="678">
        <f>SUM(K170:K170)</f>
        <v>0</v>
      </c>
      <c r="L177" s="678">
        <f>L175</f>
        <v>922285.92</v>
      </c>
      <c r="M177" s="678">
        <f t="shared" ref="M177:AE177" si="116">M175</f>
        <v>1018490.92</v>
      </c>
      <c r="N177" s="678">
        <f t="shared" si="116"/>
        <v>1020415.02</v>
      </c>
      <c r="O177" s="678">
        <f t="shared" si="116"/>
        <v>1022377.6020000001</v>
      </c>
      <c r="P177" s="678">
        <f t="shared" si="116"/>
        <v>1024379.43564</v>
      </c>
      <c r="Q177" s="678">
        <f t="shared" si="116"/>
        <v>1026421.3059528001</v>
      </c>
      <c r="R177" s="678">
        <f t="shared" si="116"/>
        <v>1028504.013671856</v>
      </c>
      <c r="S177" s="678">
        <f t="shared" si="116"/>
        <v>1030628.3755452932</v>
      </c>
      <c r="T177" s="678">
        <f t="shared" si="116"/>
        <v>1032795.224656199</v>
      </c>
      <c r="U177" s="678">
        <f t="shared" si="116"/>
        <v>1035005.410749323</v>
      </c>
      <c r="V177" s="678">
        <f t="shared" si="116"/>
        <v>1037259.8005643095</v>
      </c>
      <c r="W177" s="678">
        <f t="shared" si="116"/>
        <v>1039559.2781755957</v>
      </c>
      <c r="X177" s="678">
        <f t="shared" si="116"/>
        <v>1041904.7453391076</v>
      </c>
      <c r="Y177" s="678">
        <f t="shared" si="116"/>
        <v>1044297.1218458897</v>
      </c>
      <c r="Z177" s="678">
        <f t="shared" si="116"/>
        <v>1046737.3458828075</v>
      </c>
      <c r="AA177" s="678">
        <f t="shared" si="116"/>
        <v>1049226.3744004637</v>
      </c>
      <c r="AB177" s="678">
        <f t="shared" si="116"/>
        <v>1051765.1834884728</v>
      </c>
      <c r="AC177" s="678">
        <f t="shared" si="116"/>
        <v>1054354.7687582425</v>
      </c>
      <c r="AD177" s="678">
        <f t="shared" si="116"/>
        <v>1056996.1457334072</v>
      </c>
      <c r="AE177" s="678">
        <f t="shared" si="116"/>
        <v>1059690.3502480756</v>
      </c>
      <c r="AG177" s="199"/>
    </row>
    <row r="178" spans="1:33">
      <c r="K178" s="662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1"/>
      <c r="Y178" s="201"/>
      <c r="Z178" s="201"/>
      <c r="AA178" s="201"/>
      <c r="AB178" s="201"/>
      <c r="AC178" s="201"/>
      <c r="AD178" s="201"/>
      <c r="AE178" s="201"/>
    </row>
    <row r="179" spans="1:33">
      <c r="A179" s="251"/>
      <c r="B179" s="251"/>
      <c r="C179" s="251"/>
      <c r="D179" s="259"/>
      <c r="E179" s="251"/>
      <c r="F179" s="251"/>
      <c r="G179" s="251"/>
      <c r="H179" s="251"/>
      <c r="I179" s="251"/>
      <c r="J179" s="251"/>
      <c r="K179" s="324"/>
      <c r="L179" s="325"/>
      <c r="M179" s="325"/>
      <c r="N179" s="325"/>
      <c r="O179" s="325"/>
      <c r="P179" s="325"/>
      <c r="Q179" s="325"/>
      <c r="R179" s="325"/>
      <c r="S179" s="325"/>
      <c r="T179" s="325"/>
      <c r="U179" s="325"/>
      <c r="V179" s="325"/>
      <c r="W179" s="325"/>
      <c r="X179" s="325"/>
      <c r="Y179" s="325"/>
      <c r="Z179" s="325"/>
      <c r="AA179" s="325"/>
      <c r="AB179" s="325"/>
      <c r="AC179" s="325"/>
      <c r="AD179" s="325"/>
      <c r="AE179" s="325"/>
    </row>
    <row r="180" spans="1:33">
      <c r="K180" s="322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</row>
    <row r="181" spans="1:33">
      <c r="A181"/>
      <c r="K181" s="322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</row>
    <row r="182" spans="1:33">
      <c r="A182"/>
      <c r="K182" s="322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  <c r="AA182" s="201"/>
      <c r="AB182" s="201"/>
      <c r="AC182" s="201"/>
      <c r="AD182" s="201"/>
      <c r="AE182" s="201"/>
    </row>
    <row r="183" spans="1:33">
      <c r="K183" s="322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</row>
    <row r="184" spans="1:33">
      <c r="K184" s="322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  <c r="AA184" s="201"/>
      <c r="AB184" s="201"/>
      <c r="AC184" s="201"/>
      <c r="AD184" s="201"/>
      <c r="AE184" s="201"/>
    </row>
    <row r="185" spans="1:33">
      <c r="K185" s="322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</row>
    <row r="186" spans="1:33">
      <c r="K186" s="322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</row>
    <row r="187" spans="1:33">
      <c r="K187" s="322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</row>
    <row r="188" spans="1:33">
      <c r="K188" s="322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</row>
    <row r="189" spans="1:33">
      <c r="K189" s="322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</row>
    <row r="190" spans="1:33">
      <c r="K190" s="322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</row>
    <row r="191" spans="1:33">
      <c r="K191" s="322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</row>
    <row r="192" spans="1:33">
      <c r="K192" s="322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</row>
    <row r="193" spans="11:31">
      <c r="K193" s="322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201"/>
      <c r="AE193" s="201"/>
    </row>
    <row r="194" spans="11:31">
      <c r="K194" s="322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1"/>
      <c r="Z194" s="201"/>
      <c r="AA194" s="201"/>
      <c r="AB194" s="201"/>
      <c r="AC194" s="201"/>
      <c r="AD194" s="201"/>
      <c r="AE194" s="201"/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FD194"/>
  <sheetViews>
    <sheetView topLeftCell="A76" zoomScale="70" zoomScaleNormal="70" workbookViewId="0">
      <selection activeCell="G97" sqref="G97"/>
    </sheetView>
  </sheetViews>
  <sheetFormatPr defaultColWidth="9" defaultRowHeight="16.5"/>
  <cols>
    <col min="1" max="1" width="45.625" style="33" customWidth="1"/>
    <col min="2" max="2" width="48.5" style="33" bestFit="1" customWidth="1"/>
    <col min="3" max="3" width="18.125" style="33" bestFit="1" customWidth="1"/>
    <col min="4" max="4" width="16.25" style="109" bestFit="1" customWidth="1"/>
    <col min="5" max="5" width="13.125" style="33" bestFit="1" customWidth="1"/>
    <col min="6" max="6" width="20.5" style="33" bestFit="1" customWidth="1"/>
    <col min="7" max="7" width="20.25" style="33" bestFit="1" customWidth="1"/>
    <col min="8" max="8" width="26.75" style="33" bestFit="1" customWidth="1"/>
    <col min="9" max="9" width="12.125" style="33" bestFit="1" customWidth="1"/>
    <col min="10" max="10" width="13.875" style="33" bestFit="1" customWidth="1"/>
    <col min="11" max="11" width="7.75" style="166" bestFit="1" customWidth="1"/>
    <col min="12" max="13" width="17.5" style="33" bestFit="1" customWidth="1"/>
    <col min="14" max="15" width="17.125" style="33" bestFit="1" customWidth="1"/>
    <col min="16" max="18" width="17.5" style="33" bestFit="1" customWidth="1"/>
    <col min="19" max="20" width="17.125" style="33" bestFit="1" customWidth="1"/>
    <col min="21" max="21" width="17.5" style="33" bestFit="1" customWidth="1"/>
    <col min="22" max="23" width="17.125" style="33" bestFit="1" customWidth="1"/>
    <col min="24" max="31" width="17.5" style="33" bestFit="1" customWidth="1"/>
    <col min="32" max="32" width="22.625" style="33" bestFit="1" customWidth="1"/>
    <col min="33" max="33" width="12.625" style="33" bestFit="1" customWidth="1"/>
    <col min="34" max="16384" width="9" style="33"/>
  </cols>
  <sheetData>
    <row r="1" spans="1:31" ht="18.75" thickBot="1">
      <c r="A1" s="11" t="str">
        <f>Intro!A1</f>
        <v>Town of Bar Harbor</v>
      </c>
      <c r="B1" s="13"/>
      <c r="C1" s="13"/>
      <c r="D1" s="99"/>
      <c r="E1" s="14"/>
      <c r="F1" s="14"/>
      <c r="G1" s="34"/>
      <c r="H1" s="34"/>
      <c r="I1" s="34"/>
      <c r="J1" s="34"/>
      <c r="K1" s="16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</row>
    <row r="2" spans="1:31" ht="17.25" thickBot="1">
      <c r="A2" s="380" t="str">
        <f>Intro!A2</f>
        <v>Ferry Property Business Plan</v>
      </c>
      <c r="B2" s="13"/>
      <c r="C2" s="13"/>
      <c r="D2" s="99"/>
      <c r="E2" s="14"/>
      <c r="F2" s="14"/>
      <c r="G2" s="34"/>
      <c r="H2" s="34"/>
      <c r="I2" s="34"/>
      <c r="J2" s="34"/>
      <c r="K2" s="16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</row>
    <row r="3" spans="1:31" s="392" customFormat="1" ht="14.25" thickBot="1">
      <c r="A3" s="384" t="str">
        <f>Intro!A3</f>
        <v>05.23.2018</v>
      </c>
      <c r="B3" s="2"/>
      <c r="C3" s="382"/>
      <c r="D3" s="393"/>
      <c r="E3" s="385"/>
      <c r="F3" s="385"/>
      <c r="G3" s="389"/>
      <c r="H3" s="389"/>
      <c r="I3" s="389"/>
      <c r="J3" s="389"/>
      <c r="K3" s="390"/>
      <c r="L3" s="391"/>
      <c r="M3" s="391"/>
      <c r="N3" s="391"/>
      <c r="O3" s="391"/>
      <c r="P3" s="391"/>
      <c r="Q3" s="391"/>
      <c r="R3" s="391"/>
      <c r="S3" s="391"/>
      <c r="T3" s="391"/>
      <c r="U3" s="391"/>
      <c r="V3" s="391"/>
      <c r="W3" s="391"/>
      <c r="X3" s="391"/>
      <c r="Y3" s="391"/>
      <c r="Z3" s="391"/>
      <c r="AA3" s="391"/>
      <c r="AB3" s="391"/>
      <c r="AC3" s="391"/>
      <c r="AD3" s="391"/>
      <c r="AE3" s="391"/>
    </row>
    <row r="4" spans="1:31" s="392" customFormat="1" ht="13.5">
      <c r="A4" s="384" t="str">
        <f ca="1">Intro!A4</f>
        <v>Town of Bar Harbor</v>
      </c>
      <c r="B4" s="382"/>
      <c r="C4" s="382"/>
      <c r="D4" s="393"/>
      <c r="E4" s="383">
        <f ca="1">NOW()</f>
        <v>43242.835659143515</v>
      </c>
      <c r="F4" s="383"/>
      <c r="G4" s="389"/>
      <c r="H4" s="389"/>
      <c r="I4" s="389"/>
      <c r="J4" s="389"/>
      <c r="K4" s="390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  <c r="W4" s="391"/>
      <c r="X4" s="391"/>
      <c r="Y4" s="391"/>
      <c r="Z4" s="391"/>
      <c r="AA4" s="391"/>
      <c r="AB4" s="391"/>
      <c r="AC4" s="391"/>
      <c r="AD4" s="391"/>
      <c r="AE4" s="391"/>
    </row>
    <row r="5" spans="1:31">
      <c r="A5" s="231" t="s">
        <v>342</v>
      </c>
      <c r="B5" s="231"/>
      <c r="C5" s="232"/>
      <c r="D5" s="233"/>
      <c r="E5" s="232"/>
      <c r="F5" s="232"/>
      <c r="G5" s="234"/>
      <c r="H5" s="234"/>
      <c r="I5" s="234"/>
      <c r="J5" s="234"/>
      <c r="K5" s="235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1:31">
      <c r="A6" s="237"/>
      <c r="B6" s="237"/>
      <c r="C6" s="237"/>
      <c r="D6" s="238"/>
      <c r="E6" s="237"/>
      <c r="F6" s="237"/>
      <c r="G6" s="237"/>
      <c r="H6" s="237"/>
      <c r="I6" s="237"/>
      <c r="J6" s="237"/>
      <c r="K6" s="659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</row>
    <row r="7" spans="1:31" ht="48.75" customHeight="1">
      <c r="A7" s="239"/>
      <c r="B7" s="240" t="s">
        <v>45</v>
      </c>
      <c r="C7" s="241" t="s">
        <v>46</v>
      </c>
      <c r="D7" s="242" t="s">
        <v>47</v>
      </c>
      <c r="E7" s="240" t="s">
        <v>21</v>
      </c>
      <c r="F7" s="240" t="s">
        <v>48</v>
      </c>
      <c r="G7" s="240" t="s">
        <v>49</v>
      </c>
      <c r="H7" s="240" t="s">
        <v>59</v>
      </c>
      <c r="I7" s="240" t="s">
        <v>22</v>
      </c>
      <c r="J7" s="240" t="s">
        <v>50</v>
      </c>
      <c r="K7" s="243">
        <v>2018</v>
      </c>
      <c r="L7" s="243">
        <v>2019</v>
      </c>
      <c r="M7" s="243">
        <v>2020</v>
      </c>
      <c r="N7" s="243">
        <v>2021</v>
      </c>
      <c r="O7" s="243">
        <v>2022</v>
      </c>
      <c r="P7" s="243">
        <v>2023</v>
      </c>
      <c r="Q7" s="243">
        <v>2024</v>
      </c>
      <c r="R7" s="243">
        <v>2025</v>
      </c>
      <c r="S7" s="243">
        <v>2026</v>
      </c>
      <c r="T7" s="243">
        <v>2027</v>
      </c>
      <c r="U7" s="243">
        <v>2028</v>
      </c>
      <c r="V7" s="243">
        <v>2029</v>
      </c>
      <c r="W7" s="243">
        <v>2030</v>
      </c>
      <c r="X7" s="243">
        <v>2031</v>
      </c>
      <c r="Y7" s="243">
        <v>2032</v>
      </c>
      <c r="Z7" s="243">
        <v>2033</v>
      </c>
      <c r="AA7" s="243">
        <v>2034</v>
      </c>
      <c r="AB7" s="243">
        <v>2035</v>
      </c>
      <c r="AC7" s="243">
        <v>2036</v>
      </c>
      <c r="AD7" s="243">
        <v>2037</v>
      </c>
      <c r="AE7" s="243">
        <v>2038</v>
      </c>
    </row>
    <row r="8" spans="1:31" s="18" customFormat="1" ht="17.25" thickBot="1">
      <c r="K8" s="488"/>
    </row>
    <row r="9" spans="1:31" s="18" customFormat="1" ht="17.25" thickBot="1">
      <c r="A9" s="117" t="s">
        <v>381</v>
      </c>
      <c r="B9" s="484" t="str">
        <f>'Cruise Projections'!A83</f>
        <v>Scenario 4 - Percent of 2018 Business - RCCL</v>
      </c>
      <c r="K9" s="489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  <c r="Y9" s="327"/>
      <c r="Z9" s="327"/>
      <c r="AA9" s="327"/>
      <c r="AB9" s="327"/>
      <c r="AC9" s="327"/>
      <c r="AD9" s="327"/>
      <c r="AE9" s="327"/>
    </row>
    <row r="10" spans="1:31" s="18" customFormat="1">
      <c r="A10" s="649"/>
      <c r="B10" s="372"/>
      <c r="K10" s="489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  <c r="Y10" s="327"/>
      <c r="Z10" s="327"/>
      <c r="AA10" s="327"/>
      <c r="AB10" s="327"/>
      <c r="AC10" s="327"/>
      <c r="AD10" s="327"/>
      <c r="AE10" s="327"/>
    </row>
    <row r="11" spans="1:31">
      <c r="A11" s="38" t="s">
        <v>52</v>
      </c>
      <c r="B11" s="38"/>
      <c r="C11" s="38"/>
      <c r="D11" s="101"/>
      <c r="E11" s="38"/>
      <c r="F11" s="38"/>
      <c r="G11" s="37"/>
      <c r="H11" s="37"/>
      <c r="I11" s="38"/>
      <c r="J11" s="37"/>
      <c r="K11" s="784">
        <f>'OPEX - Concept A1'!K11</f>
        <v>0</v>
      </c>
      <c r="L11" s="311">
        <f>'BH Tariffs'!D52</f>
        <v>1.02</v>
      </c>
      <c r="M11" s="311">
        <f>'BH Tariffs'!E52</f>
        <v>1.0404</v>
      </c>
      <c r="N11" s="311">
        <f>'BH Tariffs'!F52</f>
        <v>1.0612079999999999</v>
      </c>
      <c r="O11" s="311">
        <f>'BH Tariffs'!G52</f>
        <v>1.08243216</v>
      </c>
      <c r="P11" s="311">
        <f>'BH Tariffs'!H52</f>
        <v>1.1040808032</v>
      </c>
      <c r="Q11" s="311">
        <f>'BH Tariffs'!I52</f>
        <v>1.1261624192640001</v>
      </c>
      <c r="R11" s="311">
        <f>'BH Tariffs'!J52</f>
        <v>1.14868566764928</v>
      </c>
      <c r="S11" s="311">
        <f>'BH Tariffs'!K52</f>
        <v>1.1716593810022657</v>
      </c>
      <c r="T11" s="311">
        <f>'BH Tariffs'!L52</f>
        <v>1.1950925686223111</v>
      </c>
      <c r="U11" s="311">
        <f>'BH Tariffs'!M52</f>
        <v>1.2189944199947573</v>
      </c>
      <c r="V11" s="311">
        <f>'BH Tariffs'!N52</f>
        <v>1.2433743083946525</v>
      </c>
      <c r="W11" s="311">
        <f>'BH Tariffs'!O52</f>
        <v>1.2682417945625455</v>
      </c>
      <c r="X11" s="311">
        <f>'BH Tariffs'!P52</f>
        <v>1.2936066304537963</v>
      </c>
      <c r="Y11" s="311">
        <f>'BH Tariffs'!Q52</f>
        <v>1.3194787630628724</v>
      </c>
      <c r="Z11" s="311">
        <f>'BH Tariffs'!R52</f>
        <v>1.3458683383241299</v>
      </c>
      <c r="AA11" s="311">
        <f>'BH Tariffs'!S52</f>
        <v>1.3727857050906125</v>
      </c>
      <c r="AB11" s="311">
        <f>'BH Tariffs'!T52</f>
        <v>1.4002414191924248</v>
      </c>
      <c r="AC11" s="311">
        <f>'BH Tariffs'!U52</f>
        <v>1.4282462475762734</v>
      </c>
      <c r="AD11" s="311">
        <f>'BH Tariffs'!V52</f>
        <v>1.4568111725277988</v>
      </c>
      <c r="AE11" s="311">
        <f>'BH Tariffs'!W52</f>
        <v>1.4859473959783549</v>
      </c>
    </row>
    <row r="12" spans="1:31">
      <c r="A12" s="38" t="s">
        <v>58</v>
      </c>
      <c r="B12" s="38"/>
      <c r="C12" s="37"/>
      <c r="D12" s="76"/>
      <c r="E12" s="79">
        <v>0.2</v>
      </c>
      <c r="F12" s="172"/>
      <c r="G12" s="36"/>
      <c r="H12" s="36"/>
      <c r="I12" s="38"/>
      <c r="J12" s="36"/>
      <c r="K12" s="661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200"/>
      <c r="AC12" s="200"/>
      <c r="AD12" s="200"/>
      <c r="AE12" s="200"/>
    </row>
    <row r="13" spans="1:31">
      <c r="A13" s="38" t="s">
        <v>51</v>
      </c>
      <c r="B13" s="38"/>
      <c r="C13" s="37"/>
      <c r="D13" s="76"/>
      <c r="E13" s="79"/>
      <c r="F13" s="79">
        <v>0.4</v>
      </c>
      <c r="G13" s="36"/>
      <c r="H13" s="36"/>
      <c r="I13" s="38"/>
      <c r="J13" s="36"/>
      <c r="K13" s="661"/>
      <c r="L13" s="200"/>
      <c r="M13" s="200"/>
      <c r="N13" s="200"/>
      <c r="O13" s="200"/>
      <c r="P13" s="200"/>
      <c r="Q13" s="200"/>
      <c r="R13" s="200"/>
      <c r="S13" s="200"/>
      <c r="T13" s="200"/>
      <c r="U13" s="200"/>
      <c r="V13" s="200"/>
      <c r="W13" s="200"/>
      <c r="X13" s="200"/>
      <c r="Y13" s="200"/>
      <c r="Z13" s="200"/>
      <c r="AA13" s="200"/>
      <c r="AB13" s="200"/>
      <c r="AC13" s="200"/>
      <c r="AD13" s="200"/>
      <c r="AE13" s="200"/>
    </row>
    <row r="14" spans="1:31" s="18" customFormat="1">
      <c r="A14" s="649"/>
      <c r="B14" s="372"/>
      <c r="K14" s="489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7"/>
      <c r="X14" s="327"/>
      <c r="Y14" s="327"/>
      <c r="Z14" s="327"/>
      <c r="AA14" s="327"/>
      <c r="AB14" s="327"/>
      <c r="AC14" s="327"/>
      <c r="AD14" s="327"/>
      <c r="AE14" s="327"/>
    </row>
    <row r="15" spans="1:31" s="18" customFormat="1">
      <c r="K15" s="489"/>
      <c r="L15" s="327"/>
      <c r="M15" s="327"/>
      <c r="N15" s="327"/>
      <c r="O15" s="327"/>
      <c r="P15" s="327"/>
      <c r="Q15" s="327"/>
      <c r="R15" s="327"/>
      <c r="S15" s="327"/>
      <c r="T15" s="327"/>
      <c r="U15" s="327"/>
      <c r="V15" s="327"/>
      <c r="W15" s="327"/>
      <c r="X15" s="327"/>
      <c r="Y15" s="327"/>
      <c r="Z15" s="327"/>
      <c r="AA15" s="327"/>
      <c r="AB15" s="327"/>
      <c r="AC15" s="327"/>
      <c r="AD15" s="327"/>
      <c r="AE15" s="327"/>
    </row>
    <row r="16" spans="1:31" s="582" customFormat="1" ht="14.25">
      <c r="A16" s="582" t="s">
        <v>83</v>
      </c>
      <c r="K16" s="490"/>
      <c r="L16" s="785"/>
      <c r="M16" s="785"/>
      <c r="N16" s="785"/>
      <c r="O16" s="785"/>
      <c r="P16" s="785"/>
      <c r="Q16" s="785"/>
      <c r="R16" s="785"/>
      <c r="S16" s="785"/>
      <c r="T16" s="785"/>
      <c r="U16" s="785"/>
      <c r="V16" s="785"/>
      <c r="W16" s="785"/>
      <c r="X16" s="785"/>
      <c r="Y16" s="785"/>
      <c r="Z16" s="785"/>
      <c r="AA16" s="785"/>
      <c r="AB16" s="785"/>
      <c r="AC16" s="785"/>
      <c r="AD16" s="785"/>
      <c r="AE16" s="785"/>
    </row>
    <row r="17" spans="1:31" s="96" customFormat="1">
      <c r="A17" s="53" t="str">
        <f>'Cruise Projections'!A67</f>
        <v>Passengers</v>
      </c>
      <c r="B17" s="487"/>
      <c r="C17" s="487"/>
      <c r="K17" s="486">
        <f>'P&amp;L - Concept C2 - RCCL'!D12</f>
        <v>0</v>
      </c>
      <c r="L17" s="313">
        <f>'P&amp;L - Concept C2 - RCCL'!E12</f>
        <v>0</v>
      </c>
      <c r="M17" s="313">
        <f>'P&amp;L - Concept C2 - RCCL'!F12</f>
        <v>89162.177869620791</v>
      </c>
      <c r="N17" s="313">
        <f>'P&amp;L - Concept C2 - RCCL'!G12</f>
        <v>89162.177869620791</v>
      </c>
      <c r="O17" s="313">
        <f>'P&amp;L - Concept C2 - RCCL'!H12</f>
        <v>89162.177869620791</v>
      </c>
      <c r="P17" s="313">
        <f>'P&amp;L - Concept C2 - RCCL'!I12</f>
        <v>89162.177869620791</v>
      </c>
      <c r="Q17" s="313">
        <f>'P&amp;L - Concept C2 - RCCL'!J12</f>
        <v>89162.177869620791</v>
      </c>
      <c r="R17" s="313">
        <f>'P&amp;L - Concept C2 - RCCL'!K12</f>
        <v>89162.177869620791</v>
      </c>
      <c r="S17" s="313">
        <f>'P&amp;L - Concept C2 - RCCL'!L12</f>
        <v>89162.177869620791</v>
      </c>
      <c r="T17" s="313">
        <f>'P&amp;L - Concept C2 - RCCL'!M12</f>
        <v>89162.177869620791</v>
      </c>
      <c r="U17" s="313">
        <f>'P&amp;L - Concept C2 - RCCL'!N12</f>
        <v>89162.177869620791</v>
      </c>
      <c r="V17" s="313">
        <f>'P&amp;L - Concept C2 - RCCL'!O12</f>
        <v>89162.177869620791</v>
      </c>
      <c r="W17" s="313">
        <f>'P&amp;L - Concept C2 - RCCL'!P12</f>
        <v>89162.177869620791</v>
      </c>
      <c r="X17" s="313">
        <f>'P&amp;L - Concept C2 - RCCL'!Q12</f>
        <v>89162.177869620791</v>
      </c>
      <c r="Y17" s="313">
        <f>'P&amp;L - Concept C2 - RCCL'!R12</f>
        <v>89162.177869620791</v>
      </c>
      <c r="Z17" s="313">
        <f>'P&amp;L - Concept C2 - RCCL'!S12</f>
        <v>89162.177869620791</v>
      </c>
      <c r="AA17" s="313">
        <f>'P&amp;L - Concept C2 - RCCL'!T12</f>
        <v>89162.177869620791</v>
      </c>
      <c r="AB17" s="313">
        <f>'P&amp;L - Concept C2 - RCCL'!U12</f>
        <v>89162.177869620791</v>
      </c>
      <c r="AC17" s="313">
        <f>'P&amp;L - Concept C2 - RCCL'!V12</f>
        <v>89162.177869620791</v>
      </c>
      <c r="AD17" s="313">
        <f>'P&amp;L - Concept C2 - RCCL'!W12</f>
        <v>89162.177869620791</v>
      </c>
      <c r="AE17" s="313">
        <f>'P&amp;L - Concept C2 - RCCL'!X12</f>
        <v>89162.177869620791</v>
      </c>
    </row>
    <row r="18" spans="1:31" s="96" customFormat="1">
      <c r="A18" s="53" t="str">
        <f>'Cruise Projections'!A68</f>
        <v>Calls</v>
      </c>
      <c r="B18" s="487"/>
      <c r="C18" s="487"/>
      <c r="K18" s="486">
        <f>'P&amp;L - Concept C2 - RCCL'!D13</f>
        <v>0</v>
      </c>
      <c r="L18" s="313">
        <f>'P&amp;L - Concept C2 - RCCL'!E13</f>
        <v>0</v>
      </c>
      <c r="M18" s="313">
        <f>'P&amp;L - Concept C2 - RCCL'!F13</f>
        <v>28.666666666666664</v>
      </c>
      <c r="N18" s="313">
        <f>'P&amp;L - Concept C2 - RCCL'!G13</f>
        <v>28.666666666666664</v>
      </c>
      <c r="O18" s="313">
        <f>'P&amp;L - Concept C2 - RCCL'!H13</f>
        <v>28.666666666666664</v>
      </c>
      <c r="P18" s="313">
        <f>'P&amp;L - Concept C2 - RCCL'!I13</f>
        <v>28.666666666666664</v>
      </c>
      <c r="Q18" s="313">
        <f>'P&amp;L - Concept C2 - RCCL'!J13</f>
        <v>28.666666666666664</v>
      </c>
      <c r="R18" s="313">
        <f>'P&amp;L - Concept C2 - RCCL'!K13</f>
        <v>28.666666666666664</v>
      </c>
      <c r="S18" s="313">
        <f>'P&amp;L - Concept C2 - RCCL'!L13</f>
        <v>28.666666666666664</v>
      </c>
      <c r="T18" s="313">
        <f>'P&amp;L - Concept C2 - RCCL'!M13</f>
        <v>28.666666666666664</v>
      </c>
      <c r="U18" s="313">
        <f>'P&amp;L - Concept C2 - RCCL'!N13</f>
        <v>28.666666666666664</v>
      </c>
      <c r="V18" s="313">
        <f>'P&amp;L - Concept C2 - RCCL'!O13</f>
        <v>28.666666666666664</v>
      </c>
      <c r="W18" s="313">
        <f>'P&amp;L - Concept C2 - RCCL'!P13</f>
        <v>28.666666666666664</v>
      </c>
      <c r="X18" s="313">
        <f>'P&amp;L - Concept C2 - RCCL'!Q13</f>
        <v>28.666666666666664</v>
      </c>
      <c r="Y18" s="313">
        <f>'P&amp;L - Concept C2 - RCCL'!R13</f>
        <v>28.666666666666664</v>
      </c>
      <c r="Z18" s="313">
        <f>'P&amp;L - Concept C2 - RCCL'!S13</f>
        <v>28.666666666666664</v>
      </c>
      <c r="AA18" s="313">
        <f>'P&amp;L - Concept C2 - RCCL'!T13</f>
        <v>28.666666666666664</v>
      </c>
      <c r="AB18" s="313">
        <f>'P&amp;L - Concept C2 - RCCL'!U13</f>
        <v>28.666666666666664</v>
      </c>
      <c r="AC18" s="313">
        <f>'P&amp;L - Concept C2 - RCCL'!V13</f>
        <v>28.666666666666664</v>
      </c>
      <c r="AD18" s="313">
        <f>'P&amp;L - Concept C2 - RCCL'!W13</f>
        <v>28.666666666666664</v>
      </c>
      <c r="AE18" s="313">
        <f>'P&amp;L - Concept C2 - RCCL'!X13</f>
        <v>28.666666666666664</v>
      </c>
    </row>
    <row r="19" spans="1:31" s="96" customFormat="1">
      <c r="A19" s="53" t="str">
        <f>'Cruise Projections'!A69</f>
        <v>Passengers per Call</v>
      </c>
      <c r="B19" s="487"/>
      <c r="C19" s="487"/>
      <c r="K19" s="486">
        <f>'P&amp;L - Concept C2 - RCCL'!D14</f>
        <v>0</v>
      </c>
      <c r="L19" s="313">
        <f>'P&amp;L - Concept C2 - RCCL'!E14</f>
        <v>0</v>
      </c>
      <c r="M19" s="313">
        <f>'P&amp;L - Concept C2 - RCCL'!F14</f>
        <v>3110.3085303356092</v>
      </c>
      <c r="N19" s="313">
        <f>'P&amp;L - Concept C2 - RCCL'!G14</f>
        <v>3110.3085303356092</v>
      </c>
      <c r="O19" s="313">
        <f>'P&amp;L - Concept C2 - RCCL'!H14</f>
        <v>3110.3085303356092</v>
      </c>
      <c r="P19" s="313">
        <f>'P&amp;L - Concept C2 - RCCL'!I14</f>
        <v>3110.3085303356092</v>
      </c>
      <c r="Q19" s="313">
        <f>'P&amp;L - Concept C2 - RCCL'!J14</f>
        <v>3110.3085303356092</v>
      </c>
      <c r="R19" s="313">
        <f>'P&amp;L - Concept C2 - RCCL'!K14</f>
        <v>3110.3085303356092</v>
      </c>
      <c r="S19" s="313">
        <f>'P&amp;L - Concept C2 - RCCL'!L14</f>
        <v>3110.3085303356092</v>
      </c>
      <c r="T19" s="313">
        <f>'P&amp;L - Concept C2 - RCCL'!M14</f>
        <v>3110.3085303356092</v>
      </c>
      <c r="U19" s="313">
        <f>'P&amp;L - Concept C2 - RCCL'!N14</f>
        <v>3110.3085303356092</v>
      </c>
      <c r="V19" s="313">
        <f>'P&amp;L - Concept C2 - RCCL'!O14</f>
        <v>3110.3085303356092</v>
      </c>
      <c r="W19" s="313">
        <f>'P&amp;L - Concept C2 - RCCL'!P14</f>
        <v>3110.3085303356092</v>
      </c>
      <c r="X19" s="313">
        <f>'P&amp;L - Concept C2 - RCCL'!Q14</f>
        <v>3110.3085303356092</v>
      </c>
      <c r="Y19" s="313">
        <f>'P&amp;L - Concept C2 - RCCL'!R14</f>
        <v>3110.3085303356092</v>
      </c>
      <c r="Z19" s="313">
        <f>'P&amp;L - Concept C2 - RCCL'!S14</f>
        <v>3110.3085303356092</v>
      </c>
      <c r="AA19" s="313">
        <f>'P&amp;L - Concept C2 - RCCL'!T14</f>
        <v>3110.3085303356092</v>
      </c>
      <c r="AB19" s="313">
        <f>'P&amp;L - Concept C2 - RCCL'!U14</f>
        <v>3110.3085303356092</v>
      </c>
      <c r="AC19" s="313">
        <f>'P&amp;L - Concept C2 - RCCL'!V14</f>
        <v>3110.3085303356092</v>
      </c>
      <c r="AD19" s="313">
        <f>'P&amp;L - Concept C2 - RCCL'!W14</f>
        <v>3110.3085303356092</v>
      </c>
      <c r="AE19" s="313">
        <f>'P&amp;L - Concept C2 - RCCL'!X14</f>
        <v>3110.3085303356092</v>
      </c>
    </row>
    <row r="20" spans="1:31" s="96" customFormat="1">
      <c r="A20" s="54" t="s">
        <v>313</v>
      </c>
      <c r="B20" s="487"/>
      <c r="C20" s="487"/>
      <c r="K20" s="486">
        <f>'P&amp;L - Concept C2 - RCCL'!D15</f>
        <v>0</v>
      </c>
      <c r="L20" s="313">
        <f>'P&amp;L - Concept C2 - RCCL'!E15</f>
        <v>0</v>
      </c>
      <c r="M20" s="313">
        <f>'P&amp;L - Concept C2 - RCCL'!F15</f>
        <v>4120</v>
      </c>
      <c r="N20" s="313">
        <f>'P&amp;L - Concept C2 - RCCL'!G15</f>
        <v>4120</v>
      </c>
      <c r="O20" s="313">
        <f>'P&amp;L - Concept C2 - RCCL'!H15</f>
        <v>4120</v>
      </c>
      <c r="P20" s="313">
        <f>'P&amp;L - Concept C2 - RCCL'!I15</f>
        <v>4120</v>
      </c>
      <c r="Q20" s="313">
        <f>'P&amp;L - Concept C2 - RCCL'!J15</f>
        <v>4120</v>
      </c>
      <c r="R20" s="313">
        <f>'P&amp;L - Concept C2 - RCCL'!K15</f>
        <v>4120</v>
      </c>
      <c r="S20" s="313">
        <f>'P&amp;L - Concept C2 - RCCL'!L15</f>
        <v>4120</v>
      </c>
      <c r="T20" s="313">
        <f>'P&amp;L - Concept C2 - RCCL'!M15</f>
        <v>4120</v>
      </c>
      <c r="U20" s="313">
        <f>'P&amp;L - Concept C2 - RCCL'!N15</f>
        <v>4120</v>
      </c>
      <c r="V20" s="313">
        <f>'P&amp;L - Concept C2 - RCCL'!O15</f>
        <v>4120</v>
      </c>
      <c r="W20" s="313">
        <f>'P&amp;L - Concept C2 - RCCL'!P15</f>
        <v>4120</v>
      </c>
      <c r="X20" s="313">
        <f>'P&amp;L - Concept C2 - RCCL'!Q15</f>
        <v>4120</v>
      </c>
      <c r="Y20" s="313">
        <f>'P&amp;L - Concept C2 - RCCL'!R15</f>
        <v>4120</v>
      </c>
      <c r="Z20" s="313">
        <f>'P&amp;L - Concept C2 - RCCL'!S15</f>
        <v>4120</v>
      </c>
      <c r="AA20" s="313">
        <f>'P&amp;L - Concept C2 - RCCL'!T15</f>
        <v>4120</v>
      </c>
      <c r="AB20" s="313">
        <f>'P&amp;L - Concept C2 - RCCL'!U15</f>
        <v>4120</v>
      </c>
      <c r="AC20" s="313">
        <f>'P&amp;L - Concept C2 - RCCL'!V15</f>
        <v>4120</v>
      </c>
      <c r="AD20" s="313">
        <f>'P&amp;L - Concept C2 - RCCL'!W15</f>
        <v>4120</v>
      </c>
      <c r="AE20" s="313">
        <f>'P&amp;L - Concept C2 - RCCL'!X15</f>
        <v>4120</v>
      </c>
    </row>
    <row r="21" spans="1:31" s="18" customFormat="1">
      <c r="A21" s="54"/>
      <c r="B21" s="21"/>
      <c r="C21" s="21"/>
      <c r="K21" s="486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  <c r="Y21" s="313"/>
      <c r="Z21" s="313"/>
      <c r="AA21" s="313"/>
      <c r="AB21" s="313"/>
      <c r="AC21" s="313"/>
      <c r="AD21" s="313"/>
      <c r="AE21" s="313"/>
    </row>
    <row r="22" spans="1:31" s="582" customFormat="1">
      <c r="A22" s="293" t="s">
        <v>163</v>
      </c>
      <c r="B22" s="581"/>
      <c r="C22" s="581"/>
      <c r="K22" s="491"/>
      <c r="L22" s="313"/>
      <c r="M22" s="313"/>
      <c r="N22" s="313"/>
      <c r="O22" s="313"/>
      <c r="P22" s="313"/>
      <c r="Q22" s="313"/>
      <c r="R22" s="313"/>
      <c r="S22" s="313"/>
      <c r="T22" s="313"/>
      <c r="U22" s="313"/>
      <c r="V22" s="313"/>
      <c r="W22" s="313"/>
      <c r="X22" s="313"/>
      <c r="Y22" s="313"/>
      <c r="Z22" s="313"/>
      <c r="AA22" s="313"/>
      <c r="AB22" s="313"/>
      <c r="AC22" s="313"/>
      <c r="AD22" s="313"/>
      <c r="AE22" s="313"/>
    </row>
    <row r="23" spans="1:31" s="96" customFormat="1">
      <c r="A23" s="54" t="str">
        <f>'International Ferry Projections'!A11</f>
        <v>Passengers</v>
      </c>
      <c r="B23" s="487"/>
      <c r="C23" s="487"/>
      <c r="K23" s="486">
        <f>'P&amp;L - Concept C2 - RCCL'!D18</f>
        <v>0</v>
      </c>
      <c r="L23" s="313">
        <f>'P&amp;L - Concept C2 - RCCL'!E18</f>
        <v>60000</v>
      </c>
      <c r="M23" s="313">
        <f>'P&amp;L - Concept C2 - RCCL'!F18</f>
        <v>70000</v>
      </c>
      <c r="N23" s="313">
        <f>'P&amp;L - Concept C2 - RCCL'!G18</f>
        <v>80000</v>
      </c>
      <c r="O23" s="313">
        <f>'P&amp;L - Concept C2 - RCCL'!H18</f>
        <v>80000</v>
      </c>
      <c r="P23" s="313">
        <f>'P&amp;L - Concept C2 - RCCL'!I18</f>
        <v>80000</v>
      </c>
      <c r="Q23" s="313">
        <f>'P&amp;L - Concept C2 - RCCL'!J18</f>
        <v>80000</v>
      </c>
      <c r="R23" s="313">
        <f>'P&amp;L - Concept C2 - RCCL'!K18</f>
        <v>80000</v>
      </c>
      <c r="S23" s="313">
        <f>'P&amp;L - Concept C2 - RCCL'!L18</f>
        <v>80000</v>
      </c>
      <c r="T23" s="313">
        <f>'P&amp;L - Concept C2 - RCCL'!M18</f>
        <v>80000</v>
      </c>
      <c r="U23" s="313">
        <f>'P&amp;L - Concept C2 - RCCL'!N18</f>
        <v>80000</v>
      </c>
      <c r="V23" s="313">
        <f>'P&amp;L - Concept C2 - RCCL'!O18</f>
        <v>80000</v>
      </c>
      <c r="W23" s="313">
        <f>'P&amp;L - Concept C2 - RCCL'!P18</f>
        <v>80000</v>
      </c>
      <c r="X23" s="313">
        <f>'P&amp;L - Concept C2 - RCCL'!Q18</f>
        <v>80000</v>
      </c>
      <c r="Y23" s="313">
        <f>'P&amp;L - Concept C2 - RCCL'!R18</f>
        <v>80000</v>
      </c>
      <c r="Z23" s="313">
        <f>'P&amp;L - Concept C2 - RCCL'!S18</f>
        <v>80000</v>
      </c>
      <c r="AA23" s="313">
        <f>'P&amp;L - Concept C2 - RCCL'!T18</f>
        <v>80000</v>
      </c>
      <c r="AB23" s="313">
        <f>'P&amp;L - Concept C2 - RCCL'!U18</f>
        <v>80000</v>
      </c>
      <c r="AC23" s="313">
        <f>'P&amp;L - Concept C2 - RCCL'!V18</f>
        <v>80000</v>
      </c>
      <c r="AD23" s="313">
        <f>'P&amp;L - Concept C2 - RCCL'!W18</f>
        <v>80000</v>
      </c>
      <c r="AE23" s="313">
        <f>'P&amp;L - Concept C2 - RCCL'!X18</f>
        <v>80000</v>
      </c>
    </row>
    <row r="24" spans="1:31" s="96" customFormat="1">
      <c r="A24" s="54" t="str">
        <f>'International Ferry Projections'!A12</f>
        <v>Cars</v>
      </c>
      <c r="B24" s="487"/>
      <c r="C24" s="487"/>
      <c r="K24" s="486">
        <f>'P&amp;L - Concept C2 - RCCL'!D19</f>
        <v>0</v>
      </c>
      <c r="L24" s="313">
        <f>'P&amp;L - Concept C2 - RCCL'!E19</f>
        <v>24000</v>
      </c>
      <c r="M24" s="313">
        <f>'P&amp;L - Concept C2 - RCCL'!F19</f>
        <v>28000</v>
      </c>
      <c r="N24" s="313">
        <f>'P&amp;L - Concept C2 - RCCL'!G19</f>
        <v>32000</v>
      </c>
      <c r="O24" s="313">
        <f>'P&amp;L - Concept C2 - RCCL'!H19</f>
        <v>32000</v>
      </c>
      <c r="P24" s="313">
        <f>'P&amp;L - Concept C2 - RCCL'!I19</f>
        <v>32000</v>
      </c>
      <c r="Q24" s="313">
        <f>'P&amp;L - Concept C2 - RCCL'!J19</f>
        <v>32000</v>
      </c>
      <c r="R24" s="313">
        <f>'P&amp;L - Concept C2 - RCCL'!K19</f>
        <v>32000</v>
      </c>
      <c r="S24" s="313">
        <f>'P&amp;L - Concept C2 - RCCL'!L19</f>
        <v>32000</v>
      </c>
      <c r="T24" s="313">
        <f>'P&amp;L - Concept C2 - RCCL'!M19</f>
        <v>32000</v>
      </c>
      <c r="U24" s="313">
        <f>'P&amp;L - Concept C2 - RCCL'!N19</f>
        <v>32000</v>
      </c>
      <c r="V24" s="313">
        <f>'P&amp;L - Concept C2 - RCCL'!O19</f>
        <v>32000</v>
      </c>
      <c r="W24" s="313">
        <f>'P&amp;L - Concept C2 - RCCL'!P19</f>
        <v>32000</v>
      </c>
      <c r="X24" s="313">
        <f>'P&amp;L - Concept C2 - RCCL'!Q19</f>
        <v>32000</v>
      </c>
      <c r="Y24" s="313">
        <f>'P&amp;L - Concept C2 - RCCL'!R19</f>
        <v>32000</v>
      </c>
      <c r="Z24" s="313">
        <f>'P&amp;L - Concept C2 - RCCL'!S19</f>
        <v>32000</v>
      </c>
      <c r="AA24" s="313">
        <f>'P&amp;L - Concept C2 - RCCL'!T19</f>
        <v>32000</v>
      </c>
      <c r="AB24" s="313">
        <f>'P&amp;L - Concept C2 - RCCL'!U19</f>
        <v>32000</v>
      </c>
      <c r="AC24" s="313">
        <f>'P&amp;L - Concept C2 - RCCL'!V19</f>
        <v>32000</v>
      </c>
      <c r="AD24" s="313">
        <f>'P&amp;L - Concept C2 - RCCL'!W19</f>
        <v>32000</v>
      </c>
      <c r="AE24" s="313">
        <f>'P&amp;L - Concept C2 - RCCL'!X19</f>
        <v>32000</v>
      </c>
    </row>
    <row r="25" spans="1:31" s="96" customFormat="1">
      <c r="A25" s="54" t="str">
        <f>'International Ferry Projections'!A13</f>
        <v>Buses</v>
      </c>
      <c r="B25" s="487"/>
      <c r="C25" s="487"/>
      <c r="K25" s="486">
        <f>'P&amp;L - Concept C2 - RCCL'!D20</f>
        <v>0</v>
      </c>
      <c r="L25" s="313">
        <f>'P&amp;L - Concept C2 - RCCL'!E20</f>
        <v>40</v>
      </c>
      <c r="M25" s="313">
        <f>'P&amp;L - Concept C2 - RCCL'!F20</f>
        <v>50</v>
      </c>
      <c r="N25" s="313">
        <f>'P&amp;L - Concept C2 - RCCL'!G20</f>
        <v>60</v>
      </c>
      <c r="O25" s="313">
        <f>'P&amp;L - Concept C2 - RCCL'!H20</f>
        <v>60</v>
      </c>
      <c r="P25" s="313">
        <f>'P&amp;L - Concept C2 - RCCL'!I20</f>
        <v>60</v>
      </c>
      <c r="Q25" s="313">
        <f>'P&amp;L - Concept C2 - RCCL'!J20</f>
        <v>60</v>
      </c>
      <c r="R25" s="313">
        <f>'P&amp;L - Concept C2 - RCCL'!K20</f>
        <v>60</v>
      </c>
      <c r="S25" s="313">
        <f>'P&amp;L - Concept C2 - RCCL'!L20</f>
        <v>60</v>
      </c>
      <c r="T25" s="313">
        <f>'P&amp;L - Concept C2 - RCCL'!M20</f>
        <v>60</v>
      </c>
      <c r="U25" s="313">
        <f>'P&amp;L - Concept C2 - RCCL'!N20</f>
        <v>60</v>
      </c>
      <c r="V25" s="313">
        <f>'P&amp;L - Concept C2 - RCCL'!O20</f>
        <v>60</v>
      </c>
      <c r="W25" s="313">
        <f>'P&amp;L - Concept C2 - RCCL'!P20</f>
        <v>60</v>
      </c>
      <c r="X25" s="313">
        <f>'P&amp;L - Concept C2 - RCCL'!Q20</f>
        <v>60</v>
      </c>
      <c r="Y25" s="313">
        <f>'P&amp;L - Concept C2 - RCCL'!R20</f>
        <v>60</v>
      </c>
      <c r="Z25" s="313">
        <f>'P&amp;L - Concept C2 - RCCL'!S20</f>
        <v>60</v>
      </c>
      <c r="AA25" s="313">
        <f>'P&amp;L - Concept C2 - RCCL'!T20</f>
        <v>60</v>
      </c>
      <c r="AB25" s="313">
        <f>'P&amp;L - Concept C2 - RCCL'!U20</f>
        <v>60</v>
      </c>
      <c r="AC25" s="313">
        <f>'P&amp;L - Concept C2 - RCCL'!V20</f>
        <v>60</v>
      </c>
      <c r="AD25" s="313">
        <f>'P&amp;L - Concept C2 - RCCL'!W20</f>
        <v>60</v>
      </c>
      <c r="AE25" s="313">
        <f>'P&amp;L - Concept C2 - RCCL'!X20</f>
        <v>60</v>
      </c>
    </row>
    <row r="26" spans="1:31" s="18" customFormat="1">
      <c r="A26" s="54"/>
      <c r="B26" s="21"/>
      <c r="C26" s="21"/>
      <c r="K26" s="486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</row>
    <row r="27" spans="1:31" s="582" customFormat="1">
      <c r="A27" s="293" t="str">
        <f>'BH Tariffs'!A30</f>
        <v>Local Ferry</v>
      </c>
      <c r="B27" s="581"/>
      <c r="C27" s="581"/>
      <c r="K27" s="486"/>
      <c r="L27" s="313"/>
      <c r="M27" s="313"/>
      <c r="N27" s="313"/>
      <c r="O27" s="313"/>
      <c r="P27" s="313"/>
      <c r="Q27" s="313"/>
      <c r="R27" s="313"/>
      <c r="S27" s="313"/>
      <c r="T27" s="313"/>
      <c r="U27" s="313"/>
      <c r="V27" s="313"/>
      <c r="W27" s="313"/>
      <c r="X27" s="313"/>
      <c r="Y27" s="313"/>
      <c r="Z27" s="313"/>
      <c r="AA27" s="313"/>
      <c r="AB27" s="313"/>
      <c r="AC27" s="313"/>
      <c r="AD27" s="313"/>
      <c r="AE27" s="313"/>
    </row>
    <row r="28" spans="1:31" s="96" customFormat="1">
      <c r="A28" s="54" t="str">
        <f>'BH Tariffs'!A31</f>
        <v>Dock Rent (6 Months Only)</v>
      </c>
      <c r="B28" s="487"/>
      <c r="C28" s="487"/>
      <c r="K28" s="486">
        <f>'P&amp;L - Concept C2 - RCCL'!D23</f>
        <v>0</v>
      </c>
      <c r="L28" s="313" t="str">
        <f>'P&amp;L - Concept C2 - RCCL'!E23</f>
        <v>see Tariff</v>
      </c>
      <c r="M28" s="313" t="str">
        <f>'P&amp;L - Concept C2 - RCCL'!F23</f>
        <v>see Tariff</v>
      </c>
      <c r="N28" s="313" t="str">
        <f>'P&amp;L - Concept C2 - RCCL'!G23</f>
        <v>see Tariff</v>
      </c>
      <c r="O28" s="313" t="str">
        <f>'P&amp;L - Concept C2 - RCCL'!H23</f>
        <v>see Tariff</v>
      </c>
      <c r="P28" s="313" t="str">
        <f>'P&amp;L - Concept C2 - RCCL'!I23</f>
        <v>see Tariff</v>
      </c>
      <c r="Q28" s="313" t="str">
        <f>'P&amp;L - Concept C2 - RCCL'!J23</f>
        <v>see Tariff</v>
      </c>
      <c r="R28" s="313" t="str">
        <f>'P&amp;L - Concept C2 - RCCL'!K23</f>
        <v>see Tariff</v>
      </c>
      <c r="S28" s="313" t="str">
        <f>'P&amp;L - Concept C2 - RCCL'!L23</f>
        <v>see Tariff</v>
      </c>
      <c r="T28" s="313" t="str">
        <f>'P&amp;L - Concept C2 - RCCL'!M23</f>
        <v>see Tariff</v>
      </c>
      <c r="U28" s="313" t="str">
        <f>'P&amp;L - Concept C2 - RCCL'!N23</f>
        <v>see Tariff</v>
      </c>
      <c r="V28" s="313" t="str">
        <f>'P&amp;L - Concept C2 - RCCL'!O23</f>
        <v>see Tariff</v>
      </c>
      <c r="W28" s="313" t="str">
        <f>'P&amp;L - Concept C2 - RCCL'!P23</f>
        <v>see Tariff</v>
      </c>
      <c r="X28" s="313" t="str">
        <f>'P&amp;L - Concept C2 - RCCL'!Q23</f>
        <v>see Tariff</v>
      </c>
      <c r="Y28" s="313" t="str">
        <f>'P&amp;L - Concept C2 - RCCL'!R23</f>
        <v>see Tariff</v>
      </c>
      <c r="Z28" s="313" t="str">
        <f>'P&amp;L - Concept C2 - RCCL'!S23</f>
        <v>see Tariff</v>
      </c>
      <c r="AA28" s="313" t="str">
        <f>'P&amp;L - Concept C2 - RCCL'!T23</f>
        <v>see Tariff</v>
      </c>
      <c r="AB28" s="313" t="str">
        <f>'P&amp;L - Concept C2 - RCCL'!U23</f>
        <v>see Tariff</v>
      </c>
      <c r="AC28" s="313" t="str">
        <f>'P&amp;L - Concept C2 - RCCL'!V23</f>
        <v>see Tariff</v>
      </c>
      <c r="AD28" s="313" t="str">
        <f>'P&amp;L - Concept C2 - RCCL'!W23</f>
        <v>see Tariff</v>
      </c>
      <c r="AE28" s="313" t="str">
        <f>'P&amp;L - Concept C2 - RCCL'!X23</f>
        <v>see Tariff</v>
      </c>
    </row>
    <row r="29" spans="1:31" s="341" customFormat="1">
      <c r="A29" s="552"/>
      <c r="B29" s="553"/>
      <c r="C29" s="553"/>
      <c r="K29" s="554"/>
      <c r="L29" s="313"/>
      <c r="M29" s="313"/>
      <c r="N29" s="313"/>
      <c r="O29" s="313"/>
      <c r="P29" s="313"/>
      <c r="Q29" s="313"/>
      <c r="R29" s="313"/>
      <c r="S29" s="313"/>
      <c r="T29" s="313"/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</row>
    <row r="30" spans="1:31" s="96" customFormat="1">
      <c r="A30" s="559" t="s">
        <v>227</v>
      </c>
      <c r="B30" s="487"/>
      <c r="C30" s="487"/>
      <c r="K30" s="486"/>
      <c r="L30" s="313"/>
      <c r="M30" s="313"/>
      <c r="N30" s="313"/>
      <c r="O30" s="313"/>
      <c r="P30" s="313"/>
      <c r="Q30" s="313"/>
      <c r="R30" s="313"/>
      <c r="S30" s="313"/>
      <c r="T30" s="313"/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</row>
    <row r="31" spans="1:31" s="96" customFormat="1">
      <c r="A31" s="559"/>
      <c r="B31" s="487"/>
      <c r="C31" s="487"/>
      <c r="K31" s="486"/>
      <c r="L31" s="313"/>
      <c r="M31" s="313"/>
      <c r="N31" s="313"/>
      <c r="O31" s="313"/>
      <c r="P31" s="313"/>
      <c r="Q31" s="313"/>
      <c r="R31" s="313"/>
      <c r="S31" s="313"/>
      <c r="T31" s="313"/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</row>
    <row r="32" spans="1:31" s="96" customFormat="1">
      <c r="A32" s="54" t="s">
        <v>420</v>
      </c>
      <c r="B32" s="487"/>
      <c r="C32" s="487"/>
      <c r="K32" s="486">
        <f>'P&amp;L - Concept C2 - RCCL'!D27</f>
        <v>0</v>
      </c>
      <c r="L32" s="313">
        <f>'P&amp;L - Concept C2 - RCCL'!E27</f>
        <v>0</v>
      </c>
      <c r="M32" s="313">
        <f>'P&amp;L - Concept C2 - RCCL'!F27</f>
        <v>214</v>
      </c>
      <c r="N32" s="313">
        <f>'P&amp;L - Concept C2 - RCCL'!G27</f>
        <v>214</v>
      </c>
      <c r="O32" s="313">
        <f>'P&amp;L - Concept C2 - RCCL'!H27</f>
        <v>214</v>
      </c>
      <c r="P32" s="313">
        <f>'P&amp;L - Concept C2 - RCCL'!I27</f>
        <v>214</v>
      </c>
      <c r="Q32" s="313">
        <f>'P&amp;L - Concept C2 - RCCL'!J27</f>
        <v>214</v>
      </c>
      <c r="R32" s="313">
        <f>'P&amp;L - Concept C2 - RCCL'!K27</f>
        <v>214</v>
      </c>
      <c r="S32" s="313">
        <f>'P&amp;L - Concept C2 - RCCL'!L27</f>
        <v>214</v>
      </c>
      <c r="T32" s="313">
        <f>'P&amp;L - Concept C2 - RCCL'!M27</f>
        <v>214</v>
      </c>
      <c r="U32" s="313">
        <f>'P&amp;L - Concept C2 - RCCL'!N27</f>
        <v>214</v>
      </c>
      <c r="V32" s="313">
        <f>'P&amp;L - Concept C2 - RCCL'!O27</f>
        <v>214</v>
      </c>
      <c r="W32" s="313">
        <f>'P&amp;L - Concept C2 - RCCL'!P27</f>
        <v>214</v>
      </c>
      <c r="X32" s="313">
        <f>'P&amp;L - Concept C2 - RCCL'!Q27</f>
        <v>214</v>
      </c>
      <c r="Y32" s="313">
        <f>'P&amp;L - Concept C2 - RCCL'!R27</f>
        <v>214</v>
      </c>
      <c r="Z32" s="313">
        <f>'P&amp;L - Concept C2 - RCCL'!S27</f>
        <v>214</v>
      </c>
      <c r="AA32" s="313">
        <f>'P&amp;L - Concept C2 - RCCL'!T27</f>
        <v>214</v>
      </c>
      <c r="AB32" s="313">
        <f>'P&amp;L - Concept C2 - RCCL'!U27</f>
        <v>214</v>
      </c>
      <c r="AC32" s="313">
        <f>'P&amp;L - Concept C2 - RCCL'!V27</f>
        <v>214</v>
      </c>
      <c r="AD32" s="313">
        <f>'P&amp;L - Concept C2 - RCCL'!W27</f>
        <v>214</v>
      </c>
      <c r="AE32" s="313">
        <f>'P&amp;L - Concept C2 - RCCL'!X27</f>
        <v>214</v>
      </c>
    </row>
    <row r="33" spans="1:31" s="96" customFormat="1">
      <c r="A33" s="54" t="s">
        <v>205</v>
      </c>
      <c r="B33" s="487"/>
      <c r="C33" s="487"/>
      <c r="K33" s="486">
        <f>'P&amp;L - Concept C2 - RCCL'!D28</f>
        <v>0</v>
      </c>
      <c r="L33" s="313">
        <f>'P&amp;L - Concept C2 - RCCL'!E28</f>
        <v>0</v>
      </c>
      <c r="M33" s="313">
        <f>'P&amp;L - Concept C2 - RCCL'!F28</f>
        <v>28.666666666666664</v>
      </c>
      <c r="N33" s="313">
        <f>'P&amp;L - Concept C2 - RCCL'!G28</f>
        <v>28.666666666666664</v>
      </c>
      <c r="O33" s="313">
        <f>'P&amp;L - Concept C2 - RCCL'!H28</f>
        <v>28.666666666666664</v>
      </c>
      <c r="P33" s="313">
        <f>'P&amp;L - Concept C2 - RCCL'!I28</f>
        <v>28.666666666666664</v>
      </c>
      <c r="Q33" s="313">
        <f>'P&amp;L - Concept C2 - RCCL'!J28</f>
        <v>28.666666666666664</v>
      </c>
      <c r="R33" s="313">
        <f>'P&amp;L - Concept C2 - RCCL'!K28</f>
        <v>28.666666666666664</v>
      </c>
      <c r="S33" s="313">
        <f>'P&amp;L - Concept C2 - RCCL'!L28</f>
        <v>28.666666666666664</v>
      </c>
      <c r="T33" s="313">
        <f>'P&amp;L - Concept C2 - RCCL'!M28</f>
        <v>28.666666666666664</v>
      </c>
      <c r="U33" s="313">
        <f>'P&amp;L - Concept C2 - RCCL'!N28</f>
        <v>28.666666666666664</v>
      </c>
      <c r="V33" s="313">
        <f>'P&amp;L - Concept C2 - RCCL'!O28</f>
        <v>28.666666666666664</v>
      </c>
      <c r="W33" s="313">
        <f>'P&amp;L - Concept C2 - RCCL'!P28</f>
        <v>28.666666666666664</v>
      </c>
      <c r="X33" s="313">
        <f>'P&amp;L - Concept C2 - RCCL'!Q28</f>
        <v>28.666666666666664</v>
      </c>
      <c r="Y33" s="313">
        <f>'P&amp;L - Concept C2 - RCCL'!R28</f>
        <v>28.666666666666664</v>
      </c>
      <c r="Z33" s="313">
        <f>'P&amp;L - Concept C2 - RCCL'!S28</f>
        <v>28.666666666666664</v>
      </c>
      <c r="AA33" s="313">
        <f>'P&amp;L - Concept C2 - RCCL'!T28</f>
        <v>28.666666666666664</v>
      </c>
      <c r="AB33" s="313">
        <f>'P&amp;L - Concept C2 - RCCL'!U28</f>
        <v>28.666666666666664</v>
      </c>
      <c r="AC33" s="313">
        <f>'P&amp;L - Concept C2 - RCCL'!V28</f>
        <v>28.666666666666664</v>
      </c>
      <c r="AD33" s="313">
        <f>'P&amp;L - Concept C2 - RCCL'!W28</f>
        <v>28.666666666666664</v>
      </c>
      <c r="AE33" s="313">
        <f>'P&amp;L - Concept C2 - RCCL'!X28</f>
        <v>28.666666666666664</v>
      </c>
    </row>
    <row r="34" spans="1:31" s="96" customFormat="1">
      <c r="A34" s="54" t="s">
        <v>219</v>
      </c>
      <c r="B34" s="487"/>
      <c r="C34" s="487"/>
      <c r="K34" s="486">
        <f>'P&amp;L - Concept C2 - RCCL'!D29</f>
        <v>0</v>
      </c>
      <c r="L34" s="313">
        <f>'P&amp;L - Concept C2 - RCCL'!E29</f>
        <v>150</v>
      </c>
      <c r="M34" s="313">
        <f>'P&amp;L - Concept C2 - RCCL'!F29</f>
        <v>150</v>
      </c>
      <c r="N34" s="313">
        <f>'P&amp;L - Concept C2 - RCCL'!G29</f>
        <v>150</v>
      </c>
      <c r="O34" s="313">
        <f>'P&amp;L - Concept C2 - RCCL'!H29</f>
        <v>150</v>
      </c>
      <c r="P34" s="313">
        <f>'P&amp;L - Concept C2 - RCCL'!I29</f>
        <v>150</v>
      </c>
      <c r="Q34" s="313">
        <f>'P&amp;L - Concept C2 - RCCL'!J29</f>
        <v>150</v>
      </c>
      <c r="R34" s="313">
        <f>'P&amp;L - Concept C2 - RCCL'!K29</f>
        <v>150</v>
      </c>
      <c r="S34" s="313">
        <f>'P&amp;L - Concept C2 - RCCL'!L29</f>
        <v>150</v>
      </c>
      <c r="T34" s="313">
        <f>'P&amp;L - Concept C2 - RCCL'!M29</f>
        <v>150</v>
      </c>
      <c r="U34" s="313">
        <f>'P&amp;L - Concept C2 - RCCL'!N29</f>
        <v>150</v>
      </c>
      <c r="V34" s="313">
        <f>'P&amp;L - Concept C2 - RCCL'!O29</f>
        <v>150</v>
      </c>
      <c r="W34" s="313">
        <f>'P&amp;L - Concept C2 - RCCL'!P29</f>
        <v>150</v>
      </c>
      <c r="X34" s="313">
        <f>'P&amp;L - Concept C2 - RCCL'!Q29</f>
        <v>150</v>
      </c>
      <c r="Y34" s="313">
        <f>'P&amp;L - Concept C2 - RCCL'!R29</f>
        <v>150</v>
      </c>
      <c r="Z34" s="313">
        <f>'P&amp;L - Concept C2 - RCCL'!S29</f>
        <v>150</v>
      </c>
      <c r="AA34" s="313">
        <f>'P&amp;L - Concept C2 - RCCL'!T29</f>
        <v>150</v>
      </c>
      <c r="AB34" s="313">
        <f>'P&amp;L - Concept C2 - RCCL'!U29</f>
        <v>150</v>
      </c>
      <c r="AC34" s="313">
        <f>'P&amp;L - Concept C2 - RCCL'!V29</f>
        <v>150</v>
      </c>
      <c r="AD34" s="313">
        <f>'P&amp;L - Concept C2 - RCCL'!W29</f>
        <v>150</v>
      </c>
      <c r="AE34" s="313">
        <f>'P&amp;L - Concept C2 - RCCL'!X29</f>
        <v>150</v>
      </c>
    </row>
    <row r="35" spans="1:31" s="96" customFormat="1">
      <c r="A35" s="54" t="s">
        <v>220</v>
      </c>
      <c r="B35" s="487"/>
      <c r="C35" s="487"/>
      <c r="K35" s="486">
        <f>'P&amp;L - Concept C2 - RCCL'!D30</f>
        <v>0</v>
      </c>
      <c r="L35" s="307">
        <f>'P&amp;L - Concept C2 - RCCL'!E30</f>
        <v>0</v>
      </c>
      <c r="M35" s="307">
        <f>'P&amp;L - Concept C2 - RCCL'!F30</f>
        <v>0.19111111111111109</v>
      </c>
      <c r="N35" s="307">
        <f>'P&amp;L - Concept C2 - RCCL'!G30</f>
        <v>0.19111111111111109</v>
      </c>
      <c r="O35" s="307">
        <f>'P&amp;L - Concept C2 - RCCL'!H30</f>
        <v>0.19111111111111109</v>
      </c>
      <c r="P35" s="307">
        <f>'P&amp;L - Concept C2 - RCCL'!I30</f>
        <v>0.19111111111111109</v>
      </c>
      <c r="Q35" s="307">
        <f>'P&amp;L - Concept C2 - RCCL'!J30</f>
        <v>0.19111111111111109</v>
      </c>
      <c r="R35" s="307">
        <f>'P&amp;L - Concept C2 - RCCL'!K30</f>
        <v>0.19111111111111109</v>
      </c>
      <c r="S35" s="307">
        <f>'P&amp;L - Concept C2 - RCCL'!L30</f>
        <v>0.19111111111111109</v>
      </c>
      <c r="T35" s="307">
        <f>'P&amp;L - Concept C2 - RCCL'!M30</f>
        <v>0.19111111111111109</v>
      </c>
      <c r="U35" s="307">
        <f>'P&amp;L - Concept C2 - RCCL'!N30</f>
        <v>0.19111111111111109</v>
      </c>
      <c r="V35" s="307">
        <f>'P&amp;L - Concept C2 - RCCL'!O30</f>
        <v>0.19111111111111109</v>
      </c>
      <c r="W35" s="307">
        <f>'P&amp;L - Concept C2 - RCCL'!P30</f>
        <v>0.19111111111111109</v>
      </c>
      <c r="X35" s="307">
        <f>'P&amp;L - Concept C2 - RCCL'!Q30</f>
        <v>0.19111111111111109</v>
      </c>
      <c r="Y35" s="307">
        <f>'P&amp;L - Concept C2 - RCCL'!R30</f>
        <v>0.19111111111111109</v>
      </c>
      <c r="Z35" s="307">
        <f>'P&amp;L - Concept C2 - RCCL'!S30</f>
        <v>0.19111111111111109</v>
      </c>
      <c r="AA35" s="307">
        <f>'P&amp;L - Concept C2 - RCCL'!T30</f>
        <v>0.19111111111111109</v>
      </c>
      <c r="AB35" s="307">
        <f>'P&amp;L - Concept C2 - RCCL'!U30</f>
        <v>0.19111111111111109</v>
      </c>
      <c r="AC35" s="307">
        <f>'P&amp;L - Concept C2 - RCCL'!V30</f>
        <v>0.19111111111111109</v>
      </c>
      <c r="AD35" s="307">
        <f>'P&amp;L - Concept C2 - RCCL'!W30</f>
        <v>0.19111111111111109</v>
      </c>
      <c r="AE35" s="307">
        <f>'P&amp;L - Concept C2 - RCCL'!X30</f>
        <v>0.19111111111111109</v>
      </c>
    </row>
    <row r="36" spans="1:31" s="96" customFormat="1">
      <c r="A36" s="54" t="s">
        <v>226</v>
      </c>
      <c r="B36" s="487"/>
      <c r="C36" s="487"/>
      <c r="K36" s="486">
        <f>'P&amp;L - Concept C2 - RCCL'!D31</f>
        <v>0</v>
      </c>
      <c r="L36" s="313">
        <f>'P&amp;L - Concept C2 - RCCL'!E31</f>
        <v>0</v>
      </c>
      <c r="M36" s="313">
        <f>'P&amp;L - Concept C2 - RCCL'!F31</f>
        <v>125</v>
      </c>
      <c r="N36" s="313">
        <f>'P&amp;L - Concept C2 - RCCL'!G31</f>
        <v>125</v>
      </c>
      <c r="O36" s="313">
        <f>'P&amp;L - Concept C2 - RCCL'!H31</f>
        <v>125</v>
      </c>
      <c r="P36" s="313">
        <f>'P&amp;L - Concept C2 - RCCL'!I31</f>
        <v>125</v>
      </c>
      <c r="Q36" s="313">
        <f>'P&amp;L - Concept C2 - RCCL'!J31</f>
        <v>125</v>
      </c>
      <c r="R36" s="313">
        <f>'P&amp;L - Concept C2 - RCCL'!K31</f>
        <v>125</v>
      </c>
      <c r="S36" s="313">
        <f>'P&amp;L - Concept C2 - RCCL'!L31</f>
        <v>125</v>
      </c>
      <c r="T36" s="313">
        <f>'P&amp;L - Concept C2 - RCCL'!M31</f>
        <v>125</v>
      </c>
      <c r="U36" s="313">
        <f>'P&amp;L - Concept C2 - RCCL'!N31</f>
        <v>125</v>
      </c>
      <c r="V36" s="313">
        <f>'P&amp;L - Concept C2 - RCCL'!O31</f>
        <v>125</v>
      </c>
      <c r="W36" s="313">
        <f>'P&amp;L - Concept C2 - RCCL'!P31</f>
        <v>125</v>
      </c>
      <c r="X36" s="313">
        <f>'P&amp;L - Concept C2 - RCCL'!Q31</f>
        <v>125</v>
      </c>
      <c r="Y36" s="313">
        <f>'P&amp;L - Concept C2 - RCCL'!R31</f>
        <v>125</v>
      </c>
      <c r="Z36" s="313">
        <f>'P&amp;L - Concept C2 - RCCL'!S31</f>
        <v>125</v>
      </c>
      <c r="AA36" s="313">
        <f>'P&amp;L - Concept C2 - RCCL'!T31</f>
        <v>125</v>
      </c>
      <c r="AB36" s="313">
        <f>'P&amp;L - Concept C2 - RCCL'!U31</f>
        <v>125</v>
      </c>
      <c r="AC36" s="313">
        <f>'P&amp;L - Concept C2 - RCCL'!V31</f>
        <v>125</v>
      </c>
      <c r="AD36" s="313">
        <f>'P&amp;L - Concept C2 - RCCL'!W31</f>
        <v>125</v>
      </c>
      <c r="AE36" s="313">
        <f>'P&amp;L - Concept C2 - RCCL'!X31</f>
        <v>125</v>
      </c>
    </row>
    <row r="37" spans="1:31" s="96" customFormat="1">
      <c r="A37" s="54"/>
      <c r="B37" s="487"/>
      <c r="C37" s="487"/>
      <c r="K37" s="486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</row>
    <row r="38" spans="1:31" s="96" customFormat="1">
      <c r="A38" s="54" t="s">
        <v>206</v>
      </c>
      <c r="B38" s="487"/>
      <c r="C38" s="487"/>
      <c r="K38" s="486">
        <f>'P&amp;L - Concept C2 - RCCL'!D33</f>
        <v>0</v>
      </c>
      <c r="L38" s="313">
        <f>'P&amp;L - Concept C2 - RCCL'!E33</f>
        <v>0</v>
      </c>
      <c r="M38" s="313">
        <f>'P&amp;L - Concept C2 - RCCL'!F33</f>
        <v>3110.3085303356092</v>
      </c>
      <c r="N38" s="313">
        <f>'P&amp;L - Concept C2 - RCCL'!G33</f>
        <v>3110.3085303356092</v>
      </c>
      <c r="O38" s="313">
        <f>'P&amp;L - Concept C2 - RCCL'!H33</f>
        <v>3110.3085303356092</v>
      </c>
      <c r="P38" s="313">
        <f>'P&amp;L - Concept C2 - RCCL'!I33</f>
        <v>3110.3085303356092</v>
      </c>
      <c r="Q38" s="313">
        <f>'P&amp;L - Concept C2 - RCCL'!J33</f>
        <v>3110.3085303356092</v>
      </c>
      <c r="R38" s="313">
        <f>'P&amp;L - Concept C2 - RCCL'!K33</f>
        <v>3110.3085303356092</v>
      </c>
      <c r="S38" s="313">
        <f>'P&amp;L - Concept C2 - RCCL'!L33</f>
        <v>3110.3085303356092</v>
      </c>
      <c r="T38" s="313">
        <f>'P&amp;L - Concept C2 - RCCL'!M33</f>
        <v>3110.3085303356092</v>
      </c>
      <c r="U38" s="313">
        <f>'P&amp;L - Concept C2 - RCCL'!N33</f>
        <v>3110.3085303356092</v>
      </c>
      <c r="V38" s="313">
        <f>'P&amp;L - Concept C2 - RCCL'!O33</f>
        <v>3110.3085303356092</v>
      </c>
      <c r="W38" s="313">
        <f>'P&amp;L - Concept C2 - RCCL'!P33</f>
        <v>3110.3085303356092</v>
      </c>
      <c r="X38" s="313">
        <f>'P&amp;L - Concept C2 - RCCL'!Q33</f>
        <v>3110.3085303356092</v>
      </c>
      <c r="Y38" s="313">
        <f>'P&amp;L - Concept C2 - RCCL'!R33</f>
        <v>3110.3085303356092</v>
      </c>
      <c r="Z38" s="313">
        <f>'P&amp;L - Concept C2 - RCCL'!S33</f>
        <v>3110.3085303356092</v>
      </c>
      <c r="AA38" s="313">
        <f>'P&amp;L - Concept C2 - RCCL'!T33</f>
        <v>3110.3085303356092</v>
      </c>
      <c r="AB38" s="313">
        <f>'P&amp;L - Concept C2 - RCCL'!U33</f>
        <v>3110.3085303356092</v>
      </c>
      <c r="AC38" s="313">
        <f>'P&amp;L - Concept C2 - RCCL'!V33</f>
        <v>3110.3085303356092</v>
      </c>
      <c r="AD38" s="313">
        <f>'P&amp;L - Concept C2 - RCCL'!W33</f>
        <v>3110.3085303356092</v>
      </c>
      <c r="AE38" s="313">
        <f>'P&amp;L - Concept C2 - RCCL'!X33</f>
        <v>3110.3085303356092</v>
      </c>
    </row>
    <row r="39" spans="1:31" s="96" customFormat="1">
      <c r="A39" s="54" t="s">
        <v>207</v>
      </c>
      <c r="B39" s="487"/>
      <c r="C39" s="487"/>
      <c r="K39" s="486">
        <f>'P&amp;L - Concept C2 - RCCL'!D34</f>
        <v>0</v>
      </c>
      <c r="L39" s="313">
        <f>'P&amp;L - Concept C2 - RCCL'!E34</f>
        <v>0</v>
      </c>
      <c r="M39" s="313">
        <f>'P&amp;L - Concept C2 - RCCL'!F34</f>
        <v>5500</v>
      </c>
      <c r="N39" s="313">
        <f>'P&amp;L - Concept C2 - RCCL'!G34</f>
        <v>5500</v>
      </c>
      <c r="O39" s="313">
        <f>'P&amp;L - Concept C2 - RCCL'!H34</f>
        <v>5500</v>
      </c>
      <c r="P39" s="313">
        <f>'P&amp;L - Concept C2 - RCCL'!I34</f>
        <v>5500</v>
      </c>
      <c r="Q39" s="313">
        <f>'P&amp;L - Concept C2 - RCCL'!J34</f>
        <v>5500</v>
      </c>
      <c r="R39" s="313">
        <f>'P&amp;L - Concept C2 - RCCL'!K34</f>
        <v>5500</v>
      </c>
      <c r="S39" s="313">
        <f>'P&amp;L - Concept C2 - RCCL'!L34</f>
        <v>5500</v>
      </c>
      <c r="T39" s="313">
        <f>'P&amp;L - Concept C2 - RCCL'!M34</f>
        <v>5500</v>
      </c>
      <c r="U39" s="313">
        <f>'P&amp;L - Concept C2 - RCCL'!N34</f>
        <v>5500</v>
      </c>
      <c r="V39" s="313">
        <f>'P&amp;L - Concept C2 - RCCL'!O34</f>
        <v>5500</v>
      </c>
      <c r="W39" s="313">
        <f>'P&amp;L - Concept C2 - RCCL'!P34</f>
        <v>5500</v>
      </c>
      <c r="X39" s="313">
        <f>'P&amp;L - Concept C2 - RCCL'!Q34</f>
        <v>5500</v>
      </c>
      <c r="Y39" s="313">
        <f>'P&amp;L - Concept C2 - RCCL'!R34</f>
        <v>5500</v>
      </c>
      <c r="Z39" s="313">
        <f>'P&amp;L - Concept C2 - RCCL'!S34</f>
        <v>5500</v>
      </c>
      <c r="AA39" s="313">
        <f>'P&amp;L - Concept C2 - RCCL'!T34</f>
        <v>5500</v>
      </c>
      <c r="AB39" s="313">
        <f>'P&amp;L - Concept C2 - RCCL'!U34</f>
        <v>5500</v>
      </c>
      <c r="AC39" s="313">
        <f>'P&amp;L - Concept C2 - RCCL'!V34</f>
        <v>5500</v>
      </c>
      <c r="AD39" s="313">
        <f>'P&amp;L - Concept C2 - RCCL'!W34</f>
        <v>5500</v>
      </c>
      <c r="AE39" s="313">
        <f>'P&amp;L - Concept C2 - RCCL'!X34</f>
        <v>5500</v>
      </c>
    </row>
    <row r="40" spans="1:31" s="96" customFormat="1">
      <c r="A40" s="54" t="s">
        <v>221</v>
      </c>
      <c r="B40" s="487"/>
      <c r="C40" s="487"/>
      <c r="K40" s="486">
        <f>'P&amp;L - Concept C2 - RCCL'!D35</f>
        <v>0</v>
      </c>
      <c r="L40" s="313">
        <f>'P&amp;L - Concept C2 - RCCL'!E35</f>
        <v>400</v>
      </c>
      <c r="M40" s="313">
        <f>'P&amp;L - Concept C2 - RCCL'!F35</f>
        <v>466.66666666666669</v>
      </c>
      <c r="N40" s="313">
        <f>'P&amp;L - Concept C2 - RCCL'!G35</f>
        <v>533.33333333333337</v>
      </c>
      <c r="O40" s="313">
        <f>'P&amp;L - Concept C2 - RCCL'!H35</f>
        <v>533.33333333333337</v>
      </c>
      <c r="P40" s="313">
        <f>'P&amp;L - Concept C2 - RCCL'!I35</f>
        <v>533.33333333333337</v>
      </c>
      <c r="Q40" s="313">
        <f>'P&amp;L - Concept C2 - RCCL'!J35</f>
        <v>533.33333333333337</v>
      </c>
      <c r="R40" s="313">
        <f>'P&amp;L - Concept C2 - RCCL'!K35</f>
        <v>533.33333333333337</v>
      </c>
      <c r="S40" s="313">
        <f>'P&amp;L - Concept C2 - RCCL'!L35</f>
        <v>533.33333333333337</v>
      </c>
      <c r="T40" s="313">
        <f>'P&amp;L - Concept C2 - RCCL'!M35</f>
        <v>533.33333333333337</v>
      </c>
      <c r="U40" s="313">
        <f>'P&amp;L - Concept C2 - RCCL'!N35</f>
        <v>533.33333333333337</v>
      </c>
      <c r="V40" s="313">
        <f>'P&amp;L - Concept C2 - RCCL'!O35</f>
        <v>533.33333333333337</v>
      </c>
      <c r="W40" s="313">
        <f>'P&amp;L - Concept C2 - RCCL'!P35</f>
        <v>533.33333333333337</v>
      </c>
      <c r="X40" s="313">
        <f>'P&amp;L - Concept C2 - RCCL'!Q35</f>
        <v>533.33333333333337</v>
      </c>
      <c r="Y40" s="313">
        <f>'P&amp;L - Concept C2 - RCCL'!R35</f>
        <v>533.33333333333337</v>
      </c>
      <c r="Z40" s="313">
        <f>'P&amp;L - Concept C2 - RCCL'!S35</f>
        <v>533.33333333333337</v>
      </c>
      <c r="AA40" s="313">
        <f>'P&amp;L - Concept C2 - RCCL'!T35</f>
        <v>533.33333333333337</v>
      </c>
      <c r="AB40" s="313">
        <f>'P&amp;L - Concept C2 - RCCL'!U35</f>
        <v>533.33333333333337</v>
      </c>
      <c r="AC40" s="313">
        <f>'P&amp;L - Concept C2 - RCCL'!V35</f>
        <v>533.33333333333337</v>
      </c>
      <c r="AD40" s="313">
        <f>'P&amp;L - Concept C2 - RCCL'!W35</f>
        <v>533.33333333333337</v>
      </c>
      <c r="AE40" s="313">
        <f>'P&amp;L - Concept C2 - RCCL'!X35</f>
        <v>533.33333333333337</v>
      </c>
    </row>
    <row r="41" spans="1:31" s="96" customFormat="1">
      <c r="A41" s="54" t="s">
        <v>222</v>
      </c>
      <c r="B41" s="487"/>
      <c r="C41" s="487"/>
      <c r="K41" s="486">
        <f>'P&amp;L - Concept C2 - RCCL'!D36</f>
        <v>0</v>
      </c>
      <c r="L41" s="313">
        <f>'P&amp;L - Concept C2 - RCCL'!E36</f>
        <v>800</v>
      </c>
      <c r="M41" s="313">
        <f>'P&amp;L - Concept C2 - RCCL'!F36</f>
        <v>800</v>
      </c>
      <c r="N41" s="313">
        <f>'P&amp;L - Concept C2 - RCCL'!G36</f>
        <v>800</v>
      </c>
      <c r="O41" s="313">
        <f>'P&amp;L - Concept C2 - RCCL'!H36</f>
        <v>800</v>
      </c>
      <c r="P41" s="313">
        <f>'P&amp;L - Concept C2 - RCCL'!I36</f>
        <v>800</v>
      </c>
      <c r="Q41" s="313">
        <f>'P&amp;L - Concept C2 - RCCL'!J36</f>
        <v>800</v>
      </c>
      <c r="R41" s="313">
        <f>'P&amp;L - Concept C2 - RCCL'!K36</f>
        <v>800</v>
      </c>
      <c r="S41" s="313">
        <f>'P&amp;L - Concept C2 - RCCL'!L36</f>
        <v>800</v>
      </c>
      <c r="T41" s="313">
        <f>'P&amp;L - Concept C2 - RCCL'!M36</f>
        <v>800</v>
      </c>
      <c r="U41" s="313">
        <f>'P&amp;L - Concept C2 - RCCL'!N36</f>
        <v>800</v>
      </c>
      <c r="V41" s="313">
        <f>'P&amp;L - Concept C2 - RCCL'!O36</f>
        <v>800</v>
      </c>
      <c r="W41" s="313">
        <f>'P&amp;L - Concept C2 - RCCL'!P36</f>
        <v>800</v>
      </c>
      <c r="X41" s="313">
        <f>'P&amp;L - Concept C2 - RCCL'!Q36</f>
        <v>800</v>
      </c>
      <c r="Y41" s="313">
        <f>'P&amp;L - Concept C2 - RCCL'!R36</f>
        <v>800</v>
      </c>
      <c r="Z41" s="313">
        <f>'P&amp;L - Concept C2 - RCCL'!S36</f>
        <v>800</v>
      </c>
      <c r="AA41" s="313">
        <f>'P&amp;L - Concept C2 - RCCL'!T36</f>
        <v>800</v>
      </c>
      <c r="AB41" s="313">
        <f>'P&amp;L - Concept C2 - RCCL'!U36</f>
        <v>800</v>
      </c>
      <c r="AC41" s="313">
        <f>'P&amp;L - Concept C2 - RCCL'!V36</f>
        <v>800</v>
      </c>
      <c r="AD41" s="313">
        <f>'P&amp;L - Concept C2 - RCCL'!W36</f>
        <v>800</v>
      </c>
      <c r="AE41" s="313">
        <f>'P&amp;L - Concept C2 - RCCL'!X36</f>
        <v>800</v>
      </c>
    </row>
    <row r="42" spans="1:31" s="96" customFormat="1">
      <c r="A42" s="54" t="s">
        <v>208</v>
      </c>
      <c r="B42" s="487"/>
      <c r="C42" s="487"/>
      <c r="K42" s="486">
        <f>'P&amp;L - Concept C2 - RCCL'!D37</f>
        <v>0</v>
      </c>
      <c r="L42" s="313">
        <f>'P&amp;L - Concept C2 - RCCL'!E37</f>
        <v>800</v>
      </c>
      <c r="M42" s="313">
        <f>'P&amp;L - Concept C2 - RCCL'!F37</f>
        <v>6300</v>
      </c>
      <c r="N42" s="313">
        <f>'P&amp;L - Concept C2 - RCCL'!G37</f>
        <v>6300</v>
      </c>
      <c r="O42" s="313">
        <f>'P&amp;L - Concept C2 - RCCL'!H37</f>
        <v>6300</v>
      </c>
      <c r="P42" s="313">
        <f>'P&amp;L - Concept C2 - RCCL'!I37</f>
        <v>6300</v>
      </c>
      <c r="Q42" s="313">
        <f>'P&amp;L - Concept C2 - RCCL'!J37</f>
        <v>6300</v>
      </c>
      <c r="R42" s="313">
        <f>'P&amp;L - Concept C2 - RCCL'!K37</f>
        <v>6300</v>
      </c>
      <c r="S42" s="313">
        <f>'P&amp;L - Concept C2 - RCCL'!L37</f>
        <v>6300</v>
      </c>
      <c r="T42" s="313">
        <f>'P&amp;L - Concept C2 - RCCL'!M37</f>
        <v>6300</v>
      </c>
      <c r="U42" s="313">
        <f>'P&amp;L - Concept C2 - RCCL'!N37</f>
        <v>6300</v>
      </c>
      <c r="V42" s="313">
        <f>'P&amp;L - Concept C2 - RCCL'!O37</f>
        <v>6300</v>
      </c>
      <c r="W42" s="313">
        <f>'P&amp;L - Concept C2 - RCCL'!P37</f>
        <v>6300</v>
      </c>
      <c r="X42" s="313">
        <f>'P&amp;L - Concept C2 - RCCL'!Q37</f>
        <v>6300</v>
      </c>
      <c r="Y42" s="313">
        <f>'P&amp;L - Concept C2 - RCCL'!R37</f>
        <v>6300</v>
      </c>
      <c r="Z42" s="313">
        <f>'P&amp;L - Concept C2 - RCCL'!S37</f>
        <v>6300</v>
      </c>
      <c r="AA42" s="313">
        <f>'P&amp;L - Concept C2 - RCCL'!T37</f>
        <v>6300</v>
      </c>
      <c r="AB42" s="313">
        <f>'P&amp;L - Concept C2 - RCCL'!U37</f>
        <v>6300</v>
      </c>
      <c r="AC42" s="313">
        <f>'P&amp;L - Concept C2 - RCCL'!V37</f>
        <v>6300</v>
      </c>
      <c r="AD42" s="313">
        <f>'P&amp;L - Concept C2 - RCCL'!W37</f>
        <v>6300</v>
      </c>
      <c r="AE42" s="313">
        <f>'P&amp;L - Concept C2 - RCCL'!X37</f>
        <v>6300</v>
      </c>
    </row>
    <row r="43" spans="1:31" s="96" customFormat="1">
      <c r="A43" s="54"/>
      <c r="B43" s="487"/>
      <c r="C43" s="487"/>
      <c r="K43" s="486"/>
      <c r="L43" s="313"/>
      <c r="M43" s="313"/>
      <c r="N43" s="313"/>
      <c r="O43" s="313"/>
      <c r="P43" s="313"/>
      <c r="Q43" s="313"/>
      <c r="R43" s="313"/>
      <c r="S43" s="313"/>
      <c r="T43" s="313"/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</row>
    <row r="44" spans="1:31" s="96" customFormat="1">
      <c r="A44" s="54" t="s">
        <v>223</v>
      </c>
      <c r="B44" s="583"/>
      <c r="C44" s="583"/>
      <c r="K44" s="486">
        <f>'P&amp;L - Concept C2 - RCCL'!D39</f>
        <v>0</v>
      </c>
      <c r="L44" s="313">
        <f>'P&amp;L - Concept C2 - RCCL'!E39</f>
        <v>160.26666666666668</v>
      </c>
      <c r="M44" s="313">
        <f>'P&amp;L - Concept C2 - RCCL'!F39</f>
        <v>187</v>
      </c>
      <c r="N44" s="313">
        <f>'P&amp;L - Concept C2 - RCCL'!G39</f>
        <v>213.73333333333332</v>
      </c>
      <c r="O44" s="313">
        <f>'P&amp;L - Concept C2 - RCCL'!H39</f>
        <v>213.73333333333332</v>
      </c>
      <c r="P44" s="313">
        <f>'P&amp;L - Concept C2 - RCCL'!I39</f>
        <v>213.73333333333332</v>
      </c>
      <c r="Q44" s="313">
        <f>'P&amp;L - Concept C2 - RCCL'!J39</f>
        <v>213.73333333333332</v>
      </c>
      <c r="R44" s="313">
        <f>'P&amp;L - Concept C2 - RCCL'!K39</f>
        <v>213.73333333333332</v>
      </c>
      <c r="S44" s="313">
        <f>'P&amp;L - Concept C2 - RCCL'!L39</f>
        <v>213.73333333333332</v>
      </c>
      <c r="T44" s="313">
        <f>'P&amp;L - Concept C2 - RCCL'!M39</f>
        <v>213.73333333333332</v>
      </c>
      <c r="U44" s="313">
        <f>'P&amp;L - Concept C2 - RCCL'!N39</f>
        <v>213.73333333333332</v>
      </c>
      <c r="V44" s="313">
        <f>'P&amp;L - Concept C2 - RCCL'!O39</f>
        <v>213.73333333333332</v>
      </c>
      <c r="W44" s="313">
        <f>'P&amp;L - Concept C2 - RCCL'!P39</f>
        <v>213.73333333333332</v>
      </c>
      <c r="X44" s="313">
        <f>'P&amp;L - Concept C2 - RCCL'!Q39</f>
        <v>213.73333333333332</v>
      </c>
      <c r="Y44" s="313">
        <f>'P&amp;L - Concept C2 - RCCL'!R39</f>
        <v>213.73333333333332</v>
      </c>
      <c r="Z44" s="313">
        <f>'P&amp;L - Concept C2 - RCCL'!S39</f>
        <v>213.73333333333332</v>
      </c>
      <c r="AA44" s="313">
        <f>'P&amp;L - Concept C2 - RCCL'!T39</f>
        <v>213.73333333333332</v>
      </c>
      <c r="AB44" s="313">
        <f>'P&amp;L - Concept C2 - RCCL'!U39</f>
        <v>213.73333333333332</v>
      </c>
      <c r="AC44" s="313">
        <f>'P&amp;L - Concept C2 - RCCL'!V39</f>
        <v>213.73333333333332</v>
      </c>
      <c r="AD44" s="313">
        <f>'P&amp;L - Concept C2 - RCCL'!W39</f>
        <v>213.73333333333332</v>
      </c>
      <c r="AE44" s="313">
        <f>'P&amp;L - Concept C2 - RCCL'!X39</f>
        <v>213.73333333333332</v>
      </c>
    </row>
    <row r="45" spans="1:31" s="96" customFormat="1">
      <c r="A45" s="54"/>
      <c r="B45" s="583"/>
      <c r="C45" s="583"/>
      <c r="K45" s="492"/>
      <c r="L45" s="313"/>
      <c r="M45" s="313"/>
      <c r="N45" s="313"/>
      <c r="O45" s="313"/>
      <c r="P45" s="313"/>
      <c r="Q45" s="313"/>
      <c r="R45" s="313"/>
      <c r="S45" s="313"/>
      <c r="T45" s="313"/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</row>
    <row r="46" spans="1:31" s="18" customFormat="1">
      <c r="A46" s="293" t="s">
        <v>26</v>
      </c>
      <c r="B46" s="74"/>
      <c r="C46" s="74"/>
      <c r="K46" s="492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</row>
    <row r="47" spans="1:31" s="18" customFormat="1">
      <c r="A47" s="54" t="s">
        <v>264</v>
      </c>
      <c r="B47" s="277"/>
      <c r="C47" s="74"/>
      <c r="K47" s="486">
        <f>'P&amp;L - Concept C2 - RCCL'!D42</f>
        <v>0</v>
      </c>
      <c r="L47" s="313">
        <f>'P&amp;L - Concept C2 - RCCL'!E42</f>
        <v>13920.314236111111</v>
      </c>
      <c r="M47" s="313">
        <f>'P&amp;L - Concept C2 - RCCL'!F42</f>
        <v>13920.314236111111</v>
      </c>
      <c r="N47" s="313">
        <f>'P&amp;L - Concept C2 - RCCL'!G42</f>
        <v>13920.314236111111</v>
      </c>
      <c r="O47" s="313">
        <f>'P&amp;L - Concept C2 - RCCL'!H42</f>
        <v>13920.314236111111</v>
      </c>
      <c r="P47" s="313">
        <f>'P&amp;L - Concept C2 - RCCL'!I42</f>
        <v>13920.314236111111</v>
      </c>
      <c r="Q47" s="313">
        <f>'P&amp;L - Concept C2 - RCCL'!J42</f>
        <v>13920.314236111111</v>
      </c>
      <c r="R47" s="313">
        <f>'P&amp;L - Concept C2 - RCCL'!K42</f>
        <v>13920.314236111111</v>
      </c>
      <c r="S47" s="313">
        <f>'P&amp;L - Concept C2 - RCCL'!L42</f>
        <v>13920.314236111111</v>
      </c>
      <c r="T47" s="313">
        <f>'P&amp;L - Concept C2 - RCCL'!M42</f>
        <v>13920.314236111111</v>
      </c>
      <c r="U47" s="313">
        <f>'P&amp;L - Concept C2 - RCCL'!N42</f>
        <v>13920.314236111111</v>
      </c>
      <c r="V47" s="313">
        <f>'P&amp;L - Concept C2 - RCCL'!O42</f>
        <v>13920.314236111111</v>
      </c>
      <c r="W47" s="313">
        <f>'P&amp;L - Concept C2 - RCCL'!P42</f>
        <v>13920.314236111111</v>
      </c>
      <c r="X47" s="313">
        <f>'P&amp;L - Concept C2 - RCCL'!Q42</f>
        <v>13920.314236111111</v>
      </c>
      <c r="Y47" s="313">
        <f>'P&amp;L - Concept C2 - RCCL'!R42</f>
        <v>13920.314236111111</v>
      </c>
      <c r="Z47" s="313">
        <f>'P&amp;L - Concept C2 - RCCL'!S42</f>
        <v>13920.314236111111</v>
      </c>
      <c r="AA47" s="313">
        <f>'P&amp;L - Concept C2 - RCCL'!T42</f>
        <v>13920.314236111111</v>
      </c>
      <c r="AB47" s="313">
        <f>'P&amp;L - Concept C2 - RCCL'!U42</f>
        <v>13920.314236111111</v>
      </c>
      <c r="AC47" s="313">
        <f>'P&amp;L - Concept C2 - RCCL'!V42</f>
        <v>13920.314236111111</v>
      </c>
      <c r="AD47" s="313">
        <f>'P&amp;L - Concept C2 - RCCL'!W42</f>
        <v>13920.314236111111</v>
      </c>
      <c r="AE47" s="313">
        <f>'P&amp;L - Concept C2 - RCCL'!X42</f>
        <v>13920.314236111111</v>
      </c>
    </row>
    <row r="48" spans="1:31" s="18" customFormat="1">
      <c r="A48" s="54" t="s">
        <v>267</v>
      </c>
      <c r="B48" s="277"/>
      <c r="C48" s="74"/>
      <c r="K48" s="486">
        <f>'P&amp;L - Concept C2 - RCCL'!D43</f>
        <v>0</v>
      </c>
      <c r="L48" s="313">
        <f>'P&amp;L - Concept C2 - RCCL'!E43</f>
        <v>13115.666666666662</v>
      </c>
      <c r="M48" s="313">
        <f>'P&amp;L - Concept C2 - RCCL'!F43</f>
        <v>13115.666666666662</v>
      </c>
      <c r="N48" s="313">
        <f>'P&amp;L - Concept C2 - RCCL'!G43</f>
        <v>13115.666666666662</v>
      </c>
      <c r="O48" s="313">
        <f>'P&amp;L - Concept C2 - RCCL'!H43</f>
        <v>13115.666666666662</v>
      </c>
      <c r="P48" s="313">
        <f>'P&amp;L - Concept C2 - RCCL'!I43</f>
        <v>13115.666666666662</v>
      </c>
      <c r="Q48" s="313">
        <f>'P&amp;L - Concept C2 - RCCL'!J43</f>
        <v>13115.666666666662</v>
      </c>
      <c r="R48" s="313">
        <f>'P&amp;L - Concept C2 - RCCL'!K43</f>
        <v>13115.666666666662</v>
      </c>
      <c r="S48" s="313">
        <f>'P&amp;L - Concept C2 - RCCL'!L43</f>
        <v>13115.666666666662</v>
      </c>
      <c r="T48" s="313">
        <f>'P&amp;L - Concept C2 - RCCL'!M43</f>
        <v>13115.666666666662</v>
      </c>
      <c r="U48" s="313">
        <f>'P&amp;L - Concept C2 - RCCL'!N43</f>
        <v>13115.666666666662</v>
      </c>
      <c r="V48" s="313">
        <f>'P&amp;L - Concept C2 - RCCL'!O43</f>
        <v>13115.666666666662</v>
      </c>
      <c r="W48" s="313">
        <f>'P&amp;L - Concept C2 - RCCL'!P43</f>
        <v>13115.666666666662</v>
      </c>
      <c r="X48" s="313">
        <f>'P&amp;L - Concept C2 - RCCL'!Q43</f>
        <v>13115.666666666662</v>
      </c>
      <c r="Y48" s="313">
        <f>'P&amp;L - Concept C2 - RCCL'!R43</f>
        <v>13115.666666666662</v>
      </c>
      <c r="Z48" s="313">
        <f>'P&amp;L - Concept C2 - RCCL'!S43</f>
        <v>13115.666666666662</v>
      </c>
      <c r="AA48" s="313">
        <f>'P&amp;L - Concept C2 - RCCL'!T43</f>
        <v>13115.666666666662</v>
      </c>
      <c r="AB48" s="313">
        <f>'P&amp;L - Concept C2 - RCCL'!U43</f>
        <v>13115.666666666662</v>
      </c>
      <c r="AC48" s="313">
        <f>'P&amp;L - Concept C2 - RCCL'!V43</f>
        <v>13115.666666666662</v>
      </c>
      <c r="AD48" s="313">
        <f>'P&amp;L - Concept C2 - RCCL'!W43</f>
        <v>13115.666666666662</v>
      </c>
      <c r="AE48" s="313">
        <f>'P&amp;L - Concept C2 - RCCL'!X43</f>
        <v>13115.666666666662</v>
      </c>
    </row>
    <row r="49" spans="1:32 16384:16384" s="96" customFormat="1">
      <c r="A49" s="54" t="s">
        <v>274</v>
      </c>
      <c r="B49" s="435"/>
      <c r="C49" s="583"/>
      <c r="K49" s="486">
        <f>'P&amp;L - Concept C2 - RCCL'!D44</f>
        <v>0</v>
      </c>
      <c r="L49" s="313">
        <f>'P&amp;L - Concept C2 - RCCL'!E44</f>
        <v>27035.980902777774</v>
      </c>
      <c r="M49" s="313">
        <f>'P&amp;L - Concept C2 - RCCL'!F44</f>
        <v>27035.980902777774</v>
      </c>
      <c r="N49" s="313">
        <f>'P&amp;L - Concept C2 - RCCL'!G44</f>
        <v>27035.980902777774</v>
      </c>
      <c r="O49" s="313">
        <f>'P&amp;L - Concept C2 - RCCL'!H44</f>
        <v>27035.980902777774</v>
      </c>
      <c r="P49" s="313">
        <f>'P&amp;L - Concept C2 - RCCL'!I44</f>
        <v>27035.980902777774</v>
      </c>
      <c r="Q49" s="313">
        <f>'P&amp;L - Concept C2 - RCCL'!J44</f>
        <v>27035.980902777774</v>
      </c>
      <c r="R49" s="313">
        <f>'P&amp;L - Concept C2 - RCCL'!K44</f>
        <v>27035.980902777774</v>
      </c>
      <c r="S49" s="313">
        <f>'P&amp;L - Concept C2 - RCCL'!L44</f>
        <v>27035.980902777774</v>
      </c>
      <c r="T49" s="313">
        <f>'P&amp;L - Concept C2 - RCCL'!M44</f>
        <v>27035.980902777774</v>
      </c>
      <c r="U49" s="313">
        <f>'P&amp;L - Concept C2 - RCCL'!N44</f>
        <v>27035.980902777774</v>
      </c>
      <c r="V49" s="313">
        <f>'P&amp;L - Concept C2 - RCCL'!O44</f>
        <v>27035.980902777774</v>
      </c>
      <c r="W49" s="313">
        <f>'P&amp;L - Concept C2 - RCCL'!P44</f>
        <v>27035.980902777774</v>
      </c>
      <c r="X49" s="313">
        <f>'P&amp;L - Concept C2 - RCCL'!Q44</f>
        <v>27035.980902777774</v>
      </c>
      <c r="Y49" s="313">
        <f>'P&amp;L - Concept C2 - RCCL'!R44</f>
        <v>27035.980902777774</v>
      </c>
      <c r="Z49" s="313">
        <f>'P&amp;L - Concept C2 - RCCL'!S44</f>
        <v>27035.980902777774</v>
      </c>
      <c r="AA49" s="313">
        <f>'P&amp;L - Concept C2 - RCCL'!T44</f>
        <v>27035.980902777774</v>
      </c>
      <c r="AB49" s="313">
        <f>'P&amp;L - Concept C2 - RCCL'!U44</f>
        <v>27035.980902777774</v>
      </c>
      <c r="AC49" s="313">
        <f>'P&amp;L - Concept C2 - RCCL'!V44</f>
        <v>27035.980902777774</v>
      </c>
      <c r="AD49" s="313">
        <f>'P&amp;L - Concept C2 - RCCL'!W44</f>
        <v>27035.980902777774</v>
      </c>
      <c r="AE49" s="313">
        <f>'P&amp;L - Concept C2 - RCCL'!X44</f>
        <v>27035.980902777774</v>
      </c>
    </row>
    <row r="50" spans="1:32 16384:16384" s="18" customFormat="1">
      <c r="A50" s="54"/>
      <c r="B50" s="277"/>
      <c r="C50" s="74"/>
      <c r="K50" s="499"/>
      <c r="L50" s="313"/>
      <c r="M50" s="313"/>
      <c r="N50" s="313"/>
      <c r="O50" s="313"/>
      <c r="P50" s="313"/>
      <c r="Q50" s="313"/>
      <c r="R50" s="313"/>
      <c r="S50" s="313"/>
      <c r="T50" s="313"/>
      <c r="U50" s="313"/>
      <c r="V50" s="313"/>
      <c r="W50" s="313"/>
      <c r="X50" s="313"/>
      <c r="Y50" s="313"/>
      <c r="Z50" s="313"/>
      <c r="AA50" s="313"/>
      <c r="AB50" s="313"/>
      <c r="AC50" s="313"/>
      <c r="AD50" s="313"/>
      <c r="AE50" s="313"/>
    </row>
    <row r="51" spans="1:32 16384:16384" s="96" customFormat="1">
      <c r="A51" s="54" t="s">
        <v>224</v>
      </c>
      <c r="B51" s="435"/>
      <c r="C51" s="583"/>
      <c r="K51" s="486">
        <f>'P&amp;L - Concept C2 - RCCL'!D46</f>
        <v>0</v>
      </c>
      <c r="L51" s="496">
        <f>'P&amp;L - Concept C2 - RCCL'!E46</f>
        <v>3</v>
      </c>
      <c r="M51" s="496">
        <f>'P&amp;L - Concept C2 - RCCL'!F46</f>
        <v>3</v>
      </c>
      <c r="N51" s="496">
        <f>'P&amp;L - Concept C2 - RCCL'!G46</f>
        <v>3</v>
      </c>
      <c r="O51" s="496">
        <f>'P&amp;L - Concept C2 - RCCL'!H46</f>
        <v>3</v>
      </c>
      <c r="P51" s="496">
        <f>'P&amp;L - Concept C2 - RCCL'!I46</f>
        <v>3</v>
      </c>
      <c r="Q51" s="496">
        <f>'P&amp;L - Concept C2 - RCCL'!J46</f>
        <v>3</v>
      </c>
      <c r="R51" s="496">
        <f>'P&amp;L - Concept C2 - RCCL'!K46</f>
        <v>3</v>
      </c>
      <c r="S51" s="496">
        <f>'P&amp;L - Concept C2 - RCCL'!L46</f>
        <v>3</v>
      </c>
      <c r="T51" s="496">
        <f>'P&amp;L - Concept C2 - RCCL'!M46</f>
        <v>3</v>
      </c>
      <c r="U51" s="496">
        <f>'P&amp;L - Concept C2 - RCCL'!N46</f>
        <v>3</v>
      </c>
      <c r="V51" s="496">
        <f>'P&amp;L - Concept C2 - RCCL'!O46</f>
        <v>3</v>
      </c>
      <c r="W51" s="496">
        <f>'P&amp;L - Concept C2 - RCCL'!P46</f>
        <v>3</v>
      </c>
      <c r="X51" s="496">
        <f>'P&amp;L - Concept C2 - RCCL'!Q46</f>
        <v>3</v>
      </c>
      <c r="Y51" s="496">
        <f>'P&amp;L - Concept C2 - RCCL'!R46</f>
        <v>3</v>
      </c>
      <c r="Z51" s="496">
        <f>'P&amp;L - Concept C2 - RCCL'!S46</f>
        <v>3</v>
      </c>
      <c r="AA51" s="496">
        <f>'P&amp;L - Concept C2 - RCCL'!T46</f>
        <v>3</v>
      </c>
      <c r="AB51" s="496">
        <f>'P&amp;L - Concept C2 - RCCL'!U46</f>
        <v>3</v>
      </c>
      <c r="AC51" s="496">
        <f>'P&amp;L - Concept C2 - RCCL'!V46</f>
        <v>3</v>
      </c>
      <c r="AD51" s="496">
        <f>'P&amp;L - Concept C2 - RCCL'!W46</f>
        <v>3</v>
      </c>
      <c r="AE51" s="496">
        <f>'P&amp;L - Concept C2 - RCCL'!X46</f>
        <v>3</v>
      </c>
    </row>
    <row r="52" spans="1:32 16384:16384" s="96" customFormat="1">
      <c r="A52" s="54" t="s">
        <v>225</v>
      </c>
      <c r="B52" s="435"/>
      <c r="C52" s="583"/>
      <c r="K52" s="486">
        <f>'P&amp;L - Concept C2 - RCCL'!D47</f>
        <v>0</v>
      </c>
      <c r="L52" s="496">
        <f>'P&amp;L - Concept C2 - RCCL'!E47</f>
        <v>1</v>
      </c>
      <c r="M52" s="496">
        <f>'P&amp;L - Concept C2 - RCCL'!F47</f>
        <v>1</v>
      </c>
      <c r="N52" s="496">
        <f>'P&amp;L - Concept C2 - RCCL'!G47</f>
        <v>1</v>
      </c>
      <c r="O52" s="496">
        <f>'P&amp;L - Concept C2 - RCCL'!H47</f>
        <v>1</v>
      </c>
      <c r="P52" s="496">
        <f>'P&amp;L - Concept C2 - RCCL'!I47</f>
        <v>1</v>
      </c>
      <c r="Q52" s="496">
        <f>'P&amp;L - Concept C2 - RCCL'!J47</f>
        <v>1</v>
      </c>
      <c r="R52" s="496">
        <f>'P&amp;L - Concept C2 - RCCL'!K47</f>
        <v>1</v>
      </c>
      <c r="S52" s="496">
        <f>'P&amp;L - Concept C2 - RCCL'!L47</f>
        <v>1</v>
      </c>
      <c r="T52" s="496">
        <f>'P&amp;L - Concept C2 - RCCL'!M47</f>
        <v>1</v>
      </c>
      <c r="U52" s="496">
        <f>'P&amp;L - Concept C2 - RCCL'!N47</f>
        <v>1</v>
      </c>
      <c r="V52" s="496">
        <f>'P&amp;L - Concept C2 - RCCL'!O47</f>
        <v>1</v>
      </c>
      <c r="W52" s="496">
        <f>'P&amp;L - Concept C2 - RCCL'!P47</f>
        <v>1</v>
      </c>
      <c r="X52" s="496">
        <f>'P&amp;L - Concept C2 - RCCL'!Q47</f>
        <v>1</v>
      </c>
      <c r="Y52" s="496">
        <f>'P&amp;L - Concept C2 - RCCL'!R47</f>
        <v>1</v>
      </c>
      <c r="Z52" s="496">
        <f>'P&amp;L - Concept C2 - RCCL'!S47</f>
        <v>1</v>
      </c>
      <c r="AA52" s="496">
        <f>'P&amp;L - Concept C2 - RCCL'!T47</f>
        <v>1</v>
      </c>
      <c r="AB52" s="496">
        <f>'P&amp;L - Concept C2 - RCCL'!U47</f>
        <v>1</v>
      </c>
      <c r="AC52" s="496">
        <f>'P&amp;L - Concept C2 - RCCL'!V47</f>
        <v>1</v>
      </c>
      <c r="AD52" s="496">
        <f>'P&amp;L - Concept C2 - RCCL'!W47</f>
        <v>1</v>
      </c>
      <c r="AE52" s="496">
        <f>'P&amp;L - Concept C2 - RCCL'!X47</f>
        <v>1</v>
      </c>
    </row>
    <row r="53" spans="1:32 16384:16384" s="18" customFormat="1">
      <c r="A53" s="54" t="s">
        <v>209</v>
      </c>
      <c r="B53" s="277"/>
      <c r="C53" s="74"/>
      <c r="K53" s="486">
        <f>'P&amp;L - Concept C2 - RCCL'!D48</f>
        <v>0</v>
      </c>
      <c r="L53" s="496">
        <f>'P&amp;L - Concept C2 - RCCL'!E48</f>
        <v>0.5</v>
      </c>
      <c r="M53" s="496">
        <f>'P&amp;L - Concept C2 - RCCL'!F48</f>
        <v>0.5</v>
      </c>
      <c r="N53" s="496">
        <f>'P&amp;L - Concept C2 - RCCL'!G48</f>
        <v>0.5</v>
      </c>
      <c r="O53" s="496">
        <f>'P&amp;L - Concept C2 - RCCL'!H48</f>
        <v>0.5</v>
      </c>
      <c r="P53" s="496">
        <f>'P&amp;L - Concept C2 - RCCL'!I48</f>
        <v>0.5</v>
      </c>
      <c r="Q53" s="496">
        <f>'P&amp;L - Concept C2 - RCCL'!J48</f>
        <v>0.5</v>
      </c>
      <c r="R53" s="496">
        <f>'P&amp;L - Concept C2 - RCCL'!K48</f>
        <v>0.5</v>
      </c>
      <c r="S53" s="496">
        <f>'P&amp;L - Concept C2 - RCCL'!L48</f>
        <v>0.5</v>
      </c>
      <c r="T53" s="496">
        <f>'P&amp;L - Concept C2 - RCCL'!M48</f>
        <v>0.5</v>
      </c>
      <c r="U53" s="496">
        <f>'P&amp;L - Concept C2 - RCCL'!N48</f>
        <v>0.5</v>
      </c>
      <c r="V53" s="496">
        <f>'P&amp;L - Concept C2 - RCCL'!O48</f>
        <v>0.5</v>
      </c>
      <c r="W53" s="496">
        <f>'P&amp;L - Concept C2 - RCCL'!P48</f>
        <v>0.5</v>
      </c>
      <c r="X53" s="496">
        <f>'P&amp;L - Concept C2 - RCCL'!Q48</f>
        <v>0.5</v>
      </c>
      <c r="Y53" s="496">
        <f>'P&amp;L - Concept C2 - RCCL'!R48</f>
        <v>0.5</v>
      </c>
      <c r="Z53" s="496">
        <f>'P&amp;L - Concept C2 - RCCL'!S48</f>
        <v>0.5</v>
      </c>
      <c r="AA53" s="496">
        <f>'P&amp;L - Concept C2 - RCCL'!T48</f>
        <v>0.5</v>
      </c>
      <c r="AB53" s="496">
        <f>'P&amp;L - Concept C2 - RCCL'!U48</f>
        <v>0.5</v>
      </c>
      <c r="AC53" s="496">
        <f>'P&amp;L - Concept C2 - RCCL'!V48</f>
        <v>0.5</v>
      </c>
      <c r="AD53" s="496">
        <f>'P&amp;L - Concept C2 - RCCL'!W48</f>
        <v>0.5</v>
      </c>
      <c r="AE53" s="496">
        <f>'P&amp;L - Concept C2 - RCCL'!X48</f>
        <v>0.5</v>
      </c>
    </row>
    <row r="54" spans="1:32 16384:16384" s="18" customFormat="1">
      <c r="A54" s="54" t="s">
        <v>289</v>
      </c>
      <c r="B54" s="277"/>
      <c r="C54" s="74"/>
      <c r="K54" s="486">
        <f>'P&amp;L - Concept C2 - RCCL'!D49</f>
        <v>0</v>
      </c>
      <c r="L54" s="496">
        <f>'P&amp;L - Concept C2 - RCCL'!E49</f>
        <v>1.5</v>
      </c>
      <c r="M54" s="496">
        <f>'P&amp;L - Concept C2 - RCCL'!F49</f>
        <v>1.5</v>
      </c>
      <c r="N54" s="496">
        <f>'P&amp;L - Concept C2 - RCCL'!G49</f>
        <v>1.5</v>
      </c>
      <c r="O54" s="496">
        <f>'P&amp;L - Concept C2 - RCCL'!H49</f>
        <v>1.5</v>
      </c>
      <c r="P54" s="496">
        <f>'P&amp;L - Concept C2 - RCCL'!I49</f>
        <v>1.5</v>
      </c>
      <c r="Q54" s="496">
        <f>'P&amp;L - Concept C2 - RCCL'!J49</f>
        <v>1.5</v>
      </c>
      <c r="R54" s="496">
        <f>'P&amp;L - Concept C2 - RCCL'!K49</f>
        <v>1.5</v>
      </c>
      <c r="S54" s="496">
        <f>'P&amp;L - Concept C2 - RCCL'!L49</f>
        <v>1.5</v>
      </c>
      <c r="T54" s="496">
        <f>'P&amp;L - Concept C2 - RCCL'!M49</f>
        <v>1.5</v>
      </c>
      <c r="U54" s="496">
        <f>'P&amp;L - Concept C2 - RCCL'!N49</f>
        <v>1.5</v>
      </c>
      <c r="V54" s="496">
        <f>'P&amp;L - Concept C2 - RCCL'!O49</f>
        <v>1.5</v>
      </c>
      <c r="W54" s="496">
        <f>'P&amp;L - Concept C2 - RCCL'!P49</f>
        <v>1.5</v>
      </c>
      <c r="X54" s="496">
        <f>'P&amp;L - Concept C2 - RCCL'!Q49</f>
        <v>1.5</v>
      </c>
      <c r="Y54" s="496">
        <f>'P&amp;L - Concept C2 - RCCL'!R49</f>
        <v>1.5</v>
      </c>
      <c r="Z54" s="496">
        <f>'P&amp;L - Concept C2 - RCCL'!S49</f>
        <v>1.5</v>
      </c>
      <c r="AA54" s="496">
        <f>'P&amp;L - Concept C2 - RCCL'!T49</f>
        <v>1.5</v>
      </c>
      <c r="AB54" s="496">
        <f>'P&amp;L - Concept C2 - RCCL'!U49</f>
        <v>1.5</v>
      </c>
      <c r="AC54" s="496">
        <f>'P&amp;L - Concept C2 - RCCL'!V49</f>
        <v>1.5</v>
      </c>
      <c r="AD54" s="496">
        <f>'P&amp;L - Concept C2 - RCCL'!W49</f>
        <v>1.5</v>
      </c>
      <c r="AE54" s="496">
        <f>'P&amp;L - Concept C2 - RCCL'!X49</f>
        <v>1.5</v>
      </c>
      <c r="XFD54" s="570">
        <f>SUM(K54:XFC54)</f>
        <v>30</v>
      </c>
    </row>
    <row r="55" spans="1:32 16384:16384" s="18" customFormat="1">
      <c r="A55" s="54"/>
      <c r="B55" s="277"/>
      <c r="C55" s="74"/>
      <c r="K55" s="486"/>
      <c r="L55" s="313"/>
      <c r="M55" s="313"/>
      <c r="N55" s="313"/>
      <c r="O55" s="313"/>
      <c r="P55" s="313"/>
      <c r="Q55" s="313"/>
      <c r="R55" s="313"/>
      <c r="S55" s="313"/>
      <c r="T55" s="313"/>
      <c r="U55" s="313"/>
      <c r="V55" s="313"/>
      <c r="W55" s="313"/>
      <c r="X55" s="313"/>
      <c r="Y55" s="313"/>
      <c r="Z55" s="313"/>
      <c r="AA55" s="313"/>
      <c r="AB55" s="313"/>
      <c r="AC55" s="313"/>
      <c r="AD55" s="313"/>
      <c r="AE55" s="313"/>
      <c r="XFD55" s="570"/>
    </row>
    <row r="56" spans="1:32 16384:16384" s="18" customFormat="1">
      <c r="A56" s="54" t="s">
        <v>312</v>
      </c>
      <c r="B56" s="277"/>
      <c r="C56" s="74"/>
      <c r="K56" s="486">
        <f>'P&amp;L - Concept C2 - RCCL'!D51</f>
        <v>0</v>
      </c>
      <c r="L56" s="313">
        <f>'P&amp;L - Concept C2 - RCCL'!E51</f>
        <v>7190</v>
      </c>
      <c r="M56" s="313">
        <f>'P&amp;L - Concept C2 - RCCL'!F51</f>
        <v>7190</v>
      </c>
      <c r="N56" s="313">
        <f>'P&amp;L - Concept C2 - RCCL'!G51</f>
        <v>7190</v>
      </c>
      <c r="O56" s="313">
        <f>'P&amp;L - Concept C2 - RCCL'!H51</f>
        <v>7190</v>
      </c>
      <c r="P56" s="313">
        <f>'P&amp;L - Concept C2 - RCCL'!I51</f>
        <v>7190</v>
      </c>
      <c r="Q56" s="313">
        <f>'P&amp;L - Concept C2 - RCCL'!J51</f>
        <v>7190</v>
      </c>
      <c r="R56" s="313">
        <f>'P&amp;L - Concept C2 - RCCL'!K51</f>
        <v>7190</v>
      </c>
      <c r="S56" s="313">
        <f>'P&amp;L - Concept C2 - RCCL'!L51</f>
        <v>7190</v>
      </c>
      <c r="T56" s="313">
        <f>'P&amp;L - Concept C2 - RCCL'!M51</f>
        <v>7190</v>
      </c>
      <c r="U56" s="313">
        <f>'P&amp;L - Concept C2 - RCCL'!N51</f>
        <v>7190</v>
      </c>
      <c r="V56" s="313">
        <f>'P&amp;L - Concept C2 - RCCL'!O51</f>
        <v>7190</v>
      </c>
      <c r="W56" s="313">
        <f>'P&amp;L - Concept C2 - RCCL'!P51</f>
        <v>7190</v>
      </c>
      <c r="X56" s="313">
        <f>'P&amp;L - Concept C2 - RCCL'!Q51</f>
        <v>7190</v>
      </c>
      <c r="Y56" s="313">
        <f>'P&amp;L - Concept C2 - RCCL'!R51</f>
        <v>7190</v>
      </c>
      <c r="Z56" s="313">
        <f>'P&amp;L - Concept C2 - RCCL'!S51</f>
        <v>7190</v>
      </c>
      <c r="AA56" s="313">
        <f>'P&amp;L - Concept C2 - RCCL'!T51</f>
        <v>7190</v>
      </c>
      <c r="AB56" s="313">
        <f>'P&amp;L - Concept C2 - RCCL'!U51</f>
        <v>7190</v>
      </c>
      <c r="AC56" s="313">
        <f>'P&amp;L - Concept C2 - RCCL'!V51</f>
        <v>7190</v>
      </c>
      <c r="AD56" s="313">
        <f>'P&amp;L - Concept C2 - RCCL'!W51</f>
        <v>7190</v>
      </c>
      <c r="AE56" s="313">
        <f>'P&amp;L - Concept C2 - RCCL'!X51</f>
        <v>7190</v>
      </c>
      <c r="XFD56" s="570"/>
    </row>
    <row r="57" spans="1:32 16384:16384" s="18" customFormat="1">
      <c r="A57" s="54"/>
      <c r="B57" s="277"/>
      <c r="C57" s="74"/>
      <c r="K57" s="486"/>
      <c r="L57" s="313"/>
      <c r="M57" s="313"/>
      <c r="N57" s="313"/>
      <c r="O57" s="313"/>
      <c r="P57" s="313"/>
      <c r="Q57" s="313"/>
      <c r="R57" s="313"/>
      <c r="S57" s="313"/>
      <c r="T57" s="313"/>
      <c r="U57" s="313"/>
      <c r="V57" s="313"/>
      <c r="W57" s="313"/>
      <c r="X57" s="313"/>
      <c r="Y57" s="313"/>
      <c r="Z57" s="313"/>
      <c r="AA57" s="313"/>
      <c r="AB57" s="313"/>
      <c r="AC57" s="313"/>
      <c r="AD57" s="313"/>
      <c r="AE57" s="313"/>
    </row>
    <row r="58" spans="1:32 16384:16384" s="612" customFormat="1">
      <c r="A58" s="613" t="s">
        <v>292</v>
      </c>
      <c r="B58" s="614"/>
      <c r="C58" s="615"/>
      <c r="D58" s="717"/>
      <c r="E58" s="717"/>
      <c r="F58" s="717"/>
      <c r="G58" s="717"/>
      <c r="H58" s="717"/>
      <c r="I58" s="717"/>
      <c r="J58" s="717"/>
      <c r="K58" s="616">
        <f>'P&amp;L - Concept C2 - RCCL'!D53</f>
        <v>0</v>
      </c>
      <c r="L58" s="616">
        <f>'P&amp;L - Concept C2 - RCCL'!E53</f>
        <v>0</v>
      </c>
      <c r="M58" s="616">
        <f>'P&amp;L - Concept C2 - RCCL'!F53</f>
        <v>0</v>
      </c>
      <c r="N58" s="616">
        <f>'P&amp;L - Concept C2 - RCCL'!G53</f>
        <v>100000</v>
      </c>
      <c r="O58" s="616">
        <f>'P&amp;L - Concept C2 - RCCL'!H53</f>
        <v>100000</v>
      </c>
      <c r="P58" s="616">
        <f>'P&amp;L - Concept C2 - RCCL'!I53</f>
        <v>100000</v>
      </c>
      <c r="Q58" s="616">
        <f>'P&amp;L - Concept C2 - RCCL'!J53</f>
        <v>100000</v>
      </c>
      <c r="R58" s="616">
        <f>'P&amp;L - Concept C2 - RCCL'!K53</f>
        <v>100000</v>
      </c>
      <c r="S58" s="616">
        <f>'P&amp;L - Concept C2 - RCCL'!L53</f>
        <v>100000</v>
      </c>
      <c r="T58" s="616">
        <f>'P&amp;L - Concept C2 - RCCL'!M53</f>
        <v>100000</v>
      </c>
      <c r="U58" s="616">
        <f>'P&amp;L - Concept C2 - RCCL'!N53</f>
        <v>100000</v>
      </c>
      <c r="V58" s="616">
        <f>'P&amp;L - Concept C2 - RCCL'!O53</f>
        <v>100000</v>
      </c>
      <c r="W58" s="616">
        <f>'P&amp;L - Concept C2 - RCCL'!P53</f>
        <v>100000</v>
      </c>
      <c r="X58" s="616">
        <f>'P&amp;L - Concept C2 - RCCL'!Q53</f>
        <v>100000</v>
      </c>
      <c r="Y58" s="616">
        <f>'P&amp;L - Concept C2 - RCCL'!R53</f>
        <v>100000</v>
      </c>
      <c r="Z58" s="616">
        <f>'P&amp;L - Concept C2 - RCCL'!S53</f>
        <v>100000</v>
      </c>
      <c r="AA58" s="616">
        <f>'P&amp;L - Concept C2 - RCCL'!T53</f>
        <v>100000</v>
      </c>
      <c r="AB58" s="616">
        <f>'P&amp;L - Concept C2 - RCCL'!U53</f>
        <v>100000</v>
      </c>
      <c r="AC58" s="616">
        <f>'P&amp;L - Concept C2 - RCCL'!V53</f>
        <v>100000</v>
      </c>
      <c r="AD58" s="616">
        <f>'P&amp;L - Concept C2 - RCCL'!W53</f>
        <v>100000</v>
      </c>
      <c r="AE58" s="787">
        <f>'P&amp;L - Concept C2 - RCCL'!X53</f>
        <v>100000</v>
      </c>
    </row>
    <row r="59" spans="1:32 16384:16384" s="18" customFormat="1">
      <c r="A59" s="54"/>
      <c r="B59" s="277"/>
      <c r="C59" s="74"/>
      <c r="K59" s="486"/>
      <c r="L59" s="313"/>
      <c r="M59" s="313"/>
      <c r="N59" s="313"/>
      <c r="O59" s="313"/>
      <c r="P59" s="313"/>
      <c r="Q59" s="313"/>
      <c r="R59" s="313"/>
      <c r="S59" s="313"/>
      <c r="T59" s="313"/>
      <c r="U59" s="313"/>
      <c r="V59" s="313"/>
      <c r="W59" s="313"/>
      <c r="X59" s="313"/>
      <c r="Y59" s="313"/>
      <c r="Z59" s="313"/>
      <c r="AA59" s="313"/>
      <c r="AB59" s="313"/>
      <c r="AC59" s="313"/>
      <c r="AD59" s="313"/>
      <c r="AE59" s="313"/>
    </row>
    <row r="60" spans="1:32 16384:16384" s="582" customFormat="1">
      <c r="A60" s="293" t="str">
        <f>'BH Tariffs'!A33</f>
        <v>Recreational/Commercial Marina</v>
      </c>
      <c r="B60" s="584"/>
      <c r="C60" s="585"/>
      <c r="K60" s="486"/>
      <c r="L60" s="313"/>
      <c r="M60" s="313"/>
      <c r="N60" s="313"/>
      <c r="O60" s="313"/>
      <c r="P60" s="313"/>
      <c r="Q60" s="313"/>
      <c r="R60" s="313"/>
      <c r="S60" s="313"/>
      <c r="T60" s="313"/>
      <c r="U60" s="313"/>
      <c r="V60" s="313"/>
      <c r="W60" s="313"/>
      <c r="X60" s="313"/>
      <c r="Y60" s="313"/>
      <c r="Z60" s="313"/>
      <c r="AA60" s="313"/>
      <c r="AB60" s="313"/>
      <c r="AC60" s="313"/>
      <c r="AD60" s="313"/>
      <c r="AE60" s="313"/>
    </row>
    <row r="61" spans="1:32 16384:16384" s="96" customFormat="1">
      <c r="A61" s="54" t="s">
        <v>291</v>
      </c>
      <c r="B61" s="435"/>
      <c r="C61" s="583"/>
      <c r="K61" s="486">
        <f>'P&amp;L - Concept C2 - RCCL'!D56</f>
        <v>0</v>
      </c>
      <c r="L61" s="313">
        <f>'P&amp;L - Concept C2 - RCCL'!E56</f>
        <v>0</v>
      </c>
      <c r="M61" s="313">
        <f>'P&amp;L - Concept C2 - RCCL'!F56</f>
        <v>32</v>
      </c>
      <c r="N61" s="313">
        <f>'P&amp;L - Concept C2 - RCCL'!G56</f>
        <v>32</v>
      </c>
      <c r="O61" s="313">
        <f>'P&amp;L - Concept C2 - RCCL'!H56</f>
        <v>32</v>
      </c>
      <c r="P61" s="313">
        <f>'P&amp;L - Concept C2 - RCCL'!I56</f>
        <v>32</v>
      </c>
      <c r="Q61" s="313">
        <f>'P&amp;L - Concept C2 - RCCL'!J56</f>
        <v>32</v>
      </c>
      <c r="R61" s="313">
        <f>'P&amp;L - Concept C2 - RCCL'!K56</f>
        <v>32</v>
      </c>
      <c r="S61" s="313">
        <f>'P&amp;L - Concept C2 - RCCL'!L56</f>
        <v>32</v>
      </c>
      <c r="T61" s="313">
        <f>'P&amp;L - Concept C2 - RCCL'!M56</f>
        <v>32</v>
      </c>
      <c r="U61" s="313">
        <f>'P&amp;L - Concept C2 - RCCL'!N56</f>
        <v>32</v>
      </c>
      <c r="V61" s="313">
        <f>'P&amp;L - Concept C2 - RCCL'!O56</f>
        <v>32</v>
      </c>
      <c r="W61" s="313">
        <f>'P&amp;L - Concept C2 - RCCL'!P56</f>
        <v>32</v>
      </c>
      <c r="X61" s="313">
        <f>'P&amp;L - Concept C2 - RCCL'!Q56</f>
        <v>32</v>
      </c>
      <c r="Y61" s="313">
        <f>'P&amp;L - Concept C2 - RCCL'!R56</f>
        <v>32</v>
      </c>
      <c r="Z61" s="313">
        <f>'P&amp;L - Concept C2 - RCCL'!S56</f>
        <v>32</v>
      </c>
      <c r="AA61" s="313">
        <f>'P&amp;L - Concept C2 - RCCL'!T56</f>
        <v>32</v>
      </c>
      <c r="AB61" s="313">
        <f>'P&amp;L - Concept C2 - RCCL'!U56</f>
        <v>32</v>
      </c>
      <c r="AC61" s="313">
        <f>'P&amp;L - Concept C2 - RCCL'!V56</f>
        <v>32</v>
      </c>
      <c r="AD61" s="313">
        <f>'P&amp;L - Concept C2 - RCCL'!W56</f>
        <v>32</v>
      </c>
      <c r="AE61" s="313">
        <f>'P&amp;L - Concept C2 - RCCL'!X56</f>
        <v>32</v>
      </c>
    </row>
    <row r="62" spans="1:32 16384:16384" s="96" customFormat="1">
      <c r="A62" s="54" t="s">
        <v>293</v>
      </c>
      <c r="B62" s="435"/>
      <c r="C62" s="583"/>
      <c r="K62" s="486">
        <f>'P&amp;L - Concept C2 - RCCL'!D57</f>
        <v>0</v>
      </c>
      <c r="L62" s="313">
        <f>'P&amp;L - Concept C2 - RCCL'!E57</f>
        <v>0</v>
      </c>
      <c r="M62" s="313">
        <f>'P&amp;L - Concept C2 - RCCL'!F57</f>
        <v>30264.381562500002</v>
      </c>
      <c r="N62" s="313">
        <f>'P&amp;L - Concept C2 - RCCL'!G57</f>
        <v>30264.381562500002</v>
      </c>
      <c r="O62" s="313">
        <f>'P&amp;L - Concept C2 - RCCL'!H57</f>
        <v>30264.381562500002</v>
      </c>
      <c r="P62" s="313">
        <f>'P&amp;L - Concept C2 - RCCL'!I57</f>
        <v>30264.381562500002</v>
      </c>
      <c r="Q62" s="313">
        <f>'P&amp;L - Concept C2 - RCCL'!J57</f>
        <v>30264.381562500002</v>
      </c>
      <c r="R62" s="313">
        <f>'P&amp;L - Concept C2 - RCCL'!K57</f>
        <v>30264.381562500002</v>
      </c>
      <c r="S62" s="313">
        <f>'P&amp;L - Concept C2 - RCCL'!L57</f>
        <v>30264.381562500002</v>
      </c>
      <c r="T62" s="313">
        <f>'P&amp;L - Concept C2 - RCCL'!M57</f>
        <v>30264.381562500002</v>
      </c>
      <c r="U62" s="313">
        <f>'P&amp;L - Concept C2 - RCCL'!N57</f>
        <v>30264.381562500002</v>
      </c>
      <c r="V62" s="313">
        <f>'P&amp;L - Concept C2 - RCCL'!O57</f>
        <v>30264.381562500002</v>
      </c>
      <c r="W62" s="313">
        <f>'P&amp;L - Concept C2 - RCCL'!P57</f>
        <v>30264.381562500002</v>
      </c>
      <c r="X62" s="313">
        <f>'P&amp;L - Concept C2 - RCCL'!Q57</f>
        <v>30264.381562500002</v>
      </c>
      <c r="Y62" s="313">
        <f>'P&amp;L - Concept C2 - RCCL'!R57</f>
        <v>30264.381562500002</v>
      </c>
      <c r="Z62" s="313">
        <f>'P&amp;L - Concept C2 - RCCL'!S57</f>
        <v>30264.381562500002</v>
      </c>
      <c r="AA62" s="313">
        <f>'P&amp;L - Concept C2 - RCCL'!T57</f>
        <v>30264.381562500002</v>
      </c>
      <c r="AB62" s="313">
        <f>'P&amp;L - Concept C2 - RCCL'!U57</f>
        <v>30264.381562500002</v>
      </c>
      <c r="AC62" s="313">
        <f>'P&amp;L - Concept C2 - RCCL'!V57</f>
        <v>30264.381562500002</v>
      </c>
      <c r="AD62" s="313">
        <f>'P&amp;L - Concept C2 - RCCL'!W57</f>
        <v>30264.381562500002</v>
      </c>
      <c r="AE62" s="313">
        <f>'P&amp;L - Concept C2 - RCCL'!X57</f>
        <v>30264.381562500002</v>
      </c>
    </row>
    <row r="63" spans="1:32 16384:16384" s="96" customFormat="1">
      <c r="A63" s="54" t="s">
        <v>294</v>
      </c>
      <c r="B63" s="435"/>
      <c r="C63" s="583"/>
      <c r="K63" s="486">
        <f>'P&amp;L - Concept C2 - RCCL'!D58</f>
        <v>0</v>
      </c>
      <c r="L63" s="313">
        <f>'P&amp;L - Concept C2 - RCCL'!E58</f>
        <v>0</v>
      </c>
      <c r="M63" s="313">
        <f>'P&amp;L - Concept C2 - RCCL'!F58</f>
        <v>1137.1500000000001</v>
      </c>
      <c r="N63" s="313">
        <f>'P&amp;L - Concept C2 - RCCL'!G58</f>
        <v>1137.1500000000001</v>
      </c>
      <c r="O63" s="313">
        <f>'P&amp;L - Concept C2 - RCCL'!H58</f>
        <v>1137.1500000000001</v>
      </c>
      <c r="P63" s="313">
        <f>'P&amp;L - Concept C2 - RCCL'!I58</f>
        <v>1137.1500000000001</v>
      </c>
      <c r="Q63" s="313">
        <f>'P&amp;L - Concept C2 - RCCL'!J58</f>
        <v>1137.1500000000001</v>
      </c>
      <c r="R63" s="313">
        <f>'P&amp;L - Concept C2 - RCCL'!K58</f>
        <v>1137.1500000000001</v>
      </c>
      <c r="S63" s="313">
        <f>'P&amp;L - Concept C2 - RCCL'!L58</f>
        <v>1137.1500000000001</v>
      </c>
      <c r="T63" s="313">
        <f>'P&amp;L - Concept C2 - RCCL'!M58</f>
        <v>1137.1500000000001</v>
      </c>
      <c r="U63" s="313">
        <f>'P&amp;L - Concept C2 - RCCL'!N58</f>
        <v>1137.1500000000001</v>
      </c>
      <c r="V63" s="313">
        <f>'P&amp;L - Concept C2 - RCCL'!O58</f>
        <v>1137.1500000000001</v>
      </c>
      <c r="W63" s="313">
        <f>'P&amp;L - Concept C2 - RCCL'!P58</f>
        <v>1137.1500000000001</v>
      </c>
      <c r="X63" s="313">
        <f>'P&amp;L - Concept C2 - RCCL'!Q58</f>
        <v>1137.1500000000001</v>
      </c>
      <c r="Y63" s="313">
        <f>'P&amp;L - Concept C2 - RCCL'!R58</f>
        <v>1137.1500000000001</v>
      </c>
      <c r="Z63" s="313">
        <f>'P&amp;L - Concept C2 - RCCL'!S58</f>
        <v>1137.1500000000001</v>
      </c>
      <c r="AA63" s="313">
        <f>'P&amp;L - Concept C2 - RCCL'!T58</f>
        <v>1137.1500000000001</v>
      </c>
      <c r="AB63" s="313">
        <f>'P&amp;L - Concept C2 - RCCL'!U58</f>
        <v>1137.1500000000001</v>
      </c>
      <c r="AC63" s="313">
        <f>'P&amp;L - Concept C2 - RCCL'!V58</f>
        <v>1137.1500000000001</v>
      </c>
      <c r="AD63" s="313">
        <f>'P&amp;L - Concept C2 - RCCL'!W58</f>
        <v>1137.1500000000001</v>
      </c>
      <c r="AE63" s="313">
        <f>'P&amp;L - Concept C2 - RCCL'!X58</f>
        <v>1137.1500000000001</v>
      </c>
    </row>
    <row r="64" spans="1:32 16384:16384" s="167" customFormat="1">
      <c r="A64" s="497" t="s">
        <v>170</v>
      </c>
      <c r="B64" s="450"/>
      <c r="C64" s="498"/>
      <c r="K64" s="499">
        <v>0</v>
      </c>
      <c r="L64" s="500">
        <f>'P&amp;L - Concept C2 - RCCL'!E59</f>
        <v>0</v>
      </c>
      <c r="M64" s="500">
        <f>'P&amp;L - Concept C2 - RCCL'!F59</f>
        <v>0</v>
      </c>
      <c r="N64" s="500">
        <f>'P&amp;L - Concept C2 - RCCL'!G59</f>
        <v>0</v>
      </c>
      <c r="O64" s="500">
        <f>'P&amp;L - Concept C2 - RCCL'!H59</f>
        <v>0</v>
      </c>
      <c r="P64" s="500">
        <f>'P&amp;L - Concept C2 - RCCL'!I59</f>
        <v>0</v>
      </c>
      <c r="Q64" s="500">
        <f>'P&amp;L - Concept C2 - RCCL'!J59</f>
        <v>0</v>
      </c>
      <c r="R64" s="500">
        <f>'P&amp;L - Concept C2 - RCCL'!K59</f>
        <v>0</v>
      </c>
      <c r="S64" s="500">
        <f>'P&amp;L - Concept C2 - RCCL'!L59</f>
        <v>0</v>
      </c>
      <c r="T64" s="500">
        <f>'P&amp;L - Concept C2 - RCCL'!M59</f>
        <v>0</v>
      </c>
      <c r="U64" s="500">
        <f>'P&amp;L - Concept C2 - RCCL'!N59</f>
        <v>0</v>
      </c>
      <c r="V64" s="500">
        <f>'P&amp;L - Concept C2 - RCCL'!O59</f>
        <v>0</v>
      </c>
      <c r="W64" s="500">
        <f>'P&amp;L - Concept C2 - RCCL'!P59</f>
        <v>0</v>
      </c>
      <c r="X64" s="500">
        <f>'P&amp;L - Concept C2 - RCCL'!Q59</f>
        <v>0</v>
      </c>
      <c r="Y64" s="500">
        <f>'P&amp;L - Concept C2 - RCCL'!R59</f>
        <v>0</v>
      </c>
      <c r="Z64" s="500">
        <f>'P&amp;L - Concept C2 - RCCL'!S59</f>
        <v>0</v>
      </c>
      <c r="AA64" s="500">
        <f>'P&amp;L - Concept C2 - RCCL'!T59</f>
        <v>0</v>
      </c>
      <c r="AB64" s="500">
        <f>'P&amp;L - Concept C2 - RCCL'!U59</f>
        <v>0</v>
      </c>
      <c r="AC64" s="500">
        <f>'P&amp;L - Concept C2 - RCCL'!V59</f>
        <v>0</v>
      </c>
      <c r="AD64" s="500">
        <f>'P&amp;L - Concept C2 - RCCL'!W59</f>
        <v>0</v>
      </c>
      <c r="AE64" s="500">
        <f>'P&amp;L - Concept C2 - RCCL'!X59</f>
        <v>0</v>
      </c>
      <c r="AF64" s="167" t="str">
        <f>'P&amp;L - Concept C2 - RCCL'!Y59</f>
        <v>cost recovery assumed</v>
      </c>
    </row>
    <row r="65" spans="1:32" s="167" customFormat="1">
      <c r="A65" s="497" t="s">
        <v>16</v>
      </c>
      <c r="B65" s="450"/>
      <c r="C65" s="498"/>
      <c r="K65" s="499">
        <v>0</v>
      </c>
      <c r="L65" s="500">
        <f>'P&amp;L - Concept C2 - RCCL'!E60</f>
        <v>0</v>
      </c>
      <c r="M65" s="500">
        <f>'P&amp;L - Concept C2 - RCCL'!F60</f>
        <v>0</v>
      </c>
      <c r="N65" s="500">
        <f>'P&amp;L - Concept C2 - RCCL'!G60</f>
        <v>0</v>
      </c>
      <c r="O65" s="500">
        <f>'P&amp;L - Concept C2 - RCCL'!H60</f>
        <v>0</v>
      </c>
      <c r="P65" s="500">
        <f>'P&amp;L - Concept C2 - RCCL'!I60</f>
        <v>0</v>
      </c>
      <c r="Q65" s="500">
        <f>'P&amp;L - Concept C2 - RCCL'!J60</f>
        <v>0</v>
      </c>
      <c r="R65" s="500">
        <f>'P&amp;L - Concept C2 - RCCL'!K60</f>
        <v>0</v>
      </c>
      <c r="S65" s="500">
        <f>'P&amp;L - Concept C2 - RCCL'!L60</f>
        <v>0</v>
      </c>
      <c r="T65" s="500">
        <f>'P&amp;L - Concept C2 - RCCL'!M60</f>
        <v>0</v>
      </c>
      <c r="U65" s="500">
        <f>'P&amp;L - Concept C2 - RCCL'!N60</f>
        <v>0</v>
      </c>
      <c r="V65" s="500">
        <f>'P&amp;L - Concept C2 - RCCL'!O60</f>
        <v>0</v>
      </c>
      <c r="W65" s="500">
        <f>'P&amp;L - Concept C2 - RCCL'!P60</f>
        <v>0</v>
      </c>
      <c r="X65" s="500">
        <f>'P&amp;L - Concept C2 - RCCL'!Q60</f>
        <v>0</v>
      </c>
      <c r="Y65" s="500">
        <f>'P&amp;L - Concept C2 - RCCL'!R60</f>
        <v>0</v>
      </c>
      <c r="Z65" s="500">
        <f>'P&amp;L - Concept C2 - RCCL'!S60</f>
        <v>0</v>
      </c>
      <c r="AA65" s="500">
        <f>'P&amp;L - Concept C2 - RCCL'!T60</f>
        <v>0</v>
      </c>
      <c r="AB65" s="500">
        <f>'P&amp;L - Concept C2 - RCCL'!U60</f>
        <v>0</v>
      </c>
      <c r="AC65" s="500">
        <f>'P&amp;L - Concept C2 - RCCL'!V60</f>
        <v>0</v>
      </c>
      <c r="AD65" s="500">
        <f>'P&amp;L - Concept C2 - RCCL'!W60</f>
        <v>0</v>
      </c>
      <c r="AE65" s="500">
        <f>'P&amp;L - Concept C2 - RCCL'!X60</f>
        <v>0</v>
      </c>
      <c r="AF65" s="167" t="str">
        <f>'P&amp;L - Concept C2 - RCCL'!Y60</f>
        <v>cost recovery assumed</v>
      </c>
    </row>
    <row r="66" spans="1:32" s="18" customFormat="1">
      <c r="A66" s="54"/>
      <c r="B66" s="277"/>
      <c r="C66" s="74"/>
      <c r="K66" s="492"/>
      <c r="L66" s="313"/>
      <c r="M66" s="313"/>
      <c r="N66" s="313"/>
      <c r="O66" s="313"/>
      <c r="P66" s="313"/>
      <c r="Q66" s="313"/>
      <c r="R66" s="313"/>
      <c r="S66" s="313"/>
      <c r="T66" s="313"/>
      <c r="U66" s="313"/>
      <c r="V66" s="313"/>
      <c r="W66" s="313"/>
      <c r="X66" s="313"/>
      <c r="Y66" s="313"/>
      <c r="Z66" s="313"/>
      <c r="AA66" s="313"/>
      <c r="AB66" s="313"/>
      <c r="AC66" s="313"/>
      <c r="AD66" s="313"/>
      <c r="AE66" s="313"/>
    </row>
    <row r="67" spans="1:32" s="18" customFormat="1">
      <c r="A67" s="293" t="s">
        <v>2</v>
      </c>
      <c r="B67" s="277"/>
      <c r="C67" s="74"/>
      <c r="K67" s="492"/>
      <c r="L67" s="313"/>
      <c r="M67" s="313"/>
      <c r="N67" s="313"/>
      <c r="O67" s="313"/>
      <c r="P67" s="313"/>
      <c r="Q67" s="313"/>
      <c r="R67" s="313"/>
      <c r="S67" s="313"/>
      <c r="T67" s="313"/>
      <c r="U67" s="313"/>
      <c r="V67" s="313"/>
      <c r="W67" s="313"/>
      <c r="X67" s="313"/>
      <c r="Y67" s="313"/>
      <c r="Z67" s="313"/>
      <c r="AA67" s="313"/>
      <c r="AB67" s="313"/>
      <c r="AC67" s="313"/>
      <c r="AD67" s="313"/>
      <c r="AE67" s="313"/>
    </row>
    <row r="68" spans="1:32" s="96" customFormat="1">
      <c r="A68" s="54" t="s">
        <v>290</v>
      </c>
      <c r="B68" s="435">
        <v>500</v>
      </c>
      <c r="C68" s="487"/>
      <c r="K68" s="486">
        <f>'P&amp;L - Concept C2 - RCCL'!D63</f>
        <v>0</v>
      </c>
      <c r="L68" s="313">
        <f>'P&amp;L - Concept C2 - RCCL'!E63</f>
        <v>0</v>
      </c>
      <c r="M68" s="313">
        <f>'P&amp;L - Concept C2 - RCCL'!F63</f>
        <v>0</v>
      </c>
      <c r="N68" s="313">
        <f>'P&amp;L - Concept C2 - RCCL'!G63</f>
        <v>500</v>
      </c>
      <c r="O68" s="313">
        <f>'P&amp;L - Concept C2 - RCCL'!H63</f>
        <v>500</v>
      </c>
      <c r="P68" s="313">
        <f>'P&amp;L - Concept C2 - RCCL'!I63</f>
        <v>500</v>
      </c>
      <c r="Q68" s="313">
        <f>'P&amp;L - Concept C2 - RCCL'!J63</f>
        <v>500</v>
      </c>
      <c r="R68" s="313">
        <f>'P&amp;L - Concept C2 - RCCL'!K63</f>
        <v>500</v>
      </c>
      <c r="S68" s="313">
        <f>'P&amp;L - Concept C2 - RCCL'!L63</f>
        <v>500</v>
      </c>
      <c r="T68" s="313">
        <f>'P&amp;L - Concept C2 - RCCL'!M63</f>
        <v>500</v>
      </c>
      <c r="U68" s="313">
        <f>'P&amp;L - Concept C2 - RCCL'!N63</f>
        <v>500</v>
      </c>
      <c r="V68" s="313">
        <f>'P&amp;L - Concept C2 - RCCL'!O63</f>
        <v>500</v>
      </c>
      <c r="W68" s="313">
        <f>'P&amp;L - Concept C2 - RCCL'!P63</f>
        <v>500</v>
      </c>
      <c r="X68" s="313">
        <f>'P&amp;L - Concept C2 - RCCL'!Q63</f>
        <v>500</v>
      </c>
      <c r="Y68" s="313">
        <f>'P&amp;L - Concept C2 - RCCL'!R63</f>
        <v>500</v>
      </c>
      <c r="Z68" s="313">
        <f>'P&amp;L - Concept C2 - RCCL'!S63</f>
        <v>500</v>
      </c>
      <c r="AA68" s="313">
        <f>'P&amp;L - Concept C2 - RCCL'!T63</f>
        <v>500</v>
      </c>
      <c r="AB68" s="313">
        <f>'P&amp;L - Concept C2 - RCCL'!U63</f>
        <v>500</v>
      </c>
      <c r="AC68" s="313">
        <f>'P&amp;L - Concept C2 - RCCL'!V63</f>
        <v>500</v>
      </c>
      <c r="AD68" s="313">
        <f>'P&amp;L - Concept C2 - RCCL'!W63</f>
        <v>500</v>
      </c>
      <c r="AE68" s="313">
        <f>'P&amp;L - Concept C2 - RCCL'!X63</f>
        <v>500</v>
      </c>
    </row>
    <row r="69" spans="1:32" s="96" customFormat="1">
      <c r="A69" s="54" t="s">
        <v>210</v>
      </c>
      <c r="B69" s="487"/>
      <c r="C69" s="487"/>
      <c r="K69" s="486">
        <f>'P&amp;L - Concept C2 - RCCL'!D65</f>
        <v>0</v>
      </c>
      <c r="L69" s="313">
        <f>'P&amp;L - Concept C2 - RCCL'!E65</f>
        <v>0</v>
      </c>
      <c r="M69" s="313">
        <f>'P&amp;L - Concept C2 - RCCL'!F65</f>
        <v>1</v>
      </c>
      <c r="N69" s="313">
        <f>'P&amp;L - Concept C2 - RCCL'!G65</f>
        <v>2</v>
      </c>
      <c r="O69" s="313">
        <f>'P&amp;L - Concept C2 - RCCL'!H65</f>
        <v>2</v>
      </c>
      <c r="P69" s="313">
        <f>'P&amp;L - Concept C2 - RCCL'!I65</f>
        <v>2</v>
      </c>
      <c r="Q69" s="313">
        <f>'P&amp;L - Concept C2 - RCCL'!J65</f>
        <v>3</v>
      </c>
      <c r="R69" s="313">
        <f>'P&amp;L - Concept C2 - RCCL'!K65</f>
        <v>3</v>
      </c>
      <c r="S69" s="313">
        <f>'P&amp;L - Concept C2 - RCCL'!L65</f>
        <v>3</v>
      </c>
      <c r="T69" s="313">
        <f>'P&amp;L - Concept C2 - RCCL'!M65</f>
        <v>3</v>
      </c>
      <c r="U69" s="313">
        <f>'P&amp;L - Concept C2 - RCCL'!N65</f>
        <v>3</v>
      </c>
      <c r="V69" s="313">
        <f>'P&amp;L - Concept C2 - RCCL'!O65</f>
        <v>4</v>
      </c>
      <c r="W69" s="313">
        <f>'P&amp;L - Concept C2 - RCCL'!P65</f>
        <v>4</v>
      </c>
      <c r="X69" s="313">
        <f>'P&amp;L - Concept C2 - RCCL'!Q65</f>
        <v>4</v>
      </c>
      <c r="Y69" s="313">
        <f>'P&amp;L - Concept C2 - RCCL'!R65</f>
        <v>4</v>
      </c>
      <c r="Z69" s="313">
        <f>'P&amp;L - Concept C2 - RCCL'!S65</f>
        <v>4</v>
      </c>
      <c r="AA69" s="313">
        <f>'P&amp;L - Concept C2 - RCCL'!T65</f>
        <v>5</v>
      </c>
      <c r="AB69" s="313">
        <f>'P&amp;L - Concept C2 - RCCL'!U65</f>
        <v>5</v>
      </c>
      <c r="AC69" s="313">
        <f>'P&amp;L - Concept C2 - RCCL'!V65</f>
        <v>5</v>
      </c>
      <c r="AD69" s="313">
        <f>'P&amp;L - Concept C2 - RCCL'!W65</f>
        <v>5</v>
      </c>
      <c r="AE69" s="313">
        <f>'P&amp;L - Concept C2 - RCCL'!X65</f>
        <v>5</v>
      </c>
    </row>
    <row r="70" spans="1:32" s="96" customFormat="1">
      <c r="A70" s="96" t="s">
        <v>211</v>
      </c>
      <c r="K70" s="486">
        <f>'P&amp;L - Concept C2 - RCCL'!D66</f>
        <v>0</v>
      </c>
      <c r="L70" s="313">
        <f>'P&amp;L - Concept C2 - RCCL'!E66</f>
        <v>0</v>
      </c>
      <c r="M70" s="313">
        <f>'P&amp;L - Concept C2 - RCCL'!F66</f>
        <v>3</v>
      </c>
      <c r="N70" s="313">
        <f>'P&amp;L - Concept C2 - RCCL'!G66</f>
        <v>3</v>
      </c>
      <c r="O70" s="313">
        <f>'P&amp;L - Concept C2 - RCCL'!H66</f>
        <v>3</v>
      </c>
      <c r="P70" s="313">
        <f>'P&amp;L - Concept C2 - RCCL'!I66</f>
        <v>3</v>
      </c>
      <c r="Q70" s="313">
        <f>'P&amp;L - Concept C2 - RCCL'!J66</f>
        <v>3</v>
      </c>
      <c r="R70" s="313">
        <f>'P&amp;L - Concept C2 - RCCL'!K66</f>
        <v>3</v>
      </c>
      <c r="S70" s="313">
        <f>'P&amp;L - Concept C2 - RCCL'!L66</f>
        <v>3</v>
      </c>
      <c r="T70" s="313">
        <f>'P&amp;L - Concept C2 - RCCL'!M66</f>
        <v>3</v>
      </c>
      <c r="U70" s="313">
        <f>'P&amp;L - Concept C2 - RCCL'!N66</f>
        <v>3</v>
      </c>
      <c r="V70" s="313">
        <f>'P&amp;L - Concept C2 - RCCL'!O66</f>
        <v>3</v>
      </c>
      <c r="W70" s="313">
        <f>'P&amp;L - Concept C2 - RCCL'!P66</f>
        <v>3</v>
      </c>
      <c r="X70" s="313">
        <f>'P&amp;L - Concept C2 - RCCL'!Q66</f>
        <v>3</v>
      </c>
      <c r="Y70" s="313">
        <f>'P&amp;L - Concept C2 - RCCL'!R66</f>
        <v>3</v>
      </c>
      <c r="Z70" s="313">
        <f>'P&amp;L - Concept C2 - RCCL'!S66</f>
        <v>3</v>
      </c>
      <c r="AA70" s="313">
        <f>'P&amp;L - Concept C2 - RCCL'!T66</f>
        <v>3</v>
      </c>
      <c r="AB70" s="313">
        <f>'P&amp;L - Concept C2 - RCCL'!U66</f>
        <v>3</v>
      </c>
      <c r="AC70" s="313">
        <f>'P&amp;L - Concept C2 - RCCL'!V66</f>
        <v>3</v>
      </c>
      <c r="AD70" s="313">
        <f>'P&amp;L - Concept C2 - RCCL'!W66</f>
        <v>3</v>
      </c>
      <c r="AE70" s="313">
        <f>'P&amp;L - Concept C2 - RCCL'!X66</f>
        <v>3</v>
      </c>
    </row>
    <row r="71" spans="1:32" s="96" customFormat="1">
      <c r="K71" s="486"/>
      <c r="L71" s="435"/>
      <c r="M71" s="435"/>
      <c r="N71" s="435"/>
      <c r="O71" s="435"/>
      <c r="P71" s="435"/>
      <c r="Q71" s="435"/>
      <c r="R71" s="435"/>
      <c r="S71" s="435"/>
      <c r="T71" s="435"/>
      <c r="U71" s="435"/>
      <c r="V71" s="435"/>
      <c r="W71" s="435"/>
      <c r="X71" s="435"/>
      <c r="Y71" s="435"/>
      <c r="Z71" s="435"/>
      <c r="AA71" s="435"/>
      <c r="AB71" s="435"/>
      <c r="AC71" s="435"/>
      <c r="AD71" s="435"/>
      <c r="AE71" s="435"/>
    </row>
    <row r="72" spans="1:32" s="18" customFormat="1">
      <c r="A72" s="28"/>
      <c r="K72" s="486"/>
      <c r="L72" s="331"/>
      <c r="M72" s="333"/>
      <c r="N72" s="331"/>
      <c r="O72" s="331"/>
      <c r="P72" s="331"/>
      <c r="Q72" s="331"/>
      <c r="R72" s="331"/>
      <c r="S72" s="331"/>
      <c r="T72" s="331"/>
      <c r="U72" s="331"/>
      <c r="V72" s="331"/>
      <c r="W72" s="331"/>
      <c r="X72" s="331"/>
      <c r="Y72" s="331"/>
      <c r="Z72" s="331"/>
      <c r="AA72" s="331"/>
      <c r="AB72" s="331"/>
      <c r="AC72" s="331"/>
      <c r="AD72" s="331"/>
      <c r="AE72" s="331"/>
    </row>
    <row r="73" spans="1:32">
      <c r="A73" s="168" t="s">
        <v>131</v>
      </c>
      <c r="B73" s="168"/>
      <c r="C73" s="169"/>
      <c r="D73" s="170"/>
      <c r="E73" s="171"/>
      <c r="F73" s="171"/>
      <c r="G73" s="171"/>
      <c r="H73" s="171"/>
      <c r="I73" s="168"/>
      <c r="J73" s="171"/>
      <c r="K73" s="681"/>
      <c r="L73" s="314"/>
      <c r="M73" s="314"/>
      <c r="N73" s="314"/>
      <c r="O73" s="314"/>
      <c r="P73" s="314"/>
      <c r="Q73" s="314"/>
      <c r="R73" s="314"/>
      <c r="S73" s="314"/>
      <c r="T73" s="314"/>
      <c r="U73" s="314"/>
      <c r="V73" s="314"/>
      <c r="W73" s="314"/>
      <c r="X73" s="314"/>
      <c r="Y73" s="314"/>
      <c r="Z73" s="314"/>
      <c r="AA73" s="314"/>
      <c r="AB73" s="314"/>
      <c r="AC73" s="314"/>
      <c r="AD73" s="314"/>
      <c r="AE73" s="314"/>
    </row>
    <row r="74" spans="1:32" s="252" customFormat="1">
      <c r="A74" s="183"/>
      <c r="B74" s="183"/>
      <c r="C74" s="364"/>
      <c r="D74" s="365"/>
      <c r="E74" s="184"/>
      <c r="F74" s="184"/>
      <c r="G74" s="184"/>
      <c r="H74" s="184"/>
      <c r="I74" s="183"/>
      <c r="J74" s="184"/>
      <c r="K74" s="664"/>
      <c r="L74" s="366"/>
      <c r="M74" s="366"/>
      <c r="N74" s="366"/>
      <c r="O74" s="366"/>
      <c r="P74" s="366"/>
      <c r="Q74" s="366"/>
      <c r="R74" s="366"/>
      <c r="S74" s="366"/>
      <c r="T74" s="366"/>
      <c r="U74" s="366"/>
      <c r="V74" s="366"/>
      <c r="W74" s="366"/>
      <c r="X74" s="366"/>
      <c r="Y74" s="366"/>
      <c r="Z74" s="366"/>
      <c r="AA74" s="366"/>
      <c r="AB74" s="366"/>
      <c r="AC74" s="366"/>
      <c r="AD74" s="366"/>
      <c r="AE74" s="366"/>
    </row>
    <row r="75" spans="1:32">
      <c r="A75" s="41" t="s">
        <v>13</v>
      </c>
      <c r="B75" s="41"/>
      <c r="C75" s="105"/>
      <c r="D75" s="106"/>
      <c r="E75" s="37"/>
      <c r="F75" s="37"/>
      <c r="G75" s="37"/>
      <c r="H75" s="37"/>
      <c r="I75" s="41"/>
      <c r="J75" s="37"/>
      <c r="K75" s="683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</row>
    <row r="76" spans="1:32">
      <c r="A76" s="96" t="s">
        <v>418</v>
      </c>
      <c r="B76" s="735" t="s">
        <v>12</v>
      </c>
      <c r="C76" s="663">
        <v>75000</v>
      </c>
      <c r="D76" s="736">
        <f t="shared" ref="D76:D79" si="0">C76/2080</f>
        <v>36.057692307692307</v>
      </c>
      <c r="E76" s="663">
        <v>0</v>
      </c>
      <c r="F76" s="663">
        <f>(C76*$F$13)</f>
        <v>30000</v>
      </c>
      <c r="G76" s="663">
        <f>SUM(C76,E76:F76)</f>
        <v>105000</v>
      </c>
      <c r="H76" s="663"/>
      <c r="I76" s="736"/>
      <c r="J76" s="663"/>
      <c r="K76" s="683">
        <v>0</v>
      </c>
      <c r="L76" s="665">
        <v>0</v>
      </c>
      <c r="M76" s="666">
        <f>G76</f>
        <v>105000</v>
      </c>
      <c r="N76" s="666">
        <f>($G$76*L11)</f>
        <v>107100</v>
      </c>
      <c r="O76" s="666">
        <f t="shared" ref="O76:AE76" si="1">($G$76*M11)</f>
        <v>109242</v>
      </c>
      <c r="P76" s="666">
        <f t="shared" si="1"/>
        <v>111426.84</v>
      </c>
      <c r="Q76" s="666">
        <f t="shared" si="1"/>
        <v>113655.3768</v>
      </c>
      <c r="R76" s="666">
        <f t="shared" si="1"/>
        <v>115928.48433600001</v>
      </c>
      <c r="S76" s="666">
        <f t="shared" si="1"/>
        <v>118247.05402272001</v>
      </c>
      <c r="T76" s="666">
        <f t="shared" si="1"/>
        <v>120611.9951031744</v>
      </c>
      <c r="U76" s="666">
        <f t="shared" si="1"/>
        <v>123024.2350052379</v>
      </c>
      <c r="V76" s="666">
        <f t="shared" si="1"/>
        <v>125484.71970534266</v>
      </c>
      <c r="W76" s="666">
        <f t="shared" si="1"/>
        <v>127994.41409944952</v>
      </c>
      <c r="X76" s="666">
        <f t="shared" si="1"/>
        <v>130554.30238143851</v>
      </c>
      <c r="Y76" s="666">
        <f t="shared" si="1"/>
        <v>133165.38842906727</v>
      </c>
      <c r="Z76" s="666">
        <f t="shared" si="1"/>
        <v>135828.69619764862</v>
      </c>
      <c r="AA76" s="666">
        <f t="shared" si="1"/>
        <v>138545.27012160158</v>
      </c>
      <c r="AB76" s="666">
        <f t="shared" si="1"/>
        <v>141316.17552403364</v>
      </c>
      <c r="AC76" s="666">
        <f t="shared" si="1"/>
        <v>144142.4990345143</v>
      </c>
      <c r="AD76" s="666">
        <f t="shared" si="1"/>
        <v>147025.34901520461</v>
      </c>
      <c r="AE76" s="666">
        <f t="shared" si="1"/>
        <v>149965.8559955087</v>
      </c>
    </row>
    <row r="77" spans="1:32">
      <c r="A77" s="96" t="s">
        <v>417</v>
      </c>
      <c r="B77" s="735" t="s">
        <v>12</v>
      </c>
      <c r="C77" s="663">
        <v>35000</v>
      </c>
      <c r="D77" s="736">
        <f t="shared" si="0"/>
        <v>16.826923076923077</v>
      </c>
      <c r="E77" s="663">
        <v>0</v>
      </c>
      <c r="F77" s="663">
        <f t="shared" ref="F77:F79" si="2">(C77*$F$13)</f>
        <v>14000</v>
      </c>
      <c r="G77" s="663">
        <f t="shared" ref="G77:G79" si="3">SUM(C77,E77:F77)</f>
        <v>49000</v>
      </c>
      <c r="H77" s="663"/>
      <c r="I77" s="736"/>
      <c r="J77" s="663"/>
      <c r="K77" s="683">
        <v>0</v>
      </c>
      <c r="L77" s="665">
        <f>G77*0.25</f>
        <v>12250</v>
      </c>
      <c r="M77" s="666">
        <f>G77*0.5</f>
        <v>24500</v>
      </c>
      <c r="N77" s="666">
        <f>($G$77*0.5*L11)</f>
        <v>24990</v>
      </c>
      <c r="O77" s="666">
        <f t="shared" ref="O77:AE77" si="4">($G$77*0.5*M11)</f>
        <v>25489.8</v>
      </c>
      <c r="P77" s="666">
        <f t="shared" si="4"/>
        <v>25999.595999999998</v>
      </c>
      <c r="Q77" s="666">
        <f t="shared" si="4"/>
        <v>26519.587919999998</v>
      </c>
      <c r="R77" s="666">
        <f t="shared" si="4"/>
        <v>27049.979678399999</v>
      </c>
      <c r="S77" s="666">
        <f t="shared" si="4"/>
        <v>27590.979271968001</v>
      </c>
      <c r="T77" s="666">
        <f t="shared" si="4"/>
        <v>28142.798857407361</v>
      </c>
      <c r="U77" s="666">
        <f t="shared" si="4"/>
        <v>28705.654834555509</v>
      </c>
      <c r="V77" s="666">
        <f t="shared" si="4"/>
        <v>29279.767931246621</v>
      </c>
      <c r="W77" s="666">
        <f t="shared" si="4"/>
        <v>29865.363289871555</v>
      </c>
      <c r="X77" s="666">
        <f t="shared" si="4"/>
        <v>30462.670555668985</v>
      </c>
      <c r="Y77" s="666">
        <f t="shared" si="4"/>
        <v>31071.923966782364</v>
      </c>
      <c r="Z77" s="666">
        <f t="shared" si="4"/>
        <v>31693.362446118008</v>
      </c>
      <c r="AA77" s="666">
        <f t="shared" si="4"/>
        <v>32327.229695040372</v>
      </c>
      <c r="AB77" s="666">
        <f t="shared" si="4"/>
        <v>32973.774288941182</v>
      </c>
      <c r="AC77" s="666">
        <f t="shared" si="4"/>
        <v>33633.249774720003</v>
      </c>
      <c r="AD77" s="666">
        <f t="shared" si="4"/>
        <v>34305.914770214411</v>
      </c>
      <c r="AE77" s="666">
        <f t="shared" si="4"/>
        <v>34992.0330656187</v>
      </c>
    </row>
    <row r="78" spans="1:32">
      <c r="A78" s="96" t="s">
        <v>422</v>
      </c>
      <c r="B78" s="735" t="s">
        <v>15</v>
      </c>
      <c r="C78" s="663">
        <v>15000</v>
      </c>
      <c r="D78" s="736">
        <f t="shared" si="0"/>
        <v>7.2115384615384617</v>
      </c>
      <c r="E78" s="663">
        <f>C78*$L$15</f>
        <v>0</v>
      </c>
      <c r="F78" s="663">
        <f t="shared" si="2"/>
        <v>6000</v>
      </c>
      <c r="G78" s="663">
        <f t="shared" si="3"/>
        <v>21000</v>
      </c>
      <c r="H78" s="663"/>
      <c r="I78" s="736"/>
      <c r="J78" s="663"/>
      <c r="K78" s="683">
        <v>0</v>
      </c>
      <c r="L78" s="665">
        <v>0</v>
      </c>
      <c r="M78" s="666">
        <f t="shared" ref="M78" si="5">G78</f>
        <v>21000</v>
      </c>
      <c r="N78" s="666">
        <f>($G$78*L11)</f>
        <v>21420</v>
      </c>
      <c r="O78" s="666">
        <f t="shared" ref="O78:AE78" si="6">($G$78*M11)</f>
        <v>21848.400000000001</v>
      </c>
      <c r="P78" s="666">
        <f t="shared" si="6"/>
        <v>22285.367999999999</v>
      </c>
      <c r="Q78" s="666">
        <f t="shared" si="6"/>
        <v>22731.075359999999</v>
      </c>
      <c r="R78" s="666">
        <f t="shared" si="6"/>
        <v>23185.6968672</v>
      </c>
      <c r="S78" s="666">
        <f t="shared" si="6"/>
        <v>23649.410804544001</v>
      </c>
      <c r="T78" s="666">
        <f t="shared" si="6"/>
        <v>24122.399020634883</v>
      </c>
      <c r="U78" s="666">
        <f t="shared" si="6"/>
        <v>24604.847001047579</v>
      </c>
      <c r="V78" s="666">
        <f t="shared" si="6"/>
        <v>25096.943941068534</v>
      </c>
      <c r="W78" s="666">
        <f t="shared" si="6"/>
        <v>25598.882819889903</v>
      </c>
      <c r="X78" s="666">
        <f t="shared" si="6"/>
        <v>26110.8604762877</v>
      </c>
      <c r="Y78" s="666">
        <f t="shared" si="6"/>
        <v>26633.077685813456</v>
      </c>
      <c r="Z78" s="666">
        <f t="shared" si="6"/>
        <v>27165.739239529721</v>
      </c>
      <c r="AA78" s="666">
        <f t="shared" si="6"/>
        <v>27709.054024320321</v>
      </c>
      <c r="AB78" s="666">
        <f t="shared" si="6"/>
        <v>28263.235104806728</v>
      </c>
      <c r="AC78" s="666">
        <f t="shared" si="6"/>
        <v>28828.499806902862</v>
      </c>
      <c r="AD78" s="666">
        <f t="shared" si="6"/>
        <v>29405.069803040922</v>
      </c>
      <c r="AE78" s="666">
        <f t="shared" si="6"/>
        <v>29993.17119910174</v>
      </c>
    </row>
    <row r="79" spans="1:32">
      <c r="A79" s="737" t="s">
        <v>422</v>
      </c>
      <c r="B79" s="738" t="s">
        <v>15</v>
      </c>
      <c r="C79" s="739">
        <v>15000</v>
      </c>
      <c r="D79" s="740">
        <f t="shared" si="0"/>
        <v>7.2115384615384617</v>
      </c>
      <c r="E79" s="739">
        <f>C79*$L$15</f>
        <v>0</v>
      </c>
      <c r="F79" s="739">
        <f t="shared" si="2"/>
        <v>6000</v>
      </c>
      <c r="G79" s="739">
        <f t="shared" si="3"/>
        <v>21000</v>
      </c>
      <c r="H79" s="739"/>
      <c r="I79" s="740"/>
      <c r="J79" s="739"/>
      <c r="K79" s="741">
        <v>0</v>
      </c>
      <c r="L79" s="742">
        <v>0</v>
      </c>
      <c r="M79" s="742">
        <f t="shared" ref="M79" si="7">G79</f>
        <v>21000</v>
      </c>
      <c r="N79" s="742">
        <f>($G$79*L11)</f>
        <v>21420</v>
      </c>
      <c r="O79" s="742">
        <f t="shared" ref="O79:AE79" si="8">($G$79*M11)</f>
        <v>21848.400000000001</v>
      </c>
      <c r="P79" s="742">
        <f t="shared" si="8"/>
        <v>22285.367999999999</v>
      </c>
      <c r="Q79" s="742">
        <f t="shared" si="8"/>
        <v>22731.075359999999</v>
      </c>
      <c r="R79" s="742">
        <f t="shared" si="8"/>
        <v>23185.6968672</v>
      </c>
      <c r="S79" s="742">
        <f t="shared" si="8"/>
        <v>23649.410804544001</v>
      </c>
      <c r="T79" s="742">
        <f t="shared" si="8"/>
        <v>24122.399020634883</v>
      </c>
      <c r="U79" s="742">
        <f t="shared" si="8"/>
        <v>24604.847001047579</v>
      </c>
      <c r="V79" s="742">
        <f t="shared" si="8"/>
        <v>25096.943941068534</v>
      </c>
      <c r="W79" s="742">
        <f t="shared" si="8"/>
        <v>25598.882819889903</v>
      </c>
      <c r="X79" s="742">
        <f t="shared" si="8"/>
        <v>26110.8604762877</v>
      </c>
      <c r="Y79" s="742">
        <f t="shared" si="8"/>
        <v>26633.077685813456</v>
      </c>
      <c r="Z79" s="742">
        <f t="shared" si="8"/>
        <v>27165.739239529721</v>
      </c>
      <c r="AA79" s="742">
        <f t="shared" si="8"/>
        <v>27709.054024320321</v>
      </c>
      <c r="AB79" s="742">
        <f t="shared" si="8"/>
        <v>28263.235104806728</v>
      </c>
      <c r="AC79" s="742">
        <f t="shared" si="8"/>
        <v>28828.499806902862</v>
      </c>
      <c r="AD79" s="742">
        <f t="shared" si="8"/>
        <v>29405.069803040922</v>
      </c>
      <c r="AE79" s="742">
        <f t="shared" si="8"/>
        <v>29993.17119910174</v>
      </c>
    </row>
    <row r="80" spans="1:32" s="56" customFormat="1" ht="14.25">
      <c r="A80" s="164" t="s">
        <v>416</v>
      </c>
      <c r="B80" s="164"/>
      <c r="C80" s="667">
        <f>SUM(C76:C79)</f>
        <v>140000</v>
      </c>
      <c r="D80" s="667"/>
      <c r="E80" s="667">
        <f>SUM(E76:E79)</f>
        <v>0</v>
      </c>
      <c r="F80" s="667">
        <f>SUM(F76:F79)</f>
        <v>56000</v>
      </c>
      <c r="G80" s="667">
        <f>SUM(G76:G79)</f>
        <v>196000</v>
      </c>
      <c r="H80" s="667"/>
      <c r="I80" s="668"/>
      <c r="J80" s="667"/>
      <c r="K80" s="685">
        <f>SUMIF($B76:$B79,"FT",K76:K79)</f>
        <v>0</v>
      </c>
      <c r="L80" s="669">
        <f t="shared" ref="L80:AE80" si="9">SUM(L76:L79)</f>
        <v>12250</v>
      </c>
      <c r="M80" s="669">
        <f t="shared" si="9"/>
        <v>171500</v>
      </c>
      <c r="N80" s="669">
        <f t="shared" si="9"/>
        <v>174930</v>
      </c>
      <c r="O80" s="669">
        <f t="shared" si="9"/>
        <v>178428.59999999998</v>
      </c>
      <c r="P80" s="669">
        <f t="shared" si="9"/>
        <v>181997.17199999996</v>
      </c>
      <c r="Q80" s="669">
        <f t="shared" si="9"/>
        <v>185637.11543999997</v>
      </c>
      <c r="R80" s="669">
        <f t="shared" si="9"/>
        <v>189349.85774879999</v>
      </c>
      <c r="S80" s="669">
        <f t="shared" si="9"/>
        <v>193136.85490377599</v>
      </c>
      <c r="T80" s="669">
        <f t="shared" si="9"/>
        <v>196999.59200185153</v>
      </c>
      <c r="U80" s="669">
        <f t="shared" si="9"/>
        <v>200939.58384188855</v>
      </c>
      <c r="V80" s="669">
        <f t="shared" si="9"/>
        <v>204958.37551872636</v>
      </c>
      <c r="W80" s="669">
        <f t="shared" si="9"/>
        <v>209057.54302910087</v>
      </c>
      <c r="X80" s="669">
        <f t="shared" si="9"/>
        <v>213238.69388968288</v>
      </c>
      <c r="Y80" s="669">
        <f t="shared" si="9"/>
        <v>217503.46776747654</v>
      </c>
      <c r="Z80" s="669">
        <f t="shared" si="9"/>
        <v>221853.53712282603</v>
      </c>
      <c r="AA80" s="669">
        <f t="shared" si="9"/>
        <v>226290.60786528263</v>
      </c>
      <c r="AB80" s="669">
        <f t="shared" si="9"/>
        <v>230816.42002258825</v>
      </c>
      <c r="AC80" s="669">
        <f t="shared" si="9"/>
        <v>235432.74842304003</v>
      </c>
      <c r="AD80" s="669">
        <f t="shared" si="9"/>
        <v>240141.40339150085</v>
      </c>
      <c r="AE80" s="669">
        <f t="shared" si="9"/>
        <v>244944.23145933088</v>
      </c>
    </row>
    <row r="81" spans="1:35" s="56" customFormat="1" ht="14.25">
      <c r="A81" s="164"/>
      <c r="B81" s="164"/>
      <c r="C81" s="667"/>
      <c r="D81" s="667"/>
      <c r="E81" s="667"/>
      <c r="F81" s="667"/>
      <c r="G81" s="667"/>
      <c r="H81" s="667"/>
      <c r="I81" s="668"/>
      <c r="J81" s="667"/>
      <c r="K81" s="685"/>
      <c r="L81" s="669"/>
      <c r="M81" s="669"/>
      <c r="N81" s="669"/>
      <c r="O81" s="669"/>
      <c r="P81" s="669"/>
      <c r="Q81" s="669"/>
      <c r="R81" s="669"/>
      <c r="S81" s="669"/>
      <c r="T81" s="669"/>
      <c r="U81" s="669"/>
      <c r="V81" s="669"/>
      <c r="W81" s="669"/>
      <c r="X81" s="669"/>
      <c r="Y81" s="669"/>
      <c r="Z81" s="669"/>
      <c r="AA81" s="669"/>
      <c r="AB81" s="669"/>
      <c r="AC81" s="669"/>
      <c r="AD81" s="669"/>
      <c r="AE81" s="669"/>
    </row>
    <row r="82" spans="1:35">
      <c r="A82" s="37" t="s">
        <v>411</v>
      </c>
      <c r="B82" s="37"/>
      <c r="C82" s="57"/>
      <c r="E82" s="57"/>
      <c r="F82" s="57"/>
      <c r="G82" s="57"/>
      <c r="H82" s="57"/>
      <c r="I82" s="43"/>
      <c r="J82" s="42"/>
      <c r="K82" s="743">
        <f>COUNTIF(K76:K79,"&gt;100")</f>
        <v>0</v>
      </c>
      <c r="L82" s="496">
        <f t="shared" ref="L82:AE82" si="10">COUNTIF(L76:L77,"&gt;100")</f>
        <v>1</v>
      </c>
      <c r="M82" s="496">
        <f t="shared" si="10"/>
        <v>2</v>
      </c>
      <c r="N82" s="496">
        <f t="shared" si="10"/>
        <v>2</v>
      </c>
      <c r="O82" s="496">
        <f t="shared" si="10"/>
        <v>2</v>
      </c>
      <c r="P82" s="496">
        <f t="shared" si="10"/>
        <v>2</v>
      </c>
      <c r="Q82" s="496">
        <f t="shared" si="10"/>
        <v>2</v>
      </c>
      <c r="R82" s="496">
        <f t="shared" si="10"/>
        <v>2</v>
      </c>
      <c r="S82" s="496">
        <f t="shared" si="10"/>
        <v>2</v>
      </c>
      <c r="T82" s="496">
        <f t="shared" si="10"/>
        <v>2</v>
      </c>
      <c r="U82" s="496">
        <f t="shared" si="10"/>
        <v>2</v>
      </c>
      <c r="V82" s="496">
        <f t="shared" si="10"/>
        <v>2</v>
      </c>
      <c r="W82" s="496">
        <f t="shared" si="10"/>
        <v>2</v>
      </c>
      <c r="X82" s="496">
        <f t="shared" si="10"/>
        <v>2</v>
      </c>
      <c r="Y82" s="496">
        <f t="shared" si="10"/>
        <v>2</v>
      </c>
      <c r="Z82" s="496">
        <f t="shared" si="10"/>
        <v>2</v>
      </c>
      <c r="AA82" s="496">
        <f t="shared" si="10"/>
        <v>2</v>
      </c>
      <c r="AB82" s="496">
        <f t="shared" si="10"/>
        <v>2</v>
      </c>
      <c r="AC82" s="496">
        <f t="shared" si="10"/>
        <v>2</v>
      </c>
      <c r="AD82" s="496">
        <f t="shared" si="10"/>
        <v>2</v>
      </c>
      <c r="AE82" s="496">
        <f t="shared" si="10"/>
        <v>2</v>
      </c>
      <c r="AF82" s="744"/>
    </row>
    <row r="83" spans="1:35">
      <c r="A83" s="745" t="s">
        <v>412</v>
      </c>
      <c r="B83" s="745"/>
      <c r="C83" s="746"/>
      <c r="D83" s="116"/>
      <c r="E83" s="746"/>
      <c r="F83" s="746"/>
      <c r="G83" s="746"/>
      <c r="H83" s="746"/>
      <c r="I83" s="747"/>
      <c r="J83" s="748"/>
      <c r="K83" s="749">
        <f t="shared" ref="K83" si="11">K84-K82</f>
        <v>0</v>
      </c>
      <c r="L83" s="750">
        <f t="shared" ref="L83:AE83" si="12">COUNTIF(L78:L79,"&gt;100")</f>
        <v>0</v>
      </c>
      <c r="M83" s="750">
        <f t="shared" si="12"/>
        <v>2</v>
      </c>
      <c r="N83" s="750">
        <f t="shared" si="12"/>
        <v>2</v>
      </c>
      <c r="O83" s="750">
        <f t="shared" si="12"/>
        <v>2</v>
      </c>
      <c r="P83" s="750">
        <f t="shared" si="12"/>
        <v>2</v>
      </c>
      <c r="Q83" s="750">
        <f t="shared" si="12"/>
        <v>2</v>
      </c>
      <c r="R83" s="750">
        <f t="shared" si="12"/>
        <v>2</v>
      </c>
      <c r="S83" s="750">
        <f t="shared" si="12"/>
        <v>2</v>
      </c>
      <c r="T83" s="750">
        <f t="shared" si="12"/>
        <v>2</v>
      </c>
      <c r="U83" s="750">
        <f t="shared" si="12"/>
        <v>2</v>
      </c>
      <c r="V83" s="750">
        <f t="shared" si="12"/>
        <v>2</v>
      </c>
      <c r="W83" s="750">
        <f t="shared" si="12"/>
        <v>2</v>
      </c>
      <c r="X83" s="750">
        <f t="shared" si="12"/>
        <v>2</v>
      </c>
      <c r="Y83" s="750">
        <f t="shared" si="12"/>
        <v>2</v>
      </c>
      <c r="Z83" s="750">
        <f t="shared" si="12"/>
        <v>2</v>
      </c>
      <c r="AA83" s="750">
        <f t="shared" si="12"/>
        <v>2</v>
      </c>
      <c r="AB83" s="750">
        <f t="shared" si="12"/>
        <v>2</v>
      </c>
      <c r="AC83" s="750">
        <f t="shared" si="12"/>
        <v>2</v>
      </c>
      <c r="AD83" s="750">
        <f t="shared" si="12"/>
        <v>2</v>
      </c>
      <c r="AE83" s="750">
        <f t="shared" si="12"/>
        <v>2</v>
      </c>
    </row>
    <row r="84" spans="1:35" s="56" customFormat="1" ht="14.25">
      <c r="A84" s="164" t="s">
        <v>413</v>
      </c>
      <c r="B84" s="164"/>
      <c r="C84" s="75"/>
      <c r="D84" s="173"/>
      <c r="E84" s="75"/>
      <c r="F84" s="75"/>
      <c r="G84" s="75"/>
      <c r="H84" s="75"/>
      <c r="I84" s="174"/>
      <c r="J84" s="181"/>
      <c r="K84" s="751">
        <f>COUNTIF(K76:K79,"&gt;0")</f>
        <v>0</v>
      </c>
      <c r="L84" s="752">
        <f>SUM(L82:L83)</f>
        <v>1</v>
      </c>
      <c r="M84" s="752">
        <f t="shared" ref="M84:AE84" si="13">SUM(M82:M83)</f>
        <v>4</v>
      </c>
      <c r="N84" s="752">
        <f t="shared" si="13"/>
        <v>4</v>
      </c>
      <c r="O84" s="752">
        <f t="shared" si="13"/>
        <v>4</v>
      </c>
      <c r="P84" s="752">
        <f t="shared" si="13"/>
        <v>4</v>
      </c>
      <c r="Q84" s="752">
        <f t="shared" si="13"/>
        <v>4</v>
      </c>
      <c r="R84" s="752">
        <f t="shared" si="13"/>
        <v>4</v>
      </c>
      <c r="S84" s="752">
        <f t="shared" si="13"/>
        <v>4</v>
      </c>
      <c r="T84" s="752">
        <f t="shared" si="13"/>
        <v>4</v>
      </c>
      <c r="U84" s="752">
        <f t="shared" si="13"/>
        <v>4</v>
      </c>
      <c r="V84" s="752">
        <f t="shared" si="13"/>
        <v>4</v>
      </c>
      <c r="W84" s="752">
        <f t="shared" si="13"/>
        <v>4</v>
      </c>
      <c r="X84" s="752">
        <f t="shared" si="13"/>
        <v>4</v>
      </c>
      <c r="Y84" s="752">
        <f t="shared" si="13"/>
        <v>4</v>
      </c>
      <c r="Z84" s="752">
        <f t="shared" si="13"/>
        <v>4</v>
      </c>
      <c r="AA84" s="752">
        <f t="shared" si="13"/>
        <v>4</v>
      </c>
      <c r="AB84" s="752">
        <f t="shared" si="13"/>
        <v>4</v>
      </c>
      <c r="AC84" s="752">
        <f t="shared" si="13"/>
        <v>4</v>
      </c>
      <c r="AD84" s="752">
        <f t="shared" si="13"/>
        <v>4</v>
      </c>
      <c r="AE84" s="752">
        <f t="shared" si="13"/>
        <v>4</v>
      </c>
    </row>
    <row r="85" spans="1:35" s="56" customFormat="1" ht="14.25">
      <c r="A85" s="164"/>
      <c r="B85" s="164"/>
      <c r="C85" s="75"/>
      <c r="D85" s="173"/>
      <c r="E85" s="75"/>
      <c r="F85" s="75"/>
      <c r="G85" s="75"/>
      <c r="H85" s="75"/>
      <c r="I85" s="174"/>
      <c r="J85" s="181"/>
      <c r="K85" s="685"/>
      <c r="L85" s="315"/>
      <c r="M85" s="315"/>
      <c r="N85" s="315"/>
      <c r="O85" s="315"/>
      <c r="P85" s="315"/>
      <c r="Q85" s="315"/>
      <c r="R85" s="315"/>
      <c r="S85" s="315"/>
      <c r="T85" s="315"/>
      <c r="U85" s="315"/>
      <c r="V85" s="315"/>
      <c r="W85" s="315"/>
      <c r="X85" s="315"/>
      <c r="Y85" s="315"/>
      <c r="Z85" s="315"/>
      <c r="AA85" s="315"/>
      <c r="AB85" s="315"/>
      <c r="AC85" s="315"/>
      <c r="AD85" s="315"/>
      <c r="AE85" s="315"/>
    </row>
    <row r="86" spans="1:35">
      <c r="A86" s="48" t="s">
        <v>68</v>
      </c>
      <c r="B86" s="48"/>
      <c r="C86" s="77"/>
      <c r="D86" s="76"/>
      <c r="E86" s="57"/>
      <c r="F86" s="57"/>
      <c r="G86" s="77"/>
      <c r="H86" s="77"/>
      <c r="I86" s="50"/>
      <c r="J86" s="49"/>
      <c r="K86" s="683"/>
      <c r="L86" s="316"/>
      <c r="M86" s="316"/>
      <c r="N86" s="316"/>
      <c r="O86" s="316"/>
      <c r="P86" s="316"/>
      <c r="Q86" s="316"/>
      <c r="R86" s="316"/>
      <c r="S86" s="316"/>
      <c r="T86" s="316"/>
      <c r="U86" s="316"/>
      <c r="V86" s="316"/>
      <c r="W86" s="316"/>
      <c r="X86" s="316"/>
      <c r="Y86" s="316"/>
      <c r="Z86" s="316"/>
      <c r="AA86" s="316"/>
      <c r="AB86" s="316"/>
      <c r="AC86" s="316"/>
      <c r="AD86" s="316"/>
      <c r="AE86" s="316"/>
    </row>
    <row r="87" spans="1:35" s="68" customFormat="1" ht="14.25">
      <c r="A87" s="214" t="s">
        <v>80</v>
      </c>
      <c r="B87" s="189"/>
      <c r="C87" s="209"/>
      <c r="D87" s="210"/>
      <c r="E87" s="211"/>
      <c r="F87" s="211"/>
      <c r="G87" s="209"/>
      <c r="H87" s="209"/>
      <c r="I87" s="213"/>
      <c r="J87" s="212"/>
      <c r="K87" s="686"/>
      <c r="L87" s="317"/>
      <c r="M87" s="317"/>
      <c r="N87" s="317"/>
      <c r="O87" s="317"/>
      <c r="P87" s="317"/>
      <c r="Q87" s="317"/>
      <c r="R87" s="317"/>
      <c r="S87" s="317"/>
      <c r="T87" s="317"/>
      <c r="U87" s="317"/>
      <c r="V87" s="317"/>
      <c r="W87" s="317"/>
      <c r="X87" s="317"/>
      <c r="Y87" s="317"/>
      <c r="Z87" s="317"/>
      <c r="AA87" s="317"/>
      <c r="AB87" s="317"/>
      <c r="AC87" s="317"/>
      <c r="AD87" s="317"/>
      <c r="AE87" s="317"/>
    </row>
    <row r="88" spans="1:35">
      <c r="A88" s="37" t="s">
        <v>41</v>
      </c>
      <c r="B88" s="37"/>
      <c r="C88" s="110"/>
      <c r="D88" s="106"/>
      <c r="E88" s="57"/>
      <c r="F88" s="57"/>
      <c r="G88" s="57"/>
      <c r="H88" s="57"/>
      <c r="I88" s="51"/>
      <c r="J88" s="663"/>
      <c r="K88" s="683">
        <f>K$84*$J88*R$9</f>
        <v>0</v>
      </c>
      <c r="L88" s="666">
        <v>25000</v>
      </c>
      <c r="M88" s="666">
        <f>$L$88*L11</f>
        <v>25500</v>
      </c>
      <c r="N88" s="666">
        <f t="shared" ref="N88:P88" si="14">$L$88*M11</f>
        <v>26010</v>
      </c>
      <c r="O88" s="666">
        <f t="shared" si="14"/>
        <v>26530.199999999997</v>
      </c>
      <c r="P88" s="666">
        <f t="shared" si="14"/>
        <v>27060.804</v>
      </c>
      <c r="Q88" s="666">
        <f t="shared" ref="Q88" si="15">$L$88*P11</f>
        <v>27602.020080000002</v>
      </c>
      <c r="R88" s="666">
        <f t="shared" ref="R88" si="16">$L$88*Q11</f>
        <v>28154.060481600001</v>
      </c>
      <c r="S88" s="666">
        <f t="shared" ref="S88" si="17">$L$88*R11</f>
        <v>28717.141691232002</v>
      </c>
      <c r="T88" s="666">
        <f t="shared" ref="T88" si="18">$L$88*S11</f>
        <v>29291.484525056643</v>
      </c>
      <c r="U88" s="666">
        <f t="shared" ref="U88" si="19">$L$88*T11</f>
        <v>29877.314215557777</v>
      </c>
      <c r="V88" s="666">
        <f t="shared" ref="V88" si="20">$L$88*U11</f>
        <v>30474.860499868933</v>
      </c>
      <c r="W88" s="666">
        <f t="shared" ref="W88" si="21">$L$88*V11</f>
        <v>31084.357709866312</v>
      </c>
      <c r="X88" s="666">
        <f t="shared" ref="X88" si="22">$L$88*W11</f>
        <v>31706.044864063639</v>
      </c>
      <c r="Y88" s="666">
        <f t="shared" ref="Y88" si="23">$L$88*X11</f>
        <v>32340.165761344906</v>
      </c>
      <c r="Z88" s="666">
        <f t="shared" ref="Z88" si="24">$L$88*Y11</f>
        <v>32986.969076571811</v>
      </c>
      <c r="AA88" s="666">
        <f t="shared" ref="AA88" si="25">$L$88*Z11</f>
        <v>33646.708458103247</v>
      </c>
      <c r="AB88" s="666">
        <f t="shared" ref="AB88" si="26">$L$88*AA11</f>
        <v>34319.642627265312</v>
      </c>
      <c r="AC88" s="666">
        <f t="shared" ref="AC88" si="27">$L$88*AB11</f>
        <v>35006.03547981062</v>
      </c>
      <c r="AD88" s="666">
        <f t="shared" ref="AD88" si="28">$L$88*AC11</f>
        <v>35706.156189406836</v>
      </c>
      <c r="AE88" s="666">
        <f t="shared" ref="AE88" si="29">$L$88*AD11</f>
        <v>36420.279313194973</v>
      </c>
    </row>
    <row r="89" spans="1:35">
      <c r="A89" s="37" t="s">
        <v>424</v>
      </c>
      <c r="B89" s="37"/>
      <c r="C89" s="110"/>
      <c r="D89" s="106"/>
      <c r="E89" s="57"/>
      <c r="F89" s="57"/>
      <c r="G89" s="57"/>
      <c r="H89" s="57"/>
      <c r="I89" s="51"/>
      <c r="J89" s="663"/>
      <c r="K89" s="683">
        <f>K$84*$J89*R$9</f>
        <v>0</v>
      </c>
      <c r="L89" s="666">
        <v>10000</v>
      </c>
      <c r="M89" s="666">
        <v>500</v>
      </c>
      <c r="N89" s="666">
        <f>$M$89*M11</f>
        <v>520.20000000000005</v>
      </c>
      <c r="O89" s="666">
        <f>$M$89*N11</f>
        <v>530.60399999999993</v>
      </c>
      <c r="P89" s="666">
        <f>$M$89*O11</f>
        <v>541.21608000000003</v>
      </c>
      <c r="Q89" s="666">
        <v>5000</v>
      </c>
      <c r="R89" s="666">
        <f>$M$89*Q11</f>
        <v>563.08120963200008</v>
      </c>
      <c r="S89" s="666">
        <f>$M$89*R11</f>
        <v>574.34283382464002</v>
      </c>
      <c r="T89" s="666">
        <f>$M$89*S11</f>
        <v>585.82969050113286</v>
      </c>
      <c r="U89" s="666">
        <f>$M$89*T11</f>
        <v>597.54628431115555</v>
      </c>
      <c r="V89" s="666">
        <v>5000</v>
      </c>
      <c r="W89" s="666">
        <f>$M$89*V11</f>
        <v>621.68715419732621</v>
      </c>
      <c r="X89" s="666">
        <f>$M$89*W11</f>
        <v>634.12089728127273</v>
      </c>
      <c r="Y89" s="666">
        <f>$M$89*X11</f>
        <v>646.80331522689812</v>
      </c>
      <c r="Z89" s="666">
        <f>$M$89*Y11</f>
        <v>659.73938153143615</v>
      </c>
      <c r="AA89" s="666">
        <v>5000</v>
      </c>
      <c r="AB89" s="666">
        <f>$M$89*AA11</f>
        <v>686.39285254530625</v>
      </c>
      <c r="AC89" s="666">
        <f>$M$89*AB11</f>
        <v>700.12070959621246</v>
      </c>
      <c r="AD89" s="666">
        <f>$M$89*AC11</f>
        <v>714.1231237881367</v>
      </c>
      <c r="AE89" s="666">
        <f>$M$89*AD11</f>
        <v>728.40558626389941</v>
      </c>
    </row>
    <row r="90" spans="1:35">
      <c r="A90" s="37" t="s">
        <v>42</v>
      </c>
      <c r="B90" s="37"/>
      <c r="C90" s="110"/>
      <c r="D90" s="106"/>
      <c r="E90" s="57"/>
      <c r="F90" s="57"/>
      <c r="G90" s="57"/>
      <c r="H90" s="57"/>
      <c r="I90" s="51"/>
      <c r="J90" s="663"/>
      <c r="K90" s="683">
        <f>K$84*$J90*R$9</f>
        <v>0</v>
      </c>
      <c r="L90" s="666">
        <v>50000</v>
      </c>
      <c r="M90" s="666">
        <f t="shared" ref="M90:AE90" si="30">($L$90*L11)</f>
        <v>51000</v>
      </c>
      <c r="N90" s="666">
        <f t="shared" si="30"/>
        <v>52020</v>
      </c>
      <c r="O90" s="666">
        <f t="shared" si="30"/>
        <v>53060.399999999994</v>
      </c>
      <c r="P90" s="666">
        <f t="shared" si="30"/>
        <v>54121.608</v>
      </c>
      <c r="Q90" s="666">
        <f t="shared" si="30"/>
        <v>55204.040160000004</v>
      </c>
      <c r="R90" s="666">
        <f t="shared" si="30"/>
        <v>56308.120963200003</v>
      </c>
      <c r="S90" s="666">
        <f t="shared" si="30"/>
        <v>57434.283382464004</v>
      </c>
      <c r="T90" s="666">
        <f t="shared" si="30"/>
        <v>58582.969050113286</v>
      </c>
      <c r="U90" s="666">
        <f t="shared" si="30"/>
        <v>59754.628431115554</v>
      </c>
      <c r="V90" s="666">
        <f t="shared" si="30"/>
        <v>60949.720999737867</v>
      </c>
      <c r="W90" s="666">
        <f t="shared" si="30"/>
        <v>62168.715419732624</v>
      </c>
      <c r="X90" s="666">
        <f t="shared" si="30"/>
        <v>63412.089728127277</v>
      </c>
      <c r="Y90" s="666">
        <f t="shared" si="30"/>
        <v>64680.331522689812</v>
      </c>
      <c r="Z90" s="666">
        <f t="shared" si="30"/>
        <v>65973.938153143623</v>
      </c>
      <c r="AA90" s="666">
        <f t="shared" si="30"/>
        <v>67293.416916206494</v>
      </c>
      <c r="AB90" s="666">
        <f t="shared" si="30"/>
        <v>68639.285254530623</v>
      </c>
      <c r="AC90" s="666">
        <f t="shared" si="30"/>
        <v>70012.07095962124</v>
      </c>
      <c r="AD90" s="666">
        <f t="shared" si="30"/>
        <v>71412.312378813673</v>
      </c>
      <c r="AE90" s="666">
        <f t="shared" si="30"/>
        <v>72840.558626389946</v>
      </c>
    </row>
    <row r="91" spans="1:35">
      <c r="A91" s="37" t="s">
        <v>43</v>
      </c>
      <c r="B91" s="37"/>
      <c r="C91" s="110"/>
      <c r="D91" s="106"/>
      <c r="E91" s="57"/>
      <c r="F91" s="57"/>
      <c r="G91" s="57"/>
      <c r="H91" s="57"/>
      <c r="I91" s="51" t="s">
        <v>8</v>
      </c>
      <c r="J91" s="663">
        <v>500</v>
      </c>
      <c r="K91" s="683">
        <v>0</v>
      </c>
      <c r="L91" s="666">
        <f>J91*L84</f>
        <v>500</v>
      </c>
      <c r="M91" s="666">
        <f t="shared" ref="M91:AE91" si="31">$J$91*M84*L11</f>
        <v>2040</v>
      </c>
      <c r="N91" s="666">
        <f t="shared" si="31"/>
        <v>2080.8000000000002</v>
      </c>
      <c r="O91" s="666">
        <f t="shared" si="31"/>
        <v>2122.4159999999997</v>
      </c>
      <c r="P91" s="666">
        <f t="shared" si="31"/>
        <v>2164.8643200000001</v>
      </c>
      <c r="Q91" s="666">
        <f t="shared" si="31"/>
        <v>2208.1616064</v>
      </c>
      <c r="R91" s="666">
        <f t="shared" si="31"/>
        <v>2252.3248385280003</v>
      </c>
      <c r="S91" s="666">
        <f t="shared" si="31"/>
        <v>2297.3713352985601</v>
      </c>
      <c r="T91" s="666">
        <f t="shared" si="31"/>
        <v>2343.3187620045314</v>
      </c>
      <c r="U91" s="666">
        <f t="shared" si="31"/>
        <v>2390.1851372446222</v>
      </c>
      <c r="V91" s="666">
        <f t="shared" si="31"/>
        <v>2437.9888399895149</v>
      </c>
      <c r="W91" s="666">
        <f t="shared" si="31"/>
        <v>2486.7486167893048</v>
      </c>
      <c r="X91" s="666">
        <f t="shared" si="31"/>
        <v>2536.4835891250909</v>
      </c>
      <c r="Y91" s="666">
        <f t="shared" si="31"/>
        <v>2587.2132609075925</v>
      </c>
      <c r="Z91" s="666">
        <f t="shared" si="31"/>
        <v>2638.9575261257446</v>
      </c>
      <c r="AA91" s="666">
        <f t="shared" si="31"/>
        <v>2691.7366766482596</v>
      </c>
      <c r="AB91" s="666">
        <f t="shared" si="31"/>
        <v>2745.571410181225</v>
      </c>
      <c r="AC91" s="666">
        <f t="shared" si="31"/>
        <v>2800.4828383848499</v>
      </c>
      <c r="AD91" s="666">
        <f t="shared" si="31"/>
        <v>2856.4924951525468</v>
      </c>
      <c r="AE91" s="666">
        <f t="shared" si="31"/>
        <v>2913.6223450555976</v>
      </c>
    </row>
    <row r="92" spans="1:35">
      <c r="A92" s="37" t="s">
        <v>44</v>
      </c>
      <c r="B92" s="37"/>
      <c r="C92" s="110"/>
      <c r="D92" s="106"/>
      <c r="E92" s="57"/>
      <c r="F92" s="57"/>
      <c r="G92" s="57"/>
      <c r="H92" s="57"/>
      <c r="I92" s="51" t="s">
        <v>8</v>
      </c>
      <c r="J92" s="663">
        <v>250</v>
      </c>
      <c r="K92" s="683">
        <v>0</v>
      </c>
      <c r="L92" s="666">
        <f>J92*L84</f>
        <v>250</v>
      </c>
      <c r="M92" s="666">
        <f t="shared" ref="M92:AE92" si="32">$J$92*M84*L11</f>
        <v>1020</v>
      </c>
      <c r="N92" s="666">
        <f t="shared" si="32"/>
        <v>1040.4000000000001</v>
      </c>
      <c r="O92" s="666">
        <f t="shared" si="32"/>
        <v>1061.2079999999999</v>
      </c>
      <c r="P92" s="666">
        <f t="shared" si="32"/>
        <v>1082.4321600000001</v>
      </c>
      <c r="Q92" s="666">
        <f t="shared" si="32"/>
        <v>1104.0808032</v>
      </c>
      <c r="R92" s="666">
        <f t="shared" si="32"/>
        <v>1126.1624192640002</v>
      </c>
      <c r="S92" s="666">
        <f t="shared" si="32"/>
        <v>1148.68566764928</v>
      </c>
      <c r="T92" s="666">
        <f t="shared" si="32"/>
        <v>1171.6593810022657</v>
      </c>
      <c r="U92" s="666">
        <f t="shared" si="32"/>
        <v>1195.0925686223111</v>
      </c>
      <c r="V92" s="666">
        <f t="shared" si="32"/>
        <v>1218.9944199947574</v>
      </c>
      <c r="W92" s="666">
        <f t="shared" si="32"/>
        <v>1243.3743083946524</v>
      </c>
      <c r="X92" s="666">
        <f t="shared" si="32"/>
        <v>1268.2417945625455</v>
      </c>
      <c r="Y92" s="666">
        <f t="shared" si="32"/>
        <v>1293.6066304537962</v>
      </c>
      <c r="Z92" s="666">
        <f t="shared" si="32"/>
        <v>1319.4787630628723</v>
      </c>
      <c r="AA92" s="666">
        <f t="shared" si="32"/>
        <v>1345.8683383241298</v>
      </c>
      <c r="AB92" s="666">
        <f t="shared" si="32"/>
        <v>1372.7857050906125</v>
      </c>
      <c r="AC92" s="666">
        <f t="shared" si="32"/>
        <v>1400.2414191924249</v>
      </c>
      <c r="AD92" s="666">
        <f t="shared" si="32"/>
        <v>1428.2462475762734</v>
      </c>
      <c r="AE92" s="666">
        <f t="shared" si="32"/>
        <v>1456.8111725277988</v>
      </c>
      <c r="AF92" s="44"/>
    </row>
    <row r="93" spans="1:35">
      <c r="A93" s="745" t="s">
        <v>2</v>
      </c>
      <c r="B93" s="745"/>
      <c r="C93" s="753"/>
      <c r="D93" s="754"/>
      <c r="E93" s="746"/>
      <c r="F93" s="746"/>
      <c r="G93" s="746"/>
      <c r="H93" s="746"/>
      <c r="I93" s="755"/>
      <c r="J93" s="739"/>
      <c r="K93" s="741">
        <v>0</v>
      </c>
      <c r="L93" s="742">
        <v>1000</v>
      </c>
      <c r="M93" s="742">
        <f t="shared" ref="M93:AE93" si="33">($L$93*L11)</f>
        <v>1020</v>
      </c>
      <c r="N93" s="742">
        <f t="shared" si="33"/>
        <v>1040.4000000000001</v>
      </c>
      <c r="O93" s="742">
        <f t="shared" si="33"/>
        <v>1061.2079999999999</v>
      </c>
      <c r="P93" s="742">
        <f t="shared" si="33"/>
        <v>1082.4321600000001</v>
      </c>
      <c r="Q93" s="742">
        <f t="shared" si="33"/>
        <v>1104.0808032</v>
      </c>
      <c r="R93" s="742">
        <f t="shared" si="33"/>
        <v>1126.1624192640002</v>
      </c>
      <c r="S93" s="742">
        <f t="shared" si="33"/>
        <v>1148.68566764928</v>
      </c>
      <c r="T93" s="742">
        <f t="shared" si="33"/>
        <v>1171.6593810022657</v>
      </c>
      <c r="U93" s="742">
        <f t="shared" si="33"/>
        <v>1195.0925686223111</v>
      </c>
      <c r="V93" s="742">
        <f t="shared" si="33"/>
        <v>1218.9944199947574</v>
      </c>
      <c r="W93" s="742">
        <f t="shared" si="33"/>
        <v>1243.3743083946524</v>
      </c>
      <c r="X93" s="742">
        <f t="shared" si="33"/>
        <v>1268.2417945625455</v>
      </c>
      <c r="Y93" s="742">
        <f t="shared" si="33"/>
        <v>1293.6066304537962</v>
      </c>
      <c r="Z93" s="742">
        <f t="shared" si="33"/>
        <v>1319.4787630628723</v>
      </c>
      <c r="AA93" s="742">
        <f t="shared" si="33"/>
        <v>1345.8683383241298</v>
      </c>
      <c r="AB93" s="742">
        <f t="shared" si="33"/>
        <v>1372.7857050906125</v>
      </c>
      <c r="AC93" s="742">
        <f t="shared" si="33"/>
        <v>1400.2414191924249</v>
      </c>
      <c r="AD93" s="742">
        <f t="shared" si="33"/>
        <v>1428.2462475762734</v>
      </c>
      <c r="AE93" s="742">
        <f t="shared" si="33"/>
        <v>1456.8111725277988</v>
      </c>
    </row>
    <row r="94" spans="1:35" s="56" customFormat="1" ht="14.25">
      <c r="A94" s="164" t="s">
        <v>409</v>
      </c>
      <c r="B94" s="215"/>
      <c r="C94" s="216"/>
      <c r="D94" s="217"/>
      <c r="E94" s="218"/>
      <c r="F94" s="218"/>
      <c r="G94" s="218"/>
      <c r="H94" s="218"/>
      <c r="I94" s="219"/>
      <c r="J94" s="756"/>
      <c r="K94" s="687">
        <f>SUM(K88:K93)</f>
        <v>0</v>
      </c>
      <c r="L94" s="757">
        <f>SUM(L88:L93)</f>
        <v>86750</v>
      </c>
      <c r="M94" s="757">
        <f t="shared" ref="M94:AE94" si="34">SUM(M88:M93)</f>
        <v>81080</v>
      </c>
      <c r="N94" s="757">
        <f t="shared" si="34"/>
        <v>82711.799999999988</v>
      </c>
      <c r="O94" s="757">
        <f t="shared" si="34"/>
        <v>84366.035999999993</v>
      </c>
      <c r="P94" s="757">
        <f t="shared" si="34"/>
        <v>86053.356719999982</v>
      </c>
      <c r="Q94" s="757">
        <f t="shared" si="34"/>
        <v>92222.383452800015</v>
      </c>
      <c r="R94" s="757">
        <f t="shared" si="34"/>
        <v>89529.912331488013</v>
      </c>
      <c r="S94" s="757">
        <f t="shared" si="34"/>
        <v>91320.510578117755</v>
      </c>
      <c r="T94" s="757">
        <f t="shared" si="34"/>
        <v>93146.920789680124</v>
      </c>
      <c r="U94" s="757">
        <f t="shared" si="34"/>
        <v>95009.859205473724</v>
      </c>
      <c r="V94" s="757">
        <f t="shared" si="34"/>
        <v>101300.55917958585</v>
      </c>
      <c r="W94" s="757">
        <f t="shared" si="34"/>
        <v>98848.257517374863</v>
      </c>
      <c r="X94" s="757">
        <f t="shared" si="34"/>
        <v>100825.22266772237</v>
      </c>
      <c r="Y94" s="757">
        <f t="shared" si="34"/>
        <v>102841.72712107681</v>
      </c>
      <c r="Z94" s="757">
        <f t="shared" si="34"/>
        <v>104898.56166349835</v>
      </c>
      <c r="AA94" s="757">
        <f t="shared" si="34"/>
        <v>111323.59872760627</v>
      </c>
      <c r="AB94" s="757">
        <f t="shared" si="34"/>
        <v>109136.4635547037</v>
      </c>
      <c r="AC94" s="757">
        <f t="shared" si="34"/>
        <v>111319.19282579776</v>
      </c>
      <c r="AD94" s="757">
        <f t="shared" si="34"/>
        <v>113545.57668231374</v>
      </c>
      <c r="AE94" s="757">
        <f t="shared" si="34"/>
        <v>115816.48821596001</v>
      </c>
    </row>
    <row r="95" spans="1:35" s="56" customFormat="1" ht="14.25">
      <c r="A95" s="164"/>
      <c r="B95" s="215"/>
      <c r="C95" s="216"/>
      <c r="D95" s="217"/>
      <c r="E95" s="218"/>
      <c r="F95" s="218"/>
      <c r="G95" s="218"/>
      <c r="H95" s="218"/>
      <c r="I95" s="219"/>
      <c r="J95" s="220"/>
      <c r="K95" s="687"/>
      <c r="L95" s="318"/>
      <c r="M95" s="318"/>
      <c r="N95" s="318"/>
      <c r="O95" s="318"/>
      <c r="P95" s="318"/>
      <c r="Q95" s="318"/>
      <c r="R95" s="318"/>
      <c r="S95" s="318"/>
      <c r="T95" s="318"/>
      <c r="U95" s="318"/>
      <c r="V95" s="318"/>
      <c r="W95" s="318"/>
      <c r="X95" s="318"/>
      <c r="Y95" s="318"/>
      <c r="Z95" s="318"/>
      <c r="AA95" s="318"/>
      <c r="AB95" s="318"/>
      <c r="AC95" s="318"/>
      <c r="AD95" s="318"/>
      <c r="AE95" s="318"/>
    </row>
    <row r="96" spans="1:35" s="56" customFormat="1" ht="14.25">
      <c r="A96" s="720" t="s">
        <v>26</v>
      </c>
      <c r="B96" s="215"/>
      <c r="C96" s="218"/>
      <c r="D96" s="721"/>
      <c r="E96" s="218"/>
      <c r="F96" s="218"/>
      <c r="G96" s="218"/>
      <c r="H96" s="218"/>
      <c r="I96" s="722"/>
      <c r="J96" s="220"/>
      <c r="K96" s="687"/>
      <c r="L96" s="318"/>
      <c r="M96" s="318"/>
      <c r="N96" s="318"/>
      <c r="O96" s="318"/>
      <c r="P96" s="318"/>
      <c r="Q96" s="318"/>
      <c r="R96" s="318"/>
      <c r="S96" s="318"/>
      <c r="T96" s="318"/>
      <c r="U96" s="318"/>
      <c r="V96" s="318"/>
      <c r="W96" s="318"/>
      <c r="X96" s="318"/>
      <c r="Y96" s="318"/>
      <c r="Z96" s="318"/>
      <c r="AA96" s="318"/>
      <c r="AB96" s="318"/>
      <c r="AC96" s="318"/>
      <c r="AD96" s="318"/>
      <c r="AE96" s="318"/>
      <c r="AF96" s="723"/>
      <c r="AG96" s="723"/>
      <c r="AH96" s="723"/>
      <c r="AI96" s="723"/>
    </row>
    <row r="97" spans="1:35">
      <c r="A97" s="190" t="s">
        <v>41</v>
      </c>
      <c r="B97" s="190"/>
      <c r="C97" s="194"/>
      <c r="D97" s="758"/>
      <c r="E97" s="194"/>
      <c r="F97" s="194"/>
      <c r="G97" s="759"/>
      <c r="H97" s="759"/>
      <c r="I97" s="760"/>
      <c r="J97" s="761"/>
      <c r="K97" s="689">
        <v>0</v>
      </c>
      <c r="L97" s="665">
        <v>1000</v>
      </c>
      <c r="M97" s="665">
        <f>$L$97*L11</f>
        <v>1020</v>
      </c>
      <c r="N97" s="665">
        <f t="shared" ref="N97:P97" si="35">$L$97*M11</f>
        <v>1040.4000000000001</v>
      </c>
      <c r="O97" s="665">
        <f t="shared" si="35"/>
        <v>1061.2079999999999</v>
      </c>
      <c r="P97" s="665">
        <f t="shared" si="35"/>
        <v>1082.4321600000001</v>
      </c>
      <c r="Q97" s="665">
        <v>25000</v>
      </c>
      <c r="R97" s="665">
        <f>$Q$97*L11</f>
        <v>25500</v>
      </c>
      <c r="S97" s="665">
        <f t="shared" ref="S97:AE97" si="36">$Q$97*M11</f>
        <v>26010</v>
      </c>
      <c r="T97" s="665">
        <f t="shared" si="36"/>
        <v>26530.199999999997</v>
      </c>
      <c r="U97" s="665">
        <f t="shared" si="36"/>
        <v>27060.804</v>
      </c>
      <c r="V97" s="665">
        <f t="shared" si="36"/>
        <v>27602.020080000002</v>
      </c>
      <c r="W97" s="665">
        <f t="shared" si="36"/>
        <v>28154.060481600001</v>
      </c>
      <c r="X97" s="665">
        <f t="shared" si="36"/>
        <v>28717.141691232002</v>
      </c>
      <c r="Y97" s="665">
        <f t="shared" si="36"/>
        <v>29291.484525056643</v>
      </c>
      <c r="Z97" s="665">
        <f t="shared" si="36"/>
        <v>29877.314215557777</v>
      </c>
      <c r="AA97" s="665">
        <f t="shared" si="36"/>
        <v>30474.860499868933</v>
      </c>
      <c r="AB97" s="665">
        <f t="shared" si="36"/>
        <v>31084.357709866312</v>
      </c>
      <c r="AC97" s="665">
        <f t="shared" si="36"/>
        <v>31706.044864063639</v>
      </c>
      <c r="AD97" s="665">
        <f t="shared" si="36"/>
        <v>32340.165761344906</v>
      </c>
      <c r="AE97" s="665">
        <f t="shared" si="36"/>
        <v>32986.969076571811</v>
      </c>
      <c r="AF97" s="55"/>
      <c r="AG97" s="55"/>
      <c r="AH97" s="55"/>
      <c r="AI97" s="55"/>
    </row>
    <row r="98" spans="1:35">
      <c r="A98" s="745" t="s">
        <v>302</v>
      </c>
      <c r="B98" s="745"/>
      <c r="C98" s="746"/>
      <c r="D98" s="116"/>
      <c r="E98" s="746"/>
      <c r="F98" s="746"/>
      <c r="G98" s="753"/>
      <c r="H98" s="753"/>
      <c r="I98" s="755"/>
      <c r="J98" s="762"/>
      <c r="K98" s="741">
        <v>0</v>
      </c>
      <c r="L98" s="742">
        <f>'Shuttle Projections'!C39/2</f>
        <v>233675</v>
      </c>
      <c r="M98" s="742">
        <f>'Shuttle Projections'!D39</f>
        <v>476697</v>
      </c>
      <c r="N98" s="742">
        <f>'Shuttle Projections'!E39</f>
        <v>486230.94000000006</v>
      </c>
      <c r="O98" s="742">
        <f>'Shuttle Projections'!F39</f>
        <v>495955.55879999994</v>
      </c>
      <c r="P98" s="742">
        <f>'Shuttle Projections'!G39</f>
        <v>505874.66997599998</v>
      </c>
      <c r="Q98" s="742">
        <f>'Shuttle Projections'!H39</f>
        <v>515992.16337552003</v>
      </c>
      <c r="R98" s="742">
        <f>'Shuttle Projections'!I39</f>
        <v>526312.00664303044</v>
      </c>
      <c r="S98" s="742">
        <f>'Shuttle Projections'!J39</f>
        <v>536838.24677589093</v>
      </c>
      <c r="T98" s="742">
        <f>'Shuttle Projections'!K39</f>
        <v>547575.01171140897</v>
      </c>
      <c r="U98" s="742">
        <f>'Shuttle Projections'!L39</f>
        <v>558526.51194563706</v>
      </c>
      <c r="V98" s="742">
        <f>'Shuttle Projections'!M39</f>
        <v>569697.04218454985</v>
      </c>
      <c r="W98" s="742">
        <f>'Shuttle Projections'!N39</f>
        <v>581090.98302824085</v>
      </c>
      <c r="X98" s="742">
        <f>'Shuttle Projections'!O39</f>
        <v>592712.80268880562</v>
      </c>
      <c r="Y98" s="742">
        <f>'Shuttle Projections'!P39</f>
        <v>604567.05874258175</v>
      </c>
      <c r="Z98" s="742">
        <f>'Shuttle Projections'!Q39</f>
        <v>616658.39991743339</v>
      </c>
      <c r="AA98" s="742">
        <f>'Shuttle Projections'!R39</f>
        <v>628991.5679157821</v>
      </c>
      <c r="AB98" s="742">
        <f>'Shuttle Projections'!S39</f>
        <v>641571.39927409776</v>
      </c>
      <c r="AC98" s="742">
        <f>'Shuttle Projections'!T39</f>
        <v>654402.82725957979</v>
      </c>
      <c r="AD98" s="742">
        <f>'Shuttle Projections'!U39</f>
        <v>667490.88380477135</v>
      </c>
      <c r="AE98" s="742">
        <f>'Shuttle Projections'!V39</f>
        <v>680840.70148086676</v>
      </c>
    </row>
    <row r="99" spans="1:35" s="56" customFormat="1" ht="14.25">
      <c r="A99" s="164" t="s">
        <v>410</v>
      </c>
      <c r="B99" s="164"/>
      <c r="C99" s="75"/>
      <c r="D99" s="173"/>
      <c r="E99" s="75"/>
      <c r="F99" s="75"/>
      <c r="G99" s="75"/>
      <c r="H99" s="75"/>
      <c r="I99" s="174"/>
      <c r="J99" s="175"/>
      <c r="K99" s="685">
        <v>0</v>
      </c>
      <c r="L99" s="669">
        <f>SUM(L97:L98)</f>
        <v>234675</v>
      </c>
      <c r="M99" s="669">
        <f t="shared" ref="M99:AE99" si="37">SUM(M97:M98)</f>
        <v>477717</v>
      </c>
      <c r="N99" s="669">
        <f t="shared" si="37"/>
        <v>487271.34000000008</v>
      </c>
      <c r="O99" s="669">
        <f t="shared" si="37"/>
        <v>497016.76679999992</v>
      </c>
      <c r="P99" s="669">
        <f t="shared" si="37"/>
        <v>506957.102136</v>
      </c>
      <c r="Q99" s="669">
        <f t="shared" si="37"/>
        <v>540992.16337552003</v>
      </c>
      <c r="R99" s="669">
        <f t="shared" si="37"/>
        <v>551812.00664303044</v>
      </c>
      <c r="S99" s="669">
        <f t="shared" si="37"/>
        <v>562848.24677589093</v>
      </c>
      <c r="T99" s="669">
        <f t="shared" si="37"/>
        <v>574105.21171140892</v>
      </c>
      <c r="U99" s="669">
        <f t="shared" si="37"/>
        <v>585587.31594563706</v>
      </c>
      <c r="V99" s="669">
        <f t="shared" si="37"/>
        <v>597299.0622645499</v>
      </c>
      <c r="W99" s="669">
        <f t="shared" si="37"/>
        <v>609245.04350984085</v>
      </c>
      <c r="X99" s="669">
        <f t="shared" si="37"/>
        <v>621429.9443800376</v>
      </c>
      <c r="Y99" s="669">
        <f t="shared" si="37"/>
        <v>633858.54326763842</v>
      </c>
      <c r="Z99" s="669">
        <f t="shared" si="37"/>
        <v>646535.71413299115</v>
      </c>
      <c r="AA99" s="669">
        <f t="shared" si="37"/>
        <v>659466.42841565108</v>
      </c>
      <c r="AB99" s="669">
        <f t="shared" si="37"/>
        <v>672655.75698396412</v>
      </c>
      <c r="AC99" s="669">
        <f t="shared" si="37"/>
        <v>686108.87212364341</v>
      </c>
      <c r="AD99" s="669">
        <f t="shared" si="37"/>
        <v>699831.0495661163</v>
      </c>
      <c r="AE99" s="669">
        <f t="shared" si="37"/>
        <v>713827.67055743863</v>
      </c>
    </row>
    <row r="100" spans="1:35" s="56" customFormat="1" ht="14.25">
      <c r="A100" s="164"/>
      <c r="B100" s="164"/>
      <c r="C100" s="75"/>
      <c r="D100" s="173"/>
      <c r="E100" s="75"/>
      <c r="F100" s="75"/>
      <c r="G100" s="75"/>
      <c r="H100" s="75"/>
      <c r="I100" s="174"/>
      <c r="J100" s="175"/>
      <c r="K100" s="685"/>
      <c r="L100" s="669"/>
      <c r="M100" s="669"/>
      <c r="N100" s="669"/>
      <c r="O100" s="669"/>
      <c r="P100" s="669"/>
      <c r="Q100" s="669"/>
      <c r="R100" s="669"/>
      <c r="S100" s="669"/>
      <c r="T100" s="669"/>
      <c r="U100" s="669"/>
      <c r="V100" s="669"/>
      <c r="W100" s="669"/>
      <c r="X100" s="669"/>
      <c r="Y100" s="669"/>
      <c r="Z100" s="669"/>
      <c r="AA100" s="669"/>
      <c r="AB100" s="669"/>
      <c r="AC100" s="669"/>
      <c r="AD100" s="669"/>
      <c r="AE100" s="669"/>
    </row>
    <row r="101" spans="1:35" s="56" customFormat="1" ht="14.25">
      <c r="A101" s="164" t="s">
        <v>78</v>
      </c>
      <c r="B101" s="164"/>
      <c r="C101" s="75"/>
      <c r="D101" s="173"/>
      <c r="E101" s="75"/>
      <c r="F101" s="75"/>
      <c r="G101" s="75"/>
      <c r="H101" s="75"/>
      <c r="I101" s="174"/>
      <c r="J101" s="175"/>
      <c r="K101" s="685">
        <v>0</v>
      </c>
      <c r="L101" s="669">
        <f>SUM(L94,L99)</f>
        <v>321425</v>
      </c>
      <c r="M101" s="669">
        <f t="shared" ref="M101:AE101" si="38">SUM(M94,M99)</f>
        <v>558797</v>
      </c>
      <c r="N101" s="669">
        <f t="shared" si="38"/>
        <v>569983.14000000013</v>
      </c>
      <c r="O101" s="669">
        <f t="shared" si="38"/>
        <v>581382.80279999995</v>
      </c>
      <c r="P101" s="669">
        <f t="shared" si="38"/>
        <v>593010.45885599998</v>
      </c>
      <c r="Q101" s="669">
        <f t="shared" si="38"/>
        <v>633214.54682832002</v>
      </c>
      <c r="R101" s="669">
        <f t="shared" si="38"/>
        <v>641341.91897451843</v>
      </c>
      <c r="S101" s="669">
        <f t="shared" si="38"/>
        <v>654168.75735400873</v>
      </c>
      <c r="T101" s="669">
        <f t="shared" si="38"/>
        <v>667252.13250108901</v>
      </c>
      <c r="U101" s="669">
        <f t="shared" si="38"/>
        <v>680597.17515111074</v>
      </c>
      <c r="V101" s="669">
        <f t="shared" si="38"/>
        <v>698599.62144413579</v>
      </c>
      <c r="W101" s="669">
        <f t="shared" si="38"/>
        <v>708093.30102721567</v>
      </c>
      <c r="X101" s="669">
        <f t="shared" si="38"/>
        <v>722255.16704775998</v>
      </c>
      <c r="Y101" s="669">
        <f t="shared" si="38"/>
        <v>736700.2703887152</v>
      </c>
      <c r="Z101" s="669">
        <f t="shared" si="38"/>
        <v>751434.27579648956</v>
      </c>
      <c r="AA101" s="669">
        <f t="shared" si="38"/>
        <v>770790.02714325732</v>
      </c>
      <c r="AB101" s="669">
        <f t="shared" si="38"/>
        <v>781792.22053866787</v>
      </c>
      <c r="AC101" s="669">
        <f t="shared" si="38"/>
        <v>797428.06494944112</v>
      </c>
      <c r="AD101" s="669">
        <f t="shared" si="38"/>
        <v>813376.62624843</v>
      </c>
      <c r="AE101" s="669">
        <f t="shared" si="38"/>
        <v>829644.15877339861</v>
      </c>
    </row>
    <row r="102" spans="1:35">
      <c r="A102" s="47"/>
      <c r="B102" s="47"/>
      <c r="C102" s="78"/>
      <c r="D102" s="100"/>
      <c r="E102" s="78"/>
      <c r="F102" s="78"/>
      <c r="G102" s="78"/>
      <c r="H102" s="78"/>
      <c r="I102" s="52"/>
      <c r="J102" s="114"/>
      <c r="K102" s="683"/>
      <c r="L102" s="115"/>
      <c r="M102" s="115"/>
      <c r="N102" s="115"/>
      <c r="O102" s="115"/>
      <c r="P102" s="115"/>
      <c r="Q102" s="115"/>
      <c r="R102" s="115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</row>
    <row r="103" spans="1:35">
      <c r="A103" s="168" t="s">
        <v>25</v>
      </c>
      <c r="B103" s="168"/>
      <c r="C103" s="176"/>
      <c r="D103" s="177"/>
      <c r="E103" s="176"/>
      <c r="F103" s="176"/>
      <c r="G103" s="176"/>
      <c r="H103" s="176"/>
      <c r="I103" s="178"/>
      <c r="J103" s="179"/>
      <c r="K103" s="682"/>
      <c r="L103" s="319"/>
      <c r="M103" s="319"/>
      <c r="N103" s="319"/>
      <c r="O103" s="319"/>
      <c r="P103" s="319"/>
      <c r="Q103" s="319"/>
      <c r="R103" s="319"/>
      <c r="S103" s="319"/>
      <c r="T103" s="319"/>
      <c r="U103" s="319"/>
      <c r="V103" s="319"/>
      <c r="W103" s="319"/>
      <c r="X103" s="319"/>
      <c r="Y103" s="319"/>
      <c r="Z103" s="319"/>
      <c r="AA103" s="319"/>
      <c r="AB103" s="319"/>
      <c r="AC103" s="319"/>
      <c r="AD103" s="319"/>
      <c r="AE103" s="319"/>
    </row>
    <row r="104" spans="1:35" s="252" customFormat="1">
      <c r="A104" s="183"/>
      <c r="B104" s="183"/>
      <c r="C104" s="185"/>
      <c r="D104" s="186"/>
      <c r="E104" s="185"/>
      <c r="F104" s="185"/>
      <c r="G104" s="185"/>
      <c r="H104" s="185"/>
      <c r="I104" s="302"/>
      <c r="J104" s="188"/>
      <c r="K104" s="683"/>
      <c r="L104" s="320"/>
      <c r="M104" s="320"/>
      <c r="N104" s="320"/>
      <c r="O104" s="320"/>
      <c r="P104" s="320"/>
      <c r="Q104" s="320"/>
      <c r="R104" s="320"/>
      <c r="S104" s="320"/>
      <c r="T104" s="320"/>
      <c r="U104" s="320"/>
      <c r="V104" s="320"/>
      <c r="W104" s="320"/>
      <c r="X104" s="320"/>
      <c r="Y104" s="320"/>
      <c r="Z104" s="320"/>
      <c r="AA104" s="320"/>
      <c r="AB104" s="320"/>
      <c r="AC104" s="320"/>
      <c r="AD104" s="320"/>
      <c r="AE104" s="320"/>
    </row>
    <row r="105" spans="1:35">
      <c r="A105" s="37" t="s">
        <v>425</v>
      </c>
      <c r="B105" s="37"/>
      <c r="C105" s="57"/>
      <c r="E105" s="57"/>
      <c r="F105" s="57"/>
      <c r="G105" s="57"/>
      <c r="H105" s="998"/>
      <c r="I105" s="51" t="s">
        <v>532</v>
      </c>
      <c r="J105" s="624">
        <f>((10800/6)*7)+((11000/6)*7)</f>
        <v>25433.333333333332</v>
      </c>
      <c r="K105" s="683">
        <v>0</v>
      </c>
      <c r="L105" s="671">
        <f>J105</f>
        <v>25433.333333333332</v>
      </c>
      <c r="M105" s="671">
        <f>$L$105*L11</f>
        <v>25942</v>
      </c>
      <c r="N105" s="671">
        <f t="shared" ref="N105:AE105" si="39">$L$105*M11</f>
        <v>26460.84</v>
      </c>
      <c r="O105" s="671">
        <f t="shared" si="39"/>
        <v>26990.056799999998</v>
      </c>
      <c r="P105" s="671">
        <f t="shared" si="39"/>
        <v>27529.857935999997</v>
      </c>
      <c r="Q105" s="671">
        <f t="shared" si="39"/>
        <v>28080.45509472</v>
      </c>
      <c r="R105" s="671">
        <f t="shared" si="39"/>
        <v>28642.064196614399</v>
      </c>
      <c r="S105" s="671">
        <f t="shared" si="39"/>
        <v>29214.905480546688</v>
      </c>
      <c r="T105" s="671">
        <f t="shared" si="39"/>
        <v>29799.203590157624</v>
      </c>
      <c r="U105" s="671">
        <f t="shared" si="39"/>
        <v>30395.187661960776</v>
      </c>
      <c r="V105" s="671">
        <f t="shared" si="39"/>
        <v>31003.091415199993</v>
      </c>
      <c r="W105" s="671">
        <f t="shared" si="39"/>
        <v>31623.153243503992</v>
      </c>
      <c r="X105" s="671">
        <f t="shared" si="39"/>
        <v>32255.616308374072</v>
      </c>
      <c r="Y105" s="671">
        <f t="shared" si="39"/>
        <v>32900.728634541549</v>
      </c>
      <c r="Z105" s="671">
        <f t="shared" si="39"/>
        <v>33558.743207232386</v>
      </c>
      <c r="AA105" s="671">
        <f t="shared" si="39"/>
        <v>34229.918071377033</v>
      </c>
      <c r="AB105" s="671">
        <f t="shared" si="39"/>
        <v>34914.516432804579</v>
      </c>
      <c r="AC105" s="671">
        <f t="shared" si="39"/>
        <v>35612.80676146067</v>
      </c>
      <c r="AD105" s="671">
        <f t="shared" si="39"/>
        <v>36325.062896689888</v>
      </c>
      <c r="AE105" s="671">
        <f t="shared" si="39"/>
        <v>37051.56415462368</v>
      </c>
    </row>
    <row r="106" spans="1:35">
      <c r="A106" s="37" t="s">
        <v>16</v>
      </c>
      <c r="B106" s="37"/>
      <c r="C106" s="57"/>
      <c r="E106" s="57"/>
      <c r="F106" s="57"/>
      <c r="G106" s="57"/>
      <c r="H106" s="998"/>
      <c r="I106" s="51" t="s">
        <v>17</v>
      </c>
      <c r="J106" s="624">
        <f>1250</f>
        <v>1250</v>
      </c>
      <c r="K106" s="683">
        <v>0</v>
      </c>
      <c r="L106" s="671">
        <f>J106*7</f>
        <v>8750</v>
      </c>
      <c r="M106" s="671">
        <f>$L$106*L11</f>
        <v>8925</v>
      </c>
      <c r="N106" s="671">
        <f t="shared" ref="N106:AE106" si="40">$L$106*M11</f>
        <v>9103.5</v>
      </c>
      <c r="O106" s="671">
        <f t="shared" si="40"/>
        <v>9285.57</v>
      </c>
      <c r="P106" s="671">
        <f t="shared" si="40"/>
        <v>9471.2813999999998</v>
      </c>
      <c r="Q106" s="671">
        <f t="shared" si="40"/>
        <v>9660.7070280000007</v>
      </c>
      <c r="R106" s="671">
        <f t="shared" si="40"/>
        <v>9853.9211685600003</v>
      </c>
      <c r="S106" s="671">
        <f t="shared" si="40"/>
        <v>10050.9995919312</v>
      </c>
      <c r="T106" s="671">
        <f t="shared" si="40"/>
        <v>10252.019583769825</v>
      </c>
      <c r="U106" s="671">
        <f t="shared" si="40"/>
        <v>10457.059975445221</v>
      </c>
      <c r="V106" s="671">
        <f t="shared" si="40"/>
        <v>10666.201174954127</v>
      </c>
      <c r="W106" s="671">
        <f t="shared" si="40"/>
        <v>10879.52519845321</v>
      </c>
      <c r="X106" s="671">
        <f t="shared" si="40"/>
        <v>11097.115702422274</v>
      </c>
      <c r="Y106" s="671">
        <f t="shared" si="40"/>
        <v>11319.058016470717</v>
      </c>
      <c r="Z106" s="671">
        <f t="shared" si="40"/>
        <v>11545.439176800133</v>
      </c>
      <c r="AA106" s="671">
        <f t="shared" si="40"/>
        <v>11776.347960336136</v>
      </c>
      <c r="AB106" s="671">
        <f t="shared" si="40"/>
        <v>12011.874919542859</v>
      </c>
      <c r="AC106" s="671">
        <f t="shared" si="40"/>
        <v>12252.112417933717</v>
      </c>
      <c r="AD106" s="671">
        <f t="shared" si="40"/>
        <v>12497.154666292392</v>
      </c>
      <c r="AE106" s="671">
        <f t="shared" si="40"/>
        <v>12747.09775961824</v>
      </c>
    </row>
    <row r="107" spans="1:35" s="702" customFormat="1">
      <c r="A107" s="701" t="s">
        <v>53</v>
      </c>
      <c r="B107" s="701"/>
      <c r="C107" s="705"/>
      <c r="D107" s="984"/>
      <c r="E107" s="705"/>
      <c r="F107" s="705"/>
      <c r="G107" s="705"/>
      <c r="H107" s="985"/>
      <c r="I107" s="706" t="s">
        <v>17</v>
      </c>
      <c r="J107" s="986">
        <v>0</v>
      </c>
      <c r="K107" s="987">
        <v>0</v>
      </c>
      <c r="L107" s="988">
        <f t="shared" ref="L107:L108" si="41">J107*12</f>
        <v>0</v>
      </c>
      <c r="M107" s="988">
        <f t="shared" ref="M107:AB108" si="42">L107*1.03</f>
        <v>0</v>
      </c>
      <c r="N107" s="988">
        <f t="shared" si="42"/>
        <v>0</v>
      </c>
      <c r="O107" s="988">
        <f t="shared" si="42"/>
        <v>0</v>
      </c>
      <c r="P107" s="988">
        <f t="shared" si="42"/>
        <v>0</v>
      </c>
      <c r="Q107" s="988">
        <f t="shared" si="42"/>
        <v>0</v>
      </c>
      <c r="R107" s="988">
        <f t="shared" si="42"/>
        <v>0</v>
      </c>
      <c r="S107" s="988">
        <f t="shared" si="42"/>
        <v>0</v>
      </c>
      <c r="T107" s="988">
        <f t="shared" si="42"/>
        <v>0</v>
      </c>
      <c r="U107" s="988">
        <f t="shared" si="42"/>
        <v>0</v>
      </c>
      <c r="V107" s="988">
        <f t="shared" si="42"/>
        <v>0</v>
      </c>
      <c r="W107" s="988">
        <f t="shared" si="42"/>
        <v>0</v>
      </c>
      <c r="X107" s="988">
        <f t="shared" si="42"/>
        <v>0</v>
      </c>
      <c r="Y107" s="988">
        <f t="shared" si="42"/>
        <v>0</v>
      </c>
      <c r="Z107" s="988">
        <f t="shared" si="42"/>
        <v>0</v>
      </c>
      <c r="AA107" s="988">
        <f t="shared" si="42"/>
        <v>0</v>
      </c>
      <c r="AB107" s="988">
        <f t="shared" si="42"/>
        <v>0</v>
      </c>
      <c r="AC107" s="988">
        <f t="shared" ref="AC107:AE108" si="43">AB107*1.03</f>
        <v>0</v>
      </c>
      <c r="AD107" s="988">
        <f t="shared" si="43"/>
        <v>0</v>
      </c>
      <c r="AE107" s="988">
        <f t="shared" si="43"/>
        <v>0</v>
      </c>
    </row>
    <row r="108" spans="1:35" s="702" customFormat="1">
      <c r="A108" s="989" t="s">
        <v>54</v>
      </c>
      <c r="B108" s="990"/>
      <c r="C108" s="991"/>
      <c r="D108" s="992"/>
      <c r="E108" s="991"/>
      <c r="F108" s="991"/>
      <c r="G108" s="991"/>
      <c r="H108" s="993"/>
      <c r="I108" s="994" t="s">
        <v>17</v>
      </c>
      <c r="J108" s="995">
        <v>0</v>
      </c>
      <c r="K108" s="996">
        <v>0</v>
      </c>
      <c r="L108" s="997">
        <f t="shared" si="41"/>
        <v>0</v>
      </c>
      <c r="M108" s="997">
        <f t="shared" si="42"/>
        <v>0</v>
      </c>
      <c r="N108" s="997">
        <f t="shared" si="42"/>
        <v>0</v>
      </c>
      <c r="O108" s="997">
        <f t="shared" si="42"/>
        <v>0</v>
      </c>
      <c r="P108" s="997">
        <f t="shared" si="42"/>
        <v>0</v>
      </c>
      <c r="Q108" s="997">
        <f t="shared" si="42"/>
        <v>0</v>
      </c>
      <c r="R108" s="997">
        <f t="shared" si="42"/>
        <v>0</v>
      </c>
      <c r="S108" s="997">
        <f t="shared" si="42"/>
        <v>0</v>
      </c>
      <c r="T108" s="997">
        <f t="shared" si="42"/>
        <v>0</v>
      </c>
      <c r="U108" s="997">
        <f t="shared" si="42"/>
        <v>0</v>
      </c>
      <c r="V108" s="997">
        <f t="shared" si="42"/>
        <v>0</v>
      </c>
      <c r="W108" s="997">
        <f t="shared" si="42"/>
        <v>0</v>
      </c>
      <c r="X108" s="997">
        <f t="shared" si="42"/>
        <v>0</v>
      </c>
      <c r="Y108" s="997">
        <f t="shared" si="42"/>
        <v>0</v>
      </c>
      <c r="Z108" s="997">
        <f t="shared" si="42"/>
        <v>0</v>
      </c>
      <c r="AA108" s="997">
        <f t="shared" si="42"/>
        <v>0</v>
      </c>
      <c r="AB108" s="997">
        <f t="shared" si="42"/>
        <v>0</v>
      </c>
      <c r="AC108" s="997">
        <f t="shared" si="43"/>
        <v>0</v>
      </c>
      <c r="AD108" s="997">
        <f t="shared" si="43"/>
        <v>0</v>
      </c>
      <c r="AE108" s="997">
        <f t="shared" si="43"/>
        <v>0</v>
      </c>
    </row>
    <row r="109" spans="1:35" s="56" customFormat="1" ht="14.25">
      <c r="A109" s="56" t="s">
        <v>55</v>
      </c>
      <c r="B109" s="164"/>
      <c r="C109" s="75"/>
      <c r="D109" s="173"/>
      <c r="E109" s="75"/>
      <c r="F109" s="75"/>
      <c r="G109" s="75"/>
      <c r="H109" s="75"/>
      <c r="I109" s="999"/>
      <c r="J109" s="1000"/>
      <c r="K109" s="685">
        <v>0</v>
      </c>
      <c r="L109" s="1001">
        <f>SUM(L105:L108)</f>
        <v>34183.333333333328</v>
      </c>
      <c r="M109" s="1001">
        <f t="shared" ref="M109:AE109" si="44">SUM(M105:M108)</f>
        <v>34867</v>
      </c>
      <c r="N109" s="1001">
        <f t="shared" si="44"/>
        <v>35564.339999999997</v>
      </c>
      <c r="O109" s="1001">
        <f t="shared" si="44"/>
        <v>36275.626799999998</v>
      </c>
      <c r="P109" s="1001">
        <f t="shared" si="44"/>
        <v>37001.139335999993</v>
      </c>
      <c r="Q109" s="1001">
        <f t="shared" si="44"/>
        <v>37741.162122720001</v>
      </c>
      <c r="R109" s="1001">
        <f t="shared" si="44"/>
        <v>38495.985365174398</v>
      </c>
      <c r="S109" s="1001">
        <f t="shared" si="44"/>
        <v>39265.905072477886</v>
      </c>
      <c r="T109" s="1001">
        <f t="shared" si="44"/>
        <v>40051.22317392745</v>
      </c>
      <c r="U109" s="1001">
        <f t="shared" si="44"/>
        <v>40852.247637405999</v>
      </c>
      <c r="V109" s="1001">
        <f t="shared" si="44"/>
        <v>41669.292590154117</v>
      </c>
      <c r="W109" s="1001">
        <f t="shared" si="44"/>
        <v>42502.6784419572</v>
      </c>
      <c r="X109" s="1001">
        <f t="shared" si="44"/>
        <v>43352.732010796346</v>
      </c>
      <c r="Y109" s="1001">
        <f t="shared" si="44"/>
        <v>44219.786651012269</v>
      </c>
      <c r="Z109" s="1001">
        <f t="shared" si="44"/>
        <v>45104.182384032523</v>
      </c>
      <c r="AA109" s="1001">
        <f t="shared" si="44"/>
        <v>46006.266031713167</v>
      </c>
      <c r="AB109" s="1001">
        <f t="shared" si="44"/>
        <v>46926.39135234744</v>
      </c>
      <c r="AC109" s="1001">
        <f t="shared" si="44"/>
        <v>47864.91917939439</v>
      </c>
      <c r="AD109" s="1001">
        <f t="shared" si="44"/>
        <v>48822.217562982281</v>
      </c>
      <c r="AE109" s="1001">
        <f t="shared" si="44"/>
        <v>49798.661914241922</v>
      </c>
    </row>
    <row r="110" spans="1:35">
      <c r="A110" s="56"/>
      <c r="B110" s="37"/>
      <c r="C110" s="57"/>
      <c r="E110" s="57"/>
      <c r="F110" s="57"/>
      <c r="G110" s="57"/>
      <c r="H110" s="57"/>
      <c r="I110" s="51"/>
      <c r="J110" s="624"/>
      <c r="K110" s="683"/>
      <c r="L110" s="666"/>
      <c r="M110" s="666"/>
      <c r="N110" s="666"/>
      <c r="O110" s="666"/>
      <c r="P110" s="666"/>
      <c r="Q110" s="666"/>
      <c r="R110" s="666"/>
      <c r="S110" s="666"/>
      <c r="T110" s="666"/>
      <c r="U110" s="666"/>
      <c r="V110" s="666"/>
      <c r="W110" s="666"/>
      <c r="X110" s="666"/>
      <c r="Y110" s="666"/>
      <c r="Z110" s="666"/>
      <c r="AA110" s="666"/>
      <c r="AB110" s="666"/>
      <c r="AC110" s="666"/>
      <c r="AD110" s="666"/>
      <c r="AE110" s="666"/>
    </row>
    <row r="111" spans="1:35">
      <c r="A111" s="47" t="s">
        <v>7</v>
      </c>
      <c r="B111" s="47" t="s">
        <v>7</v>
      </c>
      <c r="C111" s="78" t="s">
        <v>7</v>
      </c>
      <c r="D111" s="100"/>
      <c r="E111" s="78" t="s">
        <v>7</v>
      </c>
      <c r="F111" s="78"/>
      <c r="G111" s="78" t="s">
        <v>7</v>
      </c>
      <c r="H111" s="78"/>
      <c r="I111" s="52" t="s">
        <v>7</v>
      </c>
      <c r="J111" s="672"/>
      <c r="K111" s="673"/>
      <c r="L111" s="672"/>
      <c r="M111" s="672"/>
      <c r="N111" s="672"/>
      <c r="O111" s="672"/>
      <c r="P111" s="672"/>
      <c r="Q111" s="672"/>
      <c r="R111" s="672"/>
      <c r="S111" s="672"/>
      <c r="T111" s="672"/>
      <c r="U111" s="672"/>
      <c r="V111" s="672"/>
      <c r="W111" s="672"/>
      <c r="X111" s="672"/>
      <c r="Y111" s="672"/>
      <c r="Z111" s="672"/>
      <c r="AA111" s="672"/>
      <c r="AB111" s="672"/>
      <c r="AC111" s="672"/>
      <c r="AD111" s="672"/>
      <c r="AE111" s="672"/>
    </row>
    <row r="112" spans="1:35">
      <c r="A112" s="47"/>
      <c r="B112" s="47"/>
      <c r="C112" s="78"/>
      <c r="D112" s="100"/>
      <c r="E112" s="78"/>
      <c r="F112" s="78"/>
      <c r="G112" s="78"/>
      <c r="H112" s="78"/>
      <c r="I112" s="52"/>
      <c r="J112" s="672"/>
      <c r="K112" s="683"/>
      <c r="L112" s="666"/>
      <c r="M112" s="666"/>
      <c r="N112" s="666"/>
      <c r="O112" s="666"/>
      <c r="P112" s="666"/>
      <c r="Q112" s="666"/>
      <c r="R112" s="666"/>
      <c r="S112" s="666"/>
      <c r="T112" s="666"/>
      <c r="U112" s="666"/>
      <c r="V112" s="666"/>
      <c r="W112" s="666"/>
      <c r="X112" s="666"/>
      <c r="Y112" s="666"/>
      <c r="Z112" s="666"/>
      <c r="AA112" s="666"/>
      <c r="AB112" s="666"/>
      <c r="AC112" s="666"/>
      <c r="AD112" s="666"/>
      <c r="AE112" s="666"/>
    </row>
    <row r="113" spans="1:33" s="56" customFormat="1" ht="14.25">
      <c r="A113" s="203" t="s">
        <v>303</v>
      </c>
      <c r="B113" s="203"/>
      <c r="C113" s="204"/>
      <c r="D113" s="205"/>
      <c r="E113" s="204"/>
      <c r="F113" s="204"/>
      <c r="G113" s="204"/>
      <c r="H113" s="204"/>
      <c r="I113" s="206"/>
      <c r="J113" s="674"/>
      <c r="K113" s="676">
        <f>SUM(K80,K101,K109)</f>
        <v>0</v>
      </c>
      <c r="L113" s="676">
        <f>SUM(L80,L101,L109)</f>
        <v>367858.33333333331</v>
      </c>
      <c r="M113" s="676">
        <f t="shared" ref="M113:AE113" si="45">SUM(M80,M101,M109)</f>
        <v>765164</v>
      </c>
      <c r="N113" s="676">
        <f t="shared" si="45"/>
        <v>780477.4800000001</v>
      </c>
      <c r="O113" s="676">
        <f t="shared" si="45"/>
        <v>796087.02959999989</v>
      </c>
      <c r="P113" s="676">
        <f t="shared" si="45"/>
        <v>812008.77019199985</v>
      </c>
      <c r="Q113" s="676">
        <f t="shared" si="45"/>
        <v>856592.82439104002</v>
      </c>
      <c r="R113" s="676">
        <f t="shared" si="45"/>
        <v>869187.76208849275</v>
      </c>
      <c r="S113" s="676">
        <f t="shared" si="45"/>
        <v>886571.51733026258</v>
      </c>
      <c r="T113" s="676">
        <f t="shared" si="45"/>
        <v>904302.94767686795</v>
      </c>
      <c r="U113" s="676">
        <f t="shared" si="45"/>
        <v>922389.00663040532</v>
      </c>
      <c r="V113" s="676">
        <f t="shared" si="45"/>
        <v>945227.28955301619</v>
      </c>
      <c r="W113" s="676">
        <f t="shared" si="45"/>
        <v>959653.52249827376</v>
      </c>
      <c r="X113" s="676">
        <f t="shared" si="45"/>
        <v>978846.59294823918</v>
      </c>
      <c r="Y113" s="676">
        <f t="shared" si="45"/>
        <v>998423.52480720403</v>
      </c>
      <c r="Z113" s="676">
        <f t="shared" si="45"/>
        <v>1018391.9953033482</v>
      </c>
      <c r="AA113" s="676">
        <f t="shared" si="45"/>
        <v>1043086.9010402532</v>
      </c>
      <c r="AB113" s="676">
        <f t="shared" si="45"/>
        <v>1059535.0319136034</v>
      </c>
      <c r="AC113" s="676">
        <f t="shared" si="45"/>
        <v>1080725.7325518755</v>
      </c>
      <c r="AD113" s="676">
        <f t="shared" si="45"/>
        <v>1102340.2472029133</v>
      </c>
      <c r="AE113" s="676">
        <f t="shared" si="45"/>
        <v>1124387.0521469715</v>
      </c>
      <c r="AG113" s="199"/>
    </row>
    <row r="114" spans="1:33">
      <c r="A114" s="37"/>
      <c r="B114" s="37"/>
      <c r="C114" s="57"/>
      <c r="E114" s="110"/>
      <c r="F114" s="110"/>
      <c r="G114" s="57"/>
      <c r="H114" s="57"/>
      <c r="I114" s="43"/>
      <c r="J114" s="44"/>
      <c r="K114" s="683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5"/>
      <c r="Z114" s="115"/>
      <c r="AA114" s="115"/>
      <c r="AB114" s="115"/>
      <c r="AC114" s="115"/>
      <c r="AD114" s="115"/>
      <c r="AE114" s="115"/>
      <c r="AG114" s="199"/>
    </row>
    <row r="115" spans="1:33">
      <c r="A115" s="47" t="s">
        <v>7</v>
      </c>
      <c r="B115" s="47" t="s">
        <v>7</v>
      </c>
      <c r="C115" s="78" t="s">
        <v>7</v>
      </c>
      <c r="D115" s="100"/>
      <c r="E115" s="78" t="s">
        <v>7</v>
      </c>
      <c r="F115" s="78"/>
      <c r="G115" s="78" t="s">
        <v>7</v>
      </c>
      <c r="H115" s="78"/>
      <c r="I115" s="52" t="s">
        <v>7</v>
      </c>
      <c r="J115" s="114"/>
      <c r="K115" s="673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G115" s="199"/>
    </row>
    <row r="116" spans="1:33">
      <c r="A116" s="47"/>
      <c r="B116" s="47"/>
      <c r="C116" s="78"/>
      <c r="D116" s="100"/>
      <c r="E116" s="78"/>
      <c r="F116" s="78"/>
      <c r="G116" s="78"/>
      <c r="H116" s="78"/>
      <c r="I116" s="52"/>
      <c r="J116" s="114"/>
      <c r="K116" s="683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5"/>
      <c r="Z116" s="115"/>
      <c r="AA116" s="115"/>
      <c r="AB116" s="115"/>
      <c r="AC116" s="115"/>
      <c r="AD116" s="115"/>
      <c r="AE116" s="115"/>
      <c r="AG116" s="199"/>
    </row>
    <row r="117" spans="1:33">
      <c r="A117" s="168" t="s">
        <v>71</v>
      </c>
      <c r="B117" s="171"/>
      <c r="C117" s="176"/>
      <c r="D117" s="177"/>
      <c r="E117" s="176"/>
      <c r="F117" s="176"/>
      <c r="G117" s="176"/>
      <c r="H117" s="176"/>
      <c r="I117" s="182"/>
      <c r="J117" s="179"/>
      <c r="K117" s="682"/>
      <c r="L117" s="319"/>
      <c r="M117" s="319"/>
      <c r="N117" s="319"/>
      <c r="O117" s="319"/>
      <c r="P117" s="319"/>
      <c r="Q117" s="319"/>
      <c r="R117" s="319"/>
      <c r="S117" s="319"/>
      <c r="T117" s="319"/>
      <c r="U117" s="319"/>
      <c r="V117" s="319"/>
      <c r="W117" s="319"/>
      <c r="X117" s="319"/>
      <c r="Y117" s="319"/>
      <c r="Z117" s="319"/>
      <c r="AA117" s="319"/>
      <c r="AB117" s="319"/>
      <c r="AC117" s="319"/>
      <c r="AD117" s="319"/>
      <c r="AE117" s="319"/>
      <c r="AG117" s="199"/>
    </row>
    <row r="118" spans="1:33" s="252" customFormat="1">
      <c r="A118" s="183"/>
      <c r="B118" s="184"/>
      <c r="C118" s="185"/>
      <c r="D118" s="186"/>
      <c r="E118" s="185"/>
      <c r="F118" s="185"/>
      <c r="G118" s="185"/>
      <c r="H118" s="185"/>
      <c r="I118" s="187"/>
      <c r="J118" s="188"/>
      <c r="K118" s="683"/>
      <c r="L118" s="320"/>
      <c r="M118" s="320"/>
      <c r="N118" s="320"/>
      <c r="O118" s="320"/>
      <c r="P118" s="320"/>
      <c r="Q118" s="320"/>
      <c r="R118" s="320"/>
      <c r="S118" s="320"/>
      <c r="T118" s="320"/>
      <c r="U118" s="320"/>
      <c r="V118" s="320"/>
      <c r="W118" s="320"/>
      <c r="X118" s="320"/>
      <c r="Y118" s="320"/>
      <c r="Z118" s="320"/>
      <c r="AA118" s="320"/>
      <c r="AB118" s="320"/>
      <c r="AC118" s="320"/>
      <c r="AD118" s="320"/>
      <c r="AE118" s="320"/>
      <c r="AG118" s="363"/>
    </row>
    <row r="119" spans="1:33">
      <c r="A119" s="39" t="s">
        <v>0</v>
      </c>
      <c r="B119" s="39"/>
      <c r="C119" s="102"/>
      <c r="D119" s="103"/>
      <c r="E119" s="104"/>
      <c r="F119" s="104"/>
      <c r="G119" s="104"/>
      <c r="H119" s="104"/>
      <c r="I119" s="39"/>
      <c r="J119" s="104"/>
      <c r="K119" s="688"/>
      <c r="L119" s="335"/>
      <c r="M119" s="335"/>
      <c r="N119" s="335"/>
      <c r="O119" s="335"/>
      <c r="P119" s="335"/>
      <c r="Q119" s="335"/>
      <c r="R119" s="335"/>
      <c r="S119" s="335"/>
      <c r="T119" s="335"/>
      <c r="U119" s="335"/>
      <c r="V119" s="335"/>
      <c r="W119" s="335"/>
      <c r="X119" s="335"/>
      <c r="Y119" s="335"/>
      <c r="Z119" s="335"/>
      <c r="AA119" s="335"/>
      <c r="AB119" s="335"/>
      <c r="AC119" s="335"/>
      <c r="AD119" s="335"/>
      <c r="AE119" s="335"/>
    </row>
    <row r="120" spans="1:33">
      <c r="A120" s="41" t="s">
        <v>13</v>
      </c>
      <c r="B120" s="41"/>
      <c r="C120" s="105"/>
      <c r="D120" s="106"/>
      <c r="E120" s="37"/>
      <c r="F120" s="37"/>
      <c r="G120" s="37"/>
      <c r="H120" s="37"/>
      <c r="I120" s="41"/>
      <c r="J120" s="37"/>
      <c r="K120" s="683"/>
      <c r="L120" s="200"/>
      <c r="M120" s="200"/>
      <c r="N120" s="200"/>
      <c r="O120" s="200"/>
      <c r="P120" s="200"/>
      <c r="Q120" s="200"/>
      <c r="R120" s="200"/>
      <c r="S120" s="200"/>
      <c r="T120" s="200"/>
      <c r="U120" s="201"/>
      <c r="V120" s="323"/>
      <c r="W120" s="200"/>
      <c r="X120" s="200"/>
      <c r="Y120" s="200"/>
      <c r="Z120" s="200"/>
      <c r="AA120" s="200"/>
      <c r="AB120" s="200"/>
      <c r="AC120" s="200"/>
      <c r="AD120" s="200"/>
      <c r="AE120" s="201"/>
    </row>
    <row r="121" spans="1:33">
      <c r="A121" s="96" t="s">
        <v>56</v>
      </c>
      <c r="B121" s="735" t="s">
        <v>12</v>
      </c>
      <c r="C121" s="663">
        <v>55000</v>
      </c>
      <c r="D121" s="736">
        <f>C121/2080</f>
        <v>26.442307692307693</v>
      </c>
      <c r="E121" s="663">
        <v>0</v>
      </c>
      <c r="F121" s="663">
        <f>C121*$F$13</f>
        <v>22000</v>
      </c>
      <c r="G121" s="663">
        <f>SUM(C121,E121:F121)</f>
        <v>77000</v>
      </c>
      <c r="H121" s="736">
        <f>G121/2080*8</f>
        <v>296.15384615384613</v>
      </c>
      <c r="I121" s="736"/>
      <c r="J121" s="663"/>
      <c r="K121" s="683">
        <v>0</v>
      </c>
      <c r="L121" s="665">
        <v>0</v>
      </c>
      <c r="M121" s="665">
        <f>$H$121*M32*0.25</f>
        <v>15844.230769230768</v>
      </c>
      <c r="N121" s="665">
        <f t="shared" ref="N121:AE121" si="46">$M$121*M11</f>
        <v>16484.33769230769</v>
      </c>
      <c r="O121" s="665">
        <f t="shared" si="46"/>
        <v>16814.024446153842</v>
      </c>
      <c r="P121" s="665">
        <f t="shared" si="46"/>
        <v>17150.304935076922</v>
      </c>
      <c r="Q121" s="665">
        <f t="shared" si="46"/>
        <v>17493.31103377846</v>
      </c>
      <c r="R121" s="665">
        <f t="shared" si="46"/>
        <v>17843.177254454029</v>
      </c>
      <c r="S121" s="665">
        <f t="shared" si="46"/>
        <v>18200.040799543109</v>
      </c>
      <c r="T121" s="665">
        <f t="shared" si="46"/>
        <v>18564.041615533974</v>
      </c>
      <c r="U121" s="665">
        <f t="shared" si="46"/>
        <v>18935.322447844654</v>
      </c>
      <c r="V121" s="665">
        <f t="shared" si="46"/>
        <v>19314.028896801548</v>
      </c>
      <c r="W121" s="665">
        <f t="shared" si="46"/>
        <v>19700.30947473758</v>
      </c>
      <c r="X121" s="665">
        <f t="shared" si="46"/>
        <v>20094.31566423233</v>
      </c>
      <c r="Y121" s="665">
        <f t="shared" si="46"/>
        <v>20496.201977516976</v>
      </c>
      <c r="Z121" s="665">
        <f t="shared" si="46"/>
        <v>20906.126017067316</v>
      </c>
      <c r="AA121" s="665">
        <f t="shared" si="46"/>
        <v>21324.248537408665</v>
      </c>
      <c r="AB121" s="665">
        <f t="shared" si="46"/>
        <v>21750.733508156838</v>
      </c>
      <c r="AC121" s="665">
        <f t="shared" si="46"/>
        <v>22185.748178319976</v>
      </c>
      <c r="AD121" s="665">
        <f t="shared" si="46"/>
        <v>22629.463141886376</v>
      </c>
      <c r="AE121" s="665">
        <f t="shared" si="46"/>
        <v>23082.052404724102</v>
      </c>
    </row>
    <row r="122" spans="1:33">
      <c r="A122" s="96" t="s">
        <v>57</v>
      </c>
      <c r="B122" s="735" t="s">
        <v>15</v>
      </c>
      <c r="C122" s="663">
        <v>15000</v>
      </c>
      <c r="D122" s="736">
        <f>C122/2080</f>
        <v>7.2115384615384617</v>
      </c>
      <c r="E122" s="663">
        <f>C122*E12</f>
        <v>3000</v>
      </c>
      <c r="F122" s="663">
        <f t="shared" ref="F122:F123" si="47">C122*$F$13</f>
        <v>6000</v>
      </c>
      <c r="G122" s="663">
        <f t="shared" ref="G122:G123" si="48">SUM(C122,E122:F122)</f>
        <v>24000</v>
      </c>
      <c r="H122" s="736">
        <f>G122/2080*12</f>
        <v>138.46153846153845</v>
      </c>
      <c r="I122" s="736"/>
      <c r="J122" s="663"/>
      <c r="K122" s="683">
        <v>0</v>
      </c>
      <c r="L122" s="665">
        <v>0</v>
      </c>
      <c r="M122" s="665">
        <f>$H$122*M32*0.5</f>
        <v>14815.384615384615</v>
      </c>
      <c r="N122" s="665">
        <f t="shared" ref="N122:AE122" si="49">$M$122*M11</f>
        <v>15413.926153846154</v>
      </c>
      <c r="O122" s="665">
        <f t="shared" si="49"/>
        <v>15722.204676923076</v>
      </c>
      <c r="P122" s="665">
        <f t="shared" si="49"/>
        <v>16036.648770461537</v>
      </c>
      <c r="Q122" s="665">
        <f t="shared" si="49"/>
        <v>16357.381745870769</v>
      </c>
      <c r="R122" s="665">
        <f t="shared" si="49"/>
        <v>16684.529380788186</v>
      </c>
      <c r="S122" s="665">
        <f t="shared" si="49"/>
        <v>17018.219968403948</v>
      </c>
      <c r="T122" s="665">
        <f t="shared" si="49"/>
        <v>17358.58436777203</v>
      </c>
      <c r="U122" s="665">
        <f t="shared" si="49"/>
        <v>17705.756055127469</v>
      </c>
      <c r="V122" s="665">
        <f t="shared" si="49"/>
        <v>18059.871176230019</v>
      </c>
      <c r="W122" s="665">
        <f t="shared" si="49"/>
        <v>18421.068599754621</v>
      </c>
      <c r="X122" s="665">
        <f t="shared" si="49"/>
        <v>18789.489971749714</v>
      </c>
      <c r="Y122" s="665">
        <f t="shared" si="49"/>
        <v>19165.279771184705</v>
      </c>
      <c r="Z122" s="665">
        <f t="shared" si="49"/>
        <v>19548.5853666084</v>
      </c>
      <c r="AA122" s="665">
        <f t="shared" si="49"/>
        <v>19939.55707394057</v>
      </c>
      <c r="AB122" s="665">
        <f t="shared" si="49"/>
        <v>20338.348215419381</v>
      </c>
      <c r="AC122" s="665">
        <f t="shared" si="49"/>
        <v>20745.115179727771</v>
      </c>
      <c r="AD122" s="665">
        <f t="shared" si="49"/>
        <v>21160.017483322328</v>
      </c>
      <c r="AE122" s="665">
        <f t="shared" si="49"/>
        <v>21583.217832988772</v>
      </c>
    </row>
    <row r="123" spans="1:33">
      <c r="A123" s="737" t="s">
        <v>57</v>
      </c>
      <c r="B123" s="738" t="s">
        <v>15</v>
      </c>
      <c r="C123" s="739">
        <v>15000</v>
      </c>
      <c r="D123" s="740">
        <f>C123/2080</f>
        <v>7.2115384615384617</v>
      </c>
      <c r="E123" s="739">
        <f>C123*$E$12</f>
        <v>3000</v>
      </c>
      <c r="F123" s="739">
        <f t="shared" si="47"/>
        <v>6000</v>
      </c>
      <c r="G123" s="739">
        <f t="shared" si="48"/>
        <v>24000</v>
      </c>
      <c r="H123" s="740">
        <f t="shared" ref="H123" si="50">G123/2080*12</f>
        <v>138.46153846153845</v>
      </c>
      <c r="I123" s="740"/>
      <c r="J123" s="739"/>
      <c r="K123" s="741">
        <v>0</v>
      </c>
      <c r="L123" s="742">
        <v>0</v>
      </c>
      <c r="M123" s="742">
        <f>$H$123*M32*0.5</f>
        <v>14815.384615384615</v>
      </c>
      <c r="N123" s="742">
        <f t="shared" ref="N123:AE123" si="51">$M$123*M11</f>
        <v>15413.926153846154</v>
      </c>
      <c r="O123" s="742">
        <f t="shared" si="51"/>
        <v>15722.204676923076</v>
      </c>
      <c r="P123" s="742">
        <f t="shared" si="51"/>
        <v>16036.648770461537</v>
      </c>
      <c r="Q123" s="742">
        <f t="shared" si="51"/>
        <v>16357.381745870769</v>
      </c>
      <c r="R123" s="742">
        <f t="shared" si="51"/>
        <v>16684.529380788186</v>
      </c>
      <c r="S123" s="742">
        <f t="shared" si="51"/>
        <v>17018.219968403948</v>
      </c>
      <c r="T123" s="742">
        <f t="shared" si="51"/>
        <v>17358.58436777203</v>
      </c>
      <c r="U123" s="742">
        <f t="shared" si="51"/>
        <v>17705.756055127469</v>
      </c>
      <c r="V123" s="742">
        <f t="shared" si="51"/>
        <v>18059.871176230019</v>
      </c>
      <c r="W123" s="742">
        <f t="shared" si="51"/>
        <v>18421.068599754621</v>
      </c>
      <c r="X123" s="742">
        <f t="shared" si="51"/>
        <v>18789.489971749714</v>
      </c>
      <c r="Y123" s="742">
        <f t="shared" si="51"/>
        <v>19165.279771184705</v>
      </c>
      <c r="Z123" s="742">
        <f t="shared" si="51"/>
        <v>19548.5853666084</v>
      </c>
      <c r="AA123" s="742">
        <f t="shared" si="51"/>
        <v>19939.55707394057</v>
      </c>
      <c r="AB123" s="742">
        <f t="shared" si="51"/>
        <v>20338.348215419381</v>
      </c>
      <c r="AC123" s="742">
        <f t="shared" si="51"/>
        <v>20745.115179727771</v>
      </c>
      <c r="AD123" s="742">
        <f t="shared" si="51"/>
        <v>21160.017483322328</v>
      </c>
      <c r="AE123" s="742">
        <f t="shared" si="51"/>
        <v>21583.217832988772</v>
      </c>
    </row>
    <row r="124" spans="1:33">
      <c r="A124" s="164" t="s">
        <v>414</v>
      </c>
      <c r="B124" s="164"/>
      <c r="C124" s="667">
        <f>SUM(C121:C123)</f>
        <v>85000</v>
      </c>
      <c r="D124" s="667"/>
      <c r="E124" s="667">
        <f>SUM(E121:E123)</f>
        <v>6000</v>
      </c>
      <c r="F124" s="667">
        <f>SUM(F121:F123)</f>
        <v>34000</v>
      </c>
      <c r="G124" s="667">
        <f>SUM(G121:G123)</f>
        <v>125000</v>
      </c>
      <c r="H124" s="667">
        <f>SUM(H121:H123)</f>
        <v>573.07692307692309</v>
      </c>
      <c r="I124" s="668"/>
      <c r="J124" s="667"/>
      <c r="K124" s="685">
        <f>SUMIF($B121:$B123,"FT",K121:K123)</f>
        <v>0</v>
      </c>
      <c r="L124" s="669">
        <f>SUM(L121:L123)</f>
        <v>0</v>
      </c>
      <c r="M124" s="669">
        <f t="shared" ref="M124:AE124" si="52">SUM(M121:M123)</f>
        <v>45475</v>
      </c>
      <c r="N124" s="669">
        <f t="shared" si="52"/>
        <v>47312.19</v>
      </c>
      <c r="O124" s="669">
        <f t="shared" si="52"/>
        <v>48258.433799999999</v>
      </c>
      <c r="P124" s="669">
        <f t="shared" si="52"/>
        <v>49223.602475999993</v>
      </c>
      <c r="Q124" s="669">
        <f t="shared" si="52"/>
        <v>50208.074525520002</v>
      </c>
      <c r="R124" s="669">
        <f t="shared" si="52"/>
        <v>51212.236016030394</v>
      </c>
      <c r="S124" s="669">
        <f t="shared" si="52"/>
        <v>52236.480736351004</v>
      </c>
      <c r="T124" s="669">
        <f t="shared" si="52"/>
        <v>53281.210351078029</v>
      </c>
      <c r="U124" s="669">
        <f t="shared" si="52"/>
        <v>54346.834558099596</v>
      </c>
      <c r="V124" s="669">
        <f t="shared" si="52"/>
        <v>55433.771249261583</v>
      </c>
      <c r="W124" s="669">
        <f t="shared" si="52"/>
        <v>56542.446674246821</v>
      </c>
      <c r="X124" s="669">
        <f t="shared" si="52"/>
        <v>57673.295607731765</v>
      </c>
      <c r="Y124" s="669">
        <f t="shared" si="52"/>
        <v>58826.761519886393</v>
      </c>
      <c r="Z124" s="669">
        <f t="shared" si="52"/>
        <v>60003.29675028412</v>
      </c>
      <c r="AA124" s="669">
        <f t="shared" si="52"/>
        <v>61203.362685289801</v>
      </c>
      <c r="AB124" s="669">
        <f t="shared" si="52"/>
        <v>62427.4299389956</v>
      </c>
      <c r="AC124" s="669">
        <f t="shared" si="52"/>
        <v>63675.978537775518</v>
      </c>
      <c r="AD124" s="669">
        <f t="shared" si="52"/>
        <v>64949.498108531028</v>
      </c>
      <c r="AE124" s="669">
        <f t="shared" si="52"/>
        <v>66248.488070701642</v>
      </c>
    </row>
    <row r="125" spans="1:33">
      <c r="A125" s="37"/>
      <c r="B125" s="37"/>
      <c r="C125" s="663"/>
      <c r="D125" s="663"/>
      <c r="E125" s="663"/>
      <c r="F125" s="663"/>
      <c r="G125" s="663"/>
      <c r="H125" s="663"/>
      <c r="I125" s="670"/>
      <c r="J125" s="663"/>
      <c r="K125" s="683"/>
      <c r="L125" s="666"/>
      <c r="M125" s="666"/>
      <c r="N125" s="666"/>
      <c r="O125" s="666"/>
      <c r="P125" s="666"/>
      <c r="Q125" s="666"/>
      <c r="R125" s="666"/>
      <c r="S125" s="666"/>
      <c r="T125" s="666"/>
      <c r="U125" s="666"/>
      <c r="V125" s="666"/>
      <c r="W125" s="666"/>
      <c r="X125" s="666"/>
      <c r="Y125" s="666"/>
      <c r="Z125" s="666"/>
      <c r="AA125" s="666"/>
      <c r="AB125" s="666"/>
      <c r="AC125" s="666"/>
      <c r="AD125" s="666"/>
      <c r="AE125" s="666"/>
    </row>
    <row r="126" spans="1:33">
      <c r="A126" s="37" t="s">
        <v>11</v>
      </c>
      <c r="B126" s="37"/>
      <c r="C126" s="663"/>
      <c r="D126" s="663"/>
      <c r="E126" s="663"/>
      <c r="F126" s="663"/>
      <c r="G126" s="663"/>
      <c r="H126" s="663"/>
      <c r="I126" s="670"/>
      <c r="J126" s="663"/>
      <c r="K126" s="743">
        <f>COUNTIF(K121:K123,"&gt;100")</f>
        <v>0</v>
      </c>
      <c r="L126" s="496">
        <f>COUNTIF(L121,"&gt;100")</f>
        <v>0</v>
      </c>
      <c r="M126" s="496">
        <f t="shared" ref="M126:AE126" si="53">COUNTIF(M121,"&gt;100")</f>
        <v>1</v>
      </c>
      <c r="N126" s="496">
        <f t="shared" si="53"/>
        <v>1</v>
      </c>
      <c r="O126" s="496">
        <f t="shared" si="53"/>
        <v>1</v>
      </c>
      <c r="P126" s="496">
        <f t="shared" si="53"/>
        <v>1</v>
      </c>
      <c r="Q126" s="496">
        <f t="shared" si="53"/>
        <v>1</v>
      </c>
      <c r="R126" s="496">
        <f t="shared" si="53"/>
        <v>1</v>
      </c>
      <c r="S126" s="496">
        <f t="shared" si="53"/>
        <v>1</v>
      </c>
      <c r="T126" s="496">
        <f t="shared" si="53"/>
        <v>1</v>
      </c>
      <c r="U126" s="496">
        <f t="shared" si="53"/>
        <v>1</v>
      </c>
      <c r="V126" s="496">
        <f t="shared" si="53"/>
        <v>1</v>
      </c>
      <c r="W126" s="496">
        <f t="shared" si="53"/>
        <v>1</v>
      </c>
      <c r="X126" s="496">
        <f t="shared" si="53"/>
        <v>1</v>
      </c>
      <c r="Y126" s="496">
        <f t="shared" si="53"/>
        <v>1</v>
      </c>
      <c r="Z126" s="496">
        <f t="shared" si="53"/>
        <v>1</v>
      </c>
      <c r="AA126" s="496">
        <f t="shared" si="53"/>
        <v>1</v>
      </c>
      <c r="AB126" s="496">
        <f t="shared" si="53"/>
        <v>1</v>
      </c>
      <c r="AC126" s="496">
        <f t="shared" si="53"/>
        <v>1</v>
      </c>
      <c r="AD126" s="496">
        <f t="shared" si="53"/>
        <v>1</v>
      </c>
      <c r="AE126" s="496">
        <f t="shared" si="53"/>
        <v>1</v>
      </c>
    </row>
    <row r="127" spans="1:33">
      <c r="A127" s="745" t="s">
        <v>10</v>
      </c>
      <c r="B127" s="745"/>
      <c r="C127" s="739"/>
      <c r="D127" s="739"/>
      <c r="E127" s="739"/>
      <c r="F127" s="739"/>
      <c r="G127" s="739"/>
      <c r="H127" s="739"/>
      <c r="I127" s="763"/>
      <c r="J127" s="739"/>
      <c r="K127" s="749">
        <f t="shared" ref="K127" si="54">K128-K126</f>
        <v>0</v>
      </c>
      <c r="L127" s="750">
        <f>COUNTIF(L122:L123,"&gt;100")</f>
        <v>0</v>
      </c>
      <c r="M127" s="750">
        <f t="shared" ref="M127:AE127" si="55">COUNTIF(M122:M123,"&gt;100")</f>
        <v>2</v>
      </c>
      <c r="N127" s="750">
        <f t="shared" si="55"/>
        <v>2</v>
      </c>
      <c r="O127" s="750">
        <f t="shared" si="55"/>
        <v>2</v>
      </c>
      <c r="P127" s="750">
        <f t="shared" si="55"/>
        <v>2</v>
      </c>
      <c r="Q127" s="750">
        <f t="shared" si="55"/>
        <v>2</v>
      </c>
      <c r="R127" s="750">
        <f t="shared" si="55"/>
        <v>2</v>
      </c>
      <c r="S127" s="750">
        <f t="shared" si="55"/>
        <v>2</v>
      </c>
      <c r="T127" s="750">
        <f t="shared" si="55"/>
        <v>2</v>
      </c>
      <c r="U127" s="750">
        <f t="shared" si="55"/>
        <v>2</v>
      </c>
      <c r="V127" s="750">
        <f t="shared" si="55"/>
        <v>2</v>
      </c>
      <c r="W127" s="750">
        <f t="shared" si="55"/>
        <v>2</v>
      </c>
      <c r="X127" s="750">
        <f t="shared" si="55"/>
        <v>2</v>
      </c>
      <c r="Y127" s="750">
        <f t="shared" si="55"/>
        <v>2</v>
      </c>
      <c r="Z127" s="750">
        <f t="shared" si="55"/>
        <v>2</v>
      </c>
      <c r="AA127" s="750">
        <f t="shared" si="55"/>
        <v>2</v>
      </c>
      <c r="AB127" s="750">
        <f t="shared" si="55"/>
        <v>2</v>
      </c>
      <c r="AC127" s="750">
        <f t="shared" si="55"/>
        <v>2</v>
      </c>
      <c r="AD127" s="750">
        <f t="shared" si="55"/>
        <v>2</v>
      </c>
      <c r="AE127" s="750">
        <f t="shared" si="55"/>
        <v>2</v>
      </c>
    </row>
    <row r="128" spans="1:33">
      <c r="A128" s="164" t="s">
        <v>9</v>
      </c>
      <c r="B128" s="164"/>
      <c r="C128" s="667"/>
      <c r="D128" s="667"/>
      <c r="E128" s="667"/>
      <c r="F128" s="667"/>
      <c r="G128" s="667"/>
      <c r="H128" s="667"/>
      <c r="I128" s="668"/>
      <c r="J128" s="667"/>
      <c r="K128" s="751">
        <f t="shared" ref="K128:AE128" si="56">COUNTIF(K121:K123,"&gt;0")</f>
        <v>0</v>
      </c>
      <c r="L128" s="752">
        <f t="shared" si="56"/>
        <v>0</v>
      </c>
      <c r="M128" s="752">
        <f t="shared" si="56"/>
        <v>3</v>
      </c>
      <c r="N128" s="752">
        <f t="shared" si="56"/>
        <v>3</v>
      </c>
      <c r="O128" s="752">
        <f t="shared" si="56"/>
        <v>3</v>
      </c>
      <c r="P128" s="752">
        <f t="shared" si="56"/>
        <v>3</v>
      </c>
      <c r="Q128" s="752">
        <f t="shared" si="56"/>
        <v>3</v>
      </c>
      <c r="R128" s="752">
        <f t="shared" si="56"/>
        <v>3</v>
      </c>
      <c r="S128" s="752">
        <f t="shared" si="56"/>
        <v>3</v>
      </c>
      <c r="T128" s="752">
        <f t="shared" si="56"/>
        <v>3</v>
      </c>
      <c r="U128" s="752">
        <f t="shared" si="56"/>
        <v>3</v>
      </c>
      <c r="V128" s="752">
        <f t="shared" si="56"/>
        <v>3</v>
      </c>
      <c r="W128" s="752">
        <f t="shared" si="56"/>
        <v>3</v>
      </c>
      <c r="X128" s="752">
        <f t="shared" si="56"/>
        <v>3</v>
      </c>
      <c r="Y128" s="752">
        <f t="shared" si="56"/>
        <v>3</v>
      </c>
      <c r="Z128" s="752">
        <f t="shared" si="56"/>
        <v>3</v>
      </c>
      <c r="AA128" s="752">
        <f t="shared" si="56"/>
        <v>3</v>
      </c>
      <c r="AB128" s="752">
        <f t="shared" si="56"/>
        <v>3</v>
      </c>
      <c r="AC128" s="752">
        <f t="shared" si="56"/>
        <v>3</v>
      </c>
      <c r="AD128" s="752">
        <f t="shared" si="56"/>
        <v>3</v>
      </c>
      <c r="AE128" s="752">
        <f t="shared" si="56"/>
        <v>3</v>
      </c>
    </row>
    <row r="129" spans="1:33">
      <c r="A129" s="37"/>
      <c r="B129" s="37"/>
      <c r="C129" s="57"/>
      <c r="E129" s="57"/>
      <c r="F129" s="57"/>
      <c r="G129" s="57"/>
      <c r="H129" s="57"/>
      <c r="I129" s="43"/>
      <c r="J129" s="42"/>
      <c r="K129" s="683"/>
      <c r="L129" s="316"/>
      <c r="M129" s="316"/>
      <c r="N129" s="316"/>
      <c r="O129" s="316"/>
      <c r="P129" s="316"/>
      <c r="Q129" s="316"/>
      <c r="R129" s="316"/>
      <c r="S129" s="316"/>
      <c r="T129" s="316"/>
      <c r="U129" s="316"/>
      <c r="V129" s="316"/>
      <c r="W129" s="316"/>
      <c r="X129" s="316"/>
      <c r="Y129" s="316"/>
      <c r="Z129" s="316"/>
      <c r="AA129" s="316"/>
      <c r="AB129" s="316"/>
      <c r="AC129" s="316"/>
      <c r="AD129" s="316"/>
      <c r="AE129" s="316"/>
    </row>
    <row r="130" spans="1:33" s="55" customFormat="1">
      <c r="A130" s="190" t="s">
        <v>60</v>
      </c>
      <c r="B130" s="191"/>
      <c r="C130" s="192"/>
      <c r="D130" s="193"/>
      <c r="E130" s="194"/>
      <c r="F130" s="194"/>
      <c r="G130" s="192"/>
      <c r="H130" s="192"/>
      <c r="I130" s="195">
        <v>0.2</v>
      </c>
      <c r="J130" s="196"/>
      <c r="K130" s="683">
        <v>0</v>
      </c>
      <c r="L130" s="665">
        <f>$I$130*L124</f>
        <v>0</v>
      </c>
      <c r="M130" s="665">
        <f t="shared" ref="M130:AE130" si="57">$I$130*M124</f>
        <v>9095</v>
      </c>
      <c r="N130" s="665">
        <f t="shared" si="57"/>
        <v>9462.4380000000001</v>
      </c>
      <c r="O130" s="665">
        <f t="shared" si="57"/>
        <v>9651.6867600000005</v>
      </c>
      <c r="P130" s="665">
        <f t="shared" si="57"/>
        <v>9844.7204951999993</v>
      </c>
      <c r="Q130" s="665">
        <f t="shared" si="57"/>
        <v>10041.614905104001</v>
      </c>
      <c r="R130" s="665">
        <f t="shared" si="57"/>
        <v>10242.44720320608</v>
      </c>
      <c r="S130" s="665">
        <f t="shared" si="57"/>
        <v>10447.296147270201</v>
      </c>
      <c r="T130" s="665">
        <f t="shared" si="57"/>
        <v>10656.242070215607</v>
      </c>
      <c r="U130" s="665">
        <f t="shared" si="57"/>
        <v>10869.36691161992</v>
      </c>
      <c r="V130" s="665">
        <f t="shared" si="57"/>
        <v>11086.754249852318</v>
      </c>
      <c r="W130" s="665">
        <f t="shared" si="57"/>
        <v>11308.489334849364</v>
      </c>
      <c r="X130" s="665">
        <f t="shared" si="57"/>
        <v>11534.659121546354</v>
      </c>
      <c r="Y130" s="665">
        <f t="shared" si="57"/>
        <v>11765.352303977279</v>
      </c>
      <c r="Z130" s="665">
        <f t="shared" si="57"/>
        <v>12000.659350056825</v>
      </c>
      <c r="AA130" s="665">
        <f t="shared" si="57"/>
        <v>12240.672537057961</v>
      </c>
      <c r="AB130" s="665">
        <f t="shared" si="57"/>
        <v>12485.48598779912</v>
      </c>
      <c r="AC130" s="665">
        <f t="shared" si="57"/>
        <v>12735.195707555104</v>
      </c>
      <c r="AD130" s="665">
        <f t="shared" si="57"/>
        <v>12989.899621706207</v>
      </c>
      <c r="AE130" s="665">
        <f t="shared" si="57"/>
        <v>13249.697614140328</v>
      </c>
    </row>
    <row r="131" spans="1:33">
      <c r="A131" s="190"/>
      <c r="B131" s="191"/>
      <c r="C131" s="192"/>
      <c r="D131" s="193"/>
      <c r="E131" s="194"/>
      <c r="F131" s="194"/>
      <c r="G131" s="192"/>
      <c r="H131" s="192"/>
      <c r="I131" s="195"/>
      <c r="J131" s="196"/>
      <c r="K131" s="685"/>
      <c r="L131" s="665"/>
      <c r="M131" s="665"/>
      <c r="N131" s="665"/>
      <c r="O131" s="665"/>
      <c r="P131" s="665"/>
      <c r="Q131" s="665"/>
      <c r="R131" s="665"/>
      <c r="S131" s="665"/>
      <c r="T131" s="665"/>
      <c r="U131" s="665"/>
      <c r="V131" s="665"/>
      <c r="W131" s="665"/>
      <c r="X131" s="665"/>
      <c r="Y131" s="665"/>
      <c r="Z131" s="665"/>
      <c r="AA131" s="665"/>
      <c r="AB131" s="665"/>
      <c r="AC131" s="665"/>
      <c r="AD131" s="665"/>
      <c r="AE131" s="665"/>
    </row>
    <row r="132" spans="1:33">
      <c r="A132" s="164" t="s">
        <v>61</v>
      </c>
      <c r="B132" s="164"/>
      <c r="C132" s="75"/>
      <c r="D132" s="173"/>
      <c r="E132" s="75"/>
      <c r="F132" s="75"/>
      <c r="G132" s="75"/>
      <c r="H132" s="75"/>
      <c r="I132" s="174"/>
      <c r="J132" s="175"/>
      <c r="K132" s="685">
        <v>0</v>
      </c>
      <c r="L132" s="669">
        <f>SUM(L124,L130)</f>
        <v>0</v>
      </c>
      <c r="M132" s="669">
        <f t="shared" ref="M132:AE132" si="58">SUM(M124,M130)</f>
        <v>54570</v>
      </c>
      <c r="N132" s="669">
        <f t="shared" si="58"/>
        <v>56774.628000000004</v>
      </c>
      <c r="O132" s="669">
        <f t="shared" si="58"/>
        <v>57910.120559999996</v>
      </c>
      <c r="P132" s="669">
        <f t="shared" si="58"/>
        <v>59068.322971199988</v>
      </c>
      <c r="Q132" s="669">
        <f t="shared" si="58"/>
        <v>60249.689430623999</v>
      </c>
      <c r="R132" s="669">
        <f t="shared" si="58"/>
        <v>61454.683219236475</v>
      </c>
      <c r="S132" s="669">
        <f t="shared" si="58"/>
        <v>62683.776883621205</v>
      </c>
      <c r="T132" s="669">
        <f t="shared" si="58"/>
        <v>63937.452421293638</v>
      </c>
      <c r="U132" s="669">
        <f t="shared" si="58"/>
        <v>65216.201469719512</v>
      </c>
      <c r="V132" s="669">
        <f t="shared" si="58"/>
        <v>66520.525499113894</v>
      </c>
      <c r="W132" s="669">
        <f t="shared" si="58"/>
        <v>67850.936009096185</v>
      </c>
      <c r="X132" s="669">
        <f t="shared" si="58"/>
        <v>69207.954729278121</v>
      </c>
      <c r="Y132" s="669">
        <f t="shared" si="58"/>
        <v>70592.113823863678</v>
      </c>
      <c r="Z132" s="669">
        <f t="shared" si="58"/>
        <v>72003.956100340947</v>
      </c>
      <c r="AA132" s="669">
        <f t="shared" si="58"/>
        <v>73444.035222347768</v>
      </c>
      <c r="AB132" s="669">
        <f t="shared" si="58"/>
        <v>74912.915926794725</v>
      </c>
      <c r="AC132" s="669">
        <f t="shared" si="58"/>
        <v>76411.174245330621</v>
      </c>
      <c r="AD132" s="669">
        <f t="shared" si="58"/>
        <v>77939.397730237237</v>
      </c>
      <c r="AE132" s="669">
        <f t="shared" si="58"/>
        <v>79498.18568484197</v>
      </c>
    </row>
    <row r="133" spans="1:33">
      <c r="A133" s="183"/>
      <c r="B133" s="184"/>
      <c r="C133" s="185"/>
      <c r="D133" s="186"/>
      <c r="E133" s="185"/>
      <c r="F133" s="185"/>
      <c r="G133" s="185"/>
      <c r="H133" s="185"/>
      <c r="I133" s="187"/>
      <c r="J133" s="188"/>
      <c r="K133" s="683"/>
      <c r="L133" s="320"/>
      <c r="M133" s="320"/>
      <c r="N133" s="320"/>
      <c r="O133" s="320"/>
      <c r="P133" s="320"/>
      <c r="Q133" s="320"/>
      <c r="R133" s="320"/>
      <c r="S133" s="320"/>
      <c r="T133" s="320"/>
      <c r="U133" s="320"/>
      <c r="V133" s="320"/>
      <c r="W133" s="320"/>
      <c r="X133" s="320"/>
      <c r="Y133" s="320"/>
      <c r="Z133" s="320"/>
      <c r="AA133" s="320"/>
      <c r="AB133" s="320"/>
      <c r="AC133" s="320"/>
      <c r="AD133" s="320"/>
      <c r="AE133" s="320"/>
    </row>
    <row r="134" spans="1:33">
      <c r="A134" s="39" t="s">
        <v>4</v>
      </c>
      <c r="B134" s="39"/>
      <c r="C134" s="111"/>
      <c r="D134" s="112"/>
      <c r="E134" s="111"/>
      <c r="F134" s="111"/>
      <c r="G134" s="111"/>
      <c r="H134" s="111"/>
      <c r="I134" s="40"/>
      <c r="J134" s="113"/>
      <c r="K134" s="688"/>
      <c r="L134" s="321"/>
      <c r="M134" s="321"/>
      <c r="N134" s="321"/>
      <c r="O134" s="321"/>
      <c r="P134" s="321"/>
      <c r="Q134" s="321"/>
      <c r="R134" s="321"/>
      <c r="S134" s="321"/>
      <c r="T134" s="321"/>
      <c r="U134" s="321"/>
      <c r="V134" s="321"/>
      <c r="W134" s="321"/>
      <c r="X134" s="321"/>
      <c r="Y134" s="321"/>
      <c r="Z134" s="321"/>
      <c r="AA134" s="321"/>
      <c r="AB134" s="321"/>
      <c r="AC134" s="321"/>
      <c r="AD134" s="321"/>
      <c r="AE134" s="321"/>
    </row>
    <row r="135" spans="1:33">
      <c r="A135" s="41" t="s">
        <v>13</v>
      </c>
      <c r="B135" s="41"/>
      <c r="C135" s="105"/>
      <c r="D135" s="106"/>
      <c r="E135" s="37"/>
      <c r="F135" s="37"/>
      <c r="G135" s="37"/>
      <c r="H135" s="37"/>
      <c r="I135" s="41"/>
      <c r="J135" s="37"/>
      <c r="K135" s="683"/>
      <c r="L135" s="200"/>
      <c r="M135" s="200"/>
      <c r="N135" s="200"/>
      <c r="O135" s="200"/>
      <c r="P135" s="200"/>
      <c r="Q135" s="200"/>
      <c r="R135" s="200"/>
      <c r="S135" s="200"/>
      <c r="T135" s="200"/>
      <c r="U135" s="201"/>
      <c r="V135" s="323"/>
      <c r="W135" s="200"/>
      <c r="X135" s="200"/>
      <c r="Y135" s="200"/>
      <c r="Z135" s="200"/>
      <c r="AA135" s="200"/>
      <c r="AB135" s="200"/>
      <c r="AC135" s="200"/>
      <c r="AD135" s="200"/>
      <c r="AE135" s="201"/>
    </row>
    <row r="136" spans="1:33">
      <c r="A136" s="33" t="s">
        <v>65</v>
      </c>
      <c r="B136" s="735" t="s">
        <v>12</v>
      </c>
      <c r="C136" s="663">
        <v>65000</v>
      </c>
      <c r="D136" s="736">
        <f>C136/2080</f>
        <v>31.25</v>
      </c>
      <c r="E136" s="663">
        <v>0</v>
      </c>
      <c r="F136" s="663">
        <f>C136*$F$13</f>
        <v>26000</v>
      </c>
      <c r="G136" s="663">
        <f>SUM(C136,E136:F136)</f>
        <v>91000</v>
      </c>
      <c r="H136" s="736">
        <f>G136/2080*8</f>
        <v>350</v>
      </c>
      <c r="I136" s="764"/>
      <c r="J136" s="765"/>
      <c r="K136" s="683">
        <v>0</v>
      </c>
      <c r="L136" s="665">
        <v>0</v>
      </c>
      <c r="M136" s="665">
        <f>$H$136*M32*0.25</f>
        <v>18725</v>
      </c>
      <c r="N136" s="665">
        <f t="shared" ref="N136:AE136" si="59">$M$136*L11</f>
        <v>19099.5</v>
      </c>
      <c r="O136" s="665">
        <f t="shared" si="59"/>
        <v>19481.490000000002</v>
      </c>
      <c r="P136" s="665">
        <f t="shared" si="59"/>
        <v>19871.1198</v>
      </c>
      <c r="Q136" s="665">
        <f t="shared" si="59"/>
        <v>20268.542195999999</v>
      </c>
      <c r="R136" s="665">
        <f t="shared" si="59"/>
        <v>20673.91303992</v>
      </c>
      <c r="S136" s="665">
        <f t="shared" si="59"/>
        <v>21087.391300718402</v>
      </c>
      <c r="T136" s="665">
        <f t="shared" si="59"/>
        <v>21509.139126732767</v>
      </c>
      <c r="U136" s="665">
        <f t="shared" si="59"/>
        <v>21939.321909267426</v>
      </c>
      <c r="V136" s="665">
        <f t="shared" si="59"/>
        <v>22378.108347452773</v>
      </c>
      <c r="W136" s="665">
        <f t="shared" si="59"/>
        <v>22825.670514401831</v>
      </c>
      <c r="X136" s="665">
        <f t="shared" si="59"/>
        <v>23282.183924689867</v>
      </c>
      <c r="Y136" s="665">
        <f t="shared" si="59"/>
        <v>23747.827603183665</v>
      </c>
      <c r="Z136" s="665">
        <f t="shared" si="59"/>
        <v>24222.784155247336</v>
      </c>
      <c r="AA136" s="665">
        <f t="shared" si="59"/>
        <v>24707.239838352285</v>
      </c>
      <c r="AB136" s="665">
        <f t="shared" si="59"/>
        <v>25201.384635119332</v>
      </c>
      <c r="AC136" s="665">
        <f t="shared" si="59"/>
        <v>25705.412327821719</v>
      </c>
      <c r="AD136" s="665">
        <f t="shared" si="59"/>
        <v>26219.520574378155</v>
      </c>
      <c r="AE136" s="665">
        <f t="shared" si="59"/>
        <v>26743.910985865718</v>
      </c>
    </row>
    <row r="137" spans="1:33">
      <c r="A137" s="37" t="s">
        <v>62</v>
      </c>
      <c r="B137" s="735" t="s">
        <v>12</v>
      </c>
      <c r="C137" s="663">
        <v>85000</v>
      </c>
      <c r="D137" s="736">
        <f>C137/2080</f>
        <v>40.865384615384613</v>
      </c>
      <c r="E137" s="663">
        <f>C137*$L$15</f>
        <v>0</v>
      </c>
      <c r="F137" s="663">
        <f t="shared" ref="F137:F140" si="60">C137*$F$13</f>
        <v>34000</v>
      </c>
      <c r="G137" s="663">
        <f t="shared" ref="G137:G140" si="61">SUM(C137,E137:F137)</f>
        <v>119000</v>
      </c>
      <c r="H137" s="736">
        <f>G137/2080*8</f>
        <v>457.69230769230768</v>
      </c>
      <c r="I137" s="764"/>
      <c r="J137" s="765"/>
      <c r="K137" s="683">
        <v>0</v>
      </c>
      <c r="L137" s="665">
        <v>0</v>
      </c>
      <c r="M137" s="665">
        <f>$H$137*M32*0.1</f>
        <v>9794.6153846153848</v>
      </c>
      <c r="N137" s="665">
        <f t="shared" ref="N137:AE137" si="62">$M$137*L11</f>
        <v>9990.5076923076922</v>
      </c>
      <c r="O137" s="665">
        <f t="shared" si="62"/>
        <v>10190.317846153846</v>
      </c>
      <c r="P137" s="665">
        <f t="shared" si="62"/>
        <v>10394.124203076923</v>
      </c>
      <c r="Q137" s="665">
        <f t="shared" si="62"/>
        <v>10602.006687138461</v>
      </c>
      <c r="R137" s="665">
        <f t="shared" si="62"/>
        <v>10814.046820881231</v>
      </c>
      <c r="S137" s="665">
        <f t="shared" si="62"/>
        <v>11030.327757298855</v>
      </c>
      <c r="T137" s="665">
        <f t="shared" si="62"/>
        <v>11250.934312444833</v>
      </c>
      <c r="U137" s="665">
        <f t="shared" si="62"/>
        <v>11475.95299869373</v>
      </c>
      <c r="V137" s="665">
        <f t="shared" si="62"/>
        <v>11705.472058667605</v>
      </c>
      <c r="W137" s="665">
        <f t="shared" si="62"/>
        <v>11939.581499840959</v>
      </c>
      <c r="X137" s="665">
        <f t="shared" si="62"/>
        <v>12178.373129837777</v>
      </c>
      <c r="Y137" s="665">
        <f t="shared" si="62"/>
        <v>12421.940592434532</v>
      </c>
      <c r="Z137" s="665">
        <f t="shared" si="62"/>
        <v>12670.379404283221</v>
      </c>
      <c r="AA137" s="665">
        <f t="shared" si="62"/>
        <v>12923.786992368889</v>
      </c>
      <c r="AB137" s="665">
        <f t="shared" si="62"/>
        <v>13182.262732216266</v>
      </c>
      <c r="AC137" s="665">
        <f t="shared" si="62"/>
        <v>13445.907986860591</v>
      </c>
      <c r="AD137" s="665">
        <f t="shared" si="62"/>
        <v>13714.826146597805</v>
      </c>
      <c r="AE137" s="665">
        <f t="shared" si="62"/>
        <v>13989.122669529761</v>
      </c>
    </row>
    <row r="138" spans="1:33">
      <c r="A138" s="37" t="s">
        <v>419</v>
      </c>
      <c r="B138" s="735" t="s">
        <v>12</v>
      </c>
      <c r="C138" s="663">
        <v>75000</v>
      </c>
      <c r="D138" s="736">
        <f>C138/2080</f>
        <v>36.057692307692307</v>
      </c>
      <c r="E138" s="663">
        <f>C138*$L$15</f>
        <v>0</v>
      </c>
      <c r="F138" s="663">
        <f t="shared" si="60"/>
        <v>30000</v>
      </c>
      <c r="G138" s="663">
        <f t="shared" si="61"/>
        <v>105000</v>
      </c>
      <c r="H138" s="736">
        <f>G138/2080*8</f>
        <v>403.84615384615387</v>
      </c>
      <c r="I138" s="764"/>
      <c r="J138" s="765"/>
      <c r="K138" s="683">
        <v>0</v>
      </c>
      <c r="L138" s="665">
        <v>0</v>
      </c>
      <c r="M138" s="665">
        <f>$H$138*M32*0.1</f>
        <v>8642.3076923076933</v>
      </c>
      <c r="N138" s="665">
        <f t="shared" ref="N138:AE138" si="63">$M$138*L11</f>
        <v>8815.1538461538476</v>
      </c>
      <c r="O138" s="665">
        <f t="shared" si="63"/>
        <v>8991.4569230769248</v>
      </c>
      <c r="P138" s="665">
        <f t="shared" si="63"/>
        <v>9171.2860615384616</v>
      </c>
      <c r="Q138" s="665">
        <f t="shared" si="63"/>
        <v>9354.7117827692309</v>
      </c>
      <c r="R138" s="665">
        <f t="shared" si="63"/>
        <v>9541.8060184246169</v>
      </c>
      <c r="S138" s="665">
        <f t="shared" si="63"/>
        <v>9732.6421387931096</v>
      </c>
      <c r="T138" s="665">
        <f t="shared" si="63"/>
        <v>9927.2949815689717</v>
      </c>
      <c r="U138" s="665">
        <f t="shared" si="63"/>
        <v>10125.840881200351</v>
      </c>
      <c r="V138" s="665">
        <f t="shared" si="63"/>
        <v>10328.357698824359</v>
      </c>
      <c r="W138" s="665">
        <f t="shared" si="63"/>
        <v>10534.924852800847</v>
      </c>
      <c r="X138" s="665">
        <f t="shared" si="63"/>
        <v>10745.623349856864</v>
      </c>
      <c r="Y138" s="665">
        <f t="shared" si="63"/>
        <v>10960.535816854001</v>
      </c>
      <c r="Z138" s="665">
        <f t="shared" si="63"/>
        <v>11179.746533191079</v>
      </c>
      <c r="AA138" s="665">
        <f t="shared" si="63"/>
        <v>11403.341463854902</v>
      </c>
      <c r="AB138" s="665">
        <f t="shared" si="63"/>
        <v>11631.408293132001</v>
      </c>
      <c r="AC138" s="665">
        <f t="shared" si="63"/>
        <v>11864.03645899464</v>
      </c>
      <c r="AD138" s="665">
        <f t="shared" si="63"/>
        <v>12101.317188174535</v>
      </c>
      <c r="AE138" s="665">
        <f t="shared" si="63"/>
        <v>12343.343531938026</v>
      </c>
    </row>
    <row r="139" spans="1:33">
      <c r="A139" s="37" t="s">
        <v>63</v>
      </c>
      <c r="B139" s="735" t="s">
        <v>15</v>
      </c>
      <c r="C139" s="663">
        <v>15000</v>
      </c>
      <c r="D139" s="736">
        <f t="shared" ref="D139:D140" si="64">C139/2080</f>
        <v>7.2115384615384617</v>
      </c>
      <c r="E139" s="663">
        <f>C139*$L$15</f>
        <v>0</v>
      </c>
      <c r="F139" s="663">
        <f t="shared" si="60"/>
        <v>6000</v>
      </c>
      <c r="G139" s="663">
        <f t="shared" si="61"/>
        <v>21000</v>
      </c>
      <c r="H139" s="736">
        <f t="shared" ref="H139:H140" si="65">G139/2080*8</f>
        <v>80.769230769230774</v>
      </c>
      <c r="I139" s="764"/>
      <c r="J139" s="765"/>
      <c r="K139" s="683">
        <v>0</v>
      </c>
      <c r="L139" s="665">
        <v>0</v>
      </c>
      <c r="M139" s="665">
        <f>($H$139*M32)*0.5</f>
        <v>8642.3076923076933</v>
      </c>
      <c r="N139" s="665">
        <f t="shared" ref="N139:AE139" si="66">$M$139*L11</f>
        <v>8815.1538461538476</v>
      </c>
      <c r="O139" s="665">
        <f t="shared" si="66"/>
        <v>8991.4569230769248</v>
      </c>
      <c r="P139" s="665">
        <f t="shared" si="66"/>
        <v>9171.2860615384616</v>
      </c>
      <c r="Q139" s="665">
        <f t="shared" si="66"/>
        <v>9354.7117827692309</v>
      </c>
      <c r="R139" s="665">
        <f t="shared" si="66"/>
        <v>9541.8060184246169</v>
      </c>
      <c r="S139" s="665">
        <f t="shared" si="66"/>
        <v>9732.6421387931096</v>
      </c>
      <c r="T139" s="665">
        <f t="shared" si="66"/>
        <v>9927.2949815689717</v>
      </c>
      <c r="U139" s="665">
        <f t="shared" si="66"/>
        <v>10125.840881200351</v>
      </c>
      <c r="V139" s="665">
        <f t="shared" si="66"/>
        <v>10328.357698824359</v>
      </c>
      <c r="W139" s="665">
        <f t="shared" si="66"/>
        <v>10534.924852800847</v>
      </c>
      <c r="X139" s="665">
        <f t="shared" si="66"/>
        <v>10745.623349856864</v>
      </c>
      <c r="Y139" s="665">
        <f t="shared" si="66"/>
        <v>10960.535816854001</v>
      </c>
      <c r="Z139" s="665">
        <f t="shared" si="66"/>
        <v>11179.746533191079</v>
      </c>
      <c r="AA139" s="665">
        <f t="shared" si="66"/>
        <v>11403.341463854902</v>
      </c>
      <c r="AB139" s="665">
        <f t="shared" si="66"/>
        <v>11631.408293132001</v>
      </c>
      <c r="AC139" s="665">
        <f t="shared" si="66"/>
        <v>11864.03645899464</v>
      </c>
      <c r="AD139" s="665">
        <f t="shared" si="66"/>
        <v>12101.317188174535</v>
      </c>
      <c r="AE139" s="665">
        <f t="shared" si="66"/>
        <v>12343.343531938026</v>
      </c>
    </row>
    <row r="140" spans="1:33">
      <c r="A140" s="745" t="s">
        <v>63</v>
      </c>
      <c r="B140" s="738" t="s">
        <v>15</v>
      </c>
      <c r="C140" s="739">
        <v>15000</v>
      </c>
      <c r="D140" s="740">
        <f t="shared" si="64"/>
        <v>7.2115384615384617</v>
      </c>
      <c r="E140" s="739">
        <f>C140*$L$15</f>
        <v>0</v>
      </c>
      <c r="F140" s="739">
        <f t="shared" si="60"/>
        <v>6000</v>
      </c>
      <c r="G140" s="739">
        <f t="shared" si="61"/>
        <v>21000</v>
      </c>
      <c r="H140" s="740">
        <f t="shared" si="65"/>
        <v>80.769230769230774</v>
      </c>
      <c r="I140" s="766"/>
      <c r="J140" s="767"/>
      <c r="K140" s="741">
        <v>0</v>
      </c>
      <c r="L140" s="742">
        <v>0</v>
      </c>
      <c r="M140" s="742">
        <f>($H$140*M32)*0.5</f>
        <v>8642.3076923076933</v>
      </c>
      <c r="N140" s="742">
        <f t="shared" ref="N140:AE140" si="67">$M$140*L11</f>
        <v>8815.1538461538476</v>
      </c>
      <c r="O140" s="742">
        <f t="shared" si="67"/>
        <v>8991.4569230769248</v>
      </c>
      <c r="P140" s="742">
        <f t="shared" si="67"/>
        <v>9171.2860615384616</v>
      </c>
      <c r="Q140" s="742">
        <f t="shared" si="67"/>
        <v>9354.7117827692309</v>
      </c>
      <c r="R140" s="742">
        <f t="shared" si="67"/>
        <v>9541.8060184246169</v>
      </c>
      <c r="S140" s="742">
        <f t="shared" si="67"/>
        <v>9732.6421387931096</v>
      </c>
      <c r="T140" s="742">
        <f t="shared" si="67"/>
        <v>9927.2949815689717</v>
      </c>
      <c r="U140" s="742">
        <f t="shared" si="67"/>
        <v>10125.840881200351</v>
      </c>
      <c r="V140" s="742">
        <f t="shared" si="67"/>
        <v>10328.357698824359</v>
      </c>
      <c r="W140" s="742">
        <f t="shared" si="67"/>
        <v>10534.924852800847</v>
      </c>
      <c r="X140" s="742">
        <f t="shared" si="67"/>
        <v>10745.623349856864</v>
      </c>
      <c r="Y140" s="742">
        <f t="shared" si="67"/>
        <v>10960.535816854001</v>
      </c>
      <c r="Z140" s="742">
        <f t="shared" si="67"/>
        <v>11179.746533191079</v>
      </c>
      <c r="AA140" s="742">
        <f t="shared" si="67"/>
        <v>11403.341463854902</v>
      </c>
      <c r="AB140" s="742">
        <f t="shared" si="67"/>
        <v>11631.408293132001</v>
      </c>
      <c r="AC140" s="742">
        <f t="shared" si="67"/>
        <v>11864.03645899464</v>
      </c>
      <c r="AD140" s="742">
        <f t="shared" si="67"/>
        <v>12101.317188174535</v>
      </c>
      <c r="AE140" s="742">
        <f t="shared" si="67"/>
        <v>12343.343531938026</v>
      </c>
    </row>
    <row r="141" spans="1:33" s="56" customFormat="1" ht="14.25">
      <c r="A141" s="164" t="s">
        <v>415</v>
      </c>
      <c r="B141" s="164"/>
      <c r="C141" s="667">
        <f>SUM(C136:C140)</f>
        <v>255000</v>
      </c>
      <c r="D141" s="667"/>
      <c r="E141" s="667">
        <f>SUM(E136:E140)</f>
        <v>0</v>
      </c>
      <c r="F141" s="667">
        <f>SUM(F136:F140)</f>
        <v>102000</v>
      </c>
      <c r="G141" s="667">
        <f>SUM(G136:G140)</f>
        <v>357000</v>
      </c>
      <c r="H141" s="667">
        <f>SUM(H136:H140)</f>
        <v>1373.0769230769229</v>
      </c>
      <c r="I141" s="768"/>
      <c r="J141" s="769"/>
      <c r="K141" s="685">
        <f>SUMIF($B136:$B140,"FT",K136:K140)</f>
        <v>0</v>
      </c>
      <c r="L141" s="669">
        <f>SUMIF($B136:$B140,"FT",L136:L140)</f>
        <v>0</v>
      </c>
      <c r="M141" s="669">
        <f>SUM(M136:M140)</f>
        <v>54446.538461538468</v>
      </c>
      <c r="N141" s="669">
        <f t="shared" ref="N141:AE141" si="68">SUM(N136:N140)</f>
        <v>55535.469230769231</v>
      </c>
      <c r="O141" s="669">
        <f t="shared" si="68"/>
        <v>56646.178615384626</v>
      </c>
      <c r="P141" s="669">
        <f t="shared" si="68"/>
        <v>57779.102187692311</v>
      </c>
      <c r="Q141" s="669">
        <f t="shared" si="68"/>
        <v>58934.684231446139</v>
      </c>
      <c r="R141" s="669">
        <f t="shared" si="68"/>
        <v>60113.377916075071</v>
      </c>
      <c r="S141" s="669">
        <f t="shared" si="68"/>
        <v>61315.645474396588</v>
      </c>
      <c r="T141" s="669">
        <f t="shared" si="68"/>
        <v>62541.958383884514</v>
      </c>
      <c r="U141" s="669">
        <f t="shared" si="68"/>
        <v>63792.797551562195</v>
      </c>
      <c r="V141" s="669">
        <f t="shared" si="68"/>
        <v>65068.653502593457</v>
      </c>
      <c r="W141" s="669">
        <f t="shared" si="68"/>
        <v>66370.026572645322</v>
      </c>
      <c r="X141" s="669">
        <f t="shared" si="68"/>
        <v>67697.427104098228</v>
      </c>
      <c r="Y141" s="669">
        <f t="shared" si="68"/>
        <v>69051.375646180197</v>
      </c>
      <c r="Z141" s="669">
        <f t="shared" si="68"/>
        <v>70432.403159103793</v>
      </c>
      <c r="AA141" s="669">
        <f t="shared" si="68"/>
        <v>71841.051222285882</v>
      </c>
      <c r="AB141" s="669">
        <f t="shared" si="68"/>
        <v>73277.872246731597</v>
      </c>
      <c r="AC141" s="669">
        <f t="shared" si="68"/>
        <v>74743.429691666228</v>
      </c>
      <c r="AD141" s="669">
        <f t="shared" si="68"/>
        <v>76238.298285499564</v>
      </c>
      <c r="AE141" s="669">
        <f t="shared" si="68"/>
        <v>77763.064251209551</v>
      </c>
    </row>
    <row r="142" spans="1:33">
      <c r="A142" s="37"/>
      <c r="B142" s="37"/>
      <c r="C142" s="663"/>
      <c r="D142" s="663"/>
      <c r="E142" s="663"/>
      <c r="F142" s="663"/>
      <c r="G142" s="663"/>
      <c r="H142" s="663"/>
      <c r="I142" s="107"/>
      <c r="J142" s="108"/>
      <c r="K142" s="683"/>
      <c r="L142" s="666"/>
      <c r="M142" s="666"/>
      <c r="N142" s="666"/>
      <c r="O142" s="666"/>
      <c r="P142" s="666"/>
      <c r="Q142" s="666"/>
      <c r="R142" s="666"/>
      <c r="S142" s="666"/>
      <c r="T142" s="666"/>
      <c r="U142" s="666"/>
      <c r="V142" s="666"/>
      <c r="W142" s="666"/>
      <c r="X142" s="666"/>
      <c r="Y142" s="666"/>
      <c r="Z142" s="666"/>
      <c r="AA142" s="666"/>
      <c r="AB142" s="666"/>
      <c r="AC142" s="666"/>
      <c r="AD142" s="666"/>
      <c r="AE142" s="666"/>
    </row>
    <row r="143" spans="1:33">
      <c r="A143" s="37" t="s">
        <v>11</v>
      </c>
      <c r="B143" s="37"/>
      <c r="C143" s="57"/>
      <c r="E143" s="57"/>
      <c r="F143" s="57"/>
      <c r="G143" s="57"/>
      <c r="H143" s="57"/>
      <c r="I143" s="43"/>
      <c r="J143" s="42"/>
      <c r="K143" s="770">
        <f>COUNTIF(K136:K140,"&gt;100")</f>
        <v>0</v>
      </c>
      <c r="L143" s="771">
        <f>COUNTIF(L136:L138,"&gt;100")</f>
        <v>0</v>
      </c>
      <c r="M143" s="771">
        <f t="shared" ref="M143:AE143" si="69">COUNTIF(M136:M138,"&gt;100")</f>
        <v>3</v>
      </c>
      <c r="N143" s="771">
        <f t="shared" si="69"/>
        <v>3</v>
      </c>
      <c r="O143" s="771">
        <f t="shared" si="69"/>
        <v>3</v>
      </c>
      <c r="P143" s="771">
        <f t="shared" si="69"/>
        <v>3</v>
      </c>
      <c r="Q143" s="771">
        <f t="shared" si="69"/>
        <v>3</v>
      </c>
      <c r="R143" s="771">
        <f t="shared" si="69"/>
        <v>3</v>
      </c>
      <c r="S143" s="771">
        <f t="shared" si="69"/>
        <v>3</v>
      </c>
      <c r="T143" s="771">
        <f t="shared" si="69"/>
        <v>3</v>
      </c>
      <c r="U143" s="771">
        <f t="shared" si="69"/>
        <v>3</v>
      </c>
      <c r="V143" s="771">
        <f t="shared" si="69"/>
        <v>3</v>
      </c>
      <c r="W143" s="771">
        <f t="shared" si="69"/>
        <v>3</v>
      </c>
      <c r="X143" s="771">
        <f t="shared" si="69"/>
        <v>3</v>
      </c>
      <c r="Y143" s="771">
        <f t="shared" si="69"/>
        <v>3</v>
      </c>
      <c r="Z143" s="771">
        <f t="shared" si="69"/>
        <v>3</v>
      </c>
      <c r="AA143" s="771">
        <f t="shared" si="69"/>
        <v>3</v>
      </c>
      <c r="AB143" s="771">
        <f t="shared" si="69"/>
        <v>3</v>
      </c>
      <c r="AC143" s="771">
        <f t="shared" si="69"/>
        <v>3</v>
      </c>
      <c r="AD143" s="771">
        <f t="shared" si="69"/>
        <v>3</v>
      </c>
      <c r="AE143" s="771">
        <f t="shared" si="69"/>
        <v>3</v>
      </c>
      <c r="AF143" s="772"/>
      <c r="AG143" s="772"/>
    </row>
    <row r="144" spans="1:33">
      <c r="A144" s="745" t="s">
        <v>10</v>
      </c>
      <c r="B144" s="745"/>
      <c r="C144" s="746"/>
      <c r="D144" s="116"/>
      <c r="E144" s="746"/>
      <c r="F144" s="746"/>
      <c r="G144" s="746"/>
      <c r="H144" s="746"/>
      <c r="I144" s="747"/>
      <c r="J144" s="748"/>
      <c r="K144" s="773">
        <v>0</v>
      </c>
      <c r="L144" s="774">
        <f>COUNTIF(L139:L140,"&gt;100")</f>
        <v>0</v>
      </c>
      <c r="M144" s="774">
        <f t="shared" ref="M144:AE144" si="70">COUNTIF(M139:M140,"&gt;100")</f>
        <v>2</v>
      </c>
      <c r="N144" s="774">
        <f t="shared" si="70"/>
        <v>2</v>
      </c>
      <c r="O144" s="774">
        <f t="shared" si="70"/>
        <v>2</v>
      </c>
      <c r="P144" s="774">
        <f t="shared" si="70"/>
        <v>2</v>
      </c>
      <c r="Q144" s="774">
        <f t="shared" si="70"/>
        <v>2</v>
      </c>
      <c r="R144" s="774">
        <f t="shared" si="70"/>
        <v>2</v>
      </c>
      <c r="S144" s="774">
        <f t="shared" si="70"/>
        <v>2</v>
      </c>
      <c r="T144" s="774">
        <f t="shared" si="70"/>
        <v>2</v>
      </c>
      <c r="U144" s="774">
        <f t="shared" si="70"/>
        <v>2</v>
      </c>
      <c r="V144" s="774">
        <f t="shared" si="70"/>
        <v>2</v>
      </c>
      <c r="W144" s="774">
        <f t="shared" si="70"/>
        <v>2</v>
      </c>
      <c r="X144" s="774">
        <f t="shared" si="70"/>
        <v>2</v>
      </c>
      <c r="Y144" s="774">
        <f t="shared" si="70"/>
        <v>2</v>
      </c>
      <c r="Z144" s="774">
        <f t="shared" si="70"/>
        <v>2</v>
      </c>
      <c r="AA144" s="774">
        <f t="shared" si="70"/>
        <v>2</v>
      </c>
      <c r="AB144" s="774">
        <f t="shared" si="70"/>
        <v>2</v>
      </c>
      <c r="AC144" s="774">
        <f t="shared" si="70"/>
        <v>2</v>
      </c>
      <c r="AD144" s="774">
        <f t="shared" si="70"/>
        <v>2</v>
      </c>
      <c r="AE144" s="774">
        <f t="shared" si="70"/>
        <v>2</v>
      </c>
      <c r="AF144" s="772"/>
      <c r="AG144" s="772"/>
    </row>
    <row r="145" spans="1:33" s="56" customFormat="1" ht="14.25">
      <c r="A145" s="164" t="s">
        <v>9</v>
      </c>
      <c r="B145" s="164"/>
      <c r="C145" s="75"/>
      <c r="D145" s="173"/>
      <c r="E145" s="75"/>
      <c r="F145" s="75"/>
      <c r="G145" s="75"/>
      <c r="H145" s="75"/>
      <c r="I145" s="174"/>
      <c r="J145" s="181"/>
      <c r="K145" s="775">
        <v>0</v>
      </c>
      <c r="L145" s="776">
        <f>SUM(L143:L144)</f>
        <v>0</v>
      </c>
      <c r="M145" s="776">
        <f t="shared" ref="M145:AE145" si="71">COUNTIF(M136:M140,"&gt;0")</f>
        <v>5</v>
      </c>
      <c r="N145" s="776">
        <f t="shared" si="71"/>
        <v>5</v>
      </c>
      <c r="O145" s="776">
        <f t="shared" si="71"/>
        <v>5</v>
      </c>
      <c r="P145" s="776">
        <f t="shared" si="71"/>
        <v>5</v>
      </c>
      <c r="Q145" s="776">
        <f t="shared" si="71"/>
        <v>5</v>
      </c>
      <c r="R145" s="776">
        <f t="shared" si="71"/>
        <v>5</v>
      </c>
      <c r="S145" s="776">
        <f t="shared" si="71"/>
        <v>5</v>
      </c>
      <c r="T145" s="776">
        <f t="shared" si="71"/>
        <v>5</v>
      </c>
      <c r="U145" s="776">
        <f t="shared" si="71"/>
        <v>5</v>
      </c>
      <c r="V145" s="776">
        <f t="shared" si="71"/>
        <v>5</v>
      </c>
      <c r="W145" s="776">
        <f t="shared" si="71"/>
        <v>5</v>
      </c>
      <c r="X145" s="776">
        <f t="shared" si="71"/>
        <v>5</v>
      </c>
      <c r="Y145" s="776">
        <f t="shared" si="71"/>
        <v>5</v>
      </c>
      <c r="Z145" s="776">
        <f t="shared" si="71"/>
        <v>5</v>
      </c>
      <c r="AA145" s="776">
        <f t="shared" si="71"/>
        <v>5</v>
      </c>
      <c r="AB145" s="776">
        <f t="shared" si="71"/>
        <v>5</v>
      </c>
      <c r="AC145" s="776">
        <f t="shared" si="71"/>
        <v>5</v>
      </c>
      <c r="AD145" s="776">
        <f t="shared" si="71"/>
        <v>5</v>
      </c>
      <c r="AE145" s="776">
        <f t="shared" si="71"/>
        <v>5</v>
      </c>
      <c r="AF145" s="723"/>
      <c r="AG145" s="723"/>
    </row>
    <row r="146" spans="1:33">
      <c r="B146" s="37"/>
      <c r="C146" s="57"/>
      <c r="E146" s="57"/>
      <c r="F146" s="57"/>
      <c r="G146" s="57"/>
      <c r="H146" s="57"/>
      <c r="I146" s="43"/>
      <c r="J146" s="42"/>
      <c r="K146" s="683"/>
      <c r="L146" s="316"/>
      <c r="M146" s="316"/>
      <c r="N146" s="316"/>
      <c r="O146" s="316"/>
      <c r="P146" s="316"/>
      <c r="Q146" s="316"/>
      <c r="R146" s="316"/>
      <c r="S146" s="316"/>
      <c r="T146" s="316"/>
      <c r="U146" s="316"/>
      <c r="V146" s="316"/>
      <c r="W146" s="316"/>
      <c r="X146" s="316"/>
      <c r="Y146" s="316"/>
      <c r="Z146" s="316"/>
      <c r="AA146" s="316"/>
      <c r="AB146" s="316"/>
      <c r="AC146" s="316"/>
      <c r="AD146" s="316"/>
      <c r="AE146" s="316"/>
    </row>
    <row r="147" spans="1:33">
      <c r="A147" s="33" t="s">
        <v>60</v>
      </c>
      <c r="B147" s="191"/>
      <c r="C147" s="192"/>
      <c r="D147" s="193"/>
      <c r="E147" s="194"/>
      <c r="F147" s="194"/>
      <c r="G147" s="192"/>
      <c r="H147" s="192"/>
      <c r="I147" s="195">
        <v>0.2</v>
      </c>
      <c r="J147" s="196"/>
      <c r="K147" s="689">
        <v>0</v>
      </c>
      <c r="L147" s="665">
        <f t="shared" ref="L147:AE147" si="72">L141*$I$147</f>
        <v>0</v>
      </c>
      <c r="M147" s="665">
        <f t="shared" si="72"/>
        <v>10889.307692307695</v>
      </c>
      <c r="N147" s="665">
        <f t="shared" si="72"/>
        <v>11107.093846153846</v>
      </c>
      <c r="O147" s="665">
        <f t="shared" si="72"/>
        <v>11329.235723076927</v>
      </c>
      <c r="P147" s="665">
        <f t="shared" si="72"/>
        <v>11555.820437538463</v>
      </c>
      <c r="Q147" s="665">
        <f t="shared" si="72"/>
        <v>11786.936846289229</v>
      </c>
      <c r="R147" s="665">
        <f t="shared" si="72"/>
        <v>12022.675583215016</v>
      </c>
      <c r="S147" s="665">
        <f t="shared" si="72"/>
        <v>12263.129094879318</v>
      </c>
      <c r="T147" s="665">
        <f t="shared" si="72"/>
        <v>12508.391676776904</v>
      </c>
      <c r="U147" s="665">
        <f t="shared" si="72"/>
        <v>12758.55951031244</v>
      </c>
      <c r="V147" s="665">
        <f t="shared" si="72"/>
        <v>13013.730700518692</v>
      </c>
      <c r="W147" s="665">
        <f t="shared" si="72"/>
        <v>13274.005314529066</v>
      </c>
      <c r="X147" s="665">
        <f t="shared" si="72"/>
        <v>13539.485420819647</v>
      </c>
      <c r="Y147" s="665">
        <f t="shared" si="72"/>
        <v>13810.275129236041</v>
      </c>
      <c r="Z147" s="665">
        <f t="shared" si="72"/>
        <v>14086.480631820759</v>
      </c>
      <c r="AA147" s="665">
        <f t="shared" si="72"/>
        <v>14368.210244457177</v>
      </c>
      <c r="AB147" s="665">
        <f t="shared" si="72"/>
        <v>14655.574449346321</v>
      </c>
      <c r="AC147" s="665">
        <f t="shared" si="72"/>
        <v>14948.685938333247</v>
      </c>
      <c r="AD147" s="665">
        <f t="shared" si="72"/>
        <v>15247.659657099914</v>
      </c>
      <c r="AE147" s="665">
        <f t="shared" si="72"/>
        <v>15552.612850241911</v>
      </c>
    </row>
    <row r="148" spans="1:33">
      <c r="B148" s="191"/>
      <c r="C148" s="192"/>
      <c r="D148" s="193"/>
      <c r="E148" s="194"/>
      <c r="F148" s="194"/>
      <c r="G148" s="192"/>
      <c r="H148" s="192"/>
      <c r="I148" s="195"/>
      <c r="J148" s="196"/>
      <c r="K148" s="689"/>
      <c r="L148" s="665"/>
      <c r="M148" s="665"/>
      <c r="N148" s="665"/>
      <c r="O148" s="665"/>
      <c r="P148" s="665"/>
      <c r="Q148" s="665"/>
      <c r="R148" s="665"/>
      <c r="S148" s="665"/>
      <c r="T148" s="665"/>
      <c r="U148" s="665"/>
      <c r="V148" s="665"/>
      <c r="W148" s="665"/>
      <c r="X148" s="665"/>
      <c r="Y148" s="665"/>
      <c r="Z148" s="665"/>
      <c r="AA148" s="665"/>
      <c r="AB148" s="665"/>
      <c r="AC148" s="665"/>
      <c r="AD148" s="665"/>
      <c r="AE148" s="665"/>
    </row>
    <row r="149" spans="1:33" s="197" customFormat="1" ht="14.25">
      <c r="A149" s="197" t="s">
        <v>68</v>
      </c>
      <c r="D149" s="198"/>
      <c r="K149" s="690"/>
      <c r="L149" s="677"/>
      <c r="M149" s="677"/>
      <c r="N149" s="677"/>
      <c r="O149" s="677"/>
      <c r="P149" s="677"/>
      <c r="Q149" s="677"/>
      <c r="R149" s="677"/>
      <c r="S149" s="677"/>
      <c r="T149" s="677"/>
      <c r="U149" s="677"/>
      <c r="V149" s="677"/>
      <c r="W149" s="677"/>
      <c r="X149" s="677"/>
      <c r="Y149" s="677"/>
      <c r="Z149" s="677"/>
      <c r="AA149" s="677"/>
      <c r="AB149" s="677"/>
      <c r="AC149" s="677"/>
      <c r="AD149" s="677"/>
      <c r="AE149" s="677"/>
    </row>
    <row r="150" spans="1:33">
      <c r="A150" s="37" t="s">
        <v>423</v>
      </c>
      <c r="B150" s="37"/>
      <c r="C150" s="110"/>
      <c r="D150" s="106"/>
      <c r="E150" s="57"/>
      <c r="F150" s="57"/>
      <c r="G150" s="57"/>
      <c r="H150" s="57"/>
      <c r="I150" s="49"/>
      <c r="J150" s="44"/>
      <c r="K150" s="683">
        <f>COUNTIF(K$116:K$123,"&gt;0")*$J150*R$9</f>
        <v>0</v>
      </c>
      <c r="L150" s="666">
        <v>0</v>
      </c>
      <c r="M150" s="666">
        <v>10000</v>
      </c>
      <c r="N150" s="666">
        <f t="shared" ref="N150:AE150" si="73">$M$150*L11</f>
        <v>10200</v>
      </c>
      <c r="O150" s="666">
        <f t="shared" si="73"/>
        <v>10404</v>
      </c>
      <c r="P150" s="666">
        <f t="shared" si="73"/>
        <v>10612.08</v>
      </c>
      <c r="Q150" s="666">
        <f t="shared" si="73"/>
        <v>10824.321599999999</v>
      </c>
      <c r="R150" s="666">
        <f t="shared" si="73"/>
        <v>11040.808032000001</v>
      </c>
      <c r="S150" s="666">
        <f t="shared" si="73"/>
        <v>11261.62419264</v>
      </c>
      <c r="T150" s="666">
        <f t="shared" si="73"/>
        <v>11486.8566764928</v>
      </c>
      <c r="U150" s="666">
        <f t="shared" si="73"/>
        <v>11716.593810022658</v>
      </c>
      <c r="V150" s="666">
        <f t="shared" si="73"/>
        <v>11950.92568622311</v>
      </c>
      <c r="W150" s="666">
        <f t="shared" si="73"/>
        <v>12189.944199947573</v>
      </c>
      <c r="X150" s="666">
        <f t="shared" si="73"/>
        <v>12433.743083946525</v>
      </c>
      <c r="Y150" s="666">
        <f t="shared" si="73"/>
        <v>12682.417945625455</v>
      </c>
      <c r="Z150" s="666">
        <f t="shared" si="73"/>
        <v>12936.066304537962</v>
      </c>
      <c r="AA150" s="666">
        <f t="shared" si="73"/>
        <v>13194.787630628723</v>
      </c>
      <c r="AB150" s="666">
        <f t="shared" si="73"/>
        <v>13458.683383241299</v>
      </c>
      <c r="AC150" s="666">
        <f t="shared" si="73"/>
        <v>13727.857050906125</v>
      </c>
      <c r="AD150" s="666">
        <f t="shared" si="73"/>
        <v>14002.414191924248</v>
      </c>
      <c r="AE150" s="666">
        <f t="shared" si="73"/>
        <v>14282.462475762733</v>
      </c>
    </row>
    <row r="151" spans="1:33">
      <c r="A151" s="37" t="s">
        <v>67</v>
      </c>
      <c r="B151" s="37"/>
      <c r="C151" s="110"/>
      <c r="D151" s="106"/>
      <c r="E151" s="57"/>
      <c r="F151" s="57"/>
      <c r="G151" s="57"/>
      <c r="H151" s="57"/>
      <c r="I151" s="51"/>
      <c r="J151" s="44"/>
      <c r="K151" s="683">
        <v>0</v>
      </c>
      <c r="L151" s="666">
        <v>0</v>
      </c>
      <c r="M151" s="666">
        <v>10000</v>
      </c>
      <c r="N151" s="666">
        <f t="shared" ref="N151:AE151" si="74">$M$151*L11</f>
        <v>10200</v>
      </c>
      <c r="O151" s="666">
        <f t="shared" si="74"/>
        <v>10404</v>
      </c>
      <c r="P151" s="666">
        <f t="shared" si="74"/>
        <v>10612.08</v>
      </c>
      <c r="Q151" s="666">
        <f t="shared" si="74"/>
        <v>10824.321599999999</v>
      </c>
      <c r="R151" s="666">
        <f t="shared" si="74"/>
        <v>11040.808032000001</v>
      </c>
      <c r="S151" s="666">
        <f t="shared" si="74"/>
        <v>11261.62419264</v>
      </c>
      <c r="T151" s="666">
        <f t="shared" si="74"/>
        <v>11486.8566764928</v>
      </c>
      <c r="U151" s="666">
        <f t="shared" si="74"/>
        <v>11716.593810022658</v>
      </c>
      <c r="V151" s="666">
        <f t="shared" si="74"/>
        <v>11950.92568622311</v>
      </c>
      <c r="W151" s="666">
        <f t="shared" si="74"/>
        <v>12189.944199947573</v>
      </c>
      <c r="X151" s="666">
        <f t="shared" si="74"/>
        <v>12433.743083946525</v>
      </c>
      <c r="Y151" s="666">
        <f t="shared" si="74"/>
        <v>12682.417945625455</v>
      </c>
      <c r="Z151" s="666">
        <f t="shared" si="74"/>
        <v>12936.066304537962</v>
      </c>
      <c r="AA151" s="666">
        <f t="shared" si="74"/>
        <v>13194.787630628723</v>
      </c>
      <c r="AB151" s="666">
        <f t="shared" si="74"/>
        <v>13458.683383241299</v>
      </c>
      <c r="AC151" s="666">
        <f t="shared" si="74"/>
        <v>13727.857050906125</v>
      </c>
      <c r="AD151" s="666">
        <f t="shared" si="74"/>
        <v>14002.414191924248</v>
      </c>
      <c r="AE151" s="666">
        <f t="shared" si="74"/>
        <v>14282.462475762733</v>
      </c>
    </row>
    <row r="152" spans="1:33">
      <c r="A152" s="180" t="s">
        <v>2</v>
      </c>
      <c r="B152" s="777"/>
      <c r="C152" s="778"/>
      <c r="D152" s="779"/>
      <c r="E152" s="746"/>
      <c r="F152" s="746"/>
      <c r="G152" s="778"/>
      <c r="H152" s="778"/>
      <c r="I152" s="780"/>
      <c r="J152" s="781"/>
      <c r="K152" s="741">
        <v>0</v>
      </c>
      <c r="L152" s="742">
        <v>0</v>
      </c>
      <c r="M152" s="742">
        <v>0</v>
      </c>
      <c r="N152" s="742">
        <v>0</v>
      </c>
      <c r="O152" s="742">
        <v>0</v>
      </c>
      <c r="P152" s="742">
        <v>0</v>
      </c>
      <c r="Q152" s="742">
        <v>0</v>
      </c>
      <c r="R152" s="742">
        <v>0</v>
      </c>
      <c r="S152" s="742">
        <v>0</v>
      </c>
      <c r="T152" s="742">
        <v>0</v>
      </c>
      <c r="U152" s="742">
        <v>0</v>
      </c>
      <c r="V152" s="742">
        <v>0</v>
      </c>
      <c r="W152" s="742">
        <v>0</v>
      </c>
      <c r="X152" s="742">
        <v>0</v>
      </c>
      <c r="Y152" s="742">
        <v>0</v>
      </c>
      <c r="Z152" s="742">
        <v>0</v>
      </c>
      <c r="AA152" s="742">
        <v>0</v>
      </c>
      <c r="AB152" s="742">
        <v>0</v>
      </c>
      <c r="AC152" s="742">
        <v>0</v>
      </c>
      <c r="AD152" s="742">
        <v>0</v>
      </c>
      <c r="AE152" s="742">
        <v>0</v>
      </c>
    </row>
    <row r="153" spans="1:33" s="56" customFormat="1" ht="14.25">
      <c r="A153" s="164" t="s">
        <v>78</v>
      </c>
      <c r="B153" s="164"/>
      <c r="C153" s="75"/>
      <c r="D153" s="173"/>
      <c r="E153" s="75"/>
      <c r="F153" s="75"/>
      <c r="G153" s="75"/>
      <c r="H153" s="75"/>
      <c r="I153" s="174"/>
      <c r="J153" s="175"/>
      <c r="K153" s="685">
        <v>0</v>
      </c>
      <c r="L153" s="669">
        <f t="shared" ref="L153:AE153" si="75">SUM(L150:L152)</f>
        <v>0</v>
      </c>
      <c r="M153" s="669">
        <f t="shared" si="75"/>
        <v>20000</v>
      </c>
      <c r="N153" s="669">
        <f t="shared" si="75"/>
        <v>20400</v>
      </c>
      <c r="O153" s="669">
        <f t="shared" si="75"/>
        <v>20808</v>
      </c>
      <c r="P153" s="669">
        <f t="shared" si="75"/>
        <v>21224.16</v>
      </c>
      <c r="Q153" s="669">
        <f t="shared" si="75"/>
        <v>21648.643199999999</v>
      </c>
      <c r="R153" s="669">
        <f t="shared" si="75"/>
        <v>22081.616064000002</v>
      </c>
      <c r="S153" s="669">
        <f t="shared" si="75"/>
        <v>22523.24838528</v>
      </c>
      <c r="T153" s="669">
        <f t="shared" si="75"/>
        <v>22973.7133529856</v>
      </c>
      <c r="U153" s="669">
        <f t="shared" si="75"/>
        <v>23433.187620045315</v>
      </c>
      <c r="V153" s="669">
        <f t="shared" si="75"/>
        <v>23901.851372446221</v>
      </c>
      <c r="W153" s="669">
        <f t="shared" si="75"/>
        <v>24379.888399895146</v>
      </c>
      <c r="X153" s="669">
        <f t="shared" si="75"/>
        <v>24867.48616789305</v>
      </c>
      <c r="Y153" s="669">
        <f t="shared" si="75"/>
        <v>25364.83589125091</v>
      </c>
      <c r="Z153" s="669">
        <f t="shared" si="75"/>
        <v>25872.132609075925</v>
      </c>
      <c r="AA153" s="669">
        <f t="shared" si="75"/>
        <v>26389.575261257447</v>
      </c>
      <c r="AB153" s="669">
        <f t="shared" si="75"/>
        <v>26917.366766482599</v>
      </c>
      <c r="AC153" s="669">
        <f t="shared" si="75"/>
        <v>27455.714101812249</v>
      </c>
      <c r="AD153" s="669">
        <f t="shared" si="75"/>
        <v>28004.828383848497</v>
      </c>
      <c r="AE153" s="669">
        <f t="shared" si="75"/>
        <v>28564.924951525467</v>
      </c>
    </row>
    <row r="154" spans="1:33" s="56" customFormat="1" ht="14.25">
      <c r="A154" s="164"/>
      <c r="B154" s="164"/>
      <c r="C154" s="75"/>
      <c r="D154" s="173"/>
      <c r="E154" s="75"/>
      <c r="F154" s="75"/>
      <c r="G154" s="75"/>
      <c r="H154" s="75"/>
      <c r="I154" s="174"/>
      <c r="J154" s="175"/>
      <c r="K154" s="685"/>
      <c r="L154" s="669"/>
      <c r="M154" s="669"/>
      <c r="N154" s="669"/>
      <c r="O154" s="669"/>
      <c r="P154" s="669"/>
      <c r="Q154" s="669"/>
      <c r="R154" s="669"/>
      <c r="S154" s="669"/>
      <c r="T154" s="669"/>
      <c r="U154" s="669"/>
      <c r="V154" s="669"/>
      <c r="W154" s="669"/>
      <c r="X154" s="669"/>
      <c r="Y154" s="669"/>
      <c r="Z154" s="669"/>
      <c r="AA154" s="669"/>
      <c r="AB154" s="669"/>
      <c r="AC154" s="669"/>
      <c r="AD154" s="669"/>
      <c r="AE154" s="669"/>
    </row>
    <row r="155" spans="1:33" s="56" customFormat="1" ht="14.25">
      <c r="A155" s="164" t="s">
        <v>66</v>
      </c>
      <c r="B155" s="164"/>
      <c r="C155" s="75"/>
      <c r="D155" s="173"/>
      <c r="E155" s="75"/>
      <c r="F155" s="75"/>
      <c r="G155" s="75"/>
      <c r="H155" s="75"/>
      <c r="I155" s="174"/>
      <c r="J155" s="175"/>
      <c r="K155" s="685">
        <v>0</v>
      </c>
      <c r="L155" s="669">
        <f>SUM(L141,L153)</f>
        <v>0</v>
      </c>
      <c r="M155" s="669">
        <f>SUM(M141,M147,M153)</f>
        <v>85335.846153846156</v>
      </c>
      <c r="N155" s="669">
        <f t="shared" ref="N155:AE155" si="76">SUM(N141,N147,N153)</f>
        <v>87042.563076923077</v>
      </c>
      <c r="O155" s="669">
        <f t="shared" si="76"/>
        <v>88783.41433846156</v>
      </c>
      <c r="P155" s="669">
        <f t="shared" si="76"/>
        <v>90559.082625230774</v>
      </c>
      <c r="Q155" s="669">
        <f t="shared" si="76"/>
        <v>92370.264277735376</v>
      </c>
      <c r="R155" s="669">
        <f t="shared" si="76"/>
        <v>94217.669563290081</v>
      </c>
      <c r="S155" s="669">
        <f t="shared" si="76"/>
        <v>96102.022954555898</v>
      </c>
      <c r="T155" s="669">
        <f t="shared" si="76"/>
        <v>98024.063413647003</v>
      </c>
      <c r="U155" s="669">
        <f t="shared" si="76"/>
        <v>99984.544681919942</v>
      </c>
      <c r="V155" s="669">
        <f t="shared" si="76"/>
        <v>101984.23557555837</v>
      </c>
      <c r="W155" s="669">
        <f t="shared" si="76"/>
        <v>104023.92028706953</v>
      </c>
      <c r="X155" s="669">
        <f t="shared" si="76"/>
        <v>106104.39869281092</v>
      </c>
      <c r="Y155" s="669">
        <f t="shared" si="76"/>
        <v>108226.48666666714</v>
      </c>
      <c r="Z155" s="669">
        <f t="shared" si="76"/>
        <v>110391.01640000047</v>
      </c>
      <c r="AA155" s="669">
        <f t="shared" si="76"/>
        <v>112598.8367280005</v>
      </c>
      <c r="AB155" s="669">
        <f t="shared" si="76"/>
        <v>114850.8134625605</v>
      </c>
      <c r="AC155" s="669">
        <f t="shared" si="76"/>
        <v>117147.82973181173</v>
      </c>
      <c r="AD155" s="669">
        <f t="shared" si="76"/>
        <v>119490.78632644797</v>
      </c>
      <c r="AE155" s="669">
        <f t="shared" si="76"/>
        <v>121880.60205297693</v>
      </c>
    </row>
    <row r="156" spans="1:33" s="56" customFormat="1" ht="14.25">
      <c r="A156" s="164"/>
      <c r="B156" s="164"/>
      <c r="C156" s="75"/>
      <c r="D156" s="173"/>
      <c r="E156" s="75"/>
      <c r="F156" s="75"/>
      <c r="G156" s="75"/>
      <c r="H156" s="75"/>
      <c r="I156" s="174"/>
      <c r="J156" s="175"/>
      <c r="K156" s="685"/>
      <c r="L156" s="669"/>
      <c r="M156" s="669"/>
      <c r="N156" s="669"/>
      <c r="O156" s="669"/>
      <c r="P156" s="669"/>
      <c r="Q156" s="669"/>
      <c r="R156" s="669"/>
      <c r="S156" s="669"/>
      <c r="T156" s="669"/>
      <c r="U156" s="669"/>
      <c r="V156" s="669"/>
      <c r="W156" s="669"/>
      <c r="X156" s="669"/>
      <c r="Y156" s="669"/>
      <c r="Z156" s="669"/>
      <c r="AA156" s="669"/>
      <c r="AB156" s="669"/>
      <c r="AC156" s="669"/>
      <c r="AD156" s="669"/>
      <c r="AE156" s="669"/>
    </row>
    <row r="157" spans="1:33">
      <c r="A157" s="47" t="s">
        <v>7</v>
      </c>
      <c r="B157" s="47" t="s">
        <v>7</v>
      </c>
      <c r="C157" s="78" t="s">
        <v>7</v>
      </c>
      <c r="D157" s="100"/>
      <c r="E157" s="78" t="s">
        <v>7</v>
      </c>
      <c r="F157" s="78"/>
      <c r="G157" s="78" t="s">
        <v>7</v>
      </c>
      <c r="H157" s="78"/>
      <c r="I157" s="52" t="s">
        <v>7</v>
      </c>
      <c r="J157" s="114"/>
      <c r="K157" s="673"/>
      <c r="L157" s="672"/>
      <c r="M157" s="672"/>
      <c r="N157" s="672"/>
      <c r="O157" s="672"/>
      <c r="P157" s="672"/>
      <c r="Q157" s="672"/>
      <c r="R157" s="672"/>
      <c r="S157" s="672"/>
      <c r="T157" s="672"/>
      <c r="U157" s="672"/>
      <c r="V157" s="672"/>
      <c r="W157" s="672"/>
      <c r="X157" s="672"/>
      <c r="Y157" s="672"/>
      <c r="Z157" s="672"/>
      <c r="AA157" s="672"/>
      <c r="AB157" s="672"/>
      <c r="AC157" s="672"/>
      <c r="AD157" s="672"/>
      <c r="AE157" s="672"/>
    </row>
    <row r="158" spans="1:33">
      <c r="A158" s="47"/>
      <c r="B158" s="47"/>
      <c r="C158" s="78"/>
      <c r="D158" s="100"/>
      <c r="E158" s="78"/>
      <c r="F158" s="78"/>
      <c r="G158" s="78"/>
      <c r="H158" s="78"/>
      <c r="I158" s="52"/>
      <c r="J158" s="114"/>
      <c r="K158" s="664"/>
      <c r="L158" s="666"/>
      <c r="M158" s="666"/>
      <c r="N158" s="666"/>
      <c r="O158" s="666"/>
      <c r="P158" s="666"/>
      <c r="Q158" s="666"/>
      <c r="R158" s="666"/>
      <c r="S158" s="666"/>
      <c r="T158" s="666"/>
      <c r="U158" s="666"/>
      <c r="V158" s="666"/>
      <c r="W158" s="666"/>
      <c r="X158" s="666"/>
      <c r="Y158" s="666"/>
      <c r="Z158" s="666"/>
      <c r="AA158" s="666"/>
      <c r="AB158" s="666"/>
      <c r="AC158" s="666"/>
      <c r="AD158" s="666"/>
      <c r="AE158" s="666"/>
    </row>
    <row r="159" spans="1:33" s="56" customFormat="1" ht="14.25">
      <c r="A159" s="203" t="s">
        <v>79</v>
      </c>
      <c r="B159" s="203"/>
      <c r="C159" s="204"/>
      <c r="D159" s="205"/>
      <c r="E159" s="204"/>
      <c r="F159" s="204"/>
      <c r="G159" s="204"/>
      <c r="H159" s="204"/>
      <c r="I159" s="206"/>
      <c r="J159" s="207"/>
      <c r="K159" s="675">
        <v>0</v>
      </c>
      <c r="L159" s="676">
        <f t="shared" ref="L159:AE159" si="77">SUM(L132,L155)</f>
        <v>0</v>
      </c>
      <c r="M159" s="676">
        <f t="shared" si="77"/>
        <v>139905.84615384616</v>
      </c>
      <c r="N159" s="676">
        <f t="shared" si="77"/>
        <v>143817.19107692307</v>
      </c>
      <c r="O159" s="676">
        <f t="shared" si="77"/>
        <v>146693.53489846154</v>
      </c>
      <c r="P159" s="676">
        <f t="shared" si="77"/>
        <v>149627.40559643076</v>
      </c>
      <c r="Q159" s="676">
        <f t="shared" si="77"/>
        <v>152619.95370835939</v>
      </c>
      <c r="R159" s="676">
        <f t="shared" si="77"/>
        <v>155672.35278252655</v>
      </c>
      <c r="S159" s="676">
        <f t="shared" si="77"/>
        <v>158785.7998381771</v>
      </c>
      <c r="T159" s="676">
        <f t="shared" si="77"/>
        <v>161961.51583494066</v>
      </c>
      <c r="U159" s="676">
        <f t="shared" si="77"/>
        <v>165200.74615163944</v>
      </c>
      <c r="V159" s="676">
        <f t="shared" si="77"/>
        <v>168504.76107467228</v>
      </c>
      <c r="W159" s="676">
        <f t="shared" si="77"/>
        <v>171874.85629616573</v>
      </c>
      <c r="X159" s="676">
        <f t="shared" si="77"/>
        <v>175312.35342208904</v>
      </c>
      <c r="Y159" s="676">
        <f t="shared" si="77"/>
        <v>178818.60049053084</v>
      </c>
      <c r="Z159" s="676">
        <f t="shared" si="77"/>
        <v>182394.97250034142</v>
      </c>
      <c r="AA159" s="676">
        <f t="shared" si="77"/>
        <v>186042.87195034826</v>
      </c>
      <c r="AB159" s="676">
        <f t="shared" si="77"/>
        <v>189763.72938935523</v>
      </c>
      <c r="AC159" s="676">
        <f t="shared" si="77"/>
        <v>193559.00397714233</v>
      </c>
      <c r="AD159" s="676">
        <f t="shared" si="77"/>
        <v>197430.18405668519</v>
      </c>
      <c r="AE159" s="676">
        <f t="shared" si="77"/>
        <v>201378.7877378189</v>
      </c>
      <c r="AG159" s="199"/>
    </row>
    <row r="160" spans="1:33">
      <c r="K160" s="664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</row>
    <row r="161" spans="1:33">
      <c r="A161" s="47" t="s">
        <v>7</v>
      </c>
      <c r="B161" s="47" t="s">
        <v>7</v>
      </c>
      <c r="C161" s="78" t="s">
        <v>7</v>
      </c>
      <c r="D161" s="100"/>
      <c r="E161" s="78" t="s">
        <v>7</v>
      </c>
      <c r="F161" s="78"/>
      <c r="G161" s="78" t="s">
        <v>7</v>
      </c>
      <c r="H161" s="78"/>
      <c r="I161" s="52" t="s">
        <v>7</v>
      </c>
      <c r="J161" s="114"/>
      <c r="K161" s="673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</row>
    <row r="162" spans="1:33">
      <c r="K162" s="664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G162" s="199"/>
    </row>
    <row r="163" spans="1:33" s="56" customFormat="1" ht="14.25">
      <c r="A163" s="208" t="s">
        <v>115</v>
      </c>
      <c r="B163" s="208"/>
      <c r="C163" s="208"/>
      <c r="D163" s="202"/>
      <c r="E163" s="208"/>
      <c r="F163" s="208"/>
      <c r="G163" s="208"/>
      <c r="H163" s="208"/>
      <c r="I163" s="208"/>
      <c r="J163" s="208"/>
      <c r="K163" s="678">
        <f>SUM(K153,K113)</f>
        <v>0</v>
      </c>
      <c r="L163" s="678">
        <f t="shared" ref="L163:AE163" si="78">SUM(L113,L159)</f>
        <v>367858.33333333331</v>
      </c>
      <c r="M163" s="678">
        <f t="shared" si="78"/>
        <v>905069.84615384613</v>
      </c>
      <c r="N163" s="678">
        <f t="shared" si="78"/>
        <v>924294.67107692314</v>
      </c>
      <c r="O163" s="678">
        <f t="shared" si="78"/>
        <v>942780.56449846143</v>
      </c>
      <c r="P163" s="678">
        <f t="shared" si="78"/>
        <v>961636.17578843061</v>
      </c>
      <c r="Q163" s="678">
        <f t="shared" si="78"/>
        <v>1009212.7780993994</v>
      </c>
      <c r="R163" s="678">
        <f t="shared" si="78"/>
        <v>1024860.1148710193</v>
      </c>
      <c r="S163" s="678">
        <f t="shared" si="78"/>
        <v>1045357.3171684397</v>
      </c>
      <c r="T163" s="678">
        <f t="shared" si="78"/>
        <v>1066264.4635118085</v>
      </c>
      <c r="U163" s="678">
        <f t="shared" si="78"/>
        <v>1087589.7527820447</v>
      </c>
      <c r="V163" s="678">
        <f t="shared" si="78"/>
        <v>1113732.0506276884</v>
      </c>
      <c r="W163" s="678">
        <f t="shared" si="78"/>
        <v>1131528.3787944396</v>
      </c>
      <c r="X163" s="678">
        <f t="shared" si="78"/>
        <v>1154158.9463703283</v>
      </c>
      <c r="Y163" s="678">
        <f t="shared" si="78"/>
        <v>1177242.125297735</v>
      </c>
      <c r="Z163" s="678">
        <f t="shared" si="78"/>
        <v>1200786.9678036897</v>
      </c>
      <c r="AA163" s="678">
        <f t="shared" si="78"/>
        <v>1229129.7729906016</v>
      </c>
      <c r="AB163" s="678">
        <f t="shared" si="78"/>
        <v>1249298.7613029587</v>
      </c>
      <c r="AC163" s="678">
        <f t="shared" si="78"/>
        <v>1274284.7365290178</v>
      </c>
      <c r="AD163" s="678">
        <f t="shared" si="78"/>
        <v>1299770.4312595986</v>
      </c>
      <c r="AE163" s="678">
        <f t="shared" si="78"/>
        <v>1325765.8398847904</v>
      </c>
      <c r="AG163" s="199"/>
    </row>
    <row r="164" spans="1:33">
      <c r="K164" s="664"/>
      <c r="L164" s="666"/>
      <c r="M164" s="666"/>
      <c r="N164" s="666"/>
      <c r="O164" s="666"/>
      <c r="P164" s="666"/>
      <c r="Q164" s="666"/>
      <c r="R164" s="666"/>
      <c r="S164" s="666"/>
      <c r="T164" s="666"/>
      <c r="U164" s="666"/>
      <c r="V164" s="666"/>
      <c r="W164" s="666"/>
      <c r="X164" s="666"/>
      <c r="Y164" s="666"/>
      <c r="Z164" s="666"/>
      <c r="AA164" s="666"/>
      <c r="AB164" s="666"/>
      <c r="AC164" s="666"/>
      <c r="AD164" s="666"/>
      <c r="AE164" s="666"/>
      <c r="AG164" s="199"/>
    </row>
    <row r="165" spans="1:33">
      <c r="A165" s="251"/>
      <c r="B165" s="251"/>
      <c r="C165" s="251"/>
      <c r="D165" s="259"/>
      <c r="E165" s="251"/>
      <c r="F165" s="251"/>
      <c r="G165" s="251"/>
      <c r="H165" s="251"/>
      <c r="I165" s="251"/>
      <c r="J165" s="251"/>
      <c r="K165" s="679"/>
      <c r="L165" s="680"/>
      <c r="M165" s="680"/>
      <c r="N165" s="680"/>
      <c r="O165" s="680"/>
      <c r="P165" s="680"/>
      <c r="Q165" s="680"/>
      <c r="R165" s="680"/>
      <c r="S165" s="680"/>
      <c r="T165" s="680"/>
      <c r="U165" s="680"/>
      <c r="V165" s="680"/>
      <c r="W165" s="680"/>
      <c r="X165" s="680"/>
      <c r="Y165" s="680"/>
      <c r="Z165" s="680"/>
      <c r="AA165" s="680"/>
      <c r="AB165" s="680"/>
      <c r="AC165" s="680"/>
      <c r="AD165" s="680"/>
      <c r="AE165" s="680"/>
      <c r="AG165" s="199"/>
    </row>
    <row r="166" spans="1:33">
      <c r="K166" s="664"/>
      <c r="L166" s="666"/>
      <c r="M166" s="666"/>
      <c r="N166" s="666"/>
      <c r="O166" s="666"/>
      <c r="P166" s="666"/>
      <c r="Q166" s="666"/>
      <c r="R166" s="666"/>
      <c r="S166" s="666"/>
      <c r="T166" s="666"/>
      <c r="U166" s="666"/>
      <c r="V166" s="666"/>
      <c r="W166" s="666"/>
      <c r="X166" s="666"/>
      <c r="Y166" s="666"/>
      <c r="Z166" s="666"/>
      <c r="AA166" s="666"/>
      <c r="AB166" s="666"/>
      <c r="AC166" s="666"/>
      <c r="AD166" s="666"/>
      <c r="AE166" s="666"/>
      <c r="AG166" s="199"/>
    </row>
    <row r="167" spans="1:33">
      <c r="A167" s="249" t="s">
        <v>84</v>
      </c>
      <c r="B167" s="281"/>
      <c r="C167" s="281"/>
      <c r="D167" s="177"/>
      <c r="E167" s="281"/>
      <c r="F167" s="281"/>
      <c r="G167" s="281"/>
      <c r="H167" s="281"/>
      <c r="I167" s="281"/>
      <c r="J167" s="281"/>
      <c r="K167" s="681"/>
      <c r="L167" s="682"/>
      <c r="M167" s="682"/>
      <c r="N167" s="682"/>
      <c r="O167" s="682"/>
      <c r="P167" s="682"/>
      <c r="Q167" s="682"/>
      <c r="R167" s="682"/>
      <c r="S167" s="682"/>
      <c r="T167" s="682"/>
      <c r="U167" s="682"/>
      <c r="V167" s="682"/>
      <c r="W167" s="682"/>
      <c r="X167" s="682"/>
      <c r="Y167" s="682"/>
      <c r="Z167" s="682"/>
      <c r="AA167" s="682"/>
      <c r="AB167" s="682"/>
      <c r="AC167" s="682"/>
      <c r="AD167" s="682"/>
      <c r="AE167" s="682"/>
      <c r="AG167" s="199"/>
    </row>
    <row r="168" spans="1:33" s="252" customFormat="1">
      <c r="A168" s="257"/>
      <c r="D168" s="186"/>
      <c r="K168" s="664"/>
      <c r="L168" s="671"/>
      <c r="M168" s="671"/>
      <c r="N168" s="671"/>
      <c r="O168" s="671"/>
      <c r="P168" s="671"/>
      <c r="Q168" s="671"/>
      <c r="R168" s="671"/>
      <c r="S168" s="671"/>
      <c r="T168" s="671"/>
      <c r="U168" s="671"/>
      <c r="V168" s="671"/>
      <c r="W168" s="671"/>
      <c r="X168" s="671"/>
      <c r="Y168" s="671"/>
      <c r="Z168" s="671"/>
      <c r="AA168" s="671"/>
      <c r="AB168" s="671"/>
      <c r="AC168" s="671"/>
      <c r="AD168" s="671"/>
      <c r="AE168" s="671"/>
      <c r="AG168" s="363"/>
    </row>
    <row r="169" spans="1:33">
      <c r="A169" s="96" t="str">
        <f>'OPEX - Concept C2 - Carnival'!A169</f>
        <v>Investment (cash)</v>
      </c>
      <c r="B169" s="96"/>
      <c r="C169" s="96"/>
      <c r="D169" s="96"/>
      <c r="E169" s="96"/>
      <c r="F169" s="96"/>
      <c r="G169" s="96"/>
      <c r="H169" s="96"/>
      <c r="I169" s="96"/>
      <c r="J169" s="96"/>
      <c r="K169" s="883"/>
      <c r="L169" s="663"/>
      <c r="M169" s="663"/>
      <c r="N169" s="663"/>
      <c r="O169" s="663"/>
      <c r="P169" s="663"/>
      <c r="Q169" s="663"/>
      <c r="R169" s="663"/>
      <c r="S169" s="663"/>
      <c r="T169" s="663"/>
      <c r="U169" s="663"/>
      <c r="V169" s="663"/>
      <c r="W169" s="663"/>
      <c r="X169" s="663"/>
      <c r="Y169" s="663"/>
      <c r="Z169" s="663"/>
      <c r="AA169" s="663"/>
      <c r="AB169" s="663"/>
      <c r="AC169" s="663"/>
      <c r="AD169" s="663"/>
      <c r="AE169" s="663"/>
      <c r="AG169" s="199"/>
    </row>
    <row r="170" spans="1:33">
      <c r="A170" s="96" t="str">
        <f>'OPEX - Concept C2 - Carnival'!A170</f>
        <v xml:space="preserve">     Site Maintenance</v>
      </c>
      <c r="B170" s="96"/>
      <c r="C170" s="96"/>
      <c r="D170" s="96"/>
      <c r="E170" s="96"/>
      <c r="F170" s="96"/>
      <c r="G170" s="96"/>
      <c r="H170" s="96"/>
      <c r="I170" s="96"/>
      <c r="J170" s="96"/>
      <c r="K170" s="883">
        <f>'OPEX - Concept C2 - Carnival'!K170</f>
        <v>0</v>
      </c>
      <c r="L170" s="663">
        <f>'OPEX - Concept C2 - Carnival'!L170</f>
        <v>0</v>
      </c>
      <c r="M170" s="663">
        <f>'OPEX - Concept C2 - Carnival'!M170</f>
        <v>96205</v>
      </c>
      <c r="N170" s="663">
        <f>'OPEX - Concept C2 - Carnival'!N170</f>
        <v>98129.1</v>
      </c>
      <c r="O170" s="663">
        <f>'OPEX - Concept C2 - Carnival'!O170</f>
        <v>100091.682</v>
      </c>
      <c r="P170" s="663">
        <f>'OPEX - Concept C2 - Carnival'!P170</f>
        <v>102093.51564</v>
      </c>
      <c r="Q170" s="663">
        <f>'OPEX - Concept C2 - Carnival'!Q170</f>
        <v>104135.3859528</v>
      </c>
      <c r="R170" s="663">
        <f>'OPEX - Concept C2 - Carnival'!R170</f>
        <v>106218.093671856</v>
      </c>
      <c r="S170" s="663">
        <f>'OPEX - Concept C2 - Carnival'!S170</f>
        <v>108342.45554529312</v>
      </c>
      <c r="T170" s="663">
        <f>'OPEX - Concept C2 - Carnival'!T170</f>
        <v>110509.30465619899</v>
      </c>
      <c r="U170" s="663">
        <f>'OPEX - Concept C2 - Carnival'!U170</f>
        <v>112719.49074932297</v>
      </c>
      <c r="V170" s="663">
        <f>'OPEX - Concept C2 - Carnival'!V170</f>
        <v>114973.88056430944</v>
      </c>
      <c r="W170" s="663">
        <f>'OPEX - Concept C2 - Carnival'!W170</f>
        <v>117273.35817559563</v>
      </c>
      <c r="X170" s="663">
        <f>'OPEX - Concept C2 - Carnival'!X170</f>
        <v>119618.82533910754</v>
      </c>
      <c r="Y170" s="663">
        <f>'OPEX - Concept C2 - Carnival'!Y170</f>
        <v>122011.20184588969</v>
      </c>
      <c r="Z170" s="663">
        <f>'OPEX - Concept C2 - Carnival'!Z170</f>
        <v>124451.42588280747</v>
      </c>
      <c r="AA170" s="663">
        <f>'OPEX - Concept C2 - Carnival'!AA170</f>
        <v>126940.45440046364</v>
      </c>
      <c r="AB170" s="663">
        <f>'OPEX - Concept C2 - Carnival'!AB170</f>
        <v>129479.26348847292</v>
      </c>
      <c r="AC170" s="663">
        <f>'OPEX - Concept C2 - Carnival'!AC170</f>
        <v>132068.84875824238</v>
      </c>
      <c r="AD170" s="663">
        <f>'OPEX - Concept C2 - Carnival'!AD170</f>
        <v>134710.22573340722</v>
      </c>
      <c r="AE170" s="663">
        <f>'OPEX - Concept C2 - Carnival'!AE170</f>
        <v>137404.43024807537</v>
      </c>
      <c r="AG170" s="199"/>
    </row>
    <row r="171" spans="1:33" s="162" customFormat="1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883"/>
      <c r="L171" s="663"/>
      <c r="M171" s="663"/>
      <c r="N171" s="663"/>
      <c r="O171" s="663"/>
      <c r="P171" s="663"/>
      <c r="Q171" s="663"/>
      <c r="R171" s="663"/>
      <c r="S171" s="663"/>
      <c r="T171" s="663"/>
      <c r="U171" s="663"/>
      <c r="V171" s="663"/>
      <c r="W171" s="663"/>
      <c r="X171" s="663"/>
      <c r="Y171" s="663"/>
      <c r="Z171" s="663"/>
      <c r="AA171" s="663"/>
      <c r="AB171" s="663"/>
      <c r="AC171" s="663"/>
      <c r="AD171" s="663"/>
      <c r="AE171" s="663"/>
      <c r="AG171" s="786"/>
    </row>
    <row r="172" spans="1:33" s="162" customFormat="1">
      <c r="A172" s="96" t="str">
        <f>'OPEX - Concept C2 - Carnival'!A172</f>
        <v>Debt Service (Site Demolition, Design, Development/Preparation &amp; Shuttles)</v>
      </c>
      <c r="B172" s="96"/>
      <c r="C172" s="96"/>
      <c r="D172" s="96"/>
      <c r="E172" s="96"/>
      <c r="F172" s="96"/>
      <c r="G172" s="96"/>
      <c r="H172" s="96"/>
      <c r="I172" s="96"/>
      <c r="J172" s="96"/>
      <c r="K172" s="883">
        <f>'OPEX - Concept C2 - Carnival'!K172</f>
        <v>0</v>
      </c>
      <c r="L172" s="663">
        <f>'OPEX - Concept C2 - Carnival'!L172</f>
        <v>676285.92</v>
      </c>
      <c r="M172" s="663">
        <f>'OPEX - Concept C2 - Carnival'!M172</f>
        <v>676285.92</v>
      </c>
      <c r="N172" s="663">
        <f>'OPEX - Concept C2 - Carnival'!N172</f>
        <v>676285.92</v>
      </c>
      <c r="O172" s="663">
        <f>'OPEX - Concept C2 - Carnival'!O172</f>
        <v>676285.92</v>
      </c>
      <c r="P172" s="663">
        <f>'OPEX - Concept C2 - Carnival'!P172</f>
        <v>676285.92</v>
      </c>
      <c r="Q172" s="663">
        <f>'OPEX - Concept C2 - Carnival'!Q172</f>
        <v>676285.92</v>
      </c>
      <c r="R172" s="663">
        <f>'OPEX - Concept C2 - Carnival'!R172</f>
        <v>676285.92</v>
      </c>
      <c r="S172" s="663">
        <f>'OPEX - Concept C2 - Carnival'!S172</f>
        <v>676285.92</v>
      </c>
      <c r="T172" s="663">
        <f>'OPEX - Concept C2 - Carnival'!T172</f>
        <v>676285.92</v>
      </c>
      <c r="U172" s="663">
        <f>'OPEX - Concept C2 - Carnival'!U172</f>
        <v>676285.92</v>
      </c>
      <c r="V172" s="663">
        <f>'OPEX - Concept C2 - Carnival'!V172</f>
        <v>676285.92</v>
      </c>
      <c r="W172" s="663">
        <f>'OPEX - Concept C2 - Carnival'!W172</f>
        <v>676285.92</v>
      </c>
      <c r="X172" s="663">
        <f>'OPEX - Concept C2 - Carnival'!X172</f>
        <v>676285.92</v>
      </c>
      <c r="Y172" s="663">
        <f>'OPEX - Concept C2 - Carnival'!Y172</f>
        <v>676285.92</v>
      </c>
      <c r="Z172" s="663">
        <f>'OPEX - Concept C2 - Carnival'!Z172</f>
        <v>676285.92</v>
      </c>
      <c r="AA172" s="663">
        <f>'OPEX - Concept C2 - Carnival'!AA172</f>
        <v>676285.92</v>
      </c>
      <c r="AB172" s="663">
        <f>'OPEX - Concept C2 - Carnival'!AB172</f>
        <v>676285.92</v>
      </c>
      <c r="AC172" s="663">
        <f>'OPEX - Concept C2 - Carnival'!AC172</f>
        <v>676285.92</v>
      </c>
      <c r="AD172" s="663">
        <f>'OPEX - Concept C2 - Carnival'!AD172</f>
        <v>676285.92</v>
      </c>
      <c r="AE172" s="663">
        <f>'OPEX - Concept C2 - Carnival'!AE172</f>
        <v>676285.92</v>
      </c>
    </row>
    <row r="173" spans="1:33" s="702" customFormat="1">
      <c r="A173" s="341" t="s">
        <v>315</v>
      </c>
      <c r="B173" s="701"/>
      <c r="C173" s="703"/>
      <c r="D173" s="704"/>
      <c r="E173" s="705"/>
      <c r="F173" s="705"/>
      <c r="G173" s="705"/>
      <c r="H173" s="705"/>
      <c r="I173" s="706"/>
      <c r="J173" s="707"/>
      <c r="K173" s="699">
        <v>0</v>
      </c>
      <c r="L173" s="700">
        <v>0</v>
      </c>
      <c r="M173" s="700">
        <v>0</v>
      </c>
      <c r="N173" s="700">
        <v>0</v>
      </c>
      <c r="O173" s="700">
        <v>0</v>
      </c>
      <c r="P173" s="700">
        <v>0</v>
      </c>
      <c r="Q173" s="700">
        <v>0</v>
      </c>
      <c r="R173" s="700">
        <v>0</v>
      </c>
      <c r="S173" s="700">
        <v>0</v>
      </c>
      <c r="T173" s="700">
        <v>0</v>
      </c>
      <c r="U173" s="700">
        <v>0</v>
      </c>
      <c r="V173" s="700">
        <v>0</v>
      </c>
      <c r="W173" s="700">
        <v>0</v>
      </c>
      <c r="X173" s="700">
        <v>0</v>
      </c>
      <c r="Y173" s="700">
        <v>0</v>
      </c>
      <c r="Z173" s="700">
        <v>0</v>
      </c>
      <c r="AA173" s="700">
        <v>0</v>
      </c>
      <c r="AB173" s="700">
        <v>0</v>
      </c>
      <c r="AC173" s="700">
        <v>0</v>
      </c>
      <c r="AD173" s="700">
        <v>0</v>
      </c>
      <c r="AE173" s="700">
        <v>0</v>
      </c>
      <c r="AG173" s="708"/>
    </row>
    <row r="174" spans="1:33">
      <c r="A174" s="180" t="s">
        <v>316</v>
      </c>
      <c r="B174" s="180"/>
      <c r="C174" s="180"/>
      <c r="D174" s="116"/>
      <c r="E174" s="180"/>
      <c r="F174" s="180"/>
      <c r="G174" s="180"/>
      <c r="H174" s="180"/>
      <c r="I174" s="180"/>
      <c r="J174" s="180"/>
      <c r="K174" s="505">
        <v>0</v>
      </c>
      <c r="L174" s="506">
        <v>246000</v>
      </c>
      <c r="M174" s="506">
        <v>246000</v>
      </c>
      <c r="N174" s="506">
        <v>246000</v>
      </c>
      <c r="O174" s="506">
        <v>246000</v>
      </c>
      <c r="P174" s="506">
        <v>246000</v>
      </c>
      <c r="Q174" s="506">
        <v>246000</v>
      </c>
      <c r="R174" s="506">
        <v>246000</v>
      </c>
      <c r="S174" s="506">
        <v>246000</v>
      </c>
      <c r="T174" s="506">
        <v>246000</v>
      </c>
      <c r="U174" s="506">
        <v>246000</v>
      </c>
      <c r="V174" s="506">
        <v>246000</v>
      </c>
      <c r="W174" s="506">
        <v>246000</v>
      </c>
      <c r="X174" s="506">
        <v>246000</v>
      </c>
      <c r="Y174" s="506">
        <v>246000</v>
      </c>
      <c r="Z174" s="506">
        <v>246000</v>
      </c>
      <c r="AA174" s="506">
        <v>246000</v>
      </c>
      <c r="AB174" s="506">
        <v>246000</v>
      </c>
      <c r="AC174" s="506">
        <v>246000</v>
      </c>
      <c r="AD174" s="506">
        <v>246000</v>
      </c>
      <c r="AE174" s="506">
        <v>246000</v>
      </c>
      <c r="AG174" s="199"/>
    </row>
    <row r="175" spans="1:33" s="56" customFormat="1" ht="14.25">
      <c r="A175" s="56" t="s">
        <v>134</v>
      </c>
      <c r="D175" s="173"/>
      <c r="K175" s="524">
        <f t="shared" ref="K175:AE175" si="79">SUM(K169:K174)</f>
        <v>0</v>
      </c>
      <c r="L175" s="525">
        <f t="shared" si="79"/>
        <v>922285.92</v>
      </c>
      <c r="M175" s="525">
        <f t="shared" si="79"/>
        <v>1018490.92</v>
      </c>
      <c r="N175" s="525">
        <f t="shared" si="79"/>
        <v>1020415.02</v>
      </c>
      <c r="O175" s="525">
        <f t="shared" si="79"/>
        <v>1022377.6020000001</v>
      </c>
      <c r="P175" s="525">
        <f t="shared" si="79"/>
        <v>1024379.43564</v>
      </c>
      <c r="Q175" s="525">
        <f t="shared" si="79"/>
        <v>1026421.3059528001</v>
      </c>
      <c r="R175" s="525">
        <f t="shared" si="79"/>
        <v>1028504.013671856</v>
      </c>
      <c r="S175" s="525">
        <f t="shared" si="79"/>
        <v>1030628.3755452932</v>
      </c>
      <c r="T175" s="525">
        <f t="shared" si="79"/>
        <v>1032795.224656199</v>
      </c>
      <c r="U175" s="525">
        <f t="shared" si="79"/>
        <v>1035005.410749323</v>
      </c>
      <c r="V175" s="525">
        <f t="shared" si="79"/>
        <v>1037259.8005643095</v>
      </c>
      <c r="W175" s="525">
        <f t="shared" si="79"/>
        <v>1039559.2781755957</v>
      </c>
      <c r="X175" s="525">
        <f t="shared" si="79"/>
        <v>1041904.7453391076</v>
      </c>
      <c r="Y175" s="525">
        <f t="shared" si="79"/>
        <v>1044297.1218458897</v>
      </c>
      <c r="Z175" s="525">
        <f t="shared" si="79"/>
        <v>1046737.3458828075</v>
      </c>
      <c r="AA175" s="525">
        <f t="shared" si="79"/>
        <v>1049226.3744004637</v>
      </c>
      <c r="AB175" s="525">
        <f t="shared" si="79"/>
        <v>1051765.1834884728</v>
      </c>
      <c r="AC175" s="525">
        <f t="shared" si="79"/>
        <v>1054354.7687582425</v>
      </c>
      <c r="AD175" s="525">
        <f t="shared" si="79"/>
        <v>1056996.1457334072</v>
      </c>
      <c r="AE175" s="525">
        <f t="shared" si="79"/>
        <v>1059690.3502480756</v>
      </c>
      <c r="AG175" s="199"/>
    </row>
    <row r="176" spans="1:33">
      <c r="K176" s="683"/>
      <c r="L176" s="666"/>
      <c r="M176" s="666"/>
      <c r="N176" s="666"/>
      <c r="O176" s="666"/>
      <c r="P176" s="666"/>
      <c r="Q176" s="666"/>
      <c r="R176" s="666"/>
      <c r="S176" s="666"/>
      <c r="T176" s="666"/>
      <c r="U176" s="666"/>
      <c r="V176" s="666"/>
      <c r="W176" s="666"/>
      <c r="X176" s="666"/>
      <c r="Y176" s="666"/>
      <c r="Z176" s="666"/>
      <c r="AA176" s="666"/>
      <c r="AB176" s="666"/>
      <c r="AC176" s="666"/>
      <c r="AD176" s="666"/>
      <c r="AE176" s="666"/>
      <c r="AG176" s="199"/>
    </row>
    <row r="177" spans="1:33" s="56" customFormat="1" ht="14.25">
      <c r="A177" s="208" t="s">
        <v>86</v>
      </c>
      <c r="B177" s="718">
        <f>SUM(L177:AE177)</f>
        <v>20643094.342651844</v>
      </c>
      <c r="C177" s="208"/>
      <c r="D177" s="202"/>
      <c r="E177" s="208"/>
      <c r="F177" s="208"/>
      <c r="G177" s="208"/>
      <c r="H177" s="208"/>
      <c r="I177" s="208"/>
      <c r="J177" s="208"/>
      <c r="K177" s="678">
        <f>SUM(K170:K172)</f>
        <v>0</v>
      </c>
      <c r="L177" s="678">
        <f>L175</f>
        <v>922285.92</v>
      </c>
      <c r="M177" s="678">
        <f t="shared" ref="M177:AE177" si="80">M175</f>
        <v>1018490.92</v>
      </c>
      <c r="N177" s="678">
        <f t="shared" si="80"/>
        <v>1020415.02</v>
      </c>
      <c r="O177" s="678">
        <f t="shared" si="80"/>
        <v>1022377.6020000001</v>
      </c>
      <c r="P177" s="678">
        <f t="shared" si="80"/>
        <v>1024379.43564</v>
      </c>
      <c r="Q177" s="678">
        <f t="shared" si="80"/>
        <v>1026421.3059528001</v>
      </c>
      <c r="R177" s="678">
        <f t="shared" si="80"/>
        <v>1028504.013671856</v>
      </c>
      <c r="S177" s="678">
        <f t="shared" si="80"/>
        <v>1030628.3755452932</v>
      </c>
      <c r="T177" s="678">
        <f t="shared" si="80"/>
        <v>1032795.224656199</v>
      </c>
      <c r="U177" s="678">
        <f t="shared" si="80"/>
        <v>1035005.410749323</v>
      </c>
      <c r="V177" s="678">
        <f t="shared" si="80"/>
        <v>1037259.8005643095</v>
      </c>
      <c r="W177" s="678">
        <f t="shared" si="80"/>
        <v>1039559.2781755957</v>
      </c>
      <c r="X177" s="678">
        <f t="shared" si="80"/>
        <v>1041904.7453391076</v>
      </c>
      <c r="Y177" s="678">
        <f t="shared" si="80"/>
        <v>1044297.1218458897</v>
      </c>
      <c r="Z177" s="678">
        <f t="shared" si="80"/>
        <v>1046737.3458828075</v>
      </c>
      <c r="AA177" s="678">
        <f t="shared" si="80"/>
        <v>1049226.3744004637</v>
      </c>
      <c r="AB177" s="678">
        <f t="shared" si="80"/>
        <v>1051765.1834884728</v>
      </c>
      <c r="AC177" s="678">
        <f t="shared" si="80"/>
        <v>1054354.7687582425</v>
      </c>
      <c r="AD177" s="678">
        <f t="shared" si="80"/>
        <v>1056996.1457334072</v>
      </c>
      <c r="AE177" s="678">
        <f t="shared" si="80"/>
        <v>1059690.3502480756</v>
      </c>
      <c r="AG177" s="199"/>
    </row>
    <row r="178" spans="1:33">
      <c r="K178" s="662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1"/>
      <c r="Y178" s="201"/>
      <c r="Z178" s="201"/>
      <c r="AA178" s="201"/>
      <c r="AB178" s="201"/>
      <c r="AC178" s="201"/>
      <c r="AD178" s="201"/>
      <c r="AE178" s="201"/>
    </row>
    <row r="179" spans="1:33">
      <c r="A179" s="251"/>
      <c r="B179" s="251"/>
      <c r="C179" s="251"/>
      <c r="D179" s="259"/>
      <c r="E179" s="251"/>
      <c r="F179" s="251"/>
      <c r="G179" s="251"/>
      <c r="H179" s="251"/>
      <c r="I179" s="251"/>
      <c r="J179" s="251"/>
      <c r="K179" s="324"/>
      <c r="L179" s="325"/>
      <c r="M179" s="325"/>
      <c r="N179" s="325"/>
      <c r="O179" s="325"/>
      <c r="P179" s="325"/>
      <c r="Q179" s="325"/>
      <c r="R179" s="325"/>
      <c r="S179" s="325"/>
      <c r="T179" s="325"/>
      <c r="U179" s="325"/>
      <c r="V179" s="325"/>
      <c r="W179" s="325"/>
      <c r="X179" s="325"/>
      <c r="Y179" s="325"/>
      <c r="Z179" s="325"/>
      <c r="AA179" s="325"/>
      <c r="AB179" s="325"/>
      <c r="AC179" s="325"/>
      <c r="AD179" s="325"/>
      <c r="AE179" s="325"/>
    </row>
    <row r="180" spans="1:33">
      <c r="K180" s="322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</row>
    <row r="181" spans="1:33">
      <c r="A181"/>
      <c r="K181" s="322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</row>
    <row r="182" spans="1:33">
      <c r="A182"/>
      <c r="K182" s="322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  <c r="AA182" s="201"/>
      <c r="AB182" s="201"/>
      <c r="AC182" s="201"/>
      <c r="AD182" s="201"/>
      <c r="AE182" s="201"/>
    </row>
    <row r="183" spans="1:33">
      <c r="K183" s="322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</row>
    <row r="184" spans="1:33">
      <c r="K184" s="322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  <c r="AA184" s="201"/>
      <c r="AB184" s="201"/>
      <c r="AC184" s="201"/>
      <c r="AD184" s="201"/>
      <c r="AE184" s="201"/>
    </row>
    <row r="185" spans="1:33">
      <c r="K185" s="322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</row>
    <row r="186" spans="1:33">
      <c r="K186" s="322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</row>
    <row r="187" spans="1:33">
      <c r="K187" s="322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</row>
    <row r="188" spans="1:33">
      <c r="K188" s="322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</row>
    <row r="189" spans="1:33">
      <c r="K189" s="322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</row>
    <row r="190" spans="1:33">
      <c r="K190" s="322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</row>
    <row r="191" spans="1:33">
      <c r="K191" s="322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</row>
    <row r="192" spans="1:33">
      <c r="K192" s="322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</row>
    <row r="193" spans="11:31">
      <c r="K193" s="322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201"/>
      <c r="AE193" s="201"/>
    </row>
    <row r="194" spans="11:31">
      <c r="K194" s="322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1"/>
      <c r="Z194" s="201"/>
      <c r="AA194" s="201"/>
      <c r="AB194" s="201"/>
      <c r="AC194" s="201"/>
      <c r="AD194" s="201"/>
      <c r="AE194" s="201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FD194"/>
  <sheetViews>
    <sheetView topLeftCell="A70" zoomScale="70" zoomScaleNormal="70" workbookViewId="0">
      <selection activeCell="G90" sqref="G90"/>
    </sheetView>
  </sheetViews>
  <sheetFormatPr defaultColWidth="9" defaultRowHeight="16.5"/>
  <cols>
    <col min="1" max="1" width="45.625" style="33" customWidth="1"/>
    <col min="2" max="2" width="48.5" style="33" bestFit="1" customWidth="1"/>
    <col min="3" max="3" width="18.125" style="33" bestFit="1" customWidth="1"/>
    <col min="4" max="4" width="16.25" style="109" bestFit="1" customWidth="1"/>
    <col min="5" max="5" width="13.125" style="33" bestFit="1" customWidth="1"/>
    <col min="6" max="6" width="20.5" style="33" bestFit="1" customWidth="1"/>
    <col min="7" max="7" width="20.25" style="33" bestFit="1" customWidth="1"/>
    <col min="8" max="8" width="26.75" style="33" bestFit="1" customWidth="1"/>
    <col min="9" max="9" width="12.125" style="33" bestFit="1" customWidth="1"/>
    <col min="10" max="10" width="13.875" style="33" bestFit="1" customWidth="1"/>
    <col min="11" max="11" width="7.75" style="166" bestFit="1" customWidth="1"/>
    <col min="12" max="13" width="17.5" style="33" bestFit="1" customWidth="1"/>
    <col min="14" max="15" width="17.125" style="33" bestFit="1" customWidth="1"/>
    <col min="16" max="18" width="17.5" style="33" bestFit="1" customWidth="1"/>
    <col min="19" max="20" width="17.125" style="33" bestFit="1" customWidth="1"/>
    <col min="21" max="21" width="17.5" style="33" bestFit="1" customWidth="1"/>
    <col min="22" max="23" width="17.125" style="33" bestFit="1" customWidth="1"/>
    <col min="24" max="31" width="17.5" style="33" bestFit="1" customWidth="1"/>
    <col min="32" max="32" width="22.625" style="33" bestFit="1" customWidth="1"/>
    <col min="33" max="33" width="12.625" style="33" bestFit="1" customWidth="1"/>
    <col min="34" max="16384" width="9" style="33"/>
  </cols>
  <sheetData>
    <row r="1" spans="1:31" ht="18.75" thickBot="1">
      <c r="A1" s="11" t="str">
        <f>Intro!A1</f>
        <v>Town of Bar Harbor</v>
      </c>
      <c r="B1" s="13"/>
      <c r="C1" s="13"/>
      <c r="D1" s="99"/>
      <c r="E1" s="14"/>
      <c r="F1" s="14"/>
      <c r="G1" s="34"/>
      <c r="H1" s="34"/>
      <c r="I1" s="34"/>
      <c r="J1" s="34"/>
      <c r="K1" s="16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</row>
    <row r="2" spans="1:31" ht="17.25" thickBot="1">
      <c r="A2" s="380" t="str">
        <f>Intro!A2</f>
        <v>Ferry Property Business Plan</v>
      </c>
      <c r="B2" s="13"/>
      <c r="C2" s="13"/>
      <c r="D2" s="99"/>
      <c r="E2" s="14"/>
      <c r="F2" s="14"/>
      <c r="G2" s="34"/>
      <c r="H2" s="34"/>
      <c r="I2" s="34"/>
      <c r="J2" s="34"/>
      <c r="K2" s="16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</row>
    <row r="3" spans="1:31" s="392" customFormat="1" ht="14.25" thickBot="1">
      <c r="A3" s="384" t="str">
        <f>Intro!A3</f>
        <v>05.23.2018</v>
      </c>
      <c r="B3" s="2"/>
      <c r="C3" s="382"/>
      <c r="D3" s="393"/>
      <c r="E3" s="385"/>
      <c r="F3" s="385"/>
      <c r="G3" s="389"/>
      <c r="H3" s="389"/>
      <c r="I3" s="389"/>
      <c r="J3" s="389"/>
      <c r="K3" s="390"/>
      <c r="L3" s="391"/>
      <c r="M3" s="391"/>
      <c r="N3" s="391"/>
      <c r="O3" s="391"/>
      <c r="P3" s="391"/>
      <c r="Q3" s="391"/>
      <c r="R3" s="391"/>
      <c r="S3" s="391"/>
      <c r="T3" s="391"/>
      <c r="U3" s="391"/>
      <c r="V3" s="391"/>
      <c r="W3" s="391"/>
      <c r="X3" s="391"/>
      <c r="Y3" s="391"/>
      <c r="Z3" s="391"/>
      <c r="AA3" s="391"/>
      <c r="AB3" s="391"/>
      <c r="AC3" s="391"/>
      <c r="AD3" s="391"/>
      <c r="AE3" s="391"/>
    </row>
    <row r="4" spans="1:31" s="392" customFormat="1" ht="13.5">
      <c r="A4" s="384" t="str">
        <f ca="1">Intro!A4</f>
        <v>Town of Bar Harbor</v>
      </c>
      <c r="B4" s="382"/>
      <c r="C4" s="382"/>
      <c r="D4" s="393"/>
      <c r="E4" s="383">
        <f ca="1">NOW()</f>
        <v>43242.835659143515</v>
      </c>
      <c r="F4" s="383"/>
      <c r="G4" s="389"/>
      <c r="H4" s="389"/>
      <c r="I4" s="389"/>
      <c r="J4" s="389"/>
      <c r="K4" s="390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  <c r="W4" s="391"/>
      <c r="X4" s="391"/>
      <c r="Y4" s="391"/>
      <c r="Z4" s="391"/>
      <c r="AA4" s="391"/>
      <c r="AB4" s="391"/>
      <c r="AC4" s="391"/>
      <c r="AD4" s="391"/>
      <c r="AE4" s="391"/>
    </row>
    <row r="5" spans="1:31">
      <c r="A5" s="231" t="s">
        <v>342</v>
      </c>
      <c r="B5" s="231"/>
      <c r="C5" s="232"/>
      <c r="D5" s="233"/>
      <c r="E5" s="232"/>
      <c r="F5" s="232"/>
      <c r="G5" s="234"/>
      <c r="H5" s="234"/>
      <c r="I5" s="234"/>
      <c r="J5" s="234"/>
      <c r="K5" s="235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1:31">
      <c r="A6" s="237"/>
      <c r="B6" s="237"/>
      <c r="C6" s="237"/>
      <c r="D6" s="238"/>
      <c r="E6" s="237"/>
      <c r="F6" s="237"/>
      <c r="G6" s="237"/>
      <c r="H6" s="237"/>
      <c r="I6" s="237"/>
      <c r="J6" s="237"/>
      <c r="K6" s="659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</row>
    <row r="7" spans="1:31" ht="48.75" customHeight="1">
      <c r="A7" s="239"/>
      <c r="B7" s="240" t="s">
        <v>45</v>
      </c>
      <c r="C7" s="241" t="s">
        <v>46</v>
      </c>
      <c r="D7" s="242" t="s">
        <v>47</v>
      </c>
      <c r="E7" s="240" t="s">
        <v>21</v>
      </c>
      <c r="F7" s="240" t="s">
        <v>48</v>
      </c>
      <c r="G7" s="240" t="s">
        <v>49</v>
      </c>
      <c r="H7" s="240" t="s">
        <v>59</v>
      </c>
      <c r="I7" s="240" t="s">
        <v>22</v>
      </c>
      <c r="J7" s="240" t="s">
        <v>50</v>
      </c>
      <c r="K7" s="243">
        <v>2018</v>
      </c>
      <c r="L7" s="243">
        <v>2019</v>
      </c>
      <c r="M7" s="243">
        <v>2020</v>
      </c>
      <c r="N7" s="243">
        <v>2021</v>
      </c>
      <c r="O7" s="243">
        <v>2022</v>
      </c>
      <c r="P7" s="243">
        <v>2023</v>
      </c>
      <c r="Q7" s="243">
        <v>2024</v>
      </c>
      <c r="R7" s="243">
        <v>2025</v>
      </c>
      <c r="S7" s="243">
        <v>2026</v>
      </c>
      <c r="T7" s="243">
        <v>2027</v>
      </c>
      <c r="U7" s="243">
        <v>2028</v>
      </c>
      <c r="V7" s="243">
        <v>2029</v>
      </c>
      <c r="W7" s="243">
        <v>2030</v>
      </c>
      <c r="X7" s="243">
        <v>2031</v>
      </c>
      <c r="Y7" s="243">
        <v>2032</v>
      </c>
      <c r="Z7" s="243">
        <v>2033</v>
      </c>
      <c r="AA7" s="243">
        <v>2034</v>
      </c>
      <c r="AB7" s="243">
        <v>2035</v>
      </c>
      <c r="AC7" s="243">
        <v>2036</v>
      </c>
      <c r="AD7" s="243">
        <v>2037</v>
      </c>
      <c r="AE7" s="243">
        <v>2038</v>
      </c>
    </row>
    <row r="8" spans="1:31" s="18" customFormat="1" ht="17.25" thickBot="1">
      <c r="K8" s="488"/>
    </row>
    <row r="9" spans="1:31" s="18" customFormat="1" ht="17.25" thickBot="1">
      <c r="A9" s="117" t="s">
        <v>381</v>
      </c>
      <c r="B9" s="484" t="str">
        <f>'OPEX - Concept C1 - NCLH'!B9</f>
        <v>Scenario 5 - Percent of 2018 Business - NCLH</v>
      </c>
      <c r="K9" s="489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  <c r="Y9" s="327"/>
      <c r="Z9" s="327"/>
      <c r="AA9" s="327"/>
      <c r="AB9" s="327"/>
      <c r="AC9" s="327"/>
      <c r="AD9" s="327"/>
      <c r="AE9" s="327"/>
    </row>
    <row r="10" spans="1:31" s="18" customFormat="1">
      <c r="A10" s="649"/>
      <c r="B10" s="372"/>
      <c r="K10" s="489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  <c r="Y10" s="327"/>
      <c r="Z10" s="327"/>
      <c r="AA10" s="327"/>
      <c r="AB10" s="327"/>
      <c r="AC10" s="327"/>
      <c r="AD10" s="327"/>
      <c r="AE10" s="327"/>
    </row>
    <row r="11" spans="1:31">
      <c r="A11" s="38" t="s">
        <v>52</v>
      </c>
      <c r="B11" s="38"/>
      <c r="C11" s="38"/>
      <c r="D11" s="101"/>
      <c r="E11" s="38"/>
      <c r="F11" s="38"/>
      <c r="G11" s="37"/>
      <c r="H11" s="37"/>
      <c r="I11" s="38"/>
      <c r="J11" s="37"/>
      <c r="K11" s="784">
        <f>'OPEX - Concept A1'!K11</f>
        <v>0</v>
      </c>
      <c r="L11" s="311">
        <f>'BH Tariffs'!D52</f>
        <v>1.02</v>
      </c>
      <c r="M11" s="311">
        <f>'BH Tariffs'!E52</f>
        <v>1.0404</v>
      </c>
      <c r="N11" s="311">
        <f>'BH Tariffs'!F52</f>
        <v>1.0612079999999999</v>
      </c>
      <c r="O11" s="311">
        <f>'BH Tariffs'!G52</f>
        <v>1.08243216</v>
      </c>
      <c r="P11" s="311">
        <f>'BH Tariffs'!H52</f>
        <v>1.1040808032</v>
      </c>
      <c r="Q11" s="311">
        <f>'BH Tariffs'!I52</f>
        <v>1.1261624192640001</v>
      </c>
      <c r="R11" s="311">
        <f>'BH Tariffs'!J52</f>
        <v>1.14868566764928</v>
      </c>
      <c r="S11" s="311">
        <f>'BH Tariffs'!K52</f>
        <v>1.1716593810022657</v>
      </c>
      <c r="T11" s="311">
        <f>'BH Tariffs'!L52</f>
        <v>1.1950925686223111</v>
      </c>
      <c r="U11" s="311">
        <f>'BH Tariffs'!M52</f>
        <v>1.2189944199947573</v>
      </c>
      <c r="V11" s="311">
        <f>'BH Tariffs'!N52</f>
        <v>1.2433743083946525</v>
      </c>
      <c r="W11" s="311">
        <f>'BH Tariffs'!O52</f>
        <v>1.2682417945625455</v>
      </c>
      <c r="X11" s="311">
        <f>'BH Tariffs'!P52</f>
        <v>1.2936066304537963</v>
      </c>
      <c r="Y11" s="311">
        <f>'BH Tariffs'!Q52</f>
        <v>1.3194787630628724</v>
      </c>
      <c r="Z11" s="311">
        <f>'BH Tariffs'!R52</f>
        <v>1.3458683383241299</v>
      </c>
      <c r="AA11" s="311">
        <f>'BH Tariffs'!S52</f>
        <v>1.3727857050906125</v>
      </c>
      <c r="AB11" s="311">
        <f>'BH Tariffs'!T52</f>
        <v>1.4002414191924248</v>
      </c>
      <c r="AC11" s="311">
        <f>'BH Tariffs'!U52</f>
        <v>1.4282462475762734</v>
      </c>
      <c r="AD11" s="311">
        <f>'BH Tariffs'!V52</f>
        <v>1.4568111725277988</v>
      </c>
      <c r="AE11" s="311">
        <f>'BH Tariffs'!W52</f>
        <v>1.4859473959783549</v>
      </c>
    </row>
    <row r="12" spans="1:31">
      <c r="A12" s="38" t="s">
        <v>58</v>
      </c>
      <c r="B12" s="38"/>
      <c r="C12" s="37"/>
      <c r="D12" s="76"/>
      <c r="E12" s="79">
        <v>0.2</v>
      </c>
      <c r="F12" s="172"/>
      <c r="G12" s="36"/>
      <c r="H12" s="36"/>
      <c r="I12" s="38"/>
      <c r="J12" s="36"/>
      <c r="K12" s="661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200"/>
      <c r="AC12" s="200"/>
      <c r="AD12" s="200"/>
      <c r="AE12" s="200"/>
    </row>
    <row r="13" spans="1:31">
      <c r="A13" s="38" t="s">
        <v>51</v>
      </c>
      <c r="B13" s="38"/>
      <c r="C13" s="37"/>
      <c r="D13" s="76"/>
      <c r="E13" s="79"/>
      <c r="F13" s="79">
        <v>0.4</v>
      </c>
      <c r="G13" s="36"/>
      <c r="H13" s="36"/>
      <c r="I13" s="38"/>
      <c r="J13" s="36"/>
      <c r="K13" s="661"/>
      <c r="L13" s="200"/>
      <c r="M13" s="200"/>
      <c r="N13" s="200"/>
      <c r="O13" s="200"/>
      <c r="P13" s="200"/>
      <c r="Q13" s="200"/>
      <c r="R13" s="200"/>
      <c r="S13" s="200"/>
      <c r="T13" s="200"/>
      <c r="U13" s="200"/>
      <c r="V13" s="200"/>
      <c r="W13" s="200"/>
      <c r="X13" s="200"/>
      <c r="Y13" s="200"/>
      <c r="Z13" s="200"/>
      <c r="AA13" s="200"/>
      <c r="AB13" s="200"/>
      <c r="AC13" s="200"/>
      <c r="AD13" s="200"/>
      <c r="AE13" s="200"/>
    </row>
    <row r="14" spans="1:31" s="18" customFormat="1">
      <c r="A14" s="649"/>
      <c r="B14" s="372"/>
      <c r="K14" s="489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7"/>
      <c r="X14" s="327"/>
      <c r="Y14" s="327"/>
      <c r="Z14" s="327"/>
      <c r="AA14" s="327"/>
      <c r="AB14" s="327"/>
      <c r="AC14" s="327"/>
      <c r="AD14" s="327"/>
      <c r="AE14" s="327"/>
    </row>
    <row r="15" spans="1:31" s="18" customFormat="1">
      <c r="K15" s="489"/>
      <c r="L15" s="327"/>
      <c r="M15" s="327"/>
      <c r="N15" s="327"/>
      <c r="O15" s="327"/>
      <c r="P15" s="327"/>
      <c r="Q15" s="327"/>
      <c r="R15" s="327"/>
      <c r="S15" s="327"/>
      <c r="T15" s="327"/>
      <c r="U15" s="327"/>
      <c r="V15" s="327"/>
      <c r="W15" s="327"/>
      <c r="X15" s="327"/>
      <c r="Y15" s="327"/>
      <c r="Z15" s="327"/>
      <c r="AA15" s="327"/>
      <c r="AB15" s="327"/>
      <c r="AC15" s="327"/>
      <c r="AD15" s="327"/>
      <c r="AE15" s="327"/>
    </row>
    <row r="16" spans="1:31" s="582" customFormat="1" ht="14.25">
      <c r="A16" s="582" t="s">
        <v>83</v>
      </c>
      <c r="K16" s="490"/>
      <c r="L16" s="785"/>
      <c r="M16" s="785"/>
      <c r="N16" s="785"/>
      <c r="O16" s="785"/>
      <c r="P16" s="785"/>
      <c r="Q16" s="785"/>
      <c r="R16" s="785"/>
      <c r="S16" s="785"/>
      <c r="T16" s="785"/>
      <c r="U16" s="785"/>
      <c r="V16" s="785"/>
      <c r="W16" s="785"/>
      <c r="X16" s="785"/>
      <c r="Y16" s="785"/>
      <c r="Z16" s="785"/>
      <c r="AA16" s="785"/>
      <c r="AB16" s="785"/>
      <c r="AC16" s="785"/>
      <c r="AD16" s="785"/>
      <c r="AE16" s="785"/>
    </row>
    <row r="17" spans="1:31" s="96" customFormat="1">
      <c r="A17" s="53" t="str">
        <f>'Cruise Projections'!A67</f>
        <v>Passengers</v>
      </c>
      <c r="B17" s="487"/>
      <c r="C17" s="487"/>
      <c r="K17" s="486">
        <f>'P&amp;L - Concept C2 - NCLH'!D12</f>
        <v>0</v>
      </c>
      <c r="L17" s="313">
        <f>'P&amp;L - Concept C2 - NCLH'!E12</f>
        <v>0</v>
      </c>
      <c r="M17" s="313">
        <f>'P&amp;L - Concept C2 - NCLH'!F12</f>
        <v>51920.067226246269</v>
      </c>
      <c r="N17" s="313">
        <f>'P&amp;L - Concept C2 - NCLH'!G12</f>
        <v>51920.067226246269</v>
      </c>
      <c r="O17" s="313">
        <f>'P&amp;L - Concept C2 - NCLH'!H12</f>
        <v>51920.067226246269</v>
      </c>
      <c r="P17" s="313">
        <f>'P&amp;L - Concept C2 - NCLH'!I12</f>
        <v>51920.067226246269</v>
      </c>
      <c r="Q17" s="313">
        <f>'P&amp;L - Concept C2 - NCLH'!J12</f>
        <v>51920.067226246269</v>
      </c>
      <c r="R17" s="313">
        <f>'P&amp;L - Concept C2 - NCLH'!K12</f>
        <v>51920.067226246269</v>
      </c>
      <c r="S17" s="313">
        <f>'P&amp;L - Concept C2 - NCLH'!L12</f>
        <v>51920.067226246269</v>
      </c>
      <c r="T17" s="313">
        <f>'P&amp;L - Concept C2 - NCLH'!M12</f>
        <v>51920.067226246269</v>
      </c>
      <c r="U17" s="313">
        <f>'P&amp;L - Concept C2 - NCLH'!N12</f>
        <v>51920.067226246269</v>
      </c>
      <c r="V17" s="313">
        <f>'P&amp;L - Concept C2 - NCLH'!O12</f>
        <v>51920.067226246269</v>
      </c>
      <c r="W17" s="313">
        <f>'P&amp;L - Concept C2 - NCLH'!P12</f>
        <v>51920.067226246269</v>
      </c>
      <c r="X17" s="313">
        <f>'P&amp;L - Concept C2 - NCLH'!Q12</f>
        <v>51920.067226246269</v>
      </c>
      <c r="Y17" s="313">
        <f>'P&amp;L - Concept C2 - NCLH'!R12</f>
        <v>51920.067226246269</v>
      </c>
      <c r="Z17" s="313">
        <f>'P&amp;L - Concept C2 - NCLH'!S12</f>
        <v>51920.067226246269</v>
      </c>
      <c r="AA17" s="313">
        <f>'P&amp;L - Concept C2 - NCLH'!T12</f>
        <v>51920.067226246269</v>
      </c>
      <c r="AB17" s="313">
        <f>'P&amp;L - Concept C2 - NCLH'!U12</f>
        <v>51920.067226246269</v>
      </c>
      <c r="AC17" s="313">
        <f>'P&amp;L - Concept C2 - NCLH'!V12</f>
        <v>51920.067226246269</v>
      </c>
      <c r="AD17" s="313">
        <f>'P&amp;L - Concept C2 - NCLH'!W12</f>
        <v>51920.067226246269</v>
      </c>
      <c r="AE17" s="313">
        <f>'P&amp;L - Concept C2 - NCLH'!X12</f>
        <v>51920.067226246269</v>
      </c>
    </row>
    <row r="18" spans="1:31" s="96" customFormat="1">
      <c r="A18" s="53" t="str">
        <f>'Cruise Projections'!A68</f>
        <v>Calls</v>
      </c>
      <c r="B18" s="487"/>
      <c r="C18" s="487"/>
      <c r="K18" s="486">
        <f>'P&amp;L - Concept C2 - NCLH'!D13</f>
        <v>0</v>
      </c>
      <c r="L18" s="313">
        <f>'P&amp;L - Concept C2 - NCLH'!E13</f>
        <v>0</v>
      </c>
      <c r="M18" s="313">
        <f>'P&amp;L - Concept C2 - NCLH'!F13</f>
        <v>27.711111111111112</v>
      </c>
      <c r="N18" s="313">
        <f>'P&amp;L - Concept C2 - NCLH'!G13</f>
        <v>27.711111111111112</v>
      </c>
      <c r="O18" s="313">
        <f>'P&amp;L - Concept C2 - NCLH'!H13</f>
        <v>27.711111111111112</v>
      </c>
      <c r="P18" s="313">
        <f>'P&amp;L - Concept C2 - NCLH'!I13</f>
        <v>27.711111111111112</v>
      </c>
      <c r="Q18" s="313">
        <f>'P&amp;L - Concept C2 - NCLH'!J13</f>
        <v>27.711111111111112</v>
      </c>
      <c r="R18" s="313">
        <f>'P&amp;L - Concept C2 - NCLH'!K13</f>
        <v>27.711111111111112</v>
      </c>
      <c r="S18" s="313">
        <f>'P&amp;L - Concept C2 - NCLH'!L13</f>
        <v>27.711111111111112</v>
      </c>
      <c r="T18" s="313">
        <f>'P&amp;L - Concept C2 - NCLH'!M13</f>
        <v>27.711111111111112</v>
      </c>
      <c r="U18" s="313">
        <f>'P&amp;L - Concept C2 - NCLH'!N13</f>
        <v>27.711111111111112</v>
      </c>
      <c r="V18" s="313">
        <f>'P&amp;L - Concept C2 - NCLH'!O13</f>
        <v>27.711111111111112</v>
      </c>
      <c r="W18" s="313">
        <f>'P&amp;L - Concept C2 - NCLH'!P13</f>
        <v>27.711111111111112</v>
      </c>
      <c r="X18" s="313">
        <f>'P&amp;L - Concept C2 - NCLH'!Q13</f>
        <v>27.711111111111112</v>
      </c>
      <c r="Y18" s="313">
        <f>'P&amp;L - Concept C2 - NCLH'!R13</f>
        <v>27.711111111111112</v>
      </c>
      <c r="Z18" s="313">
        <f>'P&amp;L - Concept C2 - NCLH'!S13</f>
        <v>27.711111111111112</v>
      </c>
      <c r="AA18" s="313">
        <f>'P&amp;L - Concept C2 - NCLH'!T13</f>
        <v>27.711111111111112</v>
      </c>
      <c r="AB18" s="313">
        <f>'P&amp;L - Concept C2 - NCLH'!U13</f>
        <v>27.711111111111112</v>
      </c>
      <c r="AC18" s="313">
        <f>'P&amp;L - Concept C2 - NCLH'!V13</f>
        <v>27.711111111111112</v>
      </c>
      <c r="AD18" s="313">
        <f>'P&amp;L - Concept C2 - NCLH'!W13</f>
        <v>27.711111111111112</v>
      </c>
      <c r="AE18" s="313">
        <f>'P&amp;L - Concept C2 - NCLH'!X13</f>
        <v>27.711111111111112</v>
      </c>
    </row>
    <row r="19" spans="1:31" s="96" customFormat="1">
      <c r="A19" s="53" t="str">
        <f>'Cruise Projections'!A69</f>
        <v>Passengers per Call</v>
      </c>
      <c r="B19" s="487"/>
      <c r="C19" s="487"/>
      <c r="K19" s="486">
        <f>'P&amp;L - Concept C2 - NCLH'!D14</f>
        <v>0</v>
      </c>
      <c r="L19" s="313">
        <f>'P&amp;L - Concept C2 - NCLH'!E14</f>
        <v>0</v>
      </c>
      <c r="M19" s="313">
        <f>'P&amp;L - Concept C2 - NCLH'!F14</f>
        <v>1873.6191059992639</v>
      </c>
      <c r="N19" s="313">
        <f>'P&amp;L - Concept C2 - NCLH'!G14</f>
        <v>1873.6191059992639</v>
      </c>
      <c r="O19" s="313">
        <f>'P&amp;L - Concept C2 - NCLH'!H14</f>
        <v>1873.6191059992639</v>
      </c>
      <c r="P19" s="313">
        <f>'P&amp;L - Concept C2 - NCLH'!I14</f>
        <v>1873.6191059992639</v>
      </c>
      <c r="Q19" s="313">
        <f>'P&amp;L - Concept C2 - NCLH'!J14</f>
        <v>1873.6191059992639</v>
      </c>
      <c r="R19" s="313">
        <f>'P&amp;L - Concept C2 - NCLH'!K14</f>
        <v>1873.6191059992639</v>
      </c>
      <c r="S19" s="313">
        <f>'P&amp;L - Concept C2 - NCLH'!L14</f>
        <v>1873.6191059992639</v>
      </c>
      <c r="T19" s="313">
        <f>'P&amp;L - Concept C2 - NCLH'!M14</f>
        <v>1873.6191059992639</v>
      </c>
      <c r="U19" s="313">
        <f>'P&amp;L - Concept C2 - NCLH'!N14</f>
        <v>1873.6191059992639</v>
      </c>
      <c r="V19" s="313">
        <f>'P&amp;L - Concept C2 - NCLH'!O14</f>
        <v>1873.6191059992639</v>
      </c>
      <c r="W19" s="313">
        <f>'P&amp;L - Concept C2 - NCLH'!P14</f>
        <v>1873.6191059992639</v>
      </c>
      <c r="X19" s="313">
        <f>'P&amp;L - Concept C2 - NCLH'!Q14</f>
        <v>1873.6191059992639</v>
      </c>
      <c r="Y19" s="313">
        <f>'P&amp;L - Concept C2 - NCLH'!R14</f>
        <v>1873.6191059992639</v>
      </c>
      <c r="Z19" s="313">
        <f>'P&amp;L - Concept C2 - NCLH'!S14</f>
        <v>1873.6191059992639</v>
      </c>
      <c r="AA19" s="313">
        <f>'P&amp;L - Concept C2 - NCLH'!T14</f>
        <v>1873.6191059992639</v>
      </c>
      <c r="AB19" s="313">
        <f>'P&amp;L - Concept C2 - NCLH'!U14</f>
        <v>1873.6191059992639</v>
      </c>
      <c r="AC19" s="313">
        <f>'P&amp;L - Concept C2 - NCLH'!V14</f>
        <v>1873.6191059992639</v>
      </c>
      <c r="AD19" s="313">
        <f>'P&amp;L - Concept C2 - NCLH'!W14</f>
        <v>1873.6191059992639</v>
      </c>
      <c r="AE19" s="313">
        <f>'P&amp;L - Concept C2 - NCLH'!X14</f>
        <v>1873.6191059992639</v>
      </c>
    </row>
    <row r="20" spans="1:31" s="96" customFormat="1">
      <c r="A20" s="54" t="s">
        <v>313</v>
      </c>
      <c r="B20" s="487"/>
      <c r="C20" s="487"/>
      <c r="K20" s="486">
        <f>'P&amp;L - Concept C2 - NCLH'!D15</f>
        <v>0</v>
      </c>
      <c r="L20" s="313">
        <f>'P&amp;L - Concept C2 - NCLH'!E15</f>
        <v>0</v>
      </c>
      <c r="M20" s="313">
        <f>'P&amp;L - Concept C2 - NCLH'!F15</f>
        <v>4120</v>
      </c>
      <c r="N20" s="313">
        <f>'P&amp;L - Concept C2 - NCLH'!G15</f>
        <v>4120</v>
      </c>
      <c r="O20" s="313">
        <f>'P&amp;L - Concept C2 - NCLH'!H15</f>
        <v>4120</v>
      </c>
      <c r="P20" s="313">
        <f>'P&amp;L - Concept C2 - NCLH'!I15</f>
        <v>4120</v>
      </c>
      <c r="Q20" s="313">
        <f>'P&amp;L - Concept C2 - NCLH'!J15</f>
        <v>4120</v>
      </c>
      <c r="R20" s="313">
        <f>'P&amp;L - Concept C2 - NCLH'!K15</f>
        <v>4120</v>
      </c>
      <c r="S20" s="313">
        <f>'P&amp;L - Concept C2 - NCLH'!L15</f>
        <v>4120</v>
      </c>
      <c r="T20" s="313">
        <f>'P&amp;L - Concept C2 - NCLH'!M15</f>
        <v>4120</v>
      </c>
      <c r="U20" s="313">
        <f>'P&amp;L - Concept C2 - NCLH'!N15</f>
        <v>4120</v>
      </c>
      <c r="V20" s="313">
        <f>'P&amp;L - Concept C2 - NCLH'!O15</f>
        <v>4120</v>
      </c>
      <c r="W20" s="313">
        <f>'P&amp;L - Concept C2 - NCLH'!P15</f>
        <v>4120</v>
      </c>
      <c r="X20" s="313">
        <f>'P&amp;L - Concept C2 - NCLH'!Q15</f>
        <v>4120</v>
      </c>
      <c r="Y20" s="313">
        <f>'P&amp;L - Concept C2 - NCLH'!R15</f>
        <v>4120</v>
      </c>
      <c r="Z20" s="313">
        <f>'P&amp;L - Concept C2 - NCLH'!S15</f>
        <v>4120</v>
      </c>
      <c r="AA20" s="313">
        <f>'P&amp;L - Concept C2 - NCLH'!T15</f>
        <v>4120</v>
      </c>
      <c r="AB20" s="313">
        <f>'P&amp;L - Concept C2 - NCLH'!U15</f>
        <v>4120</v>
      </c>
      <c r="AC20" s="313">
        <f>'P&amp;L - Concept C2 - NCLH'!V15</f>
        <v>4120</v>
      </c>
      <c r="AD20" s="313">
        <f>'P&amp;L - Concept C2 - NCLH'!W15</f>
        <v>4120</v>
      </c>
      <c r="AE20" s="313">
        <f>'P&amp;L - Concept C2 - NCLH'!X15</f>
        <v>4120</v>
      </c>
    </row>
    <row r="21" spans="1:31" s="18" customFormat="1">
      <c r="A21" s="54"/>
      <c r="B21" s="21"/>
      <c r="C21" s="21"/>
      <c r="K21" s="486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  <c r="Y21" s="313"/>
      <c r="Z21" s="313"/>
      <c r="AA21" s="313"/>
      <c r="AB21" s="313"/>
      <c r="AC21" s="313"/>
      <c r="AD21" s="313"/>
      <c r="AE21" s="313"/>
    </row>
    <row r="22" spans="1:31" s="582" customFormat="1">
      <c r="A22" s="293" t="s">
        <v>163</v>
      </c>
      <c r="B22" s="581"/>
      <c r="C22" s="581"/>
      <c r="K22" s="491"/>
      <c r="L22" s="313"/>
      <c r="M22" s="313"/>
      <c r="N22" s="313"/>
      <c r="O22" s="313"/>
      <c r="P22" s="313"/>
      <c r="Q22" s="313"/>
      <c r="R22" s="313"/>
      <c r="S22" s="313"/>
      <c r="T22" s="313"/>
      <c r="U22" s="313"/>
      <c r="V22" s="313"/>
      <c r="W22" s="313"/>
      <c r="X22" s="313"/>
      <c r="Y22" s="313"/>
      <c r="Z22" s="313"/>
      <c r="AA22" s="313"/>
      <c r="AB22" s="313"/>
      <c r="AC22" s="313"/>
      <c r="AD22" s="313"/>
      <c r="AE22" s="313"/>
    </row>
    <row r="23" spans="1:31" s="96" customFormat="1">
      <c r="A23" s="54" t="str">
        <f>'International Ferry Projections'!A11</f>
        <v>Passengers</v>
      </c>
      <c r="B23" s="487"/>
      <c r="C23" s="487"/>
      <c r="K23" s="486">
        <f>'P&amp;L - Concept C2 - NCLH'!D18</f>
        <v>0</v>
      </c>
      <c r="L23" s="313">
        <f>'P&amp;L - Concept C2 - NCLH'!E18</f>
        <v>60000</v>
      </c>
      <c r="M23" s="313">
        <f>'P&amp;L - Concept C2 - NCLH'!F18</f>
        <v>70000</v>
      </c>
      <c r="N23" s="313">
        <f>'P&amp;L - Concept C2 - NCLH'!G18</f>
        <v>80000</v>
      </c>
      <c r="O23" s="313">
        <f>'P&amp;L - Concept C2 - NCLH'!H18</f>
        <v>80000</v>
      </c>
      <c r="P23" s="313">
        <f>'P&amp;L - Concept C2 - NCLH'!I18</f>
        <v>80000</v>
      </c>
      <c r="Q23" s="313">
        <f>'P&amp;L - Concept C2 - NCLH'!J18</f>
        <v>80000</v>
      </c>
      <c r="R23" s="313">
        <f>'P&amp;L - Concept C2 - NCLH'!K18</f>
        <v>80000</v>
      </c>
      <c r="S23" s="313">
        <f>'P&amp;L - Concept C2 - NCLH'!L18</f>
        <v>80000</v>
      </c>
      <c r="T23" s="313">
        <f>'P&amp;L - Concept C2 - NCLH'!M18</f>
        <v>80000</v>
      </c>
      <c r="U23" s="313">
        <f>'P&amp;L - Concept C2 - NCLH'!N18</f>
        <v>80000</v>
      </c>
      <c r="V23" s="313">
        <f>'P&amp;L - Concept C2 - NCLH'!O18</f>
        <v>80000</v>
      </c>
      <c r="W23" s="313">
        <f>'P&amp;L - Concept C2 - NCLH'!P18</f>
        <v>80000</v>
      </c>
      <c r="X23" s="313">
        <f>'P&amp;L - Concept C2 - NCLH'!Q18</f>
        <v>80000</v>
      </c>
      <c r="Y23" s="313">
        <f>'P&amp;L - Concept C2 - NCLH'!R18</f>
        <v>80000</v>
      </c>
      <c r="Z23" s="313">
        <f>'P&amp;L - Concept C2 - NCLH'!S18</f>
        <v>80000</v>
      </c>
      <c r="AA23" s="313">
        <f>'P&amp;L - Concept C2 - NCLH'!T18</f>
        <v>80000</v>
      </c>
      <c r="AB23" s="313">
        <f>'P&amp;L - Concept C2 - NCLH'!U18</f>
        <v>80000</v>
      </c>
      <c r="AC23" s="313">
        <f>'P&amp;L - Concept C2 - NCLH'!V18</f>
        <v>80000</v>
      </c>
      <c r="AD23" s="313">
        <f>'P&amp;L - Concept C2 - NCLH'!W18</f>
        <v>80000</v>
      </c>
      <c r="AE23" s="313">
        <f>'P&amp;L - Concept C2 - NCLH'!X18</f>
        <v>80000</v>
      </c>
    </row>
    <row r="24" spans="1:31" s="96" customFormat="1">
      <c r="A24" s="54" t="str">
        <f>'International Ferry Projections'!A12</f>
        <v>Cars</v>
      </c>
      <c r="B24" s="487"/>
      <c r="C24" s="487"/>
      <c r="K24" s="486">
        <f>'P&amp;L - Concept C2 - NCLH'!D19</f>
        <v>0</v>
      </c>
      <c r="L24" s="313">
        <f>'P&amp;L - Concept C2 - NCLH'!E19</f>
        <v>24000</v>
      </c>
      <c r="M24" s="313">
        <f>'P&amp;L - Concept C2 - NCLH'!F19</f>
        <v>28000</v>
      </c>
      <c r="N24" s="313">
        <f>'P&amp;L - Concept C2 - NCLH'!G19</f>
        <v>32000</v>
      </c>
      <c r="O24" s="313">
        <f>'P&amp;L - Concept C2 - NCLH'!H19</f>
        <v>32000</v>
      </c>
      <c r="P24" s="313">
        <f>'P&amp;L - Concept C2 - NCLH'!I19</f>
        <v>32000</v>
      </c>
      <c r="Q24" s="313">
        <f>'P&amp;L - Concept C2 - NCLH'!J19</f>
        <v>32000</v>
      </c>
      <c r="R24" s="313">
        <f>'P&amp;L - Concept C2 - NCLH'!K19</f>
        <v>32000</v>
      </c>
      <c r="S24" s="313">
        <f>'P&amp;L - Concept C2 - NCLH'!L19</f>
        <v>32000</v>
      </c>
      <c r="T24" s="313">
        <f>'P&amp;L - Concept C2 - NCLH'!M19</f>
        <v>32000</v>
      </c>
      <c r="U24" s="313">
        <f>'P&amp;L - Concept C2 - NCLH'!N19</f>
        <v>32000</v>
      </c>
      <c r="V24" s="313">
        <f>'P&amp;L - Concept C2 - NCLH'!O19</f>
        <v>32000</v>
      </c>
      <c r="W24" s="313">
        <f>'P&amp;L - Concept C2 - NCLH'!P19</f>
        <v>32000</v>
      </c>
      <c r="X24" s="313">
        <f>'P&amp;L - Concept C2 - NCLH'!Q19</f>
        <v>32000</v>
      </c>
      <c r="Y24" s="313">
        <f>'P&amp;L - Concept C2 - NCLH'!R19</f>
        <v>32000</v>
      </c>
      <c r="Z24" s="313">
        <f>'P&amp;L - Concept C2 - NCLH'!S19</f>
        <v>32000</v>
      </c>
      <c r="AA24" s="313">
        <f>'P&amp;L - Concept C2 - NCLH'!T19</f>
        <v>32000</v>
      </c>
      <c r="AB24" s="313">
        <f>'P&amp;L - Concept C2 - NCLH'!U19</f>
        <v>32000</v>
      </c>
      <c r="AC24" s="313">
        <f>'P&amp;L - Concept C2 - NCLH'!V19</f>
        <v>32000</v>
      </c>
      <c r="AD24" s="313">
        <f>'P&amp;L - Concept C2 - NCLH'!W19</f>
        <v>32000</v>
      </c>
      <c r="AE24" s="313">
        <f>'P&amp;L - Concept C2 - NCLH'!X19</f>
        <v>32000</v>
      </c>
    </row>
    <row r="25" spans="1:31" s="96" customFormat="1">
      <c r="A25" s="54" t="str">
        <f>'International Ferry Projections'!A13</f>
        <v>Buses</v>
      </c>
      <c r="B25" s="487"/>
      <c r="C25" s="487"/>
      <c r="K25" s="486">
        <f>'P&amp;L - Concept C2 - NCLH'!D20</f>
        <v>0</v>
      </c>
      <c r="L25" s="313">
        <f>'P&amp;L - Concept C2 - NCLH'!E20</f>
        <v>40</v>
      </c>
      <c r="M25" s="313">
        <f>'P&amp;L - Concept C2 - NCLH'!F20</f>
        <v>50</v>
      </c>
      <c r="N25" s="313">
        <f>'P&amp;L - Concept C2 - NCLH'!G20</f>
        <v>60</v>
      </c>
      <c r="O25" s="313">
        <f>'P&amp;L - Concept C2 - NCLH'!H20</f>
        <v>60</v>
      </c>
      <c r="P25" s="313">
        <f>'P&amp;L - Concept C2 - NCLH'!I20</f>
        <v>60</v>
      </c>
      <c r="Q25" s="313">
        <f>'P&amp;L - Concept C2 - NCLH'!J20</f>
        <v>60</v>
      </c>
      <c r="R25" s="313">
        <f>'P&amp;L - Concept C2 - NCLH'!K20</f>
        <v>60</v>
      </c>
      <c r="S25" s="313">
        <f>'P&amp;L - Concept C2 - NCLH'!L20</f>
        <v>60</v>
      </c>
      <c r="T25" s="313">
        <f>'P&amp;L - Concept C2 - NCLH'!M20</f>
        <v>60</v>
      </c>
      <c r="U25" s="313">
        <f>'P&amp;L - Concept C2 - NCLH'!N20</f>
        <v>60</v>
      </c>
      <c r="V25" s="313">
        <f>'P&amp;L - Concept C2 - NCLH'!O20</f>
        <v>60</v>
      </c>
      <c r="W25" s="313">
        <f>'P&amp;L - Concept C2 - NCLH'!P20</f>
        <v>60</v>
      </c>
      <c r="X25" s="313">
        <f>'P&amp;L - Concept C2 - NCLH'!Q20</f>
        <v>60</v>
      </c>
      <c r="Y25" s="313">
        <f>'P&amp;L - Concept C2 - NCLH'!R20</f>
        <v>60</v>
      </c>
      <c r="Z25" s="313">
        <f>'P&amp;L - Concept C2 - NCLH'!S20</f>
        <v>60</v>
      </c>
      <c r="AA25" s="313">
        <f>'P&amp;L - Concept C2 - NCLH'!T20</f>
        <v>60</v>
      </c>
      <c r="AB25" s="313">
        <f>'P&amp;L - Concept C2 - NCLH'!U20</f>
        <v>60</v>
      </c>
      <c r="AC25" s="313">
        <f>'P&amp;L - Concept C2 - NCLH'!V20</f>
        <v>60</v>
      </c>
      <c r="AD25" s="313">
        <f>'P&amp;L - Concept C2 - NCLH'!W20</f>
        <v>60</v>
      </c>
      <c r="AE25" s="313">
        <f>'P&amp;L - Concept C2 - NCLH'!X20</f>
        <v>60</v>
      </c>
    </row>
    <row r="26" spans="1:31" s="18" customFormat="1">
      <c r="A26" s="54"/>
      <c r="B26" s="21"/>
      <c r="C26" s="21"/>
      <c r="K26" s="486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</row>
    <row r="27" spans="1:31" s="582" customFormat="1">
      <c r="A27" s="293" t="str">
        <f>'BH Tariffs'!A30</f>
        <v>Local Ferry</v>
      </c>
      <c r="B27" s="581"/>
      <c r="C27" s="581"/>
      <c r="K27" s="486"/>
      <c r="L27" s="313"/>
      <c r="M27" s="313"/>
      <c r="N27" s="313"/>
      <c r="O27" s="313"/>
      <c r="P27" s="313"/>
      <c r="Q27" s="313"/>
      <c r="R27" s="313"/>
      <c r="S27" s="313"/>
      <c r="T27" s="313"/>
      <c r="U27" s="313"/>
      <c r="V27" s="313"/>
      <c r="W27" s="313"/>
      <c r="X27" s="313"/>
      <c r="Y27" s="313"/>
      <c r="Z27" s="313"/>
      <c r="AA27" s="313"/>
      <c r="AB27" s="313"/>
      <c r="AC27" s="313"/>
      <c r="AD27" s="313"/>
      <c r="AE27" s="313"/>
    </row>
    <row r="28" spans="1:31" s="96" customFormat="1">
      <c r="A28" s="54" t="str">
        <f>'BH Tariffs'!A31</f>
        <v>Dock Rent (6 Months Only)</v>
      </c>
      <c r="B28" s="487"/>
      <c r="C28" s="487"/>
      <c r="K28" s="486">
        <f>'P&amp;L - Concept C2 - NCLH'!D23</f>
        <v>0</v>
      </c>
      <c r="L28" s="313" t="str">
        <f>'P&amp;L - Concept C2 - NCLH'!E23</f>
        <v>see Tariff</v>
      </c>
      <c r="M28" s="313" t="str">
        <f>'P&amp;L - Concept C2 - NCLH'!F23</f>
        <v>see Tariff</v>
      </c>
      <c r="N28" s="313" t="str">
        <f>'P&amp;L - Concept C2 - NCLH'!G23</f>
        <v>see Tariff</v>
      </c>
      <c r="O28" s="313" t="str">
        <f>'P&amp;L - Concept C2 - NCLH'!H23</f>
        <v>see Tariff</v>
      </c>
      <c r="P28" s="313" t="str">
        <f>'P&amp;L - Concept C2 - NCLH'!I23</f>
        <v>see Tariff</v>
      </c>
      <c r="Q28" s="313" t="str">
        <f>'P&amp;L - Concept C2 - NCLH'!J23</f>
        <v>see Tariff</v>
      </c>
      <c r="R28" s="313" t="str">
        <f>'P&amp;L - Concept C2 - NCLH'!K23</f>
        <v>see Tariff</v>
      </c>
      <c r="S28" s="313" t="str">
        <f>'P&amp;L - Concept C2 - NCLH'!L23</f>
        <v>see Tariff</v>
      </c>
      <c r="T28" s="313" t="str">
        <f>'P&amp;L - Concept C2 - NCLH'!M23</f>
        <v>see Tariff</v>
      </c>
      <c r="U28" s="313" t="str">
        <f>'P&amp;L - Concept C2 - NCLH'!N23</f>
        <v>see Tariff</v>
      </c>
      <c r="V28" s="313" t="str">
        <f>'P&amp;L - Concept C2 - NCLH'!O23</f>
        <v>see Tariff</v>
      </c>
      <c r="W28" s="313" t="str">
        <f>'P&amp;L - Concept C2 - NCLH'!P23</f>
        <v>see Tariff</v>
      </c>
      <c r="X28" s="313" t="str">
        <f>'P&amp;L - Concept C2 - NCLH'!Q23</f>
        <v>see Tariff</v>
      </c>
      <c r="Y28" s="313" t="str">
        <f>'P&amp;L - Concept C2 - NCLH'!R23</f>
        <v>see Tariff</v>
      </c>
      <c r="Z28" s="313" t="str">
        <f>'P&amp;L - Concept C2 - NCLH'!S23</f>
        <v>see Tariff</v>
      </c>
      <c r="AA28" s="313" t="str">
        <f>'P&amp;L - Concept C2 - NCLH'!T23</f>
        <v>see Tariff</v>
      </c>
      <c r="AB28" s="313" t="str">
        <f>'P&amp;L - Concept C2 - NCLH'!U23</f>
        <v>see Tariff</v>
      </c>
      <c r="AC28" s="313" t="str">
        <f>'P&amp;L - Concept C2 - NCLH'!V23</f>
        <v>see Tariff</v>
      </c>
      <c r="AD28" s="313" t="str">
        <f>'P&amp;L - Concept C2 - NCLH'!W23</f>
        <v>see Tariff</v>
      </c>
      <c r="AE28" s="313" t="str">
        <f>'P&amp;L - Concept C2 - NCLH'!X23</f>
        <v>see Tariff</v>
      </c>
    </row>
    <row r="29" spans="1:31" s="341" customFormat="1">
      <c r="A29" s="552"/>
      <c r="B29" s="553"/>
      <c r="C29" s="553"/>
      <c r="K29" s="554"/>
      <c r="L29" s="313"/>
      <c r="M29" s="313"/>
      <c r="N29" s="313"/>
      <c r="O29" s="313"/>
      <c r="P29" s="313"/>
      <c r="Q29" s="313"/>
      <c r="R29" s="313"/>
      <c r="S29" s="313"/>
      <c r="T29" s="313"/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</row>
    <row r="30" spans="1:31" s="96" customFormat="1">
      <c r="A30" s="559" t="s">
        <v>227</v>
      </c>
      <c r="B30" s="487"/>
      <c r="C30" s="487"/>
      <c r="K30" s="486"/>
      <c r="L30" s="313"/>
      <c r="M30" s="313"/>
      <c r="N30" s="313"/>
      <c r="O30" s="313"/>
      <c r="P30" s="313"/>
      <c r="Q30" s="313"/>
      <c r="R30" s="313"/>
      <c r="S30" s="313"/>
      <c r="T30" s="313"/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</row>
    <row r="31" spans="1:31" s="96" customFormat="1">
      <c r="A31" s="559"/>
      <c r="B31" s="487"/>
      <c r="C31" s="487"/>
      <c r="K31" s="486"/>
      <c r="L31" s="313"/>
      <c r="M31" s="313"/>
      <c r="N31" s="313"/>
      <c r="O31" s="313"/>
      <c r="P31" s="313"/>
      <c r="Q31" s="313"/>
      <c r="R31" s="313"/>
      <c r="S31" s="313"/>
      <c r="T31" s="313"/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</row>
    <row r="32" spans="1:31" s="96" customFormat="1">
      <c r="A32" s="54" t="s">
        <v>420</v>
      </c>
      <c r="B32" s="487"/>
      <c r="C32" s="487"/>
      <c r="K32" s="486">
        <f>'P&amp;L - Concept C2 - NCLH'!D27</f>
        <v>0</v>
      </c>
      <c r="L32" s="313">
        <f>'P&amp;L - Concept C2 - NCLH'!E27</f>
        <v>0</v>
      </c>
      <c r="M32" s="313">
        <f>'P&amp;L - Concept C2 - NCLH'!F27</f>
        <v>214</v>
      </c>
      <c r="N32" s="313">
        <f>'P&amp;L - Concept C2 - NCLH'!G27</f>
        <v>214</v>
      </c>
      <c r="O32" s="313">
        <f>'P&amp;L - Concept C2 - NCLH'!H27</f>
        <v>214</v>
      </c>
      <c r="P32" s="313">
        <f>'P&amp;L - Concept C2 - NCLH'!I27</f>
        <v>214</v>
      </c>
      <c r="Q32" s="313">
        <f>'P&amp;L - Concept C2 - NCLH'!J27</f>
        <v>214</v>
      </c>
      <c r="R32" s="313">
        <f>'P&amp;L - Concept C2 - NCLH'!K27</f>
        <v>214</v>
      </c>
      <c r="S32" s="313">
        <f>'P&amp;L - Concept C2 - NCLH'!L27</f>
        <v>214</v>
      </c>
      <c r="T32" s="313">
        <f>'P&amp;L - Concept C2 - NCLH'!M27</f>
        <v>214</v>
      </c>
      <c r="U32" s="313">
        <f>'P&amp;L - Concept C2 - NCLH'!N27</f>
        <v>214</v>
      </c>
      <c r="V32" s="313">
        <f>'P&amp;L - Concept C2 - NCLH'!O27</f>
        <v>214</v>
      </c>
      <c r="W32" s="313">
        <f>'P&amp;L - Concept C2 - NCLH'!P27</f>
        <v>214</v>
      </c>
      <c r="X32" s="313">
        <f>'P&amp;L - Concept C2 - NCLH'!Q27</f>
        <v>214</v>
      </c>
      <c r="Y32" s="313">
        <f>'P&amp;L - Concept C2 - NCLH'!R27</f>
        <v>214</v>
      </c>
      <c r="Z32" s="313">
        <f>'P&amp;L - Concept C2 - NCLH'!S27</f>
        <v>214</v>
      </c>
      <c r="AA32" s="313">
        <f>'P&amp;L - Concept C2 - NCLH'!T27</f>
        <v>214</v>
      </c>
      <c r="AB32" s="313">
        <f>'P&amp;L - Concept C2 - NCLH'!U27</f>
        <v>214</v>
      </c>
      <c r="AC32" s="313">
        <f>'P&amp;L - Concept C2 - NCLH'!V27</f>
        <v>214</v>
      </c>
      <c r="AD32" s="313">
        <f>'P&amp;L - Concept C2 - NCLH'!W27</f>
        <v>214</v>
      </c>
      <c r="AE32" s="313">
        <f>'P&amp;L - Concept C2 - NCLH'!X27</f>
        <v>214</v>
      </c>
    </row>
    <row r="33" spans="1:31" s="96" customFormat="1">
      <c r="A33" s="54" t="s">
        <v>205</v>
      </c>
      <c r="B33" s="487"/>
      <c r="C33" s="487"/>
      <c r="K33" s="486">
        <f>'P&amp;L - Concept C2 - NCLH'!D28</f>
        <v>0</v>
      </c>
      <c r="L33" s="313">
        <f>'P&amp;L - Concept C2 - NCLH'!E28</f>
        <v>0</v>
      </c>
      <c r="M33" s="313">
        <f>'P&amp;L - Concept C2 - NCLH'!F28</f>
        <v>27.711111111111112</v>
      </c>
      <c r="N33" s="313">
        <f>'P&amp;L - Concept C2 - NCLH'!G28</f>
        <v>27.711111111111112</v>
      </c>
      <c r="O33" s="313">
        <f>'P&amp;L - Concept C2 - NCLH'!H28</f>
        <v>27.711111111111112</v>
      </c>
      <c r="P33" s="313">
        <f>'P&amp;L - Concept C2 - NCLH'!I28</f>
        <v>27.711111111111112</v>
      </c>
      <c r="Q33" s="313">
        <f>'P&amp;L - Concept C2 - NCLH'!J28</f>
        <v>27.711111111111112</v>
      </c>
      <c r="R33" s="313">
        <f>'P&amp;L - Concept C2 - NCLH'!K28</f>
        <v>27.711111111111112</v>
      </c>
      <c r="S33" s="313">
        <f>'P&amp;L - Concept C2 - NCLH'!L28</f>
        <v>27.711111111111112</v>
      </c>
      <c r="T33" s="313">
        <f>'P&amp;L - Concept C2 - NCLH'!M28</f>
        <v>27.711111111111112</v>
      </c>
      <c r="U33" s="313">
        <f>'P&amp;L - Concept C2 - NCLH'!N28</f>
        <v>27.711111111111112</v>
      </c>
      <c r="V33" s="313">
        <f>'P&amp;L - Concept C2 - NCLH'!O28</f>
        <v>27.711111111111112</v>
      </c>
      <c r="W33" s="313">
        <f>'P&amp;L - Concept C2 - NCLH'!P28</f>
        <v>27.711111111111112</v>
      </c>
      <c r="X33" s="313">
        <f>'P&amp;L - Concept C2 - NCLH'!Q28</f>
        <v>27.711111111111112</v>
      </c>
      <c r="Y33" s="313">
        <f>'P&amp;L - Concept C2 - NCLH'!R28</f>
        <v>27.711111111111112</v>
      </c>
      <c r="Z33" s="313">
        <f>'P&amp;L - Concept C2 - NCLH'!S28</f>
        <v>27.711111111111112</v>
      </c>
      <c r="AA33" s="313">
        <f>'P&amp;L - Concept C2 - NCLH'!T28</f>
        <v>27.711111111111112</v>
      </c>
      <c r="AB33" s="313">
        <f>'P&amp;L - Concept C2 - NCLH'!U28</f>
        <v>27.711111111111112</v>
      </c>
      <c r="AC33" s="313">
        <f>'P&amp;L - Concept C2 - NCLH'!V28</f>
        <v>27.711111111111112</v>
      </c>
      <c r="AD33" s="313">
        <f>'P&amp;L - Concept C2 - NCLH'!W28</f>
        <v>27.711111111111112</v>
      </c>
      <c r="AE33" s="313">
        <f>'P&amp;L - Concept C2 - NCLH'!X28</f>
        <v>27.711111111111112</v>
      </c>
    </row>
    <row r="34" spans="1:31" s="96" customFormat="1">
      <c r="A34" s="54" t="s">
        <v>219</v>
      </c>
      <c r="B34" s="487"/>
      <c r="C34" s="487"/>
      <c r="K34" s="486">
        <f>'P&amp;L - Concept C2 - NCLH'!D29</f>
        <v>0</v>
      </c>
      <c r="L34" s="313">
        <f>'P&amp;L - Concept C2 - NCLH'!E29</f>
        <v>150</v>
      </c>
      <c r="M34" s="313">
        <f>'P&amp;L - Concept C2 - NCLH'!F29</f>
        <v>150</v>
      </c>
      <c r="N34" s="313">
        <f>'P&amp;L - Concept C2 - NCLH'!G29</f>
        <v>150</v>
      </c>
      <c r="O34" s="313">
        <f>'P&amp;L - Concept C2 - NCLH'!H29</f>
        <v>150</v>
      </c>
      <c r="P34" s="313">
        <f>'P&amp;L - Concept C2 - NCLH'!I29</f>
        <v>150</v>
      </c>
      <c r="Q34" s="313">
        <f>'P&amp;L - Concept C2 - NCLH'!J29</f>
        <v>150</v>
      </c>
      <c r="R34" s="313">
        <f>'P&amp;L - Concept C2 - NCLH'!K29</f>
        <v>150</v>
      </c>
      <c r="S34" s="313">
        <f>'P&amp;L - Concept C2 - NCLH'!L29</f>
        <v>150</v>
      </c>
      <c r="T34" s="313">
        <f>'P&amp;L - Concept C2 - NCLH'!M29</f>
        <v>150</v>
      </c>
      <c r="U34" s="313">
        <f>'P&amp;L - Concept C2 - NCLH'!N29</f>
        <v>150</v>
      </c>
      <c r="V34" s="313">
        <f>'P&amp;L - Concept C2 - NCLH'!O29</f>
        <v>150</v>
      </c>
      <c r="W34" s="313">
        <f>'P&amp;L - Concept C2 - NCLH'!P29</f>
        <v>150</v>
      </c>
      <c r="X34" s="313">
        <f>'P&amp;L - Concept C2 - NCLH'!Q29</f>
        <v>150</v>
      </c>
      <c r="Y34" s="313">
        <f>'P&amp;L - Concept C2 - NCLH'!R29</f>
        <v>150</v>
      </c>
      <c r="Z34" s="313">
        <f>'P&amp;L - Concept C2 - NCLH'!S29</f>
        <v>150</v>
      </c>
      <c r="AA34" s="313">
        <f>'P&amp;L - Concept C2 - NCLH'!T29</f>
        <v>150</v>
      </c>
      <c r="AB34" s="313">
        <f>'P&amp;L - Concept C2 - NCLH'!U29</f>
        <v>150</v>
      </c>
      <c r="AC34" s="313">
        <f>'P&amp;L - Concept C2 - NCLH'!V29</f>
        <v>150</v>
      </c>
      <c r="AD34" s="313">
        <f>'P&amp;L - Concept C2 - NCLH'!W29</f>
        <v>150</v>
      </c>
      <c r="AE34" s="313">
        <f>'P&amp;L - Concept C2 - NCLH'!X29</f>
        <v>150</v>
      </c>
    </row>
    <row r="35" spans="1:31" s="96" customFormat="1">
      <c r="A35" s="54" t="s">
        <v>220</v>
      </c>
      <c r="B35" s="487"/>
      <c r="C35" s="487"/>
      <c r="K35" s="486">
        <f>'P&amp;L - Concept C2 - NCLH'!D30</f>
        <v>0</v>
      </c>
      <c r="L35" s="307">
        <f>'P&amp;L - Concept C2 - NCLH'!E30</f>
        <v>0</v>
      </c>
      <c r="M35" s="307">
        <f>'P&amp;L - Concept C2 - NCLH'!F30</f>
        <v>0.18474074074074076</v>
      </c>
      <c r="N35" s="307">
        <f>'P&amp;L - Concept C2 - NCLH'!G30</f>
        <v>0.18474074074074076</v>
      </c>
      <c r="O35" s="307">
        <f>'P&amp;L - Concept C2 - NCLH'!H30</f>
        <v>0.18474074074074076</v>
      </c>
      <c r="P35" s="307">
        <f>'P&amp;L - Concept C2 - NCLH'!I30</f>
        <v>0.18474074074074076</v>
      </c>
      <c r="Q35" s="307">
        <f>'P&amp;L - Concept C2 - NCLH'!J30</f>
        <v>0.18474074074074076</v>
      </c>
      <c r="R35" s="307">
        <f>'P&amp;L - Concept C2 - NCLH'!K30</f>
        <v>0.18474074074074076</v>
      </c>
      <c r="S35" s="307">
        <f>'P&amp;L - Concept C2 - NCLH'!L30</f>
        <v>0.18474074074074076</v>
      </c>
      <c r="T35" s="307">
        <f>'P&amp;L - Concept C2 - NCLH'!M30</f>
        <v>0.18474074074074076</v>
      </c>
      <c r="U35" s="307">
        <f>'P&amp;L - Concept C2 - NCLH'!N30</f>
        <v>0.18474074074074076</v>
      </c>
      <c r="V35" s="307">
        <f>'P&amp;L - Concept C2 - NCLH'!O30</f>
        <v>0.18474074074074076</v>
      </c>
      <c r="W35" s="307">
        <f>'P&amp;L - Concept C2 - NCLH'!P30</f>
        <v>0.18474074074074076</v>
      </c>
      <c r="X35" s="307">
        <f>'P&amp;L - Concept C2 - NCLH'!Q30</f>
        <v>0.18474074074074076</v>
      </c>
      <c r="Y35" s="307">
        <f>'P&amp;L - Concept C2 - NCLH'!R30</f>
        <v>0.18474074074074076</v>
      </c>
      <c r="Z35" s="307">
        <f>'P&amp;L - Concept C2 - NCLH'!S30</f>
        <v>0.18474074074074076</v>
      </c>
      <c r="AA35" s="307">
        <f>'P&amp;L - Concept C2 - NCLH'!T30</f>
        <v>0.18474074074074076</v>
      </c>
      <c r="AB35" s="307">
        <f>'P&amp;L - Concept C2 - NCLH'!U30</f>
        <v>0.18474074074074076</v>
      </c>
      <c r="AC35" s="307">
        <f>'P&amp;L - Concept C2 - NCLH'!V30</f>
        <v>0.18474074074074076</v>
      </c>
      <c r="AD35" s="307">
        <f>'P&amp;L - Concept C2 - NCLH'!W30</f>
        <v>0.18474074074074076</v>
      </c>
      <c r="AE35" s="307">
        <f>'P&amp;L - Concept C2 - NCLH'!X30</f>
        <v>0.18474074074074076</v>
      </c>
    </row>
    <row r="36" spans="1:31" s="96" customFormat="1">
      <c r="A36" s="54" t="s">
        <v>226</v>
      </c>
      <c r="B36" s="487"/>
      <c r="C36" s="487"/>
      <c r="K36" s="486">
        <f>'P&amp;L - Concept C2 - NCLH'!D31</f>
        <v>0</v>
      </c>
      <c r="L36" s="313">
        <f>'P&amp;L - Concept C2 - NCLH'!E31</f>
        <v>0</v>
      </c>
      <c r="M36" s="313">
        <f>'P&amp;L - Concept C2 - NCLH'!F31</f>
        <v>125</v>
      </c>
      <c r="N36" s="313">
        <f>'P&amp;L - Concept C2 - NCLH'!G31</f>
        <v>125</v>
      </c>
      <c r="O36" s="313">
        <f>'P&amp;L - Concept C2 - NCLH'!H31</f>
        <v>125</v>
      </c>
      <c r="P36" s="313">
        <f>'P&amp;L - Concept C2 - NCLH'!I31</f>
        <v>125</v>
      </c>
      <c r="Q36" s="313">
        <f>'P&amp;L - Concept C2 - NCLH'!J31</f>
        <v>125</v>
      </c>
      <c r="R36" s="313">
        <f>'P&amp;L - Concept C2 - NCLH'!K31</f>
        <v>125</v>
      </c>
      <c r="S36" s="313">
        <f>'P&amp;L - Concept C2 - NCLH'!L31</f>
        <v>125</v>
      </c>
      <c r="T36" s="313">
        <f>'P&amp;L - Concept C2 - NCLH'!M31</f>
        <v>125</v>
      </c>
      <c r="U36" s="313">
        <f>'P&amp;L - Concept C2 - NCLH'!N31</f>
        <v>125</v>
      </c>
      <c r="V36" s="313">
        <f>'P&amp;L - Concept C2 - NCLH'!O31</f>
        <v>125</v>
      </c>
      <c r="W36" s="313">
        <f>'P&amp;L - Concept C2 - NCLH'!P31</f>
        <v>125</v>
      </c>
      <c r="X36" s="313">
        <f>'P&amp;L - Concept C2 - NCLH'!Q31</f>
        <v>125</v>
      </c>
      <c r="Y36" s="313">
        <f>'P&amp;L - Concept C2 - NCLH'!R31</f>
        <v>125</v>
      </c>
      <c r="Z36" s="313">
        <f>'P&amp;L - Concept C2 - NCLH'!S31</f>
        <v>125</v>
      </c>
      <c r="AA36" s="313">
        <f>'P&amp;L - Concept C2 - NCLH'!T31</f>
        <v>125</v>
      </c>
      <c r="AB36" s="313">
        <f>'P&amp;L - Concept C2 - NCLH'!U31</f>
        <v>125</v>
      </c>
      <c r="AC36" s="313">
        <f>'P&amp;L - Concept C2 - NCLH'!V31</f>
        <v>125</v>
      </c>
      <c r="AD36" s="313">
        <f>'P&amp;L - Concept C2 - NCLH'!W31</f>
        <v>125</v>
      </c>
      <c r="AE36" s="313">
        <f>'P&amp;L - Concept C2 - NCLH'!X31</f>
        <v>125</v>
      </c>
    </row>
    <row r="37" spans="1:31" s="96" customFormat="1">
      <c r="A37" s="54"/>
      <c r="B37" s="487"/>
      <c r="C37" s="487"/>
      <c r="K37" s="486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</row>
    <row r="38" spans="1:31" s="96" customFormat="1">
      <c r="A38" s="54" t="s">
        <v>206</v>
      </c>
      <c r="B38" s="487"/>
      <c r="C38" s="487"/>
      <c r="K38" s="486">
        <f>'P&amp;L - Concept C2 - NCLH'!D33</f>
        <v>0</v>
      </c>
      <c r="L38" s="313">
        <f>'P&amp;L - Concept C2 - NCLH'!E33</f>
        <v>0</v>
      </c>
      <c r="M38" s="313">
        <f>'P&amp;L - Concept C2 - NCLH'!F33</f>
        <v>1873.6191059992639</v>
      </c>
      <c r="N38" s="313">
        <f>'P&amp;L - Concept C2 - NCLH'!G33</f>
        <v>1873.6191059992639</v>
      </c>
      <c r="O38" s="313">
        <f>'P&amp;L - Concept C2 - NCLH'!H33</f>
        <v>1873.6191059992639</v>
      </c>
      <c r="P38" s="313">
        <f>'P&amp;L - Concept C2 - NCLH'!I33</f>
        <v>1873.6191059992639</v>
      </c>
      <c r="Q38" s="313">
        <f>'P&amp;L - Concept C2 - NCLH'!J33</f>
        <v>1873.6191059992639</v>
      </c>
      <c r="R38" s="313">
        <f>'P&amp;L - Concept C2 - NCLH'!K33</f>
        <v>1873.6191059992639</v>
      </c>
      <c r="S38" s="313">
        <f>'P&amp;L - Concept C2 - NCLH'!L33</f>
        <v>1873.6191059992639</v>
      </c>
      <c r="T38" s="313">
        <f>'P&amp;L - Concept C2 - NCLH'!M33</f>
        <v>1873.6191059992639</v>
      </c>
      <c r="U38" s="313">
        <f>'P&amp;L - Concept C2 - NCLH'!N33</f>
        <v>1873.6191059992639</v>
      </c>
      <c r="V38" s="313">
        <f>'P&amp;L - Concept C2 - NCLH'!O33</f>
        <v>1873.6191059992639</v>
      </c>
      <c r="W38" s="313">
        <f>'P&amp;L - Concept C2 - NCLH'!P33</f>
        <v>1873.6191059992639</v>
      </c>
      <c r="X38" s="313">
        <f>'P&amp;L - Concept C2 - NCLH'!Q33</f>
        <v>1873.6191059992639</v>
      </c>
      <c r="Y38" s="313">
        <f>'P&amp;L - Concept C2 - NCLH'!R33</f>
        <v>1873.6191059992639</v>
      </c>
      <c r="Z38" s="313">
        <f>'P&amp;L - Concept C2 - NCLH'!S33</f>
        <v>1873.6191059992639</v>
      </c>
      <c r="AA38" s="313">
        <f>'P&amp;L - Concept C2 - NCLH'!T33</f>
        <v>1873.6191059992639</v>
      </c>
      <c r="AB38" s="313">
        <f>'P&amp;L - Concept C2 - NCLH'!U33</f>
        <v>1873.6191059992639</v>
      </c>
      <c r="AC38" s="313">
        <f>'P&amp;L - Concept C2 - NCLH'!V33</f>
        <v>1873.6191059992639</v>
      </c>
      <c r="AD38" s="313">
        <f>'P&amp;L - Concept C2 - NCLH'!W33</f>
        <v>1873.6191059992639</v>
      </c>
      <c r="AE38" s="313">
        <f>'P&amp;L - Concept C2 - NCLH'!X33</f>
        <v>1873.6191059992639</v>
      </c>
    </row>
    <row r="39" spans="1:31" s="96" customFormat="1">
      <c r="A39" s="54" t="s">
        <v>207</v>
      </c>
      <c r="B39" s="487"/>
      <c r="C39" s="487"/>
      <c r="K39" s="486">
        <f>'P&amp;L - Concept C2 - NCLH'!D34</f>
        <v>0</v>
      </c>
      <c r="L39" s="313">
        <f>'P&amp;L - Concept C2 - NCLH'!E34</f>
        <v>0</v>
      </c>
      <c r="M39" s="313">
        <f>'P&amp;L - Concept C2 - NCLH'!F34</f>
        <v>5500</v>
      </c>
      <c r="N39" s="313">
        <f>'P&amp;L - Concept C2 - NCLH'!G34</f>
        <v>5500</v>
      </c>
      <c r="O39" s="313">
        <f>'P&amp;L - Concept C2 - NCLH'!H34</f>
        <v>5500</v>
      </c>
      <c r="P39" s="313">
        <f>'P&amp;L - Concept C2 - NCLH'!I34</f>
        <v>5500</v>
      </c>
      <c r="Q39" s="313">
        <f>'P&amp;L - Concept C2 - NCLH'!J34</f>
        <v>5500</v>
      </c>
      <c r="R39" s="313">
        <f>'P&amp;L - Concept C2 - NCLH'!K34</f>
        <v>5500</v>
      </c>
      <c r="S39" s="313">
        <f>'P&amp;L - Concept C2 - NCLH'!L34</f>
        <v>5500</v>
      </c>
      <c r="T39" s="313">
        <f>'P&amp;L - Concept C2 - NCLH'!M34</f>
        <v>5500</v>
      </c>
      <c r="U39" s="313">
        <f>'P&amp;L - Concept C2 - NCLH'!N34</f>
        <v>5500</v>
      </c>
      <c r="V39" s="313">
        <f>'P&amp;L - Concept C2 - NCLH'!O34</f>
        <v>5500</v>
      </c>
      <c r="W39" s="313">
        <f>'P&amp;L - Concept C2 - NCLH'!P34</f>
        <v>5500</v>
      </c>
      <c r="X39" s="313">
        <f>'P&amp;L - Concept C2 - NCLH'!Q34</f>
        <v>5500</v>
      </c>
      <c r="Y39" s="313">
        <f>'P&amp;L - Concept C2 - NCLH'!R34</f>
        <v>5500</v>
      </c>
      <c r="Z39" s="313">
        <f>'P&amp;L - Concept C2 - NCLH'!S34</f>
        <v>5500</v>
      </c>
      <c r="AA39" s="313">
        <f>'P&amp;L - Concept C2 - NCLH'!T34</f>
        <v>5500</v>
      </c>
      <c r="AB39" s="313">
        <f>'P&amp;L - Concept C2 - NCLH'!U34</f>
        <v>5500</v>
      </c>
      <c r="AC39" s="313">
        <f>'P&amp;L - Concept C2 - NCLH'!V34</f>
        <v>5500</v>
      </c>
      <c r="AD39" s="313">
        <f>'P&amp;L - Concept C2 - NCLH'!W34</f>
        <v>5500</v>
      </c>
      <c r="AE39" s="313">
        <f>'P&amp;L - Concept C2 - NCLH'!X34</f>
        <v>5500</v>
      </c>
    </row>
    <row r="40" spans="1:31" s="96" customFormat="1">
      <c r="A40" s="54" t="s">
        <v>221</v>
      </c>
      <c r="B40" s="487"/>
      <c r="C40" s="487"/>
      <c r="K40" s="486">
        <f>'P&amp;L - Concept C2 - NCLH'!D35</f>
        <v>0</v>
      </c>
      <c r="L40" s="313">
        <f>'P&amp;L - Concept C2 - NCLH'!E35</f>
        <v>400</v>
      </c>
      <c r="M40" s="313">
        <f>'P&amp;L - Concept C2 - NCLH'!F35</f>
        <v>466.66666666666669</v>
      </c>
      <c r="N40" s="313">
        <f>'P&amp;L - Concept C2 - NCLH'!G35</f>
        <v>533.33333333333337</v>
      </c>
      <c r="O40" s="313">
        <f>'P&amp;L - Concept C2 - NCLH'!H35</f>
        <v>533.33333333333337</v>
      </c>
      <c r="P40" s="313">
        <f>'P&amp;L - Concept C2 - NCLH'!I35</f>
        <v>533.33333333333337</v>
      </c>
      <c r="Q40" s="313">
        <f>'P&amp;L - Concept C2 - NCLH'!J35</f>
        <v>533.33333333333337</v>
      </c>
      <c r="R40" s="313">
        <f>'P&amp;L - Concept C2 - NCLH'!K35</f>
        <v>533.33333333333337</v>
      </c>
      <c r="S40" s="313">
        <f>'P&amp;L - Concept C2 - NCLH'!L35</f>
        <v>533.33333333333337</v>
      </c>
      <c r="T40" s="313">
        <f>'P&amp;L - Concept C2 - NCLH'!M35</f>
        <v>533.33333333333337</v>
      </c>
      <c r="U40" s="313">
        <f>'P&amp;L - Concept C2 - NCLH'!N35</f>
        <v>533.33333333333337</v>
      </c>
      <c r="V40" s="313">
        <f>'P&amp;L - Concept C2 - NCLH'!O35</f>
        <v>533.33333333333337</v>
      </c>
      <c r="W40" s="313">
        <f>'P&amp;L - Concept C2 - NCLH'!P35</f>
        <v>533.33333333333337</v>
      </c>
      <c r="X40" s="313">
        <f>'P&amp;L - Concept C2 - NCLH'!Q35</f>
        <v>533.33333333333337</v>
      </c>
      <c r="Y40" s="313">
        <f>'P&amp;L - Concept C2 - NCLH'!R35</f>
        <v>533.33333333333337</v>
      </c>
      <c r="Z40" s="313">
        <f>'P&amp;L - Concept C2 - NCLH'!S35</f>
        <v>533.33333333333337</v>
      </c>
      <c r="AA40" s="313">
        <f>'P&amp;L - Concept C2 - NCLH'!T35</f>
        <v>533.33333333333337</v>
      </c>
      <c r="AB40" s="313">
        <f>'P&amp;L - Concept C2 - NCLH'!U35</f>
        <v>533.33333333333337</v>
      </c>
      <c r="AC40" s="313">
        <f>'P&amp;L - Concept C2 - NCLH'!V35</f>
        <v>533.33333333333337</v>
      </c>
      <c r="AD40" s="313">
        <f>'P&amp;L - Concept C2 - NCLH'!W35</f>
        <v>533.33333333333337</v>
      </c>
      <c r="AE40" s="313">
        <f>'P&amp;L - Concept C2 - NCLH'!X35</f>
        <v>533.33333333333337</v>
      </c>
    </row>
    <row r="41" spans="1:31" s="96" customFormat="1">
      <c r="A41" s="54" t="s">
        <v>222</v>
      </c>
      <c r="B41" s="487"/>
      <c r="C41" s="487"/>
      <c r="K41" s="486">
        <f>'P&amp;L - Concept C2 - NCLH'!D36</f>
        <v>0</v>
      </c>
      <c r="L41" s="313">
        <f>'P&amp;L - Concept C2 - NCLH'!E36</f>
        <v>800</v>
      </c>
      <c r="M41" s="313">
        <f>'P&amp;L - Concept C2 - NCLH'!F36</f>
        <v>800</v>
      </c>
      <c r="N41" s="313">
        <f>'P&amp;L - Concept C2 - NCLH'!G36</f>
        <v>800</v>
      </c>
      <c r="O41" s="313">
        <f>'P&amp;L - Concept C2 - NCLH'!H36</f>
        <v>800</v>
      </c>
      <c r="P41" s="313">
        <f>'P&amp;L - Concept C2 - NCLH'!I36</f>
        <v>800</v>
      </c>
      <c r="Q41" s="313">
        <f>'P&amp;L - Concept C2 - NCLH'!J36</f>
        <v>800</v>
      </c>
      <c r="R41" s="313">
        <f>'P&amp;L - Concept C2 - NCLH'!K36</f>
        <v>800</v>
      </c>
      <c r="S41" s="313">
        <f>'P&amp;L - Concept C2 - NCLH'!L36</f>
        <v>800</v>
      </c>
      <c r="T41" s="313">
        <f>'P&amp;L - Concept C2 - NCLH'!M36</f>
        <v>800</v>
      </c>
      <c r="U41" s="313">
        <f>'P&amp;L - Concept C2 - NCLH'!N36</f>
        <v>800</v>
      </c>
      <c r="V41" s="313">
        <f>'P&amp;L - Concept C2 - NCLH'!O36</f>
        <v>800</v>
      </c>
      <c r="W41" s="313">
        <f>'P&amp;L - Concept C2 - NCLH'!P36</f>
        <v>800</v>
      </c>
      <c r="X41" s="313">
        <f>'P&amp;L - Concept C2 - NCLH'!Q36</f>
        <v>800</v>
      </c>
      <c r="Y41" s="313">
        <f>'P&amp;L - Concept C2 - NCLH'!R36</f>
        <v>800</v>
      </c>
      <c r="Z41" s="313">
        <f>'P&amp;L - Concept C2 - NCLH'!S36</f>
        <v>800</v>
      </c>
      <c r="AA41" s="313">
        <f>'P&amp;L - Concept C2 - NCLH'!T36</f>
        <v>800</v>
      </c>
      <c r="AB41" s="313">
        <f>'P&amp;L - Concept C2 - NCLH'!U36</f>
        <v>800</v>
      </c>
      <c r="AC41" s="313">
        <f>'P&amp;L - Concept C2 - NCLH'!V36</f>
        <v>800</v>
      </c>
      <c r="AD41" s="313">
        <f>'P&amp;L - Concept C2 - NCLH'!W36</f>
        <v>800</v>
      </c>
      <c r="AE41" s="313">
        <f>'P&amp;L - Concept C2 - NCLH'!X36</f>
        <v>800</v>
      </c>
    </row>
    <row r="42" spans="1:31" s="96" customFormat="1">
      <c r="A42" s="54" t="s">
        <v>208</v>
      </c>
      <c r="B42" s="487"/>
      <c r="C42" s="487"/>
      <c r="K42" s="486">
        <f>'P&amp;L - Concept C2 - NCLH'!D37</f>
        <v>0</v>
      </c>
      <c r="L42" s="313">
        <f>'P&amp;L - Concept C2 - NCLH'!E37</f>
        <v>800</v>
      </c>
      <c r="M42" s="313">
        <f>'P&amp;L - Concept C2 - NCLH'!F37</f>
        <v>6300</v>
      </c>
      <c r="N42" s="313">
        <f>'P&amp;L - Concept C2 - NCLH'!G37</f>
        <v>6300</v>
      </c>
      <c r="O42" s="313">
        <f>'P&amp;L - Concept C2 - NCLH'!H37</f>
        <v>6300</v>
      </c>
      <c r="P42" s="313">
        <f>'P&amp;L - Concept C2 - NCLH'!I37</f>
        <v>6300</v>
      </c>
      <c r="Q42" s="313">
        <f>'P&amp;L - Concept C2 - NCLH'!J37</f>
        <v>6300</v>
      </c>
      <c r="R42" s="313">
        <f>'P&amp;L - Concept C2 - NCLH'!K37</f>
        <v>6300</v>
      </c>
      <c r="S42" s="313">
        <f>'P&amp;L - Concept C2 - NCLH'!L37</f>
        <v>6300</v>
      </c>
      <c r="T42" s="313">
        <f>'P&amp;L - Concept C2 - NCLH'!M37</f>
        <v>6300</v>
      </c>
      <c r="U42" s="313">
        <f>'P&amp;L - Concept C2 - NCLH'!N37</f>
        <v>6300</v>
      </c>
      <c r="V42" s="313">
        <f>'P&amp;L - Concept C2 - NCLH'!O37</f>
        <v>6300</v>
      </c>
      <c r="W42" s="313">
        <f>'P&amp;L - Concept C2 - NCLH'!P37</f>
        <v>6300</v>
      </c>
      <c r="X42" s="313">
        <f>'P&amp;L - Concept C2 - NCLH'!Q37</f>
        <v>6300</v>
      </c>
      <c r="Y42" s="313">
        <f>'P&amp;L - Concept C2 - NCLH'!R37</f>
        <v>6300</v>
      </c>
      <c r="Z42" s="313">
        <f>'P&amp;L - Concept C2 - NCLH'!S37</f>
        <v>6300</v>
      </c>
      <c r="AA42" s="313">
        <f>'P&amp;L - Concept C2 - NCLH'!T37</f>
        <v>6300</v>
      </c>
      <c r="AB42" s="313">
        <f>'P&amp;L - Concept C2 - NCLH'!U37</f>
        <v>6300</v>
      </c>
      <c r="AC42" s="313">
        <f>'P&amp;L - Concept C2 - NCLH'!V37</f>
        <v>6300</v>
      </c>
      <c r="AD42" s="313">
        <f>'P&amp;L - Concept C2 - NCLH'!W37</f>
        <v>6300</v>
      </c>
      <c r="AE42" s="313">
        <f>'P&amp;L - Concept C2 - NCLH'!X37</f>
        <v>6300</v>
      </c>
    </row>
    <row r="43" spans="1:31" s="96" customFormat="1">
      <c r="A43" s="54"/>
      <c r="B43" s="487"/>
      <c r="C43" s="487"/>
      <c r="K43" s="486"/>
      <c r="L43" s="313"/>
      <c r="M43" s="313"/>
      <c r="N43" s="313"/>
      <c r="O43" s="313"/>
      <c r="P43" s="313"/>
      <c r="Q43" s="313"/>
      <c r="R43" s="313"/>
      <c r="S43" s="313"/>
      <c r="T43" s="313"/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</row>
    <row r="44" spans="1:31" s="96" customFormat="1">
      <c r="A44" s="54" t="s">
        <v>223</v>
      </c>
      <c r="B44" s="583"/>
      <c r="C44" s="583"/>
      <c r="K44" s="486">
        <f>'P&amp;L - Concept C2 - NCLH'!D39</f>
        <v>0</v>
      </c>
      <c r="L44" s="313">
        <f>'P&amp;L - Concept C2 - NCLH'!E39</f>
        <v>160.26666666666668</v>
      </c>
      <c r="M44" s="313">
        <f>'P&amp;L - Concept C2 - NCLH'!F39</f>
        <v>187</v>
      </c>
      <c r="N44" s="313">
        <f>'P&amp;L - Concept C2 - NCLH'!G39</f>
        <v>213.73333333333332</v>
      </c>
      <c r="O44" s="313">
        <f>'P&amp;L - Concept C2 - NCLH'!H39</f>
        <v>213.73333333333332</v>
      </c>
      <c r="P44" s="313">
        <f>'P&amp;L - Concept C2 - NCLH'!I39</f>
        <v>213.73333333333332</v>
      </c>
      <c r="Q44" s="313">
        <f>'P&amp;L - Concept C2 - NCLH'!J39</f>
        <v>213.73333333333332</v>
      </c>
      <c r="R44" s="313">
        <f>'P&amp;L - Concept C2 - NCLH'!K39</f>
        <v>213.73333333333332</v>
      </c>
      <c r="S44" s="313">
        <f>'P&amp;L - Concept C2 - NCLH'!L39</f>
        <v>213.73333333333332</v>
      </c>
      <c r="T44" s="313">
        <f>'P&amp;L - Concept C2 - NCLH'!M39</f>
        <v>213.73333333333332</v>
      </c>
      <c r="U44" s="313">
        <f>'P&amp;L - Concept C2 - NCLH'!N39</f>
        <v>213.73333333333332</v>
      </c>
      <c r="V44" s="313">
        <f>'P&amp;L - Concept C2 - NCLH'!O39</f>
        <v>213.73333333333332</v>
      </c>
      <c r="W44" s="313">
        <f>'P&amp;L - Concept C2 - NCLH'!P39</f>
        <v>213.73333333333332</v>
      </c>
      <c r="X44" s="313">
        <f>'P&amp;L - Concept C2 - NCLH'!Q39</f>
        <v>213.73333333333332</v>
      </c>
      <c r="Y44" s="313">
        <f>'P&amp;L - Concept C2 - NCLH'!R39</f>
        <v>213.73333333333332</v>
      </c>
      <c r="Z44" s="313">
        <f>'P&amp;L - Concept C2 - NCLH'!S39</f>
        <v>213.73333333333332</v>
      </c>
      <c r="AA44" s="313">
        <f>'P&amp;L - Concept C2 - NCLH'!T39</f>
        <v>213.73333333333332</v>
      </c>
      <c r="AB44" s="313">
        <f>'P&amp;L - Concept C2 - NCLH'!U39</f>
        <v>213.73333333333332</v>
      </c>
      <c r="AC44" s="313">
        <f>'P&amp;L - Concept C2 - NCLH'!V39</f>
        <v>213.73333333333332</v>
      </c>
      <c r="AD44" s="313">
        <f>'P&amp;L - Concept C2 - NCLH'!W39</f>
        <v>213.73333333333332</v>
      </c>
      <c r="AE44" s="313">
        <f>'P&amp;L - Concept C2 - NCLH'!X39</f>
        <v>213.73333333333332</v>
      </c>
    </row>
    <row r="45" spans="1:31" s="96" customFormat="1">
      <c r="A45" s="54"/>
      <c r="B45" s="583"/>
      <c r="C45" s="583"/>
      <c r="K45" s="492"/>
      <c r="L45" s="313"/>
      <c r="M45" s="313"/>
      <c r="N45" s="313"/>
      <c r="O45" s="313"/>
      <c r="P45" s="313"/>
      <c r="Q45" s="313"/>
      <c r="R45" s="313"/>
      <c r="S45" s="313"/>
      <c r="T45" s="313"/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</row>
    <row r="46" spans="1:31" s="18" customFormat="1">
      <c r="A46" s="293" t="s">
        <v>26</v>
      </c>
      <c r="B46" s="74"/>
      <c r="C46" s="74"/>
      <c r="K46" s="492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</row>
    <row r="47" spans="1:31" s="18" customFormat="1">
      <c r="A47" s="54" t="s">
        <v>264</v>
      </c>
      <c r="B47" s="277"/>
      <c r="C47" s="74"/>
      <c r="K47" s="486">
        <f>'P&amp;L - Concept C2 - NCLH'!D42</f>
        <v>0</v>
      </c>
      <c r="L47" s="313">
        <f>'P&amp;L - Concept C2 - NCLH'!E42</f>
        <v>13920.314236111111</v>
      </c>
      <c r="M47" s="313">
        <f>'P&amp;L - Concept C2 - NCLH'!F42</f>
        <v>13920.314236111111</v>
      </c>
      <c r="N47" s="313">
        <f>'P&amp;L - Concept C2 - NCLH'!G42</f>
        <v>13920.314236111111</v>
      </c>
      <c r="O47" s="313">
        <f>'P&amp;L - Concept C2 - NCLH'!H42</f>
        <v>13920.314236111111</v>
      </c>
      <c r="P47" s="313">
        <f>'P&amp;L - Concept C2 - NCLH'!I42</f>
        <v>13920.314236111111</v>
      </c>
      <c r="Q47" s="313">
        <f>'P&amp;L - Concept C2 - NCLH'!J42</f>
        <v>13920.314236111111</v>
      </c>
      <c r="R47" s="313">
        <f>'P&amp;L - Concept C2 - NCLH'!K42</f>
        <v>13920.314236111111</v>
      </c>
      <c r="S47" s="313">
        <f>'P&amp;L - Concept C2 - NCLH'!L42</f>
        <v>13920.314236111111</v>
      </c>
      <c r="T47" s="313">
        <f>'P&amp;L - Concept C2 - NCLH'!M42</f>
        <v>13920.314236111111</v>
      </c>
      <c r="U47" s="313">
        <f>'P&amp;L - Concept C2 - NCLH'!N42</f>
        <v>13920.314236111111</v>
      </c>
      <c r="V47" s="313">
        <f>'P&amp;L - Concept C2 - NCLH'!O42</f>
        <v>13920.314236111111</v>
      </c>
      <c r="W47" s="313">
        <f>'P&amp;L - Concept C2 - NCLH'!P42</f>
        <v>13920.314236111111</v>
      </c>
      <c r="X47" s="313">
        <f>'P&amp;L - Concept C2 - NCLH'!Q42</f>
        <v>13920.314236111111</v>
      </c>
      <c r="Y47" s="313">
        <f>'P&amp;L - Concept C2 - NCLH'!R42</f>
        <v>13920.314236111111</v>
      </c>
      <c r="Z47" s="313">
        <f>'P&amp;L - Concept C2 - NCLH'!S42</f>
        <v>13920.314236111111</v>
      </c>
      <c r="AA47" s="313">
        <f>'P&amp;L - Concept C2 - NCLH'!T42</f>
        <v>13920.314236111111</v>
      </c>
      <c r="AB47" s="313">
        <f>'P&amp;L - Concept C2 - NCLH'!U42</f>
        <v>13920.314236111111</v>
      </c>
      <c r="AC47" s="313">
        <f>'P&amp;L - Concept C2 - NCLH'!V42</f>
        <v>13920.314236111111</v>
      </c>
      <c r="AD47" s="313">
        <f>'P&amp;L - Concept C2 - NCLH'!W42</f>
        <v>13920.314236111111</v>
      </c>
      <c r="AE47" s="313">
        <f>'P&amp;L - Concept C2 - NCLH'!X42</f>
        <v>13920.314236111111</v>
      </c>
    </row>
    <row r="48" spans="1:31" s="18" customFormat="1">
      <c r="A48" s="54" t="s">
        <v>267</v>
      </c>
      <c r="B48" s="277"/>
      <c r="C48" s="74"/>
      <c r="K48" s="486">
        <f>'P&amp;L - Concept C2 - NCLH'!D43</f>
        <v>0</v>
      </c>
      <c r="L48" s="313">
        <f>'P&amp;L - Concept C2 - NCLH'!E43</f>
        <v>13115.666666666662</v>
      </c>
      <c r="M48" s="313">
        <f>'P&amp;L - Concept C2 - NCLH'!F43</f>
        <v>13115.666666666662</v>
      </c>
      <c r="N48" s="313">
        <f>'P&amp;L - Concept C2 - NCLH'!G43</f>
        <v>13115.666666666662</v>
      </c>
      <c r="O48" s="313">
        <f>'P&amp;L - Concept C2 - NCLH'!H43</f>
        <v>13115.666666666662</v>
      </c>
      <c r="P48" s="313">
        <f>'P&amp;L - Concept C2 - NCLH'!I43</f>
        <v>13115.666666666662</v>
      </c>
      <c r="Q48" s="313">
        <f>'P&amp;L - Concept C2 - NCLH'!J43</f>
        <v>13115.666666666662</v>
      </c>
      <c r="R48" s="313">
        <f>'P&amp;L - Concept C2 - NCLH'!K43</f>
        <v>13115.666666666662</v>
      </c>
      <c r="S48" s="313">
        <f>'P&amp;L - Concept C2 - NCLH'!L43</f>
        <v>13115.666666666662</v>
      </c>
      <c r="T48" s="313">
        <f>'P&amp;L - Concept C2 - NCLH'!M43</f>
        <v>13115.666666666662</v>
      </c>
      <c r="U48" s="313">
        <f>'P&amp;L - Concept C2 - NCLH'!N43</f>
        <v>13115.666666666662</v>
      </c>
      <c r="V48" s="313">
        <f>'P&amp;L - Concept C2 - NCLH'!O43</f>
        <v>13115.666666666662</v>
      </c>
      <c r="W48" s="313">
        <f>'P&amp;L - Concept C2 - NCLH'!P43</f>
        <v>13115.666666666662</v>
      </c>
      <c r="X48" s="313">
        <f>'P&amp;L - Concept C2 - NCLH'!Q43</f>
        <v>13115.666666666662</v>
      </c>
      <c r="Y48" s="313">
        <f>'P&amp;L - Concept C2 - NCLH'!R43</f>
        <v>13115.666666666662</v>
      </c>
      <c r="Z48" s="313">
        <f>'P&amp;L - Concept C2 - NCLH'!S43</f>
        <v>13115.666666666662</v>
      </c>
      <c r="AA48" s="313">
        <f>'P&amp;L - Concept C2 - NCLH'!T43</f>
        <v>13115.666666666662</v>
      </c>
      <c r="AB48" s="313">
        <f>'P&amp;L - Concept C2 - NCLH'!U43</f>
        <v>13115.666666666662</v>
      </c>
      <c r="AC48" s="313">
        <f>'P&amp;L - Concept C2 - NCLH'!V43</f>
        <v>13115.666666666662</v>
      </c>
      <c r="AD48" s="313">
        <f>'P&amp;L - Concept C2 - NCLH'!W43</f>
        <v>13115.666666666662</v>
      </c>
      <c r="AE48" s="313">
        <f>'P&amp;L - Concept C2 - NCLH'!X43</f>
        <v>13115.666666666662</v>
      </c>
    </row>
    <row r="49" spans="1:32 16384:16384" s="96" customFormat="1">
      <c r="A49" s="54" t="s">
        <v>274</v>
      </c>
      <c r="B49" s="435"/>
      <c r="C49" s="583"/>
      <c r="K49" s="486">
        <f>'P&amp;L - Concept C2 - NCLH'!D44</f>
        <v>0</v>
      </c>
      <c r="L49" s="313">
        <f>'P&amp;L - Concept C2 - NCLH'!E44</f>
        <v>27035.980902777774</v>
      </c>
      <c r="M49" s="313">
        <f>'P&amp;L - Concept C2 - NCLH'!F44</f>
        <v>27035.980902777774</v>
      </c>
      <c r="N49" s="313">
        <f>'P&amp;L - Concept C2 - NCLH'!G44</f>
        <v>27035.980902777774</v>
      </c>
      <c r="O49" s="313">
        <f>'P&amp;L - Concept C2 - NCLH'!H44</f>
        <v>27035.980902777774</v>
      </c>
      <c r="P49" s="313">
        <f>'P&amp;L - Concept C2 - NCLH'!I44</f>
        <v>27035.980902777774</v>
      </c>
      <c r="Q49" s="313">
        <f>'P&amp;L - Concept C2 - NCLH'!J44</f>
        <v>27035.980902777774</v>
      </c>
      <c r="R49" s="313">
        <f>'P&amp;L - Concept C2 - NCLH'!K44</f>
        <v>27035.980902777774</v>
      </c>
      <c r="S49" s="313">
        <f>'P&amp;L - Concept C2 - NCLH'!L44</f>
        <v>27035.980902777774</v>
      </c>
      <c r="T49" s="313">
        <f>'P&amp;L - Concept C2 - NCLH'!M44</f>
        <v>27035.980902777774</v>
      </c>
      <c r="U49" s="313">
        <f>'P&amp;L - Concept C2 - NCLH'!N44</f>
        <v>27035.980902777774</v>
      </c>
      <c r="V49" s="313">
        <f>'P&amp;L - Concept C2 - NCLH'!O44</f>
        <v>27035.980902777774</v>
      </c>
      <c r="W49" s="313">
        <f>'P&amp;L - Concept C2 - NCLH'!P44</f>
        <v>27035.980902777774</v>
      </c>
      <c r="X49" s="313">
        <f>'P&amp;L - Concept C2 - NCLH'!Q44</f>
        <v>27035.980902777774</v>
      </c>
      <c r="Y49" s="313">
        <f>'P&amp;L - Concept C2 - NCLH'!R44</f>
        <v>27035.980902777774</v>
      </c>
      <c r="Z49" s="313">
        <f>'P&amp;L - Concept C2 - NCLH'!S44</f>
        <v>27035.980902777774</v>
      </c>
      <c r="AA49" s="313">
        <f>'P&amp;L - Concept C2 - NCLH'!T44</f>
        <v>27035.980902777774</v>
      </c>
      <c r="AB49" s="313">
        <f>'P&amp;L - Concept C2 - NCLH'!U44</f>
        <v>27035.980902777774</v>
      </c>
      <c r="AC49" s="313">
        <f>'P&amp;L - Concept C2 - NCLH'!V44</f>
        <v>27035.980902777774</v>
      </c>
      <c r="AD49" s="313">
        <f>'P&amp;L - Concept C2 - NCLH'!W44</f>
        <v>27035.980902777774</v>
      </c>
      <c r="AE49" s="313">
        <f>'P&amp;L - Concept C2 - NCLH'!X44</f>
        <v>27035.980902777774</v>
      </c>
    </row>
    <row r="50" spans="1:32 16384:16384" s="18" customFormat="1">
      <c r="A50" s="54"/>
      <c r="B50" s="277"/>
      <c r="C50" s="74"/>
      <c r="K50" s="499"/>
      <c r="L50" s="313"/>
      <c r="M50" s="313"/>
      <c r="N50" s="313"/>
      <c r="O50" s="313"/>
      <c r="P50" s="313"/>
      <c r="Q50" s="313"/>
      <c r="R50" s="313"/>
      <c r="S50" s="313"/>
      <c r="T50" s="313"/>
      <c r="U50" s="313"/>
      <c r="V50" s="313"/>
      <c r="W50" s="313"/>
      <c r="X50" s="313"/>
      <c r="Y50" s="313"/>
      <c r="Z50" s="313"/>
      <c r="AA50" s="313"/>
      <c r="AB50" s="313"/>
      <c r="AC50" s="313"/>
      <c r="AD50" s="313"/>
      <c r="AE50" s="313"/>
    </row>
    <row r="51" spans="1:32 16384:16384" s="96" customFormat="1">
      <c r="A51" s="54" t="s">
        <v>224</v>
      </c>
      <c r="B51" s="435"/>
      <c r="C51" s="583"/>
      <c r="K51" s="486">
        <f>'P&amp;L - Concept C2 - NCLH'!D46</f>
        <v>0</v>
      </c>
      <c r="L51" s="496">
        <f>'P&amp;L - Concept C2 - NCLH'!E46</f>
        <v>3</v>
      </c>
      <c r="M51" s="496">
        <f>'P&amp;L - Concept C2 - NCLH'!F46</f>
        <v>3</v>
      </c>
      <c r="N51" s="496">
        <f>'P&amp;L - Concept C2 - NCLH'!G46</f>
        <v>3</v>
      </c>
      <c r="O51" s="496">
        <f>'P&amp;L - Concept C2 - NCLH'!H46</f>
        <v>3</v>
      </c>
      <c r="P51" s="496">
        <f>'P&amp;L - Concept C2 - NCLH'!I46</f>
        <v>3</v>
      </c>
      <c r="Q51" s="496">
        <f>'P&amp;L - Concept C2 - NCLH'!J46</f>
        <v>3</v>
      </c>
      <c r="R51" s="496">
        <f>'P&amp;L - Concept C2 - NCLH'!K46</f>
        <v>3</v>
      </c>
      <c r="S51" s="496">
        <f>'P&amp;L - Concept C2 - NCLH'!L46</f>
        <v>3</v>
      </c>
      <c r="T51" s="496">
        <f>'P&amp;L - Concept C2 - NCLH'!M46</f>
        <v>3</v>
      </c>
      <c r="U51" s="496">
        <f>'P&amp;L - Concept C2 - NCLH'!N46</f>
        <v>3</v>
      </c>
      <c r="V51" s="496">
        <f>'P&amp;L - Concept C2 - NCLH'!O46</f>
        <v>3</v>
      </c>
      <c r="W51" s="496">
        <f>'P&amp;L - Concept C2 - NCLH'!P46</f>
        <v>3</v>
      </c>
      <c r="X51" s="496">
        <f>'P&amp;L - Concept C2 - NCLH'!Q46</f>
        <v>3</v>
      </c>
      <c r="Y51" s="496">
        <f>'P&amp;L - Concept C2 - NCLH'!R46</f>
        <v>3</v>
      </c>
      <c r="Z51" s="496">
        <f>'P&amp;L - Concept C2 - NCLH'!S46</f>
        <v>3</v>
      </c>
      <c r="AA51" s="496">
        <f>'P&amp;L - Concept C2 - NCLH'!T46</f>
        <v>3</v>
      </c>
      <c r="AB51" s="496">
        <f>'P&amp;L - Concept C2 - NCLH'!U46</f>
        <v>3</v>
      </c>
      <c r="AC51" s="496">
        <f>'P&amp;L - Concept C2 - NCLH'!V46</f>
        <v>3</v>
      </c>
      <c r="AD51" s="496">
        <f>'P&amp;L - Concept C2 - NCLH'!W46</f>
        <v>3</v>
      </c>
      <c r="AE51" s="496">
        <f>'P&amp;L - Concept C2 - NCLH'!X46</f>
        <v>3</v>
      </c>
    </row>
    <row r="52" spans="1:32 16384:16384" s="96" customFormat="1">
      <c r="A52" s="54" t="s">
        <v>225</v>
      </c>
      <c r="B52" s="435"/>
      <c r="C52" s="583"/>
      <c r="K52" s="486">
        <f>'P&amp;L - Concept C2 - NCLH'!D47</f>
        <v>0</v>
      </c>
      <c r="L52" s="496">
        <f>'P&amp;L - Concept C2 - NCLH'!E47</f>
        <v>1</v>
      </c>
      <c r="M52" s="496">
        <f>'P&amp;L - Concept C2 - NCLH'!F47</f>
        <v>1</v>
      </c>
      <c r="N52" s="496">
        <f>'P&amp;L - Concept C2 - NCLH'!G47</f>
        <v>1</v>
      </c>
      <c r="O52" s="496">
        <f>'P&amp;L - Concept C2 - NCLH'!H47</f>
        <v>1</v>
      </c>
      <c r="P52" s="496">
        <f>'P&amp;L - Concept C2 - NCLH'!I47</f>
        <v>1</v>
      </c>
      <c r="Q52" s="496">
        <f>'P&amp;L - Concept C2 - NCLH'!J47</f>
        <v>1</v>
      </c>
      <c r="R52" s="496">
        <f>'P&amp;L - Concept C2 - NCLH'!K47</f>
        <v>1</v>
      </c>
      <c r="S52" s="496">
        <f>'P&amp;L - Concept C2 - NCLH'!L47</f>
        <v>1</v>
      </c>
      <c r="T52" s="496">
        <f>'P&amp;L - Concept C2 - NCLH'!M47</f>
        <v>1</v>
      </c>
      <c r="U52" s="496">
        <f>'P&amp;L - Concept C2 - NCLH'!N47</f>
        <v>1</v>
      </c>
      <c r="V52" s="496">
        <f>'P&amp;L - Concept C2 - NCLH'!O47</f>
        <v>1</v>
      </c>
      <c r="W52" s="496">
        <f>'P&amp;L - Concept C2 - NCLH'!P47</f>
        <v>1</v>
      </c>
      <c r="X52" s="496">
        <f>'P&amp;L - Concept C2 - NCLH'!Q47</f>
        <v>1</v>
      </c>
      <c r="Y52" s="496">
        <f>'P&amp;L - Concept C2 - NCLH'!R47</f>
        <v>1</v>
      </c>
      <c r="Z52" s="496">
        <f>'P&amp;L - Concept C2 - NCLH'!S47</f>
        <v>1</v>
      </c>
      <c r="AA52" s="496">
        <f>'P&amp;L - Concept C2 - NCLH'!T47</f>
        <v>1</v>
      </c>
      <c r="AB52" s="496">
        <f>'P&amp;L - Concept C2 - NCLH'!U47</f>
        <v>1</v>
      </c>
      <c r="AC52" s="496">
        <f>'P&amp;L - Concept C2 - NCLH'!V47</f>
        <v>1</v>
      </c>
      <c r="AD52" s="496">
        <f>'P&amp;L - Concept C2 - NCLH'!W47</f>
        <v>1</v>
      </c>
      <c r="AE52" s="496">
        <f>'P&amp;L - Concept C2 - NCLH'!X47</f>
        <v>1</v>
      </c>
    </row>
    <row r="53" spans="1:32 16384:16384" s="18" customFormat="1">
      <c r="A53" s="54" t="s">
        <v>209</v>
      </c>
      <c r="B53" s="277"/>
      <c r="C53" s="74"/>
      <c r="K53" s="486">
        <f>'P&amp;L - Concept C2 - NCLH'!D48</f>
        <v>0</v>
      </c>
      <c r="L53" s="496">
        <f>'P&amp;L - Concept C2 - NCLH'!E48</f>
        <v>0.5</v>
      </c>
      <c r="M53" s="496">
        <f>'P&amp;L - Concept C2 - NCLH'!F48</f>
        <v>0.5</v>
      </c>
      <c r="N53" s="496">
        <f>'P&amp;L - Concept C2 - NCLH'!G48</f>
        <v>0.5</v>
      </c>
      <c r="O53" s="496">
        <f>'P&amp;L - Concept C2 - NCLH'!H48</f>
        <v>0.5</v>
      </c>
      <c r="P53" s="496">
        <f>'P&amp;L - Concept C2 - NCLH'!I48</f>
        <v>0.5</v>
      </c>
      <c r="Q53" s="496">
        <f>'P&amp;L - Concept C2 - NCLH'!J48</f>
        <v>0.5</v>
      </c>
      <c r="R53" s="496">
        <f>'P&amp;L - Concept C2 - NCLH'!K48</f>
        <v>0.5</v>
      </c>
      <c r="S53" s="496">
        <f>'P&amp;L - Concept C2 - NCLH'!L48</f>
        <v>0.5</v>
      </c>
      <c r="T53" s="496">
        <f>'P&amp;L - Concept C2 - NCLH'!M48</f>
        <v>0.5</v>
      </c>
      <c r="U53" s="496">
        <f>'P&amp;L - Concept C2 - NCLH'!N48</f>
        <v>0.5</v>
      </c>
      <c r="V53" s="496">
        <f>'P&amp;L - Concept C2 - NCLH'!O48</f>
        <v>0.5</v>
      </c>
      <c r="W53" s="496">
        <f>'P&amp;L - Concept C2 - NCLH'!P48</f>
        <v>0.5</v>
      </c>
      <c r="X53" s="496">
        <f>'P&amp;L - Concept C2 - NCLH'!Q48</f>
        <v>0.5</v>
      </c>
      <c r="Y53" s="496">
        <f>'P&amp;L - Concept C2 - NCLH'!R48</f>
        <v>0.5</v>
      </c>
      <c r="Z53" s="496">
        <f>'P&amp;L - Concept C2 - NCLH'!S48</f>
        <v>0.5</v>
      </c>
      <c r="AA53" s="496">
        <f>'P&amp;L - Concept C2 - NCLH'!T48</f>
        <v>0.5</v>
      </c>
      <c r="AB53" s="496">
        <f>'P&amp;L - Concept C2 - NCLH'!U48</f>
        <v>0.5</v>
      </c>
      <c r="AC53" s="496">
        <f>'P&amp;L - Concept C2 - NCLH'!V48</f>
        <v>0.5</v>
      </c>
      <c r="AD53" s="496">
        <f>'P&amp;L - Concept C2 - NCLH'!W48</f>
        <v>0.5</v>
      </c>
      <c r="AE53" s="496">
        <f>'P&amp;L - Concept C2 - NCLH'!X48</f>
        <v>0.5</v>
      </c>
    </row>
    <row r="54" spans="1:32 16384:16384" s="18" customFormat="1">
      <c r="A54" s="54" t="s">
        <v>289</v>
      </c>
      <c r="B54" s="277"/>
      <c r="C54" s="74"/>
      <c r="K54" s="486">
        <f>'P&amp;L - Concept C2 - NCLH'!D49</f>
        <v>0</v>
      </c>
      <c r="L54" s="496">
        <f>'P&amp;L - Concept C2 - NCLH'!E49</f>
        <v>1.5</v>
      </c>
      <c r="M54" s="496">
        <f>'P&amp;L - Concept C2 - NCLH'!F49</f>
        <v>1.5</v>
      </c>
      <c r="N54" s="496">
        <f>'P&amp;L - Concept C2 - NCLH'!G49</f>
        <v>1.5</v>
      </c>
      <c r="O54" s="496">
        <f>'P&amp;L - Concept C2 - NCLH'!H49</f>
        <v>1.5</v>
      </c>
      <c r="P54" s="496">
        <f>'P&amp;L - Concept C2 - NCLH'!I49</f>
        <v>1.5</v>
      </c>
      <c r="Q54" s="496">
        <f>'P&amp;L - Concept C2 - NCLH'!J49</f>
        <v>1.5</v>
      </c>
      <c r="R54" s="496">
        <f>'P&amp;L - Concept C2 - NCLH'!K49</f>
        <v>1.5</v>
      </c>
      <c r="S54" s="496">
        <f>'P&amp;L - Concept C2 - NCLH'!L49</f>
        <v>1.5</v>
      </c>
      <c r="T54" s="496">
        <f>'P&amp;L - Concept C2 - NCLH'!M49</f>
        <v>1.5</v>
      </c>
      <c r="U54" s="496">
        <f>'P&amp;L - Concept C2 - NCLH'!N49</f>
        <v>1.5</v>
      </c>
      <c r="V54" s="496">
        <f>'P&amp;L - Concept C2 - NCLH'!O49</f>
        <v>1.5</v>
      </c>
      <c r="W54" s="496">
        <f>'P&amp;L - Concept C2 - NCLH'!P49</f>
        <v>1.5</v>
      </c>
      <c r="X54" s="496">
        <f>'P&amp;L - Concept C2 - NCLH'!Q49</f>
        <v>1.5</v>
      </c>
      <c r="Y54" s="496">
        <f>'P&amp;L - Concept C2 - NCLH'!R49</f>
        <v>1.5</v>
      </c>
      <c r="Z54" s="496">
        <f>'P&amp;L - Concept C2 - NCLH'!S49</f>
        <v>1.5</v>
      </c>
      <c r="AA54" s="496">
        <f>'P&amp;L - Concept C2 - NCLH'!T49</f>
        <v>1.5</v>
      </c>
      <c r="AB54" s="496">
        <f>'P&amp;L - Concept C2 - NCLH'!U49</f>
        <v>1.5</v>
      </c>
      <c r="AC54" s="496">
        <f>'P&amp;L - Concept C2 - NCLH'!V49</f>
        <v>1.5</v>
      </c>
      <c r="AD54" s="496">
        <f>'P&amp;L - Concept C2 - NCLH'!W49</f>
        <v>1.5</v>
      </c>
      <c r="AE54" s="496">
        <f>'P&amp;L - Concept C2 - NCLH'!X49</f>
        <v>1.5</v>
      </c>
      <c r="XFD54" s="570">
        <f>SUM(K54:XFC54)</f>
        <v>30</v>
      </c>
    </row>
    <row r="55" spans="1:32 16384:16384" s="18" customFormat="1">
      <c r="A55" s="54"/>
      <c r="B55" s="277"/>
      <c r="C55" s="74"/>
      <c r="K55" s="486"/>
      <c r="L55" s="313"/>
      <c r="M55" s="313"/>
      <c r="N55" s="313"/>
      <c r="O55" s="313"/>
      <c r="P55" s="313"/>
      <c r="Q55" s="313"/>
      <c r="R55" s="313"/>
      <c r="S55" s="313"/>
      <c r="T55" s="313"/>
      <c r="U55" s="313"/>
      <c r="V55" s="313"/>
      <c r="W55" s="313"/>
      <c r="X55" s="313"/>
      <c r="Y55" s="313"/>
      <c r="Z55" s="313"/>
      <c r="AA55" s="313"/>
      <c r="AB55" s="313"/>
      <c r="AC55" s="313"/>
      <c r="AD55" s="313"/>
      <c r="AE55" s="313"/>
      <c r="XFD55" s="570"/>
    </row>
    <row r="56" spans="1:32 16384:16384" s="18" customFormat="1">
      <c r="A56" s="54" t="s">
        <v>312</v>
      </c>
      <c r="B56" s="277"/>
      <c r="C56" s="74"/>
      <c r="K56" s="486">
        <f>'P&amp;L - Concept C2 - NCLH'!D51</f>
        <v>0</v>
      </c>
      <c r="L56" s="313">
        <f>'P&amp;L - Concept C2 - NCLH'!E51</f>
        <v>7190</v>
      </c>
      <c r="M56" s="313">
        <f>'P&amp;L - Concept C2 - NCLH'!F51</f>
        <v>7190</v>
      </c>
      <c r="N56" s="313">
        <f>'P&amp;L - Concept C2 - NCLH'!G51</f>
        <v>7190</v>
      </c>
      <c r="O56" s="313">
        <f>'P&amp;L - Concept C2 - NCLH'!H51</f>
        <v>7190</v>
      </c>
      <c r="P56" s="313">
        <f>'P&amp;L - Concept C2 - NCLH'!I51</f>
        <v>7190</v>
      </c>
      <c r="Q56" s="313">
        <f>'P&amp;L - Concept C2 - NCLH'!J51</f>
        <v>7190</v>
      </c>
      <c r="R56" s="313">
        <f>'P&amp;L - Concept C2 - NCLH'!K51</f>
        <v>7190</v>
      </c>
      <c r="S56" s="313">
        <f>'P&amp;L - Concept C2 - NCLH'!L51</f>
        <v>7190</v>
      </c>
      <c r="T56" s="313">
        <f>'P&amp;L - Concept C2 - NCLH'!M51</f>
        <v>7190</v>
      </c>
      <c r="U56" s="313">
        <f>'P&amp;L - Concept C2 - NCLH'!N51</f>
        <v>7190</v>
      </c>
      <c r="V56" s="313">
        <f>'P&amp;L - Concept C2 - NCLH'!O51</f>
        <v>7190</v>
      </c>
      <c r="W56" s="313">
        <f>'P&amp;L - Concept C2 - NCLH'!P51</f>
        <v>7190</v>
      </c>
      <c r="X56" s="313">
        <f>'P&amp;L - Concept C2 - NCLH'!Q51</f>
        <v>7190</v>
      </c>
      <c r="Y56" s="313">
        <f>'P&amp;L - Concept C2 - NCLH'!R51</f>
        <v>7190</v>
      </c>
      <c r="Z56" s="313">
        <f>'P&amp;L - Concept C2 - NCLH'!S51</f>
        <v>7190</v>
      </c>
      <c r="AA56" s="313">
        <f>'P&amp;L - Concept C2 - NCLH'!T51</f>
        <v>7190</v>
      </c>
      <c r="AB56" s="313">
        <f>'P&amp;L - Concept C2 - NCLH'!U51</f>
        <v>7190</v>
      </c>
      <c r="AC56" s="313">
        <f>'P&amp;L - Concept C2 - NCLH'!V51</f>
        <v>7190</v>
      </c>
      <c r="AD56" s="313">
        <f>'P&amp;L - Concept C2 - NCLH'!W51</f>
        <v>7190</v>
      </c>
      <c r="AE56" s="313">
        <f>'P&amp;L - Concept C2 - NCLH'!X51</f>
        <v>7190</v>
      </c>
      <c r="XFD56" s="570"/>
    </row>
    <row r="57" spans="1:32 16384:16384" s="18" customFormat="1">
      <c r="A57" s="54"/>
      <c r="B57" s="277"/>
      <c r="C57" s="74"/>
      <c r="K57" s="486"/>
      <c r="L57" s="313"/>
      <c r="M57" s="313"/>
      <c r="N57" s="313"/>
      <c r="O57" s="313"/>
      <c r="P57" s="313"/>
      <c r="Q57" s="313"/>
      <c r="R57" s="313"/>
      <c r="S57" s="313"/>
      <c r="T57" s="313"/>
      <c r="U57" s="313"/>
      <c r="V57" s="313"/>
      <c r="W57" s="313"/>
      <c r="X57" s="313"/>
      <c r="Y57" s="313"/>
      <c r="Z57" s="313"/>
      <c r="AA57" s="313"/>
      <c r="AB57" s="313"/>
      <c r="AC57" s="313"/>
      <c r="AD57" s="313"/>
      <c r="AE57" s="313"/>
    </row>
    <row r="58" spans="1:32 16384:16384" s="612" customFormat="1">
      <c r="A58" s="613" t="s">
        <v>292</v>
      </c>
      <c r="B58" s="614"/>
      <c r="C58" s="615"/>
      <c r="D58" s="717"/>
      <c r="E58" s="717"/>
      <c r="F58" s="717"/>
      <c r="G58" s="717"/>
      <c r="H58" s="717"/>
      <c r="I58" s="717"/>
      <c r="J58" s="717"/>
      <c r="K58" s="616">
        <f>'P&amp;L - Concept C2 - NCLH'!D53</f>
        <v>0</v>
      </c>
      <c r="L58" s="616">
        <f>'P&amp;L - Concept C2 - NCLH'!E53</f>
        <v>0</v>
      </c>
      <c r="M58" s="616">
        <f>'P&amp;L - Concept C2 - NCLH'!F53</f>
        <v>0</v>
      </c>
      <c r="N58" s="616">
        <f>'P&amp;L - Concept C2 - NCLH'!G53</f>
        <v>100000</v>
      </c>
      <c r="O58" s="616">
        <f>'P&amp;L - Concept C2 - NCLH'!H53</f>
        <v>100000</v>
      </c>
      <c r="P58" s="616">
        <f>'P&amp;L - Concept C2 - NCLH'!I53</f>
        <v>100000</v>
      </c>
      <c r="Q58" s="616">
        <f>'P&amp;L - Concept C2 - NCLH'!J53</f>
        <v>100000</v>
      </c>
      <c r="R58" s="616">
        <f>'P&amp;L - Concept C2 - NCLH'!K53</f>
        <v>100000</v>
      </c>
      <c r="S58" s="616">
        <f>'P&amp;L - Concept C2 - NCLH'!L53</f>
        <v>100000</v>
      </c>
      <c r="T58" s="616">
        <f>'P&amp;L - Concept C2 - NCLH'!M53</f>
        <v>100000</v>
      </c>
      <c r="U58" s="616">
        <f>'P&amp;L - Concept C2 - NCLH'!N53</f>
        <v>100000</v>
      </c>
      <c r="V58" s="616">
        <f>'P&amp;L - Concept C2 - NCLH'!O53</f>
        <v>100000</v>
      </c>
      <c r="W58" s="616">
        <f>'P&amp;L - Concept C2 - NCLH'!P53</f>
        <v>100000</v>
      </c>
      <c r="X58" s="616">
        <f>'P&amp;L - Concept C2 - NCLH'!Q53</f>
        <v>100000</v>
      </c>
      <c r="Y58" s="616">
        <f>'P&amp;L - Concept C2 - NCLH'!R53</f>
        <v>100000</v>
      </c>
      <c r="Z58" s="616">
        <f>'P&amp;L - Concept C2 - NCLH'!S53</f>
        <v>100000</v>
      </c>
      <c r="AA58" s="616">
        <f>'P&amp;L - Concept C2 - NCLH'!T53</f>
        <v>100000</v>
      </c>
      <c r="AB58" s="616">
        <f>'P&amp;L - Concept C2 - NCLH'!U53</f>
        <v>100000</v>
      </c>
      <c r="AC58" s="616">
        <f>'P&amp;L - Concept C2 - NCLH'!V53</f>
        <v>100000</v>
      </c>
      <c r="AD58" s="616">
        <f>'P&amp;L - Concept C2 - NCLH'!W53</f>
        <v>100000</v>
      </c>
      <c r="AE58" s="787">
        <f>'P&amp;L - Concept C2 - NCLH'!X53</f>
        <v>100000</v>
      </c>
    </row>
    <row r="59" spans="1:32 16384:16384" s="18" customFormat="1">
      <c r="A59" s="54"/>
      <c r="B59" s="277"/>
      <c r="C59" s="74"/>
      <c r="K59" s="486"/>
      <c r="L59" s="313"/>
      <c r="M59" s="313"/>
      <c r="N59" s="313"/>
      <c r="O59" s="313"/>
      <c r="P59" s="313"/>
      <c r="Q59" s="313"/>
      <c r="R59" s="313"/>
      <c r="S59" s="313"/>
      <c r="T59" s="313"/>
      <c r="U59" s="313"/>
      <c r="V59" s="313"/>
      <c r="W59" s="313"/>
      <c r="X59" s="313"/>
      <c r="Y59" s="313"/>
      <c r="Z59" s="313"/>
      <c r="AA59" s="313"/>
      <c r="AB59" s="313"/>
      <c r="AC59" s="313"/>
      <c r="AD59" s="313"/>
      <c r="AE59" s="313"/>
    </row>
    <row r="60" spans="1:32 16384:16384" s="582" customFormat="1">
      <c r="A60" s="293" t="str">
        <f>'BH Tariffs'!A33</f>
        <v>Recreational/Commercial Marina</v>
      </c>
      <c r="B60" s="584"/>
      <c r="C60" s="585"/>
      <c r="K60" s="486"/>
      <c r="L60" s="313"/>
      <c r="M60" s="313"/>
      <c r="N60" s="313"/>
      <c r="O60" s="313"/>
      <c r="P60" s="313"/>
      <c r="Q60" s="313"/>
      <c r="R60" s="313"/>
      <c r="S60" s="313"/>
      <c r="T60" s="313"/>
      <c r="U60" s="313"/>
      <c r="V60" s="313"/>
      <c r="W60" s="313"/>
      <c r="X60" s="313"/>
      <c r="Y60" s="313"/>
      <c r="Z60" s="313"/>
      <c r="AA60" s="313"/>
      <c r="AB60" s="313"/>
      <c r="AC60" s="313"/>
      <c r="AD60" s="313"/>
      <c r="AE60" s="313"/>
    </row>
    <row r="61" spans="1:32 16384:16384" s="96" customFormat="1">
      <c r="A61" s="54" t="s">
        <v>291</v>
      </c>
      <c r="B61" s="435"/>
      <c r="C61" s="583"/>
      <c r="K61" s="486">
        <f>'P&amp;L - Concept C2 - NCLH'!D56</f>
        <v>0</v>
      </c>
      <c r="L61" s="313">
        <f>'P&amp;L - Concept C2 - NCLH'!E56</f>
        <v>0</v>
      </c>
      <c r="M61" s="313">
        <f>'P&amp;L - Concept C2 - NCLH'!F56</f>
        <v>32</v>
      </c>
      <c r="N61" s="313">
        <f>'P&amp;L - Concept C2 - NCLH'!G56</f>
        <v>32</v>
      </c>
      <c r="O61" s="313">
        <f>'P&amp;L - Concept C2 - NCLH'!H56</f>
        <v>32</v>
      </c>
      <c r="P61" s="313">
        <f>'P&amp;L - Concept C2 - NCLH'!I56</f>
        <v>32</v>
      </c>
      <c r="Q61" s="313">
        <f>'P&amp;L - Concept C2 - NCLH'!J56</f>
        <v>32</v>
      </c>
      <c r="R61" s="313">
        <f>'P&amp;L - Concept C2 - NCLH'!K56</f>
        <v>32</v>
      </c>
      <c r="S61" s="313">
        <f>'P&amp;L - Concept C2 - NCLH'!L56</f>
        <v>32</v>
      </c>
      <c r="T61" s="313">
        <f>'P&amp;L - Concept C2 - NCLH'!M56</f>
        <v>32</v>
      </c>
      <c r="U61" s="313">
        <f>'P&amp;L - Concept C2 - NCLH'!N56</f>
        <v>32</v>
      </c>
      <c r="V61" s="313">
        <f>'P&amp;L - Concept C2 - NCLH'!O56</f>
        <v>32</v>
      </c>
      <c r="W61" s="313">
        <f>'P&amp;L - Concept C2 - NCLH'!P56</f>
        <v>32</v>
      </c>
      <c r="X61" s="313">
        <f>'P&amp;L - Concept C2 - NCLH'!Q56</f>
        <v>32</v>
      </c>
      <c r="Y61" s="313">
        <f>'P&amp;L - Concept C2 - NCLH'!R56</f>
        <v>32</v>
      </c>
      <c r="Z61" s="313">
        <f>'P&amp;L - Concept C2 - NCLH'!S56</f>
        <v>32</v>
      </c>
      <c r="AA61" s="313">
        <f>'P&amp;L - Concept C2 - NCLH'!T56</f>
        <v>32</v>
      </c>
      <c r="AB61" s="313">
        <f>'P&amp;L - Concept C2 - NCLH'!U56</f>
        <v>32</v>
      </c>
      <c r="AC61" s="313">
        <f>'P&amp;L - Concept C2 - NCLH'!V56</f>
        <v>32</v>
      </c>
      <c r="AD61" s="313">
        <f>'P&amp;L - Concept C2 - NCLH'!W56</f>
        <v>32</v>
      </c>
      <c r="AE61" s="313">
        <f>'P&amp;L - Concept C2 - NCLH'!X56</f>
        <v>32</v>
      </c>
    </row>
    <row r="62" spans="1:32 16384:16384" s="96" customFormat="1">
      <c r="A62" s="54" t="s">
        <v>293</v>
      </c>
      <c r="B62" s="435"/>
      <c r="C62" s="583"/>
      <c r="K62" s="486">
        <f>'P&amp;L - Concept C2 - NCLH'!D57</f>
        <v>0</v>
      </c>
      <c r="L62" s="313">
        <f>'P&amp;L - Concept C2 - NCLH'!E57</f>
        <v>0</v>
      </c>
      <c r="M62" s="313">
        <f>'P&amp;L - Concept C2 - NCLH'!F57</f>
        <v>30264.381562500002</v>
      </c>
      <c r="N62" s="313">
        <f>'P&amp;L - Concept C2 - NCLH'!G57</f>
        <v>30264.381562500002</v>
      </c>
      <c r="O62" s="313">
        <f>'P&amp;L - Concept C2 - NCLH'!H57</f>
        <v>30264.381562500002</v>
      </c>
      <c r="P62" s="313">
        <f>'P&amp;L - Concept C2 - NCLH'!I57</f>
        <v>30264.381562500002</v>
      </c>
      <c r="Q62" s="313">
        <f>'P&amp;L - Concept C2 - NCLH'!J57</f>
        <v>30264.381562500002</v>
      </c>
      <c r="R62" s="313">
        <f>'P&amp;L - Concept C2 - NCLH'!K57</f>
        <v>30264.381562500002</v>
      </c>
      <c r="S62" s="313">
        <f>'P&amp;L - Concept C2 - NCLH'!L57</f>
        <v>30264.381562500002</v>
      </c>
      <c r="T62" s="313">
        <f>'P&amp;L - Concept C2 - NCLH'!M57</f>
        <v>30264.381562500002</v>
      </c>
      <c r="U62" s="313">
        <f>'P&amp;L - Concept C2 - NCLH'!N57</f>
        <v>30264.381562500002</v>
      </c>
      <c r="V62" s="313">
        <f>'P&amp;L - Concept C2 - NCLH'!O57</f>
        <v>30264.381562500002</v>
      </c>
      <c r="W62" s="313">
        <f>'P&amp;L - Concept C2 - NCLH'!P57</f>
        <v>30264.381562500002</v>
      </c>
      <c r="X62" s="313">
        <f>'P&amp;L - Concept C2 - NCLH'!Q57</f>
        <v>30264.381562500002</v>
      </c>
      <c r="Y62" s="313">
        <f>'P&amp;L - Concept C2 - NCLH'!R57</f>
        <v>30264.381562500002</v>
      </c>
      <c r="Z62" s="313">
        <f>'P&amp;L - Concept C2 - NCLH'!S57</f>
        <v>30264.381562500002</v>
      </c>
      <c r="AA62" s="313">
        <f>'P&amp;L - Concept C2 - NCLH'!T57</f>
        <v>30264.381562500002</v>
      </c>
      <c r="AB62" s="313">
        <f>'P&amp;L - Concept C2 - NCLH'!U57</f>
        <v>30264.381562500002</v>
      </c>
      <c r="AC62" s="313">
        <f>'P&amp;L - Concept C2 - NCLH'!V57</f>
        <v>30264.381562500002</v>
      </c>
      <c r="AD62" s="313">
        <f>'P&amp;L - Concept C2 - NCLH'!W57</f>
        <v>30264.381562500002</v>
      </c>
      <c r="AE62" s="313">
        <f>'P&amp;L - Concept C2 - NCLH'!X57</f>
        <v>30264.381562500002</v>
      </c>
    </row>
    <row r="63" spans="1:32 16384:16384" s="96" customFormat="1">
      <c r="A63" s="54" t="s">
        <v>294</v>
      </c>
      <c r="B63" s="435"/>
      <c r="C63" s="583"/>
      <c r="K63" s="486">
        <f>'P&amp;L - Concept C2 - NCLH'!D58</f>
        <v>0</v>
      </c>
      <c r="L63" s="313">
        <f>'P&amp;L - Concept C2 - NCLH'!E58</f>
        <v>0</v>
      </c>
      <c r="M63" s="313">
        <f>'P&amp;L - Concept C2 - NCLH'!F58</f>
        <v>1137.1500000000001</v>
      </c>
      <c r="N63" s="313">
        <f>'P&amp;L - Concept C2 - NCLH'!G58</f>
        <v>1137.1500000000001</v>
      </c>
      <c r="O63" s="313">
        <f>'P&amp;L - Concept C2 - NCLH'!H58</f>
        <v>1137.1500000000001</v>
      </c>
      <c r="P63" s="313">
        <f>'P&amp;L - Concept C2 - NCLH'!I58</f>
        <v>1137.1500000000001</v>
      </c>
      <c r="Q63" s="313">
        <f>'P&amp;L - Concept C2 - NCLH'!J58</f>
        <v>1137.1500000000001</v>
      </c>
      <c r="R63" s="313">
        <f>'P&amp;L - Concept C2 - NCLH'!K58</f>
        <v>1137.1500000000001</v>
      </c>
      <c r="S63" s="313">
        <f>'P&amp;L - Concept C2 - NCLH'!L58</f>
        <v>1137.1500000000001</v>
      </c>
      <c r="T63" s="313">
        <f>'P&amp;L - Concept C2 - NCLH'!M58</f>
        <v>1137.1500000000001</v>
      </c>
      <c r="U63" s="313">
        <f>'P&amp;L - Concept C2 - NCLH'!N58</f>
        <v>1137.1500000000001</v>
      </c>
      <c r="V63" s="313">
        <f>'P&amp;L - Concept C2 - NCLH'!O58</f>
        <v>1137.1500000000001</v>
      </c>
      <c r="W63" s="313">
        <f>'P&amp;L - Concept C2 - NCLH'!P58</f>
        <v>1137.1500000000001</v>
      </c>
      <c r="X63" s="313">
        <f>'P&amp;L - Concept C2 - NCLH'!Q58</f>
        <v>1137.1500000000001</v>
      </c>
      <c r="Y63" s="313">
        <f>'P&amp;L - Concept C2 - NCLH'!R58</f>
        <v>1137.1500000000001</v>
      </c>
      <c r="Z63" s="313">
        <f>'P&amp;L - Concept C2 - NCLH'!S58</f>
        <v>1137.1500000000001</v>
      </c>
      <c r="AA63" s="313">
        <f>'P&amp;L - Concept C2 - NCLH'!T58</f>
        <v>1137.1500000000001</v>
      </c>
      <c r="AB63" s="313">
        <f>'P&amp;L - Concept C2 - NCLH'!U58</f>
        <v>1137.1500000000001</v>
      </c>
      <c r="AC63" s="313">
        <f>'P&amp;L - Concept C2 - NCLH'!V58</f>
        <v>1137.1500000000001</v>
      </c>
      <c r="AD63" s="313">
        <f>'P&amp;L - Concept C2 - NCLH'!W58</f>
        <v>1137.1500000000001</v>
      </c>
      <c r="AE63" s="313">
        <f>'P&amp;L - Concept C2 - NCLH'!X58</f>
        <v>1137.1500000000001</v>
      </c>
    </row>
    <row r="64" spans="1:32 16384:16384" s="167" customFormat="1">
      <c r="A64" s="497" t="s">
        <v>170</v>
      </c>
      <c r="B64" s="450"/>
      <c r="C64" s="498"/>
      <c r="K64" s="499">
        <f>'P&amp;L - Concept C2 - NCLH'!D59</f>
        <v>0</v>
      </c>
      <c r="L64" s="500">
        <f>'P&amp;L - Concept C2 - NCLH'!E59</f>
        <v>0</v>
      </c>
      <c r="M64" s="500">
        <f>'P&amp;L - Concept C2 - NCLH'!F59</f>
        <v>0</v>
      </c>
      <c r="N64" s="500">
        <f>'P&amp;L - Concept C2 - NCLH'!G59</f>
        <v>0</v>
      </c>
      <c r="O64" s="500">
        <f>'P&amp;L - Concept C2 - NCLH'!H59</f>
        <v>0</v>
      </c>
      <c r="P64" s="500">
        <f>'P&amp;L - Concept C2 - NCLH'!I59</f>
        <v>0</v>
      </c>
      <c r="Q64" s="500">
        <f>'P&amp;L - Concept C2 - NCLH'!J59</f>
        <v>0</v>
      </c>
      <c r="R64" s="500">
        <f>'P&amp;L - Concept C2 - NCLH'!K59</f>
        <v>0</v>
      </c>
      <c r="S64" s="500">
        <f>'P&amp;L - Concept C2 - NCLH'!L59</f>
        <v>0</v>
      </c>
      <c r="T64" s="500">
        <f>'P&amp;L - Concept C2 - NCLH'!M59</f>
        <v>0</v>
      </c>
      <c r="U64" s="500">
        <f>'P&amp;L - Concept C2 - NCLH'!N59</f>
        <v>0</v>
      </c>
      <c r="V64" s="500">
        <f>'P&amp;L - Concept C2 - NCLH'!O59</f>
        <v>0</v>
      </c>
      <c r="W64" s="500">
        <f>'P&amp;L - Concept C2 - NCLH'!P59</f>
        <v>0</v>
      </c>
      <c r="X64" s="500">
        <f>'P&amp;L - Concept C2 - NCLH'!Q59</f>
        <v>0</v>
      </c>
      <c r="Y64" s="500">
        <f>'P&amp;L - Concept C2 - NCLH'!R59</f>
        <v>0</v>
      </c>
      <c r="Z64" s="500">
        <f>'P&amp;L - Concept C2 - NCLH'!S59</f>
        <v>0</v>
      </c>
      <c r="AA64" s="500">
        <f>'P&amp;L - Concept C2 - NCLH'!T59</f>
        <v>0</v>
      </c>
      <c r="AB64" s="500">
        <f>'P&amp;L - Concept C2 - NCLH'!U59</f>
        <v>0</v>
      </c>
      <c r="AC64" s="500">
        <f>'P&amp;L - Concept C2 - NCLH'!V59</f>
        <v>0</v>
      </c>
      <c r="AD64" s="500">
        <f>'P&amp;L - Concept C2 - NCLH'!W59</f>
        <v>0</v>
      </c>
      <c r="AE64" s="500">
        <f>'P&amp;L - Concept C2 - NCLH'!X59</f>
        <v>0</v>
      </c>
      <c r="AF64" s="167" t="str">
        <f>'P&amp;L - Concept C2 - NCLH'!Y59</f>
        <v>cost recovery assumed</v>
      </c>
    </row>
    <row r="65" spans="1:32" s="167" customFormat="1">
      <c r="A65" s="497" t="s">
        <v>16</v>
      </c>
      <c r="B65" s="450"/>
      <c r="C65" s="498"/>
      <c r="K65" s="499">
        <f>'P&amp;L - Concept C2 - NCLH'!D60</f>
        <v>0</v>
      </c>
      <c r="L65" s="500">
        <f>'P&amp;L - Concept C2 - NCLH'!E60</f>
        <v>0</v>
      </c>
      <c r="M65" s="500">
        <f>'P&amp;L - Concept C2 - NCLH'!F60</f>
        <v>0</v>
      </c>
      <c r="N65" s="500">
        <f>'P&amp;L - Concept C2 - NCLH'!G60</f>
        <v>0</v>
      </c>
      <c r="O65" s="500">
        <f>'P&amp;L - Concept C2 - NCLH'!H60</f>
        <v>0</v>
      </c>
      <c r="P65" s="500">
        <f>'P&amp;L - Concept C2 - NCLH'!I60</f>
        <v>0</v>
      </c>
      <c r="Q65" s="500">
        <f>'P&amp;L - Concept C2 - NCLH'!J60</f>
        <v>0</v>
      </c>
      <c r="R65" s="500">
        <f>'P&amp;L - Concept C2 - NCLH'!K60</f>
        <v>0</v>
      </c>
      <c r="S65" s="500">
        <f>'P&amp;L - Concept C2 - NCLH'!L60</f>
        <v>0</v>
      </c>
      <c r="T65" s="500">
        <f>'P&amp;L - Concept C2 - NCLH'!M60</f>
        <v>0</v>
      </c>
      <c r="U65" s="500">
        <f>'P&amp;L - Concept C2 - NCLH'!N60</f>
        <v>0</v>
      </c>
      <c r="V65" s="500">
        <f>'P&amp;L - Concept C2 - NCLH'!O60</f>
        <v>0</v>
      </c>
      <c r="W65" s="500">
        <f>'P&amp;L - Concept C2 - NCLH'!P60</f>
        <v>0</v>
      </c>
      <c r="X65" s="500">
        <f>'P&amp;L - Concept C2 - NCLH'!Q60</f>
        <v>0</v>
      </c>
      <c r="Y65" s="500">
        <f>'P&amp;L - Concept C2 - NCLH'!R60</f>
        <v>0</v>
      </c>
      <c r="Z65" s="500">
        <f>'P&amp;L - Concept C2 - NCLH'!S60</f>
        <v>0</v>
      </c>
      <c r="AA65" s="500">
        <f>'P&amp;L - Concept C2 - NCLH'!T60</f>
        <v>0</v>
      </c>
      <c r="AB65" s="500">
        <f>'P&amp;L - Concept C2 - NCLH'!U60</f>
        <v>0</v>
      </c>
      <c r="AC65" s="500">
        <f>'P&amp;L - Concept C2 - NCLH'!V60</f>
        <v>0</v>
      </c>
      <c r="AD65" s="500">
        <f>'P&amp;L - Concept C2 - NCLH'!W60</f>
        <v>0</v>
      </c>
      <c r="AE65" s="500">
        <f>'P&amp;L - Concept C2 - NCLH'!X60</f>
        <v>0</v>
      </c>
      <c r="AF65" s="167" t="str">
        <f>'P&amp;L - Concept C2 - NCLH'!Y60</f>
        <v>cost recovery assumed</v>
      </c>
    </row>
    <row r="66" spans="1:32" s="18" customFormat="1">
      <c r="A66" s="54"/>
      <c r="B66" s="277"/>
      <c r="C66" s="74"/>
      <c r="K66" s="492"/>
      <c r="L66" s="313"/>
      <c r="M66" s="313"/>
      <c r="N66" s="313"/>
      <c r="O66" s="313"/>
      <c r="P66" s="313"/>
      <c r="Q66" s="313"/>
      <c r="R66" s="313"/>
      <c r="S66" s="313"/>
      <c r="T66" s="313"/>
      <c r="U66" s="313"/>
      <c r="V66" s="313"/>
      <c r="W66" s="313"/>
      <c r="X66" s="313"/>
      <c r="Y66" s="313"/>
      <c r="Z66" s="313"/>
      <c r="AA66" s="313"/>
      <c r="AB66" s="313"/>
      <c r="AC66" s="313"/>
      <c r="AD66" s="313"/>
      <c r="AE66" s="313"/>
    </row>
    <row r="67" spans="1:32" s="18" customFormat="1">
      <c r="A67" s="293" t="s">
        <v>2</v>
      </c>
      <c r="B67" s="277"/>
      <c r="C67" s="74"/>
      <c r="K67" s="492"/>
      <c r="L67" s="313"/>
      <c r="M67" s="313"/>
      <c r="N67" s="313"/>
      <c r="O67" s="313"/>
      <c r="P67" s="313"/>
      <c r="Q67" s="313"/>
      <c r="R67" s="313"/>
      <c r="S67" s="313"/>
      <c r="T67" s="313"/>
      <c r="U67" s="313"/>
      <c r="V67" s="313"/>
      <c r="W67" s="313"/>
      <c r="X67" s="313"/>
      <c r="Y67" s="313"/>
      <c r="Z67" s="313"/>
      <c r="AA67" s="313"/>
      <c r="AB67" s="313"/>
      <c r="AC67" s="313"/>
      <c r="AD67" s="313"/>
      <c r="AE67" s="313"/>
    </row>
    <row r="68" spans="1:32" s="96" customFormat="1">
      <c r="A68" s="54" t="s">
        <v>290</v>
      </c>
      <c r="B68" s="435">
        <v>500</v>
      </c>
      <c r="C68" s="487"/>
      <c r="K68" s="486">
        <f>'P&amp;L - Concept C2 - NCLH'!D63</f>
        <v>0</v>
      </c>
      <c r="L68" s="313">
        <f>'P&amp;L - Concept C2 - NCLH'!E63</f>
        <v>0</v>
      </c>
      <c r="M68" s="313">
        <f>'P&amp;L - Concept C2 - NCLH'!F63</f>
        <v>0</v>
      </c>
      <c r="N68" s="313">
        <f>'P&amp;L - Concept C2 - NCLH'!G63</f>
        <v>500</v>
      </c>
      <c r="O68" s="313">
        <f>'P&amp;L - Concept C2 - NCLH'!H63</f>
        <v>500</v>
      </c>
      <c r="P68" s="313">
        <f>'P&amp;L - Concept C2 - NCLH'!I63</f>
        <v>500</v>
      </c>
      <c r="Q68" s="313">
        <f>'P&amp;L - Concept C2 - NCLH'!J63</f>
        <v>500</v>
      </c>
      <c r="R68" s="313">
        <f>'P&amp;L - Concept C2 - NCLH'!K63</f>
        <v>500</v>
      </c>
      <c r="S68" s="313">
        <f>'P&amp;L - Concept C2 - NCLH'!L63</f>
        <v>500</v>
      </c>
      <c r="T68" s="313">
        <f>'P&amp;L - Concept C2 - NCLH'!M63</f>
        <v>500</v>
      </c>
      <c r="U68" s="313">
        <f>'P&amp;L - Concept C2 - NCLH'!N63</f>
        <v>500</v>
      </c>
      <c r="V68" s="313">
        <f>'P&amp;L - Concept C2 - NCLH'!O63</f>
        <v>500</v>
      </c>
      <c r="W68" s="313">
        <f>'P&amp;L - Concept C2 - NCLH'!P63</f>
        <v>500</v>
      </c>
      <c r="X68" s="313">
        <f>'P&amp;L - Concept C2 - NCLH'!Q63</f>
        <v>500</v>
      </c>
      <c r="Y68" s="313">
        <f>'P&amp;L - Concept C2 - NCLH'!R63</f>
        <v>500</v>
      </c>
      <c r="Z68" s="313">
        <f>'P&amp;L - Concept C2 - NCLH'!S63</f>
        <v>500</v>
      </c>
      <c r="AA68" s="313">
        <f>'P&amp;L - Concept C2 - NCLH'!T63</f>
        <v>500</v>
      </c>
      <c r="AB68" s="313">
        <f>'P&amp;L - Concept C2 - NCLH'!U63</f>
        <v>500</v>
      </c>
      <c r="AC68" s="313">
        <f>'P&amp;L - Concept C2 - NCLH'!V63</f>
        <v>500</v>
      </c>
      <c r="AD68" s="313">
        <f>'P&amp;L - Concept C2 - NCLH'!W63</f>
        <v>500</v>
      </c>
      <c r="AE68" s="313">
        <f>'P&amp;L - Concept C2 - NCLH'!X63</f>
        <v>500</v>
      </c>
    </row>
    <row r="69" spans="1:32" s="96" customFormat="1">
      <c r="A69" s="54" t="s">
        <v>210</v>
      </c>
      <c r="B69" s="487"/>
      <c r="C69" s="487"/>
      <c r="K69" s="486">
        <f>'P&amp;L - Concept C2 - NCLH'!D65</f>
        <v>0</v>
      </c>
      <c r="L69" s="313">
        <f>'P&amp;L - Concept C2 - NCLH'!E65</f>
        <v>0</v>
      </c>
      <c r="M69" s="313">
        <f>'P&amp;L - Concept C2 - NCLH'!F65</f>
        <v>1</v>
      </c>
      <c r="N69" s="313">
        <f>'P&amp;L - Concept C2 - NCLH'!G65</f>
        <v>2</v>
      </c>
      <c r="O69" s="313">
        <f>'P&amp;L - Concept C2 - NCLH'!H65</f>
        <v>2</v>
      </c>
      <c r="P69" s="313">
        <f>'P&amp;L - Concept C2 - NCLH'!I65</f>
        <v>2</v>
      </c>
      <c r="Q69" s="313">
        <f>'P&amp;L - Concept C2 - NCLH'!J65</f>
        <v>3</v>
      </c>
      <c r="R69" s="313">
        <f>'P&amp;L - Concept C2 - NCLH'!K65</f>
        <v>3</v>
      </c>
      <c r="S69" s="313">
        <f>'P&amp;L - Concept C2 - NCLH'!L65</f>
        <v>3</v>
      </c>
      <c r="T69" s="313">
        <f>'P&amp;L - Concept C2 - NCLH'!M65</f>
        <v>3</v>
      </c>
      <c r="U69" s="313">
        <f>'P&amp;L - Concept C2 - NCLH'!N65</f>
        <v>3</v>
      </c>
      <c r="V69" s="313">
        <f>'P&amp;L - Concept C2 - NCLH'!O65</f>
        <v>4</v>
      </c>
      <c r="W69" s="313">
        <f>'P&amp;L - Concept C2 - NCLH'!P65</f>
        <v>4</v>
      </c>
      <c r="X69" s="313">
        <f>'P&amp;L - Concept C2 - NCLH'!Q65</f>
        <v>4</v>
      </c>
      <c r="Y69" s="313">
        <f>'P&amp;L - Concept C2 - NCLH'!R65</f>
        <v>4</v>
      </c>
      <c r="Z69" s="313">
        <f>'P&amp;L - Concept C2 - NCLH'!S65</f>
        <v>4</v>
      </c>
      <c r="AA69" s="313">
        <f>'P&amp;L - Concept C2 - NCLH'!T65</f>
        <v>5</v>
      </c>
      <c r="AB69" s="313">
        <f>'P&amp;L - Concept C2 - NCLH'!U65</f>
        <v>5</v>
      </c>
      <c r="AC69" s="313">
        <f>'P&amp;L - Concept C2 - NCLH'!V65</f>
        <v>5</v>
      </c>
      <c r="AD69" s="313">
        <f>'P&amp;L - Concept C2 - NCLH'!W65</f>
        <v>5</v>
      </c>
      <c r="AE69" s="313">
        <f>'P&amp;L - Concept C2 - NCLH'!X65</f>
        <v>5</v>
      </c>
    </row>
    <row r="70" spans="1:32" s="96" customFormat="1">
      <c r="A70" s="96" t="s">
        <v>211</v>
      </c>
      <c r="K70" s="486">
        <f>'P&amp;L - Concept C2 - NCLH'!D66</f>
        <v>0</v>
      </c>
      <c r="L70" s="313">
        <f>'P&amp;L - Concept C2 - NCLH'!E66</f>
        <v>0</v>
      </c>
      <c r="M70" s="313">
        <f>'P&amp;L - Concept C2 - NCLH'!F66</f>
        <v>3</v>
      </c>
      <c r="N70" s="313">
        <f>'P&amp;L - Concept C2 - NCLH'!G66</f>
        <v>3</v>
      </c>
      <c r="O70" s="313">
        <f>'P&amp;L - Concept C2 - NCLH'!H66</f>
        <v>3</v>
      </c>
      <c r="P70" s="313">
        <f>'P&amp;L - Concept C2 - NCLH'!I66</f>
        <v>3</v>
      </c>
      <c r="Q70" s="313">
        <f>'P&amp;L - Concept C2 - NCLH'!J66</f>
        <v>3</v>
      </c>
      <c r="R70" s="313">
        <f>'P&amp;L - Concept C2 - NCLH'!K66</f>
        <v>3</v>
      </c>
      <c r="S70" s="313">
        <f>'P&amp;L - Concept C2 - NCLH'!L66</f>
        <v>3</v>
      </c>
      <c r="T70" s="313">
        <f>'P&amp;L - Concept C2 - NCLH'!M66</f>
        <v>3</v>
      </c>
      <c r="U70" s="313">
        <f>'P&amp;L - Concept C2 - NCLH'!N66</f>
        <v>3</v>
      </c>
      <c r="V70" s="313">
        <f>'P&amp;L - Concept C2 - NCLH'!O66</f>
        <v>3</v>
      </c>
      <c r="W70" s="313">
        <f>'P&amp;L - Concept C2 - NCLH'!P66</f>
        <v>3</v>
      </c>
      <c r="X70" s="313">
        <f>'P&amp;L - Concept C2 - NCLH'!Q66</f>
        <v>3</v>
      </c>
      <c r="Y70" s="313">
        <f>'P&amp;L - Concept C2 - NCLH'!R66</f>
        <v>3</v>
      </c>
      <c r="Z70" s="313">
        <f>'P&amp;L - Concept C2 - NCLH'!S66</f>
        <v>3</v>
      </c>
      <c r="AA70" s="313">
        <f>'P&amp;L - Concept C2 - NCLH'!T66</f>
        <v>3</v>
      </c>
      <c r="AB70" s="313">
        <f>'P&amp;L - Concept C2 - NCLH'!U66</f>
        <v>3</v>
      </c>
      <c r="AC70" s="313">
        <f>'P&amp;L - Concept C2 - NCLH'!V66</f>
        <v>3</v>
      </c>
      <c r="AD70" s="313">
        <f>'P&amp;L - Concept C2 - NCLH'!W66</f>
        <v>3</v>
      </c>
      <c r="AE70" s="313">
        <f>'P&amp;L - Concept C2 - NCLH'!X66</f>
        <v>3</v>
      </c>
    </row>
    <row r="71" spans="1:32" s="96" customFormat="1">
      <c r="K71" s="486"/>
      <c r="L71" s="435"/>
      <c r="M71" s="435"/>
      <c r="N71" s="435"/>
      <c r="O71" s="435"/>
      <c r="P71" s="435"/>
      <c r="Q71" s="435"/>
      <c r="R71" s="435"/>
      <c r="S71" s="435"/>
      <c r="T71" s="435"/>
      <c r="U71" s="435"/>
      <c r="V71" s="435"/>
      <c r="W71" s="435"/>
      <c r="X71" s="435"/>
      <c r="Y71" s="435"/>
      <c r="Z71" s="435"/>
      <c r="AA71" s="435"/>
      <c r="AB71" s="435"/>
      <c r="AC71" s="435"/>
      <c r="AD71" s="435"/>
      <c r="AE71" s="435"/>
    </row>
    <row r="72" spans="1:32" s="18" customFormat="1">
      <c r="A72" s="28"/>
      <c r="K72" s="486"/>
      <c r="L72" s="331"/>
      <c r="M72" s="333"/>
      <c r="N72" s="331"/>
      <c r="O72" s="331"/>
      <c r="P72" s="331"/>
      <c r="Q72" s="331"/>
      <c r="R72" s="331"/>
      <c r="S72" s="331"/>
      <c r="T72" s="331"/>
      <c r="U72" s="331"/>
      <c r="V72" s="331"/>
      <c r="W72" s="331"/>
      <c r="X72" s="331"/>
      <c r="Y72" s="331"/>
      <c r="Z72" s="331"/>
      <c r="AA72" s="331"/>
      <c r="AB72" s="331"/>
      <c r="AC72" s="331"/>
      <c r="AD72" s="331"/>
      <c r="AE72" s="331"/>
    </row>
    <row r="73" spans="1:32">
      <c r="A73" s="168" t="s">
        <v>131</v>
      </c>
      <c r="B73" s="168"/>
      <c r="C73" s="169"/>
      <c r="D73" s="170"/>
      <c r="E73" s="171"/>
      <c r="F73" s="171"/>
      <c r="G73" s="171"/>
      <c r="H73" s="171"/>
      <c r="I73" s="168"/>
      <c r="J73" s="171"/>
      <c r="K73" s="681"/>
      <c r="L73" s="314"/>
      <c r="M73" s="314"/>
      <c r="N73" s="314"/>
      <c r="O73" s="314"/>
      <c r="P73" s="314"/>
      <c r="Q73" s="314"/>
      <c r="R73" s="314"/>
      <c r="S73" s="314"/>
      <c r="T73" s="314"/>
      <c r="U73" s="314"/>
      <c r="V73" s="314"/>
      <c r="W73" s="314"/>
      <c r="X73" s="314"/>
      <c r="Y73" s="314"/>
      <c r="Z73" s="314"/>
      <c r="AA73" s="314"/>
      <c r="AB73" s="314"/>
      <c r="AC73" s="314"/>
      <c r="AD73" s="314"/>
      <c r="AE73" s="314"/>
    </row>
    <row r="74" spans="1:32" s="252" customFormat="1">
      <c r="A74" s="183"/>
      <c r="B74" s="183"/>
      <c r="C74" s="364"/>
      <c r="D74" s="365"/>
      <c r="E74" s="184"/>
      <c r="F74" s="184"/>
      <c r="G74" s="184"/>
      <c r="H74" s="184"/>
      <c r="I74" s="183"/>
      <c r="J74" s="184"/>
      <c r="K74" s="664"/>
      <c r="L74" s="366"/>
      <c r="M74" s="366"/>
      <c r="N74" s="366"/>
      <c r="O74" s="366"/>
      <c r="P74" s="366"/>
      <c r="Q74" s="366"/>
      <c r="R74" s="366"/>
      <c r="S74" s="366"/>
      <c r="T74" s="366"/>
      <c r="U74" s="366"/>
      <c r="V74" s="366"/>
      <c r="W74" s="366"/>
      <c r="X74" s="366"/>
      <c r="Y74" s="366"/>
      <c r="Z74" s="366"/>
      <c r="AA74" s="366"/>
      <c r="AB74" s="366"/>
      <c r="AC74" s="366"/>
      <c r="AD74" s="366"/>
      <c r="AE74" s="366"/>
    </row>
    <row r="75" spans="1:32">
      <c r="A75" s="41" t="s">
        <v>13</v>
      </c>
      <c r="B75" s="41"/>
      <c r="C75" s="105"/>
      <c r="D75" s="106"/>
      <c r="E75" s="37"/>
      <c r="F75" s="37"/>
      <c r="G75" s="37"/>
      <c r="H75" s="37"/>
      <c r="I75" s="41"/>
      <c r="J75" s="37"/>
      <c r="K75" s="683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</row>
    <row r="76" spans="1:32">
      <c r="A76" s="96" t="s">
        <v>418</v>
      </c>
      <c r="B76" s="735" t="s">
        <v>12</v>
      </c>
      <c r="C76" s="663">
        <v>75000</v>
      </c>
      <c r="D76" s="736">
        <f t="shared" ref="D76:D79" si="0">C76/2080</f>
        <v>36.057692307692307</v>
      </c>
      <c r="E76" s="663">
        <v>0</v>
      </c>
      <c r="F76" s="663">
        <f>(C76*$F$13)</f>
        <v>30000</v>
      </c>
      <c r="G76" s="663">
        <f>SUM(C76,E76:F76)</f>
        <v>105000</v>
      </c>
      <c r="H76" s="663"/>
      <c r="I76" s="736"/>
      <c r="J76" s="663"/>
      <c r="K76" s="683">
        <v>0</v>
      </c>
      <c r="L76" s="665">
        <v>0</v>
      </c>
      <c r="M76" s="666">
        <f>G76</f>
        <v>105000</v>
      </c>
      <c r="N76" s="666">
        <f>($G$76*L11)</f>
        <v>107100</v>
      </c>
      <c r="O76" s="666">
        <f t="shared" ref="O76:AE76" si="1">($G$76*M11)</f>
        <v>109242</v>
      </c>
      <c r="P76" s="666">
        <f t="shared" si="1"/>
        <v>111426.84</v>
      </c>
      <c r="Q76" s="666">
        <f t="shared" si="1"/>
        <v>113655.3768</v>
      </c>
      <c r="R76" s="666">
        <f t="shared" si="1"/>
        <v>115928.48433600001</v>
      </c>
      <c r="S76" s="666">
        <f t="shared" si="1"/>
        <v>118247.05402272001</v>
      </c>
      <c r="T76" s="666">
        <f t="shared" si="1"/>
        <v>120611.9951031744</v>
      </c>
      <c r="U76" s="666">
        <f t="shared" si="1"/>
        <v>123024.2350052379</v>
      </c>
      <c r="V76" s="666">
        <f t="shared" si="1"/>
        <v>125484.71970534266</v>
      </c>
      <c r="W76" s="666">
        <f t="shared" si="1"/>
        <v>127994.41409944952</v>
      </c>
      <c r="X76" s="666">
        <f t="shared" si="1"/>
        <v>130554.30238143851</v>
      </c>
      <c r="Y76" s="666">
        <f t="shared" si="1"/>
        <v>133165.38842906727</v>
      </c>
      <c r="Z76" s="666">
        <f t="shared" si="1"/>
        <v>135828.69619764862</v>
      </c>
      <c r="AA76" s="666">
        <f t="shared" si="1"/>
        <v>138545.27012160158</v>
      </c>
      <c r="AB76" s="666">
        <f t="shared" si="1"/>
        <v>141316.17552403364</v>
      </c>
      <c r="AC76" s="666">
        <f t="shared" si="1"/>
        <v>144142.4990345143</v>
      </c>
      <c r="AD76" s="666">
        <f t="shared" si="1"/>
        <v>147025.34901520461</v>
      </c>
      <c r="AE76" s="666">
        <f t="shared" si="1"/>
        <v>149965.8559955087</v>
      </c>
    </row>
    <row r="77" spans="1:32">
      <c r="A77" s="96" t="s">
        <v>417</v>
      </c>
      <c r="B77" s="735" t="s">
        <v>12</v>
      </c>
      <c r="C77" s="663">
        <v>35000</v>
      </c>
      <c r="D77" s="736">
        <f t="shared" si="0"/>
        <v>16.826923076923077</v>
      </c>
      <c r="E77" s="663">
        <v>0</v>
      </c>
      <c r="F77" s="663">
        <f t="shared" ref="F77:F79" si="2">(C77*$F$13)</f>
        <v>14000</v>
      </c>
      <c r="G77" s="663">
        <f t="shared" ref="G77:G79" si="3">SUM(C77,E77:F77)</f>
        <v>49000</v>
      </c>
      <c r="H77" s="663"/>
      <c r="I77" s="736"/>
      <c r="J77" s="663"/>
      <c r="K77" s="683">
        <v>0</v>
      </c>
      <c r="L77" s="665">
        <f>G77*0.25</f>
        <v>12250</v>
      </c>
      <c r="M77" s="666">
        <f>G77*0.5</f>
        <v>24500</v>
      </c>
      <c r="N77" s="666">
        <f>($G$77*0.5*L11)</f>
        <v>24990</v>
      </c>
      <c r="O77" s="666">
        <f t="shared" ref="O77:AE77" si="4">($G$77*0.5*M11)</f>
        <v>25489.8</v>
      </c>
      <c r="P77" s="666">
        <f t="shared" si="4"/>
        <v>25999.595999999998</v>
      </c>
      <c r="Q77" s="666">
        <f t="shared" si="4"/>
        <v>26519.587919999998</v>
      </c>
      <c r="R77" s="666">
        <f t="shared" si="4"/>
        <v>27049.979678399999</v>
      </c>
      <c r="S77" s="666">
        <f t="shared" si="4"/>
        <v>27590.979271968001</v>
      </c>
      <c r="T77" s="666">
        <f t="shared" si="4"/>
        <v>28142.798857407361</v>
      </c>
      <c r="U77" s="666">
        <f t="shared" si="4"/>
        <v>28705.654834555509</v>
      </c>
      <c r="V77" s="666">
        <f t="shared" si="4"/>
        <v>29279.767931246621</v>
      </c>
      <c r="W77" s="666">
        <f t="shared" si="4"/>
        <v>29865.363289871555</v>
      </c>
      <c r="X77" s="666">
        <f t="shared" si="4"/>
        <v>30462.670555668985</v>
      </c>
      <c r="Y77" s="666">
        <f t="shared" si="4"/>
        <v>31071.923966782364</v>
      </c>
      <c r="Z77" s="666">
        <f t="shared" si="4"/>
        <v>31693.362446118008</v>
      </c>
      <c r="AA77" s="666">
        <f t="shared" si="4"/>
        <v>32327.229695040372</v>
      </c>
      <c r="AB77" s="666">
        <f t="shared" si="4"/>
        <v>32973.774288941182</v>
      </c>
      <c r="AC77" s="666">
        <f t="shared" si="4"/>
        <v>33633.249774720003</v>
      </c>
      <c r="AD77" s="666">
        <f t="shared" si="4"/>
        <v>34305.914770214411</v>
      </c>
      <c r="AE77" s="666">
        <f t="shared" si="4"/>
        <v>34992.0330656187</v>
      </c>
    </row>
    <row r="78" spans="1:32">
      <c r="A78" s="96" t="s">
        <v>422</v>
      </c>
      <c r="B78" s="735" t="s">
        <v>15</v>
      </c>
      <c r="C78" s="663">
        <v>15000</v>
      </c>
      <c r="D78" s="736">
        <f t="shared" si="0"/>
        <v>7.2115384615384617</v>
      </c>
      <c r="E78" s="663">
        <f>C78*$L$15</f>
        <v>0</v>
      </c>
      <c r="F78" s="663">
        <f t="shared" si="2"/>
        <v>6000</v>
      </c>
      <c r="G78" s="663">
        <f t="shared" si="3"/>
        <v>21000</v>
      </c>
      <c r="H78" s="663"/>
      <c r="I78" s="736"/>
      <c r="J78" s="663"/>
      <c r="K78" s="683">
        <v>0</v>
      </c>
      <c r="L78" s="665">
        <v>0</v>
      </c>
      <c r="M78" s="666">
        <f t="shared" ref="M78" si="5">G78</f>
        <v>21000</v>
      </c>
      <c r="N78" s="666">
        <f>($G$78*L11)</f>
        <v>21420</v>
      </c>
      <c r="O78" s="666">
        <f t="shared" ref="O78:AE78" si="6">($G$78*M11)</f>
        <v>21848.400000000001</v>
      </c>
      <c r="P78" s="666">
        <f t="shared" si="6"/>
        <v>22285.367999999999</v>
      </c>
      <c r="Q78" s="666">
        <f t="shared" si="6"/>
        <v>22731.075359999999</v>
      </c>
      <c r="R78" s="666">
        <f t="shared" si="6"/>
        <v>23185.6968672</v>
      </c>
      <c r="S78" s="666">
        <f t="shared" si="6"/>
        <v>23649.410804544001</v>
      </c>
      <c r="T78" s="666">
        <f t="shared" si="6"/>
        <v>24122.399020634883</v>
      </c>
      <c r="U78" s="666">
        <f t="shared" si="6"/>
        <v>24604.847001047579</v>
      </c>
      <c r="V78" s="666">
        <f t="shared" si="6"/>
        <v>25096.943941068534</v>
      </c>
      <c r="W78" s="666">
        <f t="shared" si="6"/>
        <v>25598.882819889903</v>
      </c>
      <c r="X78" s="666">
        <f t="shared" si="6"/>
        <v>26110.8604762877</v>
      </c>
      <c r="Y78" s="666">
        <f t="shared" si="6"/>
        <v>26633.077685813456</v>
      </c>
      <c r="Z78" s="666">
        <f t="shared" si="6"/>
        <v>27165.739239529721</v>
      </c>
      <c r="AA78" s="666">
        <f t="shared" si="6"/>
        <v>27709.054024320321</v>
      </c>
      <c r="AB78" s="666">
        <f t="shared" si="6"/>
        <v>28263.235104806728</v>
      </c>
      <c r="AC78" s="666">
        <f t="shared" si="6"/>
        <v>28828.499806902862</v>
      </c>
      <c r="AD78" s="666">
        <f t="shared" si="6"/>
        <v>29405.069803040922</v>
      </c>
      <c r="AE78" s="666">
        <f t="shared" si="6"/>
        <v>29993.17119910174</v>
      </c>
    </row>
    <row r="79" spans="1:32">
      <c r="A79" s="737" t="s">
        <v>422</v>
      </c>
      <c r="B79" s="738" t="s">
        <v>15</v>
      </c>
      <c r="C79" s="739">
        <v>15000</v>
      </c>
      <c r="D79" s="740">
        <f t="shared" si="0"/>
        <v>7.2115384615384617</v>
      </c>
      <c r="E79" s="739">
        <f>C79*$L$15</f>
        <v>0</v>
      </c>
      <c r="F79" s="739">
        <f t="shared" si="2"/>
        <v>6000</v>
      </c>
      <c r="G79" s="739">
        <f t="shared" si="3"/>
        <v>21000</v>
      </c>
      <c r="H79" s="739"/>
      <c r="I79" s="740"/>
      <c r="J79" s="739"/>
      <c r="K79" s="741">
        <v>0</v>
      </c>
      <c r="L79" s="742">
        <v>0</v>
      </c>
      <c r="M79" s="742">
        <f t="shared" ref="M79" si="7">G79</f>
        <v>21000</v>
      </c>
      <c r="N79" s="742">
        <f>($G$79*L11)</f>
        <v>21420</v>
      </c>
      <c r="O79" s="742">
        <f t="shared" ref="O79:AE79" si="8">($G$79*M11)</f>
        <v>21848.400000000001</v>
      </c>
      <c r="P79" s="742">
        <f t="shared" si="8"/>
        <v>22285.367999999999</v>
      </c>
      <c r="Q79" s="742">
        <f t="shared" si="8"/>
        <v>22731.075359999999</v>
      </c>
      <c r="R79" s="742">
        <f t="shared" si="8"/>
        <v>23185.6968672</v>
      </c>
      <c r="S79" s="742">
        <f t="shared" si="8"/>
        <v>23649.410804544001</v>
      </c>
      <c r="T79" s="742">
        <f t="shared" si="8"/>
        <v>24122.399020634883</v>
      </c>
      <c r="U79" s="742">
        <f t="shared" si="8"/>
        <v>24604.847001047579</v>
      </c>
      <c r="V79" s="742">
        <f t="shared" si="8"/>
        <v>25096.943941068534</v>
      </c>
      <c r="W79" s="742">
        <f t="shared" si="8"/>
        <v>25598.882819889903</v>
      </c>
      <c r="X79" s="742">
        <f t="shared" si="8"/>
        <v>26110.8604762877</v>
      </c>
      <c r="Y79" s="742">
        <f t="shared" si="8"/>
        <v>26633.077685813456</v>
      </c>
      <c r="Z79" s="742">
        <f t="shared" si="8"/>
        <v>27165.739239529721</v>
      </c>
      <c r="AA79" s="742">
        <f t="shared" si="8"/>
        <v>27709.054024320321</v>
      </c>
      <c r="AB79" s="742">
        <f t="shared" si="8"/>
        <v>28263.235104806728</v>
      </c>
      <c r="AC79" s="742">
        <f t="shared" si="8"/>
        <v>28828.499806902862</v>
      </c>
      <c r="AD79" s="742">
        <f t="shared" si="8"/>
        <v>29405.069803040922</v>
      </c>
      <c r="AE79" s="742">
        <f t="shared" si="8"/>
        <v>29993.17119910174</v>
      </c>
    </row>
    <row r="80" spans="1:32" s="56" customFormat="1" ht="14.25">
      <c r="A80" s="164" t="s">
        <v>416</v>
      </c>
      <c r="B80" s="164"/>
      <c r="C80" s="667">
        <f>SUM(C76:C79)</f>
        <v>140000</v>
      </c>
      <c r="D80" s="667"/>
      <c r="E80" s="667">
        <f>SUM(E76:E79)</f>
        <v>0</v>
      </c>
      <c r="F80" s="667">
        <f>SUM(F76:F79)</f>
        <v>56000</v>
      </c>
      <c r="G80" s="667">
        <f>SUM(G76:G79)</f>
        <v>196000</v>
      </c>
      <c r="H80" s="667"/>
      <c r="I80" s="668"/>
      <c r="J80" s="667"/>
      <c r="K80" s="685">
        <f>SUMIF($B76:$B79,"FT",K76:K79)</f>
        <v>0</v>
      </c>
      <c r="L80" s="669">
        <f t="shared" ref="L80:AE80" si="9">SUM(L76:L79)</f>
        <v>12250</v>
      </c>
      <c r="M80" s="669">
        <f t="shared" si="9"/>
        <v>171500</v>
      </c>
      <c r="N80" s="669">
        <f t="shared" si="9"/>
        <v>174930</v>
      </c>
      <c r="O80" s="669">
        <f t="shared" si="9"/>
        <v>178428.59999999998</v>
      </c>
      <c r="P80" s="669">
        <f t="shared" si="9"/>
        <v>181997.17199999996</v>
      </c>
      <c r="Q80" s="669">
        <f t="shared" si="9"/>
        <v>185637.11543999997</v>
      </c>
      <c r="R80" s="669">
        <f t="shared" si="9"/>
        <v>189349.85774879999</v>
      </c>
      <c r="S80" s="669">
        <f t="shared" si="9"/>
        <v>193136.85490377599</v>
      </c>
      <c r="T80" s="669">
        <f t="shared" si="9"/>
        <v>196999.59200185153</v>
      </c>
      <c r="U80" s="669">
        <f t="shared" si="9"/>
        <v>200939.58384188855</v>
      </c>
      <c r="V80" s="669">
        <f t="shared" si="9"/>
        <v>204958.37551872636</v>
      </c>
      <c r="W80" s="669">
        <f t="shared" si="9"/>
        <v>209057.54302910087</v>
      </c>
      <c r="X80" s="669">
        <f t="shared" si="9"/>
        <v>213238.69388968288</v>
      </c>
      <c r="Y80" s="669">
        <f t="shared" si="9"/>
        <v>217503.46776747654</v>
      </c>
      <c r="Z80" s="669">
        <f t="shared" si="9"/>
        <v>221853.53712282603</v>
      </c>
      <c r="AA80" s="669">
        <f t="shared" si="9"/>
        <v>226290.60786528263</v>
      </c>
      <c r="AB80" s="669">
        <f t="shared" si="9"/>
        <v>230816.42002258825</v>
      </c>
      <c r="AC80" s="669">
        <f t="shared" si="9"/>
        <v>235432.74842304003</v>
      </c>
      <c r="AD80" s="669">
        <f t="shared" si="9"/>
        <v>240141.40339150085</v>
      </c>
      <c r="AE80" s="669">
        <f t="shared" si="9"/>
        <v>244944.23145933088</v>
      </c>
    </row>
    <row r="81" spans="1:35" s="56" customFormat="1" ht="14.25">
      <c r="A81" s="164"/>
      <c r="B81" s="164"/>
      <c r="C81" s="667"/>
      <c r="D81" s="667"/>
      <c r="E81" s="667"/>
      <c r="F81" s="667"/>
      <c r="G81" s="667"/>
      <c r="H81" s="667"/>
      <c r="I81" s="668"/>
      <c r="J81" s="667"/>
      <c r="K81" s="685"/>
      <c r="L81" s="669"/>
      <c r="M81" s="669"/>
      <c r="N81" s="669"/>
      <c r="O81" s="669"/>
      <c r="P81" s="669"/>
      <c r="Q81" s="669"/>
      <c r="R81" s="669"/>
      <c r="S81" s="669"/>
      <c r="T81" s="669"/>
      <c r="U81" s="669"/>
      <c r="V81" s="669"/>
      <c r="W81" s="669"/>
      <c r="X81" s="669"/>
      <c r="Y81" s="669"/>
      <c r="Z81" s="669"/>
      <c r="AA81" s="669"/>
      <c r="AB81" s="669"/>
      <c r="AC81" s="669"/>
      <c r="AD81" s="669"/>
      <c r="AE81" s="669"/>
    </row>
    <row r="82" spans="1:35">
      <c r="A82" s="37" t="s">
        <v>411</v>
      </c>
      <c r="B82" s="37"/>
      <c r="C82" s="57"/>
      <c r="E82" s="57"/>
      <c r="F82" s="57"/>
      <c r="G82" s="57"/>
      <c r="H82" s="57"/>
      <c r="I82" s="43"/>
      <c r="J82" s="42"/>
      <c r="K82" s="743">
        <f>COUNTIF(K76:K79,"&gt;100")</f>
        <v>0</v>
      </c>
      <c r="L82" s="496">
        <f t="shared" ref="L82:AE82" si="10">COUNTIF(L76:L77,"&gt;100")</f>
        <v>1</v>
      </c>
      <c r="M82" s="496">
        <f t="shared" si="10"/>
        <v>2</v>
      </c>
      <c r="N82" s="496">
        <f t="shared" si="10"/>
        <v>2</v>
      </c>
      <c r="O82" s="496">
        <f t="shared" si="10"/>
        <v>2</v>
      </c>
      <c r="P82" s="496">
        <f t="shared" si="10"/>
        <v>2</v>
      </c>
      <c r="Q82" s="496">
        <f t="shared" si="10"/>
        <v>2</v>
      </c>
      <c r="R82" s="496">
        <f t="shared" si="10"/>
        <v>2</v>
      </c>
      <c r="S82" s="496">
        <f t="shared" si="10"/>
        <v>2</v>
      </c>
      <c r="T82" s="496">
        <f t="shared" si="10"/>
        <v>2</v>
      </c>
      <c r="U82" s="496">
        <f t="shared" si="10"/>
        <v>2</v>
      </c>
      <c r="V82" s="496">
        <f t="shared" si="10"/>
        <v>2</v>
      </c>
      <c r="W82" s="496">
        <f t="shared" si="10"/>
        <v>2</v>
      </c>
      <c r="X82" s="496">
        <f t="shared" si="10"/>
        <v>2</v>
      </c>
      <c r="Y82" s="496">
        <f t="shared" si="10"/>
        <v>2</v>
      </c>
      <c r="Z82" s="496">
        <f t="shared" si="10"/>
        <v>2</v>
      </c>
      <c r="AA82" s="496">
        <f t="shared" si="10"/>
        <v>2</v>
      </c>
      <c r="AB82" s="496">
        <f t="shared" si="10"/>
        <v>2</v>
      </c>
      <c r="AC82" s="496">
        <f t="shared" si="10"/>
        <v>2</v>
      </c>
      <c r="AD82" s="496">
        <f t="shared" si="10"/>
        <v>2</v>
      </c>
      <c r="AE82" s="496">
        <f t="shared" si="10"/>
        <v>2</v>
      </c>
      <c r="AF82" s="744"/>
    </row>
    <row r="83" spans="1:35">
      <c r="A83" s="745" t="s">
        <v>412</v>
      </c>
      <c r="B83" s="745"/>
      <c r="C83" s="746"/>
      <c r="D83" s="116"/>
      <c r="E83" s="746"/>
      <c r="F83" s="746"/>
      <c r="G83" s="746"/>
      <c r="H83" s="746"/>
      <c r="I83" s="747"/>
      <c r="J83" s="748"/>
      <c r="K83" s="749">
        <f t="shared" ref="K83" si="11">K84-K82</f>
        <v>0</v>
      </c>
      <c r="L83" s="750">
        <f t="shared" ref="L83:AE83" si="12">COUNTIF(L78:L79,"&gt;100")</f>
        <v>0</v>
      </c>
      <c r="M83" s="750">
        <f t="shared" si="12"/>
        <v>2</v>
      </c>
      <c r="N83" s="750">
        <f t="shared" si="12"/>
        <v>2</v>
      </c>
      <c r="O83" s="750">
        <f t="shared" si="12"/>
        <v>2</v>
      </c>
      <c r="P83" s="750">
        <f t="shared" si="12"/>
        <v>2</v>
      </c>
      <c r="Q83" s="750">
        <f t="shared" si="12"/>
        <v>2</v>
      </c>
      <c r="R83" s="750">
        <f t="shared" si="12"/>
        <v>2</v>
      </c>
      <c r="S83" s="750">
        <f t="shared" si="12"/>
        <v>2</v>
      </c>
      <c r="T83" s="750">
        <f t="shared" si="12"/>
        <v>2</v>
      </c>
      <c r="U83" s="750">
        <f t="shared" si="12"/>
        <v>2</v>
      </c>
      <c r="V83" s="750">
        <f t="shared" si="12"/>
        <v>2</v>
      </c>
      <c r="W83" s="750">
        <f t="shared" si="12"/>
        <v>2</v>
      </c>
      <c r="X83" s="750">
        <f t="shared" si="12"/>
        <v>2</v>
      </c>
      <c r="Y83" s="750">
        <f t="shared" si="12"/>
        <v>2</v>
      </c>
      <c r="Z83" s="750">
        <f t="shared" si="12"/>
        <v>2</v>
      </c>
      <c r="AA83" s="750">
        <f t="shared" si="12"/>
        <v>2</v>
      </c>
      <c r="AB83" s="750">
        <f t="shared" si="12"/>
        <v>2</v>
      </c>
      <c r="AC83" s="750">
        <f t="shared" si="12"/>
        <v>2</v>
      </c>
      <c r="AD83" s="750">
        <f t="shared" si="12"/>
        <v>2</v>
      </c>
      <c r="AE83" s="750">
        <f t="shared" si="12"/>
        <v>2</v>
      </c>
    </row>
    <row r="84" spans="1:35" s="56" customFormat="1" ht="14.25">
      <c r="A84" s="164" t="s">
        <v>413</v>
      </c>
      <c r="B84" s="164"/>
      <c r="C84" s="75"/>
      <c r="D84" s="173"/>
      <c r="E84" s="75"/>
      <c r="F84" s="75"/>
      <c r="G84" s="75"/>
      <c r="H84" s="75"/>
      <c r="I84" s="174"/>
      <c r="J84" s="181"/>
      <c r="K84" s="751">
        <f>COUNTIF(K76:K79,"&gt;0")</f>
        <v>0</v>
      </c>
      <c r="L84" s="752">
        <f>SUM(L82:L83)</f>
        <v>1</v>
      </c>
      <c r="M84" s="752">
        <f t="shared" ref="M84:AE84" si="13">SUM(M82:M83)</f>
        <v>4</v>
      </c>
      <c r="N84" s="752">
        <f t="shared" si="13"/>
        <v>4</v>
      </c>
      <c r="O84" s="752">
        <f t="shared" si="13"/>
        <v>4</v>
      </c>
      <c r="P84" s="752">
        <f t="shared" si="13"/>
        <v>4</v>
      </c>
      <c r="Q84" s="752">
        <f t="shared" si="13"/>
        <v>4</v>
      </c>
      <c r="R84" s="752">
        <f t="shared" si="13"/>
        <v>4</v>
      </c>
      <c r="S84" s="752">
        <f t="shared" si="13"/>
        <v>4</v>
      </c>
      <c r="T84" s="752">
        <f t="shared" si="13"/>
        <v>4</v>
      </c>
      <c r="U84" s="752">
        <f t="shared" si="13"/>
        <v>4</v>
      </c>
      <c r="V84" s="752">
        <f t="shared" si="13"/>
        <v>4</v>
      </c>
      <c r="W84" s="752">
        <f t="shared" si="13"/>
        <v>4</v>
      </c>
      <c r="X84" s="752">
        <f t="shared" si="13"/>
        <v>4</v>
      </c>
      <c r="Y84" s="752">
        <f t="shared" si="13"/>
        <v>4</v>
      </c>
      <c r="Z84" s="752">
        <f t="shared" si="13"/>
        <v>4</v>
      </c>
      <c r="AA84" s="752">
        <f t="shared" si="13"/>
        <v>4</v>
      </c>
      <c r="AB84" s="752">
        <f t="shared" si="13"/>
        <v>4</v>
      </c>
      <c r="AC84" s="752">
        <f t="shared" si="13"/>
        <v>4</v>
      </c>
      <c r="AD84" s="752">
        <f t="shared" si="13"/>
        <v>4</v>
      </c>
      <c r="AE84" s="752">
        <f t="shared" si="13"/>
        <v>4</v>
      </c>
    </row>
    <row r="85" spans="1:35" s="56" customFormat="1" ht="14.25">
      <c r="A85" s="164"/>
      <c r="B85" s="164"/>
      <c r="C85" s="75"/>
      <c r="D85" s="173"/>
      <c r="E85" s="75"/>
      <c r="F85" s="75"/>
      <c r="G85" s="75"/>
      <c r="H85" s="75"/>
      <c r="I85" s="174"/>
      <c r="J85" s="181"/>
      <c r="K85" s="685"/>
      <c r="L85" s="315"/>
      <c r="M85" s="315"/>
      <c r="N85" s="315"/>
      <c r="O85" s="315"/>
      <c r="P85" s="315"/>
      <c r="Q85" s="315"/>
      <c r="R85" s="315"/>
      <c r="S85" s="315"/>
      <c r="T85" s="315"/>
      <c r="U85" s="315"/>
      <c r="V85" s="315"/>
      <c r="W85" s="315"/>
      <c r="X85" s="315"/>
      <c r="Y85" s="315"/>
      <c r="Z85" s="315"/>
      <c r="AA85" s="315"/>
      <c r="AB85" s="315"/>
      <c r="AC85" s="315"/>
      <c r="AD85" s="315"/>
      <c r="AE85" s="315"/>
    </row>
    <row r="86" spans="1:35">
      <c r="A86" s="48" t="s">
        <v>68</v>
      </c>
      <c r="B86" s="48"/>
      <c r="C86" s="77"/>
      <c r="D86" s="76"/>
      <c r="E86" s="57"/>
      <c r="F86" s="57"/>
      <c r="G86" s="77"/>
      <c r="H86" s="77"/>
      <c r="I86" s="50"/>
      <c r="J86" s="49"/>
      <c r="K86" s="683"/>
      <c r="L86" s="316"/>
      <c r="M86" s="316"/>
      <c r="N86" s="316"/>
      <c r="O86" s="316"/>
      <c r="P86" s="316"/>
      <c r="Q86" s="316"/>
      <c r="R86" s="316"/>
      <c r="S86" s="316"/>
      <c r="T86" s="316"/>
      <c r="U86" s="316"/>
      <c r="V86" s="316"/>
      <c r="W86" s="316"/>
      <c r="X86" s="316"/>
      <c r="Y86" s="316"/>
      <c r="Z86" s="316"/>
      <c r="AA86" s="316"/>
      <c r="AB86" s="316"/>
      <c r="AC86" s="316"/>
      <c r="AD86" s="316"/>
      <c r="AE86" s="316"/>
    </row>
    <row r="87" spans="1:35" s="68" customFormat="1" ht="14.25">
      <c r="A87" s="214" t="s">
        <v>80</v>
      </c>
      <c r="B87" s="189"/>
      <c r="C87" s="209"/>
      <c r="D87" s="210"/>
      <c r="E87" s="211"/>
      <c r="F87" s="211"/>
      <c r="G87" s="209"/>
      <c r="H87" s="209"/>
      <c r="I87" s="213"/>
      <c r="J87" s="212"/>
      <c r="K87" s="686"/>
      <c r="L87" s="317"/>
      <c r="M87" s="317"/>
      <c r="N87" s="317"/>
      <c r="O87" s="317"/>
      <c r="P87" s="317"/>
      <c r="Q87" s="317"/>
      <c r="R87" s="317"/>
      <c r="S87" s="317"/>
      <c r="T87" s="317"/>
      <c r="U87" s="317"/>
      <c r="V87" s="317"/>
      <c r="W87" s="317"/>
      <c r="X87" s="317"/>
      <c r="Y87" s="317"/>
      <c r="Z87" s="317"/>
      <c r="AA87" s="317"/>
      <c r="AB87" s="317"/>
      <c r="AC87" s="317"/>
      <c r="AD87" s="317"/>
      <c r="AE87" s="317"/>
    </row>
    <row r="88" spans="1:35">
      <c r="A88" s="37" t="s">
        <v>41</v>
      </c>
      <c r="B88" s="37"/>
      <c r="C88" s="110"/>
      <c r="D88" s="106"/>
      <c r="E88" s="57"/>
      <c r="F88" s="57"/>
      <c r="G88" s="57"/>
      <c r="H88" s="57"/>
      <c r="I88" s="51"/>
      <c r="J88" s="663"/>
      <c r="K88" s="683">
        <f>K$84*$J88*R$9</f>
        <v>0</v>
      </c>
      <c r="L88" s="666">
        <v>25000</v>
      </c>
      <c r="M88" s="666">
        <f>$L$88*L11</f>
        <v>25500</v>
      </c>
      <c r="N88" s="666">
        <f t="shared" ref="N88:P88" si="14">$L$88*M11</f>
        <v>26010</v>
      </c>
      <c r="O88" s="666">
        <f t="shared" si="14"/>
        <v>26530.199999999997</v>
      </c>
      <c r="P88" s="666">
        <f t="shared" si="14"/>
        <v>27060.804</v>
      </c>
      <c r="Q88" s="666">
        <f t="shared" ref="Q88" si="15">$L$88*P11</f>
        <v>27602.020080000002</v>
      </c>
      <c r="R88" s="666">
        <f t="shared" ref="R88" si="16">$L$88*Q11</f>
        <v>28154.060481600001</v>
      </c>
      <c r="S88" s="666">
        <f t="shared" ref="S88" si="17">$L$88*R11</f>
        <v>28717.141691232002</v>
      </c>
      <c r="T88" s="666">
        <f t="shared" ref="T88" si="18">$L$88*S11</f>
        <v>29291.484525056643</v>
      </c>
      <c r="U88" s="666">
        <f t="shared" ref="U88" si="19">$L$88*T11</f>
        <v>29877.314215557777</v>
      </c>
      <c r="V88" s="666">
        <f t="shared" ref="V88" si="20">$L$88*U11</f>
        <v>30474.860499868933</v>
      </c>
      <c r="W88" s="666">
        <f t="shared" ref="W88" si="21">$L$88*V11</f>
        <v>31084.357709866312</v>
      </c>
      <c r="X88" s="666">
        <f t="shared" ref="X88" si="22">$L$88*W11</f>
        <v>31706.044864063639</v>
      </c>
      <c r="Y88" s="666">
        <f t="shared" ref="Y88" si="23">$L$88*X11</f>
        <v>32340.165761344906</v>
      </c>
      <c r="Z88" s="666">
        <f t="shared" ref="Z88" si="24">$L$88*Y11</f>
        <v>32986.969076571811</v>
      </c>
      <c r="AA88" s="666">
        <f t="shared" ref="AA88" si="25">$L$88*Z11</f>
        <v>33646.708458103247</v>
      </c>
      <c r="AB88" s="666">
        <f t="shared" ref="AB88" si="26">$L$88*AA11</f>
        <v>34319.642627265312</v>
      </c>
      <c r="AC88" s="666">
        <f t="shared" ref="AC88" si="27">$L$88*AB11</f>
        <v>35006.03547981062</v>
      </c>
      <c r="AD88" s="666">
        <f t="shared" ref="AD88" si="28">$L$88*AC11</f>
        <v>35706.156189406836</v>
      </c>
      <c r="AE88" s="666">
        <f t="shared" ref="AE88" si="29">$L$88*AD11</f>
        <v>36420.279313194973</v>
      </c>
    </row>
    <row r="89" spans="1:35">
      <c r="A89" s="37" t="s">
        <v>424</v>
      </c>
      <c r="B89" s="37"/>
      <c r="C89" s="110"/>
      <c r="D89" s="106"/>
      <c r="E89" s="57"/>
      <c r="F89" s="57"/>
      <c r="G89" s="57"/>
      <c r="H89" s="57"/>
      <c r="I89" s="51"/>
      <c r="J89" s="663"/>
      <c r="K89" s="683">
        <f>K$84*$J89*R$9</f>
        <v>0</v>
      </c>
      <c r="L89" s="666">
        <v>10000</v>
      </c>
      <c r="M89" s="666">
        <v>500</v>
      </c>
      <c r="N89" s="666">
        <f>$M$89*M11</f>
        <v>520.20000000000005</v>
      </c>
      <c r="O89" s="666">
        <f>$M$89*N11</f>
        <v>530.60399999999993</v>
      </c>
      <c r="P89" s="666">
        <f>$M$89*O11</f>
        <v>541.21608000000003</v>
      </c>
      <c r="Q89" s="666">
        <v>5000</v>
      </c>
      <c r="R89" s="666">
        <f>$M$89*Q11</f>
        <v>563.08120963200008</v>
      </c>
      <c r="S89" s="666">
        <f>$M$89*R11</f>
        <v>574.34283382464002</v>
      </c>
      <c r="T89" s="666">
        <f>$M$89*S11</f>
        <v>585.82969050113286</v>
      </c>
      <c r="U89" s="666">
        <f>$M$89*T11</f>
        <v>597.54628431115555</v>
      </c>
      <c r="V89" s="666">
        <v>5000</v>
      </c>
      <c r="W89" s="666">
        <f>$M$89*V11</f>
        <v>621.68715419732621</v>
      </c>
      <c r="X89" s="666">
        <f>$M$89*W11</f>
        <v>634.12089728127273</v>
      </c>
      <c r="Y89" s="666">
        <f>$M$89*X11</f>
        <v>646.80331522689812</v>
      </c>
      <c r="Z89" s="666">
        <f>$M$89*Y11</f>
        <v>659.73938153143615</v>
      </c>
      <c r="AA89" s="666">
        <v>5000</v>
      </c>
      <c r="AB89" s="666">
        <f>$M$89*AA11</f>
        <v>686.39285254530625</v>
      </c>
      <c r="AC89" s="666">
        <f>$M$89*AB11</f>
        <v>700.12070959621246</v>
      </c>
      <c r="AD89" s="666">
        <f>$M$89*AC11</f>
        <v>714.1231237881367</v>
      </c>
      <c r="AE89" s="666">
        <f>$M$89*AD11</f>
        <v>728.40558626389941</v>
      </c>
    </row>
    <row r="90" spans="1:35">
      <c r="A90" s="37" t="s">
        <v>42</v>
      </c>
      <c r="B90" s="37"/>
      <c r="C90" s="110"/>
      <c r="D90" s="106"/>
      <c r="E90" s="57"/>
      <c r="F90" s="57"/>
      <c r="G90" s="57"/>
      <c r="H90" s="57"/>
      <c r="I90" s="51"/>
      <c r="J90" s="663"/>
      <c r="K90" s="683">
        <f>K$84*$J90*R$9</f>
        <v>0</v>
      </c>
      <c r="L90" s="666">
        <v>50000</v>
      </c>
      <c r="M90" s="666">
        <f t="shared" ref="M90:AE90" si="30">($L$90*L11)</f>
        <v>51000</v>
      </c>
      <c r="N90" s="666">
        <f t="shared" si="30"/>
        <v>52020</v>
      </c>
      <c r="O90" s="666">
        <f t="shared" si="30"/>
        <v>53060.399999999994</v>
      </c>
      <c r="P90" s="666">
        <f t="shared" si="30"/>
        <v>54121.608</v>
      </c>
      <c r="Q90" s="666">
        <f t="shared" si="30"/>
        <v>55204.040160000004</v>
      </c>
      <c r="R90" s="666">
        <f t="shared" si="30"/>
        <v>56308.120963200003</v>
      </c>
      <c r="S90" s="666">
        <f t="shared" si="30"/>
        <v>57434.283382464004</v>
      </c>
      <c r="T90" s="666">
        <f t="shared" si="30"/>
        <v>58582.969050113286</v>
      </c>
      <c r="U90" s="666">
        <f t="shared" si="30"/>
        <v>59754.628431115554</v>
      </c>
      <c r="V90" s="666">
        <f t="shared" si="30"/>
        <v>60949.720999737867</v>
      </c>
      <c r="W90" s="666">
        <f t="shared" si="30"/>
        <v>62168.715419732624</v>
      </c>
      <c r="X90" s="666">
        <f t="shared" si="30"/>
        <v>63412.089728127277</v>
      </c>
      <c r="Y90" s="666">
        <f t="shared" si="30"/>
        <v>64680.331522689812</v>
      </c>
      <c r="Z90" s="666">
        <f t="shared" si="30"/>
        <v>65973.938153143623</v>
      </c>
      <c r="AA90" s="666">
        <f t="shared" si="30"/>
        <v>67293.416916206494</v>
      </c>
      <c r="AB90" s="666">
        <f t="shared" si="30"/>
        <v>68639.285254530623</v>
      </c>
      <c r="AC90" s="666">
        <f t="shared" si="30"/>
        <v>70012.07095962124</v>
      </c>
      <c r="AD90" s="666">
        <f t="shared" si="30"/>
        <v>71412.312378813673</v>
      </c>
      <c r="AE90" s="666">
        <f t="shared" si="30"/>
        <v>72840.558626389946</v>
      </c>
    </row>
    <row r="91" spans="1:35">
      <c r="A91" s="37" t="s">
        <v>43</v>
      </c>
      <c r="B91" s="37"/>
      <c r="C91" s="110"/>
      <c r="D91" s="106"/>
      <c r="E91" s="57"/>
      <c r="F91" s="57"/>
      <c r="G91" s="57"/>
      <c r="H91" s="57"/>
      <c r="I91" s="51" t="s">
        <v>8</v>
      </c>
      <c r="J91" s="663">
        <v>500</v>
      </c>
      <c r="K91" s="683">
        <v>0</v>
      </c>
      <c r="L91" s="666">
        <f>J91*L84</f>
        <v>500</v>
      </c>
      <c r="M91" s="666">
        <f t="shared" ref="M91:AE91" si="31">$J$91*M84*L11</f>
        <v>2040</v>
      </c>
      <c r="N91" s="666">
        <f t="shared" si="31"/>
        <v>2080.8000000000002</v>
      </c>
      <c r="O91" s="666">
        <f t="shared" si="31"/>
        <v>2122.4159999999997</v>
      </c>
      <c r="P91" s="666">
        <f t="shared" si="31"/>
        <v>2164.8643200000001</v>
      </c>
      <c r="Q91" s="666">
        <f t="shared" si="31"/>
        <v>2208.1616064</v>
      </c>
      <c r="R91" s="666">
        <f t="shared" si="31"/>
        <v>2252.3248385280003</v>
      </c>
      <c r="S91" s="666">
        <f t="shared" si="31"/>
        <v>2297.3713352985601</v>
      </c>
      <c r="T91" s="666">
        <f t="shared" si="31"/>
        <v>2343.3187620045314</v>
      </c>
      <c r="U91" s="666">
        <f t="shared" si="31"/>
        <v>2390.1851372446222</v>
      </c>
      <c r="V91" s="666">
        <f t="shared" si="31"/>
        <v>2437.9888399895149</v>
      </c>
      <c r="W91" s="666">
        <f t="shared" si="31"/>
        <v>2486.7486167893048</v>
      </c>
      <c r="X91" s="666">
        <f t="shared" si="31"/>
        <v>2536.4835891250909</v>
      </c>
      <c r="Y91" s="666">
        <f t="shared" si="31"/>
        <v>2587.2132609075925</v>
      </c>
      <c r="Z91" s="666">
        <f t="shared" si="31"/>
        <v>2638.9575261257446</v>
      </c>
      <c r="AA91" s="666">
        <f t="shared" si="31"/>
        <v>2691.7366766482596</v>
      </c>
      <c r="AB91" s="666">
        <f t="shared" si="31"/>
        <v>2745.571410181225</v>
      </c>
      <c r="AC91" s="666">
        <f t="shared" si="31"/>
        <v>2800.4828383848499</v>
      </c>
      <c r="AD91" s="666">
        <f t="shared" si="31"/>
        <v>2856.4924951525468</v>
      </c>
      <c r="AE91" s="666">
        <f t="shared" si="31"/>
        <v>2913.6223450555976</v>
      </c>
    </row>
    <row r="92" spans="1:35">
      <c r="A92" s="37" t="s">
        <v>44</v>
      </c>
      <c r="B92" s="37"/>
      <c r="C92" s="110"/>
      <c r="D92" s="106"/>
      <c r="E92" s="57"/>
      <c r="F92" s="57"/>
      <c r="G92" s="57"/>
      <c r="H92" s="57"/>
      <c r="I92" s="51" t="s">
        <v>8</v>
      </c>
      <c r="J92" s="663">
        <v>250</v>
      </c>
      <c r="K92" s="683">
        <v>0</v>
      </c>
      <c r="L92" s="666">
        <f>J92*L84</f>
        <v>250</v>
      </c>
      <c r="M92" s="666">
        <f t="shared" ref="M92:AE92" si="32">$J$92*M84*L11</f>
        <v>1020</v>
      </c>
      <c r="N92" s="666">
        <f t="shared" si="32"/>
        <v>1040.4000000000001</v>
      </c>
      <c r="O92" s="666">
        <f t="shared" si="32"/>
        <v>1061.2079999999999</v>
      </c>
      <c r="P92" s="666">
        <f t="shared" si="32"/>
        <v>1082.4321600000001</v>
      </c>
      <c r="Q92" s="666">
        <f t="shared" si="32"/>
        <v>1104.0808032</v>
      </c>
      <c r="R92" s="666">
        <f t="shared" si="32"/>
        <v>1126.1624192640002</v>
      </c>
      <c r="S92" s="666">
        <f t="shared" si="32"/>
        <v>1148.68566764928</v>
      </c>
      <c r="T92" s="666">
        <f t="shared" si="32"/>
        <v>1171.6593810022657</v>
      </c>
      <c r="U92" s="666">
        <f t="shared" si="32"/>
        <v>1195.0925686223111</v>
      </c>
      <c r="V92" s="666">
        <f t="shared" si="32"/>
        <v>1218.9944199947574</v>
      </c>
      <c r="W92" s="666">
        <f t="shared" si="32"/>
        <v>1243.3743083946524</v>
      </c>
      <c r="X92" s="666">
        <f t="shared" si="32"/>
        <v>1268.2417945625455</v>
      </c>
      <c r="Y92" s="666">
        <f t="shared" si="32"/>
        <v>1293.6066304537962</v>
      </c>
      <c r="Z92" s="666">
        <f t="shared" si="32"/>
        <v>1319.4787630628723</v>
      </c>
      <c r="AA92" s="666">
        <f t="shared" si="32"/>
        <v>1345.8683383241298</v>
      </c>
      <c r="AB92" s="666">
        <f t="shared" si="32"/>
        <v>1372.7857050906125</v>
      </c>
      <c r="AC92" s="666">
        <f t="shared" si="32"/>
        <v>1400.2414191924249</v>
      </c>
      <c r="AD92" s="666">
        <f t="shared" si="32"/>
        <v>1428.2462475762734</v>
      </c>
      <c r="AE92" s="666">
        <f t="shared" si="32"/>
        <v>1456.8111725277988</v>
      </c>
      <c r="AF92" s="44"/>
    </row>
    <row r="93" spans="1:35">
      <c r="A93" s="745" t="s">
        <v>2</v>
      </c>
      <c r="B93" s="745"/>
      <c r="C93" s="753"/>
      <c r="D93" s="754"/>
      <c r="E93" s="746"/>
      <c r="F93" s="746"/>
      <c r="G93" s="746"/>
      <c r="H93" s="746"/>
      <c r="I93" s="755"/>
      <c r="J93" s="739"/>
      <c r="K93" s="741">
        <v>0</v>
      </c>
      <c r="L93" s="742">
        <v>1000</v>
      </c>
      <c r="M93" s="742">
        <f t="shared" ref="M93:AE93" si="33">($L$93*L11)</f>
        <v>1020</v>
      </c>
      <c r="N93" s="742">
        <f t="shared" si="33"/>
        <v>1040.4000000000001</v>
      </c>
      <c r="O93" s="742">
        <f t="shared" si="33"/>
        <v>1061.2079999999999</v>
      </c>
      <c r="P93" s="742">
        <f t="shared" si="33"/>
        <v>1082.4321600000001</v>
      </c>
      <c r="Q93" s="742">
        <f t="shared" si="33"/>
        <v>1104.0808032</v>
      </c>
      <c r="R93" s="742">
        <f t="shared" si="33"/>
        <v>1126.1624192640002</v>
      </c>
      <c r="S93" s="742">
        <f t="shared" si="33"/>
        <v>1148.68566764928</v>
      </c>
      <c r="T93" s="742">
        <f t="shared" si="33"/>
        <v>1171.6593810022657</v>
      </c>
      <c r="U93" s="742">
        <f t="shared" si="33"/>
        <v>1195.0925686223111</v>
      </c>
      <c r="V93" s="742">
        <f t="shared" si="33"/>
        <v>1218.9944199947574</v>
      </c>
      <c r="W93" s="742">
        <f t="shared" si="33"/>
        <v>1243.3743083946524</v>
      </c>
      <c r="X93" s="742">
        <f t="shared" si="33"/>
        <v>1268.2417945625455</v>
      </c>
      <c r="Y93" s="742">
        <f t="shared" si="33"/>
        <v>1293.6066304537962</v>
      </c>
      <c r="Z93" s="742">
        <f t="shared" si="33"/>
        <v>1319.4787630628723</v>
      </c>
      <c r="AA93" s="742">
        <f t="shared" si="33"/>
        <v>1345.8683383241298</v>
      </c>
      <c r="AB93" s="742">
        <f t="shared" si="33"/>
        <v>1372.7857050906125</v>
      </c>
      <c r="AC93" s="742">
        <f t="shared" si="33"/>
        <v>1400.2414191924249</v>
      </c>
      <c r="AD93" s="742">
        <f t="shared" si="33"/>
        <v>1428.2462475762734</v>
      </c>
      <c r="AE93" s="742">
        <f t="shared" si="33"/>
        <v>1456.8111725277988</v>
      </c>
    </row>
    <row r="94" spans="1:35" s="56" customFormat="1" ht="14.25">
      <c r="A94" s="164" t="s">
        <v>409</v>
      </c>
      <c r="B94" s="215"/>
      <c r="C94" s="216"/>
      <c r="D94" s="217"/>
      <c r="E94" s="218"/>
      <c r="F94" s="218"/>
      <c r="G94" s="218"/>
      <c r="H94" s="218"/>
      <c r="I94" s="219"/>
      <c r="J94" s="756"/>
      <c r="K94" s="687">
        <f>SUM(K88:K93)</f>
        <v>0</v>
      </c>
      <c r="L94" s="757">
        <f>SUM(L88:L93)</f>
        <v>86750</v>
      </c>
      <c r="M94" s="757">
        <f t="shared" ref="M94:AE94" si="34">SUM(M88:M93)</f>
        <v>81080</v>
      </c>
      <c r="N94" s="757">
        <f t="shared" si="34"/>
        <v>82711.799999999988</v>
      </c>
      <c r="O94" s="757">
        <f t="shared" si="34"/>
        <v>84366.035999999993</v>
      </c>
      <c r="P94" s="757">
        <f t="shared" si="34"/>
        <v>86053.356719999982</v>
      </c>
      <c r="Q94" s="757">
        <f t="shared" si="34"/>
        <v>92222.383452800015</v>
      </c>
      <c r="R94" s="757">
        <f t="shared" si="34"/>
        <v>89529.912331488013</v>
      </c>
      <c r="S94" s="757">
        <f t="shared" si="34"/>
        <v>91320.510578117755</v>
      </c>
      <c r="T94" s="757">
        <f t="shared" si="34"/>
        <v>93146.920789680124</v>
      </c>
      <c r="U94" s="757">
        <f t="shared" si="34"/>
        <v>95009.859205473724</v>
      </c>
      <c r="V94" s="757">
        <f t="shared" si="34"/>
        <v>101300.55917958585</v>
      </c>
      <c r="W94" s="757">
        <f t="shared" si="34"/>
        <v>98848.257517374863</v>
      </c>
      <c r="X94" s="757">
        <f t="shared" si="34"/>
        <v>100825.22266772237</v>
      </c>
      <c r="Y94" s="757">
        <f t="shared" si="34"/>
        <v>102841.72712107681</v>
      </c>
      <c r="Z94" s="757">
        <f t="shared" si="34"/>
        <v>104898.56166349835</v>
      </c>
      <c r="AA94" s="757">
        <f t="shared" si="34"/>
        <v>111323.59872760627</v>
      </c>
      <c r="AB94" s="757">
        <f t="shared" si="34"/>
        <v>109136.4635547037</v>
      </c>
      <c r="AC94" s="757">
        <f t="shared" si="34"/>
        <v>111319.19282579776</v>
      </c>
      <c r="AD94" s="757">
        <f t="shared" si="34"/>
        <v>113545.57668231374</v>
      </c>
      <c r="AE94" s="757">
        <f t="shared" si="34"/>
        <v>115816.48821596001</v>
      </c>
    </row>
    <row r="95" spans="1:35" s="56" customFormat="1" ht="14.25">
      <c r="A95" s="164"/>
      <c r="B95" s="215"/>
      <c r="C95" s="216"/>
      <c r="D95" s="217"/>
      <c r="E95" s="218"/>
      <c r="F95" s="218"/>
      <c r="G95" s="218"/>
      <c r="H95" s="218"/>
      <c r="I95" s="219"/>
      <c r="J95" s="220"/>
      <c r="K95" s="687"/>
      <c r="L95" s="318"/>
      <c r="M95" s="318"/>
      <c r="N95" s="318"/>
      <c r="O95" s="318"/>
      <c r="P95" s="318"/>
      <c r="Q95" s="318"/>
      <c r="R95" s="318"/>
      <c r="S95" s="318"/>
      <c r="T95" s="318"/>
      <c r="U95" s="318"/>
      <c r="V95" s="318"/>
      <c r="W95" s="318"/>
      <c r="X95" s="318"/>
      <c r="Y95" s="318"/>
      <c r="Z95" s="318"/>
      <c r="AA95" s="318"/>
      <c r="AB95" s="318"/>
      <c r="AC95" s="318"/>
      <c r="AD95" s="318"/>
      <c r="AE95" s="318"/>
    </row>
    <row r="96" spans="1:35" s="56" customFormat="1" ht="14.25">
      <c r="A96" s="720" t="s">
        <v>26</v>
      </c>
      <c r="B96" s="215"/>
      <c r="C96" s="218"/>
      <c r="D96" s="721"/>
      <c r="E96" s="218"/>
      <c r="F96" s="218"/>
      <c r="G96" s="218"/>
      <c r="H96" s="218"/>
      <c r="I96" s="722"/>
      <c r="J96" s="220"/>
      <c r="K96" s="687"/>
      <c r="L96" s="318"/>
      <c r="M96" s="318"/>
      <c r="N96" s="318"/>
      <c r="O96" s="318"/>
      <c r="P96" s="318"/>
      <c r="Q96" s="318"/>
      <c r="R96" s="318"/>
      <c r="S96" s="318"/>
      <c r="T96" s="318"/>
      <c r="U96" s="318"/>
      <c r="V96" s="318"/>
      <c r="W96" s="318"/>
      <c r="X96" s="318"/>
      <c r="Y96" s="318"/>
      <c r="Z96" s="318"/>
      <c r="AA96" s="318"/>
      <c r="AB96" s="318"/>
      <c r="AC96" s="318"/>
      <c r="AD96" s="318"/>
      <c r="AE96" s="318"/>
      <c r="AF96" s="723"/>
      <c r="AG96" s="723"/>
      <c r="AH96" s="723"/>
      <c r="AI96" s="723"/>
    </row>
    <row r="97" spans="1:35">
      <c r="A97" s="190" t="s">
        <v>41</v>
      </c>
      <c r="B97" s="190"/>
      <c r="C97" s="194"/>
      <c r="D97" s="758"/>
      <c r="E97" s="194"/>
      <c r="F97" s="194"/>
      <c r="G97" s="759"/>
      <c r="H97" s="759"/>
      <c r="I97" s="760"/>
      <c r="J97" s="761"/>
      <c r="K97" s="689">
        <v>0</v>
      </c>
      <c r="L97" s="665">
        <v>1000</v>
      </c>
      <c r="M97" s="665">
        <f>$L$97*L11</f>
        <v>1020</v>
      </c>
      <c r="N97" s="665">
        <f t="shared" ref="N97:P97" si="35">$L$97*M11</f>
        <v>1040.4000000000001</v>
      </c>
      <c r="O97" s="665">
        <f t="shared" si="35"/>
        <v>1061.2079999999999</v>
      </c>
      <c r="P97" s="665">
        <f t="shared" si="35"/>
        <v>1082.4321600000001</v>
      </c>
      <c r="Q97" s="665">
        <v>25000</v>
      </c>
      <c r="R97" s="665">
        <f>$Q$97*L11</f>
        <v>25500</v>
      </c>
      <c r="S97" s="665">
        <f t="shared" ref="S97:AE97" si="36">$Q$97*M11</f>
        <v>26010</v>
      </c>
      <c r="T97" s="665">
        <f t="shared" si="36"/>
        <v>26530.199999999997</v>
      </c>
      <c r="U97" s="665">
        <f t="shared" si="36"/>
        <v>27060.804</v>
      </c>
      <c r="V97" s="665">
        <f t="shared" si="36"/>
        <v>27602.020080000002</v>
      </c>
      <c r="W97" s="665">
        <f t="shared" si="36"/>
        <v>28154.060481600001</v>
      </c>
      <c r="X97" s="665">
        <f t="shared" si="36"/>
        <v>28717.141691232002</v>
      </c>
      <c r="Y97" s="665">
        <f t="shared" si="36"/>
        <v>29291.484525056643</v>
      </c>
      <c r="Z97" s="665">
        <f t="shared" si="36"/>
        <v>29877.314215557777</v>
      </c>
      <c r="AA97" s="665">
        <f t="shared" si="36"/>
        <v>30474.860499868933</v>
      </c>
      <c r="AB97" s="665">
        <f t="shared" si="36"/>
        <v>31084.357709866312</v>
      </c>
      <c r="AC97" s="665">
        <f t="shared" si="36"/>
        <v>31706.044864063639</v>
      </c>
      <c r="AD97" s="665">
        <f t="shared" si="36"/>
        <v>32340.165761344906</v>
      </c>
      <c r="AE97" s="665">
        <f t="shared" si="36"/>
        <v>32986.969076571811</v>
      </c>
      <c r="AF97" s="55"/>
      <c r="AG97" s="55"/>
      <c r="AH97" s="55"/>
      <c r="AI97" s="55"/>
    </row>
    <row r="98" spans="1:35">
      <c r="A98" s="745" t="s">
        <v>302</v>
      </c>
      <c r="B98" s="745"/>
      <c r="C98" s="746"/>
      <c r="D98" s="116"/>
      <c r="E98" s="746"/>
      <c r="F98" s="746"/>
      <c r="G98" s="753"/>
      <c r="H98" s="753"/>
      <c r="I98" s="755"/>
      <c r="J98" s="762"/>
      <c r="K98" s="741">
        <v>0</v>
      </c>
      <c r="L98" s="742">
        <f>'Shuttle Projections'!C39/2</f>
        <v>233675</v>
      </c>
      <c r="M98" s="742">
        <f>'Shuttle Projections'!D39</f>
        <v>476697</v>
      </c>
      <c r="N98" s="742">
        <f>'Shuttle Projections'!E39</f>
        <v>486230.94000000006</v>
      </c>
      <c r="O98" s="742">
        <f>'Shuttle Projections'!F39</f>
        <v>495955.55879999994</v>
      </c>
      <c r="P98" s="742">
        <f>'Shuttle Projections'!G39</f>
        <v>505874.66997599998</v>
      </c>
      <c r="Q98" s="742">
        <f>'Shuttle Projections'!H39</f>
        <v>515992.16337552003</v>
      </c>
      <c r="R98" s="742">
        <f>'Shuttle Projections'!I39</f>
        <v>526312.00664303044</v>
      </c>
      <c r="S98" s="742">
        <f>'Shuttle Projections'!J39</f>
        <v>536838.24677589093</v>
      </c>
      <c r="T98" s="742">
        <f>'Shuttle Projections'!K39</f>
        <v>547575.01171140897</v>
      </c>
      <c r="U98" s="742">
        <f>'Shuttle Projections'!L39</f>
        <v>558526.51194563706</v>
      </c>
      <c r="V98" s="742">
        <f>'Shuttle Projections'!M39</f>
        <v>569697.04218454985</v>
      </c>
      <c r="W98" s="742">
        <f>'Shuttle Projections'!N39</f>
        <v>581090.98302824085</v>
      </c>
      <c r="X98" s="742">
        <f>'Shuttle Projections'!O39</f>
        <v>592712.80268880562</v>
      </c>
      <c r="Y98" s="742">
        <f>'Shuttle Projections'!P39</f>
        <v>604567.05874258175</v>
      </c>
      <c r="Z98" s="742">
        <f>'Shuttle Projections'!Q39</f>
        <v>616658.39991743339</v>
      </c>
      <c r="AA98" s="742">
        <f>'Shuttle Projections'!R39</f>
        <v>628991.5679157821</v>
      </c>
      <c r="AB98" s="742">
        <f>'Shuttle Projections'!S39</f>
        <v>641571.39927409776</v>
      </c>
      <c r="AC98" s="742">
        <f>'Shuttle Projections'!T39</f>
        <v>654402.82725957979</v>
      </c>
      <c r="AD98" s="742">
        <f>'Shuttle Projections'!U39</f>
        <v>667490.88380477135</v>
      </c>
      <c r="AE98" s="742">
        <f>'Shuttle Projections'!V39</f>
        <v>680840.70148086676</v>
      </c>
    </row>
    <row r="99" spans="1:35" s="56" customFormat="1" ht="14.25">
      <c r="A99" s="164" t="s">
        <v>410</v>
      </c>
      <c r="B99" s="164"/>
      <c r="C99" s="75"/>
      <c r="D99" s="173"/>
      <c r="E99" s="75"/>
      <c r="F99" s="75"/>
      <c r="G99" s="75"/>
      <c r="H99" s="75"/>
      <c r="I99" s="174"/>
      <c r="J99" s="175"/>
      <c r="K99" s="685">
        <v>0</v>
      </c>
      <c r="L99" s="669">
        <f>SUM(L97:L98)</f>
        <v>234675</v>
      </c>
      <c r="M99" s="669">
        <f t="shared" ref="M99:AE99" si="37">SUM(M97:M98)</f>
        <v>477717</v>
      </c>
      <c r="N99" s="669">
        <f t="shared" si="37"/>
        <v>487271.34000000008</v>
      </c>
      <c r="O99" s="669">
        <f t="shared" si="37"/>
        <v>497016.76679999992</v>
      </c>
      <c r="P99" s="669">
        <f t="shared" si="37"/>
        <v>506957.102136</v>
      </c>
      <c r="Q99" s="669">
        <f t="shared" si="37"/>
        <v>540992.16337552003</v>
      </c>
      <c r="R99" s="669">
        <f t="shared" si="37"/>
        <v>551812.00664303044</v>
      </c>
      <c r="S99" s="669">
        <f t="shared" si="37"/>
        <v>562848.24677589093</v>
      </c>
      <c r="T99" s="669">
        <f t="shared" si="37"/>
        <v>574105.21171140892</v>
      </c>
      <c r="U99" s="669">
        <f t="shared" si="37"/>
        <v>585587.31594563706</v>
      </c>
      <c r="V99" s="669">
        <f t="shared" si="37"/>
        <v>597299.0622645499</v>
      </c>
      <c r="W99" s="669">
        <f t="shared" si="37"/>
        <v>609245.04350984085</v>
      </c>
      <c r="X99" s="669">
        <f t="shared" si="37"/>
        <v>621429.9443800376</v>
      </c>
      <c r="Y99" s="669">
        <f t="shared" si="37"/>
        <v>633858.54326763842</v>
      </c>
      <c r="Z99" s="669">
        <f t="shared" si="37"/>
        <v>646535.71413299115</v>
      </c>
      <c r="AA99" s="669">
        <f t="shared" si="37"/>
        <v>659466.42841565108</v>
      </c>
      <c r="AB99" s="669">
        <f t="shared" si="37"/>
        <v>672655.75698396412</v>
      </c>
      <c r="AC99" s="669">
        <f t="shared" si="37"/>
        <v>686108.87212364341</v>
      </c>
      <c r="AD99" s="669">
        <f t="shared" si="37"/>
        <v>699831.0495661163</v>
      </c>
      <c r="AE99" s="669">
        <f t="shared" si="37"/>
        <v>713827.67055743863</v>
      </c>
    </row>
    <row r="100" spans="1:35" s="56" customFormat="1" ht="14.25">
      <c r="A100" s="164"/>
      <c r="B100" s="164"/>
      <c r="C100" s="75"/>
      <c r="D100" s="173"/>
      <c r="E100" s="75"/>
      <c r="F100" s="75"/>
      <c r="G100" s="75"/>
      <c r="H100" s="75"/>
      <c r="I100" s="174"/>
      <c r="J100" s="175"/>
      <c r="K100" s="685"/>
      <c r="L100" s="669"/>
      <c r="M100" s="669"/>
      <c r="N100" s="669"/>
      <c r="O100" s="669"/>
      <c r="P100" s="669"/>
      <c r="Q100" s="669"/>
      <c r="R100" s="669"/>
      <c r="S100" s="669"/>
      <c r="T100" s="669"/>
      <c r="U100" s="669"/>
      <c r="V100" s="669"/>
      <c r="W100" s="669"/>
      <c r="X100" s="669"/>
      <c r="Y100" s="669"/>
      <c r="Z100" s="669"/>
      <c r="AA100" s="669"/>
      <c r="AB100" s="669"/>
      <c r="AC100" s="669"/>
      <c r="AD100" s="669"/>
      <c r="AE100" s="669"/>
    </row>
    <row r="101" spans="1:35" s="56" customFormat="1" ht="14.25">
      <c r="A101" s="164" t="s">
        <v>78</v>
      </c>
      <c r="B101" s="164"/>
      <c r="C101" s="75"/>
      <c r="D101" s="173"/>
      <c r="E101" s="75"/>
      <c r="F101" s="75"/>
      <c r="G101" s="75"/>
      <c r="H101" s="75"/>
      <c r="I101" s="174"/>
      <c r="J101" s="175"/>
      <c r="K101" s="685">
        <v>0</v>
      </c>
      <c r="L101" s="669">
        <f>SUM(L94,L99)</f>
        <v>321425</v>
      </c>
      <c r="M101" s="669">
        <f t="shared" ref="M101:AE101" si="38">SUM(M94,M99)</f>
        <v>558797</v>
      </c>
      <c r="N101" s="669">
        <f t="shared" si="38"/>
        <v>569983.14000000013</v>
      </c>
      <c r="O101" s="669">
        <f t="shared" si="38"/>
        <v>581382.80279999995</v>
      </c>
      <c r="P101" s="669">
        <f t="shared" si="38"/>
        <v>593010.45885599998</v>
      </c>
      <c r="Q101" s="669">
        <f t="shared" si="38"/>
        <v>633214.54682832002</v>
      </c>
      <c r="R101" s="669">
        <f t="shared" si="38"/>
        <v>641341.91897451843</v>
      </c>
      <c r="S101" s="669">
        <f t="shared" si="38"/>
        <v>654168.75735400873</v>
      </c>
      <c r="T101" s="669">
        <f t="shared" si="38"/>
        <v>667252.13250108901</v>
      </c>
      <c r="U101" s="669">
        <f t="shared" si="38"/>
        <v>680597.17515111074</v>
      </c>
      <c r="V101" s="669">
        <f t="shared" si="38"/>
        <v>698599.62144413579</v>
      </c>
      <c r="W101" s="669">
        <f t="shared" si="38"/>
        <v>708093.30102721567</v>
      </c>
      <c r="X101" s="669">
        <f t="shared" si="38"/>
        <v>722255.16704775998</v>
      </c>
      <c r="Y101" s="669">
        <f t="shared" si="38"/>
        <v>736700.2703887152</v>
      </c>
      <c r="Z101" s="669">
        <f t="shared" si="38"/>
        <v>751434.27579648956</v>
      </c>
      <c r="AA101" s="669">
        <f t="shared" si="38"/>
        <v>770790.02714325732</v>
      </c>
      <c r="AB101" s="669">
        <f t="shared" si="38"/>
        <v>781792.22053866787</v>
      </c>
      <c r="AC101" s="669">
        <f t="shared" si="38"/>
        <v>797428.06494944112</v>
      </c>
      <c r="AD101" s="669">
        <f t="shared" si="38"/>
        <v>813376.62624843</v>
      </c>
      <c r="AE101" s="669">
        <f t="shared" si="38"/>
        <v>829644.15877339861</v>
      </c>
    </row>
    <row r="102" spans="1:35">
      <c r="A102" s="47"/>
      <c r="B102" s="47"/>
      <c r="C102" s="78"/>
      <c r="D102" s="100"/>
      <c r="E102" s="78"/>
      <c r="F102" s="78"/>
      <c r="G102" s="78"/>
      <c r="H102" s="78"/>
      <c r="I102" s="52"/>
      <c r="J102" s="114"/>
      <c r="K102" s="683"/>
      <c r="L102" s="115"/>
      <c r="M102" s="115"/>
      <c r="N102" s="115"/>
      <c r="O102" s="115"/>
      <c r="P102" s="115"/>
      <c r="Q102" s="115"/>
      <c r="R102" s="115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</row>
    <row r="103" spans="1:35">
      <c r="A103" s="168" t="s">
        <v>25</v>
      </c>
      <c r="B103" s="168"/>
      <c r="C103" s="176"/>
      <c r="D103" s="177"/>
      <c r="E103" s="176"/>
      <c r="F103" s="176"/>
      <c r="G103" s="176"/>
      <c r="H103" s="176"/>
      <c r="I103" s="178"/>
      <c r="J103" s="179"/>
      <c r="K103" s="682"/>
      <c r="L103" s="319"/>
      <c r="M103" s="319"/>
      <c r="N103" s="319"/>
      <c r="O103" s="319"/>
      <c r="P103" s="319"/>
      <c r="Q103" s="319"/>
      <c r="R103" s="319"/>
      <c r="S103" s="319"/>
      <c r="T103" s="319"/>
      <c r="U103" s="319"/>
      <c r="V103" s="319"/>
      <c r="W103" s="319"/>
      <c r="X103" s="319"/>
      <c r="Y103" s="319"/>
      <c r="Z103" s="319"/>
      <c r="AA103" s="319"/>
      <c r="AB103" s="319"/>
      <c r="AC103" s="319"/>
      <c r="AD103" s="319"/>
      <c r="AE103" s="319"/>
    </row>
    <row r="104" spans="1:35" s="252" customFormat="1">
      <c r="A104" s="183"/>
      <c r="B104" s="183"/>
      <c r="C104" s="185"/>
      <c r="D104" s="186"/>
      <c r="E104" s="185"/>
      <c r="F104" s="185"/>
      <c r="G104" s="185"/>
      <c r="H104" s="185"/>
      <c r="I104" s="302"/>
      <c r="J104" s="188"/>
      <c r="K104" s="683"/>
      <c r="L104" s="320"/>
      <c r="M104" s="320"/>
      <c r="N104" s="320"/>
      <c r="O104" s="320"/>
      <c r="P104" s="320"/>
      <c r="Q104" s="320"/>
      <c r="R104" s="320"/>
      <c r="S104" s="320"/>
      <c r="T104" s="320"/>
      <c r="U104" s="320"/>
      <c r="V104" s="320"/>
      <c r="W104" s="320"/>
      <c r="X104" s="320"/>
      <c r="Y104" s="320"/>
      <c r="Z104" s="320"/>
      <c r="AA104" s="320"/>
      <c r="AB104" s="320"/>
      <c r="AC104" s="320"/>
      <c r="AD104" s="320"/>
      <c r="AE104" s="320"/>
    </row>
    <row r="105" spans="1:35">
      <c r="A105" s="37" t="s">
        <v>425</v>
      </c>
      <c r="B105" s="37"/>
      <c r="C105" s="57"/>
      <c r="E105" s="57"/>
      <c r="F105" s="57"/>
      <c r="G105" s="57"/>
      <c r="H105" s="998"/>
      <c r="I105" s="51" t="s">
        <v>532</v>
      </c>
      <c r="J105" s="624">
        <f>((10800/6)*7)+((11000/6)*7)</f>
        <v>25433.333333333332</v>
      </c>
      <c r="K105" s="683">
        <v>0</v>
      </c>
      <c r="L105" s="671">
        <f>J105</f>
        <v>25433.333333333332</v>
      </c>
      <c r="M105" s="671">
        <f>$L$105*L11</f>
        <v>25942</v>
      </c>
      <c r="N105" s="671">
        <f t="shared" ref="N105:AE105" si="39">$L$105*M11</f>
        <v>26460.84</v>
      </c>
      <c r="O105" s="671">
        <f t="shared" si="39"/>
        <v>26990.056799999998</v>
      </c>
      <c r="P105" s="671">
        <f t="shared" si="39"/>
        <v>27529.857935999997</v>
      </c>
      <c r="Q105" s="671">
        <f t="shared" si="39"/>
        <v>28080.45509472</v>
      </c>
      <c r="R105" s="671">
        <f t="shared" si="39"/>
        <v>28642.064196614399</v>
      </c>
      <c r="S105" s="671">
        <f t="shared" si="39"/>
        <v>29214.905480546688</v>
      </c>
      <c r="T105" s="671">
        <f t="shared" si="39"/>
        <v>29799.203590157624</v>
      </c>
      <c r="U105" s="671">
        <f t="shared" si="39"/>
        <v>30395.187661960776</v>
      </c>
      <c r="V105" s="671">
        <f t="shared" si="39"/>
        <v>31003.091415199993</v>
      </c>
      <c r="W105" s="671">
        <f t="shared" si="39"/>
        <v>31623.153243503992</v>
      </c>
      <c r="X105" s="671">
        <f t="shared" si="39"/>
        <v>32255.616308374072</v>
      </c>
      <c r="Y105" s="671">
        <f t="shared" si="39"/>
        <v>32900.728634541549</v>
      </c>
      <c r="Z105" s="671">
        <f t="shared" si="39"/>
        <v>33558.743207232386</v>
      </c>
      <c r="AA105" s="671">
        <f t="shared" si="39"/>
        <v>34229.918071377033</v>
      </c>
      <c r="AB105" s="671">
        <f t="shared" si="39"/>
        <v>34914.516432804579</v>
      </c>
      <c r="AC105" s="671">
        <f t="shared" si="39"/>
        <v>35612.80676146067</v>
      </c>
      <c r="AD105" s="671">
        <f t="shared" si="39"/>
        <v>36325.062896689888</v>
      </c>
      <c r="AE105" s="671">
        <f t="shared" si="39"/>
        <v>37051.56415462368</v>
      </c>
    </row>
    <row r="106" spans="1:35">
      <c r="A106" s="37" t="s">
        <v>16</v>
      </c>
      <c r="B106" s="37"/>
      <c r="C106" s="57"/>
      <c r="E106" s="57"/>
      <c r="F106" s="57"/>
      <c r="G106" s="57"/>
      <c r="H106" s="998"/>
      <c r="I106" s="51" t="s">
        <v>17</v>
      </c>
      <c r="J106" s="624">
        <f>1250</f>
        <v>1250</v>
      </c>
      <c r="K106" s="683">
        <v>0</v>
      </c>
      <c r="L106" s="671">
        <f>J106*7</f>
        <v>8750</v>
      </c>
      <c r="M106" s="671">
        <f>$L$106*L11</f>
        <v>8925</v>
      </c>
      <c r="N106" s="671">
        <f t="shared" ref="N106:AE106" si="40">$L$106*M11</f>
        <v>9103.5</v>
      </c>
      <c r="O106" s="671">
        <f t="shared" si="40"/>
        <v>9285.57</v>
      </c>
      <c r="P106" s="671">
        <f t="shared" si="40"/>
        <v>9471.2813999999998</v>
      </c>
      <c r="Q106" s="671">
        <f t="shared" si="40"/>
        <v>9660.7070280000007</v>
      </c>
      <c r="R106" s="671">
        <f t="shared" si="40"/>
        <v>9853.9211685600003</v>
      </c>
      <c r="S106" s="671">
        <f t="shared" si="40"/>
        <v>10050.9995919312</v>
      </c>
      <c r="T106" s="671">
        <f t="shared" si="40"/>
        <v>10252.019583769825</v>
      </c>
      <c r="U106" s="671">
        <f t="shared" si="40"/>
        <v>10457.059975445221</v>
      </c>
      <c r="V106" s="671">
        <f t="shared" si="40"/>
        <v>10666.201174954127</v>
      </c>
      <c r="W106" s="671">
        <f t="shared" si="40"/>
        <v>10879.52519845321</v>
      </c>
      <c r="X106" s="671">
        <f t="shared" si="40"/>
        <v>11097.115702422274</v>
      </c>
      <c r="Y106" s="671">
        <f t="shared" si="40"/>
        <v>11319.058016470717</v>
      </c>
      <c r="Z106" s="671">
        <f t="shared" si="40"/>
        <v>11545.439176800133</v>
      </c>
      <c r="AA106" s="671">
        <f t="shared" si="40"/>
        <v>11776.347960336136</v>
      </c>
      <c r="AB106" s="671">
        <f t="shared" si="40"/>
        <v>12011.874919542859</v>
      </c>
      <c r="AC106" s="671">
        <f t="shared" si="40"/>
        <v>12252.112417933717</v>
      </c>
      <c r="AD106" s="671">
        <f t="shared" si="40"/>
        <v>12497.154666292392</v>
      </c>
      <c r="AE106" s="671">
        <f t="shared" si="40"/>
        <v>12747.09775961824</v>
      </c>
    </row>
    <row r="107" spans="1:35" s="702" customFormat="1">
      <c r="A107" s="701" t="s">
        <v>53</v>
      </c>
      <c r="B107" s="701"/>
      <c r="C107" s="705"/>
      <c r="D107" s="984"/>
      <c r="E107" s="705"/>
      <c r="F107" s="705"/>
      <c r="G107" s="705"/>
      <c r="H107" s="985"/>
      <c r="I107" s="706" t="s">
        <v>17</v>
      </c>
      <c r="J107" s="986">
        <v>0</v>
      </c>
      <c r="K107" s="987">
        <v>0</v>
      </c>
      <c r="L107" s="988">
        <f t="shared" ref="L107:L108" si="41">J107*12</f>
        <v>0</v>
      </c>
      <c r="M107" s="988">
        <f t="shared" ref="M107:AB108" si="42">L107*1.03</f>
        <v>0</v>
      </c>
      <c r="N107" s="988">
        <f t="shared" si="42"/>
        <v>0</v>
      </c>
      <c r="O107" s="988">
        <f t="shared" si="42"/>
        <v>0</v>
      </c>
      <c r="P107" s="988">
        <f t="shared" si="42"/>
        <v>0</v>
      </c>
      <c r="Q107" s="988">
        <f t="shared" si="42"/>
        <v>0</v>
      </c>
      <c r="R107" s="988">
        <f t="shared" si="42"/>
        <v>0</v>
      </c>
      <c r="S107" s="988">
        <f t="shared" si="42"/>
        <v>0</v>
      </c>
      <c r="T107" s="988">
        <f t="shared" si="42"/>
        <v>0</v>
      </c>
      <c r="U107" s="988">
        <f t="shared" si="42"/>
        <v>0</v>
      </c>
      <c r="V107" s="988">
        <f t="shared" si="42"/>
        <v>0</v>
      </c>
      <c r="W107" s="988">
        <f t="shared" si="42"/>
        <v>0</v>
      </c>
      <c r="X107" s="988">
        <f t="shared" si="42"/>
        <v>0</v>
      </c>
      <c r="Y107" s="988">
        <f t="shared" si="42"/>
        <v>0</v>
      </c>
      <c r="Z107" s="988">
        <f t="shared" si="42"/>
        <v>0</v>
      </c>
      <c r="AA107" s="988">
        <f t="shared" si="42"/>
        <v>0</v>
      </c>
      <c r="AB107" s="988">
        <f t="shared" si="42"/>
        <v>0</v>
      </c>
      <c r="AC107" s="988">
        <f t="shared" ref="AC107:AE108" si="43">AB107*1.03</f>
        <v>0</v>
      </c>
      <c r="AD107" s="988">
        <f t="shared" si="43"/>
        <v>0</v>
      </c>
      <c r="AE107" s="988">
        <f t="shared" si="43"/>
        <v>0</v>
      </c>
    </row>
    <row r="108" spans="1:35" s="702" customFormat="1">
      <c r="A108" s="989" t="s">
        <v>54</v>
      </c>
      <c r="B108" s="990"/>
      <c r="C108" s="991"/>
      <c r="D108" s="992"/>
      <c r="E108" s="991"/>
      <c r="F108" s="991"/>
      <c r="G108" s="991"/>
      <c r="H108" s="993"/>
      <c r="I108" s="994" t="s">
        <v>17</v>
      </c>
      <c r="J108" s="995">
        <v>0</v>
      </c>
      <c r="K108" s="996">
        <v>0</v>
      </c>
      <c r="L108" s="997">
        <f t="shared" si="41"/>
        <v>0</v>
      </c>
      <c r="M108" s="997">
        <f t="shared" si="42"/>
        <v>0</v>
      </c>
      <c r="N108" s="997">
        <f t="shared" si="42"/>
        <v>0</v>
      </c>
      <c r="O108" s="997">
        <f t="shared" si="42"/>
        <v>0</v>
      </c>
      <c r="P108" s="997">
        <f t="shared" si="42"/>
        <v>0</v>
      </c>
      <c r="Q108" s="997">
        <f t="shared" si="42"/>
        <v>0</v>
      </c>
      <c r="R108" s="997">
        <f t="shared" si="42"/>
        <v>0</v>
      </c>
      <c r="S108" s="997">
        <f t="shared" si="42"/>
        <v>0</v>
      </c>
      <c r="T108" s="997">
        <f t="shared" si="42"/>
        <v>0</v>
      </c>
      <c r="U108" s="997">
        <f t="shared" si="42"/>
        <v>0</v>
      </c>
      <c r="V108" s="997">
        <f t="shared" si="42"/>
        <v>0</v>
      </c>
      <c r="W108" s="997">
        <f t="shared" si="42"/>
        <v>0</v>
      </c>
      <c r="X108" s="997">
        <f t="shared" si="42"/>
        <v>0</v>
      </c>
      <c r="Y108" s="997">
        <f t="shared" si="42"/>
        <v>0</v>
      </c>
      <c r="Z108" s="997">
        <f t="shared" si="42"/>
        <v>0</v>
      </c>
      <c r="AA108" s="997">
        <f t="shared" si="42"/>
        <v>0</v>
      </c>
      <c r="AB108" s="997">
        <f t="shared" si="42"/>
        <v>0</v>
      </c>
      <c r="AC108" s="997">
        <f t="shared" si="43"/>
        <v>0</v>
      </c>
      <c r="AD108" s="997">
        <f t="shared" si="43"/>
        <v>0</v>
      </c>
      <c r="AE108" s="997">
        <f t="shared" si="43"/>
        <v>0</v>
      </c>
    </row>
    <row r="109" spans="1:35" s="56" customFormat="1" ht="14.25">
      <c r="A109" s="56" t="s">
        <v>55</v>
      </c>
      <c r="B109" s="164"/>
      <c r="C109" s="75"/>
      <c r="D109" s="173"/>
      <c r="E109" s="75"/>
      <c r="F109" s="75"/>
      <c r="G109" s="75"/>
      <c r="H109" s="75"/>
      <c r="I109" s="999"/>
      <c r="J109" s="1000"/>
      <c r="K109" s="685">
        <v>0</v>
      </c>
      <c r="L109" s="1001">
        <f>SUM(L105:L108)</f>
        <v>34183.333333333328</v>
      </c>
      <c r="M109" s="1001">
        <f t="shared" ref="M109:AE109" si="44">SUM(M105:M108)</f>
        <v>34867</v>
      </c>
      <c r="N109" s="1001">
        <f t="shared" si="44"/>
        <v>35564.339999999997</v>
      </c>
      <c r="O109" s="1001">
        <f t="shared" si="44"/>
        <v>36275.626799999998</v>
      </c>
      <c r="P109" s="1001">
        <f t="shared" si="44"/>
        <v>37001.139335999993</v>
      </c>
      <c r="Q109" s="1001">
        <f t="shared" si="44"/>
        <v>37741.162122720001</v>
      </c>
      <c r="R109" s="1001">
        <f t="shared" si="44"/>
        <v>38495.985365174398</v>
      </c>
      <c r="S109" s="1001">
        <f t="shared" si="44"/>
        <v>39265.905072477886</v>
      </c>
      <c r="T109" s="1001">
        <f t="shared" si="44"/>
        <v>40051.22317392745</v>
      </c>
      <c r="U109" s="1001">
        <f t="shared" si="44"/>
        <v>40852.247637405999</v>
      </c>
      <c r="V109" s="1001">
        <f t="shared" si="44"/>
        <v>41669.292590154117</v>
      </c>
      <c r="W109" s="1001">
        <f t="shared" si="44"/>
        <v>42502.6784419572</v>
      </c>
      <c r="X109" s="1001">
        <f t="shared" si="44"/>
        <v>43352.732010796346</v>
      </c>
      <c r="Y109" s="1001">
        <f t="shared" si="44"/>
        <v>44219.786651012269</v>
      </c>
      <c r="Z109" s="1001">
        <f t="shared" si="44"/>
        <v>45104.182384032523</v>
      </c>
      <c r="AA109" s="1001">
        <f t="shared" si="44"/>
        <v>46006.266031713167</v>
      </c>
      <c r="AB109" s="1001">
        <f t="shared" si="44"/>
        <v>46926.39135234744</v>
      </c>
      <c r="AC109" s="1001">
        <f t="shared" si="44"/>
        <v>47864.91917939439</v>
      </c>
      <c r="AD109" s="1001">
        <f t="shared" si="44"/>
        <v>48822.217562982281</v>
      </c>
      <c r="AE109" s="1001">
        <f t="shared" si="44"/>
        <v>49798.661914241922</v>
      </c>
    </row>
    <row r="110" spans="1:35">
      <c r="A110" s="56"/>
      <c r="B110" s="37"/>
      <c r="C110" s="57"/>
      <c r="E110" s="57"/>
      <c r="F110" s="57"/>
      <c r="G110" s="57"/>
      <c r="H110" s="57"/>
      <c r="I110" s="51"/>
      <c r="J110" s="624"/>
      <c r="K110" s="683"/>
      <c r="L110" s="666"/>
      <c r="M110" s="666"/>
      <c r="N110" s="666"/>
      <c r="O110" s="666"/>
      <c r="P110" s="666"/>
      <c r="Q110" s="666"/>
      <c r="R110" s="666"/>
      <c r="S110" s="666"/>
      <c r="T110" s="666"/>
      <c r="U110" s="666"/>
      <c r="V110" s="666"/>
      <c r="W110" s="666"/>
      <c r="X110" s="666"/>
      <c r="Y110" s="666"/>
      <c r="Z110" s="666"/>
      <c r="AA110" s="666"/>
      <c r="AB110" s="666"/>
      <c r="AC110" s="666"/>
      <c r="AD110" s="666"/>
      <c r="AE110" s="666"/>
    </row>
    <row r="111" spans="1:35">
      <c r="A111" s="47" t="s">
        <v>7</v>
      </c>
      <c r="B111" s="47" t="s">
        <v>7</v>
      </c>
      <c r="C111" s="78" t="s">
        <v>7</v>
      </c>
      <c r="D111" s="100"/>
      <c r="E111" s="78" t="s">
        <v>7</v>
      </c>
      <c r="F111" s="78"/>
      <c r="G111" s="78" t="s">
        <v>7</v>
      </c>
      <c r="H111" s="78"/>
      <c r="I111" s="52" t="s">
        <v>7</v>
      </c>
      <c r="J111" s="672"/>
      <c r="K111" s="673"/>
      <c r="L111" s="672"/>
      <c r="M111" s="672"/>
      <c r="N111" s="672"/>
      <c r="O111" s="672"/>
      <c r="P111" s="672"/>
      <c r="Q111" s="672"/>
      <c r="R111" s="672"/>
      <c r="S111" s="672"/>
      <c r="T111" s="672"/>
      <c r="U111" s="672"/>
      <c r="V111" s="672"/>
      <c r="W111" s="672"/>
      <c r="X111" s="672"/>
      <c r="Y111" s="672"/>
      <c r="Z111" s="672"/>
      <c r="AA111" s="672"/>
      <c r="AB111" s="672"/>
      <c r="AC111" s="672"/>
      <c r="AD111" s="672"/>
      <c r="AE111" s="672"/>
    </row>
    <row r="112" spans="1:35">
      <c r="A112" s="47"/>
      <c r="B112" s="47"/>
      <c r="C112" s="78"/>
      <c r="D112" s="100"/>
      <c r="E112" s="78"/>
      <c r="F112" s="78"/>
      <c r="G112" s="78"/>
      <c r="H112" s="78"/>
      <c r="I112" s="52"/>
      <c r="J112" s="672"/>
      <c r="K112" s="683"/>
      <c r="L112" s="666"/>
      <c r="M112" s="666"/>
      <c r="N112" s="666"/>
      <c r="O112" s="666"/>
      <c r="P112" s="666"/>
      <c r="Q112" s="666"/>
      <c r="R112" s="666"/>
      <c r="S112" s="666"/>
      <c r="T112" s="666"/>
      <c r="U112" s="666"/>
      <c r="V112" s="666"/>
      <c r="W112" s="666"/>
      <c r="X112" s="666"/>
      <c r="Y112" s="666"/>
      <c r="Z112" s="666"/>
      <c r="AA112" s="666"/>
      <c r="AB112" s="666"/>
      <c r="AC112" s="666"/>
      <c r="AD112" s="666"/>
      <c r="AE112" s="666"/>
    </row>
    <row r="113" spans="1:33" s="56" customFormat="1" ht="14.25">
      <c r="A113" s="203" t="s">
        <v>303</v>
      </c>
      <c r="B113" s="203"/>
      <c r="C113" s="204"/>
      <c r="D113" s="205"/>
      <c r="E113" s="204"/>
      <c r="F113" s="204"/>
      <c r="G113" s="204"/>
      <c r="H113" s="204"/>
      <c r="I113" s="206"/>
      <c r="J113" s="674"/>
      <c r="K113" s="676">
        <f>SUM(K80,K101,K109)</f>
        <v>0</v>
      </c>
      <c r="L113" s="676">
        <f>SUM(L80,L101,L109)</f>
        <v>367858.33333333331</v>
      </c>
      <c r="M113" s="676">
        <f t="shared" ref="M113:AE113" si="45">SUM(M80,M101,M109)</f>
        <v>765164</v>
      </c>
      <c r="N113" s="676">
        <f t="shared" si="45"/>
        <v>780477.4800000001</v>
      </c>
      <c r="O113" s="676">
        <f t="shared" si="45"/>
        <v>796087.02959999989</v>
      </c>
      <c r="P113" s="676">
        <f t="shared" si="45"/>
        <v>812008.77019199985</v>
      </c>
      <c r="Q113" s="676">
        <f t="shared" si="45"/>
        <v>856592.82439104002</v>
      </c>
      <c r="R113" s="676">
        <f t="shared" si="45"/>
        <v>869187.76208849275</v>
      </c>
      <c r="S113" s="676">
        <f t="shared" si="45"/>
        <v>886571.51733026258</v>
      </c>
      <c r="T113" s="676">
        <f t="shared" si="45"/>
        <v>904302.94767686795</v>
      </c>
      <c r="U113" s="676">
        <f t="shared" si="45"/>
        <v>922389.00663040532</v>
      </c>
      <c r="V113" s="676">
        <f t="shared" si="45"/>
        <v>945227.28955301619</v>
      </c>
      <c r="W113" s="676">
        <f t="shared" si="45"/>
        <v>959653.52249827376</v>
      </c>
      <c r="X113" s="676">
        <f t="shared" si="45"/>
        <v>978846.59294823918</v>
      </c>
      <c r="Y113" s="676">
        <f t="shared" si="45"/>
        <v>998423.52480720403</v>
      </c>
      <c r="Z113" s="676">
        <f t="shared" si="45"/>
        <v>1018391.9953033482</v>
      </c>
      <c r="AA113" s="676">
        <f t="shared" si="45"/>
        <v>1043086.9010402532</v>
      </c>
      <c r="AB113" s="676">
        <f t="shared" si="45"/>
        <v>1059535.0319136034</v>
      </c>
      <c r="AC113" s="676">
        <f t="shared" si="45"/>
        <v>1080725.7325518755</v>
      </c>
      <c r="AD113" s="676">
        <f t="shared" si="45"/>
        <v>1102340.2472029133</v>
      </c>
      <c r="AE113" s="676">
        <f t="shared" si="45"/>
        <v>1124387.0521469715</v>
      </c>
      <c r="AG113" s="199"/>
    </row>
    <row r="114" spans="1:33">
      <c r="A114" s="37"/>
      <c r="B114" s="37"/>
      <c r="C114" s="57"/>
      <c r="E114" s="110"/>
      <c r="F114" s="110"/>
      <c r="G114" s="57"/>
      <c r="H114" s="57"/>
      <c r="I114" s="43"/>
      <c r="J114" s="44"/>
      <c r="K114" s="683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5"/>
      <c r="Z114" s="115"/>
      <c r="AA114" s="115"/>
      <c r="AB114" s="115"/>
      <c r="AC114" s="115"/>
      <c r="AD114" s="115"/>
      <c r="AE114" s="115"/>
      <c r="AG114" s="199"/>
    </row>
    <row r="115" spans="1:33">
      <c r="A115" s="47" t="s">
        <v>7</v>
      </c>
      <c r="B115" s="47" t="s">
        <v>7</v>
      </c>
      <c r="C115" s="78" t="s">
        <v>7</v>
      </c>
      <c r="D115" s="100"/>
      <c r="E115" s="78" t="s">
        <v>7</v>
      </c>
      <c r="F115" s="78"/>
      <c r="G115" s="78" t="s">
        <v>7</v>
      </c>
      <c r="H115" s="78"/>
      <c r="I115" s="52" t="s">
        <v>7</v>
      </c>
      <c r="J115" s="114"/>
      <c r="K115" s="673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G115" s="199"/>
    </row>
    <row r="116" spans="1:33">
      <c r="A116" s="47"/>
      <c r="B116" s="47"/>
      <c r="C116" s="78"/>
      <c r="D116" s="100"/>
      <c r="E116" s="78"/>
      <c r="F116" s="78"/>
      <c r="G116" s="78"/>
      <c r="H116" s="78"/>
      <c r="I116" s="52"/>
      <c r="J116" s="114"/>
      <c r="K116" s="683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5"/>
      <c r="Z116" s="115"/>
      <c r="AA116" s="115"/>
      <c r="AB116" s="115"/>
      <c r="AC116" s="115"/>
      <c r="AD116" s="115"/>
      <c r="AE116" s="115"/>
      <c r="AG116" s="199"/>
    </row>
    <row r="117" spans="1:33">
      <c r="A117" s="168" t="s">
        <v>71</v>
      </c>
      <c r="B117" s="171"/>
      <c r="C117" s="176"/>
      <c r="D117" s="177"/>
      <c r="E117" s="176"/>
      <c r="F117" s="176"/>
      <c r="G117" s="176"/>
      <c r="H117" s="176"/>
      <c r="I117" s="182"/>
      <c r="J117" s="179"/>
      <c r="K117" s="682"/>
      <c r="L117" s="319"/>
      <c r="M117" s="319"/>
      <c r="N117" s="319"/>
      <c r="O117" s="319"/>
      <c r="P117" s="319"/>
      <c r="Q117" s="319"/>
      <c r="R117" s="319"/>
      <c r="S117" s="319"/>
      <c r="T117" s="319"/>
      <c r="U117" s="319"/>
      <c r="V117" s="319"/>
      <c r="W117" s="319"/>
      <c r="X117" s="319"/>
      <c r="Y117" s="319"/>
      <c r="Z117" s="319"/>
      <c r="AA117" s="319"/>
      <c r="AB117" s="319"/>
      <c r="AC117" s="319"/>
      <c r="AD117" s="319"/>
      <c r="AE117" s="319"/>
      <c r="AG117" s="199"/>
    </row>
    <row r="118" spans="1:33" s="252" customFormat="1">
      <c r="A118" s="183"/>
      <c r="B118" s="184"/>
      <c r="C118" s="185"/>
      <c r="D118" s="186"/>
      <c r="E118" s="185"/>
      <c r="F118" s="185"/>
      <c r="G118" s="185"/>
      <c r="H118" s="185"/>
      <c r="I118" s="187"/>
      <c r="J118" s="188"/>
      <c r="K118" s="683"/>
      <c r="L118" s="320"/>
      <c r="M118" s="320"/>
      <c r="N118" s="320"/>
      <c r="O118" s="320"/>
      <c r="P118" s="320"/>
      <c r="Q118" s="320"/>
      <c r="R118" s="320"/>
      <c r="S118" s="320"/>
      <c r="T118" s="320"/>
      <c r="U118" s="320"/>
      <c r="V118" s="320"/>
      <c r="W118" s="320"/>
      <c r="X118" s="320"/>
      <c r="Y118" s="320"/>
      <c r="Z118" s="320"/>
      <c r="AA118" s="320"/>
      <c r="AB118" s="320"/>
      <c r="AC118" s="320"/>
      <c r="AD118" s="320"/>
      <c r="AE118" s="320"/>
      <c r="AG118" s="363"/>
    </row>
    <row r="119" spans="1:33">
      <c r="A119" s="39" t="s">
        <v>0</v>
      </c>
      <c r="B119" s="39"/>
      <c r="C119" s="102"/>
      <c r="D119" s="103"/>
      <c r="E119" s="104"/>
      <c r="F119" s="104"/>
      <c r="G119" s="104"/>
      <c r="H119" s="104"/>
      <c r="I119" s="39"/>
      <c r="J119" s="104"/>
      <c r="K119" s="688"/>
      <c r="L119" s="335"/>
      <c r="M119" s="335"/>
      <c r="N119" s="335"/>
      <c r="O119" s="335"/>
      <c r="P119" s="335"/>
      <c r="Q119" s="335"/>
      <c r="R119" s="335"/>
      <c r="S119" s="335"/>
      <c r="T119" s="335"/>
      <c r="U119" s="335"/>
      <c r="V119" s="335"/>
      <c r="W119" s="335"/>
      <c r="X119" s="335"/>
      <c r="Y119" s="335"/>
      <c r="Z119" s="335"/>
      <c r="AA119" s="335"/>
      <c r="AB119" s="335"/>
      <c r="AC119" s="335"/>
      <c r="AD119" s="335"/>
      <c r="AE119" s="335"/>
    </row>
    <row r="120" spans="1:33">
      <c r="A120" s="41" t="s">
        <v>13</v>
      </c>
      <c r="B120" s="41"/>
      <c r="C120" s="105"/>
      <c r="D120" s="106"/>
      <c r="E120" s="37"/>
      <c r="F120" s="37"/>
      <c r="G120" s="37"/>
      <c r="H120" s="37"/>
      <c r="I120" s="41"/>
      <c r="J120" s="37"/>
      <c r="K120" s="683"/>
      <c r="L120" s="200"/>
      <c r="M120" s="200"/>
      <c r="N120" s="200"/>
      <c r="O120" s="200"/>
      <c r="P120" s="200"/>
      <c r="Q120" s="200"/>
      <c r="R120" s="200"/>
      <c r="S120" s="200"/>
      <c r="T120" s="200"/>
      <c r="U120" s="201"/>
      <c r="V120" s="323"/>
      <c r="W120" s="200"/>
      <c r="X120" s="200"/>
      <c r="Y120" s="200"/>
      <c r="Z120" s="200"/>
      <c r="AA120" s="200"/>
      <c r="AB120" s="200"/>
      <c r="AC120" s="200"/>
      <c r="AD120" s="200"/>
      <c r="AE120" s="201"/>
    </row>
    <row r="121" spans="1:33">
      <c r="A121" s="96" t="s">
        <v>56</v>
      </c>
      <c r="B121" s="735" t="s">
        <v>12</v>
      </c>
      <c r="C121" s="663">
        <v>55000</v>
      </c>
      <c r="D121" s="736">
        <f>C121/2080</f>
        <v>26.442307692307693</v>
      </c>
      <c r="E121" s="663">
        <v>0</v>
      </c>
      <c r="F121" s="663">
        <f>C121*$F$13</f>
        <v>22000</v>
      </c>
      <c r="G121" s="663">
        <f>SUM(C121,E121:F121)</f>
        <v>77000</v>
      </c>
      <c r="H121" s="736">
        <f>G121/2080*8</f>
        <v>296.15384615384613</v>
      </c>
      <c r="I121" s="736"/>
      <c r="J121" s="663"/>
      <c r="K121" s="683">
        <v>0</v>
      </c>
      <c r="L121" s="665">
        <v>0</v>
      </c>
      <c r="M121" s="665">
        <f>$H$121*M32*0.25</f>
        <v>15844.230769230768</v>
      </c>
      <c r="N121" s="665">
        <f t="shared" ref="N121:AE121" si="46">$M$121*M11</f>
        <v>16484.33769230769</v>
      </c>
      <c r="O121" s="665">
        <f t="shared" si="46"/>
        <v>16814.024446153842</v>
      </c>
      <c r="P121" s="665">
        <f t="shared" si="46"/>
        <v>17150.304935076922</v>
      </c>
      <c r="Q121" s="665">
        <f t="shared" si="46"/>
        <v>17493.31103377846</v>
      </c>
      <c r="R121" s="665">
        <f t="shared" si="46"/>
        <v>17843.177254454029</v>
      </c>
      <c r="S121" s="665">
        <f t="shared" si="46"/>
        <v>18200.040799543109</v>
      </c>
      <c r="T121" s="665">
        <f t="shared" si="46"/>
        <v>18564.041615533974</v>
      </c>
      <c r="U121" s="665">
        <f t="shared" si="46"/>
        <v>18935.322447844654</v>
      </c>
      <c r="V121" s="665">
        <f t="shared" si="46"/>
        <v>19314.028896801548</v>
      </c>
      <c r="W121" s="665">
        <f t="shared" si="46"/>
        <v>19700.30947473758</v>
      </c>
      <c r="X121" s="665">
        <f t="shared" si="46"/>
        <v>20094.31566423233</v>
      </c>
      <c r="Y121" s="665">
        <f t="shared" si="46"/>
        <v>20496.201977516976</v>
      </c>
      <c r="Z121" s="665">
        <f t="shared" si="46"/>
        <v>20906.126017067316</v>
      </c>
      <c r="AA121" s="665">
        <f t="shared" si="46"/>
        <v>21324.248537408665</v>
      </c>
      <c r="AB121" s="665">
        <f t="shared" si="46"/>
        <v>21750.733508156838</v>
      </c>
      <c r="AC121" s="665">
        <f t="shared" si="46"/>
        <v>22185.748178319976</v>
      </c>
      <c r="AD121" s="665">
        <f t="shared" si="46"/>
        <v>22629.463141886376</v>
      </c>
      <c r="AE121" s="665">
        <f t="shared" si="46"/>
        <v>23082.052404724102</v>
      </c>
    </row>
    <row r="122" spans="1:33">
      <c r="A122" s="96" t="s">
        <v>57</v>
      </c>
      <c r="B122" s="735" t="s">
        <v>15</v>
      </c>
      <c r="C122" s="663">
        <v>15000</v>
      </c>
      <c r="D122" s="736">
        <f>C122/2080</f>
        <v>7.2115384615384617</v>
      </c>
      <c r="E122" s="663">
        <f>C122*E12</f>
        <v>3000</v>
      </c>
      <c r="F122" s="663">
        <f t="shared" ref="F122:F123" si="47">C122*$F$13</f>
        <v>6000</v>
      </c>
      <c r="G122" s="663">
        <f t="shared" ref="G122:G123" si="48">SUM(C122,E122:F122)</f>
        <v>24000</v>
      </c>
      <c r="H122" s="736">
        <f>G122/2080*12</f>
        <v>138.46153846153845</v>
      </c>
      <c r="I122" s="736"/>
      <c r="J122" s="663"/>
      <c r="K122" s="683">
        <v>0</v>
      </c>
      <c r="L122" s="665">
        <v>0</v>
      </c>
      <c r="M122" s="665">
        <f>$H$122*M32*0.5</f>
        <v>14815.384615384615</v>
      </c>
      <c r="N122" s="665">
        <f t="shared" ref="N122:AE122" si="49">$M$122*M11</f>
        <v>15413.926153846154</v>
      </c>
      <c r="O122" s="665">
        <f t="shared" si="49"/>
        <v>15722.204676923076</v>
      </c>
      <c r="P122" s="665">
        <f t="shared" si="49"/>
        <v>16036.648770461537</v>
      </c>
      <c r="Q122" s="665">
        <f t="shared" si="49"/>
        <v>16357.381745870769</v>
      </c>
      <c r="R122" s="665">
        <f t="shared" si="49"/>
        <v>16684.529380788186</v>
      </c>
      <c r="S122" s="665">
        <f t="shared" si="49"/>
        <v>17018.219968403948</v>
      </c>
      <c r="T122" s="665">
        <f t="shared" si="49"/>
        <v>17358.58436777203</v>
      </c>
      <c r="U122" s="665">
        <f t="shared" si="49"/>
        <v>17705.756055127469</v>
      </c>
      <c r="V122" s="665">
        <f t="shared" si="49"/>
        <v>18059.871176230019</v>
      </c>
      <c r="W122" s="665">
        <f t="shared" si="49"/>
        <v>18421.068599754621</v>
      </c>
      <c r="X122" s="665">
        <f t="shared" si="49"/>
        <v>18789.489971749714</v>
      </c>
      <c r="Y122" s="665">
        <f t="shared" si="49"/>
        <v>19165.279771184705</v>
      </c>
      <c r="Z122" s="665">
        <f t="shared" si="49"/>
        <v>19548.5853666084</v>
      </c>
      <c r="AA122" s="665">
        <f t="shared" si="49"/>
        <v>19939.55707394057</v>
      </c>
      <c r="AB122" s="665">
        <f t="shared" si="49"/>
        <v>20338.348215419381</v>
      </c>
      <c r="AC122" s="665">
        <f t="shared" si="49"/>
        <v>20745.115179727771</v>
      </c>
      <c r="AD122" s="665">
        <f t="shared" si="49"/>
        <v>21160.017483322328</v>
      </c>
      <c r="AE122" s="665">
        <f t="shared" si="49"/>
        <v>21583.217832988772</v>
      </c>
    </row>
    <row r="123" spans="1:33">
      <c r="A123" s="737" t="s">
        <v>57</v>
      </c>
      <c r="B123" s="738" t="s">
        <v>15</v>
      </c>
      <c r="C123" s="739">
        <v>15000</v>
      </c>
      <c r="D123" s="740">
        <f>C123/2080</f>
        <v>7.2115384615384617</v>
      </c>
      <c r="E123" s="739">
        <f>C123*$E$12</f>
        <v>3000</v>
      </c>
      <c r="F123" s="739">
        <f t="shared" si="47"/>
        <v>6000</v>
      </c>
      <c r="G123" s="739">
        <f t="shared" si="48"/>
        <v>24000</v>
      </c>
      <c r="H123" s="740">
        <f t="shared" ref="H123" si="50">G123/2080*12</f>
        <v>138.46153846153845</v>
      </c>
      <c r="I123" s="740"/>
      <c r="J123" s="739"/>
      <c r="K123" s="741">
        <v>0</v>
      </c>
      <c r="L123" s="742">
        <v>0</v>
      </c>
      <c r="M123" s="742">
        <f>$H$123*M32*0.5</f>
        <v>14815.384615384615</v>
      </c>
      <c r="N123" s="742">
        <f t="shared" ref="N123:AE123" si="51">$M$123*M11</f>
        <v>15413.926153846154</v>
      </c>
      <c r="O123" s="742">
        <f t="shared" si="51"/>
        <v>15722.204676923076</v>
      </c>
      <c r="P123" s="742">
        <f t="shared" si="51"/>
        <v>16036.648770461537</v>
      </c>
      <c r="Q123" s="742">
        <f t="shared" si="51"/>
        <v>16357.381745870769</v>
      </c>
      <c r="R123" s="742">
        <f t="shared" si="51"/>
        <v>16684.529380788186</v>
      </c>
      <c r="S123" s="742">
        <f t="shared" si="51"/>
        <v>17018.219968403948</v>
      </c>
      <c r="T123" s="742">
        <f t="shared" si="51"/>
        <v>17358.58436777203</v>
      </c>
      <c r="U123" s="742">
        <f t="shared" si="51"/>
        <v>17705.756055127469</v>
      </c>
      <c r="V123" s="742">
        <f t="shared" si="51"/>
        <v>18059.871176230019</v>
      </c>
      <c r="W123" s="742">
        <f t="shared" si="51"/>
        <v>18421.068599754621</v>
      </c>
      <c r="X123" s="742">
        <f t="shared" si="51"/>
        <v>18789.489971749714</v>
      </c>
      <c r="Y123" s="742">
        <f t="shared" si="51"/>
        <v>19165.279771184705</v>
      </c>
      <c r="Z123" s="742">
        <f t="shared" si="51"/>
        <v>19548.5853666084</v>
      </c>
      <c r="AA123" s="742">
        <f t="shared" si="51"/>
        <v>19939.55707394057</v>
      </c>
      <c r="AB123" s="742">
        <f t="shared" si="51"/>
        <v>20338.348215419381</v>
      </c>
      <c r="AC123" s="742">
        <f t="shared" si="51"/>
        <v>20745.115179727771</v>
      </c>
      <c r="AD123" s="742">
        <f t="shared" si="51"/>
        <v>21160.017483322328</v>
      </c>
      <c r="AE123" s="742">
        <f t="shared" si="51"/>
        <v>21583.217832988772</v>
      </c>
    </row>
    <row r="124" spans="1:33">
      <c r="A124" s="164" t="s">
        <v>414</v>
      </c>
      <c r="B124" s="164"/>
      <c r="C124" s="667">
        <f>SUM(C121:C123)</f>
        <v>85000</v>
      </c>
      <c r="D124" s="667"/>
      <c r="E124" s="667">
        <f>SUM(E121:E123)</f>
        <v>6000</v>
      </c>
      <c r="F124" s="667">
        <f>SUM(F121:F123)</f>
        <v>34000</v>
      </c>
      <c r="G124" s="667">
        <f>SUM(G121:G123)</f>
        <v>125000</v>
      </c>
      <c r="H124" s="667">
        <f>SUM(H121:H123)</f>
        <v>573.07692307692309</v>
      </c>
      <c r="I124" s="668"/>
      <c r="J124" s="667"/>
      <c r="K124" s="685">
        <f>SUMIF($B121:$B123,"FT",K121:K123)</f>
        <v>0</v>
      </c>
      <c r="L124" s="669">
        <f>SUM(L121:L123)</f>
        <v>0</v>
      </c>
      <c r="M124" s="669">
        <f t="shared" ref="M124:AE124" si="52">SUM(M121:M123)</f>
        <v>45475</v>
      </c>
      <c r="N124" s="669">
        <f t="shared" si="52"/>
        <v>47312.19</v>
      </c>
      <c r="O124" s="669">
        <f t="shared" si="52"/>
        <v>48258.433799999999</v>
      </c>
      <c r="P124" s="669">
        <f t="shared" si="52"/>
        <v>49223.602475999993</v>
      </c>
      <c r="Q124" s="669">
        <f t="shared" si="52"/>
        <v>50208.074525520002</v>
      </c>
      <c r="R124" s="669">
        <f t="shared" si="52"/>
        <v>51212.236016030394</v>
      </c>
      <c r="S124" s="669">
        <f t="shared" si="52"/>
        <v>52236.480736351004</v>
      </c>
      <c r="T124" s="669">
        <f t="shared" si="52"/>
        <v>53281.210351078029</v>
      </c>
      <c r="U124" s="669">
        <f t="shared" si="52"/>
        <v>54346.834558099596</v>
      </c>
      <c r="V124" s="669">
        <f t="shared" si="52"/>
        <v>55433.771249261583</v>
      </c>
      <c r="W124" s="669">
        <f t="shared" si="52"/>
        <v>56542.446674246821</v>
      </c>
      <c r="X124" s="669">
        <f t="shared" si="52"/>
        <v>57673.295607731765</v>
      </c>
      <c r="Y124" s="669">
        <f t="shared" si="52"/>
        <v>58826.761519886393</v>
      </c>
      <c r="Z124" s="669">
        <f t="shared" si="52"/>
        <v>60003.29675028412</v>
      </c>
      <c r="AA124" s="669">
        <f t="shared" si="52"/>
        <v>61203.362685289801</v>
      </c>
      <c r="AB124" s="669">
        <f t="shared" si="52"/>
        <v>62427.4299389956</v>
      </c>
      <c r="AC124" s="669">
        <f t="shared" si="52"/>
        <v>63675.978537775518</v>
      </c>
      <c r="AD124" s="669">
        <f t="shared" si="52"/>
        <v>64949.498108531028</v>
      </c>
      <c r="AE124" s="669">
        <f t="shared" si="52"/>
        <v>66248.488070701642</v>
      </c>
    </row>
    <row r="125" spans="1:33">
      <c r="A125" s="37"/>
      <c r="B125" s="37"/>
      <c r="C125" s="663"/>
      <c r="D125" s="663"/>
      <c r="E125" s="663"/>
      <c r="F125" s="663"/>
      <c r="G125" s="663"/>
      <c r="H125" s="663"/>
      <c r="I125" s="670"/>
      <c r="J125" s="663"/>
      <c r="K125" s="683"/>
      <c r="L125" s="666"/>
      <c r="M125" s="666"/>
      <c r="N125" s="666"/>
      <c r="O125" s="666"/>
      <c r="P125" s="666"/>
      <c r="Q125" s="666"/>
      <c r="R125" s="666"/>
      <c r="S125" s="666"/>
      <c r="T125" s="666"/>
      <c r="U125" s="666"/>
      <c r="V125" s="666"/>
      <c r="W125" s="666"/>
      <c r="X125" s="666"/>
      <c r="Y125" s="666"/>
      <c r="Z125" s="666"/>
      <c r="AA125" s="666"/>
      <c r="AB125" s="666"/>
      <c r="AC125" s="666"/>
      <c r="AD125" s="666"/>
      <c r="AE125" s="666"/>
    </row>
    <row r="126" spans="1:33">
      <c r="A126" s="37" t="s">
        <v>11</v>
      </c>
      <c r="B126" s="37"/>
      <c r="C126" s="663"/>
      <c r="D126" s="663"/>
      <c r="E126" s="663"/>
      <c r="F126" s="663"/>
      <c r="G126" s="663"/>
      <c r="H126" s="663"/>
      <c r="I126" s="670"/>
      <c r="J126" s="663"/>
      <c r="K126" s="743">
        <f>COUNTIF(K121:K123,"&gt;100")</f>
        <v>0</v>
      </c>
      <c r="L126" s="496">
        <f>COUNTIF(L121,"&gt;100")</f>
        <v>0</v>
      </c>
      <c r="M126" s="496">
        <f t="shared" ref="M126:AE126" si="53">COUNTIF(M121,"&gt;100")</f>
        <v>1</v>
      </c>
      <c r="N126" s="496">
        <f t="shared" si="53"/>
        <v>1</v>
      </c>
      <c r="O126" s="496">
        <f t="shared" si="53"/>
        <v>1</v>
      </c>
      <c r="P126" s="496">
        <f t="shared" si="53"/>
        <v>1</v>
      </c>
      <c r="Q126" s="496">
        <f t="shared" si="53"/>
        <v>1</v>
      </c>
      <c r="R126" s="496">
        <f t="shared" si="53"/>
        <v>1</v>
      </c>
      <c r="S126" s="496">
        <f t="shared" si="53"/>
        <v>1</v>
      </c>
      <c r="T126" s="496">
        <f t="shared" si="53"/>
        <v>1</v>
      </c>
      <c r="U126" s="496">
        <f t="shared" si="53"/>
        <v>1</v>
      </c>
      <c r="V126" s="496">
        <f t="shared" si="53"/>
        <v>1</v>
      </c>
      <c r="W126" s="496">
        <f t="shared" si="53"/>
        <v>1</v>
      </c>
      <c r="X126" s="496">
        <f t="shared" si="53"/>
        <v>1</v>
      </c>
      <c r="Y126" s="496">
        <f t="shared" si="53"/>
        <v>1</v>
      </c>
      <c r="Z126" s="496">
        <f t="shared" si="53"/>
        <v>1</v>
      </c>
      <c r="AA126" s="496">
        <f t="shared" si="53"/>
        <v>1</v>
      </c>
      <c r="AB126" s="496">
        <f t="shared" si="53"/>
        <v>1</v>
      </c>
      <c r="AC126" s="496">
        <f t="shared" si="53"/>
        <v>1</v>
      </c>
      <c r="AD126" s="496">
        <f t="shared" si="53"/>
        <v>1</v>
      </c>
      <c r="AE126" s="496">
        <f t="shared" si="53"/>
        <v>1</v>
      </c>
    </row>
    <row r="127" spans="1:33">
      <c r="A127" s="745" t="s">
        <v>10</v>
      </c>
      <c r="B127" s="745"/>
      <c r="C127" s="739"/>
      <c r="D127" s="739"/>
      <c r="E127" s="739"/>
      <c r="F127" s="739"/>
      <c r="G127" s="739"/>
      <c r="H127" s="739"/>
      <c r="I127" s="763"/>
      <c r="J127" s="739"/>
      <c r="K127" s="749">
        <f t="shared" ref="K127" si="54">K128-K126</f>
        <v>0</v>
      </c>
      <c r="L127" s="750">
        <f>COUNTIF(L122:L123,"&gt;100")</f>
        <v>0</v>
      </c>
      <c r="M127" s="750">
        <f t="shared" ref="M127:AE127" si="55">COUNTIF(M122:M123,"&gt;100")</f>
        <v>2</v>
      </c>
      <c r="N127" s="750">
        <f t="shared" si="55"/>
        <v>2</v>
      </c>
      <c r="O127" s="750">
        <f t="shared" si="55"/>
        <v>2</v>
      </c>
      <c r="P127" s="750">
        <f t="shared" si="55"/>
        <v>2</v>
      </c>
      <c r="Q127" s="750">
        <f t="shared" si="55"/>
        <v>2</v>
      </c>
      <c r="R127" s="750">
        <f t="shared" si="55"/>
        <v>2</v>
      </c>
      <c r="S127" s="750">
        <f t="shared" si="55"/>
        <v>2</v>
      </c>
      <c r="T127" s="750">
        <f t="shared" si="55"/>
        <v>2</v>
      </c>
      <c r="U127" s="750">
        <f t="shared" si="55"/>
        <v>2</v>
      </c>
      <c r="V127" s="750">
        <f t="shared" si="55"/>
        <v>2</v>
      </c>
      <c r="W127" s="750">
        <f t="shared" si="55"/>
        <v>2</v>
      </c>
      <c r="X127" s="750">
        <f t="shared" si="55"/>
        <v>2</v>
      </c>
      <c r="Y127" s="750">
        <f t="shared" si="55"/>
        <v>2</v>
      </c>
      <c r="Z127" s="750">
        <f t="shared" si="55"/>
        <v>2</v>
      </c>
      <c r="AA127" s="750">
        <f t="shared" si="55"/>
        <v>2</v>
      </c>
      <c r="AB127" s="750">
        <f t="shared" si="55"/>
        <v>2</v>
      </c>
      <c r="AC127" s="750">
        <f t="shared" si="55"/>
        <v>2</v>
      </c>
      <c r="AD127" s="750">
        <f t="shared" si="55"/>
        <v>2</v>
      </c>
      <c r="AE127" s="750">
        <f t="shared" si="55"/>
        <v>2</v>
      </c>
    </row>
    <row r="128" spans="1:33">
      <c r="A128" s="164" t="s">
        <v>9</v>
      </c>
      <c r="B128" s="164"/>
      <c r="C128" s="667"/>
      <c r="D128" s="667"/>
      <c r="E128" s="667"/>
      <c r="F128" s="667"/>
      <c r="G128" s="667"/>
      <c r="H128" s="667"/>
      <c r="I128" s="668"/>
      <c r="J128" s="667"/>
      <c r="K128" s="751">
        <f t="shared" ref="K128:AE128" si="56">COUNTIF(K121:K123,"&gt;0")</f>
        <v>0</v>
      </c>
      <c r="L128" s="752">
        <f t="shared" si="56"/>
        <v>0</v>
      </c>
      <c r="M128" s="752">
        <f t="shared" si="56"/>
        <v>3</v>
      </c>
      <c r="N128" s="752">
        <f t="shared" si="56"/>
        <v>3</v>
      </c>
      <c r="O128" s="752">
        <f t="shared" si="56"/>
        <v>3</v>
      </c>
      <c r="P128" s="752">
        <f t="shared" si="56"/>
        <v>3</v>
      </c>
      <c r="Q128" s="752">
        <f t="shared" si="56"/>
        <v>3</v>
      </c>
      <c r="R128" s="752">
        <f t="shared" si="56"/>
        <v>3</v>
      </c>
      <c r="S128" s="752">
        <f t="shared" si="56"/>
        <v>3</v>
      </c>
      <c r="T128" s="752">
        <f t="shared" si="56"/>
        <v>3</v>
      </c>
      <c r="U128" s="752">
        <f t="shared" si="56"/>
        <v>3</v>
      </c>
      <c r="V128" s="752">
        <f t="shared" si="56"/>
        <v>3</v>
      </c>
      <c r="W128" s="752">
        <f t="shared" si="56"/>
        <v>3</v>
      </c>
      <c r="X128" s="752">
        <f t="shared" si="56"/>
        <v>3</v>
      </c>
      <c r="Y128" s="752">
        <f t="shared" si="56"/>
        <v>3</v>
      </c>
      <c r="Z128" s="752">
        <f t="shared" si="56"/>
        <v>3</v>
      </c>
      <c r="AA128" s="752">
        <f t="shared" si="56"/>
        <v>3</v>
      </c>
      <c r="AB128" s="752">
        <f t="shared" si="56"/>
        <v>3</v>
      </c>
      <c r="AC128" s="752">
        <f t="shared" si="56"/>
        <v>3</v>
      </c>
      <c r="AD128" s="752">
        <f t="shared" si="56"/>
        <v>3</v>
      </c>
      <c r="AE128" s="752">
        <f t="shared" si="56"/>
        <v>3</v>
      </c>
    </row>
    <row r="129" spans="1:33">
      <c r="A129" s="37"/>
      <c r="B129" s="37"/>
      <c r="C129" s="57"/>
      <c r="E129" s="57"/>
      <c r="F129" s="57"/>
      <c r="G129" s="57"/>
      <c r="H129" s="57"/>
      <c r="I129" s="43"/>
      <c r="J129" s="42"/>
      <c r="K129" s="683"/>
      <c r="L129" s="316"/>
      <c r="M129" s="316"/>
      <c r="N129" s="316"/>
      <c r="O129" s="316"/>
      <c r="P129" s="316"/>
      <c r="Q129" s="316"/>
      <c r="R129" s="316"/>
      <c r="S129" s="316"/>
      <c r="T129" s="316"/>
      <c r="U129" s="316"/>
      <c r="V129" s="316"/>
      <c r="W129" s="316"/>
      <c r="X129" s="316"/>
      <c r="Y129" s="316"/>
      <c r="Z129" s="316"/>
      <c r="AA129" s="316"/>
      <c r="AB129" s="316"/>
      <c r="AC129" s="316"/>
      <c r="AD129" s="316"/>
      <c r="AE129" s="316"/>
    </row>
    <row r="130" spans="1:33" s="55" customFormat="1">
      <c r="A130" s="190" t="s">
        <v>60</v>
      </c>
      <c r="B130" s="191"/>
      <c r="C130" s="192"/>
      <c r="D130" s="193"/>
      <c r="E130" s="194"/>
      <c r="F130" s="194"/>
      <c r="G130" s="192"/>
      <c r="H130" s="192"/>
      <c r="I130" s="195">
        <v>0.2</v>
      </c>
      <c r="J130" s="196"/>
      <c r="K130" s="683">
        <v>0</v>
      </c>
      <c r="L130" s="665">
        <f>$I$130*L124</f>
        <v>0</v>
      </c>
      <c r="M130" s="665">
        <f t="shared" ref="M130:AE130" si="57">$I$130*M124</f>
        <v>9095</v>
      </c>
      <c r="N130" s="665">
        <f t="shared" si="57"/>
        <v>9462.4380000000001</v>
      </c>
      <c r="O130" s="665">
        <f t="shared" si="57"/>
        <v>9651.6867600000005</v>
      </c>
      <c r="P130" s="665">
        <f t="shared" si="57"/>
        <v>9844.7204951999993</v>
      </c>
      <c r="Q130" s="665">
        <f t="shared" si="57"/>
        <v>10041.614905104001</v>
      </c>
      <c r="R130" s="665">
        <f t="shared" si="57"/>
        <v>10242.44720320608</v>
      </c>
      <c r="S130" s="665">
        <f t="shared" si="57"/>
        <v>10447.296147270201</v>
      </c>
      <c r="T130" s="665">
        <f t="shared" si="57"/>
        <v>10656.242070215607</v>
      </c>
      <c r="U130" s="665">
        <f t="shared" si="57"/>
        <v>10869.36691161992</v>
      </c>
      <c r="V130" s="665">
        <f t="shared" si="57"/>
        <v>11086.754249852318</v>
      </c>
      <c r="W130" s="665">
        <f t="shared" si="57"/>
        <v>11308.489334849364</v>
      </c>
      <c r="X130" s="665">
        <f t="shared" si="57"/>
        <v>11534.659121546354</v>
      </c>
      <c r="Y130" s="665">
        <f t="shared" si="57"/>
        <v>11765.352303977279</v>
      </c>
      <c r="Z130" s="665">
        <f t="shared" si="57"/>
        <v>12000.659350056825</v>
      </c>
      <c r="AA130" s="665">
        <f t="shared" si="57"/>
        <v>12240.672537057961</v>
      </c>
      <c r="AB130" s="665">
        <f t="shared" si="57"/>
        <v>12485.48598779912</v>
      </c>
      <c r="AC130" s="665">
        <f t="shared" si="57"/>
        <v>12735.195707555104</v>
      </c>
      <c r="AD130" s="665">
        <f t="shared" si="57"/>
        <v>12989.899621706207</v>
      </c>
      <c r="AE130" s="665">
        <f t="shared" si="57"/>
        <v>13249.697614140328</v>
      </c>
    </row>
    <row r="131" spans="1:33">
      <c r="A131" s="190"/>
      <c r="B131" s="191"/>
      <c r="C131" s="192"/>
      <c r="D131" s="193"/>
      <c r="E131" s="194"/>
      <c r="F131" s="194"/>
      <c r="G131" s="192"/>
      <c r="H131" s="192"/>
      <c r="I131" s="195"/>
      <c r="J131" s="196"/>
      <c r="K131" s="685"/>
      <c r="L131" s="665"/>
      <c r="M131" s="665"/>
      <c r="N131" s="665"/>
      <c r="O131" s="665"/>
      <c r="P131" s="665"/>
      <c r="Q131" s="665"/>
      <c r="R131" s="665"/>
      <c r="S131" s="665"/>
      <c r="T131" s="665"/>
      <c r="U131" s="665"/>
      <c r="V131" s="665"/>
      <c r="W131" s="665"/>
      <c r="X131" s="665"/>
      <c r="Y131" s="665"/>
      <c r="Z131" s="665"/>
      <c r="AA131" s="665"/>
      <c r="AB131" s="665"/>
      <c r="AC131" s="665"/>
      <c r="AD131" s="665"/>
      <c r="AE131" s="665"/>
    </row>
    <row r="132" spans="1:33">
      <c r="A132" s="164" t="s">
        <v>61</v>
      </c>
      <c r="B132" s="164"/>
      <c r="C132" s="75"/>
      <c r="D132" s="173"/>
      <c r="E132" s="75"/>
      <c r="F132" s="75"/>
      <c r="G132" s="75"/>
      <c r="H132" s="75"/>
      <c r="I132" s="174"/>
      <c r="J132" s="175"/>
      <c r="K132" s="685">
        <v>0</v>
      </c>
      <c r="L132" s="669">
        <f>SUM(L124,L130)</f>
        <v>0</v>
      </c>
      <c r="M132" s="669">
        <f t="shared" ref="M132:AE132" si="58">SUM(M124,M130)</f>
        <v>54570</v>
      </c>
      <c r="N132" s="669">
        <f t="shared" si="58"/>
        <v>56774.628000000004</v>
      </c>
      <c r="O132" s="669">
        <f t="shared" si="58"/>
        <v>57910.120559999996</v>
      </c>
      <c r="P132" s="669">
        <f t="shared" si="58"/>
        <v>59068.322971199988</v>
      </c>
      <c r="Q132" s="669">
        <f t="shared" si="58"/>
        <v>60249.689430623999</v>
      </c>
      <c r="R132" s="669">
        <f t="shared" si="58"/>
        <v>61454.683219236475</v>
      </c>
      <c r="S132" s="669">
        <f t="shared" si="58"/>
        <v>62683.776883621205</v>
      </c>
      <c r="T132" s="669">
        <f t="shared" si="58"/>
        <v>63937.452421293638</v>
      </c>
      <c r="U132" s="669">
        <f t="shared" si="58"/>
        <v>65216.201469719512</v>
      </c>
      <c r="V132" s="669">
        <f t="shared" si="58"/>
        <v>66520.525499113894</v>
      </c>
      <c r="W132" s="669">
        <f t="shared" si="58"/>
        <v>67850.936009096185</v>
      </c>
      <c r="X132" s="669">
        <f t="shared" si="58"/>
        <v>69207.954729278121</v>
      </c>
      <c r="Y132" s="669">
        <f t="shared" si="58"/>
        <v>70592.113823863678</v>
      </c>
      <c r="Z132" s="669">
        <f t="shared" si="58"/>
        <v>72003.956100340947</v>
      </c>
      <c r="AA132" s="669">
        <f t="shared" si="58"/>
        <v>73444.035222347768</v>
      </c>
      <c r="AB132" s="669">
        <f t="shared" si="58"/>
        <v>74912.915926794725</v>
      </c>
      <c r="AC132" s="669">
        <f t="shared" si="58"/>
        <v>76411.174245330621</v>
      </c>
      <c r="AD132" s="669">
        <f t="shared" si="58"/>
        <v>77939.397730237237</v>
      </c>
      <c r="AE132" s="669">
        <f t="shared" si="58"/>
        <v>79498.18568484197</v>
      </c>
    </row>
    <row r="133" spans="1:33">
      <c r="A133" s="183"/>
      <c r="B133" s="184"/>
      <c r="C133" s="185"/>
      <c r="D133" s="186"/>
      <c r="E133" s="185"/>
      <c r="F133" s="185"/>
      <c r="G133" s="185"/>
      <c r="H133" s="185"/>
      <c r="I133" s="187"/>
      <c r="J133" s="188"/>
      <c r="K133" s="683"/>
      <c r="L133" s="320"/>
      <c r="M133" s="320"/>
      <c r="N133" s="320"/>
      <c r="O133" s="320"/>
      <c r="P133" s="320"/>
      <c r="Q133" s="320"/>
      <c r="R133" s="320"/>
      <c r="S133" s="320"/>
      <c r="T133" s="320"/>
      <c r="U133" s="320"/>
      <c r="V133" s="320"/>
      <c r="W133" s="320"/>
      <c r="X133" s="320"/>
      <c r="Y133" s="320"/>
      <c r="Z133" s="320"/>
      <c r="AA133" s="320"/>
      <c r="AB133" s="320"/>
      <c r="AC133" s="320"/>
      <c r="AD133" s="320"/>
      <c r="AE133" s="320"/>
    </row>
    <row r="134" spans="1:33">
      <c r="A134" s="39" t="s">
        <v>4</v>
      </c>
      <c r="B134" s="39"/>
      <c r="C134" s="111"/>
      <c r="D134" s="112"/>
      <c r="E134" s="111"/>
      <c r="F134" s="111"/>
      <c r="G134" s="111"/>
      <c r="H134" s="111"/>
      <c r="I134" s="40"/>
      <c r="J134" s="113"/>
      <c r="K134" s="688"/>
      <c r="L134" s="321"/>
      <c r="M134" s="321"/>
      <c r="N134" s="321"/>
      <c r="O134" s="321"/>
      <c r="P134" s="321"/>
      <c r="Q134" s="321"/>
      <c r="R134" s="321"/>
      <c r="S134" s="321"/>
      <c r="T134" s="321"/>
      <c r="U134" s="321"/>
      <c r="V134" s="321"/>
      <c r="W134" s="321"/>
      <c r="X134" s="321"/>
      <c r="Y134" s="321"/>
      <c r="Z134" s="321"/>
      <c r="AA134" s="321"/>
      <c r="AB134" s="321"/>
      <c r="AC134" s="321"/>
      <c r="AD134" s="321"/>
      <c r="AE134" s="321"/>
    </row>
    <row r="135" spans="1:33">
      <c r="A135" s="41" t="s">
        <v>13</v>
      </c>
      <c r="B135" s="41"/>
      <c r="C135" s="105"/>
      <c r="D135" s="106"/>
      <c r="E135" s="37"/>
      <c r="F135" s="37"/>
      <c r="G135" s="37"/>
      <c r="H135" s="37"/>
      <c r="I135" s="41"/>
      <c r="J135" s="37"/>
      <c r="K135" s="683"/>
      <c r="L135" s="200"/>
      <c r="M135" s="200"/>
      <c r="N135" s="200"/>
      <c r="O135" s="200"/>
      <c r="P135" s="200"/>
      <c r="Q135" s="200"/>
      <c r="R135" s="200"/>
      <c r="S135" s="200"/>
      <c r="T135" s="200"/>
      <c r="U135" s="201"/>
      <c r="V135" s="323"/>
      <c r="W135" s="200"/>
      <c r="X135" s="200"/>
      <c r="Y135" s="200"/>
      <c r="Z135" s="200"/>
      <c r="AA135" s="200"/>
      <c r="AB135" s="200"/>
      <c r="AC135" s="200"/>
      <c r="AD135" s="200"/>
      <c r="AE135" s="201"/>
    </row>
    <row r="136" spans="1:33">
      <c r="A136" s="33" t="s">
        <v>65</v>
      </c>
      <c r="B136" s="735" t="s">
        <v>12</v>
      </c>
      <c r="C136" s="663">
        <v>65000</v>
      </c>
      <c r="D136" s="736">
        <f>C136/2080</f>
        <v>31.25</v>
      </c>
      <c r="E136" s="663">
        <v>0</v>
      </c>
      <c r="F136" s="663">
        <f>C136*$F$13</f>
        <v>26000</v>
      </c>
      <c r="G136" s="663">
        <f>SUM(C136,E136:F136)</f>
        <v>91000</v>
      </c>
      <c r="H136" s="736">
        <f>G136/2080*8</f>
        <v>350</v>
      </c>
      <c r="I136" s="764"/>
      <c r="J136" s="765"/>
      <c r="K136" s="683">
        <v>0</v>
      </c>
      <c r="L136" s="665">
        <v>0</v>
      </c>
      <c r="M136" s="665">
        <f>$H$136*M32*0.25</f>
        <v>18725</v>
      </c>
      <c r="N136" s="665">
        <f t="shared" ref="N136:AE136" si="59">$M$136*L11</f>
        <v>19099.5</v>
      </c>
      <c r="O136" s="665">
        <f t="shared" si="59"/>
        <v>19481.490000000002</v>
      </c>
      <c r="P136" s="665">
        <f t="shared" si="59"/>
        <v>19871.1198</v>
      </c>
      <c r="Q136" s="665">
        <f t="shared" si="59"/>
        <v>20268.542195999999</v>
      </c>
      <c r="R136" s="665">
        <f t="shared" si="59"/>
        <v>20673.91303992</v>
      </c>
      <c r="S136" s="665">
        <f t="shared" si="59"/>
        <v>21087.391300718402</v>
      </c>
      <c r="T136" s="665">
        <f t="shared" si="59"/>
        <v>21509.139126732767</v>
      </c>
      <c r="U136" s="665">
        <f t="shared" si="59"/>
        <v>21939.321909267426</v>
      </c>
      <c r="V136" s="665">
        <f t="shared" si="59"/>
        <v>22378.108347452773</v>
      </c>
      <c r="W136" s="665">
        <f t="shared" si="59"/>
        <v>22825.670514401831</v>
      </c>
      <c r="X136" s="665">
        <f t="shared" si="59"/>
        <v>23282.183924689867</v>
      </c>
      <c r="Y136" s="665">
        <f t="shared" si="59"/>
        <v>23747.827603183665</v>
      </c>
      <c r="Z136" s="665">
        <f t="shared" si="59"/>
        <v>24222.784155247336</v>
      </c>
      <c r="AA136" s="665">
        <f t="shared" si="59"/>
        <v>24707.239838352285</v>
      </c>
      <c r="AB136" s="665">
        <f t="shared" si="59"/>
        <v>25201.384635119332</v>
      </c>
      <c r="AC136" s="665">
        <f t="shared" si="59"/>
        <v>25705.412327821719</v>
      </c>
      <c r="AD136" s="665">
        <f t="shared" si="59"/>
        <v>26219.520574378155</v>
      </c>
      <c r="AE136" s="665">
        <f t="shared" si="59"/>
        <v>26743.910985865718</v>
      </c>
    </row>
    <row r="137" spans="1:33">
      <c r="A137" s="37" t="s">
        <v>62</v>
      </c>
      <c r="B137" s="735" t="s">
        <v>12</v>
      </c>
      <c r="C137" s="663">
        <v>85000</v>
      </c>
      <c r="D137" s="736">
        <f>C137/2080</f>
        <v>40.865384615384613</v>
      </c>
      <c r="E137" s="663">
        <f>C137*$L$15</f>
        <v>0</v>
      </c>
      <c r="F137" s="663">
        <f t="shared" ref="F137:F140" si="60">C137*$F$13</f>
        <v>34000</v>
      </c>
      <c r="G137" s="663">
        <f t="shared" ref="G137:G140" si="61">SUM(C137,E137:F137)</f>
        <v>119000</v>
      </c>
      <c r="H137" s="736">
        <f>G137/2080*8</f>
        <v>457.69230769230768</v>
      </c>
      <c r="I137" s="764"/>
      <c r="J137" s="765"/>
      <c r="K137" s="683">
        <v>0</v>
      </c>
      <c r="L137" s="665">
        <v>0</v>
      </c>
      <c r="M137" s="665">
        <f>$H$137*M32*0.1</f>
        <v>9794.6153846153848</v>
      </c>
      <c r="N137" s="665">
        <f t="shared" ref="N137:AE137" si="62">$M$137*L11</f>
        <v>9990.5076923076922</v>
      </c>
      <c r="O137" s="665">
        <f t="shared" si="62"/>
        <v>10190.317846153846</v>
      </c>
      <c r="P137" s="665">
        <f t="shared" si="62"/>
        <v>10394.124203076923</v>
      </c>
      <c r="Q137" s="665">
        <f t="shared" si="62"/>
        <v>10602.006687138461</v>
      </c>
      <c r="R137" s="665">
        <f t="shared" si="62"/>
        <v>10814.046820881231</v>
      </c>
      <c r="S137" s="665">
        <f t="shared" si="62"/>
        <v>11030.327757298855</v>
      </c>
      <c r="T137" s="665">
        <f t="shared" si="62"/>
        <v>11250.934312444833</v>
      </c>
      <c r="U137" s="665">
        <f t="shared" si="62"/>
        <v>11475.95299869373</v>
      </c>
      <c r="V137" s="665">
        <f t="shared" si="62"/>
        <v>11705.472058667605</v>
      </c>
      <c r="W137" s="665">
        <f t="shared" si="62"/>
        <v>11939.581499840959</v>
      </c>
      <c r="X137" s="665">
        <f t="shared" si="62"/>
        <v>12178.373129837777</v>
      </c>
      <c r="Y137" s="665">
        <f t="shared" si="62"/>
        <v>12421.940592434532</v>
      </c>
      <c r="Z137" s="665">
        <f t="shared" si="62"/>
        <v>12670.379404283221</v>
      </c>
      <c r="AA137" s="665">
        <f t="shared" si="62"/>
        <v>12923.786992368889</v>
      </c>
      <c r="AB137" s="665">
        <f t="shared" si="62"/>
        <v>13182.262732216266</v>
      </c>
      <c r="AC137" s="665">
        <f t="shared" si="62"/>
        <v>13445.907986860591</v>
      </c>
      <c r="AD137" s="665">
        <f t="shared" si="62"/>
        <v>13714.826146597805</v>
      </c>
      <c r="AE137" s="665">
        <f t="shared" si="62"/>
        <v>13989.122669529761</v>
      </c>
    </row>
    <row r="138" spans="1:33">
      <c r="A138" s="37" t="s">
        <v>419</v>
      </c>
      <c r="B138" s="735" t="s">
        <v>12</v>
      </c>
      <c r="C138" s="663">
        <v>75000</v>
      </c>
      <c r="D138" s="736">
        <f>C138/2080</f>
        <v>36.057692307692307</v>
      </c>
      <c r="E138" s="663">
        <f>C138*$L$15</f>
        <v>0</v>
      </c>
      <c r="F138" s="663">
        <f t="shared" si="60"/>
        <v>30000</v>
      </c>
      <c r="G138" s="663">
        <f t="shared" si="61"/>
        <v>105000</v>
      </c>
      <c r="H138" s="736">
        <f>G138/2080*8</f>
        <v>403.84615384615387</v>
      </c>
      <c r="I138" s="764"/>
      <c r="J138" s="765"/>
      <c r="K138" s="683">
        <v>0</v>
      </c>
      <c r="L138" s="665">
        <v>0</v>
      </c>
      <c r="M138" s="665">
        <f>$H$138*M32*0.1</f>
        <v>8642.3076923076933</v>
      </c>
      <c r="N138" s="665">
        <f t="shared" ref="N138:AE138" si="63">$M$138*L11</f>
        <v>8815.1538461538476</v>
      </c>
      <c r="O138" s="665">
        <f t="shared" si="63"/>
        <v>8991.4569230769248</v>
      </c>
      <c r="P138" s="665">
        <f t="shared" si="63"/>
        <v>9171.2860615384616</v>
      </c>
      <c r="Q138" s="665">
        <f t="shared" si="63"/>
        <v>9354.7117827692309</v>
      </c>
      <c r="R138" s="665">
        <f t="shared" si="63"/>
        <v>9541.8060184246169</v>
      </c>
      <c r="S138" s="665">
        <f t="shared" si="63"/>
        <v>9732.6421387931096</v>
      </c>
      <c r="T138" s="665">
        <f t="shared" si="63"/>
        <v>9927.2949815689717</v>
      </c>
      <c r="U138" s="665">
        <f t="shared" si="63"/>
        <v>10125.840881200351</v>
      </c>
      <c r="V138" s="665">
        <f t="shared" si="63"/>
        <v>10328.357698824359</v>
      </c>
      <c r="W138" s="665">
        <f t="shared" si="63"/>
        <v>10534.924852800847</v>
      </c>
      <c r="X138" s="665">
        <f t="shared" si="63"/>
        <v>10745.623349856864</v>
      </c>
      <c r="Y138" s="665">
        <f t="shared" si="63"/>
        <v>10960.535816854001</v>
      </c>
      <c r="Z138" s="665">
        <f t="shared" si="63"/>
        <v>11179.746533191079</v>
      </c>
      <c r="AA138" s="665">
        <f t="shared" si="63"/>
        <v>11403.341463854902</v>
      </c>
      <c r="AB138" s="665">
        <f t="shared" si="63"/>
        <v>11631.408293132001</v>
      </c>
      <c r="AC138" s="665">
        <f t="shared" si="63"/>
        <v>11864.03645899464</v>
      </c>
      <c r="AD138" s="665">
        <f t="shared" si="63"/>
        <v>12101.317188174535</v>
      </c>
      <c r="AE138" s="665">
        <f t="shared" si="63"/>
        <v>12343.343531938026</v>
      </c>
    </row>
    <row r="139" spans="1:33">
      <c r="A139" s="37" t="s">
        <v>63</v>
      </c>
      <c r="B139" s="735" t="s">
        <v>15</v>
      </c>
      <c r="C139" s="663">
        <v>15000</v>
      </c>
      <c r="D139" s="736">
        <f t="shared" ref="D139:D140" si="64">C139/2080</f>
        <v>7.2115384615384617</v>
      </c>
      <c r="E139" s="663">
        <f>C139*$L$15</f>
        <v>0</v>
      </c>
      <c r="F139" s="663">
        <f t="shared" si="60"/>
        <v>6000</v>
      </c>
      <c r="G139" s="663">
        <f t="shared" si="61"/>
        <v>21000</v>
      </c>
      <c r="H139" s="736">
        <f t="shared" ref="H139:H140" si="65">G139/2080*8</f>
        <v>80.769230769230774</v>
      </c>
      <c r="I139" s="764"/>
      <c r="J139" s="765"/>
      <c r="K139" s="683">
        <v>0</v>
      </c>
      <c r="L139" s="665">
        <v>0</v>
      </c>
      <c r="M139" s="665">
        <f>($H$139*M32)*0.5</f>
        <v>8642.3076923076933</v>
      </c>
      <c r="N139" s="665">
        <f t="shared" ref="N139:AE139" si="66">$M$139*L11</f>
        <v>8815.1538461538476</v>
      </c>
      <c r="O139" s="665">
        <f t="shared" si="66"/>
        <v>8991.4569230769248</v>
      </c>
      <c r="P139" s="665">
        <f t="shared" si="66"/>
        <v>9171.2860615384616</v>
      </c>
      <c r="Q139" s="665">
        <f t="shared" si="66"/>
        <v>9354.7117827692309</v>
      </c>
      <c r="R139" s="665">
        <f t="shared" si="66"/>
        <v>9541.8060184246169</v>
      </c>
      <c r="S139" s="665">
        <f t="shared" si="66"/>
        <v>9732.6421387931096</v>
      </c>
      <c r="T139" s="665">
        <f t="shared" si="66"/>
        <v>9927.2949815689717</v>
      </c>
      <c r="U139" s="665">
        <f t="shared" si="66"/>
        <v>10125.840881200351</v>
      </c>
      <c r="V139" s="665">
        <f t="shared" si="66"/>
        <v>10328.357698824359</v>
      </c>
      <c r="W139" s="665">
        <f t="shared" si="66"/>
        <v>10534.924852800847</v>
      </c>
      <c r="X139" s="665">
        <f t="shared" si="66"/>
        <v>10745.623349856864</v>
      </c>
      <c r="Y139" s="665">
        <f t="shared" si="66"/>
        <v>10960.535816854001</v>
      </c>
      <c r="Z139" s="665">
        <f t="shared" si="66"/>
        <v>11179.746533191079</v>
      </c>
      <c r="AA139" s="665">
        <f t="shared" si="66"/>
        <v>11403.341463854902</v>
      </c>
      <c r="AB139" s="665">
        <f t="shared" si="66"/>
        <v>11631.408293132001</v>
      </c>
      <c r="AC139" s="665">
        <f t="shared" si="66"/>
        <v>11864.03645899464</v>
      </c>
      <c r="AD139" s="665">
        <f t="shared" si="66"/>
        <v>12101.317188174535</v>
      </c>
      <c r="AE139" s="665">
        <f t="shared" si="66"/>
        <v>12343.343531938026</v>
      </c>
    </row>
    <row r="140" spans="1:33">
      <c r="A140" s="745" t="s">
        <v>63</v>
      </c>
      <c r="B140" s="738" t="s">
        <v>15</v>
      </c>
      <c r="C140" s="739">
        <v>15000</v>
      </c>
      <c r="D140" s="740">
        <f t="shared" si="64"/>
        <v>7.2115384615384617</v>
      </c>
      <c r="E140" s="739">
        <f>C140*$L$15</f>
        <v>0</v>
      </c>
      <c r="F140" s="739">
        <f t="shared" si="60"/>
        <v>6000</v>
      </c>
      <c r="G140" s="739">
        <f t="shared" si="61"/>
        <v>21000</v>
      </c>
      <c r="H140" s="740">
        <f t="shared" si="65"/>
        <v>80.769230769230774</v>
      </c>
      <c r="I140" s="766"/>
      <c r="J140" s="767"/>
      <c r="K140" s="741">
        <v>0</v>
      </c>
      <c r="L140" s="742">
        <v>0</v>
      </c>
      <c r="M140" s="742">
        <f>($H$140*M32)*0.5</f>
        <v>8642.3076923076933</v>
      </c>
      <c r="N140" s="742">
        <f t="shared" ref="N140:AE140" si="67">$M$140*L11</f>
        <v>8815.1538461538476</v>
      </c>
      <c r="O140" s="742">
        <f t="shared" si="67"/>
        <v>8991.4569230769248</v>
      </c>
      <c r="P140" s="742">
        <f t="shared" si="67"/>
        <v>9171.2860615384616</v>
      </c>
      <c r="Q140" s="742">
        <f t="shared" si="67"/>
        <v>9354.7117827692309</v>
      </c>
      <c r="R140" s="742">
        <f t="shared" si="67"/>
        <v>9541.8060184246169</v>
      </c>
      <c r="S140" s="742">
        <f t="shared" si="67"/>
        <v>9732.6421387931096</v>
      </c>
      <c r="T140" s="742">
        <f t="shared" si="67"/>
        <v>9927.2949815689717</v>
      </c>
      <c r="U140" s="742">
        <f t="shared" si="67"/>
        <v>10125.840881200351</v>
      </c>
      <c r="V140" s="742">
        <f t="shared" si="67"/>
        <v>10328.357698824359</v>
      </c>
      <c r="W140" s="742">
        <f t="shared" si="67"/>
        <v>10534.924852800847</v>
      </c>
      <c r="X140" s="742">
        <f t="shared" si="67"/>
        <v>10745.623349856864</v>
      </c>
      <c r="Y140" s="742">
        <f t="shared" si="67"/>
        <v>10960.535816854001</v>
      </c>
      <c r="Z140" s="742">
        <f t="shared" si="67"/>
        <v>11179.746533191079</v>
      </c>
      <c r="AA140" s="742">
        <f t="shared" si="67"/>
        <v>11403.341463854902</v>
      </c>
      <c r="AB140" s="742">
        <f t="shared" si="67"/>
        <v>11631.408293132001</v>
      </c>
      <c r="AC140" s="742">
        <f t="shared" si="67"/>
        <v>11864.03645899464</v>
      </c>
      <c r="AD140" s="742">
        <f t="shared" si="67"/>
        <v>12101.317188174535</v>
      </c>
      <c r="AE140" s="742">
        <f t="shared" si="67"/>
        <v>12343.343531938026</v>
      </c>
    </row>
    <row r="141" spans="1:33" s="56" customFormat="1" ht="14.25">
      <c r="A141" s="164" t="s">
        <v>415</v>
      </c>
      <c r="B141" s="164"/>
      <c r="C141" s="667">
        <f>SUM(C136:C140)</f>
        <v>255000</v>
      </c>
      <c r="D141" s="667"/>
      <c r="E141" s="667">
        <f>SUM(E136:E140)</f>
        <v>0</v>
      </c>
      <c r="F141" s="667">
        <f>SUM(F136:F140)</f>
        <v>102000</v>
      </c>
      <c r="G141" s="667">
        <f>SUM(G136:G140)</f>
        <v>357000</v>
      </c>
      <c r="H141" s="667">
        <f>SUM(H136:H140)</f>
        <v>1373.0769230769229</v>
      </c>
      <c r="I141" s="768"/>
      <c r="J141" s="769"/>
      <c r="K141" s="685">
        <f>SUMIF($B136:$B140,"FT",K136:K140)</f>
        <v>0</v>
      </c>
      <c r="L141" s="669">
        <f>SUMIF($B136:$B140,"FT",L136:L140)</f>
        <v>0</v>
      </c>
      <c r="M141" s="669">
        <f>SUM(M136:M140)</f>
        <v>54446.538461538468</v>
      </c>
      <c r="N141" s="669">
        <f t="shared" ref="N141:AE141" si="68">SUM(N136:N140)</f>
        <v>55535.469230769231</v>
      </c>
      <c r="O141" s="669">
        <f t="shared" si="68"/>
        <v>56646.178615384626</v>
      </c>
      <c r="P141" s="669">
        <f t="shared" si="68"/>
        <v>57779.102187692311</v>
      </c>
      <c r="Q141" s="669">
        <f t="shared" si="68"/>
        <v>58934.684231446139</v>
      </c>
      <c r="R141" s="669">
        <f t="shared" si="68"/>
        <v>60113.377916075071</v>
      </c>
      <c r="S141" s="669">
        <f t="shared" si="68"/>
        <v>61315.645474396588</v>
      </c>
      <c r="T141" s="669">
        <f t="shared" si="68"/>
        <v>62541.958383884514</v>
      </c>
      <c r="U141" s="669">
        <f t="shared" si="68"/>
        <v>63792.797551562195</v>
      </c>
      <c r="V141" s="669">
        <f t="shared" si="68"/>
        <v>65068.653502593457</v>
      </c>
      <c r="W141" s="669">
        <f t="shared" si="68"/>
        <v>66370.026572645322</v>
      </c>
      <c r="X141" s="669">
        <f t="shared" si="68"/>
        <v>67697.427104098228</v>
      </c>
      <c r="Y141" s="669">
        <f t="shared" si="68"/>
        <v>69051.375646180197</v>
      </c>
      <c r="Z141" s="669">
        <f t="shared" si="68"/>
        <v>70432.403159103793</v>
      </c>
      <c r="AA141" s="669">
        <f t="shared" si="68"/>
        <v>71841.051222285882</v>
      </c>
      <c r="AB141" s="669">
        <f t="shared" si="68"/>
        <v>73277.872246731597</v>
      </c>
      <c r="AC141" s="669">
        <f t="shared" si="68"/>
        <v>74743.429691666228</v>
      </c>
      <c r="AD141" s="669">
        <f t="shared" si="68"/>
        <v>76238.298285499564</v>
      </c>
      <c r="AE141" s="669">
        <f t="shared" si="68"/>
        <v>77763.064251209551</v>
      </c>
    </row>
    <row r="142" spans="1:33">
      <c r="A142" s="37"/>
      <c r="B142" s="37"/>
      <c r="C142" s="663"/>
      <c r="D142" s="663"/>
      <c r="E142" s="663"/>
      <c r="F142" s="663"/>
      <c r="G142" s="663"/>
      <c r="H142" s="663"/>
      <c r="I142" s="107"/>
      <c r="J142" s="108"/>
      <c r="K142" s="683"/>
      <c r="L142" s="666"/>
      <c r="M142" s="666"/>
      <c r="N142" s="666"/>
      <c r="O142" s="666"/>
      <c r="P142" s="666"/>
      <c r="Q142" s="666"/>
      <c r="R142" s="666"/>
      <c r="S142" s="666"/>
      <c r="T142" s="666"/>
      <c r="U142" s="666"/>
      <c r="V142" s="666"/>
      <c r="W142" s="666"/>
      <c r="X142" s="666"/>
      <c r="Y142" s="666"/>
      <c r="Z142" s="666"/>
      <c r="AA142" s="666"/>
      <c r="AB142" s="666"/>
      <c r="AC142" s="666"/>
      <c r="AD142" s="666"/>
      <c r="AE142" s="666"/>
    </row>
    <row r="143" spans="1:33">
      <c r="A143" s="37" t="s">
        <v>11</v>
      </c>
      <c r="B143" s="37"/>
      <c r="C143" s="57"/>
      <c r="E143" s="57"/>
      <c r="F143" s="57"/>
      <c r="G143" s="57"/>
      <c r="H143" s="57"/>
      <c r="I143" s="43"/>
      <c r="J143" s="42"/>
      <c r="K143" s="770">
        <f>COUNTIF(K136:K140,"&gt;100")</f>
        <v>0</v>
      </c>
      <c r="L143" s="771">
        <f>COUNTIF(L136:L138,"&gt;100")</f>
        <v>0</v>
      </c>
      <c r="M143" s="771">
        <f t="shared" ref="M143:AE143" si="69">COUNTIF(M136:M138,"&gt;100")</f>
        <v>3</v>
      </c>
      <c r="N143" s="771">
        <f t="shared" si="69"/>
        <v>3</v>
      </c>
      <c r="O143" s="771">
        <f t="shared" si="69"/>
        <v>3</v>
      </c>
      <c r="P143" s="771">
        <f t="shared" si="69"/>
        <v>3</v>
      </c>
      <c r="Q143" s="771">
        <f t="shared" si="69"/>
        <v>3</v>
      </c>
      <c r="R143" s="771">
        <f t="shared" si="69"/>
        <v>3</v>
      </c>
      <c r="S143" s="771">
        <f t="shared" si="69"/>
        <v>3</v>
      </c>
      <c r="T143" s="771">
        <f t="shared" si="69"/>
        <v>3</v>
      </c>
      <c r="U143" s="771">
        <f t="shared" si="69"/>
        <v>3</v>
      </c>
      <c r="V143" s="771">
        <f t="shared" si="69"/>
        <v>3</v>
      </c>
      <c r="W143" s="771">
        <f t="shared" si="69"/>
        <v>3</v>
      </c>
      <c r="X143" s="771">
        <f t="shared" si="69"/>
        <v>3</v>
      </c>
      <c r="Y143" s="771">
        <f t="shared" si="69"/>
        <v>3</v>
      </c>
      <c r="Z143" s="771">
        <f t="shared" si="69"/>
        <v>3</v>
      </c>
      <c r="AA143" s="771">
        <f t="shared" si="69"/>
        <v>3</v>
      </c>
      <c r="AB143" s="771">
        <f t="shared" si="69"/>
        <v>3</v>
      </c>
      <c r="AC143" s="771">
        <f t="shared" si="69"/>
        <v>3</v>
      </c>
      <c r="AD143" s="771">
        <f t="shared" si="69"/>
        <v>3</v>
      </c>
      <c r="AE143" s="771">
        <f t="shared" si="69"/>
        <v>3</v>
      </c>
      <c r="AF143" s="772"/>
      <c r="AG143" s="772"/>
    </row>
    <row r="144" spans="1:33">
      <c r="A144" s="745" t="s">
        <v>10</v>
      </c>
      <c r="B144" s="745"/>
      <c r="C144" s="746"/>
      <c r="D144" s="116"/>
      <c r="E144" s="746"/>
      <c r="F144" s="746"/>
      <c r="G144" s="746"/>
      <c r="H144" s="746"/>
      <c r="I144" s="747"/>
      <c r="J144" s="748"/>
      <c r="K144" s="773">
        <v>0</v>
      </c>
      <c r="L144" s="774">
        <f>COUNTIF(L139:L140,"&gt;100")</f>
        <v>0</v>
      </c>
      <c r="M144" s="774">
        <f t="shared" ref="M144:AE144" si="70">COUNTIF(M139:M140,"&gt;100")</f>
        <v>2</v>
      </c>
      <c r="N144" s="774">
        <f t="shared" si="70"/>
        <v>2</v>
      </c>
      <c r="O144" s="774">
        <f t="shared" si="70"/>
        <v>2</v>
      </c>
      <c r="P144" s="774">
        <f t="shared" si="70"/>
        <v>2</v>
      </c>
      <c r="Q144" s="774">
        <f t="shared" si="70"/>
        <v>2</v>
      </c>
      <c r="R144" s="774">
        <f t="shared" si="70"/>
        <v>2</v>
      </c>
      <c r="S144" s="774">
        <f t="shared" si="70"/>
        <v>2</v>
      </c>
      <c r="T144" s="774">
        <f t="shared" si="70"/>
        <v>2</v>
      </c>
      <c r="U144" s="774">
        <f t="shared" si="70"/>
        <v>2</v>
      </c>
      <c r="V144" s="774">
        <f t="shared" si="70"/>
        <v>2</v>
      </c>
      <c r="W144" s="774">
        <f t="shared" si="70"/>
        <v>2</v>
      </c>
      <c r="X144" s="774">
        <f t="shared" si="70"/>
        <v>2</v>
      </c>
      <c r="Y144" s="774">
        <f t="shared" si="70"/>
        <v>2</v>
      </c>
      <c r="Z144" s="774">
        <f t="shared" si="70"/>
        <v>2</v>
      </c>
      <c r="AA144" s="774">
        <f t="shared" si="70"/>
        <v>2</v>
      </c>
      <c r="AB144" s="774">
        <f t="shared" si="70"/>
        <v>2</v>
      </c>
      <c r="AC144" s="774">
        <f t="shared" si="70"/>
        <v>2</v>
      </c>
      <c r="AD144" s="774">
        <f t="shared" si="70"/>
        <v>2</v>
      </c>
      <c r="AE144" s="774">
        <f t="shared" si="70"/>
        <v>2</v>
      </c>
      <c r="AF144" s="772"/>
      <c r="AG144" s="772"/>
    </row>
    <row r="145" spans="1:33" s="56" customFormat="1" ht="14.25">
      <c r="A145" s="164" t="s">
        <v>9</v>
      </c>
      <c r="B145" s="164"/>
      <c r="C145" s="75"/>
      <c r="D145" s="173"/>
      <c r="E145" s="75"/>
      <c r="F145" s="75"/>
      <c r="G145" s="75"/>
      <c r="H145" s="75"/>
      <c r="I145" s="174"/>
      <c r="J145" s="181"/>
      <c r="K145" s="775">
        <v>0</v>
      </c>
      <c r="L145" s="776">
        <f>SUM(L143:L144)</f>
        <v>0</v>
      </c>
      <c r="M145" s="776">
        <f t="shared" ref="M145:AE145" si="71">COUNTIF(M136:M140,"&gt;0")</f>
        <v>5</v>
      </c>
      <c r="N145" s="776">
        <f t="shared" si="71"/>
        <v>5</v>
      </c>
      <c r="O145" s="776">
        <f t="shared" si="71"/>
        <v>5</v>
      </c>
      <c r="P145" s="776">
        <f t="shared" si="71"/>
        <v>5</v>
      </c>
      <c r="Q145" s="776">
        <f t="shared" si="71"/>
        <v>5</v>
      </c>
      <c r="R145" s="776">
        <f t="shared" si="71"/>
        <v>5</v>
      </c>
      <c r="S145" s="776">
        <f t="shared" si="71"/>
        <v>5</v>
      </c>
      <c r="T145" s="776">
        <f t="shared" si="71"/>
        <v>5</v>
      </c>
      <c r="U145" s="776">
        <f t="shared" si="71"/>
        <v>5</v>
      </c>
      <c r="V145" s="776">
        <f t="shared" si="71"/>
        <v>5</v>
      </c>
      <c r="W145" s="776">
        <f t="shared" si="71"/>
        <v>5</v>
      </c>
      <c r="X145" s="776">
        <f t="shared" si="71"/>
        <v>5</v>
      </c>
      <c r="Y145" s="776">
        <f t="shared" si="71"/>
        <v>5</v>
      </c>
      <c r="Z145" s="776">
        <f t="shared" si="71"/>
        <v>5</v>
      </c>
      <c r="AA145" s="776">
        <f t="shared" si="71"/>
        <v>5</v>
      </c>
      <c r="AB145" s="776">
        <f t="shared" si="71"/>
        <v>5</v>
      </c>
      <c r="AC145" s="776">
        <f t="shared" si="71"/>
        <v>5</v>
      </c>
      <c r="AD145" s="776">
        <f t="shared" si="71"/>
        <v>5</v>
      </c>
      <c r="AE145" s="776">
        <f t="shared" si="71"/>
        <v>5</v>
      </c>
      <c r="AF145" s="723"/>
      <c r="AG145" s="723"/>
    </row>
    <row r="146" spans="1:33">
      <c r="B146" s="37"/>
      <c r="C146" s="57"/>
      <c r="E146" s="57"/>
      <c r="F146" s="57"/>
      <c r="G146" s="57"/>
      <c r="H146" s="57"/>
      <c r="I146" s="43"/>
      <c r="J146" s="42"/>
      <c r="K146" s="683"/>
      <c r="L146" s="316"/>
      <c r="M146" s="316"/>
      <c r="N146" s="316"/>
      <c r="O146" s="316"/>
      <c r="P146" s="316"/>
      <c r="Q146" s="316"/>
      <c r="R146" s="316"/>
      <c r="S146" s="316"/>
      <c r="T146" s="316"/>
      <c r="U146" s="316"/>
      <c r="V146" s="316"/>
      <c r="W146" s="316"/>
      <c r="X146" s="316"/>
      <c r="Y146" s="316"/>
      <c r="Z146" s="316"/>
      <c r="AA146" s="316"/>
      <c r="AB146" s="316"/>
      <c r="AC146" s="316"/>
      <c r="AD146" s="316"/>
      <c r="AE146" s="316"/>
    </row>
    <row r="147" spans="1:33">
      <c r="A147" s="33" t="s">
        <v>60</v>
      </c>
      <c r="B147" s="191"/>
      <c r="C147" s="192"/>
      <c r="D147" s="193"/>
      <c r="E147" s="194"/>
      <c r="F147" s="194"/>
      <c r="G147" s="192"/>
      <c r="H147" s="192"/>
      <c r="I147" s="195">
        <v>0.2</v>
      </c>
      <c r="J147" s="196"/>
      <c r="K147" s="689">
        <v>0</v>
      </c>
      <c r="L147" s="665">
        <f t="shared" ref="L147:AE147" si="72">L141*$I$147</f>
        <v>0</v>
      </c>
      <c r="M147" s="665">
        <f t="shared" si="72"/>
        <v>10889.307692307695</v>
      </c>
      <c r="N147" s="665">
        <f t="shared" si="72"/>
        <v>11107.093846153846</v>
      </c>
      <c r="O147" s="665">
        <f t="shared" si="72"/>
        <v>11329.235723076927</v>
      </c>
      <c r="P147" s="665">
        <f t="shared" si="72"/>
        <v>11555.820437538463</v>
      </c>
      <c r="Q147" s="665">
        <f t="shared" si="72"/>
        <v>11786.936846289229</v>
      </c>
      <c r="R147" s="665">
        <f t="shared" si="72"/>
        <v>12022.675583215016</v>
      </c>
      <c r="S147" s="665">
        <f t="shared" si="72"/>
        <v>12263.129094879318</v>
      </c>
      <c r="T147" s="665">
        <f t="shared" si="72"/>
        <v>12508.391676776904</v>
      </c>
      <c r="U147" s="665">
        <f t="shared" si="72"/>
        <v>12758.55951031244</v>
      </c>
      <c r="V147" s="665">
        <f t="shared" si="72"/>
        <v>13013.730700518692</v>
      </c>
      <c r="W147" s="665">
        <f t="shared" si="72"/>
        <v>13274.005314529066</v>
      </c>
      <c r="X147" s="665">
        <f t="shared" si="72"/>
        <v>13539.485420819647</v>
      </c>
      <c r="Y147" s="665">
        <f t="shared" si="72"/>
        <v>13810.275129236041</v>
      </c>
      <c r="Z147" s="665">
        <f t="shared" si="72"/>
        <v>14086.480631820759</v>
      </c>
      <c r="AA147" s="665">
        <f t="shared" si="72"/>
        <v>14368.210244457177</v>
      </c>
      <c r="AB147" s="665">
        <f t="shared" si="72"/>
        <v>14655.574449346321</v>
      </c>
      <c r="AC147" s="665">
        <f t="shared" si="72"/>
        <v>14948.685938333247</v>
      </c>
      <c r="AD147" s="665">
        <f t="shared" si="72"/>
        <v>15247.659657099914</v>
      </c>
      <c r="AE147" s="665">
        <f t="shared" si="72"/>
        <v>15552.612850241911</v>
      </c>
    </row>
    <row r="148" spans="1:33">
      <c r="B148" s="191"/>
      <c r="C148" s="192"/>
      <c r="D148" s="193"/>
      <c r="E148" s="194"/>
      <c r="F148" s="194"/>
      <c r="G148" s="192"/>
      <c r="H148" s="192"/>
      <c r="I148" s="195"/>
      <c r="J148" s="196"/>
      <c r="K148" s="689"/>
      <c r="L148" s="665"/>
      <c r="M148" s="665"/>
      <c r="N148" s="665"/>
      <c r="O148" s="665"/>
      <c r="P148" s="665"/>
      <c r="Q148" s="665"/>
      <c r="R148" s="665"/>
      <c r="S148" s="665"/>
      <c r="T148" s="665"/>
      <c r="U148" s="665"/>
      <c r="V148" s="665"/>
      <c r="W148" s="665"/>
      <c r="X148" s="665"/>
      <c r="Y148" s="665"/>
      <c r="Z148" s="665"/>
      <c r="AA148" s="665"/>
      <c r="AB148" s="665"/>
      <c r="AC148" s="665"/>
      <c r="AD148" s="665"/>
      <c r="AE148" s="665"/>
    </row>
    <row r="149" spans="1:33" s="197" customFormat="1" ht="14.25">
      <c r="A149" s="197" t="s">
        <v>68</v>
      </c>
      <c r="D149" s="198"/>
      <c r="K149" s="690"/>
      <c r="L149" s="677"/>
      <c r="M149" s="677"/>
      <c r="N149" s="677"/>
      <c r="O149" s="677"/>
      <c r="P149" s="677"/>
      <c r="Q149" s="677"/>
      <c r="R149" s="677"/>
      <c r="S149" s="677"/>
      <c r="T149" s="677"/>
      <c r="U149" s="677"/>
      <c r="V149" s="677"/>
      <c r="W149" s="677"/>
      <c r="X149" s="677"/>
      <c r="Y149" s="677"/>
      <c r="Z149" s="677"/>
      <c r="AA149" s="677"/>
      <c r="AB149" s="677"/>
      <c r="AC149" s="677"/>
      <c r="AD149" s="677"/>
      <c r="AE149" s="677"/>
    </row>
    <row r="150" spans="1:33">
      <c r="A150" s="37" t="s">
        <v>423</v>
      </c>
      <c r="B150" s="37"/>
      <c r="C150" s="110"/>
      <c r="D150" s="106"/>
      <c r="E150" s="57"/>
      <c r="F150" s="57"/>
      <c r="G150" s="57"/>
      <c r="H150" s="57"/>
      <c r="I150" s="49"/>
      <c r="J150" s="44"/>
      <c r="K150" s="683">
        <f>COUNTIF(K$116:K$123,"&gt;0")*$J150*R$9</f>
        <v>0</v>
      </c>
      <c r="L150" s="666">
        <v>0</v>
      </c>
      <c r="M150" s="666">
        <v>10000</v>
      </c>
      <c r="N150" s="666">
        <f t="shared" ref="N150:AE150" si="73">$M$150*L11</f>
        <v>10200</v>
      </c>
      <c r="O150" s="666">
        <f t="shared" si="73"/>
        <v>10404</v>
      </c>
      <c r="P150" s="666">
        <f t="shared" si="73"/>
        <v>10612.08</v>
      </c>
      <c r="Q150" s="666">
        <f t="shared" si="73"/>
        <v>10824.321599999999</v>
      </c>
      <c r="R150" s="666">
        <f t="shared" si="73"/>
        <v>11040.808032000001</v>
      </c>
      <c r="S150" s="666">
        <f t="shared" si="73"/>
        <v>11261.62419264</v>
      </c>
      <c r="T150" s="666">
        <f t="shared" si="73"/>
        <v>11486.8566764928</v>
      </c>
      <c r="U150" s="666">
        <f t="shared" si="73"/>
        <v>11716.593810022658</v>
      </c>
      <c r="V150" s="666">
        <f t="shared" si="73"/>
        <v>11950.92568622311</v>
      </c>
      <c r="W150" s="666">
        <f t="shared" si="73"/>
        <v>12189.944199947573</v>
      </c>
      <c r="X150" s="666">
        <f t="shared" si="73"/>
        <v>12433.743083946525</v>
      </c>
      <c r="Y150" s="666">
        <f t="shared" si="73"/>
        <v>12682.417945625455</v>
      </c>
      <c r="Z150" s="666">
        <f t="shared" si="73"/>
        <v>12936.066304537962</v>
      </c>
      <c r="AA150" s="666">
        <f t="shared" si="73"/>
        <v>13194.787630628723</v>
      </c>
      <c r="AB150" s="666">
        <f t="shared" si="73"/>
        <v>13458.683383241299</v>
      </c>
      <c r="AC150" s="666">
        <f t="shared" si="73"/>
        <v>13727.857050906125</v>
      </c>
      <c r="AD150" s="666">
        <f t="shared" si="73"/>
        <v>14002.414191924248</v>
      </c>
      <c r="AE150" s="666">
        <f t="shared" si="73"/>
        <v>14282.462475762733</v>
      </c>
    </row>
    <row r="151" spans="1:33">
      <c r="A151" s="37" t="s">
        <v>67</v>
      </c>
      <c r="B151" s="37"/>
      <c r="C151" s="110"/>
      <c r="D151" s="106"/>
      <c r="E151" s="57"/>
      <c r="F151" s="57"/>
      <c r="G151" s="57"/>
      <c r="H151" s="57"/>
      <c r="I151" s="51"/>
      <c r="J151" s="44"/>
      <c r="K151" s="683">
        <v>0</v>
      </c>
      <c r="L151" s="666">
        <v>0</v>
      </c>
      <c r="M151" s="666">
        <v>10000</v>
      </c>
      <c r="N151" s="666">
        <f t="shared" ref="N151:AE151" si="74">$M$151*L11</f>
        <v>10200</v>
      </c>
      <c r="O151" s="666">
        <f t="shared" si="74"/>
        <v>10404</v>
      </c>
      <c r="P151" s="666">
        <f t="shared" si="74"/>
        <v>10612.08</v>
      </c>
      <c r="Q151" s="666">
        <f t="shared" si="74"/>
        <v>10824.321599999999</v>
      </c>
      <c r="R151" s="666">
        <f t="shared" si="74"/>
        <v>11040.808032000001</v>
      </c>
      <c r="S151" s="666">
        <f t="shared" si="74"/>
        <v>11261.62419264</v>
      </c>
      <c r="T151" s="666">
        <f t="shared" si="74"/>
        <v>11486.8566764928</v>
      </c>
      <c r="U151" s="666">
        <f t="shared" si="74"/>
        <v>11716.593810022658</v>
      </c>
      <c r="V151" s="666">
        <f t="shared" si="74"/>
        <v>11950.92568622311</v>
      </c>
      <c r="W151" s="666">
        <f t="shared" si="74"/>
        <v>12189.944199947573</v>
      </c>
      <c r="X151" s="666">
        <f t="shared" si="74"/>
        <v>12433.743083946525</v>
      </c>
      <c r="Y151" s="666">
        <f t="shared" si="74"/>
        <v>12682.417945625455</v>
      </c>
      <c r="Z151" s="666">
        <f t="shared" si="74"/>
        <v>12936.066304537962</v>
      </c>
      <c r="AA151" s="666">
        <f t="shared" si="74"/>
        <v>13194.787630628723</v>
      </c>
      <c r="AB151" s="666">
        <f t="shared" si="74"/>
        <v>13458.683383241299</v>
      </c>
      <c r="AC151" s="666">
        <f t="shared" si="74"/>
        <v>13727.857050906125</v>
      </c>
      <c r="AD151" s="666">
        <f t="shared" si="74"/>
        <v>14002.414191924248</v>
      </c>
      <c r="AE151" s="666">
        <f t="shared" si="74"/>
        <v>14282.462475762733</v>
      </c>
    </row>
    <row r="152" spans="1:33">
      <c r="A152" s="180" t="s">
        <v>2</v>
      </c>
      <c r="B152" s="777"/>
      <c r="C152" s="778"/>
      <c r="D152" s="779"/>
      <c r="E152" s="746"/>
      <c r="F152" s="746"/>
      <c r="G152" s="778"/>
      <c r="H152" s="778"/>
      <c r="I152" s="780"/>
      <c r="J152" s="781"/>
      <c r="K152" s="741">
        <v>0</v>
      </c>
      <c r="L152" s="742">
        <v>0</v>
      </c>
      <c r="M152" s="742">
        <v>0</v>
      </c>
      <c r="N152" s="742">
        <v>0</v>
      </c>
      <c r="O152" s="742">
        <v>0</v>
      </c>
      <c r="P152" s="742">
        <v>0</v>
      </c>
      <c r="Q152" s="742">
        <v>0</v>
      </c>
      <c r="R152" s="742">
        <v>0</v>
      </c>
      <c r="S152" s="742">
        <v>0</v>
      </c>
      <c r="T152" s="742">
        <v>0</v>
      </c>
      <c r="U152" s="742">
        <v>0</v>
      </c>
      <c r="V152" s="742">
        <v>0</v>
      </c>
      <c r="W152" s="742">
        <v>0</v>
      </c>
      <c r="X152" s="742">
        <v>0</v>
      </c>
      <c r="Y152" s="742">
        <v>0</v>
      </c>
      <c r="Z152" s="742">
        <v>0</v>
      </c>
      <c r="AA152" s="742">
        <v>0</v>
      </c>
      <c r="AB152" s="742">
        <v>0</v>
      </c>
      <c r="AC152" s="742">
        <v>0</v>
      </c>
      <c r="AD152" s="742">
        <v>0</v>
      </c>
      <c r="AE152" s="742">
        <v>0</v>
      </c>
    </row>
    <row r="153" spans="1:33" s="56" customFormat="1" ht="14.25">
      <c r="A153" s="164" t="s">
        <v>78</v>
      </c>
      <c r="B153" s="164"/>
      <c r="C153" s="75"/>
      <c r="D153" s="173"/>
      <c r="E153" s="75"/>
      <c r="F153" s="75"/>
      <c r="G153" s="75"/>
      <c r="H153" s="75"/>
      <c r="I153" s="174"/>
      <c r="J153" s="175"/>
      <c r="K153" s="685">
        <v>0</v>
      </c>
      <c r="L153" s="669">
        <f t="shared" ref="L153:AE153" si="75">SUM(L150:L152)</f>
        <v>0</v>
      </c>
      <c r="M153" s="669">
        <f t="shared" si="75"/>
        <v>20000</v>
      </c>
      <c r="N153" s="669">
        <f t="shared" si="75"/>
        <v>20400</v>
      </c>
      <c r="O153" s="669">
        <f t="shared" si="75"/>
        <v>20808</v>
      </c>
      <c r="P153" s="669">
        <f t="shared" si="75"/>
        <v>21224.16</v>
      </c>
      <c r="Q153" s="669">
        <f t="shared" si="75"/>
        <v>21648.643199999999</v>
      </c>
      <c r="R153" s="669">
        <f t="shared" si="75"/>
        <v>22081.616064000002</v>
      </c>
      <c r="S153" s="669">
        <f t="shared" si="75"/>
        <v>22523.24838528</v>
      </c>
      <c r="T153" s="669">
        <f t="shared" si="75"/>
        <v>22973.7133529856</v>
      </c>
      <c r="U153" s="669">
        <f t="shared" si="75"/>
        <v>23433.187620045315</v>
      </c>
      <c r="V153" s="669">
        <f t="shared" si="75"/>
        <v>23901.851372446221</v>
      </c>
      <c r="W153" s="669">
        <f t="shared" si="75"/>
        <v>24379.888399895146</v>
      </c>
      <c r="X153" s="669">
        <f t="shared" si="75"/>
        <v>24867.48616789305</v>
      </c>
      <c r="Y153" s="669">
        <f t="shared" si="75"/>
        <v>25364.83589125091</v>
      </c>
      <c r="Z153" s="669">
        <f t="shared" si="75"/>
        <v>25872.132609075925</v>
      </c>
      <c r="AA153" s="669">
        <f t="shared" si="75"/>
        <v>26389.575261257447</v>
      </c>
      <c r="AB153" s="669">
        <f t="shared" si="75"/>
        <v>26917.366766482599</v>
      </c>
      <c r="AC153" s="669">
        <f t="shared" si="75"/>
        <v>27455.714101812249</v>
      </c>
      <c r="AD153" s="669">
        <f t="shared" si="75"/>
        <v>28004.828383848497</v>
      </c>
      <c r="AE153" s="669">
        <f t="shared" si="75"/>
        <v>28564.924951525467</v>
      </c>
    </row>
    <row r="154" spans="1:33" s="56" customFormat="1" ht="14.25">
      <c r="A154" s="164"/>
      <c r="B154" s="164"/>
      <c r="C154" s="75"/>
      <c r="D154" s="173"/>
      <c r="E154" s="75"/>
      <c r="F154" s="75"/>
      <c r="G154" s="75"/>
      <c r="H154" s="75"/>
      <c r="I154" s="174"/>
      <c r="J154" s="175"/>
      <c r="K154" s="685"/>
      <c r="L154" s="669"/>
      <c r="M154" s="669"/>
      <c r="N154" s="669"/>
      <c r="O154" s="669"/>
      <c r="P154" s="669"/>
      <c r="Q154" s="669"/>
      <c r="R154" s="669"/>
      <c r="S154" s="669"/>
      <c r="T154" s="669"/>
      <c r="U154" s="669"/>
      <c r="V154" s="669"/>
      <c r="W154" s="669"/>
      <c r="X154" s="669"/>
      <c r="Y154" s="669"/>
      <c r="Z154" s="669"/>
      <c r="AA154" s="669"/>
      <c r="AB154" s="669"/>
      <c r="AC154" s="669"/>
      <c r="AD154" s="669"/>
      <c r="AE154" s="669"/>
    </row>
    <row r="155" spans="1:33" s="56" customFormat="1" ht="14.25">
      <c r="A155" s="164" t="s">
        <v>66</v>
      </c>
      <c r="B155" s="164"/>
      <c r="C155" s="75"/>
      <c r="D155" s="173"/>
      <c r="E155" s="75"/>
      <c r="F155" s="75"/>
      <c r="G155" s="75"/>
      <c r="H155" s="75"/>
      <c r="I155" s="174"/>
      <c r="J155" s="175"/>
      <c r="K155" s="685">
        <v>0</v>
      </c>
      <c r="L155" s="669">
        <f>SUM(L141,L153)</f>
        <v>0</v>
      </c>
      <c r="M155" s="669">
        <f>SUM(M141,M147,M153)</f>
        <v>85335.846153846156</v>
      </c>
      <c r="N155" s="669">
        <f t="shared" ref="N155:AE155" si="76">SUM(N141,N147,N153)</f>
        <v>87042.563076923077</v>
      </c>
      <c r="O155" s="669">
        <f t="shared" si="76"/>
        <v>88783.41433846156</v>
      </c>
      <c r="P155" s="669">
        <f t="shared" si="76"/>
        <v>90559.082625230774</v>
      </c>
      <c r="Q155" s="669">
        <f t="shared" si="76"/>
        <v>92370.264277735376</v>
      </c>
      <c r="R155" s="669">
        <f t="shared" si="76"/>
        <v>94217.669563290081</v>
      </c>
      <c r="S155" s="669">
        <f t="shared" si="76"/>
        <v>96102.022954555898</v>
      </c>
      <c r="T155" s="669">
        <f t="shared" si="76"/>
        <v>98024.063413647003</v>
      </c>
      <c r="U155" s="669">
        <f t="shared" si="76"/>
        <v>99984.544681919942</v>
      </c>
      <c r="V155" s="669">
        <f t="shared" si="76"/>
        <v>101984.23557555837</v>
      </c>
      <c r="W155" s="669">
        <f t="shared" si="76"/>
        <v>104023.92028706953</v>
      </c>
      <c r="X155" s="669">
        <f t="shared" si="76"/>
        <v>106104.39869281092</v>
      </c>
      <c r="Y155" s="669">
        <f t="shared" si="76"/>
        <v>108226.48666666714</v>
      </c>
      <c r="Z155" s="669">
        <f t="shared" si="76"/>
        <v>110391.01640000047</v>
      </c>
      <c r="AA155" s="669">
        <f t="shared" si="76"/>
        <v>112598.8367280005</v>
      </c>
      <c r="AB155" s="669">
        <f t="shared" si="76"/>
        <v>114850.8134625605</v>
      </c>
      <c r="AC155" s="669">
        <f t="shared" si="76"/>
        <v>117147.82973181173</v>
      </c>
      <c r="AD155" s="669">
        <f t="shared" si="76"/>
        <v>119490.78632644797</v>
      </c>
      <c r="AE155" s="669">
        <f t="shared" si="76"/>
        <v>121880.60205297693</v>
      </c>
    </row>
    <row r="156" spans="1:33" s="56" customFormat="1" ht="14.25">
      <c r="A156" s="164"/>
      <c r="B156" s="164"/>
      <c r="C156" s="75"/>
      <c r="D156" s="173"/>
      <c r="E156" s="75"/>
      <c r="F156" s="75"/>
      <c r="G156" s="75"/>
      <c r="H156" s="75"/>
      <c r="I156" s="174"/>
      <c r="J156" s="175"/>
      <c r="K156" s="685"/>
      <c r="L156" s="669"/>
      <c r="M156" s="669"/>
      <c r="N156" s="669"/>
      <c r="O156" s="669"/>
      <c r="P156" s="669"/>
      <c r="Q156" s="669"/>
      <c r="R156" s="669"/>
      <c r="S156" s="669"/>
      <c r="T156" s="669"/>
      <c r="U156" s="669"/>
      <c r="V156" s="669"/>
      <c r="W156" s="669"/>
      <c r="X156" s="669"/>
      <c r="Y156" s="669"/>
      <c r="Z156" s="669"/>
      <c r="AA156" s="669"/>
      <c r="AB156" s="669"/>
      <c r="AC156" s="669"/>
      <c r="AD156" s="669"/>
      <c r="AE156" s="669"/>
    </row>
    <row r="157" spans="1:33">
      <c r="A157" s="47" t="s">
        <v>7</v>
      </c>
      <c r="B157" s="47" t="s">
        <v>7</v>
      </c>
      <c r="C157" s="78" t="s">
        <v>7</v>
      </c>
      <c r="D157" s="100"/>
      <c r="E157" s="78" t="s">
        <v>7</v>
      </c>
      <c r="F157" s="78"/>
      <c r="G157" s="78" t="s">
        <v>7</v>
      </c>
      <c r="H157" s="78"/>
      <c r="I157" s="52" t="s">
        <v>7</v>
      </c>
      <c r="J157" s="114"/>
      <c r="K157" s="673"/>
      <c r="L157" s="672"/>
      <c r="M157" s="672"/>
      <c r="N157" s="672"/>
      <c r="O157" s="672"/>
      <c r="P157" s="672"/>
      <c r="Q157" s="672"/>
      <c r="R157" s="672"/>
      <c r="S157" s="672"/>
      <c r="T157" s="672"/>
      <c r="U157" s="672"/>
      <c r="V157" s="672"/>
      <c r="W157" s="672"/>
      <c r="X157" s="672"/>
      <c r="Y157" s="672"/>
      <c r="Z157" s="672"/>
      <c r="AA157" s="672"/>
      <c r="AB157" s="672"/>
      <c r="AC157" s="672"/>
      <c r="AD157" s="672"/>
      <c r="AE157" s="672"/>
    </row>
    <row r="158" spans="1:33">
      <c r="A158" s="47"/>
      <c r="B158" s="47"/>
      <c r="C158" s="78"/>
      <c r="D158" s="100"/>
      <c r="E158" s="78"/>
      <c r="F158" s="78"/>
      <c r="G158" s="78"/>
      <c r="H158" s="78"/>
      <c r="I158" s="52"/>
      <c r="J158" s="114"/>
      <c r="K158" s="664"/>
      <c r="L158" s="666"/>
      <c r="M158" s="666"/>
      <c r="N158" s="666"/>
      <c r="O158" s="666"/>
      <c r="P158" s="666"/>
      <c r="Q158" s="666"/>
      <c r="R158" s="666"/>
      <c r="S158" s="666"/>
      <c r="T158" s="666"/>
      <c r="U158" s="666"/>
      <c r="V158" s="666"/>
      <c r="W158" s="666"/>
      <c r="X158" s="666"/>
      <c r="Y158" s="666"/>
      <c r="Z158" s="666"/>
      <c r="AA158" s="666"/>
      <c r="AB158" s="666"/>
      <c r="AC158" s="666"/>
      <c r="AD158" s="666"/>
      <c r="AE158" s="666"/>
    </row>
    <row r="159" spans="1:33" s="56" customFormat="1" ht="14.25">
      <c r="A159" s="203" t="s">
        <v>79</v>
      </c>
      <c r="B159" s="203"/>
      <c r="C159" s="204"/>
      <c r="D159" s="205"/>
      <c r="E159" s="204"/>
      <c r="F159" s="204"/>
      <c r="G159" s="204"/>
      <c r="H159" s="204"/>
      <c r="I159" s="206"/>
      <c r="J159" s="207"/>
      <c r="K159" s="675">
        <v>0</v>
      </c>
      <c r="L159" s="676">
        <f t="shared" ref="L159:AE159" si="77">SUM(L132,L155)</f>
        <v>0</v>
      </c>
      <c r="M159" s="676">
        <f t="shared" si="77"/>
        <v>139905.84615384616</v>
      </c>
      <c r="N159" s="676">
        <f t="shared" si="77"/>
        <v>143817.19107692307</v>
      </c>
      <c r="O159" s="676">
        <f t="shared" si="77"/>
        <v>146693.53489846154</v>
      </c>
      <c r="P159" s="676">
        <f t="shared" si="77"/>
        <v>149627.40559643076</v>
      </c>
      <c r="Q159" s="676">
        <f t="shared" si="77"/>
        <v>152619.95370835939</v>
      </c>
      <c r="R159" s="676">
        <f t="shared" si="77"/>
        <v>155672.35278252655</v>
      </c>
      <c r="S159" s="676">
        <f t="shared" si="77"/>
        <v>158785.7998381771</v>
      </c>
      <c r="T159" s="676">
        <f t="shared" si="77"/>
        <v>161961.51583494066</v>
      </c>
      <c r="U159" s="676">
        <f t="shared" si="77"/>
        <v>165200.74615163944</v>
      </c>
      <c r="V159" s="676">
        <f t="shared" si="77"/>
        <v>168504.76107467228</v>
      </c>
      <c r="W159" s="676">
        <f t="shared" si="77"/>
        <v>171874.85629616573</v>
      </c>
      <c r="X159" s="676">
        <f t="shared" si="77"/>
        <v>175312.35342208904</v>
      </c>
      <c r="Y159" s="676">
        <f t="shared" si="77"/>
        <v>178818.60049053084</v>
      </c>
      <c r="Z159" s="676">
        <f t="shared" si="77"/>
        <v>182394.97250034142</v>
      </c>
      <c r="AA159" s="676">
        <f t="shared" si="77"/>
        <v>186042.87195034826</v>
      </c>
      <c r="AB159" s="676">
        <f t="shared" si="77"/>
        <v>189763.72938935523</v>
      </c>
      <c r="AC159" s="676">
        <f t="shared" si="77"/>
        <v>193559.00397714233</v>
      </c>
      <c r="AD159" s="676">
        <f t="shared" si="77"/>
        <v>197430.18405668519</v>
      </c>
      <c r="AE159" s="676">
        <f t="shared" si="77"/>
        <v>201378.7877378189</v>
      </c>
      <c r="AG159" s="199"/>
    </row>
    <row r="160" spans="1:33">
      <c r="K160" s="664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</row>
    <row r="161" spans="1:33">
      <c r="A161" s="47" t="s">
        <v>7</v>
      </c>
      <c r="B161" s="47" t="s">
        <v>7</v>
      </c>
      <c r="C161" s="78" t="s">
        <v>7</v>
      </c>
      <c r="D161" s="100"/>
      <c r="E161" s="78" t="s">
        <v>7</v>
      </c>
      <c r="F161" s="78"/>
      <c r="G161" s="78" t="s">
        <v>7</v>
      </c>
      <c r="H161" s="78"/>
      <c r="I161" s="52" t="s">
        <v>7</v>
      </c>
      <c r="J161" s="114"/>
      <c r="K161" s="673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</row>
    <row r="162" spans="1:33">
      <c r="K162" s="664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G162" s="199"/>
    </row>
    <row r="163" spans="1:33" s="56" customFormat="1" ht="14.25">
      <c r="A163" s="208" t="s">
        <v>115</v>
      </c>
      <c r="B163" s="208"/>
      <c r="C163" s="208"/>
      <c r="D163" s="202"/>
      <c r="E163" s="208"/>
      <c r="F163" s="208"/>
      <c r="G163" s="208"/>
      <c r="H163" s="208"/>
      <c r="I163" s="208"/>
      <c r="J163" s="208"/>
      <c r="K163" s="678">
        <f>SUM(K153,K113)</f>
        <v>0</v>
      </c>
      <c r="L163" s="678">
        <f t="shared" ref="L163:AE163" si="78">SUM(L113,L159)</f>
        <v>367858.33333333331</v>
      </c>
      <c r="M163" s="678">
        <f t="shared" si="78"/>
        <v>905069.84615384613</v>
      </c>
      <c r="N163" s="678">
        <f t="shared" si="78"/>
        <v>924294.67107692314</v>
      </c>
      <c r="O163" s="678">
        <f t="shared" si="78"/>
        <v>942780.56449846143</v>
      </c>
      <c r="P163" s="678">
        <f t="shared" si="78"/>
        <v>961636.17578843061</v>
      </c>
      <c r="Q163" s="678">
        <f t="shared" si="78"/>
        <v>1009212.7780993994</v>
      </c>
      <c r="R163" s="678">
        <f t="shared" si="78"/>
        <v>1024860.1148710193</v>
      </c>
      <c r="S163" s="678">
        <f t="shared" si="78"/>
        <v>1045357.3171684397</v>
      </c>
      <c r="T163" s="678">
        <f t="shared" si="78"/>
        <v>1066264.4635118085</v>
      </c>
      <c r="U163" s="678">
        <f t="shared" si="78"/>
        <v>1087589.7527820447</v>
      </c>
      <c r="V163" s="678">
        <f t="shared" si="78"/>
        <v>1113732.0506276884</v>
      </c>
      <c r="W163" s="678">
        <f t="shared" si="78"/>
        <v>1131528.3787944396</v>
      </c>
      <c r="X163" s="678">
        <f t="shared" si="78"/>
        <v>1154158.9463703283</v>
      </c>
      <c r="Y163" s="678">
        <f t="shared" si="78"/>
        <v>1177242.125297735</v>
      </c>
      <c r="Z163" s="678">
        <f t="shared" si="78"/>
        <v>1200786.9678036897</v>
      </c>
      <c r="AA163" s="678">
        <f t="shared" si="78"/>
        <v>1229129.7729906016</v>
      </c>
      <c r="AB163" s="678">
        <f t="shared" si="78"/>
        <v>1249298.7613029587</v>
      </c>
      <c r="AC163" s="678">
        <f t="shared" si="78"/>
        <v>1274284.7365290178</v>
      </c>
      <c r="AD163" s="678">
        <f t="shared" si="78"/>
        <v>1299770.4312595986</v>
      </c>
      <c r="AE163" s="678">
        <f t="shared" si="78"/>
        <v>1325765.8398847904</v>
      </c>
      <c r="AG163" s="199"/>
    </row>
    <row r="164" spans="1:33">
      <c r="K164" s="664"/>
      <c r="L164" s="666"/>
      <c r="M164" s="666"/>
      <c r="N164" s="666"/>
      <c r="O164" s="666"/>
      <c r="P164" s="666"/>
      <c r="Q164" s="666"/>
      <c r="R164" s="666"/>
      <c r="S164" s="666"/>
      <c r="T164" s="666"/>
      <c r="U164" s="666"/>
      <c r="V164" s="666"/>
      <c r="W164" s="666"/>
      <c r="X164" s="666"/>
      <c r="Y164" s="666"/>
      <c r="Z164" s="666"/>
      <c r="AA164" s="666"/>
      <c r="AB164" s="666"/>
      <c r="AC164" s="666"/>
      <c r="AD164" s="666"/>
      <c r="AE164" s="666"/>
      <c r="AG164" s="199"/>
    </row>
    <row r="165" spans="1:33">
      <c r="A165" s="251"/>
      <c r="B165" s="251"/>
      <c r="C165" s="251"/>
      <c r="D165" s="259"/>
      <c r="E165" s="251"/>
      <c r="F165" s="251"/>
      <c r="G165" s="251"/>
      <c r="H165" s="251"/>
      <c r="I165" s="251"/>
      <c r="J165" s="251"/>
      <c r="K165" s="679"/>
      <c r="L165" s="680"/>
      <c r="M165" s="680"/>
      <c r="N165" s="680"/>
      <c r="O165" s="680"/>
      <c r="P165" s="680"/>
      <c r="Q165" s="680"/>
      <c r="R165" s="680"/>
      <c r="S165" s="680"/>
      <c r="T165" s="680"/>
      <c r="U165" s="680"/>
      <c r="V165" s="680"/>
      <c r="W165" s="680"/>
      <c r="X165" s="680"/>
      <c r="Y165" s="680"/>
      <c r="Z165" s="680"/>
      <c r="AA165" s="680"/>
      <c r="AB165" s="680"/>
      <c r="AC165" s="680"/>
      <c r="AD165" s="680"/>
      <c r="AE165" s="680"/>
      <c r="AG165" s="199"/>
    </row>
    <row r="166" spans="1:33">
      <c r="K166" s="664"/>
      <c r="L166" s="666"/>
      <c r="M166" s="666"/>
      <c r="N166" s="666"/>
      <c r="O166" s="666"/>
      <c r="P166" s="666"/>
      <c r="Q166" s="666"/>
      <c r="R166" s="666"/>
      <c r="S166" s="666"/>
      <c r="T166" s="666"/>
      <c r="U166" s="666"/>
      <c r="V166" s="666"/>
      <c r="W166" s="666"/>
      <c r="X166" s="666"/>
      <c r="Y166" s="666"/>
      <c r="Z166" s="666"/>
      <c r="AA166" s="666"/>
      <c r="AB166" s="666"/>
      <c r="AC166" s="666"/>
      <c r="AD166" s="666"/>
      <c r="AE166" s="666"/>
      <c r="AG166" s="199"/>
    </row>
    <row r="167" spans="1:33">
      <c r="A167" s="249" t="s">
        <v>84</v>
      </c>
      <c r="B167" s="281"/>
      <c r="C167" s="281"/>
      <c r="D167" s="177"/>
      <c r="E167" s="281"/>
      <c r="F167" s="281"/>
      <c r="G167" s="281"/>
      <c r="H167" s="281"/>
      <c r="I167" s="281"/>
      <c r="J167" s="281"/>
      <c r="K167" s="681"/>
      <c r="L167" s="682"/>
      <c r="M167" s="682"/>
      <c r="N167" s="682"/>
      <c r="O167" s="682"/>
      <c r="P167" s="682"/>
      <c r="Q167" s="682"/>
      <c r="R167" s="682"/>
      <c r="S167" s="682"/>
      <c r="T167" s="682"/>
      <c r="U167" s="682"/>
      <c r="V167" s="682"/>
      <c r="W167" s="682"/>
      <c r="X167" s="682"/>
      <c r="Y167" s="682"/>
      <c r="Z167" s="682"/>
      <c r="AA167" s="682"/>
      <c r="AB167" s="682"/>
      <c r="AC167" s="682"/>
      <c r="AD167" s="682"/>
      <c r="AE167" s="682"/>
      <c r="AG167" s="199"/>
    </row>
    <row r="168" spans="1:33" s="252" customFormat="1">
      <c r="A168" s="257"/>
      <c r="D168" s="186"/>
      <c r="K168" s="664"/>
      <c r="L168" s="671"/>
      <c r="M168" s="671"/>
      <c r="N168" s="671"/>
      <c r="O168" s="671"/>
      <c r="P168" s="671"/>
      <c r="Q168" s="671"/>
      <c r="R168" s="671"/>
      <c r="S168" s="671"/>
      <c r="T168" s="671"/>
      <c r="U168" s="671"/>
      <c r="V168" s="671"/>
      <c r="W168" s="671"/>
      <c r="X168" s="671"/>
      <c r="Y168" s="671"/>
      <c r="Z168" s="671"/>
      <c r="AA168" s="671"/>
      <c r="AB168" s="671"/>
      <c r="AC168" s="671"/>
      <c r="AD168" s="671"/>
      <c r="AE168" s="671"/>
      <c r="AG168" s="363"/>
    </row>
    <row r="169" spans="1:33">
      <c r="A169" s="663" t="str">
        <f>'OPEX - Concept C2 - Carnival'!A169</f>
        <v>Investment (cash)</v>
      </c>
      <c r="B169" s="663"/>
      <c r="C169" s="663"/>
      <c r="D169" s="663"/>
      <c r="E169" s="663"/>
      <c r="F169" s="663"/>
      <c r="G169" s="663"/>
      <c r="H169" s="663"/>
      <c r="I169" s="663"/>
      <c r="J169" s="663"/>
      <c r="K169" s="883"/>
      <c r="L169" s="663"/>
      <c r="M169" s="663"/>
      <c r="N169" s="663"/>
      <c r="O169" s="663"/>
      <c r="P169" s="663"/>
      <c r="Q169" s="663"/>
      <c r="R169" s="663"/>
      <c r="S169" s="663"/>
      <c r="T169" s="663"/>
      <c r="U169" s="663"/>
      <c r="V169" s="663"/>
      <c r="W169" s="663"/>
      <c r="X169" s="663"/>
      <c r="Y169" s="663"/>
      <c r="Z169" s="663"/>
      <c r="AA169" s="663"/>
      <c r="AB169" s="663"/>
      <c r="AC169" s="663"/>
      <c r="AD169" s="663"/>
      <c r="AE169" s="663"/>
      <c r="AG169" s="199"/>
    </row>
    <row r="170" spans="1:33">
      <c r="A170" s="663" t="str">
        <f>'OPEX - Concept C2 - Carnival'!A170</f>
        <v xml:space="preserve">     Site Maintenance</v>
      </c>
      <c r="B170" s="663"/>
      <c r="C170" s="663"/>
      <c r="D170" s="663"/>
      <c r="E170" s="663"/>
      <c r="F170" s="663"/>
      <c r="G170" s="663"/>
      <c r="H170" s="663"/>
      <c r="I170" s="663"/>
      <c r="J170" s="663"/>
      <c r="K170" s="883">
        <f>'OPEX - Concept C2 - Carnival'!K170</f>
        <v>0</v>
      </c>
      <c r="L170" s="663">
        <f>'OPEX - Concept C2 - Carnival'!L170</f>
        <v>0</v>
      </c>
      <c r="M170" s="663">
        <f>'OPEX - Concept C2 - Carnival'!M170</f>
        <v>96205</v>
      </c>
      <c r="N170" s="663">
        <f>'OPEX - Concept C2 - Carnival'!N170</f>
        <v>98129.1</v>
      </c>
      <c r="O170" s="663">
        <f>'OPEX - Concept C2 - Carnival'!O170</f>
        <v>100091.682</v>
      </c>
      <c r="P170" s="663">
        <f>'OPEX - Concept C2 - Carnival'!P170</f>
        <v>102093.51564</v>
      </c>
      <c r="Q170" s="663">
        <f>'OPEX - Concept C2 - Carnival'!Q170</f>
        <v>104135.3859528</v>
      </c>
      <c r="R170" s="663">
        <f>'OPEX - Concept C2 - Carnival'!R170</f>
        <v>106218.093671856</v>
      </c>
      <c r="S170" s="663">
        <f>'OPEX - Concept C2 - Carnival'!S170</f>
        <v>108342.45554529312</v>
      </c>
      <c r="T170" s="663">
        <f>'OPEX - Concept C2 - Carnival'!T170</f>
        <v>110509.30465619899</v>
      </c>
      <c r="U170" s="663">
        <f>'OPEX - Concept C2 - Carnival'!U170</f>
        <v>112719.49074932297</v>
      </c>
      <c r="V170" s="663">
        <f>'OPEX - Concept C2 - Carnival'!V170</f>
        <v>114973.88056430944</v>
      </c>
      <c r="W170" s="663">
        <f>'OPEX - Concept C2 - Carnival'!W170</f>
        <v>117273.35817559563</v>
      </c>
      <c r="X170" s="663">
        <f>'OPEX - Concept C2 - Carnival'!X170</f>
        <v>119618.82533910754</v>
      </c>
      <c r="Y170" s="663">
        <f>'OPEX - Concept C2 - Carnival'!Y170</f>
        <v>122011.20184588969</v>
      </c>
      <c r="Z170" s="663">
        <f>'OPEX - Concept C2 - Carnival'!Z170</f>
        <v>124451.42588280747</v>
      </c>
      <c r="AA170" s="663">
        <f>'OPEX - Concept C2 - Carnival'!AA170</f>
        <v>126940.45440046364</v>
      </c>
      <c r="AB170" s="663">
        <f>'OPEX - Concept C2 - Carnival'!AB170</f>
        <v>129479.26348847292</v>
      </c>
      <c r="AC170" s="663">
        <f>'OPEX - Concept C2 - Carnival'!AC170</f>
        <v>132068.84875824238</v>
      </c>
      <c r="AD170" s="663">
        <f>'OPEX - Concept C2 - Carnival'!AD170</f>
        <v>134710.22573340722</v>
      </c>
      <c r="AE170" s="663">
        <f>'OPEX - Concept C2 - Carnival'!AE170</f>
        <v>137404.43024807537</v>
      </c>
      <c r="AG170" s="199"/>
    </row>
    <row r="171" spans="1:33" s="162" customFormat="1">
      <c r="A171" s="663"/>
      <c r="B171" s="663"/>
      <c r="C171" s="663"/>
      <c r="D171" s="663"/>
      <c r="E171" s="663"/>
      <c r="F171" s="663"/>
      <c r="G171" s="663"/>
      <c r="H171" s="663"/>
      <c r="I171" s="663"/>
      <c r="J171" s="663"/>
      <c r="K171" s="883"/>
      <c r="L171" s="663"/>
      <c r="M171" s="663"/>
      <c r="N171" s="663"/>
      <c r="O171" s="663"/>
      <c r="P171" s="663"/>
      <c r="Q171" s="663"/>
      <c r="R171" s="663"/>
      <c r="S171" s="663"/>
      <c r="T171" s="663"/>
      <c r="U171" s="663"/>
      <c r="V171" s="663"/>
      <c r="W171" s="663"/>
      <c r="X171" s="663"/>
      <c r="Y171" s="663"/>
      <c r="Z171" s="663"/>
      <c r="AA171" s="663"/>
      <c r="AB171" s="663"/>
      <c r="AC171" s="663"/>
      <c r="AD171" s="663"/>
      <c r="AE171" s="663"/>
      <c r="AG171" s="786"/>
    </row>
    <row r="172" spans="1:33" s="162" customFormat="1">
      <c r="A172" s="663" t="str">
        <f>'OPEX - Concept C2 - Carnival'!A172</f>
        <v>Debt Service (Site Demolition, Design, Development/Preparation &amp; Shuttles)</v>
      </c>
      <c r="B172" s="663"/>
      <c r="C172" s="663"/>
      <c r="D172" s="663"/>
      <c r="E172" s="663"/>
      <c r="F172" s="663"/>
      <c r="G172" s="663"/>
      <c r="H172" s="663"/>
      <c r="I172" s="663"/>
      <c r="J172" s="663"/>
      <c r="K172" s="883">
        <f>'OPEX - Concept C2 - Carnival'!K172</f>
        <v>0</v>
      </c>
      <c r="L172" s="663">
        <f>'OPEX - Concept C2 - Carnival'!L172</f>
        <v>676285.92</v>
      </c>
      <c r="M172" s="663">
        <f>'OPEX - Concept C2 - Carnival'!M172</f>
        <v>676285.92</v>
      </c>
      <c r="N172" s="663">
        <f>'OPEX - Concept C2 - Carnival'!N172</f>
        <v>676285.92</v>
      </c>
      <c r="O172" s="663">
        <f>'OPEX - Concept C2 - Carnival'!O172</f>
        <v>676285.92</v>
      </c>
      <c r="P172" s="663">
        <f>'OPEX - Concept C2 - Carnival'!P172</f>
        <v>676285.92</v>
      </c>
      <c r="Q172" s="663">
        <f>'OPEX - Concept C2 - Carnival'!Q172</f>
        <v>676285.92</v>
      </c>
      <c r="R172" s="663">
        <f>'OPEX - Concept C2 - Carnival'!R172</f>
        <v>676285.92</v>
      </c>
      <c r="S172" s="663">
        <f>'OPEX - Concept C2 - Carnival'!S172</f>
        <v>676285.92</v>
      </c>
      <c r="T172" s="663">
        <f>'OPEX - Concept C2 - Carnival'!T172</f>
        <v>676285.92</v>
      </c>
      <c r="U172" s="663">
        <f>'OPEX - Concept C2 - Carnival'!U172</f>
        <v>676285.92</v>
      </c>
      <c r="V172" s="663">
        <f>'OPEX - Concept C2 - Carnival'!V172</f>
        <v>676285.92</v>
      </c>
      <c r="W172" s="663">
        <f>'OPEX - Concept C2 - Carnival'!W172</f>
        <v>676285.92</v>
      </c>
      <c r="X172" s="663">
        <f>'OPEX - Concept C2 - Carnival'!X172</f>
        <v>676285.92</v>
      </c>
      <c r="Y172" s="663">
        <f>'OPEX - Concept C2 - Carnival'!Y172</f>
        <v>676285.92</v>
      </c>
      <c r="Z172" s="663">
        <f>'OPEX - Concept C2 - Carnival'!Z172</f>
        <v>676285.92</v>
      </c>
      <c r="AA172" s="663">
        <f>'OPEX - Concept C2 - Carnival'!AA172</f>
        <v>676285.92</v>
      </c>
      <c r="AB172" s="663">
        <f>'OPEX - Concept C2 - Carnival'!AB172</f>
        <v>676285.92</v>
      </c>
      <c r="AC172" s="663">
        <f>'OPEX - Concept C2 - Carnival'!AC172</f>
        <v>676285.92</v>
      </c>
      <c r="AD172" s="663">
        <f>'OPEX - Concept C2 - Carnival'!AD172</f>
        <v>676285.92</v>
      </c>
      <c r="AE172" s="663">
        <f>'OPEX - Concept C2 - Carnival'!AE172</f>
        <v>676285.92</v>
      </c>
    </row>
    <row r="173" spans="1:33" s="702" customFormat="1">
      <c r="A173" s="341" t="s">
        <v>315</v>
      </c>
      <c r="B173" s="701"/>
      <c r="C173" s="703"/>
      <c r="D173" s="704"/>
      <c r="E173" s="705"/>
      <c r="F173" s="705"/>
      <c r="G173" s="705"/>
      <c r="H173" s="705"/>
      <c r="I173" s="706"/>
      <c r="J173" s="707"/>
      <c r="K173" s="699">
        <v>0</v>
      </c>
      <c r="L173" s="700">
        <v>0</v>
      </c>
      <c r="M173" s="700">
        <v>0</v>
      </c>
      <c r="N173" s="700">
        <v>0</v>
      </c>
      <c r="O173" s="700">
        <v>0</v>
      </c>
      <c r="P173" s="700">
        <v>0</v>
      </c>
      <c r="Q173" s="700">
        <v>0</v>
      </c>
      <c r="R173" s="700">
        <v>0</v>
      </c>
      <c r="S173" s="700">
        <v>0</v>
      </c>
      <c r="T173" s="700">
        <v>0</v>
      </c>
      <c r="U173" s="700">
        <v>0</v>
      </c>
      <c r="V173" s="700">
        <v>0</v>
      </c>
      <c r="W173" s="700">
        <v>0</v>
      </c>
      <c r="X173" s="700">
        <v>0</v>
      </c>
      <c r="Y173" s="700">
        <v>0</v>
      </c>
      <c r="Z173" s="700">
        <v>0</v>
      </c>
      <c r="AA173" s="700">
        <v>0</v>
      </c>
      <c r="AB173" s="700">
        <v>0</v>
      </c>
      <c r="AC173" s="700">
        <v>0</v>
      </c>
      <c r="AD173" s="700">
        <v>0</v>
      </c>
      <c r="AE173" s="700">
        <v>0</v>
      </c>
      <c r="AG173" s="708"/>
    </row>
    <row r="174" spans="1:33">
      <c r="A174" s="180" t="s">
        <v>316</v>
      </c>
      <c r="B174" s="180"/>
      <c r="C174" s="180"/>
      <c r="D174" s="116"/>
      <c r="E174" s="180"/>
      <c r="F174" s="180"/>
      <c r="G174" s="180"/>
      <c r="H174" s="180"/>
      <c r="I174" s="180"/>
      <c r="J174" s="180"/>
      <c r="K174" s="505">
        <v>0</v>
      </c>
      <c r="L174" s="506">
        <v>246000</v>
      </c>
      <c r="M174" s="506">
        <v>246000</v>
      </c>
      <c r="N174" s="506">
        <v>246000</v>
      </c>
      <c r="O174" s="506">
        <v>246000</v>
      </c>
      <c r="P174" s="506">
        <v>246000</v>
      </c>
      <c r="Q174" s="506">
        <v>246000</v>
      </c>
      <c r="R174" s="506">
        <v>246000</v>
      </c>
      <c r="S174" s="506">
        <v>246000</v>
      </c>
      <c r="T174" s="506">
        <v>246000</v>
      </c>
      <c r="U174" s="506">
        <v>246000</v>
      </c>
      <c r="V174" s="506">
        <v>246000</v>
      </c>
      <c r="W174" s="506">
        <v>246000</v>
      </c>
      <c r="X174" s="506">
        <v>246000</v>
      </c>
      <c r="Y174" s="506">
        <v>246000</v>
      </c>
      <c r="Z174" s="506">
        <v>246000</v>
      </c>
      <c r="AA174" s="506">
        <v>246000</v>
      </c>
      <c r="AB174" s="506">
        <v>246000</v>
      </c>
      <c r="AC174" s="506">
        <v>246000</v>
      </c>
      <c r="AD174" s="506">
        <v>246000</v>
      </c>
      <c r="AE174" s="506">
        <v>246000</v>
      </c>
      <c r="AG174" s="199"/>
    </row>
    <row r="175" spans="1:33" s="56" customFormat="1" ht="14.25">
      <c r="A175" s="56" t="s">
        <v>134</v>
      </c>
      <c r="D175" s="173"/>
      <c r="K175" s="524">
        <f t="shared" ref="K175:AE175" si="79">SUM(K169:K174)</f>
        <v>0</v>
      </c>
      <c r="L175" s="525">
        <f t="shared" si="79"/>
        <v>922285.92</v>
      </c>
      <c r="M175" s="525">
        <f t="shared" si="79"/>
        <v>1018490.92</v>
      </c>
      <c r="N175" s="525">
        <f t="shared" si="79"/>
        <v>1020415.02</v>
      </c>
      <c r="O175" s="525">
        <f t="shared" si="79"/>
        <v>1022377.6020000001</v>
      </c>
      <c r="P175" s="525">
        <f t="shared" si="79"/>
        <v>1024379.43564</v>
      </c>
      <c r="Q175" s="525">
        <f t="shared" si="79"/>
        <v>1026421.3059528001</v>
      </c>
      <c r="R175" s="525">
        <f t="shared" si="79"/>
        <v>1028504.013671856</v>
      </c>
      <c r="S175" s="525">
        <f t="shared" si="79"/>
        <v>1030628.3755452932</v>
      </c>
      <c r="T175" s="525">
        <f t="shared" si="79"/>
        <v>1032795.224656199</v>
      </c>
      <c r="U175" s="525">
        <f t="shared" si="79"/>
        <v>1035005.410749323</v>
      </c>
      <c r="V175" s="525">
        <f t="shared" si="79"/>
        <v>1037259.8005643095</v>
      </c>
      <c r="W175" s="525">
        <f t="shared" si="79"/>
        <v>1039559.2781755957</v>
      </c>
      <c r="X175" s="525">
        <f t="shared" si="79"/>
        <v>1041904.7453391076</v>
      </c>
      <c r="Y175" s="525">
        <f t="shared" si="79"/>
        <v>1044297.1218458897</v>
      </c>
      <c r="Z175" s="525">
        <f t="shared" si="79"/>
        <v>1046737.3458828075</v>
      </c>
      <c r="AA175" s="525">
        <f t="shared" si="79"/>
        <v>1049226.3744004637</v>
      </c>
      <c r="AB175" s="525">
        <f t="shared" si="79"/>
        <v>1051765.1834884728</v>
      </c>
      <c r="AC175" s="525">
        <f t="shared" si="79"/>
        <v>1054354.7687582425</v>
      </c>
      <c r="AD175" s="525">
        <f t="shared" si="79"/>
        <v>1056996.1457334072</v>
      </c>
      <c r="AE175" s="525">
        <f t="shared" si="79"/>
        <v>1059690.3502480756</v>
      </c>
      <c r="AG175" s="199"/>
    </row>
    <row r="176" spans="1:33">
      <c r="K176" s="683"/>
      <c r="L176" s="666"/>
      <c r="M176" s="666"/>
      <c r="N176" s="666"/>
      <c r="O176" s="666"/>
      <c r="P176" s="666"/>
      <c r="Q176" s="666"/>
      <c r="R176" s="666"/>
      <c r="S176" s="666"/>
      <c r="T176" s="666"/>
      <c r="U176" s="666"/>
      <c r="V176" s="666"/>
      <c r="W176" s="666"/>
      <c r="X176" s="666"/>
      <c r="Y176" s="666"/>
      <c r="Z176" s="666"/>
      <c r="AA176" s="666"/>
      <c r="AB176" s="666"/>
      <c r="AC176" s="666"/>
      <c r="AD176" s="666"/>
      <c r="AE176" s="666"/>
      <c r="AG176" s="199"/>
    </row>
    <row r="177" spans="1:33" s="56" customFormat="1" ht="14.25">
      <c r="A177" s="208" t="s">
        <v>86</v>
      </c>
      <c r="B177" s="718">
        <f>SUM(L177:AE177)</f>
        <v>20643094.342651844</v>
      </c>
      <c r="C177" s="208"/>
      <c r="D177" s="202"/>
      <c r="E177" s="208"/>
      <c r="F177" s="208"/>
      <c r="G177" s="208"/>
      <c r="H177" s="208"/>
      <c r="I177" s="208"/>
      <c r="J177" s="208"/>
      <c r="K177" s="678">
        <f>SUM(K170:K172)</f>
        <v>0</v>
      </c>
      <c r="L177" s="678">
        <f>L175</f>
        <v>922285.92</v>
      </c>
      <c r="M177" s="678">
        <f t="shared" ref="M177:AE177" si="80">M175</f>
        <v>1018490.92</v>
      </c>
      <c r="N177" s="678">
        <f t="shared" si="80"/>
        <v>1020415.02</v>
      </c>
      <c r="O177" s="678">
        <f t="shared" si="80"/>
        <v>1022377.6020000001</v>
      </c>
      <c r="P177" s="678">
        <f t="shared" si="80"/>
        <v>1024379.43564</v>
      </c>
      <c r="Q177" s="678">
        <f t="shared" si="80"/>
        <v>1026421.3059528001</v>
      </c>
      <c r="R177" s="678">
        <f t="shared" si="80"/>
        <v>1028504.013671856</v>
      </c>
      <c r="S177" s="678">
        <f t="shared" si="80"/>
        <v>1030628.3755452932</v>
      </c>
      <c r="T177" s="678">
        <f t="shared" si="80"/>
        <v>1032795.224656199</v>
      </c>
      <c r="U177" s="678">
        <f t="shared" si="80"/>
        <v>1035005.410749323</v>
      </c>
      <c r="V177" s="678">
        <f t="shared" si="80"/>
        <v>1037259.8005643095</v>
      </c>
      <c r="W177" s="678">
        <f t="shared" si="80"/>
        <v>1039559.2781755957</v>
      </c>
      <c r="X177" s="678">
        <f t="shared" si="80"/>
        <v>1041904.7453391076</v>
      </c>
      <c r="Y177" s="678">
        <f t="shared" si="80"/>
        <v>1044297.1218458897</v>
      </c>
      <c r="Z177" s="678">
        <f t="shared" si="80"/>
        <v>1046737.3458828075</v>
      </c>
      <c r="AA177" s="678">
        <f t="shared" si="80"/>
        <v>1049226.3744004637</v>
      </c>
      <c r="AB177" s="678">
        <f t="shared" si="80"/>
        <v>1051765.1834884728</v>
      </c>
      <c r="AC177" s="678">
        <f t="shared" si="80"/>
        <v>1054354.7687582425</v>
      </c>
      <c r="AD177" s="678">
        <f t="shared" si="80"/>
        <v>1056996.1457334072</v>
      </c>
      <c r="AE177" s="678">
        <f t="shared" si="80"/>
        <v>1059690.3502480756</v>
      </c>
      <c r="AG177" s="199"/>
    </row>
    <row r="178" spans="1:33">
      <c r="K178" s="662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1"/>
      <c r="Y178" s="201"/>
      <c r="Z178" s="201"/>
      <c r="AA178" s="201"/>
      <c r="AB178" s="201"/>
      <c r="AC178" s="201"/>
      <c r="AD178" s="201"/>
      <c r="AE178" s="201"/>
    </row>
    <row r="179" spans="1:33">
      <c r="A179" s="251"/>
      <c r="B179" s="251"/>
      <c r="C179" s="251"/>
      <c r="D179" s="259"/>
      <c r="E179" s="251"/>
      <c r="F179" s="251"/>
      <c r="G179" s="251"/>
      <c r="H179" s="251"/>
      <c r="I179" s="251"/>
      <c r="J179" s="251"/>
      <c r="K179" s="324"/>
      <c r="L179" s="325"/>
      <c r="M179" s="325"/>
      <c r="N179" s="325"/>
      <c r="O179" s="325"/>
      <c r="P179" s="325"/>
      <c r="Q179" s="325"/>
      <c r="R179" s="325"/>
      <c r="S179" s="325"/>
      <c r="T179" s="325"/>
      <c r="U179" s="325"/>
      <c r="V179" s="325"/>
      <c r="W179" s="325"/>
      <c r="X179" s="325"/>
      <c r="Y179" s="325"/>
      <c r="Z179" s="325"/>
      <c r="AA179" s="325"/>
      <c r="AB179" s="325"/>
      <c r="AC179" s="325"/>
      <c r="AD179" s="325"/>
      <c r="AE179" s="325"/>
    </row>
    <row r="180" spans="1:33">
      <c r="K180" s="322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</row>
    <row r="181" spans="1:33">
      <c r="A181"/>
      <c r="K181" s="322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</row>
    <row r="182" spans="1:33">
      <c r="A182"/>
      <c r="K182" s="322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  <c r="AA182" s="201"/>
      <c r="AB182" s="201"/>
      <c r="AC182" s="201"/>
      <c r="AD182" s="201"/>
      <c r="AE182" s="201"/>
    </row>
    <row r="183" spans="1:33">
      <c r="K183" s="322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</row>
    <row r="184" spans="1:33">
      <c r="K184" s="322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  <c r="AA184" s="201"/>
      <c r="AB184" s="201"/>
      <c r="AC184" s="201"/>
      <c r="AD184" s="201"/>
      <c r="AE184" s="201"/>
    </row>
    <row r="185" spans="1:33">
      <c r="K185" s="322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</row>
    <row r="186" spans="1:33">
      <c r="K186" s="322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</row>
    <row r="187" spans="1:33">
      <c r="K187" s="322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</row>
    <row r="188" spans="1:33">
      <c r="K188" s="322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</row>
    <row r="189" spans="1:33">
      <c r="K189" s="322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</row>
    <row r="190" spans="1:33">
      <c r="K190" s="322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</row>
    <row r="191" spans="1:33">
      <c r="K191" s="322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</row>
    <row r="192" spans="1:33">
      <c r="K192" s="322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</row>
    <row r="193" spans="11:31">
      <c r="K193" s="322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201"/>
      <c r="AE193" s="201"/>
    </row>
    <row r="194" spans="11:31">
      <c r="K194" s="322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1"/>
      <c r="Z194" s="201"/>
      <c r="AA194" s="201"/>
      <c r="AB194" s="201"/>
      <c r="AC194" s="201"/>
      <c r="AD194" s="201"/>
      <c r="AE194" s="201"/>
    </row>
  </sheetData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FD194"/>
  <sheetViews>
    <sheetView topLeftCell="A79" zoomScale="70" zoomScaleNormal="70" workbookViewId="0">
      <selection activeCell="G89" sqref="G89"/>
    </sheetView>
  </sheetViews>
  <sheetFormatPr defaultColWidth="9" defaultRowHeight="16.5"/>
  <cols>
    <col min="1" max="1" width="45.625" style="33" customWidth="1"/>
    <col min="2" max="2" width="18.875" style="33" bestFit="1" customWidth="1"/>
    <col min="3" max="3" width="18.125" style="33" bestFit="1" customWidth="1"/>
    <col min="4" max="4" width="16.25" style="109" bestFit="1" customWidth="1"/>
    <col min="5" max="5" width="13.125" style="33" bestFit="1" customWidth="1"/>
    <col min="6" max="6" width="20.5" style="33" bestFit="1" customWidth="1"/>
    <col min="7" max="7" width="20.25" style="33" bestFit="1" customWidth="1"/>
    <col min="8" max="8" width="26.75" style="33" bestFit="1" customWidth="1"/>
    <col min="9" max="9" width="12.125" style="33" bestFit="1" customWidth="1"/>
    <col min="10" max="10" width="13.875" style="33" bestFit="1" customWidth="1"/>
    <col min="11" max="11" width="7.75" style="166" bestFit="1" customWidth="1"/>
    <col min="12" max="13" width="17.5" style="33" bestFit="1" customWidth="1"/>
    <col min="14" max="15" width="17.125" style="33" bestFit="1" customWidth="1"/>
    <col min="16" max="18" width="17.5" style="33" bestFit="1" customWidth="1"/>
    <col min="19" max="20" width="17.125" style="33" bestFit="1" customWidth="1"/>
    <col min="21" max="21" width="17.5" style="33" bestFit="1" customWidth="1"/>
    <col min="22" max="23" width="17.125" style="33" bestFit="1" customWidth="1"/>
    <col min="24" max="31" width="17.5" style="33" bestFit="1" customWidth="1"/>
    <col min="32" max="32" width="22.625" style="33" bestFit="1" customWidth="1"/>
    <col min="33" max="33" width="12.625" style="33" bestFit="1" customWidth="1"/>
    <col min="34" max="16384" width="9" style="33"/>
  </cols>
  <sheetData>
    <row r="1" spans="1:31" ht="18.75" thickBot="1">
      <c r="A1" s="11" t="str">
        <f>Intro!A1</f>
        <v>Town of Bar Harbor</v>
      </c>
      <c r="B1" s="13"/>
      <c r="C1" s="13"/>
      <c r="D1" s="99"/>
      <c r="E1" s="14"/>
      <c r="F1" s="14"/>
      <c r="G1" s="34"/>
      <c r="H1" s="34"/>
      <c r="I1" s="34"/>
      <c r="J1" s="34"/>
      <c r="K1" s="16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</row>
    <row r="2" spans="1:31" ht="17.25" thickBot="1">
      <c r="A2" s="380" t="str">
        <f>Intro!A2</f>
        <v>Ferry Property Business Plan</v>
      </c>
      <c r="B2" s="13"/>
      <c r="C2" s="13"/>
      <c r="D2" s="99"/>
      <c r="E2" s="14"/>
      <c r="F2" s="14"/>
      <c r="G2" s="34"/>
      <c r="H2" s="34"/>
      <c r="I2" s="34"/>
      <c r="J2" s="34"/>
      <c r="K2" s="16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</row>
    <row r="3" spans="1:31" s="392" customFormat="1" ht="14.25" thickBot="1">
      <c r="A3" s="384" t="str">
        <f>Intro!A3</f>
        <v>05.23.2018</v>
      </c>
      <c r="B3" s="2"/>
      <c r="C3" s="382"/>
      <c r="D3" s="393"/>
      <c r="E3" s="385"/>
      <c r="F3" s="385"/>
      <c r="G3" s="389"/>
      <c r="H3" s="389"/>
      <c r="I3" s="389"/>
      <c r="J3" s="389"/>
      <c r="K3" s="390"/>
      <c r="L3" s="391"/>
      <c r="M3" s="391"/>
      <c r="N3" s="391"/>
      <c r="O3" s="391"/>
      <c r="P3" s="391"/>
      <c r="Q3" s="391"/>
      <c r="R3" s="391"/>
      <c r="S3" s="391"/>
      <c r="T3" s="391"/>
      <c r="U3" s="391"/>
      <c r="V3" s="391"/>
      <c r="W3" s="391"/>
      <c r="X3" s="391"/>
      <c r="Y3" s="391"/>
      <c r="Z3" s="391"/>
      <c r="AA3" s="391"/>
      <c r="AB3" s="391"/>
      <c r="AC3" s="391"/>
      <c r="AD3" s="391"/>
      <c r="AE3" s="391"/>
    </row>
    <row r="4" spans="1:31" s="392" customFormat="1" ht="13.5">
      <c r="A4" s="384" t="str">
        <f ca="1">Intro!A4</f>
        <v>Town of Bar Harbor</v>
      </c>
      <c r="B4" s="382"/>
      <c r="C4" s="382"/>
      <c r="D4" s="393"/>
      <c r="E4" s="383">
        <f ca="1">NOW()</f>
        <v>43242.835659143515</v>
      </c>
      <c r="F4" s="383"/>
      <c r="G4" s="389"/>
      <c r="H4" s="389"/>
      <c r="I4" s="389"/>
      <c r="J4" s="389"/>
      <c r="K4" s="390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  <c r="W4" s="391"/>
      <c r="X4" s="391"/>
      <c r="Y4" s="391"/>
      <c r="Z4" s="391"/>
      <c r="AA4" s="391"/>
      <c r="AB4" s="391"/>
      <c r="AC4" s="391"/>
      <c r="AD4" s="391"/>
      <c r="AE4" s="391"/>
    </row>
    <row r="5" spans="1:31">
      <c r="A5" s="231" t="s">
        <v>342</v>
      </c>
      <c r="B5" s="231"/>
      <c r="C5" s="232"/>
      <c r="D5" s="233"/>
      <c r="E5" s="232"/>
      <c r="F5" s="232"/>
      <c r="G5" s="234"/>
      <c r="H5" s="234"/>
      <c r="I5" s="234"/>
      <c r="J5" s="234"/>
      <c r="K5" s="235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1:31">
      <c r="A6" s="237"/>
      <c r="B6" s="237"/>
      <c r="C6" s="237"/>
      <c r="D6" s="238"/>
      <c r="E6" s="237"/>
      <c r="F6" s="237"/>
      <c r="G6" s="237"/>
      <c r="H6" s="237"/>
      <c r="I6" s="237"/>
      <c r="J6" s="237"/>
      <c r="K6" s="659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</row>
    <row r="7" spans="1:31" ht="48.75" customHeight="1">
      <c r="A7" s="239"/>
      <c r="B7" s="240" t="s">
        <v>45</v>
      </c>
      <c r="C7" s="241" t="s">
        <v>46</v>
      </c>
      <c r="D7" s="242" t="s">
        <v>47</v>
      </c>
      <c r="E7" s="240" t="s">
        <v>21</v>
      </c>
      <c r="F7" s="240" t="s">
        <v>48</v>
      </c>
      <c r="G7" s="240" t="s">
        <v>49</v>
      </c>
      <c r="H7" s="240" t="s">
        <v>59</v>
      </c>
      <c r="I7" s="240" t="s">
        <v>22</v>
      </c>
      <c r="J7" s="240" t="s">
        <v>50</v>
      </c>
      <c r="K7" s="243">
        <v>2018</v>
      </c>
      <c r="L7" s="243">
        <v>2019</v>
      </c>
      <c r="M7" s="243">
        <v>2020</v>
      </c>
      <c r="N7" s="243">
        <v>2021</v>
      </c>
      <c r="O7" s="243">
        <v>2022</v>
      </c>
      <c r="P7" s="243">
        <v>2023</v>
      </c>
      <c r="Q7" s="243">
        <v>2024</v>
      </c>
      <c r="R7" s="243">
        <v>2025</v>
      </c>
      <c r="S7" s="243">
        <v>2026</v>
      </c>
      <c r="T7" s="243">
        <v>2027</v>
      </c>
      <c r="U7" s="243">
        <v>2028</v>
      </c>
      <c r="V7" s="243">
        <v>2029</v>
      </c>
      <c r="W7" s="243">
        <v>2030</v>
      </c>
      <c r="X7" s="243">
        <v>2031</v>
      </c>
      <c r="Y7" s="243">
        <v>2032</v>
      </c>
      <c r="Z7" s="243">
        <v>2033</v>
      </c>
      <c r="AA7" s="243">
        <v>2034</v>
      </c>
      <c r="AB7" s="243">
        <v>2035</v>
      </c>
      <c r="AC7" s="243">
        <v>2036</v>
      </c>
      <c r="AD7" s="243">
        <v>2037</v>
      </c>
      <c r="AE7" s="243">
        <v>2038</v>
      </c>
    </row>
    <row r="8" spans="1:31" s="18" customFormat="1" ht="17.25" thickBot="1">
      <c r="K8" s="488"/>
    </row>
    <row r="9" spans="1:31" s="18" customFormat="1" ht="17.25" thickBot="1">
      <c r="A9" s="117" t="s">
        <v>381</v>
      </c>
      <c r="B9" s="484" t="str">
        <f>'OPEX - Concept C1 - ALL'!B9</f>
        <v>Scenario 6 - All</v>
      </c>
      <c r="K9" s="489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  <c r="Y9" s="327"/>
      <c r="Z9" s="327"/>
      <c r="AA9" s="327"/>
      <c r="AB9" s="327"/>
      <c r="AC9" s="327"/>
      <c r="AD9" s="327"/>
      <c r="AE9" s="327"/>
    </row>
    <row r="10" spans="1:31" s="18" customFormat="1">
      <c r="A10" s="649"/>
      <c r="B10" s="372"/>
      <c r="K10" s="489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  <c r="Y10" s="327"/>
      <c r="Z10" s="327"/>
      <c r="AA10" s="327"/>
      <c r="AB10" s="327"/>
      <c r="AC10" s="327"/>
      <c r="AD10" s="327"/>
      <c r="AE10" s="327"/>
    </row>
    <row r="11" spans="1:31">
      <c r="A11" s="38" t="s">
        <v>52</v>
      </c>
      <c r="B11" s="38"/>
      <c r="C11" s="38"/>
      <c r="D11" s="101"/>
      <c r="E11" s="38"/>
      <c r="F11" s="38"/>
      <c r="G11" s="37"/>
      <c r="H11" s="37"/>
      <c r="I11" s="38"/>
      <c r="J11" s="37"/>
      <c r="K11" s="784">
        <f>'OPEX - Concept A1'!K11</f>
        <v>0</v>
      </c>
      <c r="L11" s="311">
        <f>'BH Tariffs'!D52</f>
        <v>1.02</v>
      </c>
      <c r="M11" s="311">
        <f>'BH Tariffs'!E52</f>
        <v>1.0404</v>
      </c>
      <c r="N11" s="311">
        <f>'BH Tariffs'!F52</f>
        <v>1.0612079999999999</v>
      </c>
      <c r="O11" s="311">
        <f>'BH Tariffs'!G52</f>
        <v>1.08243216</v>
      </c>
      <c r="P11" s="311">
        <f>'BH Tariffs'!H52</f>
        <v>1.1040808032</v>
      </c>
      <c r="Q11" s="311">
        <f>'BH Tariffs'!I52</f>
        <v>1.1261624192640001</v>
      </c>
      <c r="R11" s="311">
        <f>'BH Tariffs'!J52</f>
        <v>1.14868566764928</v>
      </c>
      <c r="S11" s="311">
        <f>'BH Tariffs'!K52</f>
        <v>1.1716593810022657</v>
      </c>
      <c r="T11" s="311">
        <f>'BH Tariffs'!L52</f>
        <v>1.1950925686223111</v>
      </c>
      <c r="U11" s="311">
        <f>'BH Tariffs'!M52</f>
        <v>1.2189944199947573</v>
      </c>
      <c r="V11" s="311">
        <f>'BH Tariffs'!N52</f>
        <v>1.2433743083946525</v>
      </c>
      <c r="W11" s="311">
        <f>'BH Tariffs'!O52</f>
        <v>1.2682417945625455</v>
      </c>
      <c r="X11" s="311">
        <f>'BH Tariffs'!P52</f>
        <v>1.2936066304537963</v>
      </c>
      <c r="Y11" s="311">
        <f>'BH Tariffs'!Q52</f>
        <v>1.3194787630628724</v>
      </c>
      <c r="Z11" s="311">
        <f>'BH Tariffs'!R52</f>
        <v>1.3458683383241299</v>
      </c>
      <c r="AA11" s="311">
        <f>'BH Tariffs'!S52</f>
        <v>1.3727857050906125</v>
      </c>
      <c r="AB11" s="311">
        <f>'BH Tariffs'!T52</f>
        <v>1.4002414191924248</v>
      </c>
      <c r="AC11" s="311">
        <f>'BH Tariffs'!U52</f>
        <v>1.4282462475762734</v>
      </c>
      <c r="AD11" s="311">
        <f>'BH Tariffs'!V52</f>
        <v>1.4568111725277988</v>
      </c>
      <c r="AE11" s="311">
        <f>'BH Tariffs'!W52</f>
        <v>1.4859473959783549</v>
      </c>
    </row>
    <row r="12" spans="1:31">
      <c r="A12" s="38" t="s">
        <v>58</v>
      </c>
      <c r="B12" s="38"/>
      <c r="C12" s="37"/>
      <c r="D12" s="76"/>
      <c r="E12" s="79">
        <v>0.2</v>
      </c>
      <c r="F12" s="172"/>
      <c r="G12" s="36"/>
      <c r="H12" s="36"/>
      <c r="I12" s="38"/>
      <c r="J12" s="36"/>
      <c r="K12" s="661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200"/>
      <c r="AC12" s="200"/>
      <c r="AD12" s="200"/>
      <c r="AE12" s="200"/>
    </row>
    <row r="13" spans="1:31">
      <c r="A13" s="38" t="s">
        <v>51</v>
      </c>
      <c r="B13" s="38"/>
      <c r="C13" s="37"/>
      <c r="D13" s="76"/>
      <c r="E13" s="79"/>
      <c r="F13" s="79">
        <v>0.4</v>
      </c>
      <c r="G13" s="36"/>
      <c r="H13" s="36"/>
      <c r="I13" s="38"/>
      <c r="J13" s="36"/>
      <c r="K13" s="661"/>
      <c r="L13" s="200"/>
      <c r="M13" s="200"/>
      <c r="N13" s="200"/>
      <c r="O13" s="200"/>
      <c r="P13" s="200"/>
      <c r="Q13" s="200"/>
      <c r="R13" s="200"/>
      <c r="S13" s="200"/>
      <c r="T13" s="200"/>
      <c r="U13" s="200"/>
      <c r="V13" s="200"/>
      <c r="W13" s="200"/>
      <c r="X13" s="200"/>
      <c r="Y13" s="200"/>
      <c r="Z13" s="200"/>
      <c r="AA13" s="200"/>
      <c r="AB13" s="200"/>
      <c r="AC13" s="200"/>
      <c r="AD13" s="200"/>
      <c r="AE13" s="200"/>
    </row>
    <row r="14" spans="1:31" s="18" customFormat="1">
      <c r="A14" s="649"/>
      <c r="B14" s="372"/>
      <c r="K14" s="489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7"/>
      <c r="X14" s="327"/>
      <c r="Y14" s="327"/>
      <c r="Z14" s="327"/>
      <c r="AA14" s="327"/>
      <c r="AB14" s="327"/>
      <c r="AC14" s="327"/>
      <c r="AD14" s="327"/>
      <c r="AE14" s="327"/>
    </row>
    <row r="15" spans="1:31" s="18" customFormat="1">
      <c r="K15" s="489"/>
      <c r="L15" s="327"/>
      <c r="M15" s="327"/>
      <c r="N15" s="327"/>
      <c r="O15" s="327"/>
      <c r="P15" s="327"/>
      <c r="Q15" s="327"/>
      <c r="R15" s="327"/>
      <c r="S15" s="327"/>
      <c r="T15" s="327"/>
      <c r="U15" s="327"/>
      <c r="V15" s="327"/>
      <c r="W15" s="327"/>
      <c r="X15" s="327"/>
      <c r="Y15" s="327"/>
      <c r="Z15" s="327"/>
      <c r="AA15" s="327"/>
      <c r="AB15" s="327"/>
      <c r="AC15" s="327"/>
      <c r="AD15" s="327"/>
      <c r="AE15" s="327"/>
    </row>
    <row r="16" spans="1:31" s="582" customFormat="1" ht="14.25">
      <c r="A16" s="582" t="s">
        <v>83</v>
      </c>
      <c r="K16" s="490"/>
      <c r="L16" s="785"/>
      <c r="M16" s="785"/>
      <c r="N16" s="785"/>
      <c r="O16" s="785"/>
      <c r="P16" s="785"/>
      <c r="Q16" s="785"/>
      <c r="R16" s="785"/>
      <c r="S16" s="785"/>
      <c r="T16" s="785"/>
      <c r="U16" s="785"/>
      <c r="V16" s="785"/>
      <c r="W16" s="785"/>
      <c r="X16" s="785"/>
      <c r="Y16" s="785"/>
      <c r="Z16" s="785"/>
      <c r="AA16" s="785"/>
      <c r="AB16" s="785"/>
      <c r="AC16" s="785"/>
      <c r="AD16" s="785"/>
      <c r="AE16" s="785"/>
    </row>
    <row r="17" spans="1:31" s="96" customFormat="1">
      <c r="A17" s="53" t="str">
        <f>'Cruise Projections'!A67</f>
        <v>Passengers</v>
      </c>
      <c r="B17" s="487"/>
      <c r="C17" s="487"/>
      <c r="K17" s="486">
        <f>'P&amp;L - Concept C2 - All'!D12</f>
        <v>0</v>
      </c>
      <c r="L17" s="313">
        <f>'P&amp;L - Concept C2 - All'!E12</f>
        <v>0</v>
      </c>
      <c r="M17" s="313">
        <f>'P&amp;L - Concept C2 - All'!F12</f>
        <v>261573</v>
      </c>
      <c r="N17" s="313">
        <f>'P&amp;L - Concept C2 - All'!G12</f>
        <v>261573</v>
      </c>
      <c r="O17" s="313">
        <f>'P&amp;L - Concept C2 - All'!H12</f>
        <v>261573</v>
      </c>
      <c r="P17" s="313">
        <f>'P&amp;L - Concept C2 - All'!I12</f>
        <v>261573</v>
      </c>
      <c r="Q17" s="313">
        <f>'P&amp;L - Concept C2 - All'!J12</f>
        <v>261573</v>
      </c>
      <c r="R17" s="313">
        <f>'P&amp;L - Concept C2 - All'!K12</f>
        <v>261573</v>
      </c>
      <c r="S17" s="313">
        <f>'P&amp;L - Concept C2 - All'!L12</f>
        <v>261573</v>
      </c>
      <c r="T17" s="313">
        <f>'P&amp;L - Concept C2 - All'!M12</f>
        <v>261573</v>
      </c>
      <c r="U17" s="313">
        <f>'P&amp;L - Concept C2 - All'!N12</f>
        <v>261573</v>
      </c>
      <c r="V17" s="313">
        <f>'P&amp;L - Concept C2 - All'!O12</f>
        <v>261573</v>
      </c>
      <c r="W17" s="313">
        <f>'P&amp;L - Concept C2 - All'!P12</f>
        <v>261573</v>
      </c>
      <c r="X17" s="313">
        <f>'P&amp;L - Concept C2 - All'!Q12</f>
        <v>261573</v>
      </c>
      <c r="Y17" s="313">
        <f>'P&amp;L - Concept C2 - All'!R12</f>
        <v>261573</v>
      </c>
      <c r="Z17" s="313">
        <f>'P&amp;L - Concept C2 - All'!S12</f>
        <v>261573</v>
      </c>
      <c r="AA17" s="313">
        <f>'P&amp;L - Concept C2 - All'!T12</f>
        <v>261573</v>
      </c>
      <c r="AB17" s="313">
        <f>'P&amp;L - Concept C2 - All'!U12</f>
        <v>261573</v>
      </c>
      <c r="AC17" s="313">
        <f>'P&amp;L - Concept C2 - All'!V12</f>
        <v>261573</v>
      </c>
      <c r="AD17" s="313">
        <f>'P&amp;L - Concept C2 - All'!W12</f>
        <v>261573</v>
      </c>
      <c r="AE17" s="313">
        <f>'P&amp;L - Concept C2 - All'!X12</f>
        <v>261573</v>
      </c>
    </row>
    <row r="18" spans="1:31" s="96" customFormat="1">
      <c r="A18" s="53" t="str">
        <f>'Cruise Projections'!A68</f>
        <v>Calls</v>
      </c>
      <c r="B18" s="487"/>
      <c r="C18" s="487"/>
      <c r="K18" s="486">
        <f>'P&amp;L - Concept C2 - All'!D13</f>
        <v>0</v>
      </c>
      <c r="L18" s="313">
        <f>'P&amp;L - Concept C2 - All'!E13</f>
        <v>0</v>
      </c>
      <c r="M18" s="313">
        <f>'P&amp;L - Concept C2 - All'!F13</f>
        <v>172</v>
      </c>
      <c r="N18" s="313">
        <f>'P&amp;L - Concept C2 - All'!G13</f>
        <v>172</v>
      </c>
      <c r="O18" s="313">
        <f>'P&amp;L - Concept C2 - All'!H13</f>
        <v>172</v>
      </c>
      <c r="P18" s="313">
        <f>'P&amp;L - Concept C2 - All'!I13</f>
        <v>172</v>
      </c>
      <c r="Q18" s="313">
        <f>'P&amp;L - Concept C2 - All'!J13</f>
        <v>172</v>
      </c>
      <c r="R18" s="313">
        <f>'P&amp;L - Concept C2 - All'!K13</f>
        <v>172</v>
      </c>
      <c r="S18" s="313">
        <f>'P&amp;L - Concept C2 - All'!L13</f>
        <v>172</v>
      </c>
      <c r="T18" s="313">
        <f>'P&amp;L - Concept C2 - All'!M13</f>
        <v>172</v>
      </c>
      <c r="U18" s="313">
        <f>'P&amp;L - Concept C2 - All'!N13</f>
        <v>172</v>
      </c>
      <c r="V18" s="313">
        <f>'P&amp;L - Concept C2 - All'!O13</f>
        <v>172</v>
      </c>
      <c r="W18" s="313">
        <f>'P&amp;L - Concept C2 - All'!P13</f>
        <v>172</v>
      </c>
      <c r="X18" s="313">
        <f>'P&amp;L - Concept C2 - All'!Q13</f>
        <v>172</v>
      </c>
      <c r="Y18" s="313">
        <f>'P&amp;L - Concept C2 - All'!R13</f>
        <v>172</v>
      </c>
      <c r="Z18" s="313">
        <f>'P&amp;L - Concept C2 - All'!S13</f>
        <v>172</v>
      </c>
      <c r="AA18" s="313">
        <f>'P&amp;L - Concept C2 - All'!T13</f>
        <v>172</v>
      </c>
      <c r="AB18" s="313">
        <f>'P&amp;L - Concept C2 - All'!U13</f>
        <v>172</v>
      </c>
      <c r="AC18" s="313">
        <f>'P&amp;L - Concept C2 - All'!V13</f>
        <v>172</v>
      </c>
      <c r="AD18" s="313">
        <f>'P&amp;L - Concept C2 - All'!W13</f>
        <v>172</v>
      </c>
      <c r="AE18" s="313">
        <f>'P&amp;L - Concept C2 - All'!X13</f>
        <v>172</v>
      </c>
    </row>
    <row r="19" spans="1:31" s="96" customFormat="1">
      <c r="A19" s="53" t="str">
        <f>'Cruise Projections'!A69</f>
        <v>Passengers per Call</v>
      </c>
      <c r="B19" s="487"/>
      <c r="C19" s="487"/>
      <c r="K19" s="486">
        <f>'P&amp;L - Concept C2 - All'!D14</f>
        <v>0</v>
      </c>
      <c r="L19" s="313">
        <f>'P&amp;L - Concept C2 - All'!E14</f>
        <v>0</v>
      </c>
      <c r="M19" s="313">
        <f>'P&amp;L - Concept C2 - All'!F14</f>
        <v>1520.7732558139535</v>
      </c>
      <c r="N19" s="313">
        <f>'P&amp;L - Concept C2 - All'!G14</f>
        <v>1520.7732558139535</v>
      </c>
      <c r="O19" s="313">
        <f>'P&amp;L - Concept C2 - All'!H14</f>
        <v>1520.7732558139535</v>
      </c>
      <c r="P19" s="313">
        <f>'P&amp;L - Concept C2 - All'!I14</f>
        <v>1520.7732558139535</v>
      </c>
      <c r="Q19" s="313">
        <f>'P&amp;L - Concept C2 - All'!J14</f>
        <v>1520.7732558139535</v>
      </c>
      <c r="R19" s="313">
        <f>'P&amp;L - Concept C2 - All'!K14</f>
        <v>1520.7732558139535</v>
      </c>
      <c r="S19" s="313">
        <f>'P&amp;L - Concept C2 - All'!L14</f>
        <v>1520.7732558139535</v>
      </c>
      <c r="T19" s="313">
        <f>'P&amp;L - Concept C2 - All'!M14</f>
        <v>1520.7732558139535</v>
      </c>
      <c r="U19" s="313">
        <f>'P&amp;L - Concept C2 - All'!N14</f>
        <v>1520.7732558139535</v>
      </c>
      <c r="V19" s="313">
        <f>'P&amp;L - Concept C2 - All'!O14</f>
        <v>1520.7732558139535</v>
      </c>
      <c r="W19" s="313">
        <f>'P&amp;L - Concept C2 - All'!P14</f>
        <v>1520.7732558139535</v>
      </c>
      <c r="X19" s="313">
        <f>'P&amp;L - Concept C2 - All'!Q14</f>
        <v>1520.7732558139535</v>
      </c>
      <c r="Y19" s="313">
        <f>'P&amp;L - Concept C2 - All'!R14</f>
        <v>1520.7732558139535</v>
      </c>
      <c r="Z19" s="313">
        <f>'P&amp;L - Concept C2 - All'!S14</f>
        <v>1520.7732558139535</v>
      </c>
      <c r="AA19" s="313">
        <f>'P&amp;L - Concept C2 - All'!T14</f>
        <v>1520.7732558139535</v>
      </c>
      <c r="AB19" s="313">
        <f>'P&amp;L - Concept C2 - All'!U14</f>
        <v>1520.7732558139535</v>
      </c>
      <c r="AC19" s="313">
        <f>'P&amp;L - Concept C2 - All'!V14</f>
        <v>1520.7732558139535</v>
      </c>
      <c r="AD19" s="313">
        <f>'P&amp;L - Concept C2 - All'!W14</f>
        <v>1520.7732558139535</v>
      </c>
      <c r="AE19" s="313">
        <f>'P&amp;L - Concept C2 - All'!X14</f>
        <v>1520.7732558139535</v>
      </c>
    </row>
    <row r="20" spans="1:31" s="96" customFormat="1">
      <c r="A20" s="54" t="s">
        <v>313</v>
      </c>
      <c r="B20" s="487"/>
      <c r="C20" s="487"/>
      <c r="K20" s="486">
        <f>'P&amp;L - Concept C2 - All'!D15</f>
        <v>0</v>
      </c>
      <c r="L20" s="313">
        <f>'P&amp;L - Concept C2 - All'!E15</f>
        <v>0</v>
      </c>
      <c r="M20" s="313">
        <f>'P&amp;L - Concept C2 - All'!F15</f>
        <v>4120</v>
      </c>
      <c r="N20" s="313">
        <f>'P&amp;L - Concept C2 - All'!G15</f>
        <v>4120</v>
      </c>
      <c r="O20" s="313">
        <f>'P&amp;L - Concept C2 - All'!H15</f>
        <v>4120</v>
      </c>
      <c r="P20" s="313">
        <f>'P&amp;L - Concept C2 - All'!I15</f>
        <v>4120</v>
      </c>
      <c r="Q20" s="313">
        <f>'P&amp;L - Concept C2 - All'!J15</f>
        <v>4120</v>
      </c>
      <c r="R20" s="313">
        <f>'P&amp;L - Concept C2 - All'!K15</f>
        <v>4120</v>
      </c>
      <c r="S20" s="313">
        <f>'P&amp;L - Concept C2 - All'!L15</f>
        <v>4120</v>
      </c>
      <c r="T20" s="313">
        <f>'P&amp;L - Concept C2 - All'!M15</f>
        <v>4120</v>
      </c>
      <c r="U20" s="313">
        <f>'P&amp;L - Concept C2 - All'!N15</f>
        <v>4120</v>
      </c>
      <c r="V20" s="313">
        <f>'P&amp;L - Concept C2 - All'!O15</f>
        <v>4120</v>
      </c>
      <c r="W20" s="313">
        <f>'P&amp;L - Concept C2 - All'!P15</f>
        <v>4120</v>
      </c>
      <c r="X20" s="313">
        <f>'P&amp;L - Concept C2 - All'!Q15</f>
        <v>4120</v>
      </c>
      <c r="Y20" s="313">
        <f>'P&amp;L - Concept C2 - All'!R15</f>
        <v>4120</v>
      </c>
      <c r="Z20" s="313">
        <f>'P&amp;L - Concept C2 - All'!S15</f>
        <v>4120</v>
      </c>
      <c r="AA20" s="313">
        <f>'P&amp;L - Concept C2 - All'!T15</f>
        <v>4120</v>
      </c>
      <c r="AB20" s="313">
        <f>'P&amp;L - Concept C2 - All'!U15</f>
        <v>4120</v>
      </c>
      <c r="AC20" s="313">
        <f>'P&amp;L - Concept C2 - All'!V15</f>
        <v>4120</v>
      </c>
      <c r="AD20" s="313">
        <f>'P&amp;L - Concept C2 - All'!W15</f>
        <v>4120</v>
      </c>
      <c r="AE20" s="313">
        <f>'P&amp;L - Concept C2 - All'!X15</f>
        <v>4120</v>
      </c>
    </row>
    <row r="21" spans="1:31" s="18" customFormat="1">
      <c r="A21" s="54"/>
      <c r="B21" s="21"/>
      <c r="C21" s="21"/>
      <c r="K21" s="486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  <c r="Y21" s="313"/>
      <c r="Z21" s="313"/>
      <c r="AA21" s="313"/>
      <c r="AB21" s="313"/>
      <c r="AC21" s="313"/>
      <c r="AD21" s="313"/>
      <c r="AE21" s="313"/>
    </row>
    <row r="22" spans="1:31" s="582" customFormat="1">
      <c r="A22" s="293" t="s">
        <v>163</v>
      </c>
      <c r="B22" s="581"/>
      <c r="C22" s="581"/>
      <c r="K22" s="491"/>
      <c r="L22" s="313"/>
      <c r="M22" s="313"/>
      <c r="N22" s="313"/>
      <c r="O22" s="313"/>
      <c r="P22" s="313"/>
      <c r="Q22" s="313"/>
      <c r="R22" s="313"/>
      <c r="S22" s="313"/>
      <c r="T22" s="313"/>
      <c r="U22" s="313"/>
      <c r="V22" s="313"/>
      <c r="W22" s="313"/>
      <c r="X22" s="313"/>
      <c r="Y22" s="313"/>
      <c r="Z22" s="313"/>
      <c r="AA22" s="313"/>
      <c r="AB22" s="313"/>
      <c r="AC22" s="313"/>
      <c r="AD22" s="313"/>
      <c r="AE22" s="313"/>
    </row>
    <row r="23" spans="1:31" s="96" customFormat="1">
      <c r="A23" s="54" t="str">
        <f>'International Ferry Projections'!A11</f>
        <v>Passengers</v>
      </c>
      <c r="B23" s="487"/>
      <c r="C23" s="487"/>
      <c r="K23" s="486">
        <f>'P&amp;L - Concept C2 - All'!D18</f>
        <v>0</v>
      </c>
      <c r="L23" s="313">
        <f>'P&amp;L - Concept C2 - All'!E18</f>
        <v>60000</v>
      </c>
      <c r="M23" s="313">
        <f>'P&amp;L - Concept C2 - All'!F18</f>
        <v>70000</v>
      </c>
      <c r="N23" s="313">
        <f>'P&amp;L - Concept C2 - All'!G18</f>
        <v>80000</v>
      </c>
      <c r="O23" s="313">
        <f>'P&amp;L - Concept C2 - All'!H18</f>
        <v>80000</v>
      </c>
      <c r="P23" s="313">
        <f>'P&amp;L - Concept C2 - All'!I18</f>
        <v>80000</v>
      </c>
      <c r="Q23" s="313">
        <f>'P&amp;L - Concept C2 - All'!J18</f>
        <v>80000</v>
      </c>
      <c r="R23" s="313">
        <f>'P&amp;L - Concept C2 - All'!K18</f>
        <v>80000</v>
      </c>
      <c r="S23" s="313">
        <f>'P&amp;L - Concept C2 - All'!L18</f>
        <v>80000</v>
      </c>
      <c r="T23" s="313">
        <f>'P&amp;L - Concept C2 - All'!M18</f>
        <v>80000</v>
      </c>
      <c r="U23" s="313">
        <f>'P&amp;L - Concept C2 - All'!N18</f>
        <v>80000</v>
      </c>
      <c r="V23" s="313">
        <f>'P&amp;L - Concept C2 - All'!O18</f>
        <v>80000</v>
      </c>
      <c r="W23" s="313">
        <f>'P&amp;L - Concept C2 - All'!P18</f>
        <v>80000</v>
      </c>
      <c r="X23" s="313">
        <f>'P&amp;L - Concept C2 - All'!Q18</f>
        <v>80000</v>
      </c>
      <c r="Y23" s="313">
        <f>'P&amp;L - Concept C2 - All'!R18</f>
        <v>80000</v>
      </c>
      <c r="Z23" s="313">
        <f>'P&amp;L - Concept C2 - All'!S18</f>
        <v>80000</v>
      </c>
      <c r="AA23" s="313">
        <f>'P&amp;L - Concept C2 - All'!T18</f>
        <v>80000</v>
      </c>
      <c r="AB23" s="313">
        <f>'P&amp;L - Concept C2 - All'!U18</f>
        <v>80000</v>
      </c>
      <c r="AC23" s="313">
        <f>'P&amp;L - Concept C2 - All'!V18</f>
        <v>80000</v>
      </c>
      <c r="AD23" s="313">
        <f>'P&amp;L - Concept C2 - All'!W18</f>
        <v>80000</v>
      </c>
      <c r="AE23" s="313">
        <f>'P&amp;L - Concept C2 - All'!X18</f>
        <v>80000</v>
      </c>
    </row>
    <row r="24" spans="1:31" s="96" customFormat="1">
      <c r="A24" s="54" t="str">
        <f>'International Ferry Projections'!A12</f>
        <v>Cars</v>
      </c>
      <c r="B24" s="487"/>
      <c r="C24" s="487"/>
      <c r="K24" s="486">
        <f>'P&amp;L - Concept C2 - All'!D19</f>
        <v>0</v>
      </c>
      <c r="L24" s="313">
        <f>'P&amp;L - Concept C2 - All'!E19</f>
        <v>24000</v>
      </c>
      <c r="M24" s="313">
        <f>'P&amp;L - Concept C2 - All'!F19</f>
        <v>28000</v>
      </c>
      <c r="N24" s="313">
        <f>'P&amp;L - Concept C2 - All'!G19</f>
        <v>32000</v>
      </c>
      <c r="O24" s="313">
        <f>'P&amp;L - Concept C2 - All'!H19</f>
        <v>32000</v>
      </c>
      <c r="P24" s="313">
        <f>'P&amp;L - Concept C2 - All'!I19</f>
        <v>32000</v>
      </c>
      <c r="Q24" s="313">
        <f>'P&amp;L - Concept C2 - All'!J19</f>
        <v>32000</v>
      </c>
      <c r="R24" s="313">
        <f>'P&amp;L - Concept C2 - All'!K19</f>
        <v>32000</v>
      </c>
      <c r="S24" s="313">
        <f>'P&amp;L - Concept C2 - All'!L19</f>
        <v>32000</v>
      </c>
      <c r="T24" s="313">
        <f>'P&amp;L - Concept C2 - All'!M19</f>
        <v>32000</v>
      </c>
      <c r="U24" s="313">
        <f>'P&amp;L - Concept C2 - All'!N19</f>
        <v>32000</v>
      </c>
      <c r="V24" s="313">
        <f>'P&amp;L - Concept C2 - All'!O19</f>
        <v>32000</v>
      </c>
      <c r="W24" s="313">
        <f>'P&amp;L - Concept C2 - All'!P19</f>
        <v>32000</v>
      </c>
      <c r="X24" s="313">
        <f>'P&amp;L - Concept C2 - All'!Q19</f>
        <v>32000</v>
      </c>
      <c r="Y24" s="313">
        <f>'P&amp;L - Concept C2 - All'!R19</f>
        <v>32000</v>
      </c>
      <c r="Z24" s="313">
        <f>'P&amp;L - Concept C2 - All'!S19</f>
        <v>32000</v>
      </c>
      <c r="AA24" s="313">
        <f>'P&amp;L - Concept C2 - All'!T19</f>
        <v>32000</v>
      </c>
      <c r="AB24" s="313">
        <f>'P&amp;L - Concept C2 - All'!U19</f>
        <v>32000</v>
      </c>
      <c r="AC24" s="313">
        <f>'P&amp;L - Concept C2 - All'!V19</f>
        <v>32000</v>
      </c>
      <c r="AD24" s="313">
        <f>'P&amp;L - Concept C2 - All'!W19</f>
        <v>32000</v>
      </c>
      <c r="AE24" s="313">
        <f>'P&amp;L - Concept C2 - All'!X19</f>
        <v>32000</v>
      </c>
    </row>
    <row r="25" spans="1:31" s="96" customFormat="1">
      <c r="A25" s="54" t="str">
        <f>'International Ferry Projections'!A13</f>
        <v>Buses</v>
      </c>
      <c r="B25" s="487"/>
      <c r="C25" s="487"/>
      <c r="K25" s="486">
        <f>'P&amp;L - Concept C2 - All'!D20</f>
        <v>0</v>
      </c>
      <c r="L25" s="313">
        <f>'P&amp;L - Concept C2 - All'!E20</f>
        <v>40</v>
      </c>
      <c r="M25" s="313">
        <f>'P&amp;L - Concept C2 - All'!F20</f>
        <v>50</v>
      </c>
      <c r="N25" s="313">
        <f>'P&amp;L - Concept C2 - All'!G20</f>
        <v>60</v>
      </c>
      <c r="O25" s="313">
        <f>'P&amp;L - Concept C2 - All'!H20</f>
        <v>60</v>
      </c>
      <c r="P25" s="313">
        <f>'P&amp;L - Concept C2 - All'!I20</f>
        <v>60</v>
      </c>
      <c r="Q25" s="313">
        <f>'P&amp;L - Concept C2 - All'!J20</f>
        <v>60</v>
      </c>
      <c r="R25" s="313">
        <f>'P&amp;L - Concept C2 - All'!K20</f>
        <v>60</v>
      </c>
      <c r="S25" s="313">
        <f>'P&amp;L - Concept C2 - All'!L20</f>
        <v>60</v>
      </c>
      <c r="T25" s="313">
        <f>'P&amp;L - Concept C2 - All'!M20</f>
        <v>60</v>
      </c>
      <c r="U25" s="313">
        <f>'P&amp;L - Concept C2 - All'!N20</f>
        <v>60</v>
      </c>
      <c r="V25" s="313">
        <f>'P&amp;L - Concept C2 - All'!O20</f>
        <v>60</v>
      </c>
      <c r="W25" s="313">
        <f>'P&amp;L - Concept C2 - All'!P20</f>
        <v>60</v>
      </c>
      <c r="X25" s="313">
        <f>'P&amp;L - Concept C2 - All'!Q20</f>
        <v>60</v>
      </c>
      <c r="Y25" s="313">
        <f>'P&amp;L - Concept C2 - All'!R20</f>
        <v>60</v>
      </c>
      <c r="Z25" s="313">
        <f>'P&amp;L - Concept C2 - All'!S20</f>
        <v>60</v>
      </c>
      <c r="AA25" s="313">
        <f>'P&amp;L - Concept C2 - All'!T20</f>
        <v>60</v>
      </c>
      <c r="AB25" s="313">
        <f>'P&amp;L - Concept C2 - All'!U20</f>
        <v>60</v>
      </c>
      <c r="AC25" s="313">
        <f>'P&amp;L - Concept C2 - All'!V20</f>
        <v>60</v>
      </c>
      <c r="AD25" s="313">
        <f>'P&amp;L - Concept C2 - All'!W20</f>
        <v>60</v>
      </c>
      <c r="AE25" s="313">
        <f>'P&amp;L - Concept C2 - All'!X20</f>
        <v>60</v>
      </c>
    </row>
    <row r="26" spans="1:31" s="18" customFormat="1">
      <c r="A26" s="54"/>
      <c r="B26" s="21"/>
      <c r="C26" s="21"/>
      <c r="K26" s="486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</row>
    <row r="27" spans="1:31" s="582" customFormat="1">
      <c r="A27" s="293" t="str">
        <f>'BH Tariffs'!A30</f>
        <v>Local Ferry</v>
      </c>
      <c r="B27" s="581"/>
      <c r="C27" s="581"/>
      <c r="K27" s="486"/>
      <c r="L27" s="313"/>
      <c r="M27" s="313"/>
      <c r="N27" s="313"/>
      <c r="O27" s="313"/>
      <c r="P27" s="313"/>
      <c r="Q27" s="313"/>
      <c r="R27" s="313"/>
      <c r="S27" s="313"/>
      <c r="T27" s="313"/>
      <c r="U27" s="313"/>
      <c r="V27" s="313"/>
      <c r="W27" s="313"/>
      <c r="X27" s="313"/>
      <c r="Y27" s="313"/>
      <c r="Z27" s="313"/>
      <c r="AA27" s="313"/>
      <c r="AB27" s="313"/>
      <c r="AC27" s="313"/>
      <c r="AD27" s="313"/>
      <c r="AE27" s="313"/>
    </row>
    <row r="28" spans="1:31" s="96" customFormat="1">
      <c r="A28" s="54" t="str">
        <f>'BH Tariffs'!A31</f>
        <v>Dock Rent (6 Months Only)</v>
      </c>
      <c r="B28" s="487"/>
      <c r="C28" s="487"/>
      <c r="K28" s="486">
        <f>'P&amp;L - Concept C2 - All'!D23</f>
        <v>0</v>
      </c>
      <c r="L28" s="313" t="str">
        <f>'P&amp;L - Concept C2 - All'!E23</f>
        <v>see Tariff</v>
      </c>
      <c r="M28" s="313" t="str">
        <f>'P&amp;L - Concept C2 - All'!F23</f>
        <v>see Tariff</v>
      </c>
      <c r="N28" s="313" t="str">
        <f>'P&amp;L - Concept C2 - All'!G23</f>
        <v>see Tariff</v>
      </c>
      <c r="O28" s="313" t="str">
        <f>'P&amp;L - Concept C2 - All'!H23</f>
        <v>see Tariff</v>
      </c>
      <c r="P28" s="313" t="str">
        <f>'P&amp;L - Concept C2 - All'!I23</f>
        <v>see Tariff</v>
      </c>
      <c r="Q28" s="313" t="str">
        <f>'P&amp;L - Concept C2 - All'!J23</f>
        <v>see Tariff</v>
      </c>
      <c r="R28" s="313" t="str">
        <f>'P&amp;L - Concept C2 - All'!K23</f>
        <v>see Tariff</v>
      </c>
      <c r="S28" s="313" t="str">
        <f>'P&amp;L - Concept C2 - All'!L23</f>
        <v>see Tariff</v>
      </c>
      <c r="T28" s="313" t="str">
        <f>'P&amp;L - Concept C2 - All'!M23</f>
        <v>see Tariff</v>
      </c>
      <c r="U28" s="313" t="str">
        <f>'P&amp;L - Concept C2 - All'!N23</f>
        <v>see Tariff</v>
      </c>
      <c r="V28" s="313" t="str">
        <f>'P&amp;L - Concept C2 - All'!O23</f>
        <v>see Tariff</v>
      </c>
      <c r="W28" s="313" t="str">
        <f>'P&amp;L - Concept C2 - All'!P23</f>
        <v>see Tariff</v>
      </c>
      <c r="X28" s="313" t="str">
        <f>'P&amp;L - Concept C2 - All'!Q23</f>
        <v>see Tariff</v>
      </c>
      <c r="Y28" s="313" t="str">
        <f>'P&amp;L - Concept C2 - All'!R23</f>
        <v>see Tariff</v>
      </c>
      <c r="Z28" s="313" t="str">
        <f>'P&amp;L - Concept C2 - All'!S23</f>
        <v>see Tariff</v>
      </c>
      <c r="AA28" s="313" t="str">
        <f>'P&amp;L - Concept C2 - All'!T23</f>
        <v>see Tariff</v>
      </c>
      <c r="AB28" s="313" t="str">
        <f>'P&amp;L - Concept C2 - All'!U23</f>
        <v>see Tariff</v>
      </c>
      <c r="AC28" s="313" t="str">
        <f>'P&amp;L - Concept C2 - All'!V23</f>
        <v>see Tariff</v>
      </c>
      <c r="AD28" s="313" t="str">
        <f>'P&amp;L - Concept C2 - All'!W23</f>
        <v>see Tariff</v>
      </c>
      <c r="AE28" s="313" t="str">
        <f>'P&amp;L - Concept C2 - All'!X23</f>
        <v>see Tariff</v>
      </c>
    </row>
    <row r="29" spans="1:31" s="341" customFormat="1">
      <c r="A29" s="552"/>
      <c r="B29" s="553"/>
      <c r="C29" s="553"/>
      <c r="K29" s="554"/>
      <c r="L29" s="313"/>
      <c r="M29" s="313"/>
      <c r="N29" s="313"/>
      <c r="O29" s="313"/>
      <c r="P29" s="313"/>
      <c r="Q29" s="313"/>
      <c r="R29" s="313"/>
      <c r="S29" s="313"/>
      <c r="T29" s="313"/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</row>
    <row r="30" spans="1:31" s="96" customFormat="1">
      <c r="A30" s="559" t="s">
        <v>227</v>
      </c>
      <c r="B30" s="487"/>
      <c r="C30" s="487"/>
      <c r="K30" s="486"/>
      <c r="L30" s="313"/>
      <c r="M30" s="313"/>
      <c r="N30" s="313"/>
      <c r="O30" s="313"/>
      <c r="P30" s="313"/>
      <c r="Q30" s="313"/>
      <c r="R30" s="313"/>
      <c r="S30" s="313"/>
      <c r="T30" s="313"/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</row>
    <row r="31" spans="1:31" s="96" customFormat="1">
      <c r="A31" s="559"/>
      <c r="B31" s="487"/>
      <c r="C31" s="487"/>
      <c r="K31" s="486"/>
      <c r="L31" s="313"/>
      <c r="M31" s="313"/>
      <c r="N31" s="313"/>
      <c r="O31" s="313"/>
      <c r="P31" s="313"/>
      <c r="Q31" s="313"/>
      <c r="R31" s="313"/>
      <c r="S31" s="313"/>
      <c r="T31" s="313"/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</row>
    <row r="32" spans="1:31" s="96" customFormat="1">
      <c r="A32" s="54" t="s">
        <v>420</v>
      </c>
      <c r="B32" s="487"/>
      <c r="C32" s="487"/>
      <c r="K32" s="486">
        <f>'P&amp;L - Concept C2 - All'!D27</f>
        <v>0</v>
      </c>
      <c r="L32" s="313">
        <f>'P&amp;L - Concept C2 - All'!E27</f>
        <v>0</v>
      </c>
      <c r="M32" s="313">
        <f>'P&amp;L - Concept C2 - All'!F27</f>
        <v>214</v>
      </c>
      <c r="N32" s="313">
        <f>'P&amp;L - Concept C2 - All'!G27</f>
        <v>214</v>
      </c>
      <c r="O32" s="313">
        <f>'P&amp;L - Concept C2 - All'!H27</f>
        <v>214</v>
      </c>
      <c r="P32" s="313">
        <f>'P&amp;L - Concept C2 - All'!I27</f>
        <v>214</v>
      </c>
      <c r="Q32" s="313">
        <f>'P&amp;L - Concept C2 - All'!J27</f>
        <v>214</v>
      </c>
      <c r="R32" s="313">
        <f>'P&amp;L - Concept C2 - All'!K27</f>
        <v>214</v>
      </c>
      <c r="S32" s="313">
        <f>'P&amp;L - Concept C2 - All'!L27</f>
        <v>214</v>
      </c>
      <c r="T32" s="313">
        <f>'P&amp;L - Concept C2 - All'!M27</f>
        <v>214</v>
      </c>
      <c r="U32" s="313">
        <f>'P&amp;L - Concept C2 - All'!N27</f>
        <v>214</v>
      </c>
      <c r="V32" s="313">
        <f>'P&amp;L - Concept C2 - All'!O27</f>
        <v>214</v>
      </c>
      <c r="W32" s="313">
        <f>'P&amp;L - Concept C2 - All'!P27</f>
        <v>214</v>
      </c>
      <c r="X32" s="313">
        <f>'P&amp;L - Concept C2 - All'!Q27</f>
        <v>214</v>
      </c>
      <c r="Y32" s="313">
        <f>'P&amp;L - Concept C2 - All'!R27</f>
        <v>214</v>
      </c>
      <c r="Z32" s="313">
        <f>'P&amp;L - Concept C2 - All'!S27</f>
        <v>214</v>
      </c>
      <c r="AA32" s="313">
        <f>'P&amp;L - Concept C2 - All'!T27</f>
        <v>214</v>
      </c>
      <c r="AB32" s="313">
        <f>'P&amp;L - Concept C2 - All'!U27</f>
        <v>214</v>
      </c>
      <c r="AC32" s="313">
        <f>'P&amp;L - Concept C2 - All'!V27</f>
        <v>214</v>
      </c>
      <c r="AD32" s="313">
        <f>'P&amp;L - Concept C2 - All'!W27</f>
        <v>214</v>
      </c>
      <c r="AE32" s="313">
        <f>'P&amp;L - Concept C2 - All'!X27</f>
        <v>214</v>
      </c>
    </row>
    <row r="33" spans="1:31" s="96" customFormat="1">
      <c r="A33" s="54" t="s">
        <v>205</v>
      </c>
      <c r="B33" s="487"/>
      <c r="C33" s="487"/>
      <c r="K33" s="486">
        <f>'P&amp;L - Concept C2 - All'!D28</f>
        <v>0</v>
      </c>
      <c r="L33" s="313">
        <f>'P&amp;L - Concept C2 - All'!E28</f>
        <v>0</v>
      </c>
      <c r="M33" s="313">
        <f>'P&amp;L - Concept C2 - All'!F28</f>
        <v>106</v>
      </c>
      <c r="N33" s="313">
        <f>'P&amp;L - Concept C2 - All'!G28</f>
        <v>106</v>
      </c>
      <c r="O33" s="313">
        <f>'P&amp;L - Concept C2 - All'!H28</f>
        <v>106</v>
      </c>
      <c r="P33" s="313">
        <f>'P&amp;L - Concept C2 - All'!I28</f>
        <v>106</v>
      </c>
      <c r="Q33" s="313">
        <f>'P&amp;L - Concept C2 - All'!J28</f>
        <v>106</v>
      </c>
      <c r="R33" s="313">
        <f>'P&amp;L - Concept C2 - All'!K28</f>
        <v>106</v>
      </c>
      <c r="S33" s="313">
        <f>'P&amp;L - Concept C2 - All'!L28</f>
        <v>106</v>
      </c>
      <c r="T33" s="313">
        <f>'P&amp;L - Concept C2 - All'!M28</f>
        <v>106</v>
      </c>
      <c r="U33" s="313">
        <f>'P&amp;L - Concept C2 - All'!N28</f>
        <v>106</v>
      </c>
      <c r="V33" s="313">
        <f>'P&amp;L - Concept C2 - All'!O28</f>
        <v>106</v>
      </c>
      <c r="W33" s="313">
        <f>'P&amp;L - Concept C2 - All'!P28</f>
        <v>106</v>
      </c>
      <c r="X33" s="313">
        <f>'P&amp;L - Concept C2 - All'!Q28</f>
        <v>106</v>
      </c>
      <c r="Y33" s="313">
        <f>'P&amp;L - Concept C2 - All'!R28</f>
        <v>106</v>
      </c>
      <c r="Z33" s="313">
        <f>'P&amp;L - Concept C2 - All'!S28</f>
        <v>106</v>
      </c>
      <c r="AA33" s="313">
        <f>'P&amp;L - Concept C2 - All'!T28</f>
        <v>106</v>
      </c>
      <c r="AB33" s="313">
        <f>'P&amp;L - Concept C2 - All'!U28</f>
        <v>106</v>
      </c>
      <c r="AC33" s="313">
        <f>'P&amp;L - Concept C2 - All'!V28</f>
        <v>106</v>
      </c>
      <c r="AD33" s="313">
        <f>'P&amp;L - Concept C2 - All'!W28</f>
        <v>106</v>
      </c>
      <c r="AE33" s="313">
        <f>'P&amp;L - Concept C2 - All'!X28</f>
        <v>106</v>
      </c>
    </row>
    <row r="34" spans="1:31" s="96" customFormat="1">
      <c r="A34" s="54" t="s">
        <v>219</v>
      </c>
      <c r="B34" s="487"/>
      <c r="C34" s="487"/>
      <c r="K34" s="486">
        <f>'P&amp;L - Concept C2 - All'!D29</f>
        <v>0</v>
      </c>
      <c r="L34" s="313">
        <f>'P&amp;L - Concept C2 - All'!E29</f>
        <v>150</v>
      </c>
      <c r="M34" s="313">
        <f>'P&amp;L - Concept C2 - All'!F29</f>
        <v>150</v>
      </c>
      <c r="N34" s="313">
        <f>'P&amp;L - Concept C2 - All'!G29</f>
        <v>150</v>
      </c>
      <c r="O34" s="313">
        <f>'P&amp;L - Concept C2 - All'!H29</f>
        <v>150</v>
      </c>
      <c r="P34" s="313">
        <f>'P&amp;L - Concept C2 - All'!I29</f>
        <v>150</v>
      </c>
      <c r="Q34" s="313">
        <f>'P&amp;L - Concept C2 - All'!J29</f>
        <v>150</v>
      </c>
      <c r="R34" s="313">
        <f>'P&amp;L - Concept C2 - All'!K29</f>
        <v>150</v>
      </c>
      <c r="S34" s="313">
        <f>'P&amp;L - Concept C2 - All'!L29</f>
        <v>150</v>
      </c>
      <c r="T34" s="313">
        <f>'P&amp;L - Concept C2 - All'!M29</f>
        <v>150</v>
      </c>
      <c r="U34" s="313">
        <f>'P&amp;L - Concept C2 - All'!N29</f>
        <v>150</v>
      </c>
      <c r="V34" s="313">
        <f>'P&amp;L - Concept C2 - All'!O29</f>
        <v>150</v>
      </c>
      <c r="W34" s="313">
        <f>'P&amp;L - Concept C2 - All'!P29</f>
        <v>150</v>
      </c>
      <c r="X34" s="313">
        <f>'P&amp;L - Concept C2 - All'!Q29</f>
        <v>150</v>
      </c>
      <c r="Y34" s="313">
        <f>'P&amp;L - Concept C2 - All'!R29</f>
        <v>150</v>
      </c>
      <c r="Z34" s="313">
        <f>'P&amp;L - Concept C2 - All'!S29</f>
        <v>150</v>
      </c>
      <c r="AA34" s="313">
        <f>'P&amp;L - Concept C2 - All'!T29</f>
        <v>150</v>
      </c>
      <c r="AB34" s="313">
        <f>'P&amp;L - Concept C2 - All'!U29</f>
        <v>150</v>
      </c>
      <c r="AC34" s="313">
        <f>'P&amp;L - Concept C2 - All'!V29</f>
        <v>150</v>
      </c>
      <c r="AD34" s="313">
        <f>'P&amp;L - Concept C2 - All'!W29</f>
        <v>150</v>
      </c>
      <c r="AE34" s="313">
        <f>'P&amp;L - Concept C2 - All'!X29</f>
        <v>150</v>
      </c>
    </row>
    <row r="35" spans="1:31" s="96" customFormat="1">
      <c r="A35" s="54" t="s">
        <v>220</v>
      </c>
      <c r="B35" s="487"/>
      <c r="C35" s="487"/>
      <c r="K35" s="486">
        <f>'P&amp;L - Concept C2 - All'!D30</f>
        <v>0</v>
      </c>
      <c r="L35" s="307">
        <f>'P&amp;L - Concept C2 - All'!E30</f>
        <v>0</v>
      </c>
      <c r="M35" s="307">
        <f>'P&amp;L - Concept C2 - All'!F30</f>
        <v>0.70666666666666667</v>
      </c>
      <c r="N35" s="307">
        <f>'P&amp;L - Concept C2 - All'!G30</f>
        <v>0.70666666666666667</v>
      </c>
      <c r="O35" s="307">
        <f>'P&amp;L - Concept C2 - All'!H30</f>
        <v>0.70666666666666667</v>
      </c>
      <c r="P35" s="307">
        <f>'P&amp;L - Concept C2 - All'!I30</f>
        <v>0.70666666666666667</v>
      </c>
      <c r="Q35" s="307">
        <f>'P&amp;L - Concept C2 - All'!J30</f>
        <v>0.70666666666666667</v>
      </c>
      <c r="R35" s="307">
        <f>'P&amp;L - Concept C2 - All'!K30</f>
        <v>0.70666666666666667</v>
      </c>
      <c r="S35" s="307">
        <f>'P&amp;L - Concept C2 - All'!L30</f>
        <v>0.70666666666666667</v>
      </c>
      <c r="T35" s="307">
        <f>'P&amp;L - Concept C2 - All'!M30</f>
        <v>0.70666666666666667</v>
      </c>
      <c r="U35" s="307">
        <f>'P&amp;L - Concept C2 - All'!N30</f>
        <v>0.70666666666666667</v>
      </c>
      <c r="V35" s="307">
        <f>'P&amp;L - Concept C2 - All'!O30</f>
        <v>0.70666666666666667</v>
      </c>
      <c r="W35" s="307">
        <f>'P&amp;L - Concept C2 - All'!P30</f>
        <v>0.70666666666666667</v>
      </c>
      <c r="X35" s="307">
        <f>'P&amp;L - Concept C2 - All'!Q30</f>
        <v>0.70666666666666667</v>
      </c>
      <c r="Y35" s="307">
        <f>'P&amp;L - Concept C2 - All'!R30</f>
        <v>0.70666666666666667</v>
      </c>
      <c r="Z35" s="307">
        <f>'P&amp;L - Concept C2 - All'!S30</f>
        <v>0.70666666666666667</v>
      </c>
      <c r="AA35" s="307">
        <f>'P&amp;L - Concept C2 - All'!T30</f>
        <v>0.70666666666666667</v>
      </c>
      <c r="AB35" s="307">
        <f>'P&amp;L - Concept C2 - All'!U30</f>
        <v>0.70666666666666667</v>
      </c>
      <c r="AC35" s="307">
        <f>'P&amp;L - Concept C2 - All'!V30</f>
        <v>0.70666666666666667</v>
      </c>
      <c r="AD35" s="307">
        <f>'P&amp;L - Concept C2 - All'!W30</f>
        <v>0.70666666666666667</v>
      </c>
      <c r="AE35" s="307">
        <f>'P&amp;L - Concept C2 - All'!X30</f>
        <v>0.70666666666666667</v>
      </c>
    </row>
    <row r="36" spans="1:31" s="96" customFormat="1">
      <c r="A36" s="54" t="s">
        <v>226</v>
      </c>
      <c r="B36" s="487"/>
      <c r="C36" s="487"/>
      <c r="K36" s="486">
        <f>'P&amp;L - Concept C2 - All'!D31</f>
        <v>0</v>
      </c>
      <c r="L36" s="313">
        <f>'P&amp;L - Concept C2 - All'!E31</f>
        <v>0</v>
      </c>
      <c r="M36" s="313">
        <f>'P&amp;L - Concept C2 - All'!F31</f>
        <v>125</v>
      </c>
      <c r="N36" s="313">
        <f>'P&amp;L - Concept C2 - All'!G31</f>
        <v>125</v>
      </c>
      <c r="O36" s="313">
        <f>'P&amp;L - Concept C2 - All'!H31</f>
        <v>125</v>
      </c>
      <c r="P36" s="313">
        <f>'P&amp;L - Concept C2 - All'!I31</f>
        <v>125</v>
      </c>
      <c r="Q36" s="313">
        <f>'P&amp;L - Concept C2 - All'!J31</f>
        <v>125</v>
      </c>
      <c r="R36" s="313">
        <f>'P&amp;L - Concept C2 - All'!K31</f>
        <v>125</v>
      </c>
      <c r="S36" s="313">
        <f>'P&amp;L - Concept C2 - All'!L31</f>
        <v>125</v>
      </c>
      <c r="T36" s="313">
        <f>'P&amp;L - Concept C2 - All'!M31</f>
        <v>125</v>
      </c>
      <c r="U36" s="313">
        <f>'P&amp;L - Concept C2 - All'!N31</f>
        <v>125</v>
      </c>
      <c r="V36" s="313">
        <f>'P&amp;L - Concept C2 - All'!O31</f>
        <v>125</v>
      </c>
      <c r="W36" s="313">
        <f>'P&amp;L - Concept C2 - All'!P31</f>
        <v>125</v>
      </c>
      <c r="X36" s="313">
        <f>'P&amp;L - Concept C2 - All'!Q31</f>
        <v>125</v>
      </c>
      <c r="Y36" s="313">
        <f>'P&amp;L - Concept C2 - All'!R31</f>
        <v>125</v>
      </c>
      <c r="Z36" s="313">
        <f>'P&amp;L - Concept C2 - All'!S31</f>
        <v>125</v>
      </c>
      <c r="AA36" s="313">
        <f>'P&amp;L - Concept C2 - All'!T31</f>
        <v>125</v>
      </c>
      <c r="AB36" s="313">
        <f>'P&amp;L - Concept C2 - All'!U31</f>
        <v>125</v>
      </c>
      <c r="AC36" s="313">
        <f>'P&amp;L - Concept C2 - All'!V31</f>
        <v>125</v>
      </c>
      <c r="AD36" s="313">
        <f>'P&amp;L - Concept C2 - All'!W31</f>
        <v>125</v>
      </c>
      <c r="AE36" s="313">
        <f>'P&amp;L - Concept C2 - All'!X31</f>
        <v>125</v>
      </c>
    </row>
    <row r="37" spans="1:31" s="96" customFormat="1">
      <c r="A37" s="54"/>
      <c r="B37" s="487"/>
      <c r="C37" s="487"/>
      <c r="K37" s="486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</row>
    <row r="38" spans="1:31" s="96" customFormat="1">
      <c r="A38" s="54" t="s">
        <v>206</v>
      </c>
      <c r="B38" s="487"/>
      <c r="C38" s="487"/>
      <c r="K38" s="486">
        <f>'P&amp;L - Concept C2 - All'!D33</f>
        <v>0</v>
      </c>
      <c r="L38" s="313">
        <f>'P&amp;L - Concept C2 - All'!E33</f>
        <v>0</v>
      </c>
      <c r="M38" s="313">
        <f>'P&amp;L - Concept C2 - All'!F33</f>
        <v>2467.6698113207549</v>
      </c>
      <c r="N38" s="313">
        <f>'P&amp;L - Concept C2 - All'!G33</f>
        <v>2467.6698113207549</v>
      </c>
      <c r="O38" s="313">
        <f>'P&amp;L - Concept C2 - All'!H33</f>
        <v>2467.6698113207549</v>
      </c>
      <c r="P38" s="313">
        <f>'P&amp;L - Concept C2 - All'!I33</f>
        <v>2467.6698113207549</v>
      </c>
      <c r="Q38" s="313">
        <f>'P&amp;L - Concept C2 - All'!J33</f>
        <v>2467.6698113207549</v>
      </c>
      <c r="R38" s="313">
        <f>'P&amp;L - Concept C2 - All'!K33</f>
        <v>2467.6698113207549</v>
      </c>
      <c r="S38" s="313">
        <f>'P&amp;L - Concept C2 - All'!L33</f>
        <v>2467.6698113207549</v>
      </c>
      <c r="T38" s="313">
        <f>'P&amp;L - Concept C2 - All'!M33</f>
        <v>2467.6698113207549</v>
      </c>
      <c r="U38" s="313">
        <f>'P&amp;L - Concept C2 - All'!N33</f>
        <v>2467.6698113207549</v>
      </c>
      <c r="V38" s="313">
        <f>'P&amp;L - Concept C2 - All'!O33</f>
        <v>2467.6698113207549</v>
      </c>
      <c r="W38" s="313">
        <f>'P&amp;L - Concept C2 - All'!P33</f>
        <v>2467.6698113207549</v>
      </c>
      <c r="X38" s="313">
        <f>'P&amp;L - Concept C2 - All'!Q33</f>
        <v>2467.6698113207549</v>
      </c>
      <c r="Y38" s="313">
        <f>'P&amp;L - Concept C2 - All'!R33</f>
        <v>2467.6698113207549</v>
      </c>
      <c r="Z38" s="313">
        <f>'P&amp;L - Concept C2 - All'!S33</f>
        <v>2467.6698113207549</v>
      </c>
      <c r="AA38" s="313">
        <f>'P&amp;L - Concept C2 - All'!T33</f>
        <v>2467.6698113207549</v>
      </c>
      <c r="AB38" s="313">
        <f>'P&amp;L - Concept C2 - All'!U33</f>
        <v>2467.6698113207549</v>
      </c>
      <c r="AC38" s="313">
        <f>'P&amp;L - Concept C2 - All'!V33</f>
        <v>2467.6698113207549</v>
      </c>
      <c r="AD38" s="313">
        <f>'P&amp;L - Concept C2 - All'!W33</f>
        <v>2467.6698113207549</v>
      </c>
      <c r="AE38" s="313">
        <f>'P&amp;L - Concept C2 - All'!X33</f>
        <v>2467.6698113207549</v>
      </c>
    </row>
    <row r="39" spans="1:31" s="96" customFormat="1">
      <c r="A39" s="54" t="s">
        <v>207</v>
      </c>
      <c r="B39" s="487"/>
      <c r="C39" s="487"/>
      <c r="K39" s="486">
        <f>'P&amp;L - Concept C2 - All'!D34</f>
        <v>0</v>
      </c>
      <c r="L39" s="313">
        <f>'P&amp;L - Concept C2 - All'!E34</f>
        <v>0</v>
      </c>
      <c r="M39" s="313">
        <f>'P&amp;L - Concept C2 - All'!F34</f>
        <v>5500</v>
      </c>
      <c r="N39" s="313">
        <f>'P&amp;L - Concept C2 - All'!G34</f>
        <v>5500</v>
      </c>
      <c r="O39" s="313">
        <f>'P&amp;L - Concept C2 - All'!H34</f>
        <v>5500</v>
      </c>
      <c r="P39" s="313">
        <f>'P&amp;L - Concept C2 - All'!I34</f>
        <v>5500</v>
      </c>
      <c r="Q39" s="313">
        <f>'P&amp;L - Concept C2 - All'!J34</f>
        <v>5500</v>
      </c>
      <c r="R39" s="313">
        <f>'P&amp;L - Concept C2 - All'!K34</f>
        <v>5500</v>
      </c>
      <c r="S39" s="313">
        <f>'P&amp;L - Concept C2 - All'!L34</f>
        <v>5500</v>
      </c>
      <c r="T39" s="313">
        <f>'P&amp;L - Concept C2 - All'!M34</f>
        <v>5500</v>
      </c>
      <c r="U39" s="313">
        <f>'P&amp;L - Concept C2 - All'!N34</f>
        <v>5500</v>
      </c>
      <c r="V39" s="313">
        <f>'P&amp;L - Concept C2 - All'!O34</f>
        <v>5500</v>
      </c>
      <c r="W39" s="313">
        <f>'P&amp;L - Concept C2 - All'!P34</f>
        <v>5500</v>
      </c>
      <c r="X39" s="313">
        <f>'P&amp;L - Concept C2 - All'!Q34</f>
        <v>5500</v>
      </c>
      <c r="Y39" s="313">
        <f>'P&amp;L - Concept C2 - All'!R34</f>
        <v>5500</v>
      </c>
      <c r="Z39" s="313">
        <f>'P&amp;L - Concept C2 - All'!S34</f>
        <v>5500</v>
      </c>
      <c r="AA39" s="313">
        <f>'P&amp;L - Concept C2 - All'!T34</f>
        <v>5500</v>
      </c>
      <c r="AB39" s="313">
        <f>'P&amp;L - Concept C2 - All'!U34</f>
        <v>5500</v>
      </c>
      <c r="AC39" s="313">
        <f>'P&amp;L - Concept C2 - All'!V34</f>
        <v>5500</v>
      </c>
      <c r="AD39" s="313">
        <f>'P&amp;L - Concept C2 - All'!W34</f>
        <v>5500</v>
      </c>
      <c r="AE39" s="313">
        <f>'P&amp;L - Concept C2 - All'!X34</f>
        <v>5500</v>
      </c>
    </row>
    <row r="40" spans="1:31" s="96" customFormat="1">
      <c r="A40" s="54" t="s">
        <v>221</v>
      </c>
      <c r="B40" s="487"/>
      <c r="C40" s="487"/>
      <c r="K40" s="486">
        <f>'P&amp;L - Concept C2 - All'!D35</f>
        <v>0</v>
      </c>
      <c r="L40" s="313">
        <f>'P&amp;L - Concept C2 - All'!E35</f>
        <v>400</v>
      </c>
      <c r="M40" s="313">
        <f>'P&amp;L - Concept C2 - All'!F35</f>
        <v>466.66666666666669</v>
      </c>
      <c r="N40" s="313">
        <f>'P&amp;L - Concept C2 - All'!G35</f>
        <v>533.33333333333337</v>
      </c>
      <c r="O40" s="313">
        <f>'P&amp;L - Concept C2 - All'!H35</f>
        <v>533.33333333333337</v>
      </c>
      <c r="P40" s="313">
        <f>'P&amp;L - Concept C2 - All'!I35</f>
        <v>533.33333333333337</v>
      </c>
      <c r="Q40" s="313">
        <f>'P&amp;L - Concept C2 - All'!J35</f>
        <v>533.33333333333337</v>
      </c>
      <c r="R40" s="313">
        <f>'P&amp;L - Concept C2 - All'!K35</f>
        <v>533.33333333333337</v>
      </c>
      <c r="S40" s="313">
        <f>'P&amp;L - Concept C2 - All'!L35</f>
        <v>533.33333333333337</v>
      </c>
      <c r="T40" s="313">
        <f>'P&amp;L - Concept C2 - All'!M35</f>
        <v>533.33333333333337</v>
      </c>
      <c r="U40" s="313">
        <f>'P&amp;L - Concept C2 - All'!N35</f>
        <v>533.33333333333337</v>
      </c>
      <c r="V40" s="313">
        <f>'P&amp;L - Concept C2 - All'!O35</f>
        <v>533.33333333333337</v>
      </c>
      <c r="W40" s="313">
        <f>'P&amp;L - Concept C2 - All'!P35</f>
        <v>533.33333333333337</v>
      </c>
      <c r="X40" s="313">
        <f>'P&amp;L - Concept C2 - All'!Q35</f>
        <v>533.33333333333337</v>
      </c>
      <c r="Y40" s="313">
        <f>'P&amp;L - Concept C2 - All'!R35</f>
        <v>533.33333333333337</v>
      </c>
      <c r="Z40" s="313">
        <f>'P&amp;L - Concept C2 - All'!S35</f>
        <v>533.33333333333337</v>
      </c>
      <c r="AA40" s="313">
        <f>'P&amp;L - Concept C2 - All'!T35</f>
        <v>533.33333333333337</v>
      </c>
      <c r="AB40" s="313">
        <f>'P&amp;L - Concept C2 - All'!U35</f>
        <v>533.33333333333337</v>
      </c>
      <c r="AC40" s="313">
        <f>'P&amp;L - Concept C2 - All'!V35</f>
        <v>533.33333333333337</v>
      </c>
      <c r="AD40" s="313">
        <f>'P&amp;L - Concept C2 - All'!W35</f>
        <v>533.33333333333337</v>
      </c>
      <c r="AE40" s="313">
        <f>'P&amp;L - Concept C2 - All'!X35</f>
        <v>533.33333333333337</v>
      </c>
    </row>
    <row r="41" spans="1:31" s="96" customFormat="1">
      <c r="A41" s="54" t="s">
        <v>222</v>
      </c>
      <c r="B41" s="487"/>
      <c r="C41" s="487"/>
      <c r="K41" s="486">
        <f>'P&amp;L - Concept C2 - All'!D36</f>
        <v>0</v>
      </c>
      <c r="L41" s="313">
        <f>'P&amp;L - Concept C2 - All'!E36</f>
        <v>800</v>
      </c>
      <c r="M41" s="313">
        <f>'P&amp;L - Concept C2 - All'!F36</f>
        <v>800</v>
      </c>
      <c r="N41" s="313">
        <f>'P&amp;L - Concept C2 - All'!G36</f>
        <v>800</v>
      </c>
      <c r="O41" s="313">
        <f>'P&amp;L - Concept C2 - All'!H36</f>
        <v>800</v>
      </c>
      <c r="P41" s="313">
        <f>'P&amp;L - Concept C2 - All'!I36</f>
        <v>800</v>
      </c>
      <c r="Q41" s="313">
        <f>'P&amp;L - Concept C2 - All'!J36</f>
        <v>800</v>
      </c>
      <c r="R41" s="313">
        <f>'P&amp;L - Concept C2 - All'!K36</f>
        <v>800</v>
      </c>
      <c r="S41" s="313">
        <f>'P&amp;L - Concept C2 - All'!L36</f>
        <v>800</v>
      </c>
      <c r="T41" s="313">
        <f>'P&amp;L - Concept C2 - All'!M36</f>
        <v>800</v>
      </c>
      <c r="U41" s="313">
        <f>'P&amp;L - Concept C2 - All'!N36</f>
        <v>800</v>
      </c>
      <c r="V41" s="313">
        <f>'P&amp;L - Concept C2 - All'!O36</f>
        <v>800</v>
      </c>
      <c r="W41" s="313">
        <f>'P&amp;L - Concept C2 - All'!P36</f>
        <v>800</v>
      </c>
      <c r="X41" s="313">
        <f>'P&amp;L - Concept C2 - All'!Q36</f>
        <v>800</v>
      </c>
      <c r="Y41" s="313">
        <f>'P&amp;L - Concept C2 - All'!R36</f>
        <v>800</v>
      </c>
      <c r="Z41" s="313">
        <f>'P&amp;L - Concept C2 - All'!S36</f>
        <v>800</v>
      </c>
      <c r="AA41" s="313">
        <f>'P&amp;L - Concept C2 - All'!T36</f>
        <v>800</v>
      </c>
      <c r="AB41" s="313">
        <f>'P&amp;L - Concept C2 - All'!U36</f>
        <v>800</v>
      </c>
      <c r="AC41" s="313">
        <f>'P&amp;L - Concept C2 - All'!V36</f>
        <v>800</v>
      </c>
      <c r="AD41" s="313">
        <f>'P&amp;L - Concept C2 - All'!W36</f>
        <v>800</v>
      </c>
      <c r="AE41" s="313">
        <f>'P&amp;L - Concept C2 - All'!X36</f>
        <v>800</v>
      </c>
    </row>
    <row r="42" spans="1:31" s="96" customFormat="1">
      <c r="A42" s="54" t="s">
        <v>208</v>
      </c>
      <c r="B42" s="487"/>
      <c r="C42" s="487"/>
      <c r="K42" s="486">
        <f>'P&amp;L - Concept C2 - All'!D37</f>
        <v>0</v>
      </c>
      <c r="L42" s="313">
        <f>'P&amp;L - Concept C2 - All'!E37</f>
        <v>800</v>
      </c>
      <c r="M42" s="313">
        <f>'P&amp;L - Concept C2 - All'!F37</f>
        <v>6300</v>
      </c>
      <c r="N42" s="313">
        <f>'P&amp;L - Concept C2 - All'!G37</f>
        <v>6300</v>
      </c>
      <c r="O42" s="313">
        <f>'P&amp;L - Concept C2 - All'!H37</f>
        <v>6300</v>
      </c>
      <c r="P42" s="313">
        <f>'P&amp;L - Concept C2 - All'!I37</f>
        <v>6300</v>
      </c>
      <c r="Q42" s="313">
        <f>'P&amp;L - Concept C2 - All'!J37</f>
        <v>6300</v>
      </c>
      <c r="R42" s="313">
        <f>'P&amp;L - Concept C2 - All'!K37</f>
        <v>6300</v>
      </c>
      <c r="S42" s="313">
        <f>'P&amp;L - Concept C2 - All'!L37</f>
        <v>6300</v>
      </c>
      <c r="T42" s="313">
        <f>'P&amp;L - Concept C2 - All'!M37</f>
        <v>6300</v>
      </c>
      <c r="U42" s="313">
        <f>'P&amp;L - Concept C2 - All'!N37</f>
        <v>6300</v>
      </c>
      <c r="V42" s="313">
        <f>'P&amp;L - Concept C2 - All'!O37</f>
        <v>6300</v>
      </c>
      <c r="W42" s="313">
        <f>'P&amp;L - Concept C2 - All'!P37</f>
        <v>6300</v>
      </c>
      <c r="X42" s="313">
        <f>'P&amp;L - Concept C2 - All'!Q37</f>
        <v>6300</v>
      </c>
      <c r="Y42" s="313">
        <f>'P&amp;L - Concept C2 - All'!R37</f>
        <v>6300</v>
      </c>
      <c r="Z42" s="313">
        <f>'P&amp;L - Concept C2 - All'!S37</f>
        <v>6300</v>
      </c>
      <c r="AA42" s="313">
        <f>'P&amp;L - Concept C2 - All'!T37</f>
        <v>6300</v>
      </c>
      <c r="AB42" s="313">
        <f>'P&amp;L - Concept C2 - All'!U37</f>
        <v>6300</v>
      </c>
      <c r="AC42" s="313">
        <f>'P&amp;L - Concept C2 - All'!V37</f>
        <v>6300</v>
      </c>
      <c r="AD42" s="313">
        <f>'P&amp;L - Concept C2 - All'!W37</f>
        <v>6300</v>
      </c>
      <c r="AE42" s="313">
        <f>'P&amp;L - Concept C2 - All'!X37</f>
        <v>6300</v>
      </c>
    </row>
    <row r="43" spans="1:31" s="96" customFormat="1">
      <c r="A43" s="54"/>
      <c r="B43" s="487"/>
      <c r="C43" s="487"/>
      <c r="K43" s="486"/>
      <c r="L43" s="313"/>
      <c r="M43" s="313"/>
      <c r="N43" s="313"/>
      <c r="O43" s="313"/>
      <c r="P43" s="313"/>
      <c r="Q43" s="313"/>
      <c r="R43" s="313"/>
      <c r="S43" s="313"/>
      <c r="T43" s="313"/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</row>
    <row r="44" spans="1:31" s="96" customFormat="1">
      <c r="A44" s="54" t="s">
        <v>223</v>
      </c>
      <c r="B44" s="583"/>
      <c r="C44" s="583"/>
      <c r="K44" s="486">
        <f>'P&amp;L - Concept C2 - All'!D39</f>
        <v>0</v>
      </c>
      <c r="L44" s="313">
        <f>'P&amp;L - Concept C2 - All'!E39</f>
        <v>160.26666666666668</v>
      </c>
      <c r="M44" s="313">
        <f>'P&amp;L - Concept C2 - All'!F39</f>
        <v>187</v>
      </c>
      <c r="N44" s="313">
        <f>'P&amp;L - Concept C2 - All'!G39</f>
        <v>213.73333333333332</v>
      </c>
      <c r="O44" s="313">
        <f>'P&amp;L - Concept C2 - All'!H39</f>
        <v>213.73333333333332</v>
      </c>
      <c r="P44" s="313">
        <f>'P&amp;L - Concept C2 - All'!I39</f>
        <v>213.73333333333332</v>
      </c>
      <c r="Q44" s="313">
        <f>'P&amp;L - Concept C2 - All'!J39</f>
        <v>213.73333333333332</v>
      </c>
      <c r="R44" s="313">
        <f>'P&amp;L - Concept C2 - All'!K39</f>
        <v>213.73333333333332</v>
      </c>
      <c r="S44" s="313">
        <f>'P&amp;L - Concept C2 - All'!L39</f>
        <v>213.73333333333332</v>
      </c>
      <c r="T44" s="313">
        <f>'P&amp;L - Concept C2 - All'!M39</f>
        <v>213.73333333333332</v>
      </c>
      <c r="U44" s="313">
        <f>'P&amp;L - Concept C2 - All'!N39</f>
        <v>213.73333333333332</v>
      </c>
      <c r="V44" s="313">
        <f>'P&amp;L - Concept C2 - All'!O39</f>
        <v>213.73333333333332</v>
      </c>
      <c r="W44" s="313">
        <f>'P&amp;L - Concept C2 - All'!P39</f>
        <v>213.73333333333332</v>
      </c>
      <c r="X44" s="313">
        <f>'P&amp;L - Concept C2 - All'!Q39</f>
        <v>213.73333333333332</v>
      </c>
      <c r="Y44" s="313">
        <f>'P&amp;L - Concept C2 - All'!R39</f>
        <v>213.73333333333332</v>
      </c>
      <c r="Z44" s="313">
        <f>'P&amp;L - Concept C2 - All'!S39</f>
        <v>213.73333333333332</v>
      </c>
      <c r="AA44" s="313">
        <f>'P&amp;L - Concept C2 - All'!T39</f>
        <v>213.73333333333332</v>
      </c>
      <c r="AB44" s="313">
        <f>'P&amp;L - Concept C2 - All'!U39</f>
        <v>213.73333333333332</v>
      </c>
      <c r="AC44" s="313">
        <f>'P&amp;L - Concept C2 - All'!V39</f>
        <v>213.73333333333332</v>
      </c>
      <c r="AD44" s="313">
        <f>'P&amp;L - Concept C2 - All'!W39</f>
        <v>213.73333333333332</v>
      </c>
      <c r="AE44" s="313">
        <f>'P&amp;L - Concept C2 - All'!X39</f>
        <v>213.73333333333332</v>
      </c>
    </row>
    <row r="45" spans="1:31" s="96" customFormat="1">
      <c r="A45" s="54"/>
      <c r="B45" s="583"/>
      <c r="C45" s="583"/>
      <c r="K45" s="492"/>
      <c r="L45" s="313"/>
      <c r="M45" s="313"/>
      <c r="N45" s="313"/>
      <c r="O45" s="313"/>
      <c r="P45" s="313"/>
      <c r="Q45" s="313"/>
      <c r="R45" s="313"/>
      <c r="S45" s="313"/>
      <c r="T45" s="313"/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</row>
    <row r="46" spans="1:31" s="18" customFormat="1">
      <c r="A46" s="293" t="s">
        <v>26</v>
      </c>
      <c r="B46" s="74"/>
      <c r="C46" s="74"/>
      <c r="K46" s="492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</row>
    <row r="47" spans="1:31" s="18" customFormat="1">
      <c r="A47" s="54" t="s">
        <v>264</v>
      </c>
      <c r="B47" s="277"/>
      <c r="C47" s="74"/>
      <c r="K47" s="486">
        <f>'P&amp;L - Concept C2 - All'!D42</f>
        <v>0</v>
      </c>
      <c r="L47" s="313">
        <f>'P&amp;L - Concept C2 - All'!E42</f>
        <v>13920.314236111111</v>
      </c>
      <c r="M47" s="313">
        <f>'P&amp;L - Concept C2 - All'!F42</f>
        <v>13920.314236111111</v>
      </c>
      <c r="N47" s="313">
        <f>'P&amp;L - Concept C2 - All'!G42</f>
        <v>13920.314236111111</v>
      </c>
      <c r="O47" s="313">
        <f>'P&amp;L - Concept C2 - All'!H42</f>
        <v>13920.314236111111</v>
      </c>
      <c r="P47" s="313">
        <f>'P&amp;L - Concept C2 - All'!I42</f>
        <v>13920.314236111111</v>
      </c>
      <c r="Q47" s="313">
        <f>'P&amp;L - Concept C2 - All'!J42</f>
        <v>13920.314236111111</v>
      </c>
      <c r="R47" s="313">
        <f>'P&amp;L - Concept C2 - All'!K42</f>
        <v>13920.314236111111</v>
      </c>
      <c r="S47" s="313">
        <f>'P&amp;L - Concept C2 - All'!L42</f>
        <v>13920.314236111111</v>
      </c>
      <c r="T47" s="313">
        <f>'P&amp;L - Concept C2 - All'!M42</f>
        <v>13920.314236111111</v>
      </c>
      <c r="U47" s="313">
        <f>'P&amp;L - Concept C2 - All'!N42</f>
        <v>13920.314236111111</v>
      </c>
      <c r="V47" s="313">
        <f>'P&amp;L - Concept C2 - All'!O42</f>
        <v>13920.314236111111</v>
      </c>
      <c r="W47" s="313">
        <f>'P&amp;L - Concept C2 - All'!P42</f>
        <v>13920.314236111111</v>
      </c>
      <c r="X47" s="313">
        <f>'P&amp;L - Concept C2 - All'!Q42</f>
        <v>13920.314236111111</v>
      </c>
      <c r="Y47" s="313">
        <f>'P&amp;L - Concept C2 - All'!R42</f>
        <v>13920.314236111111</v>
      </c>
      <c r="Z47" s="313">
        <f>'P&amp;L - Concept C2 - All'!S42</f>
        <v>13920.314236111111</v>
      </c>
      <c r="AA47" s="313">
        <f>'P&amp;L - Concept C2 - All'!T42</f>
        <v>13920.314236111111</v>
      </c>
      <c r="AB47" s="313">
        <f>'P&amp;L - Concept C2 - All'!U42</f>
        <v>13920.314236111111</v>
      </c>
      <c r="AC47" s="313">
        <f>'P&amp;L - Concept C2 - All'!V42</f>
        <v>13920.314236111111</v>
      </c>
      <c r="AD47" s="313">
        <f>'P&amp;L - Concept C2 - All'!W42</f>
        <v>13920.314236111111</v>
      </c>
      <c r="AE47" s="313">
        <f>'P&amp;L - Concept C2 - All'!X42</f>
        <v>13920.314236111111</v>
      </c>
    </row>
    <row r="48" spans="1:31" s="18" customFormat="1">
      <c r="A48" s="54" t="s">
        <v>267</v>
      </c>
      <c r="B48" s="277"/>
      <c r="C48" s="74"/>
      <c r="K48" s="486">
        <f>'P&amp;L - Concept C2 - All'!D43</f>
        <v>0</v>
      </c>
      <c r="L48" s="313">
        <f>'P&amp;L - Concept C2 - All'!E43</f>
        <v>13115.666666666662</v>
      </c>
      <c r="M48" s="313">
        <f>'P&amp;L - Concept C2 - All'!F43</f>
        <v>13115.666666666662</v>
      </c>
      <c r="N48" s="313">
        <f>'P&amp;L - Concept C2 - All'!G43</f>
        <v>13115.666666666662</v>
      </c>
      <c r="O48" s="313">
        <f>'P&amp;L - Concept C2 - All'!H43</f>
        <v>13115.666666666662</v>
      </c>
      <c r="P48" s="313">
        <f>'P&amp;L - Concept C2 - All'!I43</f>
        <v>13115.666666666662</v>
      </c>
      <c r="Q48" s="313">
        <f>'P&amp;L - Concept C2 - All'!J43</f>
        <v>13115.666666666662</v>
      </c>
      <c r="R48" s="313">
        <f>'P&amp;L - Concept C2 - All'!K43</f>
        <v>13115.666666666662</v>
      </c>
      <c r="S48" s="313">
        <f>'P&amp;L - Concept C2 - All'!L43</f>
        <v>13115.666666666662</v>
      </c>
      <c r="T48" s="313">
        <f>'P&amp;L - Concept C2 - All'!M43</f>
        <v>13115.666666666662</v>
      </c>
      <c r="U48" s="313">
        <f>'P&amp;L - Concept C2 - All'!N43</f>
        <v>13115.666666666662</v>
      </c>
      <c r="V48" s="313">
        <f>'P&amp;L - Concept C2 - All'!O43</f>
        <v>13115.666666666662</v>
      </c>
      <c r="W48" s="313">
        <f>'P&amp;L - Concept C2 - All'!P43</f>
        <v>13115.666666666662</v>
      </c>
      <c r="X48" s="313">
        <f>'P&amp;L - Concept C2 - All'!Q43</f>
        <v>13115.666666666662</v>
      </c>
      <c r="Y48" s="313">
        <f>'P&amp;L - Concept C2 - All'!R43</f>
        <v>13115.666666666662</v>
      </c>
      <c r="Z48" s="313">
        <f>'P&amp;L - Concept C2 - All'!S43</f>
        <v>13115.666666666662</v>
      </c>
      <c r="AA48" s="313">
        <f>'P&amp;L - Concept C2 - All'!T43</f>
        <v>13115.666666666662</v>
      </c>
      <c r="AB48" s="313">
        <f>'P&amp;L - Concept C2 - All'!U43</f>
        <v>13115.666666666662</v>
      </c>
      <c r="AC48" s="313">
        <f>'P&amp;L - Concept C2 - All'!V43</f>
        <v>13115.666666666662</v>
      </c>
      <c r="AD48" s="313">
        <f>'P&amp;L - Concept C2 - All'!W43</f>
        <v>13115.666666666662</v>
      </c>
      <c r="AE48" s="313">
        <f>'P&amp;L - Concept C2 - All'!X43</f>
        <v>13115.666666666662</v>
      </c>
    </row>
    <row r="49" spans="1:32 16384:16384" s="96" customFormat="1">
      <c r="A49" s="54" t="s">
        <v>274</v>
      </c>
      <c r="B49" s="435"/>
      <c r="C49" s="583"/>
      <c r="K49" s="486">
        <f>'P&amp;L - Concept C2 - All'!D44</f>
        <v>0</v>
      </c>
      <c r="L49" s="313">
        <f>'P&amp;L - Concept C2 - All'!E44</f>
        <v>27035.980902777774</v>
      </c>
      <c r="M49" s="313">
        <f>'P&amp;L - Concept C2 - All'!F44</f>
        <v>27035.980902777774</v>
      </c>
      <c r="N49" s="313">
        <f>'P&amp;L - Concept C2 - All'!G44</f>
        <v>27035.980902777774</v>
      </c>
      <c r="O49" s="313">
        <f>'P&amp;L - Concept C2 - All'!H44</f>
        <v>27035.980902777774</v>
      </c>
      <c r="P49" s="313">
        <f>'P&amp;L - Concept C2 - All'!I44</f>
        <v>27035.980902777774</v>
      </c>
      <c r="Q49" s="313">
        <f>'P&amp;L - Concept C2 - All'!J44</f>
        <v>27035.980902777774</v>
      </c>
      <c r="R49" s="313">
        <f>'P&amp;L - Concept C2 - All'!K44</f>
        <v>27035.980902777774</v>
      </c>
      <c r="S49" s="313">
        <f>'P&amp;L - Concept C2 - All'!L44</f>
        <v>27035.980902777774</v>
      </c>
      <c r="T49" s="313">
        <f>'P&amp;L - Concept C2 - All'!M44</f>
        <v>27035.980902777774</v>
      </c>
      <c r="U49" s="313">
        <f>'P&amp;L - Concept C2 - All'!N44</f>
        <v>27035.980902777774</v>
      </c>
      <c r="V49" s="313">
        <f>'P&amp;L - Concept C2 - All'!O44</f>
        <v>27035.980902777774</v>
      </c>
      <c r="W49" s="313">
        <f>'P&amp;L - Concept C2 - All'!P44</f>
        <v>27035.980902777774</v>
      </c>
      <c r="X49" s="313">
        <f>'P&amp;L - Concept C2 - All'!Q44</f>
        <v>27035.980902777774</v>
      </c>
      <c r="Y49" s="313">
        <f>'P&amp;L - Concept C2 - All'!R44</f>
        <v>27035.980902777774</v>
      </c>
      <c r="Z49" s="313">
        <f>'P&amp;L - Concept C2 - All'!S44</f>
        <v>27035.980902777774</v>
      </c>
      <c r="AA49" s="313">
        <f>'P&amp;L - Concept C2 - All'!T44</f>
        <v>27035.980902777774</v>
      </c>
      <c r="AB49" s="313">
        <f>'P&amp;L - Concept C2 - All'!U44</f>
        <v>27035.980902777774</v>
      </c>
      <c r="AC49" s="313">
        <f>'P&amp;L - Concept C2 - All'!V44</f>
        <v>27035.980902777774</v>
      </c>
      <c r="AD49" s="313">
        <f>'P&amp;L - Concept C2 - All'!W44</f>
        <v>27035.980902777774</v>
      </c>
      <c r="AE49" s="313">
        <f>'P&amp;L - Concept C2 - All'!X44</f>
        <v>27035.980902777774</v>
      </c>
    </row>
    <row r="50" spans="1:32 16384:16384" s="18" customFormat="1">
      <c r="A50" s="54"/>
      <c r="B50" s="277"/>
      <c r="C50" s="74"/>
      <c r="K50" s="499"/>
      <c r="L50" s="313"/>
      <c r="M50" s="313"/>
      <c r="N50" s="313"/>
      <c r="O50" s="313"/>
      <c r="P50" s="313"/>
      <c r="Q50" s="313"/>
      <c r="R50" s="313"/>
      <c r="S50" s="313"/>
      <c r="T50" s="313"/>
      <c r="U50" s="313"/>
      <c r="V50" s="313"/>
      <c r="W50" s="313"/>
      <c r="X50" s="313"/>
      <c r="Y50" s="313"/>
      <c r="Z50" s="313"/>
      <c r="AA50" s="313"/>
      <c r="AB50" s="313"/>
      <c r="AC50" s="313"/>
      <c r="AD50" s="313"/>
      <c r="AE50" s="313"/>
    </row>
    <row r="51" spans="1:32 16384:16384" s="96" customFormat="1">
      <c r="A51" s="54" t="s">
        <v>224</v>
      </c>
      <c r="B51" s="435"/>
      <c r="C51" s="583"/>
      <c r="K51" s="486">
        <f>'P&amp;L - Concept C2 - All'!D46</f>
        <v>0</v>
      </c>
      <c r="L51" s="496">
        <f>'P&amp;L - Concept C2 - All'!E46</f>
        <v>3</v>
      </c>
      <c r="M51" s="496">
        <f>'P&amp;L - Concept C2 - All'!F46</f>
        <v>3</v>
      </c>
      <c r="N51" s="496">
        <f>'P&amp;L - Concept C2 - All'!G46</f>
        <v>3</v>
      </c>
      <c r="O51" s="496">
        <f>'P&amp;L - Concept C2 - All'!H46</f>
        <v>3</v>
      </c>
      <c r="P51" s="496">
        <f>'P&amp;L - Concept C2 - All'!I46</f>
        <v>3</v>
      </c>
      <c r="Q51" s="496">
        <f>'P&amp;L - Concept C2 - All'!J46</f>
        <v>3</v>
      </c>
      <c r="R51" s="496">
        <f>'P&amp;L - Concept C2 - All'!K46</f>
        <v>3</v>
      </c>
      <c r="S51" s="496">
        <f>'P&amp;L - Concept C2 - All'!L46</f>
        <v>3</v>
      </c>
      <c r="T51" s="496">
        <f>'P&amp;L - Concept C2 - All'!M46</f>
        <v>3</v>
      </c>
      <c r="U51" s="496">
        <f>'P&amp;L - Concept C2 - All'!N46</f>
        <v>3</v>
      </c>
      <c r="V51" s="496">
        <f>'P&amp;L - Concept C2 - All'!O46</f>
        <v>3</v>
      </c>
      <c r="W51" s="496">
        <f>'P&amp;L - Concept C2 - All'!P46</f>
        <v>3</v>
      </c>
      <c r="X51" s="496">
        <f>'P&amp;L - Concept C2 - All'!Q46</f>
        <v>3</v>
      </c>
      <c r="Y51" s="496">
        <f>'P&amp;L - Concept C2 - All'!R46</f>
        <v>3</v>
      </c>
      <c r="Z51" s="496">
        <f>'P&amp;L - Concept C2 - All'!S46</f>
        <v>3</v>
      </c>
      <c r="AA51" s="496">
        <f>'P&amp;L - Concept C2 - All'!T46</f>
        <v>3</v>
      </c>
      <c r="AB51" s="496">
        <f>'P&amp;L - Concept C2 - All'!U46</f>
        <v>3</v>
      </c>
      <c r="AC51" s="496">
        <f>'P&amp;L - Concept C2 - All'!V46</f>
        <v>3</v>
      </c>
      <c r="AD51" s="496">
        <f>'P&amp;L - Concept C2 - All'!W46</f>
        <v>3</v>
      </c>
      <c r="AE51" s="496">
        <f>'P&amp;L - Concept C2 - All'!X46</f>
        <v>3</v>
      </c>
    </row>
    <row r="52" spans="1:32 16384:16384" s="96" customFormat="1">
      <c r="A52" s="54" t="s">
        <v>225</v>
      </c>
      <c r="B52" s="435"/>
      <c r="C52" s="583"/>
      <c r="K52" s="486">
        <f>'P&amp;L - Concept C2 - All'!D47</f>
        <v>0</v>
      </c>
      <c r="L52" s="496">
        <f>'P&amp;L - Concept C2 - All'!E47</f>
        <v>1</v>
      </c>
      <c r="M52" s="496">
        <f>'P&amp;L - Concept C2 - All'!F47</f>
        <v>1</v>
      </c>
      <c r="N52" s="496">
        <f>'P&amp;L - Concept C2 - All'!G47</f>
        <v>1</v>
      </c>
      <c r="O52" s="496">
        <f>'P&amp;L - Concept C2 - All'!H47</f>
        <v>1</v>
      </c>
      <c r="P52" s="496">
        <f>'P&amp;L - Concept C2 - All'!I47</f>
        <v>1</v>
      </c>
      <c r="Q52" s="496">
        <f>'P&amp;L - Concept C2 - All'!J47</f>
        <v>1</v>
      </c>
      <c r="R52" s="496">
        <f>'P&amp;L - Concept C2 - All'!K47</f>
        <v>1</v>
      </c>
      <c r="S52" s="496">
        <f>'P&amp;L - Concept C2 - All'!L47</f>
        <v>1</v>
      </c>
      <c r="T52" s="496">
        <f>'P&amp;L - Concept C2 - All'!M47</f>
        <v>1</v>
      </c>
      <c r="U52" s="496">
        <f>'P&amp;L - Concept C2 - All'!N47</f>
        <v>1</v>
      </c>
      <c r="V52" s="496">
        <f>'P&amp;L - Concept C2 - All'!O47</f>
        <v>1</v>
      </c>
      <c r="W52" s="496">
        <f>'P&amp;L - Concept C2 - All'!P47</f>
        <v>1</v>
      </c>
      <c r="X52" s="496">
        <f>'P&amp;L - Concept C2 - All'!Q47</f>
        <v>1</v>
      </c>
      <c r="Y52" s="496">
        <f>'P&amp;L - Concept C2 - All'!R47</f>
        <v>1</v>
      </c>
      <c r="Z52" s="496">
        <f>'P&amp;L - Concept C2 - All'!S47</f>
        <v>1</v>
      </c>
      <c r="AA52" s="496">
        <f>'P&amp;L - Concept C2 - All'!T47</f>
        <v>1</v>
      </c>
      <c r="AB52" s="496">
        <f>'P&amp;L - Concept C2 - All'!U47</f>
        <v>1</v>
      </c>
      <c r="AC52" s="496">
        <f>'P&amp;L - Concept C2 - All'!V47</f>
        <v>1</v>
      </c>
      <c r="AD52" s="496">
        <f>'P&amp;L - Concept C2 - All'!W47</f>
        <v>1</v>
      </c>
      <c r="AE52" s="496">
        <f>'P&amp;L - Concept C2 - All'!X47</f>
        <v>1</v>
      </c>
    </row>
    <row r="53" spans="1:32 16384:16384" s="18" customFormat="1">
      <c r="A53" s="54" t="s">
        <v>209</v>
      </c>
      <c r="B53" s="277"/>
      <c r="C53" s="74"/>
      <c r="K53" s="486">
        <f>'P&amp;L - Concept C2 - All'!D48</f>
        <v>0</v>
      </c>
      <c r="L53" s="496">
        <f>'P&amp;L - Concept C2 - All'!E48</f>
        <v>0.5</v>
      </c>
      <c r="M53" s="496">
        <f>'P&amp;L - Concept C2 - All'!F48</f>
        <v>0.5</v>
      </c>
      <c r="N53" s="496">
        <f>'P&amp;L - Concept C2 - All'!G48</f>
        <v>0.5</v>
      </c>
      <c r="O53" s="496">
        <f>'P&amp;L - Concept C2 - All'!H48</f>
        <v>0.5</v>
      </c>
      <c r="P53" s="496">
        <f>'P&amp;L - Concept C2 - All'!I48</f>
        <v>0.5</v>
      </c>
      <c r="Q53" s="496">
        <f>'P&amp;L - Concept C2 - All'!J48</f>
        <v>0.5</v>
      </c>
      <c r="R53" s="496">
        <f>'P&amp;L - Concept C2 - All'!K48</f>
        <v>0.5</v>
      </c>
      <c r="S53" s="496">
        <f>'P&amp;L - Concept C2 - All'!L48</f>
        <v>0.5</v>
      </c>
      <c r="T53" s="496">
        <f>'P&amp;L - Concept C2 - All'!M48</f>
        <v>0.5</v>
      </c>
      <c r="U53" s="496">
        <f>'P&amp;L - Concept C2 - All'!N48</f>
        <v>0.5</v>
      </c>
      <c r="V53" s="496">
        <f>'P&amp;L - Concept C2 - All'!O48</f>
        <v>0.5</v>
      </c>
      <c r="W53" s="496">
        <f>'P&amp;L - Concept C2 - All'!P48</f>
        <v>0.5</v>
      </c>
      <c r="X53" s="496">
        <f>'P&amp;L - Concept C2 - All'!Q48</f>
        <v>0.5</v>
      </c>
      <c r="Y53" s="496">
        <f>'P&amp;L - Concept C2 - All'!R48</f>
        <v>0.5</v>
      </c>
      <c r="Z53" s="496">
        <f>'P&amp;L - Concept C2 - All'!S48</f>
        <v>0.5</v>
      </c>
      <c r="AA53" s="496">
        <f>'P&amp;L - Concept C2 - All'!T48</f>
        <v>0.5</v>
      </c>
      <c r="AB53" s="496">
        <f>'P&amp;L - Concept C2 - All'!U48</f>
        <v>0.5</v>
      </c>
      <c r="AC53" s="496">
        <f>'P&amp;L - Concept C2 - All'!V48</f>
        <v>0.5</v>
      </c>
      <c r="AD53" s="496">
        <f>'P&amp;L - Concept C2 - All'!W48</f>
        <v>0.5</v>
      </c>
      <c r="AE53" s="496">
        <f>'P&amp;L - Concept C2 - All'!X48</f>
        <v>0.5</v>
      </c>
    </row>
    <row r="54" spans="1:32 16384:16384" s="18" customFormat="1">
      <c r="A54" s="54" t="s">
        <v>289</v>
      </c>
      <c r="B54" s="277"/>
      <c r="C54" s="74"/>
      <c r="K54" s="486">
        <f>'P&amp;L - Concept C2 - All'!D49</f>
        <v>0</v>
      </c>
      <c r="L54" s="496">
        <f>'P&amp;L - Concept C2 - All'!E49</f>
        <v>1.5</v>
      </c>
      <c r="M54" s="496">
        <f>'P&amp;L - Concept C2 - All'!F49</f>
        <v>1.5</v>
      </c>
      <c r="N54" s="496">
        <f>'P&amp;L - Concept C2 - All'!G49</f>
        <v>1.5</v>
      </c>
      <c r="O54" s="496">
        <f>'P&amp;L - Concept C2 - All'!H49</f>
        <v>1.5</v>
      </c>
      <c r="P54" s="496">
        <f>'P&amp;L - Concept C2 - All'!I49</f>
        <v>1.5</v>
      </c>
      <c r="Q54" s="496">
        <f>'P&amp;L - Concept C2 - All'!J49</f>
        <v>1.5</v>
      </c>
      <c r="R54" s="496">
        <f>'P&amp;L - Concept C2 - All'!K49</f>
        <v>1.5</v>
      </c>
      <c r="S54" s="496">
        <f>'P&amp;L - Concept C2 - All'!L49</f>
        <v>1.5</v>
      </c>
      <c r="T54" s="496">
        <f>'P&amp;L - Concept C2 - All'!M49</f>
        <v>1.5</v>
      </c>
      <c r="U54" s="496">
        <f>'P&amp;L - Concept C2 - All'!N49</f>
        <v>1.5</v>
      </c>
      <c r="V54" s="496">
        <f>'P&amp;L - Concept C2 - All'!O49</f>
        <v>1.5</v>
      </c>
      <c r="W54" s="496">
        <f>'P&amp;L - Concept C2 - All'!P49</f>
        <v>1.5</v>
      </c>
      <c r="X54" s="496">
        <f>'P&amp;L - Concept C2 - All'!Q49</f>
        <v>1.5</v>
      </c>
      <c r="Y54" s="496">
        <f>'P&amp;L - Concept C2 - All'!R49</f>
        <v>1.5</v>
      </c>
      <c r="Z54" s="496">
        <f>'P&amp;L - Concept C2 - All'!S49</f>
        <v>1.5</v>
      </c>
      <c r="AA54" s="496">
        <f>'P&amp;L - Concept C2 - All'!T49</f>
        <v>1.5</v>
      </c>
      <c r="AB54" s="496">
        <f>'P&amp;L - Concept C2 - All'!U49</f>
        <v>1.5</v>
      </c>
      <c r="AC54" s="496">
        <f>'P&amp;L - Concept C2 - All'!V49</f>
        <v>1.5</v>
      </c>
      <c r="AD54" s="496">
        <f>'P&amp;L - Concept C2 - All'!W49</f>
        <v>1.5</v>
      </c>
      <c r="AE54" s="496">
        <f>'P&amp;L - Concept C2 - All'!X49</f>
        <v>1.5</v>
      </c>
      <c r="XFD54" s="570">
        <f>SUM(K54:XFC54)</f>
        <v>30</v>
      </c>
    </row>
    <row r="55" spans="1:32 16384:16384" s="18" customFormat="1">
      <c r="A55" s="54"/>
      <c r="B55" s="277"/>
      <c r="C55" s="74"/>
      <c r="K55" s="486"/>
      <c r="L55" s="313"/>
      <c r="M55" s="313"/>
      <c r="N55" s="313"/>
      <c r="O55" s="313"/>
      <c r="P55" s="313"/>
      <c r="Q55" s="313"/>
      <c r="R55" s="313"/>
      <c r="S55" s="313"/>
      <c r="T55" s="313"/>
      <c r="U55" s="313"/>
      <c r="V55" s="313"/>
      <c r="W55" s="313"/>
      <c r="X55" s="313"/>
      <c r="Y55" s="313"/>
      <c r="Z55" s="313"/>
      <c r="AA55" s="313"/>
      <c r="AB55" s="313"/>
      <c r="AC55" s="313"/>
      <c r="AD55" s="313"/>
      <c r="AE55" s="313"/>
      <c r="XFD55" s="570"/>
    </row>
    <row r="56" spans="1:32 16384:16384" s="18" customFormat="1">
      <c r="A56" s="54" t="s">
        <v>312</v>
      </c>
      <c r="B56" s="277"/>
      <c r="C56" s="74"/>
      <c r="K56" s="486">
        <f>'P&amp;L - Concept C2 - All'!D51</f>
        <v>0</v>
      </c>
      <c r="L56" s="313">
        <f>'P&amp;L - Concept C2 - All'!E51</f>
        <v>7190</v>
      </c>
      <c r="M56" s="313">
        <f>'P&amp;L - Concept C2 - All'!F51</f>
        <v>7190</v>
      </c>
      <c r="N56" s="313">
        <f>'P&amp;L - Concept C2 - All'!G51</f>
        <v>7190</v>
      </c>
      <c r="O56" s="313">
        <f>'P&amp;L - Concept C2 - All'!H51</f>
        <v>7190</v>
      </c>
      <c r="P56" s="313">
        <f>'P&amp;L - Concept C2 - All'!I51</f>
        <v>7190</v>
      </c>
      <c r="Q56" s="313">
        <f>'P&amp;L - Concept C2 - All'!J51</f>
        <v>7190</v>
      </c>
      <c r="R56" s="313">
        <f>'P&amp;L - Concept C2 - All'!K51</f>
        <v>7190</v>
      </c>
      <c r="S56" s="313">
        <f>'P&amp;L - Concept C2 - All'!L51</f>
        <v>7190</v>
      </c>
      <c r="T56" s="313">
        <f>'P&amp;L - Concept C2 - All'!M51</f>
        <v>7190</v>
      </c>
      <c r="U56" s="313">
        <f>'P&amp;L - Concept C2 - All'!N51</f>
        <v>7190</v>
      </c>
      <c r="V56" s="313">
        <f>'P&amp;L - Concept C2 - All'!O51</f>
        <v>7190</v>
      </c>
      <c r="W56" s="313">
        <f>'P&amp;L - Concept C2 - All'!P51</f>
        <v>7190</v>
      </c>
      <c r="X56" s="313">
        <f>'P&amp;L - Concept C2 - All'!Q51</f>
        <v>7190</v>
      </c>
      <c r="Y56" s="313">
        <f>'P&amp;L - Concept C2 - All'!R51</f>
        <v>7190</v>
      </c>
      <c r="Z56" s="313">
        <f>'P&amp;L - Concept C2 - All'!S51</f>
        <v>7190</v>
      </c>
      <c r="AA56" s="313">
        <f>'P&amp;L - Concept C2 - All'!T51</f>
        <v>7190</v>
      </c>
      <c r="AB56" s="313">
        <f>'P&amp;L - Concept C2 - All'!U51</f>
        <v>7190</v>
      </c>
      <c r="AC56" s="313">
        <f>'P&amp;L - Concept C2 - All'!V51</f>
        <v>7190</v>
      </c>
      <c r="AD56" s="313">
        <f>'P&amp;L - Concept C2 - All'!W51</f>
        <v>7190</v>
      </c>
      <c r="AE56" s="313">
        <f>'P&amp;L - Concept C2 - All'!X51</f>
        <v>7190</v>
      </c>
      <c r="XFD56" s="570"/>
    </row>
    <row r="57" spans="1:32 16384:16384" s="18" customFormat="1">
      <c r="A57" s="54"/>
      <c r="B57" s="277"/>
      <c r="C57" s="74"/>
      <c r="K57" s="486"/>
      <c r="L57" s="313"/>
      <c r="M57" s="313"/>
      <c r="N57" s="313"/>
      <c r="O57" s="313"/>
      <c r="P57" s="313"/>
      <c r="Q57" s="313"/>
      <c r="R57" s="313"/>
      <c r="S57" s="313"/>
      <c r="T57" s="313"/>
      <c r="U57" s="313"/>
      <c r="V57" s="313"/>
      <c r="W57" s="313"/>
      <c r="X57" s="313"/>
      <c r="Y57" s="313"/>
      <c r="Z57" s="313"/>
      <c r="AA57" s="313"/>
      <c r="AB57" s="313"/>
      <c r="AC57" s="313"/>
      <c r="AD57" s="313"/>
      <c r="AE57" s="313"/>
    </row>
    <row r="58" spans="1:32 16384:16384" s="612" customFormat="1">
      <c r="A58" s="613" t="s">
        <v>292</v>
      </c>
      <c r="B58" s="614"/>
      <c r="C58" s="615"/>
      <c r="D58" s="717"/>
      <c r="E58" s="717"/>
      <c r="F58" s="717"/>
      <c r="G58" s="717"/>
      <c r="H58" s="717"/>
      <c r="I58" s="717"/>
      <c r="J58" s="717"/>
      <c r="K58" s="616">
        <f>'P&amp;L - Concept C2 - All'!D53</f>
        <v>0</v>
      </c>
      <c r="L58" s="616">
        <f>'P&amp;L - Concept C2 - All'!E53</f>
        <v>0</v>
      </c>
      <c r="M58" s="616">
        <f>'P&amp;L - Concept C2 - All'!F53</f>
        <v>0</v>
      </c>
      <c r="N58" s="616">
        <f>'P&amp;L - Concept C2 - All'!G53</f>
        <v>100000</v>
      </c>
      <c r="O58" s="616">
        <f>'P&amp;L - Concept C2 - All'!H53</f>
        <v>100000</v>
      </c>
      <c r="P58" s="616">
        <f>'P&amp;L - Concept C2 - All'!I53</f>
        <v>100000</v>
      </c>
      <c r="Q58" s="616">
        <f>'P&amp;L - Concept C2 - All'!J53</f>
        <v>100000</v>
      </c>
      <c r="R58" s="616">
        <f>'P&amp;L - Concept C2 - All'!K53</f>
        <v>100000</v>
      </c>
      <c r="S58" s="616">
        <f>'P&amp;L - Concept C2 - All'!L53</f>
        <v>100000</v>
      </c>
      <c r="T58" s="616">
        <f>'P&amp;L - Concept C2 - All'!M53</f>
        <v>100000</v>
      </c>
      <c r="U58" s="616">
        <f>'P&amp;L - Concept C2 - All'!N53</f>
        <v>100000</v>
      </c>
      <c r="V58" s="616">
        <f>'P&amp;L - Concept C2 - All'!O53</f>
        <v>100000</v>
      </c>
      <c r="W58" s="616">
        <f>'P&amp;L - Concept C2 - All'!P53</f>
        <v>100000</v>
      </c>
      <c r="X58" s="616">
        <f>'P&amp;L - Concept C2 - All'!Q53</f>
        <v>100000</v>
      </c>
      <c r="Y58" s="616">
        <f>'P&amp;L - Concept C2 - All'!R53</f>
        <v>100000</v>
      </c>
      <c r="Z58" s="616">
        <f>'P&amp;L - Concept C2 - All'!S53</f>
        <v>100000</v>
      </c>
      <c r="AA58" s="616">
        <f>'P&amp;L - Concept C2 - All'!T53</f>
        <v>100000</v>
      </c>
      <c r="AB58" s="616">
        <f>'P&amp;L - Concept C2 - All'!U53</f>
        <v>100000</v>
      </c>
      <c r="AC58" s="616">
        <f>'P&amp;L - Concept C2 - All'!V53</f>
        <v>100000</v>
      </c>
      <c r="AD58" s="616">
        <f>'P&amp;L - Concept C2 - All'!W53</f>
        <v>100000</v>
      </c>
      <c r="AE58" s="787">
        <f>'P&amp;L - Concept C2 - All'!X53</f>
        <v>100000</v>
      </c>
    </row>
    <row r="59" spans="1:32 16384:16384" s="18" customFormat="1">
      <c r="A59" s="54"/>
      <c r="B59" s="277"/>
      <c r="C59" s="74"/>
      <c r="K59" s="486"/>
      <c r="L59" s="313"/>
      <c r="M59" s="313"/>
      <c r="N59" s="313"/>
      <c r="O59" s="313"/>
      <c r="P59" s="313"/>
      <c r="Q59" s="313"/>
      <c r="R59" s="313"/>
      <c r="S59" s="313"/>
      <c r="T59" s="313"/>
      <c r="U59" s="313"/>
      <c r="V59" s="313"/>
      <c r="W59" s="313"/>
      <c r="X59" s="313"/>
      <c r="Y59" s="313"/>
      <c r="Z59" s="313"/>
      <c r="AA59" s="313"/>
      <c r="AB59" s="313"/>
      <c r="AC59" s="313"/>
      <c r="AD59" s="313"/>
      <c r="AE59" s="313"/>
    </row>
    <row r="60" spans="1:32 16384:16384" s="582" customFormat="1">
      <c r="A60" s="293" t="str">
        <f>'BH Tariffs'!A33</f>
        <v>Recreational/Commercial Marina</v>
      </c>
      <c r="B60" s="584"/>
      <c r="C60" s="585"/>
      <c r="K60" s="486"/>
      <c r="L60" s="313"/>
      <c r="M60" s="313"/>
      <c r="N60" s="313"/>
      <c r="O60" s="313"/>
      <c r="P60" s="313"/>
      <c r="Q60" s="313"/>
      <c r="R60" s="313"/>
      <c r="S60" s="313"/>
      <c r="T60" s="313"/>
      <c r="U60" s="313"/>
      <c r="V60" s="313"/>
      <c r="W60" s="313"/>
      <c r="X60" s="313"/>
      <c r="Y60" s="313"/>
      <c r="Z60" s="313"/>
      <c r="AA60" s="313"/>
      <c r="AB60" s="313"/>
      <c r="AC60" s="313"/>
      <c r="AD60" s="313"/>
      <c r="AE60" s="313"/>
    </row>
    <row r="61" spans="1:32 16384:16384" s="96" customFormat="1">
      <c r="A61" s="54" t="s">
        <v>291</v>
      </c>
      <c r="B61" s="435"/>
      <c r="C61" s="583"/>
      <c r="K61" s="486">
        <f>'P&amp;L - Concept C2 - All'!D56</f>
        <v>0</v>
      </c>
      <c r="L61" s="313">
        <f>'P&amp;L - Concept C2 - All'!E56</f>
        <v>0</v>
      </c>
      <c r="M61" s="313">
        <f>'P&amp;L - Concept C2 - All'!F56</f>
        <v>32</v>
      </c>
      <c r="N61" s="313">
        <f>'P&amp;L - Concept C2 - All'!G56</f>
        <v>32</v>
      </c>
      <c r="O61" s="313">
        <f>'P&amp;L - Concept C2 - All'!H56</f>
        <v>32</v>
      </c>
      <c r="P61" s="313">
        <f>'P&amp;L - Concept C2 - All'!I56</f>
        <v>32</v>
      </c>
      <c r="Q61" s="313">
        <f>'P&amp;L - Concept C2 - All'!J56</f>
        <v>32</v>
      </c>
      <c r="R61" s="313">
        <f>'P&amp;L - Concept C2 - All'!K56</f>
        <v>32</v>
      </c>
      <c r="S61" s="313">
        <f>'P&amp;L - Concept C2 - All'!L56</f>
        <v>32</v>
      </c>
      <c r="T61" s="313">
        <f>'P&amp;L - Concept C2 - All'!M56</f>
        <v>32</v>
      </c>
      <c r="U61" s="313">
        <f>'P&amp;L - Concept C2 - All'!N56</f>
        <v>32</v>
      </c>
      <c r="V61" s="313">
        <f>'P&amp;L - Concept C2 - All'!O56</f>
        <v>32</v>
      </c>
      <c r="W61" s="313">
        <f>'P&amp;L - Concept C2 - All'!P56</f>
        <v>32</v>
      </c>
      <c r="X61" s="313">
        <f>'P&amp;L - Concept C2 - All'!Q56</f>
        <v>32</v>
      </c>
      <c r="Y61" s="313">
        <f>'P&amp;L - Concept C2 - All'!R56</f>
        <v>32</v>
      </c>
      <c r="Z61" s="313">
        <f>'P&amp;L - Concept C2 - All'!S56</f>
        <v>32</v>
      </c>
      <c r="AA61" s="313">
        <f>'P&amp;L - Concept C2 - All'!T56</f>
        <v>32</v>
      </c>
      <c r="AB61" s="313">
        <f>'P&amp;L - Concept C2 - All'!U56</f>
        <v>32</v>
      </c>
      <c r="AC61" s="313">
        <f>'P&amp;L - Concept C2 - All'!V56</f>
        <v>32</v>
      </c>
      <c r="AD61" s="313">
        <f>'P&amp;L - Concept C2 - All'!W56</f>
        <v>32</v>
      </c>
      <c r="AE61" s="313">
        <f>'P&amp;L - Concept C2 - All'!X56</f>
        <v>32</v>
      </c>
    </row>
    <row r="62" spans="1:32 16384:16384" s="96" customFormat="1">
      <c r="A62" s="54" t="s">
        <v>293</v>
      </c>
      <c r="B62" s="435"/>
      <c r="C62" s="583"/>
      <c r="K62" s="486">
        <f>'P&amp;L - Concept C2 - All'!D57</f>
        <v>0</v>
      </c>
      <c r="L62" s="313">
        <f>'P&amp;L - Concept C2 - All'!E57</f>
        <v>0</v>
      </c>
      <c r="M62" s="313">
        <f>'P&amp;L - Concept C2 - All'!F57</f>
        <v>30264.381562500002</v>
      </c>
      <c r="N62" s="313">
        <f>'P&amp;L - Concept C2 - All'!G57</f>
        <v>30264.381562500002</v>
      </c>
      <c r="O62" s="313">
        <f>'P&amp;L - Concept C2 - All'!H57</f>
        <v>30264.381562500002</v>
      </c>
      <c r="P62" s="313">
        <f>'P&amp;L - Concept C2 - All'!I57</f>
        <v>30264.381562500002</v>
      </c>
      <c r="Q62" s="313">
        <f>'P&amp;L - Concept C2 - All'!J57</f>
        <v>30264.381562500002</v>
      </c>
      <c r="R62" s="313">
        <f>'P&amp;L - Concept C2 - All'!K57</f>
        <v>30264.381562500002</v>
      </c>
      <c r="S62" s="313">
        <f>'P&amp;L - Concept C2 - All'!L57</f>
        <v>30264.381562500002</v>
      </c>
      <c r="T62" s="313">
        <f>'P&amp;L - Concept C2 - All'!M57</f>
        <v>30264.381562500002</v>
      </c>
      <c r="U62" s="313">
        <f>'P&amp;L - Concept C2 - All'!N57</f>
        <v>30264.381562500002</v>
      </c>
      <c r="V62" s="313">
        <f>'P&amp;L - Concept C2 - All'!O57</f>
        <v>30264.381562500002</v>
      </c>
      <c r="W62" s="313">
        <f>'P&amp;L - Concept C2 - All'!P57</f>
        <v>30264.381562500002</v>
      </c>
      <c r="X62" s="313">
        <f>'P&amp;L - Concept C2 - All'!Q57</f>
        <v>30264.381562500002</v>
      </c>
      <c r="Y62" s="313">
        <f>'P&amp;L - Concept C2 - All'!R57</f>
        <v>30264.381562500002</v>
      </c>
      <c r="Z62" s="313">
        <f>'P&amp;L - Concept C2 - All'!S57</f>
        <v>30264.381562500002</v>
      </c>
      <c r="AA62" s="313">
        <f>'P&amp;L - Concept C2 - All'!T57</f>
        <v>30264.381562500002</v>
      </c>
      <c r="AB62" s="313">
        <f>'P&amp;L - Concept C2 - All'!U57</f>
        <v>30264.381562500002</v>
      </c>
      <c r="AC62" s="313">
        <f>'P&amp;L - Concept C2 - All'!V57</f>
        <v>30264.381562500002</v>
      </c>
      <c r="AD62" s="313">
        <f>'P&amp;L - Concept C2 - All'!W57</f>
        <v>30264.381562500002</v>
      </c>
      <c r="AE62" s="313">
        <f>'P&amp;L - Concept C2 - All'!X57</f>
        <v>30264.381562500002</v>
      </c>
    </row>
    <row r="63" spans="1:32 16384:16384" s="96" customFormat="1">
      <c r="A63" s="54" t="s">
        <v>294</v>
      </c>
      <c r="B63" s="435"/>
      <c r="C63" s="583"/>
      <c r="K63" s="486">
        <f>'P&amp;L - Concept C2 - All'!D58</f>
        <v>0</v>
      </c>
      <c r="L63" s="313">
        <f>'P&amp;L - Concept C2 - All'!E58</f>
        <v>0</v>
      </c>
      <c r="M63" s="313">
        <f>'P&amp;L - Concept C2 - All'!F58</f>
        <v>1137.1500000000001</v>
      </c>
      <c r="N63" s="313">
        <f>'P&amp;L - Concept C2 - All'!G58</f>
        <v>1137.1500000000001</v>
      </c>
      <c r="O63" s="313">
        <f>'P&amp;L - Concept C2 - All'!H58</f>
        <v>1137.1500000000001</v>
      </c>
      <c r="P63" s="313">
        <f>'P&amp;L - Concept C2 - All'!I58</f>
        <v>1137.1500000000001</v>
      </c>
      <c r="Q63" s="313">
        <f>'P&amp;L - Concept C2 - All'!J58</f>
        <v>1137.1500000000001</v>
      </c>
      <c r="R63" s="313">
        <f>'P&amp;L - Concept C2 - All'!K58</f>
        <v>1137.1500000000001</v>
      </c>
      <c r="S63" s="313">
        <f>'P&amp;L - Concept C2 - All'!L58</f>
        <v>1137.1500000000001</v>
      </c>
      <c r="T63" s="313">
        <f>'P&amp;L - Concept C2 - All'!M58</f>
        <v>1137.1500000000001</v>
      </c>
      <c r="U63" s="313">
        <f>'P&amp;L - Concept C2 - All'!N58</f>
        <v>1137.1500000000001</v>
      </c>
      <c r="V63" s="313">
        <f>'P&amp;L - Concept C2 - All'!O58</f>
        <v>1137.1500000000001</v>
      </c>
      <c r="W63" s="313">
        <f>'P&amp;L - Concept C2 - All'!P58</f>
        <v>1137.1500000000001</v>
      </c>
      <c r="X63" s="313">
        <f>'P&amp;L - Concept C2 - All'!Q58</f>
        <v>1137.1500000000001</v>
      </c>
      <c r="Y63" s="313">
        <f>'P&amp;L - Concept C2 - All'!R58</f>
        <v>1137.1500000000001</v>
      </c>
      <c r="Z63" s="313">
        <f>'P&amp;L - Concept C2 - All'!S58</f>
        <v>1137.1500000000001</v>
      </c>
      <c r="AA63" s="313">
        <f>'P&amp;L - Concept C2 - All'!T58</f>
        <v>1137.1500000000001</v>
      </c>
      <c r="AB63" s="313">
        <f>'P&amp;L - Concept C2 - All'!U58</f>
        <v>1137.1500000000001</v>
      </c>
      <c r="AC63" s="313">
        <f>'P&amp;L - Concept C2 - All'!V58</f>
        <v>1137.1500000000001</v>
      </c>
      <c r="AD63" s="313">
        <f>'P&amp;L - Concept C2 - All'!W58</f>
        <v>1137.1500000000001</v>
      </c>
      <c r="AE63" s="313">
        <f>'P&amp;L - Concept C2 - All'!X58</f>
        <v>1137.1500000000001</v>
      </c>
    </row>
    <row r="64" spans="1:32 16384:16384" s="167" customFormat="1">
      <c r="A64" s="497" t="s">
        <v>170</v>
      </c>
      <c r="B64" s="450"/>
      <c r="C64" s="498"/>
      <c r="K64" s="499">
        <f>'P&amp;L - Concept C2 - All'!D59</f>
        <v>0</v>
      </c>
      <c r="L64" s="500">
        <f>'P&amp;L - Concept C2 - All'!E59</f>
        <v>0</v>
      </c>
      <c r="M64" s="500">
        <f>'P&amp;L - Concept C2 - All'!F59</f>
        <v>0</v>
      </c>
      <c r="N64" s="500">
        <f>'P&amp;L - Concept C2 - All'!G59</f>
        <v>0</v>
      </c>
      <c r="O64" s="500">
        <f>'P&amp;L - Concept C2 - All'!H59</f>
        <v>0</v>
      </c>
      <c r="P64" s="500">
        <f>'P&amp;L - Concept C2 - All'!I59</f>
        <v>0</v>
      </c>
      <c r="Q64" s="500">
        <f>'P&amp;L - Concept C2 - All'!J59</f>
        <v>0</v>
      </c>
      <c r="R64" s="500">
        <f>'P&amp;L - Concept C2 - All'!K59</f>
        <v>0</v>
      </c>
      <c r="S64" s="500">
        <f>'P&amp;L - Concept C2 - All'!L59</f>
        <v>0</v>
      </c>
      <c r="T64" s="500">
        <f>'P&amp;L - Concept C2 - All'!M59</f>
        <v>0</v>
      </c>
      <c r="U64" s="500">
        <f>'P&amp;L - Concept C2 - All'!N59</f>
        <v>0</v>
      </c>
      <c r="V64" s="500">
        <f>'P&amp;L - Concept C2 - All'!O59</f>
        <v>0</v>
      </c>
      <c r="W64" s="500">
        <f>'P&amp;L - Concept C2 - All'!P59</f>
        <v>0</v>
      </c>
      <c r="X64" s="500">
        <f>'P&amp;L - Concept C2 - All'!Q59</f>
        <v>0</v>
      </c>
      <c r="Y64" s="500">
        <f>'P&amp;L - Concept C2 - All'!R59</f>
        <v>0</v>
      </c>
      <c r="Z64" s="500">
        <f>'P&amp;L - Concept C2 - All'!S59</f>
        <v>0</v>
      </c>
      <c r="AA64" s="500">
        <f>'P&amp;L - Concept C2 - All'!T59</f>
        <v>0</v>
      </c>
      <c r="AB64" s="500">
        <f>'P&amp;L - Concept C2 - All'!U59</f>
        <v>0</v>
      </c>
      <c r="AC64" s="500">
        <f>'P&amp;L - Concept C2 - All'!V59</f>
        <v>0</v>
      </c>
      <c r="AD64" s="500">
        <f>'P&amp;L - Concept C2 - All'!W59</f>
        <v>0</v>
      </c>
      <c r="AE64" s="500">
        <f>'P&amp;L - Concept C2 - All'!X59</f>
        <v>0</v>
      </c>
      <c r="AF64" s="167" t="str">
        <f>'P&amp;L - Concept C2 - All'!Y59</f>
        <v>cost recovery assumed</v>
      </c>
    </row>
    <row r="65" spans="1:32" s="167" customFormat="1">
      <c r="A65" s="497" t="s">
        <v>16</v>
      </c>
      <c r="B65" s="450"/>
      <c r="C65" s="498"/>
      <c r="K65" s="499">
        <f>'P&amp;L - Concept C2 - All'!D60</f>
        <v>0</v>
      </c>
      <c r="L65" s="500">
        <f>'P&amp;L - Concept C2 - All'!E60</f>
        <v>0</v>
      </c>
      <c r="M65" s="500">
        <f>'P&amp;L - Concept C2 - All'!F60</f>
        <v>0</v>
      </c>
      <c r="N65" s="500">
        <f>'P&amp;L - Concept C2 - All'!G60</f>
        <v>0</v>
      </c>
      <c r="O65" s="500">
        <f>'P&amp;L - Concept C2 - All'!H60</f>
        <v>0</v>
      </c>
      <c r="P65" s="500">
        <f>'P&amp;L - Concept C2 - All'!I60</f>
        <v>0</v>
      </c>
      <c r="Q65" s="500">
        <f>'P&amp;L - Concept C2 - All'!J60</f>
        <v>0</v>
      </c>
      <c r="R65" s="500">
        <f>'P&amp;L - Concept C2 - All'!K60</f>
        <v>0</v>
      </c>
      <c r="S65" s="500">
        <f>'P&amp;L - Concept C2 - All'!L60</f>
        <v>0</v>
      </c>
      <c r="T65" s="500">
        <f>'P&amp;L - Concept C2 - All'!M60</f>
        <v>0</v>
      </c>
      <c r="U65" s="500">
        <f>'P&amp;L - Concept C2 - All'!N60</f>
        <v>0</v>
      </c>
      <c r="V65" s="500">
        <f>'P&amp;L - Concept C2 - All'!O60</f>
        <v>0</v>
      </c>
      <c r="W65" s="500">
        <f>'P&amp;L - Concept C2 - All'!P60</f>
        <v>0</v>
      </c>
      <c r="X65" s="500">
        <f>'P&amp;L - Concept C2 - All'!Q60</f>
        <v>0</v>
      </c>
      <c r="Y65" s="500">
        <f>'P&amp;L - Concept C2 - All'!R60</f>
        <v>0</v>
      </c>
      <c r="Z65" s="500">
        <f>'P&amp;L - Concept C2 - All'!S60</f>
        <v>0</v>
      </c>
      <c r="AA65" s="500">
        <f>'P&amp;L - Concept C2 - All'!T60</f>
        <v>0</v>
      </c>
      <c r="AB65" s="500">
        <f>'P&amp;L - Concept C2 - All'!U60</f>
        <v>0</v>
      </c>
      <c r="AC65" s="500">
        <f>'P&amp;L - Concept C2 - All'!V60</f>
        <v>0</v>
      </c>
      <c r="AD65" s="500">
        <f>'P&amp;L - Concept C2 - All'!W60</f>
        <v>0</v>
      </c>
      <c r="AE65" s="500">
        <f>'P&amp;L - Concept C2 - All'!X60</f>
        <v>0</v>
      </c>
      <c r="AF65" s="167" t="str">
        <f>'P&amp;L - Concept C2 - All'!Y60</f>
        <v>cost recovery assumed</v>
      </c>
    </row>
    <row r="66" spans="1:32" s="18" customFormat="1">
      <c r="A66" s="54"/>
      <c r="B66" s="277"/>
      <c r="C66" s="74"/>
      <c r="K66" s="492"/>
      <c r="L66" s="313"/>
      <c r="M66" s="313"/>
      <c r="N66" s="313"/>
      <c r="O66" s="313"/>
      <c r="P66" s="313"/>
      <c r="Q66" s="313"/>
      <c r="R66" s="313"/>
      <c r="S66" s="313"/>
      <c r="T66" s="313"/>
      <c r="U66" s="313"/>
      <c r="V66" s="313"/>
      <c r="W66" s="313"/>
      <c r="X66" s="313"/>
      <c r="Y66" s="313"/>
      <c r="Z66" s="313"/>
      <c r="AA66" s="313"/>
      <c r="AB66" s="313"/>
      <c r="AC66" s="313"/>
      <c r="AD66" s="313"/>
      <c r="AE66" s="313"/>
    </row>
    <row r="67" spans="1:32" s="18" customFormat="1">
      <c r="A67" s="293" t="s">
        <v>2</v>
      </c>
      <c r="B67" s="277"/>
      <c r="C67" s="74"/>
      <c r="K67" s="492"/>
      <c r="L67" s="313"/>
      <c r="M67" s="313"/>
      <c r="N67" s="313"/>
      <c r="O67" s="313"/>
      <c r="P67" s="313"/>
      <c r="Q67" s="313"/>
      <c r="R67" s="313"/>
      <c r="S67" s="313"/>
      <c r="T67" s="313"/>
      <c r="U67" s="313"/>
      <c r="V67" s="313"/>
      <c r="W67" s="313"/>
      <c r="X67" s="313"/>
      <c r="Y67" s="313"/>
      <c r="Z67" s="313"/>
      <c r="AA67" s="313"/>
      <c r="AB67" s="313"/>
      <c r="AC67" s="313"/>
      <c r="AD67" s="313"/>
      <c r="AE67" s="313"/>
    </row>
    <row r="68" spans="1:32" s="96" customFormat="1">
      <c r="A68" s="54" t="s">
        <v>290</v>
      </c>
      <c r="B68" s="435">
        <v>500</v>
      </c>
      <c r="C68" s="487"/>
      <c r="K68" s="486">
        <f>'P&amp;L - Concept C2 - All'!D63</f>
        <v>0</v>
      </c>
      <c r="L68" s="313">
        <f>'P&amp;L - Concept C2 - All'!E63</f>
        <v>0</v>
      </c>
      <c r="M68" s="313">
        <f>'P&amp;L - Concept C2 - All'!F63</f>
        <v>0</v>
      </c>
      <c r="N68" s="313">
        <f>'P&amp;L - Concept C2 - All'!G63</f>
        <v>500</v>
      </c>
      <c r="O68" s="313">
        <f>'P&amp;L - Concept C2 - All'!H63</f>
        <v>500</v>
      </c>
      <c r="P68" s="313">
        <f>'P&amp;L - Concept C2 - All'!I63</f>
        <v>500</v>
      </c>
      <c r="Q68" s="313">
        <f>'P&amp;L - Concept C2 - All'!J63</f>
        <v>500</v>
      </c>
      <c r="R68" s="313">
        <f>'P&amp;L - Concept C2 - All'!K63</f>
        <v>500</v>
      </c>
      <c r="S68" s="313">
        <f>'P&amp;L - Concept C2 - All'!L63</f>
        <v>500</v>
      </c>
      <c r="T68" s="313">
        <f>'P&amp;L - Concept C2 - All'!M63</f>
        <v>500</v>
      </c>
      <c r="U68" s="313">
        <f>'P&amp;L - Concept C2 - All'!N63</f>
        <v>500</v>
      </c>
      <c r="V68" s="313">
        <f>'P&amp;L - Concept C2 - All'!O63</f>
        <v>500</v>
      </c>
      <c r="W68" s="313">
        <f>'P&amp;L - Concept C2 - All'!P63</f>
        <v>500</v>
      </c>
      <c r="X68" s="313">
        <f>'P&amp;L - Concept C2 - All'!Q63</f>
        <v>500</v>
      </c>
      <c r="Y68" s="313">
        <f>'P&amp;L - Concept C2 - All'!R63</f>
        <v>500</v>
      </c>
      <c r="Z68" s="313">
        <f>'P&amp;L - Concept C2 - All'!S63</f>
        <v>500</v>
      </c>
      <c r="AA68" s="313">
        <f>'P&amp;L - Concept C2 - All'!T63</f>
        <v>500</v>
      </c>
      <c r="AB68" s="313">
        <f>'P&amp;L - Concept C2 - All'!U63</f>
        <v>500</v>
      </c>
      <c r="AC68" s="313">
        <f>'P&amp;L - Concept C2 - All'!V63</f>
        <v>500</v>
      </c>
      <c r="AD68" s="313">
        <f>'P&amp;L - Concept C2 - All'!W63</f>
        <v>500</v>
      </c>
      <c r="AE68" s="313">
        <f>'P&amp;L - Concept C2 - All'!X63</f>
        <v>500</v>
      </c>
    </row>
    <row r="69" spans="1:32" s="96" customFormat="1">
      <c r="A69" s="54" t="s">
        <v>210</v>
      </c>
      <c r="B69" s="487"/>
      <c r="C69" s="487"/>
      <c r="K69" s="486">
        <f>'P&amp;L - Concept C2 - All'!D65</f>
        <v>0</v>
      </c>
      <c r="L69" s="313">
        <f>'P&amp;L - Concept C2 - All'!E65</f>
        <v>0</v>
      </c>
      <c r="M69" s="313">
        <f>'P&amp;L - Concept C2 - All'!F65</f>
        <v>1</v>
      </c>
      <c r="N69" s="313">
        <f>'P&amp;L - Concept C2 - All'!G65</f>
        <v>2</v>
      </c>
      <c r="O69" s="313">
        <f>'P&amp;L - Concept C2 - All'!H65</f>
        <v>2</v>
      </c>
      <c r="P69" s="313">
        <f>'P&amp;L - Concept C2 - All'!I65</f>
        <v>2</v>
      </c>
      <c r="Q69" s="313">
        <f>'P&amp;L - Concept C2 - All'!J65</f>
        <v>3</v>
      </c>
      <c r="R69" s="313">
        <f>'P&amp;L - Concept C2 - All'!K65</f>
        <v>3</v>
      </c>
      <c r="S69" s="313">
        <f>'P&amp;L - Concept C2 - All'!L65</f>
        <v>3</v>
      </c>
      <c r="T69" s="313">
        <f>'P&amp;L - Concept C2 - All'!M65</f>
        <v>3</v>
      </c>
      <c r="U69" s="313">
        <f>'P&amp;L - Concept C2 - All'!N65</f>
        <v>3</v>
      </c>
      <c r="V69" s="313">
        <f>'P&amp;L - Concept C2 - All'!O65</f>
        <v>4</v>
      </c>
      <c r="W69" s="313">
        <f>'P&amp;L - Concept C2 - All'!P65</f>
        <v>4</v>
      </c>
      <c r="X69" s="313">
        <f>'P&amp;L - Concept C2 - All'!Q65</f>
        <v>4</v>
      </c>
      <c r="Y69" s="313">
        <f>'P&amp;L - Concept C2 - All'!R65</f>
        <v>4</v>
      </c>
      <c r="Z69" s="313">
        <f>'P&amp;L - Concept C2 - All'!S65</f>
        <v>4</v>
      </c>
      <c r="AA69" s="313">
        <f>'P&amp;L - Concept C2 - All'!T65</f>
        <v>5</v>
      </c>
      <c r="AB69" s="313">
        <f>'P&amp;L - Concept C2 - All'!U65</f>
        <v>5</v>
      </c>
      <c r="AC69" s="313">
        <f>'P&amp;L - Concept C2 - All'!V65</f>
        <v>5</v>
      </c>
      <c r="AD69" s="313">
        <f>'P&amp;L - Concept C2 - All'!W65</f>
        <v>5</v>
      </c>
      <c r="AE69" s="313">
        <f>'P&amp;L - Concept C2 - All'!X65</f>
        <v>5</v>
      </c>
    </row>
    <row r="70" spans="1:32" s="96" customFormat="1">
      <c r="A70" s="96" t="s">
        <v>211</v>
      </c>
      <c r="K70" s="486">
        <f>'P&amp;L - Concept C2 - All'!D66</f>
        <v>0</v>
      </c>
      <c r="L70" s="313">
        <f>'P&amp;L - Concept C2 - All'!E66</f>
        <v>0</v>
      </c>
      <c r="M70" s="313">
        <f>'P&amp;L - Concept C2 - All'!F66</f>
        <v>3</v>
      </c>
      <c r="N70" s="313">
        <f>'P&amp;L - Concept C2 - All'!G66</f>
        <v>3</v>
      </c>
      <c r="O70" s="313">
        <f>'P&amp;L - Concept C2 - All'!H66</f>
        <v>3</v>
      </c>
      <c r="P70" s="313">
        <f>'P&amp;L - Concept C2 - All'!I66</f>
        <v>3</v>
      </c>
      <c r="Q70" s="313">
        <f>'P&amp;L - Concept C2 - All'!J66</f>
        <v>3</v>
      </c>
      <c r="R70" s="313">
        <f>'P&amp;L - Concept C2 - All'!K66</f>
        <v>3</v>
      </c>
      <c r="S70" s="313">
        <f>'P&amp;L - Concept C2 - All'!L66</f>
        <v>3</v>
      </c>
      <c r="T70" s="313">
        <f>'P&amp;L - Concept C2 - All'!M66</f>
        <v>3</v>
      </c>
      <c r="U70" s="313">
        <f>'P&amp;L - Concept C2 - All'!N66</f>
        <v>3</v>
      </c>
      <c r="V70" s="313">
        <f>'P&amp;L - Concept C2 - All'!O66</f>
        <v>3</v>
      </c>
      <c r="W70" s="313">
        <f>'P&amp;L - Concept C2 - All'!P66</f>
        <v>3</v>
      </c>
      <c r="X70" s="313">
        <f>'P&amp;L - Concept C2 - All'!Q66</f>
        <v>3</v>
      </c>
      <c r="Y70" s="313">
        <f>'P&amp;L - Concept C2 - All'!R66</f>
        <v>3</v>
      </c>
      <c r="Z70" s="313">
        <f>'P&amp;L - Concept C2 - All'!S66</f>
        <v>3</v>
      </c>
      <c r="AA70" s="313">
        <f>'P&amp;L - Concept C2 - All'!T66</f>
        <v>3</v>
      </c>
      <c r="AB70" s="313">
        <f>'P&amp;L - Concept C2 - All'!U66</f>
        <v>3</v>
      </c>
      <c r="AC70" s="313">
        <f>'P&amp;L - Concept C2 - All'!V66</f>
        <v>3</v>
      </c>
      <c r="AD70" s="313">
        <f>'P&amp;L - Concept C2 - All'!W66</f>
        <v>3</v>
      </c>
      <c r="AE70" s="313">
        <f>'P&amp;L - Concept C2 - All'!X66</f>
        <v>3</v>
      </c>
    </row>
    <row r="71" spans="1:32" s="96" customFormat="1">
      <c r="K71" s="486"/>
      <c r="L71" s="435"/>
      <c r="M71" s="435"/>
      <c r="N71" s="435"/>
      <c r="O71" s="435"/>
      <c r="P71" s="435"/>
      <c r="Q71" s="435"/>
      <c r="R71" s="435"/>
      <c r="S71" s="435"/>
      <c r="T71" s="435"/>
      <c r="U71" s="435"/>
      <c r="V71" s="435"/>
      <c r="W71" s="435"/>
      <c r="X71" s="435"/>
      <c r="Y71" s="435"/>
      <c r="Z71" s="435"/>
      <c r="AA71" s="435"/>
      <c r="AB71" s="435"/>
      <c r="AC71" s="435"/>
      <c r="AD71" s="435"/>
      <c r="AE71" s="435"/>
    </row>
    <row r="72" spans="1:32" s="18" customFormat="1">
      <c r="A72" s="28"/>
      <c r="K72" s="486"/>
      <c r="L72" s="331"/>
      <c r="M72" s="333"/>
      <c r="N72" s="331"/>
      <c r="O72" s="331"/>
      <c r="P72" s="331"/>
      <c r="Q72" s="331"/>
      <c r="R72" s="331"/>
      <c r="S72" s="331"/>
      <c r="T72" s="331"/>
      <c r="U72" s="331"/>
      <c r="V72" s="331"/>
      <c r="W72" s="331"/>
      <c r="X72" s="331"/>
      <c r="Y72" s="331"/>
      <c r="Z72" s="331"/>
      <c r="AA72" s="331"/>
      <c r="AB72" s="331"/>
      <c r="AC72" s="331"/>
      <c r="AD72" s="331"/>
      <c r="AE72" s="331"/>
    </row>
    <row r="73" spans="1:32">
      <c r="A73" s="168" t="s">
        <v>131</v>
      </c>
      <c r="B73" s="168"/>
      <c r="C73" s="169"/>
      <c r="D73" s="170"/>
      <c r="E73" s="171"/>
      <c r="F73" s="171"/>
      <c r="G73" s="171"/>
      <c r="H73" s="171"/>
      <c r="I73" s="168"/>
      <c r="J73" s="171"/>
      <c r="K73" s="681"/>
      <c r="L73" s="314"/>
      <c r="M73" s="314"/>
      <c r="N73" s="314"/>
      <c r="O73" s="314"/>
      <c r="P73" s="314"/>
      <c r="Q73" s="314"/>
      <c r="R73" s="314"/>
      <c r="S73" s="314"/>
      <c r="T73" s="314"/>
      <c r="U73" s="314"/>
      <c r="V73" s="314"/>
      <c r="W73" s="314"/>
      <c r="X73" s="314"/>
      <c r="Y73" s="314"/>
      <c r="Z73" s="314"/>
      <c r="AA73" s="314"/>
      <c r="AB73" s="314"/>
      <c r="AC73" s="314"/>
      <c r="AD73" s="314"/>
      <c r="AE73" s="314"/>
    </row>
    <row r="74" spans="1:32" s="252" customFormat="1">
      <c r="A74" s="183"/>
      <c r="B74" s="183"/>
      <c r="C74" s="364"/>
      <c r="D74" s="365"/>
      <c r="E74" s="184"/>
      <c r="F74" s="184"/>
      <c r="G74" s="184"/>
      <c r="H74" s="184"/>
      <c r="I74" s="183"/>
      <c r="J74" s="184"/>
      <c r="K74" s="664"/>
      <c r="L74" s="366"/>
      <c r="M74" s="366"/>
      <c r="N74" s="366"/>
      <c r="O74" s="366"/>
      <c r="P74" s="366"/>
      <c r="Q74" s="366"/>
      <c r="R74" s="366"/>
      <c r="S74" s="366"/>
      <c r="T74" s="366"/>
      <c r="U74" s="366"/>
      <c r="V74" s="366"/>
      <c r="W74" s="366"/>
      <c r="X74" s="366"/>
      <c r="Y74" s="366"/>
      <c r="Z74" s="366"/>
      <c r="AA74" s="366"/>
      <c r="AB74" s="366"/>
      <c r="AC74" s="366"/>
      <c r="AD74" s="366"/>
      <c r="AE74" s="366"/>
    </row>
    <row r="75" spans="1:32">
      <c r="A75" s="41" t="s">
        <v>13</v>
      </c>
      <c r="B75" s="41"/>
      <c r="C75" s="105"/>
      <c r="D75" s="106"/>
      <c r="E75" s="37"/>
      <c r="F75" s="37"/>
      <c r="G75" s="37"/>
      <c r="H75" s="37"/>
      <c r="I75" s="41"/>
      <c r="J75" s="37"/>
      <c r="K75" s="683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</row>
    <row r="76" spans="1:32">
      <c r="A76" s="96" t="s">
        <v>418</v>
      </c>
      <c r="B76" s="735" t="s">
        <v>12</v>
      </c>
      <c r="C76" s="663">
        <v>75000</v>
      </c>
      <c r="D76" s="736">
        <f t="shared" ref="D76:D79" si="0">C76/2080</f>
        <v>36.057692307692307</v>
      </c>
      <c r="E76" s="663">
        <v>0</v>
      </c>
      <c r="F76" s="663">
        <f>(C76*$F$13)</f>
        <v>30000</v>
      </c>
      <c r="G76" s="663">
        <f>SUM(C76,E76:F76)</f>
        <v>105000</v>
      </c>
      <c r="H76" s="663"/>
      <c r="I76" s="736"/>
      <c r="J76" s="663"/>
      <c r="K76" s="683">
        <v>0</v>
      </c>
      <c r="L76" s="665">
        <v>0</v>
      </c>
      <c r="M76" s="666">
        <f>G76</f>
        <v>105000</v>
      </c>
      <c r="N76" s="666">
        <f>($G$76*L11)</f>
        <v>107100</v>
      </c>
      <c r="O76" s="666">
        <f t="shared" ref="O76:AE76" si="1">($G$76*M11)</f>
        <v>109242</v>
      </c>
      <c r="P76" s="666">
        <f t="shared" si="1"/>
        <v>111426.84</v>
      </c>
      <c r="Q76" s="666">
        <f t="shared" si="1"/>
        <v>113655.3768</v>
      </c>
      <c r="R76" s="666">
        <f t="shared" si="1"/>
        <v>115928.48433600001</v>
      </c>
      <c r="S76" s="666">
        <f t="shared" si="1"/>
        <v>118247.05402272001</v>
      </c>
      <c r="T76" s="666">
        <f t="shared" si="1"/>
        <v>120611.9951031744</v>
      </c>
      <c r="U76" s="666">
        <f t="shared" si="1"/>
        <v>123024.2350052379</v>
      </c>
      <c r="V76" s="666">
        <f t="shared" si="1"/>
        <v>125484.71970534266</v>
      </c>
      <c r="W76" s="666">
        <f t="shared" si="1"/>
        <v>127994.41409944952</v>
      </c>
      <c r="X76" s="666">
        <f t="shared" si="1"/>
        <v>130554.30238143851</v>
      </c>
      <c r="Y76" s="666">
        <f t="shared" si="1"/>
        <v>133165.38842906727</v>
      </c>
      <c r="Z76" s="666">
        <f t="shared" si="1"/>
        <v>135828.69619764862</v>
      </c>
      <c r="AA76" s="666">
        <f t="shared" si="1"/>
        <v>138545.27012160158</v>
      </c>
      <c r="AB76" s="666">
        <f t="shared" si="1"/>
        <v>141316.17552403364</v>
      </c>
      <c r="AC76" s="666">
        <f t="shared" si="1"/>
        <v>144142.4990345143</v>
      </c>
      <c r="AD76" s="666">
        <f t="shared" si="1"/>
        <v>147025.34901520461</v>
      </c>
      <c r="AE76" s="666">
        <f t="shared" si="1"/>
        <v>149965.8559955087</v>
      </c>
    </row>
    <row r="77" spans="1:32">
      <c r="A77" s="96" t="s">
        <v>417</v>
      </c>
      <c r="B77" s="735" t="s">
        <v>12</v>
      </c>
      <c r="C77" s="663">
        <v>35000</v>
      </c>
      <c r="D77" s="736">
        <f t="shared" si="0"/>
        <v>16.826923076923077</v>
      </c>
      <c r="E77" s="663">
        <v>0</v>
      </c>
      <c r="F77" s="663">
        <f t="shared" ref="F77:F79" si="2">(C77*$F$13)</f>
        <v>14000</v>
      </c>
      <c r="G77" s="663">
        <f t="shared" ref="G77:G79" si="3">SUM(C77,E77:F77)</f>
        <v>49000</v>
      </c>
      <c r="H77" s="663"/>
      <c r="I77" s="736"/>
      <c r="J77" s="663"/>
      <c r="K77" s="683">
        <v>0</v>
      </c>
      <c r="L77" s="665">
        <f>G77*0.25</f>
        <v>12250</v>
      </c>
      <c r="M77" s="666">
        <f>G77*0.5</f>
        <v>24500</v>
      </c>
      <c r="N77" s="666">
        <f>($G$77*0.5*L11)</f>
        <v>24990</v>
      </c>
      <c r="O77" s="666">
        <f t="shared" ref="O77:AE77" si="4">($G$77*0.5*M11)</f>
        <v>25489.8</v>
      </c>
      <c r="P77" s="666">
        <f t="shared" si="4"/>
        <v>25999.595999999998</v>
      </c>
      <c r="Q77" s="666">
        <f t="shared" si="4"/>
        <v>26519.587919999998</v>
      </c>
      <c r="R77" s="666">
        <f t="shared" si="4"/>
        <v>27049.979678399999</v>
      </c>
      <c r="S77" s="666">
        <f t="shared" si="4"/>
        <v>27590.979271968001</v>
      </c>
      <c r="T77" s="666">
        <f t="shared" si="4"/>
        <v>28142.798857407361</v>
      </c>
      <c r="U77" s="666">
        <f t="shared" si="4"/>
        <v>28705.654834555509</v>
      </c>
      <c r="V77" s="666">
        <f t="shared" si="4"/>
        <v>29279.767931246621</v>
      </c>
      <c r="W77" s="666">
        <f t="shared" si="4"/>
        <v>29865.363289871555</v>
      </c>
      <c r="X77" s="666">
        <f t="shared" si="4"/>
        <v>30462.670555668985</v>
      </c>
      <c r="Y77" s="666">
        <f t="shared" si="4"/>
        <v>31071.923966782364</v>
      </c>
      <c r="Z77" s="666">
        <f t="shared" si="4"/>
        <v>31693.362446118008</v>
      </c>
      <c r="AA77" s="666">
        <f t="shared" si="4"/>
        <v>32327.229695040372</v>
      </c>
      <c r="AB77" s="666">
        <f t="shared" si="4"/>
        <v>32973.774288941182</v>
      </c>
      <c r="AC77" s="666">
        <f t="shared" si="4"/>
        <v>33633.249774720003</v>
      </c>
      <c r="AD77" s="666">
        <f t="shared" si="4"/>
        <v>34305.914770214411</v>
      </c>
      <c r="AE77" s="666">
        <f t="shared" si="4"/>
        <v>34992.0330656187</v>
      </c>
    </row>
    <row r="78" spans="1:32">
      <c r="A78" s="96" t="s">
        <v>422</v>
      </c>
      <c r="B78" s="735" t="s">
        <v>15</v>
      </c>
      <c r="C78" s="663">
        <v>15000</v>
      </c>
      <c r="D78" s="736">
        <f t="shared" si="0"/>
        <v>7.2115384615384617</v>
      </c>
      <c r="E78" s="663">
        <f>C78*$L$15</f>
        <v>0</v>
      </c>
      <c r="F78" s="663">
        <f t="shared" si="2"/>
        <v>6000</v>
      </c>
      <c r="G78" s="663">
        <f t="shared" si="3"/>
        <v>21000</v>
      </c>
      <c r="H78" s="663"/>
      <c r="I78" s="736"/>
      <c r="J78" s="663"/>
      <c r="K78" s="683">
        <v>0</v>
      </c>
      <c r="L78" s="665">
        <v>0</v>
      </c>
      <c r="M78" s="666">
        <f t="shared" ref="M78" si="5">G78</f>
        <v>21000</v>
      </c>
      <c r="N78" s="666">
        <f>($G$78*L11)</f>
        <v>21420</v>
      </c>
      <c r="O78" s="666">
        <f t="shared" ref="O78:AE78" si="6">($G$78*M11)</f>
        <v>21848.400000000001</v>
      </c>
      <c r="P78" s="666">
        <f t="shared" si="6"/>
        <v>22285.367999999999</v>
      </c>
      <c r="Q78" s="666">
        <f t="shared" si="6"/>
        <v>22731.075359999999</v>
      </c>
      <c r="R78" s="666">
        <f t="shared" si="6"/>
        <v>23185.6968672</v>
      </c>
      <c r="S78" s="666">
        <f t="shared" si="6"/>
        <v>23649.410804544001</v>
      </c>
      <c r="T78" s="666">
        <f t="shared" si="6"/>
        <v>24122.399020634883</v>
      </c>
      <c r="U78" s="666">
        <f t="shared" si="6"/>
        <v>24604.847001047579</v>
      </c>
      <c r="V78" s="666">
        <f t="shared" si="6"/>
        <v>25096.943941068534</v>
      </c>
      <c r="W78" s="666">
        <f t="shared" si="6"/>
        <v>25598.882819889903</v>
      </c>
      <c r="X78" s="666">
        <f t="shared" si="6"/>
        <v>26110.8604762877</v>
      </c>
      <c r="Y78" s="666">
        <f t="shared" si="6"/>
        <v>26633.077685813456</v>
      </c>
      <c r="Z78" s="666">
        <f t="shared" si="6"/>
        <v>27165.739239529721</v>
      </c>
      <c r="AA78" s="666">
        <f t="shared" si="6"/>
        <v>27709.054024320321</v>
      </c>
      <c r="AB78" s="666">
        <f t="shared" si="6"/>
        <v>28263.235104806728</v>
      </c>
      <c r="AC78" s="666">
        <f t="shared" si="6"/>
        <v>28828.499806902862</v>
      </c>
      <c r="AD78" s="666">
        <f t="shared" si="6"/>
        <v>29405.069803040922</v>
      </c>
      <c r="AE78" s="666">
        <f t="shared" si="6"/>
        <v>29993.17119910174</v>
      </c>
    </row>
    <row r="79" spans="1:32">
      <c r="A79" s="737" t="s">
        <v>422</v>
      </c>
      <c r="B79" s="738" t="s">
        <v>15</v>
      </c>
      <c r="C79" s="739">
        <v>15000</v>
      </c>
      <c r="D79" s="740">
        <f t="shared" si="0"/>
        <v>7.2115384615384617</v>
      </c>
      <c r="E79" s="739">
        <f>C79*$L$15</f>
        <v>0</v>
      </c>
      <c r="F79" s="739">
        <f t="shared" si="2"/>
        <v>6000</v>
      </c>
      <c r="G79" s="739">
        <f t="shared" si="3"/>
        <v>21000</v>
      </c>
      <c r="H79" s="739"/>
      <c r="I79" s="740"/>
      <c r="J79" s="739"/>
      <c r="K79" s="741">
        <v>0</v>
      </c>
      <c r="L79" s="742">
        <v>0</v>
      </c>
      <c r="M79" s="742">
        <f t="shared" ref="M79" si="7">G79</f>
        <v>21000</v>
      </c>
      <c r="N79" s="742">
        <f>($G$79*L11)</f>
        <v>21420</v>
      </c>
      <c r="O79" s="742">
        <f t="shared" ref="O79:AE79" si="8">($G$79*M11)</f>
        <v>21848.400000000001</v>
      </c>
      <c r="P79" s="742">
        <f t="shared" si="8"/>
        <v>22285.367999999999</v>
      </c>
      <c r="Q79" s="742">
        <f t="shared" si="8"/>
        <v>22731.075359999999</v>
      </c>
      <c r="R79" s="742">
        <f t="shared" si="8"/>
        <v>23185.6968672</v>
      </c>
      <c r="S79" s="742">
        <f t="shared" si="8"/>
        <v>23649.410804544001</v>
      </c>
      <c r="T79" s="742">
        <f t="shared" si="8"/>
        <v>24122.399020634883</v>
      </c>
      <c r="U79" s="742">
        <f t="shared" si="8"/>
        <v>24604.847001047579</v>
      </c>
      <c r="V79" s="742">
        <f t="shared" si="8"/>
        <v>25096.943941068534</v>
      </c>
      <c r="W79" s="742">
        <f t="shared" si="8"/>
        <v>25598.882819889903</v>
      </c>
      <c r="X79" s="742">
        <f t="shared" si="8"/>
        <v>26110.8604762877</v>
      </c>
      <c r="Y79" s="742">
        <f t="shared" si="8"/>
        <v>26633.077685813456</v>
      </c>
      <c r="Z79" s="742">
        <f t="shared" si="8"/>
        <v>27165.739239529721</v>
      </c>
      <c r="AA79" s="742">
        <f t="shared" si="8"/>
        <v>27709.054024320321</v>
      </c>
      <c r="AB79" s="742">
        <f t="shared" si="8"/>
        <v>28263.235104806728</v>
      </c>
      <c r="AC79" s="742">
        <f t="shared" si="8"/>
        <v>28828.499806902862</v>
      </c>
      <c r="AD79" s="742">
        <f t="shared" si="8"/>
        <v>29405.069803040922</v>
      </c>
      <c r="AE79" s="742">
        <f t="shared" si="8"/>
        <v>29993.17119910174</v>
      </c>
    </row>
    <row r="80" spans="1:32" s="56" customFormat="1" ht="14.25">
      <c r="A80" s="164" t="s">
        <v>416</v>
      </c>
      <c r="B80" s="164"/>
      <c r="C80" s="667">
        <f>SUM(C76:C79)</f>
        <v>140000</v>
      </c>
      <c r="D80" s="667"/>
      <c r="E80" s="667">
        <f>SUM(E76:E79)</f>
        <v>0</v>
      </c>
      <c r="F80" s="667">
        <f>SUM(F76:F79)</f>
        <v>56000</v>
      </c>
      <c r="G80" s="667">
        <f>SUM(G76:G79)</f>
        <v>196000</v>
      </c>
      <c r="H80" s="667"/>
      <c r="I80" s="668"/>
      <c r="J80" s="667"/>
      <c r="K80" s="685">
        <f>SUMIF($B76:$B79,"FT",K76:K79)</f>
        <v>0</v>
      </c>
      <c r="L80" s="669">
        <f t="shared" ref="L80:AE80" si="9">SUM(L76:L79)</f>
        <v>12250</v>
      </c>
      <c r="M80" s="669">
        <f t="shared" si="9"/>
        <v>171500</v>
      </c>
      <c r="N80" s="669">
        <f t="shared" si="9"/>
        <v>174930</v>
      </c>
      <c r="O80" s="669">
        <f t="shared" si="9"/>
        <v>178428.59999999998</v>
      </c>
      <c r="P80" s="669">
        <f t="shared" si="9"/>
        <v>181997.17199999996</v>
      </c>
      <c r="Q80" s="669">
        <f t="shared" si="9"/>
        <v>185637.11543999997</v>
      </c>
      <c r="R80" s="669">
        <f t="shared" si="9"/>
        <v>189349.85774879999</v>
      </c>
      <c r="S80" s="669">
        <f t="shared" si="9"/>
        <v>193136.85490377599</v>
      </c>
      <c r="T80" s="669">
        <f t="shared" si="9"/>
        <v>196999.59200185153</v>
      </c>
      <c r="U80" s="669">
        <f t="shared" si="9"/>
        <v>200939.58384188855</v>
      </c>
      <c r="V80" s="669">
        <f t="shared" si="9"/>
        <v>204958.37551872636</v>
      </c>
      <c r="W80" s="669">
        <f t="shared" si="9"/>
        <v>209057.54302910087</v>
      </c>
      <c r="X80" s="669">
        <f t="shared" si="9"/>
        <v>213238.69388968288</v>
      </c>
      <c r="Y80" s="669">
        <f t="shared" si="9"/>
        <v>217503.46776747654</v>
      </c>
      <c r="Z80" s="669">
        <f t="shared" si="9"/>
        <v>221853.53712282603</v>
      </c>
      <c r="AA80" s="669">
        <f t="shared" si="9"/>
        <v>226290.60786528263</v>
      </c>
      <c r="AB80" s="669">
        <f t="shared" si="9"/>
        <v>230816.42002258825</v>
      </c>
      <c r="AC80" s="669">
        <f t="shared" si="9"/>
        <v>235432.74842304003</v>
      </c>
      <c r="AD80" s="669">
        <f t="shared" si="9"/>
        <v>240141.40339150085</v>
      </c>
      <c r="AE80" s="669">
        <f t="shared" si="9"/>
        <v>244944.23145933088</v>
      </c>
    </row>
    <row r="81" spans="1:35" s="56" customFormat="1" ht="14.25">
      <c r="A81" s="164"/>
      <c r="B81" s="164"/>
      <c r="C81" s="667"/>
      <c r="D81" s="667"/>
      <c r="E81" s="667"/>
      <c r="F81" s="667"/>
      <c r="G81" s="667"/>
      <c r="H81" s="667"/>
      <c r="I81" s="668"/>
      <c r="J81" s="667"/>
      <c r="K81" s="685"/>
      <c r="L81" s="669"/>
      <c r="M81" s="669"/>
      <c r="N81" s="669"/>
      <c r="O81" s="669"/>
      <c r="P81" s="669"/>
      <c r="Q81" s="669"/>
      <c r="R81" s="669"/>
      <c r="S81" s="669"/>
      <c r="T81" s="669"/>
      <c r="U81" s="669"/>
      <c r="V81" s="669"/>
      <c r="W81" s="669"/>
      <c r="X81" s="669"/>
      <c r="Y81" s="669"/>
      <c r="Z81" s="669"/>
      <c r="AA81" s="669"/>
      <c r="AB81" s="669"/>
      <c r="AC81" s="669"/>
      <c r="AD81" s="669"/>
      <c r="AE81" s="669"/>
    </row>
    <row r="82" spans="1:35">
      <c r="A82" s="37" t="s">
        <v>411</v>
      </c>
      <c r="B82" s="37"/>
      <c r="C82" s="57"/>
      <c r="E82" s="57"/>
      <c r="F82" s="57"/>
      <c r="G82" s="57"/>
      <c r="H82" s="57"/>
      <c r="I82" s="43"/>
      <c r="J82" s="42"/>
      <c r="K82" s="743">
        <f>COUNTIF(K76:K79,"&gt;100")</f>
        <v>0</v>
      </c>
      <c r="L82" s="496">
        <f t="shared" ref="L82:AE82" si="10">COUNTIF(L76:L77,"&gt;100")</f>
        <v>1</v>
      </c>
      <c r="M82" s="496">
        <f t="shared" si="10"/>
        <v>2</v>
      </c>
      <c r="N82" s="496">
        <f t="shared" si="10"/>
        <v>2</v>
      </c>
      <c r="O82" s="496">
        <f t="shared" si="10"/>
        <v>2</v>
      </c>
      <c r="P82" s="496">
        <f t="shared" si="10"/>
        <v>2</v>
      </c>
      <c r="Q82" s="496">
        <f t="shared" si="10"/>
        <v>2</v>
      </c>
      <c r="R82" s="496">
        <f t="shared" si="10"/>
        <v>2</v>
      </c>
      <c r="S82" s="496">
        <f t="shared" si="10"/>
        <v>2</v>
      </c>
      <c r="T82" s="496">
        <f t="shared" si="10"/>
        <v>2</v>
      </c>
      <c r="U82" s="496">
        <f t="shared" si="10"/>
        <v>2</v>
      </c>
      <c r="V82" s="496">
        <f t="shared" si="10"/>
        <v>2</v>
      </c>
      <c r="W82" s="496">
        <f t="shared" si="10"/>
        <v>2</v>
      </c>
      <c r="X82" s="496">
        <f t="shared" si="10"/>
        <v>2</v>
      </c>
      <c r="Y82" s="496">
        <f t="shared" si="10"/>
        <v>2</v>
      </c>
      <c r="Z82" s="496">
        <f t="shared" si="10"/>
        <v>2</v>
      </c>
      <c r="AA82" s="496">
        <f t="shared" si="10"/>
        <v>2</v>
      </c>
      <c r="AB82" s="496">
        <f t="shared" si="10"/>
        <v>2</v>
      </c>
      <c r="AC82" s="496">
        <f t="shared" si="10"/>
        <v>2</v>
      </c>
      <c r="AD82" s="496">
        <f t="shared" si="10"/>
        <v>2</v>
      </c>
      <c r="AE82" s="496">
        <f t="shared" si="10"/>
        <v>2</v>
      </c>
      <c r="AF82" s="744"/>
    </row>
    <row r="83" spans="1:35">
      <c r="A83" s="745" t="s">
        <v>412</v>
      </c>
      <c r="B83" s="745"/>
      <c r="C83" s="746"/>
      <c r="D83" s="116"/>
      <c r="E83" s="746"/>
      <c r="F83" s="746"/>
      <c r="G83" s="746"/>
      <c r="H83" s="746"/>
      <c r="I83" s="747"/>
      <c r="J83" s="748"/>
      <c r="K83" s="749">
        <f t="shared" ref="K83" si="11">K84-K82</f>
        <v>0</v>
      </c>
      <c r="L83" s="750">
        <f t="shared" ref="L83:AE83" si="12">COUNTIF(L78:L79,"&gt;100")</f>
        <v>0</v>
      </c>
      <c r="M83" s="750">
        <f t="shared" si="12"/>
        <v>2</v>
      </c>
      <c r="N83" s="750">
        <f t="shared" si="12"/>
        <v>2</v>
      </c>
      <c r="O83" s="750">
        <f t="shared" si="12"/>
        <v>2</v>
      </c>
      <c r="P83" s="750">
        <f t="shared" si="12"/>
        <v>2</v>
      </c>
      <c r="Q83" s="750">
        <f t="shared" si="12"/>
        <v>2</v>
      </c>
      <c r="R83" s="750">
        <f t="shared" si="12"/>
        <v>2</v>
      </c>
      <c r="S83" s="750">
        <f t="shared" si="12"/>
        <v>2</v>
      </c>
      <c r="T83" s="750">
        <f t="shared" si="12"/>
        <v>2</v>
      </c>
      <c r="U83" s="750">
        <f t="shared" si="12"/>
        <v>2</v>
      </c>
      <c r="V83" s="750">
        <f t="shared" si="12"/>
        <v>2</v>
      </c>
      <c r="W83" s="750">
        <f t="shared" si="12"/>
        <v>2</v>
      </c>
      <c r="X83" s="750">
        <f t="shared" si="12"/>
        <v>2</v>
      </c>
      <c r="Y83" s="750">
        <f t="shared" si="12"/>
        <v>2</v>
      </c>
      <c r="Z83" s="750">
        <f t="shared" si="12"/>
        <v>2</v>
      </c>
      <c r="AA83" s="750">
        <f t="shared" si="12"/>
        <v>2</v>
      </c>
      <c r="AB83" s="750">
        <f t="shared" si="12"/>
        <v>2</v>
      </c>
      <c r="AC83" s="750">
        <f t="shared" si="12"/>
        <v>2</v>
      </c>
      <c r="AD83" s="750">
        <f t="shared" si="12"/>
        <v>2</v>
      </c>
      <c r="AE83" s="750">
        <f t="shared" si="12"/>
        <v>2</v>
      </c>
    </row>
    <row r="84" spans="1:35" s="56" customFormat="1" ht="14.25">
      <c r="A84" s="164" t="s">
        <v>413</v>
      </c>
      <c r="B84" s="164"/>
      <c r="C84" s="75"/>
      <c r="D84" s="173"/>
      <c r="E84" s="75"/>
      <c r="F84" s="75"/>
      <c r="G84" s="75"/>
      <c r="H84" s="75"/>
      <c r="I84" s="174"/>
      <c r="J84" s="181"/>
      <c r="K84" s="751">
        <f>COUNTIF(K76:K79,"&gt;0")</f>
        <v>0</v>
      </c>
      <c r="L84" s="752">
        <f>SUM(L82:L83)</f>
        <v>1</v>
      </c>
      <c r="M84" s="752">
        <f t="shared" ref="M84:AE84" si="13">SUM(M82:M83)</f>
        <v>4</v>
      </c>
      <c r="N84" s="752">
        <f t="shared" si="13"/>
        <v>4</v>
      </c>
      <c r="O84" s="752">
        <f t="shared" si="13"/>
        <v>4</v>
      </c>
      <c r="P84" s="752">
        <f t="shared" si="13"/>
        <v>4</v>
      </c>
      <c r="Q84" s="752">
        <f t="shared" si="13"/>
        <v>4</v>
      </c>
      <c r="R84" s="752">
        <f t="shared" si="13"/>
        <v>4</v>
      </c>
      <c r="S84" s="752">
        <f t="shared" si="13"/>
        <v>4</v>
      </c>
      <c r="T84" s="752">
        <f t="shared" si="13"/>
        <v>4</v>
      </c>
      <c r="U84" s="752">
        <f t="shared" si="13"/>
        <v>4</v>
      </c>
      <c r="V84" s="752">
        <f t="shared" si="13"/>
        <v>4</v>
      </c>
      <c r="W84" s="752">
        <f t="shared" si="13"/>
        <v>4</v>
      </c>
      <c r="X84" s="752">
        <f t="shared" si="13"/>
        <v>4</v>
      </c>
      <c r="Y84" s="752">
        <f t="shared" si="13"/>
        <v>4</v>
      </c>
      <c r="Z84" s="752">
        <f t="shared" si="13"/>
        <v>4</v>
      </c>
      <c r="AA84" s="752">
        <f t="shared" si="13"/>
        <v>4</v>
      </c>
      <c r="AB84" s="752">
        <f t="shared" si="13"/>
        <v>4</v>
      </c>
      <c r="AC84" s="752">
        <f t="shared" si="13"/>
        <v>4</v>
      </c>
      <c r="AD84" s="752">
        <f t="shared" si="13"/>
        <v>4</v>
      </c>
      <c r="AE84" s="752">
        <f t="shared" si="13"/>
        <v>4</v>
      </c>
    </row>
    <row r="85" spans="1:35" s="56" customFormat="1" ht="14.25">
      <c r="A85" s="164"/>
      <c r="B85" s="164"/>
      <c r="C85" s="75"/>
      <c r="D85" s="173"/>
      <c r="E85" s="75"/>
      <c r="F85" s="75"/>
      <c r="G85" s="75"/>
      <c r="H85" s="75"/>
      <c r="I85" s="174"/>
      <c r="J85" s="181"/>
      <c r="K85" s="685"/>
      <c r="L85" s="315"/>
      <c r="M85" s="315"/>
      <c r="N85" s="315"/>
      <c r="O85" s="315"/>
      <c r="P85" s="315"/>
      <c r="Q85" s="315"/>
      <c r="R85" s="315"/>
      <c r="S85" s="315"/>
      <c r="T85" s="315"/>
      <c r="U85" s="315"/>
      <c r="V85" s="315"/>
      <c r="W85" s="315"/>
      <c r="X85" s="315"/>
      <c r="Y85" s="315"/>
      <c r="Z85" s="315"/>
      <c r="AA85" s="315"/>
      <c r="AB85" s="315"/>
      <c r="AC85" s="315"/>
      <c r="AD85" s="315"/>
      <c r="AE85" s="315"/>
    </row>
    <row r="86" spans="1:35">
      <c r="A86" s="48" t="s">
        <v>68</v>
      </c>
      <c r="B86" s="48"/>
      <c r="C86" s="77"/>
      <c r="D86" s="76"/>
      <c r="E86" s="57"/>
      <c r="F86" s="57"/>
      <c r="G86" s="77"/>
      <c r="H86" s="77"/>
      <c r="I86" s="50"/>
      <c r="J86" s="49"/>
      <c r="K86" s="683"/>
      <c r="L86" s="316"/>
      <c r="M86" s="316"/>
      <c r="N86" s="316"/>
      <c r="O86" s="316"/>
      <c r="P86" s="316"/>
      <c r="Q86" s="316"/>
      <c r="R86" s="316"/>
      <c r="S86" s="316"/>
      <c r="T86" s="316"/>
      <c r="U86" s="316"/>
      <c r="V86" s="316"/>
      <c r="W86" s="316"/>
      <c r="X86" s="316"/>
      <c r="Y86" s="316"/>
      <c r="Z86" s="316"/>
      <c r="AA86" s="316"/>
      <c r="AB86" s="316"/>
      <c r="AC86" s="316"/>
      <c r="AD86" s="316"/>
      <c r="AE86" s="316"/>
    </row>
    <row r="87" spans="1:35" s="68" customFormat="1" ht="14.25">
      <c r="A87" s="214" t="s">
        <v>80</v>
      </c>
      <c r="B87" s="189"/>
      <c r="C87" s="209"/>
      <c r="D87" s="210"/>
      <c r="E87" s="211"/>
      <c r="F87" s="211"/>
      <c r="G87" s="209"/>
      <c r="H87" s="209"/>
      <c r="I87" s="213"/>
      <c r="J87" s="212"/>
      <c r="K87" s="686"/>
      <c r="L87" s="317"/>
      <c r="M87" s="317"/>
      <c r="N87" s="317"/>
      <c r="O87" s="317"/>
      <c r="P87" s="317"/>
      <c r="Q87" s="317"/>
      <c r="R87" s="317"/>
      <c r="S87" s="317"/>
      <c r="T87" s="317"/>
      <c r="U87" s="317"/>
      <c r="V87" s="317"/>
      <c r="W87" s="317"/>
      <c r="X87" s="317"/>
      <c r="Y87" s="317"/>
      <c r="Z87" s="317"/>
      <c r="AA87" s="317"/>
      <c r="AB87" s="317"/>
      <c r="AC87" s="317"/>
      <c r="AD87" s="317"/>
      <c r="AE87" s="317"/>
    </row>
    <row r="88" spans="1:35">
      <c r="A88" s="37" t="s">
        <v>41</v>
      </c>
      <c r="B88" s="37"/>
      <c r="C88" s="110"/>
      <c r="D88" s="106"/>
      <c r="E88" s="57"/>
      <c r="F88" s="57"/>
      <c r="G88" s="57"/>
      <c r="H88" s="57"/>
      <c r="I88" s="51"/>
      <c r="J88" s="663"/>
      <c r="K88" s="683">
        <f>K$84*$J88*R$9</f>
        <v>0</v>
      </c>
      <c r="L88" s="666">
        <v>25000</v>
      </c>
      <c r="M88" s="666">
        <f>$L$88*L11</f>
        <v>25500</v>
      </c>
      <c r="N88" s="666">
        <f t="shared" ref="N88:P88" si="14">$L$88*M11</f>
        <v>26010</v>
      </c>
      <c r="O88" s="666">
        <f t="shared" si="14"/>
        <v>26530.199999999997</v>
      </c>
      <c r="P88" s="666">
        <f t="shared" si="14"/>
        <v>27060.804</v>
      </c>
      <c r="Q88" s="666">
        <f t="shared" ref="Q88" si="15">$L$88*P11</f>
        <v>27602.020080000002</v>
      </c>
      <c r="R88" s="666">
        <f t="shared" ref="R88" si="16">$L$88*Q11</f>
        <v>28154.060481600001</v>
      </c>
      <c r="S88" s="666">
        <f t="shared" ref="S88" si="17">$L$88*R11</f>
        <v>28717.141691232002</v>
      </c>
      <c r="T88" s="666">
        <f t="shared" ref="T88" si="18">$L$88*S11</f>
        <v>29291.484525056643</v>
      </c>
      <c r="U88" s="666">
        <f t="shared" ref="U88" si="19">$L$88*T11</f>
        <v>29877.314215557777</v>
      </c>
      <c r="V88" s="666">
        <f t="shared" ref="V88" si="20">$L$88*U11</f>
        <v>30474.860499868933</v>
      </c>
      <c r="W88" s="666">
        <f t="shared" ref="W88" si="21">$L$88*V11</f>
        <v>31084.357709866312</v>
      </c>
      <c r="X88" s="666">
        <f t="shared" ref="X88" si="22">$L$88*W11</f>
        <v>31706.044864063639</v>
      </c>
      <c r="Y88" s="666">
        <f t="shared" ref="Y88" si="23">$L$88*X11</f>
        <v>32340.165761344906</v>
      </c>
      <c r="Z88" s="666">
        <f t="shared" ref="Z88" si="24">$L$88*Y11</f>
        <v>32986.969076571811</v>
      </c>
      <c r="AA88" s="666">
        <f t="shared" ref="AA88" si="25">$L$88*Z11</f>
        <v>33646.708458103247</v>
      </c>
      <c r="AB88" s="666">
        <f t="shared" ref="AB88" si="26">$L$88*AA11</f>
        <v>34319.642627265312</v>
      </c>
      <c r="AC88" s="666">
        <f t="shared" ref="AC88" si="27">$L$88*AB11</f>
        <v>35006.03547981062</v>
      </c>
      <c r="AD88" s="666">
        <f t="shared" ref="AD88" si="28">$L$88*AC11</f>
        <v>35706.156189406836</v>
      </c>
      <c r="AE88" s="666">
        <f t="shared" ref="AE88" si="29">$L$88*AD11</f>
        <v>36420.279313194973</v>
      </c>
    </row>
    <row r="89" spans="1:35">
      <c r="A89" s="37" t="s">
        <v>424</v>
      </c>
      <c r="B89" s="37"/>
      <c r="C89" s="110"/>
      <c r="D89" s="106"/>
      <c r="E89" s="57"/>
      <c r="F89" s="57"/>
      <c r="G89" s="57"/>
      <c r="H89" s="57"/>
      <c r="I89" s="51"/>
      <c r="J89" s="663"/>
      <c r="K89" s="683">
        <f>K$84*$J89*R$9</f>
        <v>0</v>
      </c>
      <c r="L89" s="666">
        <v>10000</v>
      </c>
      <c r="M89" s="666">
        <v>500</v>
      </c>
      <c r="N89" s="666">
        <f>$M$89*M11</f>
        <v>520.20000000000005</v>
      </c>
      <c r="O89" s="666">
        <f>$M$89*N11</f>
        <v>530.60399999999993</v>
      </c>
      <c r="P89" s="666">
        <f>$M$89*O11</f>
        <v>541.21608000000003</v>
      </c>
      <c r="Q89" s="666">
        <v>5000</v>
      </c>
      <c r="R89" s="666">
        <f>$M$89*Q11</f>
        <v>563.08120963200008</v>
      </c>
      <c r="S89" s="666">
        <f>$M$89*R11</f>
        <v>574.34283382464002</v>
      </c>
      <c r="T89" s="666">
        <f>$M$89*S11</f>
        <v>585.82969050113286</v>
      </c>
      <c r="U89" s="666">
        <f>$M$89*T11</f>
        <v>597.54628431115555</v>
      </c>
      <c r="V89" s="666">
        <v>5000</v>
      </c>
      <c r="W89" s="666">
        <f>$M$89*V11</f>
        <v>621.68715419732621</v>
      </c>
      <c r="X89" s="666">
        <f>$M$89*W11</f>
        <v>634.12089728127273</v>
      </c>
      <c r="Y89" s="666">
        <f>$M$89*X11</f>
        <v>646.80331522689812</v>
      </c>
      <c r="Z89" s="666">
        <f>$M$89*Y11</f>
        <v>659.73938153143615</v>
      </c>
      <c r="AA89" s="666">
        <v>5000</v>
      </c>
      <c r="AB89" s="666">
        <f>$M$89*AA11</f>
        <v>686.39285254530625</v>
      </c>
      <c r="AC89" s="666">
        <f>$M$89*AB11</f>
        <v>700.12070959621246</v>
      </c>
      <c r="AD89" s="666">
        <f>$M$89*AC11</f>
        <v>714.1231237881367</v>
      </c>
      <c r="AE89" s="666">
        <f>$M$89*AD11</f>
        <v>728.40558626389941</v>
      </c>
    </row>
    <row r="90" spans="1:35">
      <c r="A90" s="37" t="s">
        <v>42</v>
      </c>
      <c r="B90" s="37"/>
      <c r="C90" s="110"/>
      <c r="D90" s="106"/>
      <c r="E90" s="57"/>
      <c r="F90" s="57"/>
      <c r="G90" s="57"/>
      <c r="H90" s="57"/>
      <c r="I90" s="51"/>
      <c r="J90" s="663"/>
      <c r="K90" s="683">
        <f>K$84*$J90*R$9</f>
        <v>0</v>
      </c>
      <c r="L90" s="666">
        <v>50000</v>
      </c>
      <c r="M90" s="666">
        <f t="shared" ref="M90:AE90" si="30">($L$90*L11)</f>
        <v>51000</v>
      </c>
      <c r="N90" s="666">
        <f t="shared" si="30"/>
        <v>52020</v>
      </c>
      <c r="O90" s="666">
        <f t="shared" si="30"/>
        <v>53060.399999999994</v>
      </c>
      <c r="P90" s="666">
        <f t="shared" si="30"/>
        <v>54121.608</v>
      </c>
      <c r="Q90" s="666">
        <f t="shared" si="30"/>
        <v>55204.040160000004</v>
      </c>
      <c r="R90" s="666">
        <f t="shared" si="30"/>
        <v>56308.120963200003</v>
      </c>
      <c r="S90" s="666">
        <f t="shared" si="30"/>
        <v>57434.283382464004</v>
      </c>
      <c r="T90" s="666">
        <f t="shared" si="30"/>
        <v>58582.969050113286</v>
      </c>
      <c r="U90" s="666">
        <f t="shared" si="30"/>
        <v>59754.628431115554</v>
      </c>
      <c r="V90" s="666">
        <f t="shared" si="30"/>
        <v>60949.720999737867</v>
      </c>
      <c r="W90" s="666">
        <f t="shared" si="30"/>
        <v>62168.715419732624</v>
      </c>
      <c r="X90" s="666">
        <f t="shared" si="30"/>
        <v>63412.089728127277</v>
      </c>
      <c r="Y90" s="666">
        <f t="shared" si="30"/>
        <v>64680.331522689812</v>
      </c>
      <c r="Z90" s="666">
        <f t="shared" si="30"/>
        <v>65973.938153143623</v>
      </c>
      <c r="AA90" s="666">
        <f t="shared" si="30"/>
        <v>67293.416916206494</v>
      </c>
      <c r="AB90" s="666">
        <f t="shared" si="30"/>
        <v>68639.285254530623</v>
      </c>
      <c r="AC90" s="666">
        <f t="shared" si="30"/>
        <v>70012.07095962124</v>
      </c>
      <c r="AD90" s="666">
        <f t="shared" si="30"/>
        <v>71412.312378813673</v>
      </c>
      <c r="AE90" s="666">
        <f t="shared" si="30"/>
        <v>72840.558626389946</v>
      </c>
    </row>
    <row r="91" spans="1:35">
      <c r="A91" s="37" t="s">
        <v>43</v>
      </c>
      <c r="B91" s="37"/>
      <c r="C91" s="110"/>
      <c r="D91" s="106"/>
      <c r="E91" s="57"/>
      <c r="F91" s="57"/>
      <c r="G91" s="57"/>
      <c r="H91" s="57"/>
      <c r="I91" s="51" t="s">
        <v>8</v>
      </c>
      <c r="J91" s="663">
        <v>500</v>
      </c>
      <c r="K91" s="683">
        <v>0</v>
      </c>
      <c r="L91" s="666">
        <f>J91*L84</f>
        <v>500</v>
      </c>
      <c r="M91" s="666">
        <f t="shared" ref="M91:AE91" si="31">$J$91*M84*L11</f>
        <v>2040</v>
      </c>
      <c r="N91" s="666">
        <f t="shared" si="31"/>
        <v>2080.8000000000002</v>
      </c>
      <c r="O91" s="666">
        <f t="shared" si="31"/>
        <v>2122.4159999999997</v>
      </c>
      <c r="P91" s="666">
        <f t="shared" si="31"/>
        <v>2164.8643200000001</v>
      </c>
      <c r="Q91" s="666">
        <f t="shared" si="31"/>
        <v>2208.1616064</v>
      </c>
      <c r="R91" s="666">
        <f t="shared" si="31"/>
        <v>2252.3248385280003</v>
      </c>
      <c r="S91" s="666">
        <f t="shared" si="31"/>
        <v>2297.3713352985601</v>
      </c>
      <c r="T91" s="666">
        <f t="shared" si="31"/>
        <v>2343.3187620045314</v>
      </c>
      <c r="U91" s="666">
        <f t="shared" si="31"/>
        <v>2390.1851372446222</v>
      </c>
      <c r="V91" s="666">
        <f t="shared" si="31"/>
        <v>2437.9888399895149</v>
      </c>
      <c r="W91" s="666">
        <f t="shared" si="31"/>
        <v>2486.7486167893048</v>
      </c>
      <c r="X91" s="666">
        <f t="shared" si="31"/>
        <v>2536.4835891250909</v>
      </c>
      <c r="Y91" s="666">
        <f t="shared" si="31"/>
        <v>2587.2132609075925</v>
      </c>
      <c r="Z91" s="666">
        <f t="shared" si="31"/>
        <v>2638.9575261257446</v>
      </c>
      <c r="AA91" s="666">
        <f t="shared" si="31"/>
        <v>2691.7366766482596</v>
      </c>
      <c r="AB91" s="666">
        <f t="shared" si="31"/>
        <v>2745.571410181225</v>
      </c>
      <c r="AC91" s="666">
        <f t="shared" si="31"/>
        <v>2800.4828383848499</v>
      </c>
      <c r="AD91" s="666">
        <f t="shared" si="31"/>
        <v>2856.4924951525468</v>
      </c>
      <c r="AE91" s="666">
        <f t="shared" si="31"/>
        <v>2913.6223450555976</v>
      </c>
    </row>
    <row r="92" spans="1:35">
      <c r="A92" s="37" t="s">
        <v>44</v>
      </c>
      <c r="B92" s="37"/>
      <c r="C92" s="110"/>
      <c r="D92" s="106"/>
      <c r="E92" s="57"/>
      <c r="F92" s="57"/>
      <c r="G92" s="57"/>
      <c r="H92" s="57"/>
      <c r="I92" s="51" t="s">
        <v>8</v>
      </c>
      <c r="J92" s="663">
        <v>250</v>
      </c>
      <c r="K92" s="683">
        <v>0</v>
      </c>
      <c r="L92" s="666">
        <f>J92*L84</f>
        <v>250</v>
      </c>
      <c r="M92" s="666">
        <f t="shared" ref="M92:AE92" si="32">$J$92*M84*L11</f>
        <v>1020</v>
      </c>
      <c r="N92" s="666">
        <f t="shared" si="32"/>
        <v>1040.4000000000001</v>
      </c>
      <c r="O92" s="666">
        <f t="shared" si="32"/>
        <v>1061.2079999999999</v>
      </c>
      <c r="P92" s="666">
        <f t="shared" si="32"/>
        <v>1082.4321600000001</v>
      </c>
      <c r="Q92" s="666">
        <f t="shared" si="32"/>
        <v>1104.0808032</v>
      </c>
      <c r="R92" s="666">
        <f t="shared" si="32"/>
        <v>1126.1624192640002</v>
      </c>
      <c r="S92" s="666">
        <f t="shared" si="32"/>
        <v>1148.68566764928</v>
      </c>
      <c r="T92" s="666">
        <f t="shared" si="32"/>
        <v>1171.6593810022657</v>
      </c>
      <c r="U92" s="666">
        <f t="shared" si="32"/>
        <v>1195.0925686223111</v>
      </c>
      <c r="V92" s="666">
        <f t="shared" si="32"/>
        <v>1218.9944199947574</v>
      </c>
      <c r="W92" s="666">
        <f t="shared" si="32"/>
        <v>1243.3743083946524</v>
      </c>
      <c r="X92" s="666">
        <f t="shared" si="32"/>
        <v>1268.2417945625455</v>
      </c>
      <c r="Y92" s="666">
        <f t="shared" si="32"/>
        <v>1293.6066304537962</v>
      </c>
      <c r="Z92" s="666">
        <f t="shared" si="32"/>
        <v>1319.4787630628723</v>
      </c>
      <c r="AA92" s="666">
        <f t="shared" si="32"/>
        <v>1345.8683383241298</v>
      </c>
      <c r="AB92" s="666">
        <f t="shared" si="32"/>
        <v>1372.7857050906125</v>
      </c>
      <c r="AC92" s="666">
        <f t="shared" si="32"/>
        <v>1400.2414191924249</v>
      </c>
      <c r="AD92" s="666">
        <f t="shared" si="32"/>
        <v>1428.2462475762734</v>
      </c>
      <c r="AE92" s="666">
        <f t="shared" si="32"/>
        <v>1456.8111725277988</v>
      </c>
      <c r="AF92" s="44"/>
    </row>
    <row r="93" spans="1:35">
      <c r="A93" s="745" t="s">
        <v>2</v>
      </c>
      <c r="B93" s="745"/>
      <c r="C93" s="753"/>
      <c r="D93" s="754"/>
      <c r="E93" s="746"/>
      <c r="F93" s="746"/>
      <c r="G93" s="746"/>
      <c r="H93" s="746"/>
      <c r="I93" s="755"/>
      <c r="J93" s="739"/>
      <c r="K93" s="741">
        <v>0</v>
      </c>
      <c r="L93" s="742">
        <v>1000</v>
      </c>
      <c r="M93" s="742">
        <f t="shared" ref="M93:AE93" si="33">($L$93*L11)</f>
        <v>1020</v>
      </c>
      <c r="N93" s="742">
        <f t="shared" si="33"/>
        <v>1040.4000000000001</v>
      </c>
      <c r="O93" s="742">
        <f t="shared" si="33"/>
        <v>1061.2079999999999</v>
      </c>
      <c r="P93" s="742">
        <f t="shared" si="33"/>
        <v>1082.4321600000001</v>
      </c>
      <c r="Q93" s="742">
        <f t="shared" si="33"/>
        <v>1104.0808032</v>
      </c>
      <c r="R93" s="742">
        <f t="shared" si="33"/>
        <v>1126.1624192640002</v>
      </c>
      <c r="S93" s="742">
        <f t="shared" si="33"/>
        <v>1148.68566764928</v>
      </c>
      <c r="T93" s="742">
        <f t="shared" si="33"/>
        <v>1171.6593810022657</v>
      </c>
      <c r="U93" s="742">
        <f t="shared" si="33"/>
        <v>1195.0925686223111</v>
      </c>
      <c r="V93" s="742">
        <f t="shared" si="33"/>
        <v>1218.9944199947574</v>
      </c>
      <c r="W93" s="742">
        <f t="shared" si="33"/>
        <v>1243.3743083946524</v>
      </c>
      <c r="X93" s="742">
        <f t="shared" si="33"/>
        <v>1268.2417945625455</v>
      </c>
      <c r="Y93" s="742">
        <f t="shared" si="33"/>
        <v>1293.6066304537962</v>
      </c>
      <c r="Z93" s="742">
        <f t="shared" si="33"/>
        <v>1319.4787630628723</v>
      </c>
      <c r="AA93" s="742">
        <f t="shared" si="33"/>
        <v>1345.8683383241298</v>
      </c>
      <c r="AB93" s="742">
        <f t="shared" si="33"/>
        <v>1372.7857050906125</v>
      </c>
      <c r="AC93" s="742">
        <f t="shared" si="33"/>
        <v>1400.2414191924249</v>
      </c>
      <c r="AD93" s="742">
        <f t="shared" si="33"/>
        <v>1428.2462475762734</v>
      </c>
      <c r="AE93" s="742">
        <f t="shared" si="33"/>
        <v>1456.8111725277988</v>
      </c>
    </row>
    <row r="94" spans="1:35" s="56" customFormat="1" ht="14.25">
      <c r="A94" s="164" t="s">
        <v>409</v>
      </c>
      <c r="B94" s="215"/>
      <c r="C94" s="216"/>
      <c r="D94" s="217"/>
      <c r="E94" s="218"/>
      <c r="F94" s="218"/>
      <c r="G94" s="218"/>
      <c r="H94" s="218"/>
      <c r="I94" s="219"/>
      <c r="J94" s="756"/>
      <c r="K94" s="687">
        <f>SUM(K88:K93)</f>
        <v>0</v>
      </c>
      <c r="L94" s="757">
        <f>SUM(L88:L93)</f>
        <v>86750</v>
      </c>
      <c r="M94" s="757">
        <f t="shared" ref="M94:AE94" si="34">SUM(M88:M93)</f>
        <v>81080</v>
      </c>
      <c r="N94" s="757">
        <f t="shared" si="34"/>
        <v>82711.799999999988</v>
      </c>
      <c r="O94" s="757">
        <f t="shared" si="34"/>
        <v>84366.035999999993</v>
      </c>
      <c r="P94" s="757">
        <f t="shared" si="34"/>
        <v>86053.356719999982</v>
      </c>
      <c r="Q94" s="757">
        <f t="shared" si="34"/>
        <v>92222.383452800015</v>
      </c>
      <c r="R94" s="757">
        <f t="shared" si="34"/>
        <v>89529.912331488013</v>
      </c>
      <c r="S94" s="757">
        <f t="shared" si="34"/>
        <v>91320.510578117755</v>
      </c>
      <c r="T94" s="757">
        <f t="shared" si="34"/>
        <v>93146.920789680124</v>
      </c>
      <c r="U94" s="757">
        <f t="shared" si="34"/>
        <v>95009.859205473724</v>
      </c>
      <c r="V94" s="757">
        <f t="shared" si="34"/>
        <v>101300.55917958585</v>
      </c>
      <c r="W94" s="757">
        <f t="shared" si="34"/>
        <v>98848.257517374863</v>
      </c>
      <c r="X94" s="757">
        <f t="shared" si="34"/>
        <v>100825.22266772237</v>
      </c>
      <c r="Y94" s="757">
        <f t="shared" si="34"/>
        <v>102841.72712107681</v>
      </c>
      <c r="Z94" s="757">
        <f t="shared" si="34"/>
        <v>104898.56166349835</v>
      </c>
      <c r="AA94" s="757">
        <f t="shared" si="34"/>
        <v>111323.59872760627</v>
      </c>
      <c r="AB94" s="757">
        <f t="shared" si="34"/>
        <v>109136.4635547037</v>
      </c>
      <c r="AC94" s="757">
        <f t="shared" si="34"/>
        <v>111319.19282579776</v>
      </c>
      <c r="AD94" s="757">
        <f t="shared" si="34"/>
        <v>113545.57668231374</v>
      </c>
      <c r="AE94" s="757">
        <f t="shared" si="34"/>
        <v>115816.48821596001</v>
      </c>
    </row>
    <row r="95" spans="1:35" s="56" customFormat="1" ht="14.25">
      <c r="A95" s="164"/>
      <c r="B95" s="215"/>
      <c r="C95" s="216"/>
      <c r="D95" s="217"/>
      <c r="E95" s="218"/>
      <c r="F95" s="218"/>
      <c r="G95" s="218"/>
      <c r="H95" s="218"/>
      <c r="I95" s="219"/>
      <c r="J95" s="220"/>
      <c r="K95" s="687"/>
      <c r="L95" s="318"/>
      <c r="M95" s="318"/>
      <c r="N95" s="318"/>
      <c r="O95" s="318"/>
      <c r="P95" s="318"/>
      <c r="Q95" s="318"/>
      <c r="R95" s="318"/>
      <c r="S95" s="318"/>
      <c r="T95" s="318"/>
      <c r="U95" s="318"/>
      <c r="V95" s="318"/>
      <c r="W95" s="318"/>
      <c r="X95" s="318"/>
      <c r="Y95" s="318"/>
      <c r="Z95" s="318"/>
      <c r="AA95" s="318"/>
      <c r="AB95" s="318"/>
      <c r="AC95" s="318"/>
      <c r="AD95" s="318"/>
      <c r="AE95" s="318"/>
    </row>
    <row r="96" spans="1:35" s="56" customFormat="1" ht="14.25">
      <c r="A96" s="720" t="s">
        <v>26</v>
      </c>
      <c r="B96" s="215"/>
      <c r="C96" s="218"/>
      <c r="D96" s="721"/>
      <c r="E96" s="218"/>
      <c r="F96" s="218"/>
      <c r="G96" s="218"/>
      <c r="H96" s="218"/>
      <c r="I96" s="722"/>
      <c r="J96" s="220"/>
      <c r="K96" s="687"/>
      <c r="L96" s="318"/>
      <c r="M96" s="318"/>
      <c r="N96" s="318"/>
      <c r="O96" s="318"/>
      <c r="P96" s="318"/>
      <c r="Q96" s="318"/>
      <c r="R96" s="318"/>
      <c r="S96" s="318"/>
      <c r="T96" s="318"/>
      <c r="U96" s="318"/>
      <c r="V96" s="318"/>
      <c r="W96" s="318"/>
      <c r="X96" s="318"/>
      <c r="Y96" s="318"/>
      <c r="Z96" s="318"/>
      <c r="AA96" s="318"/>
      <c r="AB96" s="318"/>
      <c r="AC96" s="318"/>
      <c r="AD96" s="318"/>
      <c r="AE96" s="318"/>
      <c r="AF96" s="723"/>
      <c r="AG96" s="723"/>
      <c r="AH96" s="723"/>
      <c r="AI96" s="723"/>
    </row>
    <row r="97" spans="1:35">
      <c r="A97" s="190" t="s">
        <v>41</v>
      </c>
      <c r="B97" s="190"/>
      <c r="C97" s="194"/>
      <c r="D97" s="758"/>
      <c r="E97" s="194"/>
      <c r="F97" s="194"/>
      <c r="G97" s="759"/>
      <c r="H97" s="759"/>
      <c r="I97" s="760"/>
      <c r="J97" s="761"/>
      <c r="K97" s="689">
        <v>0</v>
      </c>
      <c r="L97" s="665">
        <v>1000</v>
      </c>
      <c r="M97" s="665">
        <f>$L$97*L11</f>
        <v>1020</v>
      </c>
      <c r="N97" s="665">
        <f t="shared" ref="N97:P97" si="35">$L$97*M11</f>
        <v>1040.4000000000001</v>
      </c>
      <c r="O97" s="665">
        <f t="shared" si="35"/>
        <v>1061.2079999999999</v>
      </c>
      <c r="P97" s="665">
        <f t="shared" si="35"/>
        <v>1082.4321600000001</v>
      </c>
      <c r="Q97" s="665">
        <v>25000</v>
      </c>
      <c r="R97" s="665">
        <f>$Q$97*L11</f>
        <v>25500</v>
      </c>
      <c r="S97" s="665">
        <f t="shared" ref="S97:AE97" si="36">$Q$97*M11</f>
        <v>26010</v>
      </c>
      <c r="T97" s="665">
        <f t="shared" si="36"/>
        <v>26530.199999999997</v>
      </c>
      <c r="U97" s="665">
        <f t="shared" si="36"/>
        <v>27060.804</v>
      </c>
      <c r="V97" s="665">
        <f t="shared" si="36"/>
        <v>27602.020080000002</v>
      </c>
      <c r="W97" s="665">
        <f t="shared" si="36"/>
        <v>28154.060481600001</v>
      </c>
      <c r="X97" s="665">
        <f t="shared" si="36"/>
        <v>28717.141691232002</v>
      </c>
      <c r="Y97" s="665">
        <f t="shared" si="36"/>
        <v>29291.484525056643</v>
      </c>
      <c r="Z97" s="665">
        <f t="shared" si="36"/>
        <v>29877.314215557777</v>
      </c>
      <c r="AA97" s="665">
        <f t="shared" si="36"/>
        <v>30474.860499868933</v>
      </c>
      <c r="AB97" s="665">
        <f t="shared" si="36"/>
        <v>31084.357709866312</v>
      </c>
      <c r="AC97" s="665">
        <f t="shared" si="36"/>
        <v>31706.044864063639</v>
      </c>
      <c r="AD97" s="665">
        <f t="shared" si="36"/>
        <v>32340.165761344906</v>
      </c>
      <c r="AE97" s="665">
        <f t="shared" si="36"/>
        <v>32986.969076571811</v>
      </c>
      <c r="AF97" s="55"/>
      <c r="AG97" s="55"/>
      <c r="AH97" s="55"/>
      <c r="AI97" s="55"/>
    </row>
    <row r="98" spans="1:35">
      <c r="A98" s="745" t="s">
        <v>302</v>
      </c>
      <c r="B98" s="745"/>
      <c r="C98" s="746"/>
      <c r="D98" s="116"/>
      <c r="E98" s="746"/>
      <c r="F98" s="746"/>
      <c r="G98" s="753"/>
      <c r="H98" s="753"/>
      <c r="I98" s="755"/>
      <c r="J98" s="762"/>
      <c r="K98" s="741">
        <v>0</v>
      </c>
      <c r="L98" s="742">
        <f>'Shuttle Projections'!C39/2</f>
        <v>233675</v>
      </c>
      <c r="M98" s="742">
        <f>'Shuttle Projections'!D39</f>
        <v>476697</v>
      </c>
      <c r="N98" s="742">
        <f>'Shuttle Projections'!E39</f>
        <v>486230.94000000006</v>
      </c>
      <c r="O98" s="742">
        <f>'Shuttle Projections'!F39</f>
        <v>495955.55879999994</v>
      </c>
      <c r="P98" s="742">
        <f>'Shuttle Projections'!G39</f>
        <v>505874.66997599998</v>
      </c>
      <c r="Q98" s="742">
        <f>'Shuttle Projections'!H39</f>
        <v>515992.16337552003</v>
      </c>
      <c r="R98" s="742">
        <f>'Shuttle Projections'!I39</f>
        <v>526312.00664303044</v>
      </c>
      <c r="S98" s="742">
        <f>'Shuttle Projections'!J39</f>
        <v>536838.24677589093</v>
      </c>
      <c r="T98" s="742">
        <f>'Shuttle Projections'!K39</f>
        <v>547575.01171140897</v>
      </c>
      <c r="U98" s="742">
        <f>'Shuttle Projections'!L39</f>
        <v>558526.51194563706</v>
      </c>
      <c r="V98" s="742">
        <f>'Shuttle Projections'!M39</f>
        <v>569697.04218454985</v>
      </c>
      <c r="W98" s="742">
        <f>'Shuttle Projections'!N39</f>
        <v>581090.98302824085</v>
      </c>
      <c r="X98" s="742">
        <f>'Shuttle Projections'!O39</f>
        <v>592712.80268880562</v>
      </c>
      <c r="Y98" s="742">
        <f>'Shuttle Projections'!P39</f>
        <v>604567.05874258175</v>
      </c>
      <c r="Z98" s="742">
        <f>'Shuttle Projections'!Q39</f>
        <v>616658.39991743339</v>
      </c>
      <c r="AA98" s="742">
        <f>'Shuttle Projections'!R39</f>
        <v>628991.5679157821</v>
      </c>
      <c r="AB98" s="742">
        <f>'Shuttle Projections'!S39</f>
        <v>641571.39927409776</v>
      </c>
      <c r="AC98" s="742">
        <f>'Shuttle Projections'!T39</f>
        <v>654402.82725957979</v>
      </c>
      <c r="AD98" s="742">
        <f>'Shuttle Projections'!U39</f>
        <v>667490.88380477135</v>
      </c>
      <c r="AE98" s="742">
        <f>'Shuttle Projections'!V39</f>
        <v>680840.70148086676</v>
      </c>
    </row>
    <row r="99" spans="1:35" s="56" customFormat="1" ht="14.25">
      <c r="A99" s="164" t="s">
        <v>410</v>
      </c>
      <c r="B99" s="164"/>
      <c r="C99" s="75"/>
      <c r="D99" s="173"/>
      <c r="E99" s="75"/>
      <c r="F99" s="75"/>
      <c r="G99" s="75"/>
      <c r="H99" s="75"/>
      <c r="I99" s="174"/>
      <c r="J99" s="175"/>
      <c r="K99" s="685">
        <v>0</v>
      </c>
      <c r="L99" s="669">
        <f>SUM(L97:L98)</f>
        <v>234675</v>
      </c>
      <c r="M99" s="669">
        <f t="shared" ref="M99:AE99" si="37">SUM(M97:M98)</f>
        <v>477717</v>
      </c>
      <c r="N99" s="669">
        <f t="shared" si="37"/>
        <v>487271.34000000008</v>
      </c>
      <c r="O99" s="669">
        <f t="shared" si="37"/>
        <v>497016.76679999992</v>
      </c>
      <c r="P99" s="669">
        <f t="shared" si="37"/>
        <v>506957.102136</v>
      </c>
      <c r="Q99" s="669">
        <f t="shared" si="37"/>
        <v>540992.16337552003</v>
      </c>
      <c r="R99" s="669">
        <f t="shared" si="37"/>
        <v>551812.00664303044</v>
      </c>
      <c r="S99" s="669">
        <f t="shared" si="37"/>
        <v>562848.24677589093</v>
      </c>
      <c r="T99" s="669">
        <f t="shared" si="37"/>
        <v>574105.21171140892</v>
      </c>
      <c r="U99" s="669">
        <f t="shared" si="37"/>
        <v>585587.31594563706</v>
      </c>
      <c r="V99" s="669">
        <f t="shared" si="37"/>
        <v>597299.0622645499</v>
      </c>
      <c r="W99" s="669">
        <f t="shared" si="37"/>
        <v>609245.04350984085</v>
      </c>
      <c r="X99" s="669">
        <f t="shared" si="37"/>
        <v>621429.9443800376</v>
      </c>
      <c r="Y99" s="669">
        <f t="shared" si="37"/>
        <v>633858.54326763842</v>
      </c>
      <c r="Z99" s="669">
        <f t="shared" si="37"/>
        <v>646535.71413299115</v>
      </c>
      <c r="AA99" s="669">
        <f t="shared" si="37"/>
        <v>659466.42841565108</v>
      </c>
      <c r="AB99" s="669">
        <f t="shared" si="37"/>
        <v>672655.75698396412</v>
      </c>
      <c r="AC99" s="669">
        <f t="shared" si="37"/>
        <v>686108.87212364341</v>
      </c>
      <c r="AD99" s="669">
        <f t="shared" si="37"/>
        <v>699831.0495661163</v>
      </c>
      <c r="AE99" s="669">
        <f t="shared" si="37"/>
        <v>713827.67055743863</v>
      </c>
    </row>
    <row r="100" spans="1:35" s="56" customFormat="1" ht="14.25">
      <c r="A100" s="164"/>
      <c r="B100" s="164"/>
      <c r="C100" s="75"/>
      <c r="D100" s="173"/>
      <c r="E100" s="75"/>
      <c r="F100" s="75"/>
      <c r="G100" s="75"/>
      <c r="H100" s="75"/>
      <c r="I100" s="174"/>
      <c r="J100" s="175"/>
      <c r="K100" s="685"/>
      <c r="L100" s="669"/>
      <c r="M100" s="669"/>
      <c r="N100" s="669"/>
      <c r="O100" s="669"/>
      <c r="P100" s="669"/>
      <c r="Q100" s="669"/>
      <c r="R100" s="669"/>
      <c r="S100" s="669"/>
      <c r="T100" s="669"/>
      <c r="U100" s="669"/>
      <c r="V100" s="669"/>
      <c r="W100" s="669"/>
      <c r="X100" s="669"/>
      <c r="Y100" s="669"/>
      <c r="Z100" s="669"/>
      <c r="AA100" s="669"/>
      <c r="AB100" s="669"/>
      <c r="AC100" s="669"/>
      <c r="AD100" s="669"/>
      <c r="AE100" s="669"/>
    </row>
    <row r="101" spans="1:35" s="56" customFormat="1" ht="14.25">
      <c r="A101" s="164" t="s">
        <v>78</v>
      </c>
      <c r="B101" s="164"/>
      <c r="C101" s="75"/>
      <c r="D101" s="173"/>
      <c r="E101" s="75"/>
      <c r="F101" s="75"/>
      <c r="G101" s="75"/>
      <c r="H101" s="75"/>
      <c r="I101" s="174"/>
      <c r="J101" s="175"/>
      <c r="K101" s="685">
        <v>0</v>
      </c>
      <c r="L101" s="669">
        <f>SUM(L94,L99)</f>
        <v>321425</v>
      </c>
      <c r="M101" s="669">
        <f t="shared" ref="M101:AE101" si="38">SUM(M94,M99)</f>
        <v>558797</v>
      </c>
      <c r="N101" s="669">
        <f t="shared" si="38"/>
        <v>569983.14000000013</v>
      </c>
      <c r="O101" s="669">
        <f t="shared" si="38"/>
        <v>581382.80279999995</v>
      </c>
      <c r="P101" s="669">
        <f t="shared" si="38"/>
        <v>593010.45885599998</v>
      </c>
      <c r="Q101" s="669">
        <f t="shared" si="38"/>
        <v>633214.54682832002</v>
      </c>
      <c r="R101" s="669">
        <f t="shared" si="38"/>
        <v>641341.91897451843</v>
      </c>
      <c r="S101" s="669">
        <f t="shared" si="38"/>
        <v>654168.75735400873</v>
      </c>
      <c r="T101" s="669">
        <f t="shared" si="38"/>
        <v>667252.13250108901</v>
      </c>
      <c r="U101" s="669">
        <f t="shared" si="38"/>
        <v>680597.17515111074</v>
      </c>
      <c r="V101" s="669">
        <f t="shared" si="38"/>
        <v>698599.62144413579</v>
      </c>
      <c r="W101" s="669">
        <f t="shared" si="38"/>
        <v>708093.30102721567</v>
      </c>
      <c r="X101" s="669">
        <f t="shared" si="38"/>
        <v>722255.16704775998</v>
      </c>
      <c r="Y101" s="669">
        <f t="shared" si="38"/>
        <v>736700.2703887152</v>
      </c>
      <c r="Z101" s="669">
        <f t="shared" si="38"/>
        <v>751434.27579648956</v>
      </c>
      <c r="AA101" s="669">
        <f t="shared" si="38"/>
        <v>770790.02714325732</v>
      </c>
      <c r="AB101" s="669">
        <f t="shared" si="38"/>
        <v>781792.22053866787</v>
      </c>
      <c r="AC101" s="669">
        <f t="shared" si="38"/>
        <v>797428.06494944112</v>
      </c>
      <c r="AD101" s="669">
        <f t="shared" si="38"/>
        <v>813376.62624843</v>
      </c>
      <c r="AE101" s="669">
        <f t="shared" si="38"/>
        <v>829644.15877339861</v>
      </c>
    </row>
    <row r="102" spans="1:35">
      <c r="A102" s="47"/>
      <c r="B102" s="47"/>
      <c r="C102" s="78"/>
      <c r="D102" s="100"/>
      <c r="E102" s="78"/>
      <c r="F102" s="78"/>
      <c r="G102" s="78"/>
      <c r="H102" s="78"/>
      <c r="I102" s="52"/>
      <c r="J102" s="114"/>
      <c r="K102" s="683"/>
      <c r="L102" s="115"/>
      <c r="M102" s="115"/>
      <c r="N102" s="115"/>
      <c r="O102" s="115"/>
      <c r="P102" s="115"/>
      <c r="Q102" s="115"/>
      <c r="R102" s="115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</row>
    <row r="103" spans="1:35">
      <c r="A103" s="168" t="s">
        <v>25</v>
      </c>
      <c r="B103" s="168"/>
      <c r="C103" s="176"/>
      <c r="D103" s="177"/>
      <c r="E103" s="176"/>
      <c r="F103" s="176"/>
      <c r="G103" s="176"/>
      <c r="H103" s="176"/>
      <c r="I103" s="178"/>
      <c r="J103" s="179"/>
      <c r="K103" s="682"/>
      <c r="L103" s="319"/>
      <c r="M103" s="319"/>
      <c r="N103" s="319"/>
      <c r="O103" s="319"/>
      <c r="P103" s="319"/>
      <c r="Q103" s="319"/>
      <c r="R103" s="319"/>
      <c r="S103" s="319"/>
      <c r="T103" s="319"/>
      <c r="U103" s="319"/>
      <c r="V103" s="319"/>
      <c r="W103" s="319"/>
      <c r="X103" s="319"/>
      <c r="Y103" s="319"/>
      <c r="Z103" s="319"/>
      <c r="AA103" s="319"/>
      <c r="AB103" s="319"/>
      <c r="AC103" s="319"/>
      <c r="AD103" s="319"/>
      <c r="AE103" s="319"/>
    </row>
    <row r="104" spans="1:35" s="252" customFormat="1">
      <c r="A104" s="183"/>
      <c r="B104" s="183"/>
      <c r="C104" s="185"/>
      <c r="D104" s="186"/>
      <c r="E104" s="185"/>
      <c r="F104" s="185"/>
      <c r="G104" s="185"/>
      <c r="H104" s="185"/>
      <c r="I104" s="302"/>
      <c r="J104" s="188"/>
      <c r="K104" s="683"/>
      <c r="L104" s="320"/>
      <c r="M104" s="320"/>
      <c r="N104" s="320"/>
      <c r="O104" s="320"/>
      <c r="P104" s="320"/>
      <c r="Q104" s="320"/>
      <c r="R104" s="320"/>
      <c r="S104" s="320"/>
      <c r="T104" s="320"/>
      <c r="U104" s="320"/>
      <c r="V104" s="320"/>
      <c r="W104" s="320"/>
      <c r="X104" s="320"/>
      <c r="Y104" s="320"/>
      <c r="Z104" s="320"/>
      <c r="AA104" s="320"/>
      <c r="AB104" s="320"/>
      <c r="AC104" s="320"/>
      <c r="AD104" s="320"/>
      <c r="AE104" s="320"/>
    </row>
    <row r="105" spans="1:35">
      <c r="A105" s="37" t="s">
        <v>425</v>
      </c>
      <c r="B105" s="37"/>
      <c r="C105" s="57"/>
      <c r="E105" s="57"/>
      <c r="F105" s="57"/>
      <c r="G105" s="57"/>
      <c r="H105" s="998"/>
      <c r="I105" s="51" t="s">
        <v>532</v>
      </c>
      <c r="J105" s="624">
        <f>((10800/6)*7)+((11000/6)*7)</f>
        <v>25433.333333333332</v>
      </c>
      <c r="K105" s="683">
        <v>0</v>
      </c>
      <c r="L105" s="671">
        <f>J105</f>
        <v>25433.333333333332</v>
      </c>
      <c r="M105" s="671">
        <f>$L$105*L11</f>
        <v>25942</v>
      </c>
      <c r="N105" s="671">
        <f t="shared" ref="N105:AE105" si="39">$L$105*M11</f>
        <v>26460.84</v>
      </c>
      <c r="O105" s="671">
        <f t="shared" si="39"/>
        <v>26990.056799999998</v>
      </c>
      <c r="P105" s="671">
        <f t="shared" si="39"/>
        <v>27529.857935999997</v>
      </c>
      <c r="Q105" s="671">
        <f t="shared" si="39"/>
        <v>28080.45509472</v>
      </c>
      <c r="R105" s="671">
        <f t="shared" si="39"/>
        <v>28642.064196614399</v>
      </c>
      <c r="S105" s="671">
        <f t="shared" si="39"/>
        <v>29214.905480546688</v>
      </c>
      <c r="T105" s="671">
        <f t="shared" si="39"/>
        <v>29799.203590157624</v>
      </c>
      <c r="U105" s="671">
        <f t="shared" si="39"/>
        <v>30395.187661960776</v>
      </c>
      <c r="V105" s="671">
        <f t="shared" si="39"/>
        <v>31003.091415199993</v>
      </c>
      <c r="W105" s="671">
        <f t="shared" si="39"/>
        <v>31623.153243503992</v>
      </c>
      <c r="X105" s="671">
        <f t="shared" si="39"/>
        <v>32255.616308374072</v>
      </c>
      <c r="Y105" s="671">
        <f t="shared" si="39"/>
        <v>32900.728634541549</v>
      </c>
      <c r="Z105" s="671">
        <f t="shared" si="39"/>
        <v>33558.743207232386</v>
      </c>
      <c r="AA105" s="671">
        <f t="shared" si="39"/>
        <v>34229.918071377033</v>
      </c>
      <c r="AB105" s="671">
        <f t="shared" si="39"/>
        <v>34914.516432804579</v>
      </c>
      <c r="AC105" s="671">
        <f t="shared" si="39"/>
        <v>35612.80676146067</v>
      </c>
      <c r="AD105" s="671">
        <f t="shared" si="39"/>
        <v>36325.062896689888</v>
      </c>
      <c r="AE105" s="671">
        <f t="shared" si="39"/>
        <v>37051.56415462368</v>
      </c>
    </row>
    <row r="106" spans="1:35">
      <c r="A106" s="37" t="s">
        <v>16</v>
      </c>
      <c r="B106" s="37"/>
      <c r="C106" s="57"/>
      <c r="E106" s="57"/>
      <c r="F106" s="57"/>
      <c r="G106" s="57"/>
      <c r="H106" s="998"/>
      <c r="I106" s="51" t="s">
        <v>17</v>
      </c>
      <c r="J106" s="624">
        <f>1250</f>
        <v>1250</v>
      </c>
      <c r="K106" s="683">
        <v>0</v>
      </c>
      <c r="L106" s="671">
        <f>J106*7</f>
        <v>8750</v>
      </c>
      <c r="M106" s="671">
        <f>$L$106*L11</f>
        <v>8925</v>
      </c>
      <c r="N106" s="671">
        <f t="shared" ref="N106:AE106" si="40">$L$106*M11</f>
        <v>9103.5</v>
      </c>
      <c r="O106" s="671">
        <f t="shared" si="40"/>
        <v>9285.57</v>
      </c>
      <c r="P106" s="671">
        <f t="shared" si="40"/>
        <v>9471.2813999999998</v>
      </c>
      <c r="Q106" s="671">
        <f t="shared" si="40"/>
        <v>9660.7070280000007</v>
      </c>
      <c r="R106" s="671">
        <f t="shared" si="40"/>
        <v>9853.9211685600003</v>
      </c>
      <c r="S106" s="671">
        <f t="shared" si="40"/>
        <v>10050.9995919312</v>
      </c>
      <c r="T106" s="671">
        <f t="shared" si="40"/>
        <v>10252.019583769825</v>
      </c>
      <c r="U106" s="671">
        <f t="shared" si="40"/>
        <v>10457.059975445221</v>
      </c>
      <c r="V106" s="671">
        <f t="shared" si="40"/>
        <v>10666.201174954127</v>
      </c>
      <c r="W106" s="671">
        <f t="shared" si="40"/>
        <v>10879.52519845321</v>
      </c>
      <c r="X106" s="671">
        <f t="shared" si="40"/>
        <v>11097.115702422274</v>
      </c>
      <c r="Y106" s="671">
        <f t="shared" si="40"/>
        <v>11319.058016470717</v>
      </c>
      <c r="Z106" s="671">
        <f t="shared" si="40"/>
        <v>11545.439176800133</v>
      </c>
      <c r="AA106" s="671">
        <f t="shared" si="40"/>
        <v>11776.347960336136</v>
      </c>
      <c r="AB106" s="671">
        <f t="shared" si="40"/>
        <v>12011.874919542859</v>
      </c>
      <c r="AC106" s="671">
        <f t="shared" si="40"/>
        <v>12252.112417933717</v>
      </c>
      <c r="AD106" s="671">
        <f t="shared" si="40"/>
        <v>12497.154666292392</v>
      </c>
      <c r="AE106" s="671">
        <f t="shared" si="40"/>
        <v>12747.09775961824</v>
      </c>
    </row>
    <row r="107" spans="1:35" s="702" customFormat="1">
      <c r="A107" s="701" t="s">
        <v>53</v>
      </c>
      <c r="B107" s="701"/>
      <c r="C107" s="705"/>
      <c r="D107" s="984"/>
      <c r="E107" s="705"/>
      <c r="F107" s="705"/>
      <c r="G107" s="705"/>
      <c r="H107" s="985"/>
      <c r="I107" s="706" t="s">
        <v>17</v>
      </c>
      <c r="J107" s="986">
        <v>0</v>
      </c>
      <c r="K107" s="987">
        <v>0</v>
      </c>
      <c r="L107" s="988">
        <f t="shared" ref="L107:L108" si="41">J107*12</f>
        <v>0</v>
      </c>
      <c r="M107" s="988">
        <f t="shared" ref="M107:AB108" si="42">L107*1.03</f>
        <v>0</v>
      </c>
      <c r="N107" s="988">
        <f t="shared" si="42"/>
        <v>0</v>
      </c>
      <c r="O107" s="988">
        <f t="shared" si="42"/>
        <v>0</v>
      </c>
      <c r="P107" s="988">
        <f t="shared" si="42"/>
        <v>0</v>
      </c>
      <c r="Q107" s="988">
        <f t="shared" si="42"/>
        <v>0</v>
      </c>
      <c r="R107" s="988">
        <f t="shared" si="42"/>
        <v>0</v>
      </c>
      <c r="S107" s="988">
        <f t="shared" si="42"/>
        <v>0</v>
      </c>
      <c r="T107" s="988">
        <f t="shared" si="42"/>
        <v>0</v>
      </c>
      <c r="U107" s="988">
        <f t="shared" si="42"/>
        <v>0</v>
      </c>
      <c r="V107" s="988">
        <f t="shared" si="42"/>
        <v>0</v>
      </c>
      <c r="W107" s="988">
        <f t="shared" si="42"/>
        <v>0</v>
      </c>
      <c r="X107" s="988">
        <f t="shared" si="42"/>
        <v>0</v>
      </c>
      <c r="Y107" s="988">
        <f t="shared" si="42"/>
        <v>0</v>
      </c>
      <c r="Z107" s="988">
        <f t="shared" si="42"/>
        <v>0</v>
      </c>
      <c r="AA107" s="988">
        <f t="shared" si="42"/>
        <v>0</v>
      </c>
      <c r="AB107" s="988">
        <f t="shared" si="42"/>
        <v>0</v>
      </c>
      <c r="AC107" s="988">
        <f t="shared" ref="AC107:AE108" si="43">AB107*1.03</f>
        <v>0</v>
      </c>
      <c r="AD107" s="988">
        <f t="shared" si="43"/>
        <v>0</v>
      </c>
      <c r="AE107" s="988">
        <f t="shared" si="43"/>
        <v>0</v>
      </c>
    </row>
    <row r="108" spans="1:35" s="702" customFormat="1">
      <c r="A108" s="989" t="s">
        <v>54</v>
      </c>
      <c r="B108" s="990"/>
      <c r="C108" s="991"/>
      <c r="D108" s="992"/>
      <c r="E108" s="991"/>
      <c r="F108" s="991"/>
      <c r="G108" s="991"/>
      <c r="H108" s="993"/>
      <c r="I108" s="994" t="s">
        <v>17</v>
      </c>
      <c r="J108" s="995">
        <v>0</v>
      </c>
      <c r="K108" s="996">
        <v>0</v>
      </c>
      <c r="L108" s="997">
        <f t="shared" si="41"/>
        <v>0</v>
      </c>
      <c r="M108" s="997">
        <f t="shared" si="42"/>
        <v>0</v>
      </c>
      <c r="N108" s="997">
        <f t="shared" si="42"/>
        <v>0</v>
      </c>
      <c r="O108" s="997">
        <f t="shared" si="42"/>
        <v>0</v>
      </c>
      <c r="P108" s="997">
        <f t="shared" si="42"/>
        <v>0</v>
      </c>
      <c r="Q108" s="997">
        <f t="shared" si="42"/>
        <v>0</v>
      </c>
      <c r="R108" s="997">
        <f t="shared" si="42"/>
        <v>0</v>
      </c>
      <c r="S108" s="997">
        <f t="shared" si="42"/>
        <v>0</v>
      </c>
      <c r="T108" s="997">
        <f t="shared" si="42"/>
        <v>0</v>
      </c>
      <c r="U108" s="997">
        <f t="shared" si="42"/>
        <v>0</v>
      </c>
      <c r="V108" s="997">
        <f t="shared" si="42"/>
        <v>0</v>
      </c>
      <c r="W108" s="997">
        <f t="shared" si="42"/>
        <v>0</v>
      </c>
      <c r="X108" s="997">
        <f t="shared" si="42"/>
        <v>0</v>
      </c>
      <c r="Y108" s="997">
        <f t="shared" si="42"/>
        <v>0</v>
      </c>
      <c r="Z108" s="997">
        <f t="shared" si="42"/>
        <v>0</v>
      </c>
      <c r="AA108" s="997">
        <f t="shared" si="42"/>
        <v>0</v>
      </c>
      <c r="AB108" s="997">
        <f t="shared" si="42"/>
        <v>0</v>
      </c>
      <c r="AC108" s="997">
        <f t="shared" si="43"/>
        <v>0</v>
      </c>
      <c r="AD108" s="997">
        <f t="shared" si="43"/>
        <v>0</v>
      </c>
      <c r="AE108" s="997">
        <f t="shared" si="43"/>
        <v>0</v>
      </c>
    </row>
    <row r="109" spans="1:35" s="56" customFormat="1" ht="14.25">
      <c r="A109" s="56" t="s">
        <v>55</v>
      </c>
      <c r="B109" s="164"/>
      <c r="C109" s="75"/>
      <c r="D109" s="173"/>
      <c r="E109" s="75"/>
      <c r="F109" s="75"/>
      <c r="G109" s="75"/>
      <c r="H109" s="75"/>
      <c r="I109" s="999"/>
      <c r="J109" s="1000"/>
      <c r="K109" s="685">
        <v>0</v>
      </c>
      <c r="L109" s="1001">
        <f>SUM(L105:L108)</f>
        <v>34183.333333333328</v>
      </c>
      <c r="M109" s="1001">
        <f t="shared" ref="M109:AE109" si="44">SUM(M105:M108)</f>
        <v>34867</v>
      </c>
      <c r="N109" s="1001">
        <f t="shared" si="44"/>
        <v>35564.339999999997</v>
      </c>
      <c r="O109" s="1001">
        <f t="shared" si="44"/>
        <v>36275.626799999998</v>
      </c>
      <c r="P109" s="1001">
        <f t="shared" si="44"/>
        <v>37001.139335999993</v>
      </c>
      <c r="Q109" s="1001">
        <f t="shared" si="44"/>
        <v>37741.162122720001</v>
      </c>
      <c r="R109" s="1001">
        <f t="shared" si="44"/>
        <v>38495.985365174398</v>
      </c>
      <c r="S109" s="1001">
        <f t="shared" si="44"/>
        <v>39265.905072477886</v>
      </c>
      <c r="T109" s="1001">
        <f t="shared" si="44"/>
        <v>40051.22317392745</v>
      </c>
      <c r="U109" s="1001">
        <f t="shared" si="44"/>
        <v>40852.247637405999</v>
      </c>
      <c r="V109" s="1001">
        <f t="shared" si="44"/>
        <v>41669.292590154117</v>
      </c>
      <c r="W109" s="1001">
        <f t="shared" si="44"/>
        <v>42502.6784419572</v>
      </c>
      <c r="X109" s="1001">
        <f t="shared" si="44"/>
        <v>43352.732010796346</v>
      </c>
      <c r="Y109" s="1001">
        <f t="shared" si="44"/>
        <v>44219.786651012269</v>
      </c>
      <c r="Z109" s="1001">
        <f t="shared" si="44"/>
        <v>45104.182384032523</v>
      </c>
      <c r="AA109" s="1001">
        <f t="shared" si="44"/>
        <v>46006.266031713167</v>
      </c>
      <c r="AB109" s="1001">
        <f t="shared" si="44"/>
        <v>46926.39135234744</v>
      </c>
      <c r="AC109" s="1001">
        <f t="shared" si="44"/>
        <v>47864.91917939439</v>
      </c>
      <c r="AD109" s="1001">
        <f t="shared" si="44"/>
        <v>48822.217562982281</v>
      </c>
      <c r="AE109" s="1001">
        <f t="shared" si="44"/>
        <v>49798.661914241922</v>
      </c>
    </row>
    <row r="110" spans="1:35">
      <c r="A110" s="56"/>
      <c r="B110" s="37"/>
      <c r="C110" s="57"/>
      <c r="E110" s="57"/>
      <c r="F110" s="57"/>
      <c r="G110" s="57"/>
      <c r="H110" s="57"/>
      <c r="I110" s="51"/>
      <c r="J110" s="624"/>
      <c r="K110" s="683"/>
      <c r="L110" s="666"/>
      <c r="M110" s="666"/>
      <c r="N110" s="666"/>
      <c r="O110" s="666"/>
      <c r="P110" s="666"/>
      <c r="Q110" s="666"/>
      <c r="R110" s="666"/>
      <c r="S110" s="666"/>
      <c r="T110" s="666"/>
      <c r="U110" s="666"/>
      <c r="V110" s="666"/>
      <c r="W110" s="666"/>
      <c r="X110" s="666"/>
      <c r="Y110" s="666"/>
      <c r="Z110" s="666"/>
      <c r="AA110" s="666"/>
      <c r="AB110" s="666"/>
      <c r="AC110" s="666"/>
      <c r="AD110" s="666"/>
      <c r="AE110" s="666"/>
    </row>
    <row r="111" spans="1:35">
      <c r="A111" s="47" t="s">
        <v>7</v>
      </c>
      <c r="B111" s="47" t="s">
        <v>7</v>
      </c>
      <c r="C111" s="78" t="s">
        <v>7</v>
      </c>
      <c r="D111" s="100"/>
      <c r="E111" s="78" t="s">
        <v>7</v>
      </c>
      <c r="F111" s="78"/>
      <c r="G111" s="78" t="s">
        <v>7</v>
      </c>
      <c r="H111" s="78"/>
      <c r="I111" s="52" t="s">
        <v>7</v>
      </c>
      <c r="J111" s="672"/>
      <c r="K111" s="673"/>
      <c r="L111" s="672"/>
      <c r="M111" s="672"/>
      <c r="N111" s="672"/>
      <c r="O111" s="672"/>
      <c r="P111" s="672"/>
      <c r="Q111" s="672"/>
      <c r="R111" s="672"/>
      <c r="S111" s="672"/>
      <c r="T111" s="672"/>
      <c r="U111" s="672"/>
      <c r="V111" s="672"/>
      <c r="W111" s="672"/>
      <c r="X111" s="672"/>
      <c r="Y111" s="672"/>
      <c r="Z111" s="672"/>
      <c r="AA111" s="672"/>
      <c r="AB111" s="672"/>
      <c r="AC111" s="672"/>
      <c r="AD111" s="672"/>
      <c r="AE111" s="672"/>
    </row>
    <row r="112" spans="1:35">
      <c r="A112" s="47"/>
      <c r="B112" s="47"/>
      <c r="C112" s="78"/>
      <c r="D112" s="100"/>
      <c r="E112" s="78"/>
      <c r="F112" s="78"/>
      <c r="G112" s="78"/>
      <c r="H112" s="78"/>
      <c r="I112" s="52"/>
      <c r="J112" s="672"/>
      <c r="K112" s="683"/>
      <c r="L112" s="666"/>
      <c r="M112" s="666"/>
      <c r="N112" s="666"/>
      <c r="O112" s="666"/>
      <c r="P112" s="666"/>
      <c r="Q112" s="666"/>
      <c r="R112" s="666"/>
      <c r="S112" s="666"/>
      <c r="T112" s="666"/>
      <c r="U112" s="666"/>
      <c r="V112" s="666"/>
      <c r="W112" s="666"/>
      <c r="X112" s="666"/>
      <c r="Y112" s="666"/>
      <c r="Z112" s="666"/>
      <c r="AA112" s="666"/>
      <c r="AB112" s="666"/>
      <c r="AC112" s="666"/>
      <c r="AD112" s="666"/>
      <c r="AE112" s="666"/>
    </row>
    <row r="113" spans="1:33" s="56" customFormat="1" ht="14.25">
      <c r="A113" s="203" t="s">
        <v>303</v>
      </c>
      <c r="B113" s="203"/>
      <c r="C113" s="204"/>
      <c r="D113" s="205"/>
      <c r="E113" s="204"/>
      <c r="F113" s="204"/>
      <c r="G113" s="204"/>
      <c r="H113" s="204"/>
      <c r="I113" s="206"/>
      <c r="J113" s="674"/>
      <c r="K113" s="676">
        <f>SUM(K80,K101,K109)</f>
        <v>0</v>
      </c>
      <c r="L113" s="676">
        <f>SUM(L80,L101,L109)</f>
        <v>367858.33333333331</v>
      </c>
      <c r="M113" s="676">
        <f t="shared" ref="M113:AE113" si="45">SUM(M80,M101,M109)</f>
        <v>765164</v>
      </c>
      <c r="N113" s="676">
        <f t="shared" si="45"/>
        <v>780477.4800000001</v>
      </c>
      <c r="O113" s="676">
        <f t="shared" si="45"/>
        <v>796087.02959999989</v>
      </c>
      <c r="P113" s="676">
        <f t="shared" si="45"/>
        <v>812008.77019199985</v>
      </c>
      <c r="Q113" s="676">
        <f t="shared" si="45"/>
        <v>856592.82439104002</v>
      </c>
      <c r="R113" s="676">
        <f t="shared" si="45"/>
        <v>869187.76208849275</v>
      </c>
      <c r="S113" s="676">
        <f t="shared" si="45"/>
        <v>886571.51733026258</v>
      </c>
      <c r="T113" s="676">
        <f t="shared" si="45"/>
        <v>904302.94767686795</v>
      </c>
      <c r="U113" s="676">
        <f t="shared" si="45"/>
        <v>922389.00663040532</v>
      </c>
      <c r="V113" s="676">
        <f t="shared" si="45"/>
        <v>945227.28955301619</v>
      </c>
      <c r="W113" s="676">
        <f t="shared" si="45"/>
        <v>959653.52249827376</v>
      </c>
      <c r="X113" s="676">
        <f t="shared" si="45"/>
        <v>978846.59294823918</v>
      </c>
      <c r="Y113" s="676">
        <f t="shared" si="45"/>
        <v>998423.52480720403</v>
      </c>
      <c r="Z113" s="676">
        <f t="shared" si="45"/>
        <v>1018391.9953033482</v>
      </c>
      <c r="AA113" s="676">
        <f t="shared" si="45"/>
        <v>1043086.9010402532</v>
      </c>
      <c r="AB113" s="676">
        <f t="shared" si="45"/>
        <v>1059535.0319136034</v>
      </c>
      <c r="AC113" s="676">
        <f t="shared" si="45"/>
        <v>1080725.7325518755</v>
      </c>
      <c r="AD113" s="676">
        <f t="shared" si="45"/>
        <v>1102340.2472029133</v>
      </c>
      <c r="AE113" s="676">
        <f t="shared" si="45"/>
        <v>1124387.0521469715</v>
      </c>
      <c r="AG113" s="199"/>
    </row>
    <row r="114" spans="1:33">
      <c r="A114" s="37"/>
      <c r="B114" s="37"/>
      <c r="C114" s="57"/>
      <c r="E114" s="110"/>
      <c r="F114" s="110"/>
      <c r="G114" s="57"/>
      <c r="H114" s="57"/>
      <c r="I114" s="43"/>
      <c r="J114" s="44"/>
      <c r="K114" s="683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5"/>
      <c r="Z114" s="115"/>
      <c r="AA114" s="115"/>
      <c r="AB114" s="115"/>
      <c r="AC114" s="115"/>
      <c r="AD114" s="115"/>
      <c r="AE114" s="115"/>
      <c r="AG114" s="199"/>
    </row>
    <row r="115" spans="1:33">
      <c r="A115" s="47" t="s">
        <v>7</v>
      </c>
      <c r="B115" s="47" t="s">
        <v>7</v>
      </c>
      <c r="C115" s="78" t="s">
        <v>7</v>
      </c>
      <c r="D115" s="100"/>
      <c r="E115" s="78" t="s">
        <v>7</v>
      </c>
      <c r="F115" s="78"/>
      <c r="G115" s="78" t="s">
        <v>7</v>
      </c>
      <c r="H115" s="78"/>
      <c r="I115" s="52" t="s">
        <v>7</v>
      </c>
      <c r="J115" s="114"/>
      <c r="K115" s="673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G115" s="199"/>
    </row>
    <row r="116" spans="1:33">
      <c r="A116" s="47"/>
      <c r="B116" s="47"/>
      <c r="C116" s="78"/>
      <c r="D116" s="100"/>
      <c r="E116" s="78"/>
      <c r="F116" s="78"/>
      <c r="G116" s="78"/>
      <c r="H116" s="78"/>
      <c r="I116" s="52"/>
      <c r="J116" s="114"/>
      <c r="K116" s="683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5"/>
      <c r="Z116" s="115"/>
      <c r="AA116" s="115"/>
      <c r="AB116" s="115"/>
      <c r="AC116" s="115"/>
      <c r="AD116" s="115"/>
      <c r="AE116" s="115"/>
      <c r="AG116" s="199"/>
    </row>
    <row r="117" spans="1:33">
      <c r="A117" s="168" t="s">
        <v>71</v>
      </c>
      <c r="B117" s="171"/>
      <c r="C117" s="176"/>
      <c r="D117" s="177"/>
      <c r="E117" s="176"/>
      <c r="F117" s="176"/>
      <c r="G117" s="176"/>
      <c r="H117" s="176"/>
      <c r="I117" s="182"/>
      <c r="J117" s="179"/>
      <c r="K117" s="682"/>
      <c r="L117" s="319"/>
      <c r="M117" s="319"/>
      <c r="N117" s="319"/>
      <c r="O117" s="319"/>
      <c r="P117" s="319"/>
      <c r="Q117" s="319"/>
      <c r="R117" s="319"/>
      <c r="S117" s="319"/>
      <c r="T117" s="319"/>
      <c r="U117" s="319"/>
      <c r="V117" s="319"/>
      <c r="W117" s="319"/>
      <c r="X117" s="319"/>
      <c r="Y117" s="319"/>
      <c r="Z117" s="319"/>
      <c r="AA117" s="319"/>
      <c r="AB117" s="319"/>
      <c r="AC117" s="319"/>
      <c r="AD117" s="319"/>
      <c r="AE117" s="319"/>
      <c r="AG117" s="199"/>
    </row>
    <row r="118" spans="1:33" s="252" customFormat="1">
      <c r="A118" s="183"/>
      <c r="B118" s="184"/>
      <c r="C118" s="185"/>
      <c r="D118" s="186"/>
      <c r="E118" s="185"/>
      <c r="F118" s="185"/>
      <c r="G118" s="185"/>
      <c r="H118" s="185"/>
      <c r="I118" s="187"/>
      <c r="J118" s="188"/>
      <c r="K118" s="683"/>
      <c r="L118" s="320"/>
      <c r="M118" s="320"/>
      <c r="N118" s="320"/>
      <c r="O118" s="320"/>
      <c r="P118" s="320"/>
      <c r="Q118" s="320"/>
      <c r="R118" s="320"/>
      <c r="S118" s="320"/>
      <c r="T118" s="320"/>
      <c r="U118" s="320"/>
      <c r="V118" s="320"/>
      <c r="W118" s="320"/>
      <c r="X118" s="320"/>
      <c r="Y118" s="320"/>
      <c r="Z118" s="320"/>
      <c r="AA118" s="320"/>
      <c r="AB118" s="320"/>
      <c r="AC118" s="320"/>
      <c r="AD118" s="320"/>
      <c r="AE118" s="320"/>
      <c r="AG118" s="363"/>
    </row>
    <row r="119" spans="1:33">
      <c r="A119" s="39" t="s">
        <v>0</v>
      </c>
      <c r="B119" s="39"/>
      <c r="C119" s="102"/>
      <c r="D119" s="103"/>
      <c r="E119" s="104"/>
      <c r="F119" s="104"/>
      <c r="G119" s="104"/>
      <c r="H119" s="104"/>
      <c r="I119" s="39"/>
      <c r="J119" s="104"/>
      <c r="K119" s="688"/>
      <c r="L119" s="335"/>
      <c r="M119" s="335"/>
      <c r="N119" s="335"/>
      <c r="O119" s="335"/>
      <c r="P119" s="335"/>
      <c r="Q119" s="335"/>
      <c r="R119" s="335"/>
      <c r="S119" s="335"/>
      <c r="T119" s="335"/>
      <c r="U119" s="335"/>
      <c r="V119" s="335"/>
      <c r="W119" s="335"/>
      <c r="X119" s="335"/>
      <c r="Y119" s="335"/>
      <c r="Z119" s="335"/>
      <c r="AA119" s="335"/>
      <c r="AB119" s="335"/>
      <c r="AC119" s="335"/>
      <c r="AD119" s="335"/>
      <c r="AE119" s="335"/>
    </row>
    <row r="120" spans="1:33">
      <c r="A120" s="41" t="s">
        <v>13</v>
      </c>
      <c r="B120" s="41"/>
      <c r="C120" s="105"/>
      <c r="D120" s="106"/>
      <c r="E120" s="37"/>
      <c r="F120" s="37"/>
      <c r="G120" s="37"/>
      <c r="H120" s="37"/>
      <c r="I120" s="41"/>
      <c r="J120" s="37"/>
      <c r="K120" s="683"/>
      <c r="L120" s="200"/>
      <c r="M120" s="200"/>
      <c r="N120" s="200"/>
      <c r="O120" s="200"/>
      <c r="P120" s="200"/>
      <c r="Q120" s="200"/>
      <c r="R120" s="200"/>
      <c r="S120" s="200"/>
      <c r="T120" s="200"/>
      <c r="U120" s="201"/>
      <c r="V120" s="323"/>
      <c r="W120" s="200"/>
      <c r="X120" s="200"/>
      <c r="Y120" s="200"/>
      <c r="Z120" s="200"/>
      <c r="AA120" s="200"/>
      <c r="AB120" s="200"/>
      <c r="AC120" s="200"/>
      <c r="AD120" s="200"/>
      <c r="AE120" s="201"/>
    </row>
    <row r="121" spans="1:33">
      <c r="A121" s="96" t="s">
        <v>56</v>
      </c>
      <c r="B121" s="735" t="s">
        <v>12</v>
      </c>
      <c r="C121" s="663">
        <v>55000</v>
      </c>
      <c r="D121" s="736">
        <f>C121/2080</f>
        <v>26.442307692307693</v>
      </c>
      <c r="E121" s="663">
        <v>0</v>
      </c>
      <c r="F121" s="663">
        <f>C121*$F$13</f>
        <v>22000</v>
      </c>
      <c r="G121" s="663">
        <f>SUM(C121,E121:F121)</f>
        <v>77000</v>
      </c>
      <c r="H121" s="736">
        <f>G121/2080*8</f>
        <v>296.15384615384613</v>
      </c>
      <c r="I121" s="736"/>
      <c r="J121" s="663"/>
      <c r="K121" s="683">
        <v>0</v>
      </c>
      <c r="L121" s="665">
        <v>0</v>
      </c>
      <c r="M121" s="665">
        <f>$H$121*M32*0.25</f>
        <v>15844.230769230768</v>
      </c>
      <c r="N121" s="665">
        <f t="shared" ref="N121:AE121" si="46">$M$121*M11</f>
        <v>16484.33769230769</v>
      </c>
      <c r="O121" s="665">
        <f t="shared" si="46"/>
        <v>16814.024446153842</v>
      </c>
      <c r="P121" s="665">
        <f t="shared" si="46"/>
        <v>17150.304935076922</v>
      </c>
      <c r="Q121" s="665">
        <f t="shared" si="46"/>
        <v>17493.31103377846</v>
      </c>
      <c r="R121" s="665">
        <f t="shared" si="46"/>
        <v>17843.177254454029</v>
      </c>
      <c r="S121" s="665">
        <f t="shared" si="46"/>
        <v>18200.040799543109</v>
      </c>
      <c r="T121" s="665">
        <f t="shared" si="46"/>
        <v>18564.041615533974</v>
      </c>
      <c r="U121" s="665">
        <f t="shared" si="46"/>
        <v>18935.322447844654</v>
      </c>
      <c r="V121" s="665">
        <f t="shared" si="46"/>
        <v>19314.028896801548</v>
      </c>
      <c r="W121" s="665">
        <f t="shared" si="46"/>
        <v>19700.30947473758</v>
      </c>
      <c r="X121" s="665">
        <f t="shared" si="46"/>
        <v>20094.31566423233</v>
      </c>
      <c r="Y121" s="665">
        <f t="shared" si="46"/>
        <v>20496.201977516976</v>
      </c>
      <c r="Z121" s="665">
        <f t="shared" si="46"/>
        <v>20906.126017067316</v>
      </c>
      <c r="AA121" s="665">
        <f t="shared" si="46"/>
        <v>21324.248537408665</v>
      </c>
      <c r="AB121" s="665">
        <f t="shared" si="46"/>
        <v>21750.733508156838</v>
      </c>
      <c r="AC121" s="665">
        <f t="shared" si="46"/>
        <v>22185.748178319976</v>
      </c>
      <c r="AD121" s="665">
        <f t="shared" si="46"/>
        <v>22629.463141886376</v>
      </c>
      <c r="AE121" s="665">
        <f t="shared" si="46"/>
        <v>23082.052404724102</v>
      </c>
    </row>
    <row r="122" spans="1:33">
      <c r="A122" s="96" t="s">
        <v>57</v>
      </c>
      <c r="B122" s="735" t="s">
        <v>15</v>
      </c>
      <c r="C122" s="663">
        <v>15000</v>
      </c>
      <c r="D122" s="736">
        <f>C122/2080</f>
        <v>7.2115384615384617</v>
      </c>
      <c r="E122" s="663">
        <f>C122*E12</f>
        <v>3000</v>
      </c>
      <c r="F122" s="663">
        <f t="shared" ref="F122:F123" si="47">C122*$F$13</f>
        <v>6000</v>
      </c>
      <c r="G122" s="663">
        <f t="shared" ref="G122:G123" si="48">SUM(C122,E122:F122)</f>
        <v>24000</v>
      </c>
      <c r="H122" s="736">
        <f>G122/2080*12</f>
        <v>138.46153846153845</v>
      </c>
      <c r="I122" s="736"/>
      <c r="J122" s="663"/>
      <c r="K122" s="683">
        <v>0</v>
      </c>
      <c r="L122" s="665">
        <v>0</v>
      </c>
      <c r="M122" s="665">
        <f>$H$122*M32*0.5</f>
        <v>14815.384615384615</v>
      </c>
      <c r="N122" s="665">
        <f t="shared" ref="N122:AE122" si="49">$M$122*M11</f>
        <v>15413.926153846154</v>
      </c>
      <c r="O122" s="665">
        <f t="shared" si="49"/>
        <v>15722.204676923076</v>
      </c>
      <c r="P122" s="665">
        <f t="shared" si="49"/>
        <v>16036.648770461537</v>
      </c>
      <c r="Q122" s="665">
        <f t="shared" si="49"/>
        <v>16357.381745870769</v>
      </c>
      <c r="R122" s="665">
        <f t="shared" si="49"/>
        <v>16684.529380788186</v>
      </c>
      <c r="S122" s="665">
        <f t="shared" si="49"/>
        <v>17018.219968403948</v>
      </c>
      <c r="T122" s="665">
        <f t="shared" si="49"/>
        <v>17358.58436777203</v>
      </c>
      <c r="U122" s="665">
        <f t="shared" si="49"/>
        <v>17705.756055127469</v>
      </c>
      <c r="V122" s="665">
        <f t="shared" si="49"/>
        <v>18059.871176230019</v>
      </c>
      <c r="W122" s="665">
        <f t="shared" si="49"/>
        <v>18421.068599754621</v>
      </c>
      <c r="X122" s="665">
        <f t="shared" si="49"/>
        <v>18789.489971749714</v>
      </c>
      <c r="Y122" s="665">
        <f t="shared" si="49"/>
        <v>19165.279771184705</v>
      </c>
      <c r="Z122" s="665">
        <f t="shared" si="49"/>
        <v>19548.5853666084</v>
      </c>
      <c r="AA122" s="665">
        <f t="shared" si="49"/>
        <v>19939.55707394057</v>
      </c>
      <c r="AB122" s="665">
        <f t="shared" si="49"/>
        <v>20338.348215419381</v>
      </c>
      <c r="AC122" s="665">
        <f t="shared" si="49"/>
        <v>20745.115179727771</v>
      </c>
      <c r="AD122" s="665">
        <f t="shared" si="49"/>
        <v>21160.017483322328</v>
      </c>
      <c r="AE122" s="665">
        <f t="shared" si="49"/>
        <v>21583.217832988772</v>
      </c>
    </row>
    <row r="123" spans="1:33">
      <c r="A123" s="737" t="s">
        <v>57</v>
      </c>
      <c r="B123" s="738" t="s">
        <v>15</v>
      </c>
      <c r="C123" s="739">
        <v>15000</v>
      </c>
      <c r="D123" s="740">
        <f>C123/2080</f>
        <v>7.2115384615384617</v>
      </c>
      <c r="E123" s="739">
        <f>C123*$E$12</f>
        <v>3000</v>
      </c>
      <c r="F123" s="739">
        <f t="shared" si="47"/>
        <v>6000</v>
      </c>
      <c r="G123" s="739">
        <f t="shared" si="48"/>
        <v>24000</v>
      </c>
      <c r="H123" s="740">
        <f t="shared" ref="H123" si="50">G123/2080*12</f>
        <v>138.46153846153845</v>
      </c>
      <c r="I123" s="740"/>
      <c r="J123" s="739"/>
      <c r="K123" s="741">
        <v>0</v>
      </c>
      <c r="L123" s="742">
        <v>0</v>
      </c>
      <c r="M123" s="742">
        <f>$H$123*M32*0.5</f>
        <v>14815.384615384615</v>
      </c>
      <c r="N123" s="742">
        <f t="shared" ref="N123:AE123" si="51">$M$123*M11</f>
        <v>15413.926153846154</v>
      </c>
      <c r="O123" s="742">
        <f t="shared" si="51"/>
        <v>15722.204676923076</v>
      </c>
      <c r="P123" s="742">
        <f t="shared" si="51"/>
        <v>16036.648770461537</v>
      </c>
      <c r="Q123" s="742">
        <f t="shared" si="51"/>
        <v>16357.381745870769</v>
      </c>
      <c r="R123" s="742">
        <f t="shared" si="51"/>
        <v>16684.529380788186</v>
      </c>
      <c r="S123" s="742">
        <f t="shared" si="51"/>
        <v>17018.219968403948</v>
      </c>
      <c r="T123" s="742">
        <f t="shared" si="51"/>
        <v>17358.58436777203</v>
      </c>
      <c r="U123" s="742">
        <f t="shared" si="51"/>
        <v>17705.756055127469</v>
      </c>
      <c r="V123" s="742">
        <f t="shared" si="51"/>
        <v>18059.871176230019</v>
      </c>
      <c r="W123" s="742">
        <f t="shared" si="51"/>
        <v>18421.068599754621</v>
      </c>
      <c r="X123" s="742">
        <f t="shared" si="51"/>
        <v>18789.489971749714</v>
      </c>
      <c r="Y123" s="742">
        <f t="shared" si="51"/>
        <v>19165.279771184705</v>
      </c>
      <c r="Z123" s="742">
        <f t="shared" si="51"/>
        <v>19548.5853666084</v>
      </c>
      <c r="AA123" s="742">
        <f t="shared" si="51"/>
        <v>19939.55707394057</v>
      </c>
      <c r="AB123" s="742">
        <f t="shared" si="51"/>
        <v>20338.348215419381</v>
      </c>
      <c r="AC123" s="742">
        <f t="shared" si="51"/>
        <v>20745.115179727771</v>
      </c>
      <c r="AD123" s="742">
        <f t="shared" si="51"/>
        <v>21160.017483322328</v>
      </c>
      <c r="AE123" s="742">
        <f t="shared" si="51"/>
        <v>21583.217832988772</v>
      </c>
    </row>
    <row r="124" spans="1:33">
      <c r="A124" s="164" t="s">
        <v>414</v>
      </c>
      <c r="B124" s="164"/>
      <c r="C124" s="667">
        <f>SUM(C121:C123)</f>
        <v>85000</v>
      </c>
      <c r="D124" s="667"/>
      <c r="E124" s="667">
        <f>SUM(E121:E123)</f>
        <v>6000</v>
      </c>
      <c r="F124" s="667">
        <f>SUM(F121:F123)</f>
        <v>34000</v>
      </c>
      <c r="G124" s="667">
        <f>SUM(G121:G123)</f>
        <v>125000</v>
      </c>
      <c r="H124" s="667">
        <f>SUM(H121:H123)</f>
        <v>573.07692307692309</v>
      </c>
      <c r="I124" s="668"/>
      <c r="J124" s="667"/>
      <c r="K124" s="685">
        <f>SUMIF($B121:$B123,"FT",K121:K123)</f>
        <v>0</v>
      </c>
      <c r="L124" s="669">
        <f>SUM(L121:L123)</f>
        <v>0</v>
      </c>
      <c r="M124" s="669">
        <f t="shared" ref="M124:AE124" si="52">SUM(M121:M123)</f>
        <v>45475</v>
      </c>
      <c r="N124" s="669">
        <f t="shared" si="52"/>
        <v>47312.19</v>
      </c>
      <c r="O124" s="669">
        <f t="shared" si="52"/>
        <v>48258.433799999999</v>
      </c>
      <c r="P124" s="669">
        <f t="shared" si="52"/>
        <v>49223.602475999993</v>
      </c>
      <c r="Q124" s="669">
        <f t="shared" si="52"/>
        <v>50208.074525520002</v>
      </c>
      <c r="R124" s="669">
        <f t="shared" si="52"/>
        <v>51212.236016030394</v>
      </c>
      <c r="S124" s="669">
        <f t="shared" si="52"/>
        <v>52236.480736351004</v>
      </c>
      <c r="T124" s="669">
        <f t="shared" si="52"/>
        <v>53281.210351078029</v>
      </c>
      <c r="U124" s="669">
        <f t="shared" si="52"/>
        <v>54346.834558099596</v>
      </c>
      <c r="V124" s="669">
        <f t="shared" si="52"/>
        <v>55433.771249261583</v>
      </c>
      <c r="W124" s="669">
        <f t="shared" si="52"/>
        <v>56542.446674246821</v>
      </c>
      <c r="X124" s="669">
        <f t="shared" si="52"/>
        <v>57673.295607731765</v>
      </c>
      <c r="Y124" s="669">
        <f t="shared" si="52"/>
        <v>58826.761519886393</v>
      </c>
      <c r="Z124" s="669">
        <f t="shared" si="52"/>
        <v>60003.29675028412</v>
      </c>
      <c r="AA124" s="669">
        <f t="shared" si="52"/>
        <v>61203.362685289801</v>
      </c>
      <c r="AB124" s="669">
        <f t="shared" si="52"/>
        <v>62427.4299389956</v>
      </c>
      <c r="AC124" s="669">
        <f t="shared" si="52"/>
        <v>63675.978537775518</v>
      </c>
      <c r="AD124" s="669">
        <f t="shared" si="52"/>
        <v>64949.498108531028</v>
      </c>
      <c r="AE124" s="669">
        <f t="shared" si="52"/>
        <v>66248.488070701642</v>
      </c>
    </row>
    <row r="125" spans="1:33">
      <c r="A125" s="37"/>
      <c r="B125" s="37"/>
      <c r="C125" s="663"/>
      <c r="D125" s="663"/>
      <c r="E125" s="663"/>
      <c r="F125" s="663"/>
      <c r="G125" s="663"/>
      <c r="H125" s="663"/>
      <c r="I125" s="670"/>
      <c r="J125" s="663"/>
      <c r="K125" s="683"/>
      <c r="L125" s="666"/>
      <c r="M125" s="666"/>
      <c r="N125" s="666"/>
      <c r="O125" s="666"/>
      <c r="P125" s="666"/>
      <c r="Q125" s="666"/>
      <c r="R125" s="666"/>
      <c r="S125" s="666"/>
      <c r="T125" s="666"/>
      <c r="U125" s="666"/>
      <c r="V125" s="666"/>
      <c r="W125" s="666"/>
      <c r="X125" s="666"/>
      <c r="Y125" s="666"/>
      <c r="Z125" s="666"/>
      <c r="AA125" s="666"/>
      <c r="AB125" s="666"/>
      <c r="AC125" s="666"/>
      <c r="AD125" s="666"/>
      <c r="AE125" s="666"/>
    </row>
    <row r="126" spans="1:33">
      <c r="A126" s="37" t="s">
        <v>11</v>
      </c>
      <c r="B126" s="37"/>
      <c r="C126" s="663"/>
      <c r="D126" s="663"/>
      <c r="E126" s="663"/>
      <c r="F126" s="663"/>
      <c r="G126" s="663"/>
      <c r="H126" s="663"/>
      <c r="I126" s="670"/>
      <c r="J126" s="663"/>
      <c r="K126" s="743">
        <f>COUNTIF(K121:K123,"&gt;100")</f>
        <v>0</v>
      </c>
      <c r="L126" s="496">
        <f>COUNTIF(L121,"&gt;100")</f>
        <v>0</v>
      </c>
      <c r="M126" s="496">
        <f t="shared" ref="M126:AE126" si="53">COUNTIF(M121,"&gt;100")</f>
        <v>1</v>
      </c>
      <c r="N126" s="496">
        <f t="shared" si="53"/>
        <v>1</v>
      </c>
      <c r="O126" s="496">
        <f t="shared" si="53"/>
        <v>1</v>
      </c>
      <c r="P126" s="496">
        <f t="shared" si="53"/>
        <v>1</v>
      </c>
      <c r="Q126" s="496">
        <f t="shared" si="53"/>
        <v>1</v>
      </c>
      <c r="R126" s="496">
        <f t="shared" si="53"/>
        <v>1</v>
      </c>
      <c r="S126" s="496">
        <f t="shared" si="53"/>
        <v>1</v>
      </c>
      <c r="T126" s="496">
        <f t="shared" si="53"/>
        <v>1</v>
      </c>
      <c r="U126" s="496">
        <f t="shared" si="53"/>
        <v>1</v>
      </c>
      <c r="V126" s="496">
        <f t="shared" si="53"/>
        <v>1</v>
      </c>
      <c r="W126" s="496">
        <f t="shared" si="53"/>
        <v>1</v>
      </c>
      <c r="X126" s="496">
        <f t="shared" si="53"/>
        <v>1</v>
      </c>
      <c r="Y126" s="496">
        <f t="shared" si="53"/>
        <v>1</v>
      </c>
      <c r="Z126" s="496">
        <f t="shared" si="53"/>
        <v>1</v>
      </c>
      <c r="AA126" s="496">
        <f t="shared" si="53"/>
        <v>1</v>
      </c>
      <c r="AB126" s="496">
        <f t="shared" si="53"/>
        <v>1</v>
      </c>
      <c r="AC126" s="496">
        <f t="shared" si="53"/>
        <v>1</v>
      </c>
      <c r="AD126" s="496">
        <f t="shared" si="53"/>
        <v>1</v>
      </c>
      <c r="AE126" s="496">
        <f t="shared" si="53"/>
        <v>1</v>
      </c>
    </row>
    <row r="127" spans="1:33">
      <c r="A127" s="745" t="s">
        <v>10</v>
      </c>
      <c r="B127" s="745"/>
      <c r="C127" s="739"/>
      <c r="D127" s="739"/>
      <c r="E127" s="739"/>
      <c r="F127" s="739"/>
      <c r="G127" s="739"/>
      <c r="H127" s="739"/>
      <c r="I127" s="763"/>
      <c r="J127" s="739"/>
      <c r="K127" s="749">
        <f t="shared" ref="K127" si="54">K128-K126</f>
        <v>0</v>
      </c>
      <c r="L127" s="750">
        <f>COUNTIF(L122:L123,"&gt;100")</f>
        <v>0</v>
      </c>
      <c r="M127" s="750">
        <f t="shared" ref="M127:AE127" si="55">COUNTIF(M122:M123,"&gt;100")</f>
        <v>2</v>
      </c>
      <c r="N127" s="750">
        <f t="shared" si="55"/>
        <v>2</v>
      </c>
      <c r="O127" s="750">
        <f t="shared" si="55"/>
        <v>2</v>
      </c>
      <c r="P127" s="750">
        <f t="shared" si="55"/>
        <v>2</v>
      </c>
      <c r="Q127" s="750">
        <f t="shared" si="55"/>
        <v>2</v>
      </c>
      <c r="R127" s="750">
        <f t="shared" si="55"/>
        <v>2</v>
      </c>
      <c r="S127" s="750">
        <f t="shared" si="55"/>
        <v>2</v>
      </c>
      <c r="T127" s="750">
        <f t="shared" si="55"/>
        <v>2</v>
      </c>
      <c r="U127" s="750">
        <f t="shared" si="55"/>
        <v>2</v>
      </c>
      <c r="V127" s="750">
        <f t="shared" si="55"/>
        <v>2</v>
      </c>
      <c r="W127" s="750">
        <f t="shared" si="55"/>
        <v>2</v>
      </c>
      <c r="X127" s="750">
        <f t="shared" si="55"/>
        <v>2</v>
      </c>
      <c r="Y127" s="750">
        <f t="shared" si="55"/>
        <v>2</v>
      </c>
      <c r="Z127" s="750">
        <f t="shared" si="55"/>
        <v>2</v>
      </c>
      <c r="AA127" s="750">
        <f t="shared" si="55"/>
        <v>2</v>
      </c>
      <c r="AB127" s="750">
        <f t="shared" si="55"/>
        <v>2</v>
      </c>
      <c r="AC127" s="750">
        <f t="shared" si="55"/>
        <v>2</v>
      </c>
      <c r="AD127" s="750">
        <f t="shared" si="55"/>
        <v>2</v>
      </c>
      <c r="AE127" s="750">
        <f t="shared" si="55"/>
        <v>2</v>
      </c>
    </row>
    <row r="128" spans="1:33">
      <c r="A128" s="164" t="s">
        <v>9</v>
      </c>
      <c r="B128" s="164"/>
      <c r="C128" s="667"/>
      <c r="D128" s="667"/>
      <c r="E128" s="667"/>
      <c r="F128" s="667"/>
      <c r="G128" s="667"/>
      <c r="H128" s="667"/>
      <c r="I128" s="668"/>
      <c r="J128" s="667"/>
      <c r="K128" s="751">
        <f t="shared" ref="K128:AE128" si="56">COUNTIF(K121:K123,"&gt;0")</f>
        <v>0</v>
      </c>
      <c r="L128" s="752">
        <f t="shared" si="56"/>
        <v>0</v>
      </c>
      <c r="M128" s="752">
        <f t="shared" si="56"/>
        <v>3</v>
      </c>
      <c r="N128" s="752">
        <f t="shared" si="56"/>
        <v>3</v>
      </c>
      <c r="O128" s="752">
        <f t="shared" si="56"/>
        <v>3</v>
      </c>
      <c r="P128" s="752">
        <f t="shared" si="56"/>
        <v>3</v>
      </c>
      <c r="Q128" s="752">
        <f t="shared" si="56"/>
        <v>3</v>
      </c>
      <c r="R128" s="752">
        <f t="shared" si="56"/>
        <v>3</v>
      </c>
      <c r="S128" s="752">
        <f t="shared" si="56"/>
        <v>3</v>
      </c>
      <c r="T128" s="752">
        <f t="shared" si="56"/>
        <v>3</v>
      </c>
      <c r="U128" s="752">
        <f t="shared" si="56"/>
        <v>3</v>
      </c>
      <c r="V128" s="752">
        <f t="shared" si="56"/>
        <v>3</v>
      </c>
      <c r="W128" s="752">
        <f t="shared" si="56"/>
        <v>3</v>
      </c>
      <c r="X128" s="752">
        <f t="shared" si="56"/>
        <v>3</v>
      </c>
      <c r="Y128" s="752">
        <f t="shared" si="56"/>
        <v>3</v>
      </c>
      <c r="Z128" s="752">
        <f t="shared" si="56"/>
        <v>3</v>
      </c>
      <c r="AA128" s="752">
        <f t="shared" si="56"/>
        <v>3</v>
      </c>
      <c r="AB128" s="752">
        <f t="shared" si="56"/>
        <v>3</v>
      </c>
      <c r="AC128" s="752">
        <f t="shared" si="56"/>
        <v>3</v>
      </c>
      <c r="AD128" s="752">
        <f t="shared" si="56"/>
        <v>3</v>
      </c>
      <c r="AE128" s="752">
        <f t="shared" si="56"/>
        <v>3</v>
      </c>
    </row>
    <row r="129" spans="1:33">
      <c r="A129" s="37"/>
      <c r="B129" s="37"/>
      <c r="C129" s="57"/>
      <c r="E129" s="57"/>
      <c r="F129" s="57"/>
      <c r="G129" s="57"/>
      <c r="H129" s="57"/>
      <c r="I129" s="43"/>
      <c r="J129" s="42"/>
      <c r="K129" s="683"/>
      <c r="L129" s="316"/>
      <c r="M129" s="316"/>
      <c r="N129" s="316"/>
      <c r="O129" s="316"/>
      <c r="P129" s="316"/>
      <c r="Q129" s="316"/>
      <c r="R129" s="316"/>
      <c r="S129" s="316"/>
      <c r="T129" s="316"/>
      <c r="U129" s="316"/>
      <c r="V129" s="316"/>
      <c r="W129" s="316"/>
      <c r="X129" s="316"/>
      <c r="Y129" s="316"/>
      <c r="Z129" s="316"/>
      <c r="AA129" s="316"/>
      <c r="AB129" s="316"/>
      <c r="AC129" s="316"/>
      <c r="AD129" s="316"/>
      <c r="AE129" s="316"/>
    </row>
    <row r="130" spans="1:33" s="55" customFormat="1">
      <c r="A130" s="190" t="s">
        <v>60</v>
      </c>
      <c r="B130" s="191"/>
      <c r="C130" s="192"/>
      <c r="D130" s="193"/>
      <c r="E130" s="194"/>
      <c r="F130" s="194"/>
      <c r="G130" s="192"/>
      <c r="H130" s="192"/>
      <c r="I130" s="195">
        <v>0.2</v>
      </c>
      <c r="J130" s="196"/>
      <c r="K130" s="683">
        <v>0</v>
      </c>
      <c r="L130" s="665">
        <f>$I$130*L124</f>
        <v>0</v>
      </c>
      <c r="M130" s="665">
        <f t="shared" ref="M130:AE130" si="57">$I$130*M124</f>
        <v>9095</v>
      </c>
      <c r="N130" s="665">
        <f t="shared" si="57"/>
        <v>9462.4380000000001</v>
      </c>
      <c r="O130" s="665">
        <f t="shared" si="57"/>
        <v>9651.6867600000005</v>
      </c>
      <c r="P130" s="665">
        <f t="shared" si="57"/>
        <v>9844.7204951999993</v>
      </c>
      <c r="Q130" s="665">
        <f t="shared" si="57"/>
        <v>10041.614905104001</v>
      </c>
      <c r="R130" s="665">
        <f t="shared" si="57"/>
        <v>10242.44720320608</v>
      </c>
      <c r="S130" s="665">
        <f t="shared" si="57"/>
        <v>10447.296147270201</v>
      </c>
      <c r="T130" s="665">
        <f t="shared" si="57"/>
        <v>10656.242070215607</v>
      </c>
      <c r="U130" s="665">
        <f t="shared" si="57"/>
        <v>10869.36691161992</v>
      </c>
      <c r="V130" s="665">
        <f t="shared" si="57"/>
        <v>11086.754249852318</v>
      </c>
      <c r="W130" s="665">
        <f t="shared" si="57"/>
        <v>11308.489334849364</v>
      </c>
      <c r="X130" s="665">
        <f t="shared" si="57"/>
        <v>11534.659121546354</v>
      </c>
      <c r="Y130" s="665">
        <f t="shared" si="57"/>
        <v>11765.352303977279</v>
      </c>
      <c r="Z130" s="665">
        <f t="shared" si="57"/>
        <v>12000.659350056825</v>
      </c>
      <c r="AA130" s="665">
        <f t="shared" si="57"/>
        <v>12240.672537057961</v>
      </c>
      <c r="AB130" s="665">
        <f t="shared" si="57"/>
        <v>12485.48598779912</v>
      </c>
      <c r="AC130" s="665">
        <f t="shared" si="57"/>
        <v>12735.195707555104</v>
      </c>
      <c r="AD130" s="665">
        <f t="shared" si="57"/>
        <v>12989.899621706207</v>
      </c>
      <c r="AE130" s="665">
        <f t="shared" si="57"/>
        <v>13249.697614140328</v>
      </c>
    </row>
    <row r="131" spans="1:33">
      <c r="A131" s="190"/>
      <c r="B131" s="191"/>
      <c r="C131" s="192"/>
      <c r="D131" s="193"/>
      <c r="E131" s="194"/>
      <c r="F131" s="194"/>
      <c r="G131" s="192"/>
      <c r="H131" s="192"/>
      <c r="I131" s="195"/>
      <c r="J131" s="196"/>
      <c r="K131" s="685"/>
      <c r="L131" s="665"/>
      <c r="M131" s="665"/>
      <c r="N131" s="665"/>
      <c r="O131" s="665"/>
      <c r="P131" s="665"/>
      <c r="Q131" s="665"/>
      <c r="R131" s="665"/>
      <c r="S131" s="665"/>
      <c r="T131" s="665"/>
      <c r="U131" s="665"/>
      <c r="V131" s="665"/>
      <c r="W131" s="665"/>
      <c r="X131" s="665"/>
      <c r="Y131" s="665"/>
      <c r="Z131" s="665"/>
      <c r="AA131" s="665"/>
      <c r="AB131" s="665"/>
      <c r="AC131" s="665"/>
      <c r="AD131" s="665"/>
      <c r="AE131" s="665"/>
    </row>
    <row r="132" spans="1:33">
      <c r="A132" s="164" t="s">
        <v>61</v>
      </c>
      <c r="B132" s="164"/>
      <c r="C132" s="75"/>
      <c r="D132" s="173"/>
      <c r="E132" s="75"/>
      <c r="F132" s="75"/>
      <c r="G132" s="75"/>
      <c r="H132" s="75"/>
      <c r="I132" s="174"/>
      <c r="J132" s="175"/>
      <c r="K132" s="685">
        <v>0</v>
      </c>
      <c r="L132" s="669">
        <f>SUM(L124,L130)</f>
        <v>0</v>
      </c>
      <c r="M132" s="669">
        <f t="shared" ref="M132:AE132" si="58">SUM(M124,M130)</f>
        <v>54570</v>
      </c>
      <c r="N132" s="669">
        <f t="shared" si="58"/>
        <v>56774.628000000004</v>
      </c>
      <c r="O132" s="669">
        <f t="shared" si="58"/>
        <v>57910.120559999996</v>
      </c>
      <c r="P132" s="669">
        <f t="shared" si="58"/>
        <v>59068.322971199988</v>
      </c>
      <c r="Q132" s="669">
        <f t="shared" si="58"/>
        <v>60249.689430623999</v>
      </c>
      <c r="R132" s="669">
        <f t="shared" si="58"/>
        <v>61454.683219236475</v>
      </c>
      <c r="S132" s="669">
        <f t="shared" si="58"/>
        <v>62683.776883621205</v>
      </c>
      <c r="T132" s="669">
        <f t="shared" si="58"/>
        <v>63937.452421293638</v>
      </c>
      <c r="U132" s="669">
        <f t="shared" si="58"/>
        <v>65216.201469719512</v>
      </c>
      <c r="V132" s="669">
        <f t="shared" si="58"/>
        <v>66520.525499113894</v>
      </c>
      <c r="W132" s="669">
        <f t="shared" si="58"/>
        <v>67850.936009096185</v>
      </c>
      <c r="X132" s="669">
        <f t="shared" si="58"/>
        <v>69207.954729278121</v>
      </c>
      <c r="Y132" s="669">
        <f t="shared" si="58"/>
        <v>70592.113823863678</v>
      </c>
      <c r="Z132" s="669">
        <f t="shared" si="58"/>
        <v>72003.956100340947</v>
      </c>
      <c r="AA132" s="669">
        <f t="shared" si="58"/>
        <v>73444.035222347768</v>
      </c>
      <c r="AB132" s="669">
        <f t="shared" si="58"/>
        <v>74912.915926794725</v>
      </c>
      <c r="AC132" s="669">
        <f t="shared" si="58"/>
        <v>76411.174245330621</v>
      </c>
      <c r="AD132" s="669">
        <f t="shared" si="58"/>
        <v>77939.397730237237</v>
      </c>
      <c r="AE132" s="669">
        <f t="shared" si="58"/>
        <v>79498.18568484197</v>
      </c>
    </row>
    <row r="133" spans="1:33">
      <c r="A133" s="183"/>
      <c r="B133" s="184"/>
      <c r="C133" s="185"/>
      <c r="D133" s="186"/>
      <c r="E133" s="185"/>
      <c r="F133" s="185"/>
      <c r="G133" s="185"/>
      <c r="H133" s="185"/>
      <c r="I133" s="187"/>
      <c r="J133" s="188"/>
      <c r="K133" s="683"/>
      <c r="L133" s="320"/>
      <c r="M133" s="320"/>
      <c r="N133" s="320"/>
      <c r="O133" s="320"/>
      <c r="P133" s="320"/>
      <c r="Q133" s="320"/>
      <c r="R133" s="320"/>
      <c r="S133" s="320"/>
      <c r="T133" s="320"/>
      <c r="U133" s="320"/>
      <c r="V133" s="320"/>
      <c r="W133" s="320"/>
      <c r="X133" s="320"/>
      <c r="Y133" s="320"/>
      <c r="Z133" s="320"/>
      <c r="AA133" s="320"/>
      <c r="AB133" s="320"/>
      <c r="AC133" s="320"/>
      <c r="AD133" s="320"/>
      <c r="AE133" s="320"/>
    </row>
    <row r="134" spans="1:33">
      <c r="A134" s="39" t="s">
        <v>4</v>
      </c>
      <c r="B134" s="39"/>
      <c r="C134" s="111"/>
      <c r="D134" s="112"/>
      <c r="E134" s="111"/>
      <c r="F134" s="111"/>
      <c r="G134" s="111"/>
      <c r="H134" s="111"/>
      <c r="I134" s="40"/>
      <c r="J134" s="113"/>
      <c r="K134" s="688"/>
      <c r="L134" s="321"/>
      <c r="M134" s="321"/>
      <c r="N134" s="321"/>
      <c r="O134" s="321"/>
      <c r="P134" s="321"/>
      <c r="Q134" s="321"/>
      <c r="R134" s="321"/>
      <c r="S134" s="321"/>
      <c r="T134" s="321"/>
      <c r="U134" s="321"/>
      <c r="V134" s="321"/>
      <c r="W134" s="321"/>
      <c r="X134" s="321"/>
      <c r="Y134" s="321"/>
      <c r="Z134" s="321"/>
      <c r="AA134" s="321"/>
      <c r="AB134" s="321"/>
      <c r="AC134" s="321"/>
      <c r="AD134" s="321"/>
      <c r="AE134" s="321"/>
    </row>
    <row r="135" spans="1:33">
      <c r="A135" s="41" t="s">
        <v>13</v>
      </c>
      <c r="B135" s="41"/>
      <c r="C135" s="105"/>
      <c r="D135" s="106"/>
      <c r="E135" s="37"/>
      <c r="F135" s="37"/>
      <c r="G135" s="37"/>
      <c r="H135" s="37"/>
      <c r="I135" s="41"/>
      <c r="J135" s="37"/>
      <c r="K135" s="683"/>
      <c r="L135" s="200"/>
      <c r="M135" s="200"/>
      <c r="N135" s="200"/>
      <c r="O135" s="200"/>
      <c r="P135" s="200"/>
      <c r="Q135" s="200"/>
      <c r="R135" s="200"/>
      <c r="S135" s="200"/>
      <c r="T135" s="200"/>
      <c r="U135" s="201"/>
      <c r="V135" s="323"/>
      <c r="W135" s="200"/>
      <c r="X135" s="200"/>
      <c r="Y135" s="200"/>
      <c r="Z135" s="200"/>
      <c r="AA135" s="200"/>
      <c r="AB135" s="200"/>
      <c r="AC135" s="200"/>
      <c r="AD135" s="200"/>
      <c r="AE135" s="201"/>
    </row>
    <row r="136" spans="1:33">
      <c r="A136" s="33" t="s">
        <v>65</v>
      </c>
      <c r="B136" s="735" t="s">
        <v>12</v>
      </c>
      <c r="C136" s="663">
        <v>65000</v>
      </c>
      <c r="D136" s="736">
        <f>C136/2080</f>
        <v>31.25</v>
      </c>
      <c r="E136" s="663">
        <v>0</v>
      </c>
      <c r="F136" s="663">
        <f>C136*$F$13</f>
        <v>26000</v>
      </c>
      <c r="G136" s="663">
        <f>SUM(C136,E136:F136)</f>
        <v>91000</v>
      </c>
      <c r="H136" s="736">
        <f>G136/2080*8</f>
        <v>350</v>
      </c>
      <c r="I136" s="764"/>
      <c r="J136" s="765"/>
      <c r="K136" s="683">
        <v>0</v>
      </c>
      <c r="L136" s="665">
        <v>0</v>
      </c>
      <c r="M136" s="665">
        <f>$H$136*M32*0.25</f>
        <v>18725</v>
      </c>
      <c r="N136" s="665">
        <f t="shared" ref="N136:AE136" si="59">$M$136*L11</f>
        <v>19099.5</v>
      </c>
      <c r="O136" s="665">
        <f t="shared" si="59"/>
        <v>19481.490000000002</v>
      </c>
      <c r="P136" s="665">
        <f t="shared" si="59"/>
        <v>19871.1198</v>
      </c>
      <c r="Q136" s="665">
        <f t="shared" si="59"/>
        <v>20268.542195999999</v>
      </c>
      <c r="R136" s="665">
        <f t="shared" si="59"/>
        <v>20673.91303992</v>
      </c>
      <c r="S136" s="665">
        <f t="shared" si="59"/>
        <v>21087.391300718402</v>
      </c>
      <c r="T136" s="665">
        <f t="shared" si="59"/>
        <v>21509.139126732767</v>
      </c>
      <c r="U136" s="665">
        <f t="shared" si="59"/>
        <v>21939.321909267426</v>
      </c>
      <c r="V136" s="665">
        <f t="shared" si="59"/>
        <v>22378.108347452773</v>
      </c>
      <c r="W136" s="665">
        <f t="shared" si="59"/>
        <v>22825.670514401831</v>
      </c>
      <c r="X136" s="665">
        <f t="shared" si="59"/>
        <v>23282.183924689867</v>
      </c>
      <c r="Y136" s="665">
        <f t="shared" si="59"/>
        <v>23747.827603183665</v>
      </c>
      <c r="Z136" s="665">
        <f t="shared" si="59"/>
        <v>24222.784155247336</v>
      </c>
      <c r="AA136" s="665">
        <f t="shared" si="59"/>
        <v>24707.239838352285</v>
      </c>
      <c r="AB136" s="665">
        <f t="shared" si="59"/>
        <v>25201.384635119332</v>
      </c>
      <c r="AC136" s="665">
        <f t="shared" si="59"/>
        <v>25705.412327821719</v>
      </c>
      <c r="AD136" s="665">
        <f t="shared" si="59"/>
        <v>26219.520574378155</v>
      </c>
      <c r="AE136" s="665">
        <f t="shared" si="59"/>
        <v>26743.910985865718</v>
      </c>
    </row>
    <row r="137" spans="1:33">
      <c r="A137" s="37" t="s">
        <v>62</v>
      </c>
      <c r="B137" s="735" t="s">
        <v>12</v>
      </c>
      <c r="C137" s="663">
        <v>85000</v>
      </c>
      <c r="D137" s="736">
        <f>C137/2080</f>
        <v>40.865384615384613</v>
      </c>
      <c r="E137" s="663">
        <f>C137*$L$15</f>
        <v>0</v>
      </c>
      <c r="F137" s="663">
        <f t="shared" ref="F137:F140" si="60">C137*$F$13</f>
        <v>34000</v>
      </c>
      <c r="G137" s="663">
        <f t="shared" ref="G137:G140" si="61">SUM(C137,E137:F137)</f>
        <v>119000</v>
      </c>
      <c r="H137" s="736">
        <f>G137/2080*8</f>
        <v>457.69230769230768</v>
      </c>
      <c r="I137" s="764"/>
      <c r="J137" s="765"/>
      <c r="K137" s="683">
        <v>0</v>
      </c>
      <c r="L137" s="665">
        <v>0</v>
      </c>
      <c r="M137" s="665">
        <f>$H$137*M32*0.1</f>
        <v>9794.6153846153848</v>
      </c>
      <c r="N137" s="665">
        <f t="shared" ref="N137:AE137" si="62">$M$137*L11</f>
        <v>9990.5076923076922</v>
      </c>
      <c r="O137" s="665">
        <f t="shared" si="62"/>
        <v>10190.317846153846</v>
      </c>
      <c r="P137" s="665">
        <f t="shared" si="62"/>
        <v>10394.124203076923</v>
      </c>
      <c r="Q137" s="665">
        <f t="shared" si="62"/>
        <v>10602.006687138461</v>
      </c>
      <c r="R137" s="665">
        <f t="shared" si="62"/>
        <v>10814.046820881231</v>
      </c>
      <c r="S137" s="665">
        <f t="shared" si="62"/>
        <v>11030.327757298855</v>
      </c>
      <c r="T137" s="665">
        <f t="shared" si="62"/>
        <v>11250.934312444833</v>
      </c>
      <c r="U137" s="665">
        <f t="shared" si="62"/>
        <v>11475.95299869373</v>
      </c>
      <c r="V137" s="665">
        <f t="shared" si="62"/>
        <v>11705.472058667605</v>
      </c>
      <c r="W137" s="665">
        <f t="shared" si="62"/>
        <v>11939.581499840959</v>
      </c>
      <c r="X137" s="665">
        <f t="shared" si="62"/>
        <v>12178.373129837777</v>
      </c>
      <c r="Y137" s="665">
        <f t="shared" si="62"/>
        <v>12421.940592434532</v>
      </c>
      <c r="Z137" s="665">
        <f t="shared" si="62"/>
        <v>12670.379404283221</v>
      </c>
      <c r="AA137" s="665">
        <f t="shared" si="62"/>
        <v>12923.786992368889</v>
      </c>
      <c r="AB137" s="665">
        <f t="shared" si="62"/>
        <v>13182.262732216266</v>
      </c>
      <c r="AC137" s="665">
        <f t="shared" si="62"/>
        <v>13445.907986860591</v>
      </c>
      <c r="AD137" s="665">
        <f t="shared" si="62"/>
        <v>13714.826146597805</v>
      </c>
      <c r="AE137" s="665">
        <f t="shared" si="62"/>
        <v>13989.122669529761</v>
      </c>
    </row>
    <row r="138" spans="1:33">
      <c r="A138" s="37" t="s">
        <v>419</v>
      </c>
      <c r="B138" s="735" t="s">
        <v>12</v>
      </c>
      <c r="C138" s="663">
        <v>75000</v>
      </c>
      <c r="D138" s="736">
        <f>C138/2080</f>
        <v>36.057692307692307</v>
      </c>
      <c r="E138" s="663">
        <f>C138*$L$15</f>
        <v>0</v>
      </c>
      <c r="F138" s="663">
        <f t="shared" si="60"/>
        <v>30000</v>
      </c>
      <c r="G138" s="663">
        <f t="shared" si="61"/>
        <v>105000</v>
      </c>
      <c r="H138" s="736">
        <f>G138/2080*8</f>
        <v>403.84615384615387</v>
      </c>
      <c r="I138" s="764"/>
      <c r="J138" s="765"/>
      <c r="K138" s="683">
        <v>0</v>
      </c>
      <c r="L138" s="665">
        <v>0</v>
      </c>
      <c r="M138" s="665">
        <f>$H$138*M32*0.1</f>
        <v>8642.3076923076933</v>
      </c>
      <c r="N138" s="665">
        <f t="shared" ref="N138:AE138" si="63">$M$138*L11</f>
        <v>8815.1538461538476</v>
      </c>
      <c r="O138" s="665">
        <f t="shared" si="63"/>
        <v>8991.4569230769248</v>
      </c>
      <c r="P138" s="665">
        <f t="shared" si="63"/>
        <v>9171.2860615384616</v>
      </c>
      <c r="Q138" s="665">
        <f t="shared" si="63"/>
        <v>9354.7117827692309</v>
      </c>
      <c r="R138" s="665">
        <f t="shared" si="63"/>
        <v>9541.8060184246169</v>
      </c>
      <c r="S138" s="665">
        <f t="shared" si="63"/>
        <v>9732.6421387931096</v>
      </c>
      <c r="T138" s="665">
        <f t="shared" si="63"/>
        <v>9927.2949815689717</v>
      </c>
      <c r="U138" s="665">
        <f t="shared" si="63"/>
        <v>10125.840881200351</v>
      </c>
      <c r="V138" s="665">
        <f t="shared" si="63"/>
        <v>10328.357698824359</v>
      </c>
      <c r="W138" s="665">
        <f t="shared" si="63"/>
        <v>10534.924852800847</v>
      </c>
      <c r="X138" s="665">
        <f t="shared" si="63"/>
        <v>10745.623349856864</v>
      </c>
      <c r="Y138" s="665">
        <f t="shared" si="63"/>
        <v>10960.535816854001</v>
      </c>
      <c r="Z138" s="665">
        <f t="shared" si="63"/>
        <v>11179.746533191079</v>
      </c>
      <c r="AA138" s="665">
        <f t="shared" si="63"/>
        <v>11403.341463854902</v>
      </c>
      <c r="AB138" s="665">
        <f t="shared" si="63"/>
        <v>11631.408293132001</v>
      </c>
      <c r="AC138" s="665">
        <f t="shared" si="63"/>
        <v>11864.03645899464</v>
      </c>
      <c r="AD138" s="665">
        <f t="shared" si="63"/>
        <v>12101.317188174535</v>
      </c>
      <c r="AE138" s="665">
        <f t="shared" si="63"/>
        <v>12343.343531938026</v>
      </c>
    </row>
    <row r="139" spans="1:33">
      <c r="A139" s="37" t="s">
        <v>63</v>
      </c>
      <c r="B139" s="735" t="s">
        <v>15</v>
      </c>
      <c r="C139" s="663">
        <v>15000</v>
      </c>
      <c r="D139" s="736">
        <f t="shared" ref="D139:D140" si="64">C139/2080</f>
        <v>7.2115384615384617</v>
      </c>
      <c r="E139" s="663">
        <f>C139*$L$15</f>
        <v>0</v>
      </c>
      <c r="F139" s="663">
        <f t="shared" si="60"/>
        <v>6000</v>
      </c>
      <c r="G139" s="663">
        <f t="shared" si="61"/>
        <v>21000</v>
      </c>
      <c r="H139" s="736">
        <f t="shared" ref="H139:H140" si="65">G139/2080*8</f>
        <v>80.769230769230774</v>
      </c>
      <c r="I139" s="764"/>
      <c r="J139" s="765"/>
      <c r="K139" s="683">
        <v>0</v>
      </c>
      <c r="L139" s="665">
        <v>0</v>
      </c>
      <c r="M139" s="665">
        <f>($H$139*M32)*0.5</f>
        <v>8642.3076923076933</v>
      </c>
      <c r="N139" s="665">
        <f t="shared" ref="N139:AE139" si="66">$M$139*L11</f>
        <v>8815.1538461538476</v>
      </c>
      <c r="O139" s="665">
        <f t="shared" si="66"/>
        <v>8991.4569230769248</v>
      </c>
      <c r="P139" s="665">
        <f t="shared" si="66"/>
        <v>9171.2860615384616</v>
      </c>
      <c r="Q139" s="665">
        <f t="shared" si="66"/>
        <v>9354.7117827692309</v>
      </c>
      <c r="R139" s="665">
        <f t="shared" si="66"/>
        <v>9541.8060184246169</v>
      </c>
      <c r="S139" s="665">
        <f t="shared" si="66"/>
        <v>9732.6421387931096</v>
      </c>
      <c r="T139" s="665">
        <f t="shared" si="66"/>
        <v>9927.2949815689717</v>
      </c>
      <c r="U139" s="665">
        <f t="shared" si="66"/>
        <v>10125.840881200351</v>
      </c>
      <c r="V139" s="665">
        <f t="shared" si="66"/>
        <v>10328.357698824359</v>
      </c>
      <c r="W139" s="665">
        <f t="shared" si="66"/>
        <v>10534.924852800847</v>
      </c>
      <c r="X139" s="665">
        <f t="shared" si="66"/>
        <v>10745.623349856864</v>
      </c>
      <c r="Y139" s="665">
        <f t="shared" si="66"/>
        <v>10960.535816854001</v>
      </c>
      <c r="Z139" s="665">
        <f t="shared" si="66"/>
        <v>11179.746533191079</v>
      </c>
      <c r="AA139" s="665">
        <f t="shared" si="66"/>
        <v>11403.341463854902</v>
      </c>
      <c r="AB139" s="665">
        <f t="shared" si="66"/>
        <v>11631.408293132001</v>
      </c>
      <c r="AC139" s="665">
        <f t="shared" si="66"/>
        <v>11864.03645899464</v>
      </c>
      <c r="AD139" s="665">
        <f t="shared" si="66"/>
        <v>12101.317188174535</v>
      </c>
      <c r="AE139" s="665">
        <f t="shared" si="66"/>
        <v>12343.343531938026</v>
      </c>
    </row>
    <row r="140" spans="1:33">
      <c r="A140" s="745" t="s">
        <v>63</v>
      </c>
      <c r="B140" s="738" t="s">
        <v>15</v>
      </c>
      <c r="C140" s="739">
        <v>15000</v>
      </c>
      <c r="D140" s="740">
        <f t="shared" si="64"/>
        <v>7.2115384615384617</v>
      </c>
      <c r="E140" s="739">
        <f>C140*$L$15</f>
        <v>0</v>
      </c>
      <c r="F140" s="739">
        <f t="shared" si="60"/>
        <v>6000</v>
      </c>
      <c r="G140" s="739">
        <f t="shared" si="61"/>
        <v>21000</v>
      </c>
      <c r="H140" s="740">
        <f t="shared" si="65"/>
        <v>80.769230769230774</v>
      </c>
      <c r="I140" s="766"/>
      <c r="J140" s="767"/>
      <c r="K140" s="741">
        <v>0</v>
      </c>
      <c r="L140" s="742">
        <v>0</v>
      </c>
      <c r="M140" s="742">
        <f>($H$140*M32)*0.5</f>
        <v>8642.3076923076933</v>
      </c>
      <c r="N140" s="742">
        <f t="shared" ref="N140:AE140" si="67">$M$140*L11</f>
        <v>8815.1538461538476</v>
      </c>
      <c r="O140" s="742">
        <f t="shared" si="67"/>
        <v>8991.4569230769248</v>
      </c>
      <c r="P140" s="742">
        <f t="shared" si="67"/>
        <v>9171.2860615384616</v>
      </c>
      <c r="Q140" s="742">
        <f t="shared" si="67"/>
        <v>9354.7117827692309</v>
      </c>
      <c r="R140" s="742">
        <f t="shared" si="67"/>
        <v>9541.8060184246169</v>
      </c>
      <c r="S140" s="742">
        <f t="shared" si="67"/>
        <v>9732.6421387931096</v>
      </c>
      <c r="T140" s="742">
        <f t="shared" si="67"/>
        <v>9927.2949815689717</v>
      </c>
      <c r="U140" s="742">
        <f t="shared" si="67"/>
        <v>10125.840881200351</v>
      </c>
      <c r="V140" s="742">
        <f t="shared" si="67"/>
        <v>10328.357698824359</v>
      </c>
      <c r="W140" s="742">
        <f t="shared" si="67"/>
        <v>10534.924852800847</v>
      </c>
      <c r="X140" s="742">
        <f t="shared" si="67"/>
        <v>10745.623349856864</v>
      </c>
      <c r="Y140" s="742">
        <f t="shared" si="67"/>
        <v>10960.535816854001</v>
      </c>
      <c r="Z140" s="742">
        <f t="shared" si="67"/>
        <v>11179.746533191079</v>
      </c>
      <c r="AA140" s="742">
        <f t="shared" si="67"/>
        <v>11403.341463854902</v>
      </c>
      <c r="AB140" s="742">
        <f t="shared" si="67"/>
        <v>11631.408293132001</v>
      </c>
      <c r="AC140" s="742">
        <f t="shared" si="67"/>
        <v>11864.03645899464</v>
      </c>
      <c r="AD140" s="742">
        <f t="shared" si="67"/>
        <v>12101.317188174535</v>
      </c>
      <c r="AE140" s="742">
        <f t="shared" si="67"/>
        <v>12343.343531938026</v>
      </c>
    </row>
    <row r="141" spans="1:33" s="56" customFormat="1" ht="14.25">
      <c r="A141" s="164" t="s">
        <v>415</v>
      </c>
      <c r="B141" s="164"/>
      <c r="C141" s="667">
        <f>SUM(C136:C140)</f>
        <v>255000</v>
      </c>
      <c r="D141" s="667"/>
      <c r="E141" s="667">
        <f>SUM(E136:E140)</f>
        <v>0</v>
      </c>
      <c r="F141" s="667">
        <f>SUM(F136:F140)</f>
        <v>102000</v>
      </c>
      <c r="G141" s="667">
        <f>SUM(G136:G140)</f>
        <v>357000</v>
      </c>
      <c r="H141" s="667">
        <f>SUM(H136:H140)</f>
        <v>1373.0769230769229</v>
      </c>
      <c r="I141" s="768"/>
      <c r="J141" s="769"/>
      <c r="K141" s="685">
        <f>SUMIF($B136:$B140,"FT",K136:K140)</f>
        <v>0</v>
      </c>
      <c r="L141" s="669">
        <f>SUMIF($B136:$B140,"FT",L136:L140)</f>
        <v>0</v>
      </c>
      <c r="M141" s="669">
        <f>SUM(M136:M140)</f>
        <v>54446.538461538468</v>
      </c>
      <c r="N141" s="669">
        <f t="shared" ref="N141:AE141" si="68">SUM(N136:N140)</f>
        <v>55535.469230769231</v>
      </c>
      <c r="O141" s="669">
        <f t="shared" si="68"/>
        <v>56646.178615384626</v>
      </c>
      <c r="P141" s="669">
        <f t="shared" si="68"/>
        <v>57779.102187692311</v>
      </c>
      <c r="Q141" s="669">
        <f t="shared" si="68"/>
        <v>58934.684231446139</v>
      </c>
      <c r="R141" s="669">
        <f t="shared" si="68"/>
        <v>60113.377916075071</v>
      </c>
      <c r="S141" s="669">
        <f t="shared" si="68"/>
        <v>61315.645474396588</v>
      </c>
      <c r="T141" s="669">
        <f t="shared" si="68"/>
        <v>62541.958383884514</v>
      </c>
      <c r="U141" s="669">
        <f t="shared" si="68"/>
        <v>63792.797551562195</v>
      </c>
      <c r="V141" s="669">
        <f t="shared" si="68"/>
        <v>65068.653502593457</v>
      </c>
      <c r="W141" s="669">
        <f t="shared" si="68"/>
        <v>66370.026572645322</v>
      </c>
      <c r="X141" s="669">
        <f t="shared" si="68"/>
        <v>67697.427104098228</v>
      </c>
      <c r="Y141" s="669">
        <f t="shared" si="68"/>
        <v>69051.375646180197</v>
      </c>
      <c r="Z141" s="669">
        <f t="shared" si="68"/>
        <v>70432.403159103793</v>
      </c>
      <c r="AA141" s="669">
        <f t="shared" si="68"/>
        <v>71841.051222285882</v>
      </c>
      <c r="AB141" s="669">
        <f t="shared" si="68"/>
        <v>73277.872246731597</v>
      </c>
      <c r="AC141" s="669">
        <f t="shared" si="68"/>
        <v>74743.429691666228</v>
      </c>
      <c r="AD141" s="669">
        <f t="shared" si="68"/>
        <v>76238.298285499564</v>
      </c>
      <c r="AE141" s="669">
        <f t="shared" si="68"/>
        <v>77763.064251209551</v>
      </c>
    </row>
    <row r="142" spans="1:33">
      <c r="A142" s="37"/>
      <c r="B142" s="37"/>
      <c r="C142" s="663"/>
      <c r="D142" s="663"/>
      <c r="E142" s="663"/>
      <c r="F142" s="663"/>
      <c r="G142" s="663"/>
      <c r="H142" s="663"/>
      <c r="I142" s="107"/>
      <c r="J142" s="108"/>
      <c r="K142" s="683"/>
      <c r="L142" s="666"/>
      <c r="M142" s="666"/>
      <c r="N142" s="666"/>
      <c r="O142" s="666"/>
      <c r="P142" s="666"/>
      <c r="Q142" s="666"/>
      <c r="R142" s="666"/>
      <c r="S142" s="666"/>
      <c r="T142" s="666"/>
      <c r="U142" s="666"/>
      <c r="V142" s="666"/>
      <c r="W142" s="666"/>
      <c r="X142" s="666"/>
      <c r="Y142" s="666"/>
      <c r="Z142" s="666"/>
      <c r="AA142" s="666"/>
      <c r="AB142" s="666"/>
      <c r="AC142" s="666"/>
      <c r="AD142" s="666"/>
      <c r="AE142" s="666"/>
    </row>
    <row r="143" spans="1:33">
      <c r="A143" s="37" t="s">
        <v>11</v>
      </c>
      <c r="B143" s="37"/>
      <c r="C143" s="57"/>
      <c r="E143" s="57"/>
      <c r="F143" s="57"/>
      <c r="G143" s="57"/>
      <c r="H143" s="57"/>
      <c r="I143" s="43"/>
      <c r="J143" s="42"/>
      <c r="K143" s="770">
        <f>COUNTIF(K136:K140,"&gt;100")</f>
        <v>0</v>
      </c>
      <c r="L143" s="771">
        <f>COUNTIF(L136:L138,"&gt;100")</f>
        <v>0</v>
      </c>
      <c r="M143" s="771">
        <f t="shared" ref="M143:AE143" si="69">COUNTIF(M136:M138,"&gt;100")</f>
        <v>3</v>
      </c>
      <c r="N143" s="771">
        <f t="shared" si="69"/>
        <v>3</v>
      </c>
      <c r="O143" s="771">
        <f t="shared" si="69"/>
        <v>3</v>
      </c>
      <c r="P143" s="771">
        <f t="shared" si="69"/>
        <v>3</v>
      </c>
      <c r="Q143" s="771">
        <f t="shared" si="69"/>
        <v>3</v>
      </c>
      <c r="R143" s="771">
        <f t="shared" si="69"/>
        <v>3</v>
      </c>
      <c r="S143" s="771">
        <f t="shared" si="69"/>
        <v>3</v>
      </c>
      <c r="T143" s="771">
        <f t="shared" si="69"/>
        <v>3</v>
      </c>
      <c r="U143" s="771">
        <f t="shared" si="69"/>
        <v>3</v>
      </c>
      <c r="V143" s="771">
        <f t="shared" si="69"/>
        <v>3</v>
      </c>
      <c r="W143" s="771">
        <f t="shared" si="69"/>
        <v>3</v>
      </c>
      <c r="X143" s="771">
        <f t="shared" si="69"/>
        <v>3</v>
      </c>
      <c r="Y143" s="771">
        <f t="shared" si="69"/>
        <v>3</v>
      </c>
      <c r="Z143" s="771">
        <f t="shared" si="69"/>
        <v>3</v>
      </c>
      <c r="AA143" s="771">
        <f t="shared" si="69"/>
        <v>3</v>
      </c>
      <c r="AB143" s="771">
        <f t="shared" si="69"/>
        <v>3</v>
      </c>
      <c r="AC143" s="771">
        <f t="shared" si="69"/>
        <v>3</v>
      </c>
      <c r="AD143" s="771">
        <f t="shared" si="69"/>
        <v>3</v>
      </c>
      <c r="AE143" s="771">
        <f t="shared" si="69"/>
        <v>3</v>
      </c>
      <c r="AF143" s="772"/>
      <c r="AG143" s="772"/>
    </row>
    <row r="144" spans="1:33">
      <c r="A144" s="745" t="s">
        <v>10</v>
      </c>
      <c r="B144" s="745"/>
      <c r="C144" s="746"/>
      <c r="D144" s="116"/>
      <c r="E144" s="746"/>
      <c r="F144" s="746"/>
      <c r="G144" s="746"/>
      <c r="H144" s="746"/>
      <c r="I144" s="747"/>
      <c r="J144" s="748"/>
      <c r="K144" s="773">
        <v>0</v>
      </c>
      <c r="L144" s="774">
        <f>COUNTIF(L139:L140,"&gt;100")</f>
        <v>0</v>
      </c>
      <c r="M144" s="774">
        <f t="shared" ref="M144:AE144" si="70">COUNTIF(M139:M140,"&gt;100")</f>
        <v>2</v>
      </c>
      <c r="N144" s="774">
        <f t="shared" si="70"/>
        <v>2</v>
      </c>
      <c r="O144" s="774">
        <f t="shared" si="70"/>
        <v>2</v>
      </c>
      <c r="P144" s="774">
        <f t="shared" si="70"/>
        <v>2</v>
      </c>
      <c r="Q144" s="774">
        <f t="shared" si="70"/>
        <v>2</v>
      </c>
      <c r="R144" s="774">
        <f t="shared" si="70"/>
        <v>2</v>
      </c>
      <c r="S144" s="774">
        <f t="shared" si="70"/>
        <v>2</v>
      </c>
      <c r="T144" s="774">
        <f t="shared" si="70"/>
        <v>2</v>
      </c>
      <c r="U144" s="774">
        <f t="shared" si="70"/>
        <v>2</v>
      </c>
      <c r="V144" s="774">
        <f t="shared" si="70"/>
        <v>2</v>
      </c>
      <c r="W144" s="774">
        <f t="shared" si="70"/>
        <v>2</v>
      </c>
      <c r="X144" s="774">
        <f t="shared" si="70"/>
        <v>2</v>
      </c>
      <c r="Y144" s="774">
        <f t="shared" si="70"/>
        <v>2</v>
      </c>
      <c r="Z144" s="774">
        <f t="shared" si="70"/>
        <v>2</v>
      </c>
      <c r="AA144" s="774">
        <f t="shared" si="70"/>
        <v>2</v>
      </c>
      <c r="AB144" s="774">
        <f t="shared" si="70"/>
        <v>2</v>
      </c>
      <c r="AC144" s="774">
        <f t="shared" si="70"/>
        <v>2</v>
      </c>
      <c r="AD144" s="774">
        <f t="shared" si="70"/>
        <v>2</v>
      </c>
      <c r="AE144" s="774">
        <f t="shared" si="70"/>
        <v>2</v>
      </c>
      <c r="AF144" s="772"/>
      <c r="AG144" s="772"/>
    </row>
    <row r="145" spans="1:33" s="56" customFormat="1" ht="14.25">
      <c r="A145" s="164" t="s">
        <v>9</v>
      </c>
      <c r="B145" s="164"/>
      <c r="C145" s="75"/>
      <c r="D145" s="173"/>
      <c r="E145" s="75"/>
      <c r="F145" s="75"/>
      <c r="G145" s="75"/>
      <c r="H145" s="75"/>
      <c r="I145" s="174"/>
      <c r="J145" s="181"/>
      <c r="K145" s="775">
        <v>0</v>
      </c>
      <c r="L145" s="776">
        <f>SUM(L143:L144)</f>
        <v>0</v>
      </c>
      <c r="M145" s="776">
        <f t="shared" ref="M145:AE145" si="71">COUNTIF(M136:M140,"&gt;0")</f>
        <v>5</v>
      </c>
      <c r="N145" s="776">
        <f t="shared" si="71"/>
        <v>5</v>
      </c>
      <c r="O145" s="776">
        <f t="shared" si="71"/>
        <v>5</v>
      </c>
      <c r="P145" s="776">
        <f t="shared" si="71"/>
        <v>5</v>
      </c>
      <c r="Q145" s="776">
        <f t="shared" si="71"/>
        <v>5</v>
      </c>
      <c r="R145" s="776">
        <f t="shared" si="71"/>
        <v>5</v>
      </c>
      <c r="S145" s="776">
        <f t="shared" si="71"/>
        <v>5</v>
      </c>
      <c r="T145" s="776">
        <f t="shared" si="71"/>
        <v>5</v>
      </c>
      <c r="U145" s="776">
        <f t="shared" si="71"/>
        <v>5</v>
      </c>
      <c r="V145" s="776">
        <f t="shared" si="71"/>
        <v>5</v>
      </c>
      <c r="W145" s="776">
        <f t="shared" si="71"/>
        <v>5</v>
      </c>
      <c r="X145" s="776">
        <f t="shared" si="71"/>
        <v>5</v>
      </c>
      <c r="Y145" s="776">
        <f t="shared" si="71"/>
        <v>5</v>
      </c>
      <c r="Z145" s="776">
        <f t="shared" si="71"/>
        <v>5</v>
      </c>
      <c r="AA145" s="776">
        <f t="shared" si="71"/>
        <v>5</v>
      </c>
      <c r="AB145" s="776">
        <f t="shared" si="71"/>
        <v>5</v>
      </c>
      <c r="AC145" s="776">
        <f t="shared" si="71"/>
        <v>5</v>
      </c>
      <c r="AD145" s="776">
        <f t="shared" si="71"/>
        <v>5</v>
      </c>
      <c r="AE145" s="776">
        <f t="shared" si="71"/>
        <v>5</v>
      </c>
      <c r="AF145" s="723"/>
      <c r="AG145" s="723"/>
    </row>
    <row r="146" spans="1:33">
      <c r="B146" s="37"/>
      <c r="C146" s="57"/>
      <c r="E146" s="57"/>
      <c r="F146" s="57"/>
      <c r="G146" s="57"/>
      <c r="H146" s="57"/>
      <c r="I146" s="43"/>
      <c r="J146" s="42"/>
      <c r="K146" s="683"/>
      <c r="L146" s="316"/>
      <c r="M146" s="316"/>
      <c r="N146" s="316"/>
      <c r="O146" s="316"/>
      <c r="P146" s="316"/>
      <c r="Q146" s="316"/>
      <c r="R146" s="316"/>
      <c r="S146" s="316"/>
      <c r="T146" s="316"/>
      <c r="U146" s="316"/>
      <c r="V146" s="316"/>
      <c r="W146" s="316"/>
      <c r="X146" s="316"/>
      <c r="Y146" s="316"/>
      <c r="Z146" s="316"/>
      <c r="AA146" s="316"/>
      <c r="AB146" s="316"/>
      <c r="AC146" s="316"/>
      <c r="AD146" s="316"/>
      <c r="AE146" s="316"/>
    </row>
    <row r="147" spans="1:33">
      <c r="A147" s="33" t="s">
        <v>60</v>
      </c>
      <c r="B147" s="191"/>
      <c r="C147" s="192"/>
      <c r="D147" s="193"/>
      <c r="E147" s="194"/>
      <c r="F147" s="194"/>
      <c r="G147" s="192"/>
      <c r="H147" s="192"/>
      <c r="I147" s="195">
        <v>0.2</v>
      </c>
      <c r="J147" s="196"/>
      <c r="K147" s="689">
        <v>0</v>
      </c>
      <c r="L147" s="665">
        <f t="shared" ref="L147:AE147" si="72">L141*$I$147</f>
        <v>0</v>
      </c>
      <c r="M147" s="665">
        <f t="shared" si="72"/>
        <v>10889.307692307695</v>
      </c>
      <c r="N147" s="665">
        <f t="shared" si="72"/>
        <v>11107.093846153846</v>
      </c>
      <c r="O147" s="665">
        <f t="shared" si="72"/>
        <v>11329.235723076927</v>
      </c>
      <c r="P147" s="665">
        <f t="shared" si="72"/>
        <v>11555.820437538463</v>
      </c>
      <c r="Q147" s="665">
        <f t="shared" si="72"/>
        <v>11786.936846289229</v>
      </c>
      <c r="R147" s="665">
        <f t="shared" si="72"/>
        <v>12022.675583215016</v>
      </c>
      <c r="S147" s="665">
        <f t="shared" si="72"/>
        <v>12263.129094879318</v>
      </c>
      <c r="T147" s="665">
        <f t="shared" si="72"/>
        <v>12508.391676776904</v>
      </c>
      <c r="U147" s="665">
        <f t="shared" si="72"/>
        <v>12758.55951031244</v>
      </c>
      <c r="V147" s="665">
        <f t="shared" si="72"/>
        <v>13013.730700518692</v>
      </c>
      <c r="W147" s="665">
        <f t="shared" si="72"/>
        <v>13274.005314529066</v>
      </c>
      <c r="X147" s="665">
        <f t="shared" si="72"/>
        <v>13539.485420819647</v>
      </c>
      <c r="Y147" s="665">
        <f t="shared" si="72"/>
        <v>13810.275129236041</v>
      </c>
      <c r="Z147" s="665">
        <f t="shared" si="72"/>
        <v>14086.480631820759</v>
      </c>
      <c r="AA147" s="665">
        <f t="shared" si="72"/>
        <v>14368.210244457177</v>
      </c>
      <c r="AB147" s="665">
        <f t="shared" si="72"/>
        <v>14655.574449346321</v>
      </c>
      <c r="AC147" s="665">
        <f t="shared" si="72"/>
        <v>14948.685938333247</v>
      </c>
      <c r="AD147" s="665">
        <f t="shared" si="72"/>
        <v>15247.659657099914</v>
      </c>
      <c r="AE147" s="665">
        <f t="shared" si="72"/>
        <v>15552.612850241911</v>
      </c>
    </row>
    <row r="148" spans="1:33">
      <c r="B148" s="191"/>
      <c r="C148" s="192"/>
      <c r="D148" s="193"/>
      <c r="E148" s="194"/>
      <c r="F148" s="194"/>
      <c r="G148" s="192"/>
      <c r="H148" s="192"/>
      <c r="I148" s="195"/>
      <c r="J148" s="196"/>
      <c r="K148" s="689"/>
      <c r="L148" s="665"/>
      <c r="M148" s="665"/>
      <c r="N148" s="665"/>
      <c r="O148" s="665"/>
      <c r="P148" s="665"/>
      <c r="Q148" s="665"/>
      <c r="R148" s="665"/>
      <c r="S148" s="665"/>
      <c r="T148" s="665"/>
      <c r="U148" s="665"/>
      <c r="V148" s="665"/>
      <c r="W148" s="665"/>
      <c r="X148" s="665"/>
      <c r="Y148" s="665"/>
      <c r="Z148" s="665"/>
      <c r="AA148" s="665"/>
      <c r="AB148" s="665"/>
      <c r="AC148" s="665"/>
      <c r="AD148" s="665"/>
      <c r="AE148" s="665"/>
    </row>
    <row r="149" spans="1:33" s="197" customFormat="1" ht="14.25">
      <c r="A149" s="197" t="s">
        <v>68</v>
      </c>
      <c r="D149" s="198"/>
      <c r="K149" s="690"/>
      <c r="L149" s="677"/>
      <c r="M149" s="677"/>
      <c r="N149" s="677"/>
      <c r="O149" s="677"/>
      <c r="P149" s="677"/>
      <c r="Q149" s="677"/>
      <c r="R149" s="677"/>
      <c r="S149" s="677"/>
      <c r="T149" s="677"/>
      <c r="U149" s="677"/>
      <c r="V149" s="677"/>
      <c r="W149" s="677"/>
      <c r="X149" s="677"/>
      <c r="Y149" s="677"/>
      <c r="Z149" s="677"/>
      <c r="AA149" s="677"/>
      <c r="AB149" s="677"/>
      <c r="AC149" s="677"/>
      <c r="AD149" s="677"/>
      <c r="AE149" s="677"/>
    </row>
    <row r="150" spans="1:33">
      <c r="A150" s="37" t="s">
        <v>423</v>
      </c>
      <c r="B150" s="37"/>
      <c r="C150" s="110"/>
      <c r="D150" s="106"/>
      <c r="E150" s="57"/>
      <c r="F150" s="57"/>
      <c r="G150" s="57"/>
      <c r="H150" s="57"/>
      <c r="I150" s="49"/>
      <c r="J150" s="44"/>
      <c r="K150" s="683">
        <f>COUNTIF(K$116:K$123,"&gt;0")*$J150*R$9</f>
        <v>0</v>
      </c>
      <c r="L150" s="666">
        <v>0</v>
      </c>
      <c r="M150" s="666">
        <v>10000</v>
      </c>
      <c r="N150" s="666">
        <f t="shared" ref="N150:AE150" si="73">$M$150*L11</f>
        <v>10200</v>
      </c>
      <c r="O150" s="666">
        <f t="shared" si="73"/>
        <v>10404</v>
      </c>
      <c r="P150" s="666">
        <f t="shared" si="73"/>
        <v>10612.08</v>
      </c>
      <c r="Q150" s="666">
        <f t="shared" si="73"/>
        <v>10824.321599999999</v>
      </c>
      <c r="R150" s="666">
        <f t="shared" si="73"/>
        <v>11040.808032000001</v>
      </c>
      <c r="S150" s="666">
        <f t="shared" si="73"/>
        <v>11261.62419264</v>
      </c>
      <c r="T150" s="666">
        <f t="shared" si="73"/>
        <v>11486.8566764928</v>
      </c>
      <c r="U150" s="666">
        <f t="shared" si="73"/>
        <v>11716.593810022658</v>
      </c>
      <c r="V150" s="666">
        <f t="shared" si="73"/>
        <v>11950.92568622311</v>
      </c>
      <c r="W150" s="666">
        <f t="shared" si="73"/>
        <v>12189.944199947573</v>
      </c>
      <c r="X150" s="666">
        <f t="shared" si="73"/>
        <v>12433.743083946525</v>
      </c>
      <c r="Y150" s="666">
        <f t="shared" si="73"/>
        <v>12682.417945625455</v>
      </c>
      <c r="Z150" s="666">
        <f t="shared" si="73"/>
        <v>12936.066304537962</v>
      </c>
      <c r="AA150" s="666">
        <f t="shared" si="73"/>
        <v>13194.787630628723</v>
      </c>
      <c r="AB150" s="666">
        <f t="shared" si="73"/>
        <v>13458.683383241299</v>
      </c>
      <c r="AC150" s="666">
        <f t="shared" si="73"/>
        <v>13727.857050906125</v>
      </c>
      <c r="AD150" s="666">
        <f t="shared" si="73"/>
        <v>14002.414191924248</v>
      </c>
      <c r="AE150" s="666">
        <f t="shared" si="73"/>
        <v>14282.462475762733</v>
      </c>
    </row>
    <row r="151" spans="1:33">
      <c r="A151" s="37" t="s">
        <v>67</v>
      </c>
      <c r="B151" s="37"/>
      <c r="C151" s="110"/>
      <c r="D151" s="106"/>
      <c r="E151" s="57"/>
      <c r="F151" s="57"/>
      <c r="G151" s="57"/>
      <c r="H151" s="57"/>
      <c r="I151" s="51"/>
      <c r="J151" s="44"/>
      <c r="K151" s="683">
        <v>0</v>
      </c>
      <c r="L151" s="666">
        <v>0</v>
      </c>
      <c r="M151" s="666">
        <v>10000</v>
      </c>
      <c r="N151" s="666">
        <f t="shared" ref="N151:AE151" si="74">$M$151*L11</f>
        <v>10200</v>
      </c>
      <c r="O151" s="666">
        <f t="shared" si="74"/>
        <v>10404</v>
      </c>
      <c r="P151" s="666">
        <f t="shared" si="74"/>
        <v>10612.08</v>
      </c>
      <c r="Q151" s="666">
        <f t="shared" si="74"/>
        <v>10824.321599999999</v>
      </c>
      <c r="R151" s="666">
        <f t="shared" si="74"/>
        <v>11040.808032000001</v>
      </c>
      <c r="S151" s="666">
        <f t="shared" si="74"/>
        <v>11261.62419264</v>
      </c>
      <c r="T151" s="666">
        <f t="shared" si="74"/>
        <v>11486.8566764928</v>
      </c>
      <c r="U151" s="666">
        <f t="shared" si="74"/>
        <v>11716.593810022658</v>
      </c>
      <c r="V151" s="666">
        <f t="shared" si="74"/>
        <v>11950.92568622311</v>
      </c>
      <c r="W151" s="666">
        <f t="shared" si="74"/>
        <v>12189.944199947573</v>
      </c>
      <c r="X151" s="666">
        <f t="shared" si="74"/>
        <v>12433.743083946525</v>
      </c>
      <c r="Y151" s="666">
        <f t="shared" si="74"/>
        <v>12682.417945625455</v>
      </c>
      <c r="Z151" s="666">
        <f t="shared" si="74"/>
        <v>12936.066304537962</v>
      </c>
      <c r="AA151" s="666">
        <f t="shared" si="74"/>
        <v>13194.787630628723</v>
      </c>
      <c r="AB151" s="666">
        <f t="shared" si="74"/>
        <v>13458.683383241299</v>
      </c>
      <c r="AC151" s="666">
        <f t="shared" si="74"/>
        <v>13727.857050906125</v>
      </c>
      <c r="AD151" s="666">
        <f t="shared" si="74"/>
        <v>14002.414191924248</v>
      </c>
      <c r="AE151" s="666">
        <f t="shared" si="74"/>
        <v>14282.462475762733</v>
      </c>
    </row>
    <row r="152" spans="1:33">
      <c r="A152" s="180" t="s">
        <v>2</v>
      </c>
      <c r="B152" s="777"/>
      <c r="C152" s="778"/>
      <c r="D152" s="779"/>
      <c r="E152" s="746"/>
      <c r="F152" s="746"/>
      <c r="G152" s="778"/>
      <c r="H152" s="778"/>
      <c r="I152" s="780"/>
      <c r="J152" s="781"/>
      <c r="K152" s="741">
        <v>0</v>
      </c>
      <c r="L152" s="742">
        <v>0</v>
      </c>
      <c r="M152" s="742">
        <v>0</v>
      </c>
      <c r="N152" s="742">
        <v>0</v>
      </c>
      <c r="O152" s="742">
        <v>0</v>
      </c>
      <c r="P152" s="742">
        <v>0</v>
      </c>
      <c r="Q152" s="742">
        <v>0</v>
      </c>
      <c r="R152" s="742">
        <v>0</v>
      </c>
      <c r="S152" s="742">
        <v>0</v>
      </c>
      <c r="T152" s="742">
        <v>0</v>
      </c>
      <c r="U152" s="742">
        <v>0</v>
      </c>
      <c r="V152" s="742">
        <v>0</v>
      </c>
      <c r="W152" s="742">
        <v>0</v>
      </c>
      <c r="X152" s="742">
        <v>0</v>
      </c>
      <c r="Y152" s="742">
        <v>0</v>
      </c>
      <c r="Z152" s="742">
        <v>0</v>
      </c>
      <c r="AA152" s="742">
        <v>0</v>
      </c>
      <c r="AB152" s="742">
        <v>0</v>
      </c>
      <c r="AC152" s="742">
        <v>0</v>
      </c>
      <c r="AD152" s="742">
        <v>0</v>
      </c>
      <c r="AE152" s="742">
        <v>0</v>
      </c>
    </row>
    <row r="153" spans="1:33" s="56" customFormat="1" ht="14.25">
      <c r="A153" s="164" t="s">
        <v>78</v>
      </c>
      <c r="B153" s="164"/>
      <c r="C153" s="75"/>
      <c r="D153" s="173"/>
      <c r="E153" s="75"/>
      <c r="F153" s="75"/>
      <c r="G153" s="75"/>
      <c r="H153" s="75"/>
      <c r="I153" s="174"/>
      <c r="J153" s="175"/>
      <c r="K153" s="685">
        <v>0</v>
      </c>
      <c r="L153" s="669">
        <f t="shared" ref="L153:AE153" si="75">SUM(L150:L152)</f>
        <v>0</v>
      </c>
      <c r="M153" s="669">
        <f t="shared" si="75"/>
        <v>20000</v>
      </c>
      <c r="N153" s="669">
        <f t="shared" si="75"/>
        <v>20400</v>
      </c>
      <c r="O153" s="669">
        <f t="shared" si="75"/>
        <v>20808</v>
      </c>
      <c r="P153" s="669">
        <f t="shared" si="75"/>
        <v>21224.16</v>
      </c>
      <c r="Q153" s="669">
        <f t="shared" si="75"/>
        <v>21648.643199999999</v>
      </c>
      <c r="R153" s="669">
        <f t="shared" si="75"/>
        <v>22081.616064000002</v>
      </c>
      <c r="S153" s="669">
        <f t="shared" si="75"/>
        <v>22523.24838528</v>
      </c>
      <c r="T153" s="669">
        <f t="shared" si="75"/>
        <v>22973.7133529856</v>
      </c>
      <c r="U153" s="669">
        <f t="shared" si="75"/>
        <v>23433.187620045315</v>
      </c>
      <c r="V153" s="669">
        <f t="shared" si="75"/>
        <v>23901.851372446221</v>
      </c>
      <c r="W153" s="669">
        <f t="shared" si="75"/>
        <v>24379.888399895146</v>
      </c>
      <c r="X153" s="669">
        <f t="shared" si="75"/>
        <v>24867.48616789305</v>
      </c>
      <c r="Y153" s="669">
        <f t="shared" si="75"/>
        <v>25364.83589125091</v>
      </c>
      <c r="Z153" s="669">
        <f t="shared" si="75"/>
        <v>25872.132609075925</v>
      </c>
      <c r="AA153" s="669">
        <f t="shared" si="75"/>
        <v>26389.575261257447</v>
      </c>
      <c r="AB153" s="669">
        <f t="shared" si="75"/>
        <v>26917.366766482599</v>
      </c>
      <c r="AC153" s="669">
        <f t="shared" si="75"/>
        <v>27455.714101812249</v>
      </c>
      <c r="AD153" s="669">
        <f t="shared" si="75"/>
        <v>28004.828383848497</v>
      </c>
      <c r="AE153" s="669">
        <f t="shared" si="75"/>
        <v>28564.924951525467</v>
      </c>
    </row>
    <row r="154" spans="1:33" s="56" customFormat="1" ht="14.25">
      <c r="A154" s="164"/>
      <c r="B154" s="164"/>
      <c r="C154" s="75"/>
      <c r="D154" s="173"/>
      <c r="E154" s="75"/>
      <c r="F154" s="75"/>
      <c r="G154" s="75"/>
      <c r="H154" s="75"/>
      <c r="I154" s="174"/>
      <c r="J154" s="175"/>
      <c r="K154" s="685"/>
      <c r="L154" s="669"/>
      <c r="M154" s="669"/>
      <c r="N154" s="669"/>
      <c r="O154" s="669"/>
      <c r="P154" s="669"/>
      <c r="Q154" s="669"/>
      <c r="R154" s="669"/>
      <c r="S154" s="669"/>
      <c r="T154" s="669"/>
      <c r="U154" s="669"/>
      <c r="V154" s="669"/>
      <c r="W154" s="669"/>
      <c r="X154" s="669"/>
      <c r="Y154" s="669"/>
      <c r="Z154" s="669"/>
      <c r="AA154" s="669"/>
      <c r="AB154" s="669"/>
      <c r="AC154" s="669"/>
      <c r="AD154" s="669"/>
      <c r="AE154" s="669"/>
    </row>
    <row r="155" spans="1:33" s="56" customFormat="1" ht="14.25">
      <c r="A155" s="164" t="s">
        <v>66</v>
      </c>
      <c r="B155" s="164"/>
      <c r="C155" s="75"/>
      <c r="D155" s="173"/>
      <c r="E155" s="75"/>
      <c r="F155" s="75"/>
      <c r="G155" s="75"/>
      <c r="H155" s="75"/>
      <c r="I155" s="174"/>
      <c r="J155" s="175"/>
      <c r="K155" s="685">
        <v>0</v>
      </c>
      <c r="L155" s="669">
        <f>SUM(L141,L153)</f>
        <v>0</v>
      </c>
      <c r="M155" s="669">
        <f>SUM(M141,M147,M153)</f>
        <v>85335.846153846156</v>
      </c>
      <c r="N155" s="669">
        <f t="shared" ref="N155:AE155" si="76">SUM(N141,N147,N153)</f>
        <v>87042.563076923077</v>
      </c>
      <c r="O155" s="669">
        <f t="shared" si="76"/>
        <v>88783.41433846156</v>
      </c>
      <c r="P155" s="669">
        <f t="shared" si="76"/>
        <v>90559.082625230774</v>
      </c>
      <c r="Q155" s="669">
        <f t="shared" si="76"/>
        <v>92370.264277735376</v>
      </c>
      <c r="R155" s="669">
        <f t="shared" si="76"/>
        <v>94217.669563290081</v>
      </c>
      <c r="S155" s="669">
        <f t="shared" si="76"/>
        <v>96102.022954555898</v>
      </c>
      <c r="T155" s="669">
        <f t="shared" si="76"/>
        <v>98024.063413647003</v>
      </c>
      <c r="U155" s="669">
        <f t="shared" si="76"/>
        <v>99984.544681919942</v>
      </c>
      <c r="V155" s="669">
        <f t="shared" si="76"/>
        <v>101984.23557555837</v>
      </c>
      <c r="W155" s="669">
        <f t="shared" si="76"/>
        <v>104023.92028706953</v>
      </c>
      <c r="X155" s="669">
        <f t="shared" si="76"/>
        <v>106104.39869281092</v>
      </c>
      <c r="Y155" s="669">
        <f t="shared" si="76"/>
        <v>108226.48666666714</v>
      </c>
      <c r="Z155" s="669">
        <f t="shared" si="76"/>
        <v>110391.01640000047</v>
      </c>
      <c r="AA155" s="669">
        <f t="shared" si="76"/>
        <v>112598.8367280005</v>
      </c>
      <c r="AB155" s="669">
        <f t="shared" si="76"/>
        <v>114850.8134625605</v>
      </c>
      <c r="AC155" s="669">
        <f t="shared" si="76"/>
        <v>117147.82973181173</v>
      </c>
      <c r="AD155" s="669">
        <f t="shared" si="76"/>
        <v>119490.78632644797</v>
      </c>
      <c r="AE155" s="669">
        <f t="shared" si="76"/>
        <v>121880.60205297693</v>
      </c>
    </row>
    <row r="156" spans="1:33" s="56" customFormat="1" ht="14.25">
      <c r="A156" s="164"/>
      <c r="B156" s="164"/>
      <c r="C156" s="75"/>
      <c r="D156" s="173"/>
      <c r="E156" s="75"/>
      <c r="F156" s="75"/>
      <c r="G156" s="75"/>
      <c r="H156" s="75"/>
      <c r="I156" s="174"/>
      <c r="J156" s="175"/>
      <c r="K156" s="685"/>
      <c r="L156" s="669"/>
      <c r="M156" s="669"/>
      <c r="N156" s="669"/>
      <c r="O156" s="669"/>
      <c r="P156" s="669"/>
      <c r="Q156" s="669"/>
      <c r="R156" s="669"/>
      <c r="S156" s="669"/>
      <c r="T156" s="669"/>
      <c r="U156" s="669"/>
      <c r="V156" s="669"/>
      <c r="W156" s="669"/>
      <c r="X156" s="669"/>
      <c r="Y156" s="669"/>
      <c r="Z156" s="669"/>
      <c r="AA156" s="669"/>
      <c r="AB156" s="669"/>
      <c r="AC156" s="669"/>
      <c r="AD156" s="669"/>
      <c r="AE156" s="669"/>
    </row>
    <row r="157" spans="1:33">
      <c r="A157" s="47" t="s">
        <v>7</v>
      </c>
      <c r="B157" s="47" t="s">
        <v>7</v>
      </c>
      <c r="C157" s="78" t="s">
        <v>7</v>
      </c>
      <c r="D157" s="100"/>
      <c r="E157" s="78" t="s">
        <v>7</v>
      </c>
      <c r="F157" s="78"/>
      <c r="G157" s="78" t="s">
        <v>7</v>
      </c>
      <c r="H157" s="78"/>
      <c r="I157" s="52" t="s">
        <v>7</v>
      </c>
      <c r="J157" s="114"/>
      <c r="K157" s="673"/>
      <c r="L157" s="672"/>
      <c r="M157" s="672"/>
      <c r="N157" s="672"/>
      <c r="O157" s="672"/>
      <c r="P157" s="672"/>
      <c r="Q157" s="672"/>
      <c r="R157" s="672"/>
      <c r="S157" s="672"/>
      <c r="T157" s="672"/>
      <c r="U157" s="672"/>
      <c r="V157" s="672"/>
      <c r="W157" s="672"/>
      <c r="X157" s="672"/>
      <c r="Y157" s="672"/>
      <c r="Z157" s="672"/>
      <c r="AA157" s="672"/>
      <c r="AB157" s="672"/>
      <c r="AC157" s="672"/>
      <c r="AD157" s="672"/>
      <c r="AE157" s="672"/>
    </row>
    <row r="158" spans="1:33">
      <c r="A158" s="47"/>
      <c r="B158" s="47"/>
      <c r="C158" s="78"/>
      <c r="D158" s="100"/>
      <c r="E158" s="78"/>
      <c r="F158" s="78"/>
      <c r="G158" s="78"/>
      <c r="H158" s="78"/>
      <c r="I158" s="52"/>
      <c r="J158" s="114"/>
      <c r="K158" s="664"/>
      <c r="L158" s="666"/>
      <c r="M158" s="666"/>
      <c r="N158" s="666"/>
      <c r="O158" s="666"/>
      <c r="P158" s="666"/>
      <c r="Q158" s="666"/>
      <c r="R158" s="666"/>
      <c r="S158" s="666"/>
      <c r="T158" s="666"/>
      <c r="U158" s="666"/>
      <c r="V158" s="666"/>
      <c r="W158" s="666"/>
      <c r="X158" s="666"/>
      <c r="Y158" s="666"/>
      <c r="Z158" s="666"/>
      <c r="AA158" s="666"/>
      <c r="AB158" s="666"/>
      <c r="AC158" s="666"/>
      <c r="AD158" s="666"/>
      <c r="AE158" s="666"/>
    </row>
    <row r="159" spans="1:33" s="56" customFormat="1" ht="14.25">
      <c r="A159" s="203" t="s">
        <v>79</v>
      </c>
      <c r="B159" s="203"/>
      <c r="C159" s="204"/>
      <c r="D159" s="205"/>
      <c r="E159" s="204"/>
      <c r="F159" s="204"/>
      <c r="G159" s="204"/>
      <c r="H159" s="204"/>
      <c r="I159" s="206"/>
      <c r="J159" s="207"/>
      <c r="K159" s="675">
        <v>0</v>
      </c>
      <c r="L159" s="676">
        <f t="shared" ref="L159:AE159" si="77">SUM(L132,L155)</f>
        <v>0</v>
      </c>
      <c r="M159" s="676">
        <f t="shared" si="77"/>
        <v>139905.84615384616</v>
      </c>
      <c r="N159" s="676">
        <f t="shared" si="77"/>
        <v>143817.19107692307</v>
      </c>
      <c r="O159" s="676">
        <f t="shared" si="77"/>
        <v>146693.53489846154</v>
      </c>
      <c r="P159" s="676">
        <f t="shared" si="77"/>
        <v>149627.40559643076</v>
      </c>
      <c r="Q159" s="676">
        <f t="shared" si="77"/>
        <v>152619.95370835939</v>
      </c>
      <c r="R159" s="676">
        <f t="shared" si="77"/>
        <v>155672.35278252655</v>
      </c>
      <c r="S159" s="676">
        <f t="shared" si="77"/>
        <v>158785.7998381771</v>
      </c>
      <c r="T159" s="676">
        <f t="shared" si="77"/>
        <v>161961.51583494066</v>
      </c>
      <c r="U159" s="676">
        <f t="shared" si="77"/>
        <v>165200.74615163944</v>
      </c>
      <c r="V159" s="676">
        <f t="shared" si="77"/>
        <v>168504.76107467228</v>
      </c>
      <c r="W159" s="676">
        <f t="shared" si="77"/>
        <v>171874.85629616573</v>
      </c>
      <c r="X159" s="676">
        <f t="shared" si="77"/>
        <v>175312.35342208904</v>
      </c>
      <c r="Y159" s="676">
        <f t="shared" si="77"/>
        <v>178818.60049053084</v>
      </c>
      <c r="Z159" s="676">
        <f t="shared" si="77"/>
        <v>182394.97250034142</v>
      </c>
      <c r="AA159" s="676">
        <f t="shared" si="77"/>
        <v>186042.87195034826</v>
      </c>
      <c r="AB159" s="676">
        <f t="shared" si="77"/>
        <v>189763.72938935523</v>
      </c>
      <c r="AC159" s="676">
        <f t="shared" si="77"/>
        <v>193559.00397714233</v>
      </c>
      <c r="AD159" s="676">
        <f t="shared" si="77"/>
        <v>197430.18405668519</v>
      </c>
      <c r="AE159" s="676">
        <f t="shared" si="77"/>
        <v>201378.7877378189</v>
      </c>
      <c r="AG159" s="199"/>
    </row>
    <row r="160" spans="1:33">
      <c r="K160" s="664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</row>
    <row r="161" spans="1:33">
      <c r="A161" s="47" t="s">
        <v>7</v>
      </c>
      <c r="B161" s="47" t="s">
        <v>7</v>
      </c>
      <c r="C161" s="78" t="s">
        <v>7</v>
      </c>
      <c r="D161" s="100"/>
      <c r="E161" s="78" t="s">
        <v>7</v>
      </c>
      <c r="F161" s="78"/>
      <c r="G161" s="78" t="s">
        <v>7</v>
      </c>
      <c r="H161" s="78"/>
      <c r="I161" s="52" t="s">
        <v>7</v>
      </c>
      <c r="J161" s="114"/>
      <c r="K161" s="673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</row>
    <row r="162" spans="1:33">
      <c r="K162" s="664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G162" s="199"/>
    </row>
    <row r="163" spans="1:33" s="56" customFormat="1" ht="14.25">
      <c r="A163" s="208" t="s">
        <v>115</v>
      </c>
      <c r="B163" s="208"/>
      <c r="C163" s="208"/>
      <c r="D163" s="202"/>
      <c r="E163" s="208"/>
      <c r="F163" s="208"/>
      <c r="G163" s="208"/>
      <c r="H163" s="208"/>
      <c r="I163" s="208"/>
      <c r="J163" s="208"/>
      <c r="K163" s="678">
        <f>SUM(K153,K113)</f>
        <v>0</v>
      </c>
      <c r="L163" s="678">
        <f t="shared" ref="L163:AE163" si="78">SUM(L113,L159)</f>
        <v>367858.33333333331</v>
      </c>
      <c r="M163" s="678">
        <f t="shared" si="78"/>
        <v>905069.84615384613</v>
      </c>
      <c r="N163" s="678">
        <f t="shared" si="78"/>
        <v>924294.67107692314</v>
      </c>
      <c r="O163" s="678">
        <f t="shared" si="78"/>
        <v>942780.56449846143</v>
      </c>
      <c r="P163" s="678">
        <f t="shared" si="78"/>
        <v>961636.17578843061</v>
      </c>
      <c r="Q163" s="678">
        <f t="shared" si="78"/>
        <v>1009212.7780993994</v>
      </c>
      <c r="R163" s="678">
        <f t="shared" si="78"/>
        <v>1024860.1148710193</v>
      </c>
      <c r="S163" s="678">
        <f t="shared" si="78"/>
        <v>1045357.3171684397</v>
      </c>
      <c r="T163" s="678">
        <f t="shared" si="78"/>
        <v>1066264.4635118085</v>
      </c>
      <c r="U163" s="678">
        <f t="shared" si="78"/>
        <v>1087589.7527820447</v>
      </c>
      <c r="V163" s="678">
        <f t="shared" si="78"/>
        <v>1113732.0506276884</v>
      </c>
      <c r="W163" s="678">
        <f t="shared" si="78"/>
        <v>1131528.3787944396</v>
      </c>
      <c r="X163" s="678">
        <f t="shared" si="78"/>
        <v>1154158.9463703283</v>
      </c>
      <c r="Y163" s="678">
        <f t="shared" si="78"/>
        <v>1177242.125297735</v>
      </c>
      <c r="Z163" s="678">
        <f t="shared" si="78"/>
        <v>1200786.9678036897</v>
      </c>
      <c r="AA163" s="678">
        <f t="shared" si="78"/>
        <v>1229129.7729906016</v>
      </c>
      <c r="AB163" s="678">
        <f t="shared" si="78"/>
        <v>1249298.7613029587</v>
      </c>
      <c r="AC163" s="678">
        <f t="shared" si="78"/>
        <v>1274284.7365290178</v>
      </c>
      <c r="AD163" s="678">
        <f t="shared" si="78"/>
        <v>1299770.4312595986</v>
      </c>
      <c r="AE163" s="678">
        <f t="shared" si="78"/>
        <v>1325765.8398847904</v>
      </c>
      <c r="AG163" s="199"/>
    </row>
    <row r="164" spans="1:33">
      <c r="K164" s="664"/>
      <c r="L164" s="666"/>
      <c r="M164" s="666"/>
      <c r="N164" s="666"/>
      <c r="O164" s="666"/>
      <c r="P164" s="666"/>
      <c r="Q164" s="666"/>
      <c r="R164" s="666"/>
      <c r="S164" s="666"/>
      <c r="T164" s="666"/>
      <c r="U164" s="666"/>
      <c r="V164" s="666"/>
      <c r="W164" s="666"/>
      <c r="X164" s="666"/>
      <c r="Y164" s="666"/>
      <c r="Z164" s="666"/>
      <c r="AA164" s="666"/>
      <c r="AB164" s="666"/>
      <c r="AC164" s="666"/>
      <c r="AD164" s="666"/>
      <c r="AE164" s="666"/>
      <c r="AG164" s="199"/>
    </row>
    <row r="165" spans="1:33">
      <c r="A165" s="251"/>
      <c r="B165" s="251"/>
      <c r="C165" s="251"/>
      <c r="D165" s="259"/>
      <c r="E165" s="251"/>
      <c r="F165" s="251"/>
      <c r="G165" s="251"/>
      <c r="H165" s="251"/>
      <c r="I165" s="251"/>
      <c r="J165" s="251"/>
      <c r="K165" s="679"/>
      <c r="L165" s="680"/>
      <c r="M165" s="680"/>
      <c r="N165" s="680"/>
      <c r="O165" s="680"/>
      <c r="P165" s="680"/>
      <c r="Q165" s="680"/>
      <c r="R165" s="680"/>
      <c r="S165" s="680"/>
      <c r="T165" s="680"/>
      <c r="U165" s="680"/>
      <c r="V165" s="680"/>
      <c r="W165" s="680"/>
      <c r="X165" s="680"/>
      <c r="Y165" s="680"/>
      <c r="Z165" s="680"/>
      <c r="AA165" s="680"/>
      <c r="AB165" s="680"/>
      <c r="AC165" s="680"/>
      <c r="AD165" s="680"/>
      <c r="AE165" s="680"/>
      <c r="AG165" s="199"/>
    </row>
    <row r="166" spans="1:33">
      <c r="K166" s="664"/>
      <c r="L166" s="666"/>
      <c r="M166" s="666"/>
      <c r="N166" s="666"/>
      <c r="O166" s="666"/>
      <c r="P166" s="666"/>
      <c r="Q166" s="666"/>
      <c r="R166" s="666"/>
      <c r="S166" s="666"/>
      <c r="T166" s="666"/>
      <c r="U166" s="666"/>
      <c r="V166" s="666"/>
      <c r="W166" s="666"/>
      <c r="X166" s="666"/>
      <c r="Y166" s="666"/>
      <c r="Z166" s="666"/>
      <c r="AA166" s="666"/>
      <c r="AB166" s="666"/>
      <c r="AC166" s="666"/>
      <c r="AD166" s="666"/>
      <c r="AE166" s="666"/>
      <c r="AG166" s="199"/>
    </row>
    <row r="167" spans="1:33">
      <c r="A167" s="249" t="s">
        <v>84</v>
      </c>
      <c r="B167" s="281"/>
      <c r="C167" s="281"/>
      <c r="D167" s="177"/>
      <c r="E167" s="281"/>
      <c r="F167" s="281"/>
      <c r="G167" s="281"/>
      <c r="H167" s="281"/>
      <c r="I167" s="281"/>
      <c r="J167" s="281"/>
      <c r="K167" s="681"/>
      <c r="L167" s="682"/>
      <c r="M167" s="682"/>
      <c r="N167" s="682"/>
      <c r="O167" s="682"/>
      <c r="P167" s="682"/>
      <c r="Q167" s="682"/>
      <c r="R167" s="682"/>
      <c r="S167" s="682"/>
      <c r="T167" s="682"/>
      <c r="U167" s="682"/>
      <c r="V167" s="682"/>
      <c r="W167" s="682"/>
      <c r="X167" s="682"/>
      <c r="Y167" s="682"/>
      <c r="Z167" s="682"/>
      <c r="AA167" s="682"/>
      <c r="AB167" s="682"/>
      <c r="AC167" s="682"/>
      <c r="AD167" s="682"/>
      <c r="AE167" s="682"/>
      <c r="AG167" s="199"/>
    </row>
    <row r="168" spans="1:33" s="252" customFormat="1">
      <c r="A168" s="257"/>
      <c r="D168" s="186"/>
      <c r="K168" s="664"/>
      <c r="L168" s="671"/>
      <c r="M168" s="671"/>
      <c r="N168" s="671"/>
      <c r="O168" s="671"/>
      <c r="P168" s="671"/>
      <c r="Q168" s="671"/>
      <c r="R168" s="671"/>
      <c r="S168" s="671"/>
      <c r="T168" s="671"/>
      <c r="U168" s="671"/>
      <c r="V168" s="671"/>
      <c r="W168" s="671"/>
      <c r="X168" s="671"/>
      <c r="Y168" s="671"/>
      <c r="Z168" s="671"/>
      <c r="AA168" s="671"/>
      <c r="AB168" s="671"/>
      <c r="AC168" s="671"/>
      <c r="AD168" s="671"/>
      <c r="AE168" s="671"/>
      <c r="AG168" s="363"/>
    </row>
    <row r="169" spans="1:33">
      <c r="A169" s="663" t="str">
        <f>'OPEX - Concept C2 - Carnival'!A169</f>
        <v>Investment (cash)</v>
      </c>
      <c r="B169" s="663"/>
      <c r="C169" s="663"/>
      <c r="D169" s="663"/>
      <c r="E169" s="663"/>
      <c r="F169" s="663"/>
      <c r="G169" s="663"/>
      <c r="H169" s="663"/>
      <c r="I169" s="663"/>
      <c r="J169" s="663"/>
      <c r="K169" s="883"/>
      <c r="L169" s="663"/>
      <c r="M169" s="663"/>
      <c r="N169" s="663"/>
      <c r="O169" s="663"/>
      <c r="P169" s="663"/>
      <c r="Q169" s="663"/>
      <c r="R169" s="663"/>
      <c r="S169" s="663"/>
      <c r="T169" s="663"/>
      <c r="U169" s="663"/>
      <c r="V169" s="663"/>
      <c r="W169" s="663"/>
      <c r="X169" s="663"/>
      <c r="Y169" s="663"/>
      <c r="Z169" s="663"/>
      <c r="AA169" s="663"/>
      <c r="AB169" s="663"/>
      <c r="AC169" s="663"/>
      <c r="AD169" s="663"/>
      <c r="AE169" s="663"/>
      <c r="AG169" s="199"/>
    </row>
    <row r="170" spans="1:33">
      <c r="A170" s="663" t="str">
        <f>'OPEX - Concept C2 - Carnival'!A170</f>
        <v xml:space="preserve">     Site Maintenance</v>
      </c>
      <c r="B170" s="663"/>
      <c r="C170" s="663"/>
      <c r="D170" s="663"/>
      <c r="E170" s="663"/>
      <c r="F170" s="663"/>
      <c r="G170" s="663"/>
      <c r="H170" s="663"/>
      <c r="I170" s="663"/>
      <c r="J170" s="663"/>
      <c r="K170" s="883">
        <f>'OPEX - Concept C2 - Carnival'!K170</f>
        <v>0</v>
      </c>
      <c r="L170" s="663">
        <f>'OPEX - Concept C2 - Carnival'!L170</f>
        <v>0</v>
      </c>
      <c r="M170" s="663">
        <f>'OPEX - Concept C2 - Carnival'!M170</f>
        <v>96205</v>
      </c>
      <c r="N170" s="663">
        <f>'OPEX - Concept C2 - Carnival'!N170</f>
        <v>98129.1</v>
      </c>
      <c r="O170" s="663">
        <f>'OPEX - Concept C2 - Carnival'!O170</f>
        <v>100091.682</v>
      </c>
      <c r="P170" s="663">
        <f>'OPEX - Concept C2 - Carnival'!P170</f>
        <v>102093.51564</v>
      </c>
      <c r="Q170" s="663">
        <f>'OPEX - Concept C2 - Carnival'!Q170</f>
        <v>104135.3859528</v>
      </c>
      <c r="R170" s="663">
        <f>'OPEX - Concept C2 - Carnival'!R170</f>
        <v>106218.093671856</v>
      </c>
      <c r="S170" s="663">
        <f>'OPEX - Concept C2 - Carnival'!S170</f>
        <v>108342.45554529312</v>
      </c>
      <c r="T170" s="663">
        <f>'OPEX - Concept C2 - Carnival'!T170</f>
        <v>110509.30465619899</v>
      </c>
      <c r="U170" s="663">
        <f>'OPEX - Concept C2 - Carnival'!U170</f>
        <v>112719.49074932297</v>
      </c>
      <c r="V170" s="663">
        <f>'OPEX - Concept C2 - Carnival'!V170</f>
        <v>114973.88056430944</v>
      </c>
      <c r="W170" s="663">
        <f>'OPEX - Concept C2 - Carnival'!W170</f>
        <v>117273.35817559563</v>
      </c>
      <c r="X170" s="663">
        <f>'OPEX - Concept C2 - Carnival'!X170</f>
        <v>119618.82533910754</v>
      </c>
      <c r="Y170" s="663">
        <f>'OPEX - Concept C2 - Carnival'!Y170</f>
        <v>122011.20184588969</v>
      </c>
      <c r="Z170" s="663">
        <f>'OPEX - Concept C2 - Carnival'!Z170</f>
        <v>124451.42588280747</v>
      </c>
      <c r="AA170" s="663">
        <f>'OPEX - Concept C2 - Carnival'!AA170</f>
        <v>126940.45440046364</v>
      </c>
      <c r="AB170" s="663">
        <f>'OPEX - Concept C2 - Carnival'!AB170</f>
        <v>129479.26348847292</v>
      </c>
      <c r="AC170" s="663">
        <f>'OPEX - Concept C2 - Carnival'!AC170</f>
        <v>132068.84875824238</v>
      </c>
      <c r="AD170" s="663">
        <f>'OPEX - Concept C2 - Carnival'!AD170</f>
        <v>134710.22573340722</v>
      </c>
      <c r="AE170" s="663">
        <f>'OPEX - Concept C2 - Carnival'!AE170</f>
        <v>137404.43024807537</v>
      </c>
      <c r="AG170" s="199"/>
    </row>
    <row r="171" spans="1:33" s="162" customFormat="1">
      <c r="A171" s="663"/>
      <c r="B171" s="663"/>
      <c r="C171" s="663"/>
      <c r="D171" s="663"/>
      <c r="E171" s="663"/>
      <c r="F171" s="663"/>
      <c r="G171" s="663"/>
      <c r="H171" s="663"/>
      <c r="I171" s="663"/>
      <c r="J171" s="663"/>
      <c r="K171" s="883"/>
      <c r="L171" s="663"/>
      <c r="M171" s="663"/>
      <c r="N171" s="663"/>
      <c r="O171" s="663"/>
      <c r="P171" s="663"/>
      <c r="Q171" s="663"/>
      <c r="R171" s="663"/>
      <c r="S171" s="663"/>
      <c r="T171" s="663"/>
      <c r="U171" s="663"/>
      <c r="V171" s="663"/>
      <c r="W171" s="663"/>
      <c r="X171" s="663"/>
      <c r="Y171" s="663"/>
      <c r="Z171" s="663"/>
      <c r="AA171" s="663"/>
      <c r="AB171" s="663"/>
      <c r="AC171" s="663"/>
      <c r="AD171" s="663"/>
      <c r="AE171" s="663"/>
      <c r="AG171" s="786"/>
    </row>
    <row r="172" spans="1:33" s="162" customFormat="1">
      <c r="A172" s="663" t="str">
        <f>'OPEX - Concept C2 - Carnival'!A172</f>
        <v>Debt Service (Site Demolition, Design, Development/Preparation &amp; Shuttles)</v>
      </c>
      <c r="B172" s="663"/>
      <c r="C172" s="663"/>
      <c r="D172" s="663"/>
      <c r="E172" s="663"/>
      <c r="F172" s="663"/>
      <c r="G172" s="663"/>
      <c r="H172" s="663"/>
      <c r="I172" s="663"/>
      <c r="J172" s="663"/>
      <c r="K172" s="883">
        <f>'OPEX - Concept C2 - Carnival'!K172</f>
        <v>0</v>
      </c>
      <c r="L172" s="663">
        <f>'OPEX - Concept C2 - Carnival'!L172</f>
        <v>676285.92</v>
      </c>
      <c r="M172" s="663">
        <f>'OPEX - Concept C2 - Carnival'!M172</f>
        <v>676285.92</v>
      </c>
      <c r="N172" s="663">
        <f>'OPEX - Concept C2 - Carnival'!N172</f>
        <v>676285.92</v>
      </c>
      <c r="O172" s="663">
        <f>'OPEX - Concept C2 - Carnival'!O172</f>
        <v>676285.92</v>
      </c>
      <c r="P172" s="663">
        <f>'OPEX - Concept C2 - Carnival'!P172</f>
        <v>676285.92</v>
      </c>
      <c r="Q172" s="663">
        <f>'OPEX - Concept C2 - Carnival'!Q172</f>
        <v>676285.92</v>
      </c>
      <c r="R172" s="663">
        <f>'OPEX - Concept C2 - Carnival'!R172</f>
        <v>676285.92</v>
      </c>
      <c r="S172" s="663">
        <f>'OPEX - Concept C2 - Carnival'!S172</f>
        <v>676285.92</v>
      </c>
      <c r="T172" s="663">
        <f>'OPEX - Concept C2 - Carnival'!T172</f>
        <v>676285.92</v>
      </c>
      <c r="U172" s="663">
        <f>'OPEX - Concept C2 - Carnival'!U172</f>
        <v>676285.92</v>
      </c>
      <c r="V172" s="663">
        <f>'OPEX - Concept C2 - Carnival'!V172</f>
        <v>676285.92</v>
      </c>
      <c r="W172" s="663">
        <f>'OPEX - Concept C2 - Carnival'!W172</f>
        <v>676285.92</v>
      </c>
      <c r="X172" s="663">
        <f>'OPEX - Concept C2 - Carnival'!X172</f>
        <v>676285.92</v>
      </c>
      <c r="Y172" s="663">
        <f>'OPEX - Concept C2 - Carnival'!Y172</f>
        <v>676285.92</v>
      </c>
      <c r="Z172" s="663">
        <f>'OPEX - Concept C2 - Carnival'!Z172</f>
        <v>676285.92</v>
      </c>
      <c r="AA172" s="663">
        <f>'OPEX - Concept C2 - Carnival'!AA172</f>
        <v>676285.92</v>
      </c>
      <c r="AB172" s="663">
        <f>'OPEX - Concept C2 - Carnival'!AB172</f>
        <v>676285.92</v>
      </c>
      <c r="AC172" s="663">
        <f>'OPEX - Concept C2 - Carnival'!AC172</f>
        <v>676285.92</v>
      </c>
      <c r="AD172" s="663">
        <f>'OPEX - Concept C2 - Carnival'!AD172</f>
        <v>676285.92</v>
      </c>
      <c r="AE172" s="663">
        <f>'OPEX - Concept C2 - Carnival'!AE172</f>
        <v>676285.92</v>
      </c>
    </row>
    <row r="173" spans="1:33" s="702" customFormat="1">
      <c r="A173" s="341" t="s">
        <v>315</v>
      </c>
      <c r="B173" s="701"/>
      <c r="C173" s="703"/>
      <c r="D173" s="704"/>
      <c r="E173" s="705"/>
      <c r="F173" s="705"/>
      <c r="G173" s="705"/>
      <c r="H173" s="705"/>
      <c r="I173" s="706"/>
      <c r="J173" s="707"/>
      <c r="K173" s="699">
        <v>0</v>
      </c>
      <c r="L173" s="700">
        <v>0</v>
      </c>
      <c r="M173" s="700">
        <v>0</v>
      </c>
      <c r="N173" s="700">
        <v>0</v>
      </c>
      <c r="O173" s="700">
        <v>0</v>
      </c>
      <c r="P173" s="700">
        <v>0</v>
      </c>
      <c r="Q173" s="700">
        <v>0</v>
      </c>
      <c r="R173" s="700">
        <v>0</v>
      </c>
      <c r="S173" s="700">
        <v>0</v>
      </c>
      <c r="T173" s="700">
        <v>0</v>
      </c>
      <c r="U173" s="700">
        <v>0</v>
      </c>
      <c r="V173" s="700">
        <v>0</v>
      </c>
      <c r="W173" s="700">
        <v>0</v>
      </c>
      <c r="X173" s="700">
        <v>0</v>
      </c>
      <c r="Y173" s="700">
        <v>0</v>
      </c>
      <c r="Z173" s="700">
        <v>0</v>
      </c>
      <c r="AA173" s="700">
        <v>0</v>
      </c>
      <c r="AB173" s="700">
        <v>0</v>
      </c>
      <c r="AC173" s="700">
        <v>0</v>
      </c>
      <c r="AD173" s="700">
        <v>0</v>
      </c>
      <c r="AE173" s="700">
        <v>0</v>
      </c>
      <c r="AG173" s="708"/>
    </row>
    <row r="174" spans="1:33">
      <c r="A174" s="180" t="s">
        <v>316</v>
      </c>
      <c r="B174" s="180"/>
      <c r="C174" s="180"/>
      <c r="D174" s="116"/>
      <c r="E174" s="180"/>
      <c r="F174" s="180"/>
      <c r="G174" s="180"/>
      <c r="H174" s="180"/>
      <c r="I174" s="180"/>
      <c r="J174" s="180"/>
      <c r="K174" s="505">
        <v>0</v>
      </c>
      <c r="L174" s="506">
        <v>246000</v>
      </c>
      <c r="M174" s="506">
        <v>246000</v>
      </c>
      <c r="N174" s="506">
        <v>246000</v>
      </c>
      <c r="O174" s="506">
        <v>246000</v>
      </c>
      <c r="P174" s="506">
        <v>246000</v>
      </c>
      <c r="Q174" s="506">
        <v>246000</v>
      </c>
      <c r="R174" s="506">
        <v>246000</v>
      </c>
      <c r="S174" s="506">
        <v>246000</v>
      </c>
      <c r="T174" s="506">
        <v>246000</v>
      </c>
      <c r="U174" s="506">
        <v>246000</v>
      </c>
      <c r="V174" s="506">
        <v>246000</v>
      </c>
      <c r="W174" s="506">
        <v>246000</v>
      </c>
      <c r="X174" s="506">
        <v>246000</v>
      </c>
      <c r="Y174" s="506">
        <v>246000</v>
      </c>
      <c r="Z174" s="506">
        <v>246000</v>
      </c>
      <c r="AA174" s="506">
        <v>246000</v>
      </c>
      <c r="AB174" s="506">
        <v>246000</v>
      </c>
      <c r="AC174" s="506">
        <v>246000</v>
      </c>
      <c r="AD174" s="506">
        <v>246000</v>
      </c>
      <c r="AE174" s="506">
        <v>246000</v>
      </c>
      <c r="AG174" s="199"/>
    </row>
    <row r="175" spans="1:33" s="56" customFormat="1" ht="14.25">
      <c r="A175" s="56" t="s">
        <v>134</v>
      </c>
      <c r="D175" s="173"/>
      <c r="K175" s="524">
        <f t="shared" ref="K175:AE175" si="79">SUM(K169:K174)</f>
        <v>0</v>
      </c>
      <c r="L175" s="525">
        <f t="shared" si="79"/>
        <v>922285.92</v>
      </c>
      <c r="M175" s="525">
        <f t="shared" si="79"/>
        <v>1018490.92</v>
      </c>
      <c r="N175" s="525">
        <f t="shared" si="79"/>
        <v>1020415.02</v>
      </c>
      <c r="O175" s="525">
        <f t="shared" si="79"/>
        <v>1022377.6020000001</v>
      </c>
      <c r="P175" s="525">
        <f t="shared" si="79"/>
        <v>1024379.43564</v>
      </c>
      <c r="Q175" s="525">
        <f t="shared" si="79"/>
        <v>1026421.3059528001</v>
      </c>
      <c r="R175" s="525">
        <f t="shared" si="79"/>
        <v>1028504.013671856</v>
      </c>
      <c r="S175" s="525">
        <f t="shared" si="79"/>
        <v>1030628.3755452932</v>
      </c>
      <c r="T175" s="525">
        <f t="shared" si="79"/>
        <v>1032795.224656199</v>
      </c>
      <c r="U175" s="525">
        <f t="shared" si="79"/>
        <v>1035005.410749323</v>
      </c>
      <c r="V175" s="525">
        <f t="shared" si="79"/>
        <v>1037259.8005643095</v>
      </c>
      <c r="W175" s="525">
        <f t="shared" si="79"/>
        <v>1039559.2781755957</v>
      </c>
      <c r="X175" s="525">
        <f t="shared" si="79"/>
        <v>1041904.7453391076</v>
      </c>
      <c r="Y175" s="525">
        <f t="shared" si="79"/>
        <v>1044297.1218458897</v>
      </c>
      <c r="Z175" s="525">
        <f t="shared" si="79"/>
        <v>1046737.3458828075</v>
      </c>
      <c r="AA175" s="525">
        <f t="shared" si="79"/>
        <v>1049226.3744004637</v>
      </c>
      <c r="AB175" s="525">
        <f t="shared" si="79"/>
        <v>1051765.1834884728</v>
      </c>
      <c r="AC175" s="525">
        <f t="shared" si="79"/>
        <v>1054354.7687582425</v>
      </c>
      <c r="AD175" s="525">
        <f t="shared" si="79"/>
        <v>1056996.1457334072</v>
      </c>
      <c r="AE175" s="525">
        <f t="shared" si="79"/>
        <v>1059690.3502480756</v>
      </c>
      <c r="AG175" s="199"/>
    </row>
    <row r="176" spans="1:33">
      <c r="K176" s="683"/>
      <c r="L176" s="666"/>
      <c r="M176" s="666"/>
      <c r="N176" s="666"/>
      <c r="O176" s="666"/>
      <c r="P176" s="666"/>
      <c r="Q176" s="666"/>
      <c r="R176" s="666"/>
      <c r="S176" s="666"/>
      <c r="T176" s="666"/>
      <c r="U176" s="666"/>
      <c r="V176" s="666"/>
      <c r="W176" s="666"/>
      <c r="X176" s="666"/>
      <c r="Y176" s="666"/>
      <c r="Z176" s="666"/>
      <c r="AA176" s="666"/>
      <c r="AB176" s="666"/>
      <c r="AC176" s="666"/>
      <c r="AD176" s="666"/>
      <c r="AE176" s="666"/>
      <c r="AG176" s="199"/>
    </row>
    <row r="177" spans="1:33" s="56" customFormat="1" ht="14.25">
      <c r="A177" s="208" t="s">
        <v>86</v>
      </c>
      <c r="B177" s="718">
        <f>SUM(L177:AE177)</f>
        <v>20643094.342651844</v>
      </c>
      <c r="C177" s="208"/>
      <c r="D177" s="202"/>
      <c r="E177" s="208"/>
      <c r="F177" s="208"/>
      <c r="G177" s="208"/>
      <c r="H177" s="208"/>
      <c r="I177" s="208"/>
      <c r="J177" s="208"/>
      <c r="K177" s="678">
        <f>SUM(K170:K172)</f>
        <v>0</v>
      </c>
      <c r="L177" s="678">
        <f>L175</f>
        <v>922285.92</v>
      </c>
      <c r="M177" s="678">
        <f t="shared" ref="M177:AE177" si="80">M175</f>
        <v>1018490.92</v>
      </c>
      <c r="N177" s="678">
        <f t="shared" si="80"/>
        <v>1020415.02</v>
      </c>
      <c r="O177" s="678">
        <f t="shared" si="80"/>
        <v>1022377.6020000001</v>
      </c>
      <c r="P177" s="678">
        <f t="shared" si="80"/>
        <v>1024379.43564</v>
      </c>
      <c r="Q177" s="678">
        <f t="shared" si="80"/>
        <v>1026421.3059528001</v>
      </c>
      <c r="R177" s="678">
        <f t="shared" si="80"/>
        <v>1028504.013671856</v>
      </c>
      <c r="S177" s="678">
        <f t="shared" si="80"/>
        <v>1030628.3755452932</v>
      </c>
      <c r="T177" s="678">
        <f t="shared" si="80"/>
        <v>1032795.224656199</v>
      </c>
      <c r="U177" s="678">
        <f t="shared" si="80"/>
        <v>1035005.410749323</v>
      </c>
      <c r="V177" s="678">
        <f t="shared" si="80"/>
        <v>1037259.8005643095</v>
      </c>
      <c r="W177" s="678">
        <f t="shared" si="80"/>
        <v>1039559.2781755957</v>
      </c>
      <c r="X177" s="678">
        <f t="shared" si="80"/>
        <v>1041904.7453391076</v>
      </c>
      <c r="Y177" s="678">
        <f t="shared" si="80"/>
        <v>1044297.1218458897</v>
      </c>
      <c r="Z177" s="678">
        <f t="shared" si="80"/>
        <v>1046737.3458828075</v>
      </c>
      <c r="AA177" s="678">
        <f t="shared" si="80"/>
        <v>1049226.3744004637</v>
      </c>
      <c r="AB177" s="678">
        <f t="shared" si="80"/>
        <v>1051765.1834884728</v>
      </c>
      <c r="AC177" s="678">
        <f t="shared" si="80"/>
        <v>1054354.7687582425</v>
      </c>
      <c r="AD177" s="678">
        <f t="shared" si="80"/>
        <v>1056996.1457334072</v>
      </c>
      <c r="AE177" s="678">
        <f t="shared" si="80"/>
        <v>1059690.3502480756</v>
      </c>
      <c r="AG177" s="199"/>
    </row>
    <row r="178" spans="1:33">
      <c r="K178" s="662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1"/>
      <c r="Y178" s="201"/>
      <c r="Z178" s="201"/>
      <c r="AA178" s="201"/>
      <c r="AB178" s="201"/>
      <c r="AC178" s="201"/>
      <c r="AD178" s="201"/>
      <c r="AE178" s="201"/>
    </row>
    <row r="179" spans="1:33">
      <c r="A179" s="251"/>
      <c r="B179" s="251"/>
      <c r="C179" s="251"/>
      <c r="D179" s="259"/>
      <c r="E179" s="251"/>
      <c r="F179" s="251"/>
      <c r="G179" s="251"/>
      <c r="H179" s="251"/>
      <c r="I179" s="251"/>
      <c r="J179" s="251"/>
      <c r="K179" s="324"/>
      <c r="L179" s="325"/>
      <c r="M179" s="325"/>
      <c r="N179" s="325"/>
      <c r="O179" s="325"/>
      <c r="P179" s="325"/>
      <c r="Q179" s="325"/>
      <c r="R179" s="325"/>
      <c r="S179" s="325"/>
      <c r="T179" s="325"/>
      <c r="U179" s="325"/>
      <c r="V179" s="325"/>
      <c r="W179" s="325"/>
      <c r="X179" s="325"/>
      <c r="Y179" s="325"/>
      <c r="Z179" s="325"/>
      <c r="AA179" s="325"/>
      <c r="AB179" s="325"/>
      <c r="AC179" s="325"/>
      <c r="AD179" s="325"/>
      <c r="AE179" s="325"/>
    </row>
    <row r="180" spans="1:33">
      <c r="K180" s="322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</row>
    <row r="181" spans="1:33">
      <c r="A181"/>
      <c r="K181" s="322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</row>
    <row r="182" spans="1:33">
      <c r="A182"/>
      <c r="K182" s="322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  <c r="AA182" s="201"/>
      <c r="AB182" s="201"/>
      <c r="AC182" s="201"/>
      <c r="AD182" s="201"/>
      <c r="AE182" s="201"/>
    </row>
    <row r="183" spans="1:33">
      <c r="K183" s="322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</row>
    <row r="184" spans="1:33">
      <c r="K184" s="322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  <c r="AA184" s="201"/>
      <c r="AB184" s="201"/>
      <c r="AC184" s="201"/>
      <c r="AD184" s="201"/>
      <c r="AE184" s="201"/>
    </row>
    <row r="185" spans="1:33">
      <c r="K185" s="322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</row>
    <row r="186" spans="1:33">
      <c r="K186" s="322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</row>
    <row r="187" spans="1:33">
      <c r="K187" s="322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</row>
    <row r="188" spans="1:33">
      <c r="K188" s="322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</row>
    <row r="189" spans="1:33">
      <c r="K189" s="322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</row>
    <row r="190" spans="1:33">
      <c r="K190" s="322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</row>
    <row r="191" spans="1:33">
      <c r="K191" s="322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</row>
    <row r="192" spans="1:33">
      <c r="K192" s="322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</row>
    <row r="193" spans="11:31">
      <c r="K193" s="322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201"/>
      <c r="AE193" s="201"/>
    </row>
    <row r="194" spans="11:31">
      <c r="K194" s="322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1"/>
      <c r="Z194" s="201"/>
      <c r="AA194" s="201"/>
      <c r="AB194" s="201"/>
      <c r="AC194" s="201"/>
      <c r="AD194" s="201"/>
      <c r="AE194" s="201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XFD196"/>
  <sheetViews>
    <sheetView topLeftCell="A103" zoomScale="64" zoomScaleNormal="55" workbookViewId="0">
      <selection activeCell="B130" sqref="B130"/>
    </sheetView>
  </sheetViews>
  <sheetFormatPr defaultColWidth="9" defaultRowHeight="16.5"/>
  <cols>
    <col min="1" max="1" width="60.625" style="18" bestFit="1" customWidth="1"/>
    <col min="2" max="2" width="15.375" style="18" bestFit="1" customWidth="1"/>
    <col min="3" max="3" width="8" style="18" bestFit="1" customWidth="1"/>
    <col min="4" max="4" width="7.75" style="262" bestFit="1" customWidth="1"/>
    <col min="5" max="5" width="17.75" style="18" bestFit="1" customWidth="1"/>
    <col min="6" max="6" width="15.75" style="18" bestFit="1" customWidth="1"/>
    <col min="7" max="7" width="16.375" style="18" bestFit="1" customWidth="1"/>
    <col min="8" max="8" width="16.75" style="18" bestFit="1" customWidth="1"/>
    <col min="9" max="9" width="16.375" style="18" bestFit="1" customWidth="1"/>
    <col min="10" max="12" width="16.75" style="18" bestFit="1" customWidth="1"/>
    <col min="13" max="13" width="16.375" style="18" bestFit="1" customWidth="1"/>
    <col min="14" max="14" width="16.75" style="18" bestFit="1" customWidth="1"/>
    <col min="15" max="15" width="16.375" style="18" bestFit="1" customWidth="1"/>
    <col min="16" max="21" width="16.75" style="18" bestFit="1" customWidth="1"/>
    <col min="22" max="22" width="16.375" style="18" bestFit="1" customWidth="1"/>
    <col min="23" max="24" width="16.75" style="18" bestFit="1" customWidth="1"/>
    <col min="25" max="25" width="22.625" style="18" bestFit="1" customWidth="1"/>
    <col min="26" max="16384" width="9" style="18"/>
  </cols>
  <sheetData>
    <row r="1" spans="1:25" ht="18.75" thickBot="1">
      <c r="A1" s="11" t="str">
        <f>Intro!A1</f>
        <v>Town of Bar Harbor</v>
      </c>
      <c r="B1" s="27"/>
      <c r="C1" s="17"/>
      <c r="D1" s="260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</row>
    <row r="2" spans="1:25" ht="17.25" thickBot="1">
      <c r="A2" s="380" t="str">
        <f>Intro!A2</f>
        <v>Ferry Property Business Plan</v>
      </c>
      <c r="B2" s="13"/>
      <c r="C2" s="17"/>
      <c r="D2" s="260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</row>
    <row r="3" spans="1:25" s="381" customFormat="1" ht="14.25" thickBot="1">
      <c r="A3" s="384" t="str">
        <f>Intro!A3</f>
        <v>05.23.2018</v>
      </c>
      <c r="B3" s="304"/>
      <c r="C3" s="387"/>
      <c r="D3" s="388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7"/>
      <c r="X3" s="387"/>
    </row>
    <row r="4" spans="1:25" s="381" customFormat="1" ht="13.5">
      <c r="A4" s="384" t="str">
        <f ca="1">Intro!A4</f>
        <v>Town of Bar Harbor</v>
      </c>
      <c r="B4" s="382"/>
      <c r="C4" s="383">
        <f ca="1">NOW()</f>
        <v>43242.835659143515</v>
      </c>
      <c r="D4" s="388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  <c r="Q4" s="387"/>
      <c r="R4" s="387"/>
      <c r="S4" s="387"/>
      <c r="T4" s="387"/>
      <c r="U4" s="387"/>
      <c r="V4" s="387"/>
      <c r="W4" s="387"/>
      <c r="X4" s="387"/>
    </row>
    <row r="5" spans="1:25">
      <c r="A5" s="244" t="s">
        <v>343</v>
      </c>
      <c r="B5" s="244"/>
      <c r="C5" s="245"/>
      <c r="D5" s="261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</row>
    <row r="6" spans="1:25">
      <c r="D6" s="485"/>
    </row>
    <row r="7" spans="1:25">
      <c r="A7" s="22"/>
      <c r="B7" s="71"/>
      <c r="C7" s="71"/>
      <c r="D7" s="72">
        <f>'Cruise Projections'!T7</f>
        <v>2018</v>
      </c>
      <c r="E7" s="72">
        <f>'Cruise Projections'!U7</f>
        <v>2019</v>
      </c>
      <c r="F7" s="72">
        <f>'Cruise Projections'!V7</f>
        <v>2020</v>
      </c>
      <c r="G7" s="72">
        <f>'Cruise Projections'!W7</f>
        <v>2021</v>
      </c>
      <c r="H7" s="72">
        <f>'Cruise Projections'!X7</f>
        <v>2022</v>
      </c>
      <c r="I7" s="72">
        <f>'Cruise Projections'!Y7</f>
        <v>2023</v>
      </c>
      <c r="J7" s="72">
        <f>'Cruise Projections'!Z7</f>
        <v>2024</v>
      </c>
      <c r="K7" s="72">
        <f>'Cruise Projections'!AA7</f>
        <v>2025</v>
      </c>
      <c r="L7" s="72">
        <f>'Cruise Projections'!AB7</f>
        <v>2026</v>
      </c>
      <c r="M7" s="72">
        <f>'Cruise Projections'!AC7</f>
        <v>2027</v>
      </c>
      <c r="N7" s="72">
        <f>'Cruise Projections'!AD7</f>
        <v>2028</v>
      </c>
      <c r="O7" s="72">
        <f>'Cruise Projections'!AE7</f>
        <v>2029</v>
      </c>
      <c r="P7" s="72">
        <f>'Cruise Projections'!AF7</f>
        <v>2030</v>
      </c>
      <c r="Q7" s="72">
        <f>'Cruise Projections'!AG7</f>
        <v>2031</v>
      </c>
      <c r="R7" s="72">
        <f>'Cruise Projections'!AH7</f>
        <v>2032</v>
      </c>
      <c r="S7" s="72">
        <f>'Cruise Projections'!AI7</f>
        <v>2033</v>
      </c>
      <c r="T7" s="72">
        <f>'Cruise Projections'!AJ7</f>
        <v>2034</v>
      </c>
      <c r="U7" s="72">
        <f>'Cruise Projections'!AK7</f>
        <v>2035</v>
      </c>
      <c r="V7" s="72">
        <f>'Cruise Projections'!AL7</f>
        <v>2036</v>
      </c>
      <c r="W7" s="72">
        <f>'Cruise Projections'!AM7</f>
        <v>2037</v>
      </c>
      <c r="X7" s="72">
        <f>'Cruise Projections'!AN7</f>
        <v>2038</v>
      </c>
    </row>
    <row r="8" spans="1:25" ht="17.25" thickBot="1">
      <c r="D8" s="488"/>
    </row>
    <row r="9" spans="1:25" ht="17.25" thickBot="1">
      <c r="A9" s="117" t="s">
        <v>381</v>
      </c>
      <c r="B9" s="286" t="s">
        <v>218</v>
      </c>
      <c r="D9" s="489"/>
      <c r="E9" s="327"/>
      <c r="F9" s="327"/>
      <c r="G9" s="327"/>
      <c r="H9" s="327"/>
      <c r="I9" s="327"/>
      <c r="J9" s="327"/>
      <c r="K9" s="327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</row>
    <row r="10" spans="1:25">
      <c r="D10" s="489"/>
      <c r="E10" s="327"/>
      <c r="F10" s="327"/>
      <c r="G10" s="327"/>
      <c r="H10" s="327"/>
      <c r="I10" s="327"/>
      <c r="J10" s="327"/>
      <c r="K10" s="327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</row>
    <row r="11" spans="1:25" s="547" customFormat="1" ht="14.25">
      <c r="A11" s="547" t="s">
        <v>83</v>
      </c>
      <c r="D11" s="619"/>
      <c r="E11" s="620"/>
      <c r="F11" s="620"/>
      <c r="G11" s="620"/>
      <c r="H11" s="620"/>
      <c r="I11" s="620"/>
      <c r="J11" s="620"/>
      <c r="K11" s="620"/>
      <c r="L11" s="620"/>
      <c r="M11" s="620"/>
      <c r="N11" s="620"/>
      <c r="O11" s="620"/>
      <c r="P11" s="620"/>
      <c r="Q11" s="620"/>
      <c r="R11" s="620"/>
      <c r="S11" s="620"/>
      <c r="T11" s="620"/>
      <c r="U11" s="620"/>
      <c r="V11" s="620"/>
      <c r="W11" s="620"/>
      <c r="X11" s="620"/>
    </row>
    <row r="12" spans="1:25" s="341" customFormat="1">
      <c r="A12" s="621" t="str">
        <f>'Cruise Projections'!A67</f>
        <v>Passengers</v>
      </c>
      <c r="B12" s="553"/>
      <c r="C12" s="553"/>
      <c r="D12" s="554">
        <f>'Cruise Projections'!T67</f>
        <v>0</v>
      </c>
      <c r="E12" s="555">
        <v>0</v>
      </c>
      <c r="F12" s="555">
        <v>0</v>
      </c>
      <c r="G12" s="555">
        <v>0</v>
      </c>
      <c r="H12" s="555">
        <v>0</v>
      </c>
      <c r="I12" s="555">
        <v>0</v>
      </c>
      <c r="J12" s="555">
        <v>0</v>
      </c>
      <c r="K12" s="555">
        <v>0</v>
      </c>
      <c r="L12" s="555">
        <v>0</v>
      </c>
      <c r="M12" s="555">
        <v>0</v>
      </c>
      <c r="N12" s="555">
        <v>0</v>
      </c>
      <c r="O12" s="555">
        <v>0</v>
      </c>
      <c r="P12" s="555">
        <v>0</v>
      </c>
      <c r="Q12" s="555">
        <v>0</v>
      </c>
      <c r="R12" s="555">
        <v>0</v>
      </c>
      <c r="S12" s="555">
        <v>0</v>
      </c>
      <c r="T12" s="555">
        <v>0</v>
      </c>
      <c r="U12" s="555">
        <v>0</v>
      </c>
      <c r="V12" s="555">
        <v>0</v>
      </c>
      <c r="W12" s="555">
        <v>0</v>
      </c>
      <c r="X12" s="555">
        <v>0</v>
      </c>
      <c r="Y12" s="555"/>
    </row>
    <row r="13" spans="1:25" s="341" customFormat="1">
      <c r="A13" s="621" t="str">
        <f>'Cruise Projections'!A68</f>
        <v>Calls</v>
      </c>
      <c r="B13" s="553"/>
      <c r="C13" s="553"/>
      <c r="D13" s="554">
        <f>'Cruise Projections'!T68</f>
        <v>0</v>
      </c>
      <c r="E13" s="555">
        <v>0</v>
      </c>
      <c r="F13" s="555">
        <v>0</v>
      </c>
      <c r="G13" s="555">
        <v>0</v>
      </c>
      <c r="H13" s="555">
        <v>0</v>
      </c>
      <c r="I13" s="555">
        <v>0</v>
      </c>
      <c r="J13" s="555">
        <v>0</v>
      </c>
      <c r="K13" s="555">
        <v>0</v>
      </c>
      <c r="L13" s="555">
        <v>0</v>
      </c>
      <c r="M13" s="555">
        <v>0</v>
      </c>
      <c r="N13" s="555">
        <v>0</v>
      </c>
      <c r="O13" s="555">
        <v>0</v>
      </c>
      <c r="P13" s="555">
        <v>0</v>
      </c>
      <c r="Q13" s="555">
        <v>0</v>
      </c>
      <c r="R13" s="555">
        <v>0</v>
      </c>
      <c r="S13" s="555">
        <v>0</v>
      </c>
      <c r="T13" s="555">
        <v>0</v>
      </c>
      <c r="U13" s="555">
        <v>0</v>
      </c>
      <c r="V13" s="555">
        <v>0</v>
      </c>
      <c r="W13" s="555">
        <v>0</v>
      </c>
      <c r="X13" s="555">
        <v>0</v>
      </c>
      <c r="Y13" s="555"/>
    </row>
    <row r="14" spans="1:25" s="341" customFormat="1">
      <c r="A14" s="621" t="str">
        <f>'Cruise Projections'!A69</f>
        <v>Passengers per Call</v>
      </c>
      <c r="B14" s="553"/>
      <c r="C14" s="553"/>
      <c r="D14" s="554">
        <f>'Cruise Projections'!T69</f>
        <v>0</v>
      </c>
      <c r="E14" s="555">
        <v>0</v>
      </c>
      <c r="F14" s="555">
        <v>0</v>
      </c>
      <c r="G14" s="555">
        <v>0</v>
      </c>
      <c r="H14" s="555">
        <v>0</v>
      </c>
      <c r="I14" s="555">
        <v>0</v>
      </c>
      <c r="J14" s="555">
        <v>0</v>
      </c>
      <c r="K14" s="555">
        <v>0</v>
      </c>
      <c r="L14" s="555">
        <v>0</v>
      </c>
      <c r="M14" s="555">
        <v>0</v>
      </c>
      <c r="N14" s="555">
        <v>0</v>
      </c>
      <c r="O14" s="555">
        <v>0</v>
      </c>
      <c r="P14" s="555">
        <v>0</v>
      </c>
      <c r="Q14" s="555">
        <v>0</v>
      </c>
      <c r="R14" s="555">
        <v>0</v>
      </c>
      <c r="S14" s="555">
        <v>0</v>
      </c>
      <c r="T14" s="555">
        <v>0</v>
      </c>
      <c r="U14" s="555">
        <v>0</v>
      </c>
      <c r="V14" s="555">
        <v>0</v>
      </c>
      <c r="W14" s="555">
        <v>0</v>
      </c>
      <c r="X14" s="555">
        <v>0</v>
      </c>
      <c r="Y14" s="555"/>
    </row>
    <row r="15" spans="1:25" s="341" customFormat="1">
      <c r="A15" s="552" t="s">
        <v>313</v>
      </c>
      <c r="B15" s="553"/>
      <c r="C15" s="553"/>
      <c r="D15" s="554">
        <f>'Cruise Projections'!T70</f>
        <v>0</v>
      </c>
      <c r="E15" s="555">
        <f>'Shuttle Projections'!C13</f>
        <v>0</v>
      </c>
      <c r="F15" s="555">
        <f>'Shuttle Projections'!D13</f>
        <v>0</v>
      </c>
      <c r="G15" s="555">
        <f>'Shuttle Projections'!E13</f>
        <v>0</v>
      </c>
      <c r="H15" s="555">
        <f>'Shuttle Projections'!F13</f>
        <v>0</v>
      </c>
      <c r="I15" s="555">
        <f>'Shuttle Projections'!G13</f>
        <v>0</v>
      </c>
      <c r="J15" s="555">
        <f>'Shuttle Projections'!H13</f>
        <v>0</v>
      </c>
      <c r="K15" s="555">
        <f>'Shuttle Projections'!I13</f>
        <v>0</v>
      </c>
      <c r="L15" s="555">
        <f>'Shuttle Projections'!J13</f>
        <v>0</v>
      </c>
      <c r="M15" s="555">
        <f>'Shuttle Projections'!K13</f>
        <v>0</v>
      </c>
      <c r="N15" s="555">
        <f>'Shuttle Projections'!L13</f>
        <v>0</v>
      </c>
      <c r="O15" s="555">
        <f>'Shuttle Projections'!M13</f>
        <v>0</v>
      </c>
      <c r="P15" s="555">
        <f>'Shuttle Projections'!N13</f>
        <v>0</v>
      </c>
      <c r="Q15" s="555">
        <f>'Shuttle Projections'!O13</f>
        <v>0</v>
      </c>
      <c r="R15" s="555">
        <f>'Shuttle Projections'!P13</f>
        <v>0</v>
      </c>
      <c r="S15" s="555">
        <f>'Shuttle Projections'!Q13</f>
        <v>0</v>
      </c>
      <c r="T15" s="555">
        <f>'Shuttle Projections'!R13</f>
        <v>0</v>
      </c>
      <c r="U15" s="555">
        <f>'Shuttle Projections'!S13</f>
        <v>0</v>
      </c>
      <c r="V15" s="555">
        <f>'Shuttle Projections'!T13</f>
        <v>0</v>
      </c>
      <c r="W15" s="555">
        <f>'Shuttle Projections'!U13</f>
        <v>0</v>
      </c>
      <c r="X15" s="555">
        <f>'Shuttle Projections'!V13</f>
        <v>0</v>
      </c>
      <c r="Y15" s="555"/>
    </row>
    <row r="16" spans="1:25">
      <c r="A16" s="54"/>
      <c r="B16" s="21"/>
      <c r="C16" s="21"/>
      <c r="D16" s="486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</row>
    <row r="17" spans="1:25" s="547" customFormat="1" ht="14.25">
      <c r="A17" s="549" t="s">
        <v>163</v>
      </c>
      <c r="B17" s="550"/>
      <c r="C17" s="550"/>
      <c r="D17" s="610"/>
      <c r="E17" s="551"/>
      <c r="F17" s="551"/>
      <c r="G17" s="551"/>
      <c r="H17" s="551"/>
      <c r="I17" s="551"/>
      <c r="J17" s="551"/>
      <c r="K17" s="551"/>
      <c r="L17" s="551"/>
      <c r="M17" s="551"/>
      <c r="N17" s="551"/>
      <c r="O17" s="551"/>
      <c r="P17" s="551"/>
      <c r="Q17" s="551"/>
      <c r="R17" s="551"/>
      <c r="S17" s="551"/>
      <c r="T17" s="551"/>
      <c r="U17" s="551"/>
      <c r="V17" s="551"/>
      <c r="W17" s="551"/>
      <c r="X17" s="551"/>
    </row>
    <row r="18" spans="1:25" s="341" customFormat="1">
      <c r="A18" s="552" t="str">
        <f>'International Ferry Projections'!A11</f>
        <v>Passengers</v>
      </c>
      <c r="B18" s="553"/>
      <c r="C18" s="553"/>
      <c r="D18" s="554">
        <f>'International Ferry Projections'!B11</f>
        <v>0</v>
      </c>
      <c r="E18" s="555">
        <f>'International Ferry Projections'!C11</f>
        <v>60000</v>
      </c>
      <c r="F18" s="555">
        <f>'International Ferry Projections'!D11</f>
        <v>70000</v>
      </c>
      <c r="G18" s="555">
        <f>'International Ferry Projections'!E11</f>
        <v>80000</v>
      </c>
      <c r="H18" s="555">
        <f>'International Ferry Projections'!F11</f>
        <v>80000</v>
      </c>
      <c r="I18" s="555">
        <f>'International Ferry Projections'!G11</f>
        <v>80000</v>
      </c>
      <c r="J18" s="555">
        <f>'International Ferry Projections'!H11</f>
        <v>80000</v>
      </c>
      <c r="K18" s="555">
        <f>'International Ferry Projections'!I11</f>
        <v>80000</v>
      </c>
      <c r="L18" s="555">
        <f>'International Ferry Projections'!J11</f>
        <v>80000</v>
      </c>
      <c r="M18" s="555">
        <f>'International Ferry Projections'!K11</f>
        <v>80000</v>
      </c>
      <c r="N18" s="555">
        <f>'International Ferry Projections'!L11</f>
        <v>80000</v>
      </c>
      <c r="O18" s="555">
        <f>'International Ferry Projections'!M11</f>
        <v>80000</v>
      </c>
      <c r="P18" s="555">
        <f>'International Ferry Projections'!N11</f>
        <v>80000</v>
      </c>
      <c r="Q18" s="555">
        <f>'International Ferry Projections'!O11</f>
        <v>80000</v>
      </c>
      <c r="R18" s="555">
        <f>'International Ferry Projections'!P11</f>
        <v>80000</v>
      </c>
      <c r="S18" s="555">
        <f>'International Ferry Projections'!Q11</f>
        <v>80000</v>
      </c>
      <c r="T18" s="555">
        <f>'International Ferry Projections'!R11</f>
        <v>80000</v>
      </c>
      <c r="U18" s="555">
        <f>'International Ferry Projections'!S11</f>
        <v>80000</v>
      </c>
      <c r="V18" s="555">
        <f>'International Ferry Projections'!T11</f>
        <v>80000</v>
      </c>
      <c r="W18" s="555">
        <f>'International Ferry Projections'!U11</f>
        <v>80000</v>
      </c>
      <c r="X18" s="555">
        <f>'International Ferry Projections'!V11</f>
        <v>80000</v>
      </c>
    </row>
    <row r="19" spans="1:25" s="341" customFormat="1">
      <c r="A19" s="552" t="str">
        <f>'International Ferry Projections'!A12</f>
        <v>Cars</v>
      </c>
      <c r="B19" s="553"/>
      <c r="C19" s="553"/>
      <c r="D19" s="554">
        <f>'International Ferry Projections'!B12</f>
        <v>0</v>
      </c>
      <c r="E19" s="555">
        <f>'International Ferry Projections'!C12</f>
        <v>24000</v>
      </c>
      <c r="F19" s="555">
        <f>'International Ferry Projections'!D12</f>
        <v>28000</v>
      </c>
      <c r="G19" s="555">
        <f>'International Ferry Projections'!E12</f>
        <v>32000</v>
      </c>
      <c r="H19" s="555">
        <f>'International Ferry Projections'!F12</f>
        <v>32000</v>
      </c>
      <c r="I19" s="555">
        <f>'International Ferry Projections'!G12</f>
        <v>32000</v>
      </c>
      <c r="J19" s="555">
        <f>'International Ferry Projections'!H12</f>
        <v>32000</v>
      </c>
      <c r="K19" s="555">
        <f>'International Ferry Projections'!I12</f>
        <v>32000</v>
      </c>
      <c r="L19" s="555">
        <f>'International Ferry Projections'!J12</f>
        <v>32000</v>
      </c>
      <c r="M19" s="555">
        <f>'International Ferry Projections'!K12</f>
        <v>32000</v>
      </c>
      <c r="N19" s="555">
        <f>'International Ferry Projections'!L12</f>
        <v>32000</v>
      </c>
      <c r="O19" s="555">
        <f>'International Ferry Projections'!M12</f>
        <v>32000</v>
      </c>
      <c r="P19" s="555">
        <f>'International Ferry Projections'!N12</f>
        <v>32000</v>
      </c>
      <c r="Q19" s="555">
        <f>'International Ferry Projections'!O12</f>
        <v>32000</v>
      </c>
      <c r="R19" s="555">
        <f>'International Ferry Projections'!P12</f>
        <v>32000</v>
      </c>
      <c r="S19" s="555">
        <f>'International Ferry Projections'!Q12</f>
        <v>32000</v>
      </c>
      <c r="T19" s="555">
        <f>'International Ferry Projections'!R12</f>
        <v>32000</v>
      </c>
      <c r="U19" s="555">
        <f>'International Ferry Projections'!S12</f>
        <v>32000</v>
      </c>
      <c r="V19" s="555">
        <f>'International Ferry Projections'!T12</f>
        <v>32000</v>
      </c>
      <c r="W19" s="555">
        <f>'International Ferry Projections'!U12</f>
        <v>32000</v>
      </c>
      <c r="X19" s="555">
        <f>'International Ferry Projections'!V12</f>
        <v>32000</v>
      </c>
    </row>
    <row r="20" spans="1:25" s="341" customFormat="1">
      <c r="A20" s="552" t="str">
        <f>'International Ferry Projections'!A13</f>
        <v>Buses</v>
      </c>
      <c r="B20" s="553"/>
      <c r="C20" s="553"/>
      <c r="D20" s="554">
        <f>'International Ferry Projections'!B13</f>
        <v>0</v>
      </c>
      <c r="E20" s="555">
        <f>'International Ferry Projections'!C13</f>
        <v>40</v>
      </c>
      <c r="F20" s="555">
        <f>'International Ferry Projections'!D13</f>
        <v>50</v>
      </c>
      <c r="G20" s="555">
        <f>'International Ferry Projections'!E13</f>
        <v>60</v>
      </c>
      <c r="H20" s="555">
        <f>'International Ferry Projections'!F13</f>
        <v>60</v>
      </c>
      <c r="I20" s="555">
        <f>'International Ferry Projections'!G13</f>
        <v>60</v>
      </c>
      <c r="J20" s="555">
        <f>'International Ferry Projections'!H13</f>
        <v>60</v>
      </c>
      <c r="K20" s="555">
        <f>'International Ferry Projections'!I13</f>
        <v>60</v>
      </c>
      <c r="L20" s="555">
        <f>'International Ferry Projections'!J13</f>
        <v>60</v>
      </c>
      <c r="M20" s="555">
        <f>'International Ferry Projections'!K13</f>
        <v>60</v>
      </c>
      <c r="N20" s="555">
        <f>'International Ferry Projections'!L13</f>
        <v>60</v>
      </c>
      <c r="O20" s="555">
        <f>'International Ferry Projections'!M13</f>
        <v>60</v>
      </c>
      <c r="P20" s="555">
        <f>'International Ferry Projections'!N13</f>
        <v>60</v>
      </c>
      <c r="Q20" s="555">
        <f>'International Ferry Projections'!O13</f>
        <v>60</v>
      </c>
      <c r="R20" s="555">
        <f>'International Ferry Projections'!P13</f>
        <v>60</v>
      </c>
      <c r="S20" s="555">
        <f>'International Ferry Projections'!Q13</f>
        <v>60</v>
      </c>
      <c r="T20" s="555">
        <f>'International Ferry Projections'!R13</f>
        <v>60</v>
      </c>
      <c r="U20" s="555">
        <f>'International Ferry Projections'!S13</f>
        <v>60</v>
      </c>
      <c r="V20" s="555">
        <f>'International Ferry Projections'!T13</f>
        <v>60</v>
      </c>
      <c r="W20" s="555">
        <f>'International Ferry Projections'!U13</f>
        <v>60</v>
      </c>
      <c r="X20" s="555">
        <f>'International Ferry Projections'!V13</f>
        <v>60</v>
      </c>
    </row>
    <row r="21" spans="1:25">
      <c r="A21" s="54"/>
      <c r="B21" s="21"/>
      <c r="C21" s="21"/>
      <c r="D21" s="486"/>
      <c r="E21" s="313"/>
      <c r="F21" s="313"/>
      <c r="G21" s="313"/>
      <c r="H21" s="313"/>
      <c r="I21" s="313"/>
      <c r="J21" s="313"/>
      <c r="K21" s="313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</row>
    <row r="22" spans="1:25" s="582" customFormat="1">
      <c r="A22" s="293" t="str">
        <f>'BH Tariffs'!A30</f>
        <v>Local Ferry</v>
      </c>
      <c r="B22" s="581"/>
      <c r="C22" s="581"/>
      <c r="D22" s="486">
        <v>0</v>
      </c>
      <c r="E22" s="329"/>
      <c r="F22" s="329"/>
      <c r="G22" s="329"/>
      <c r="H22" s="329"/>
      <c r="I22" s="329"/>
      <c r="J22" s="329"/>
      <c r="K22" s="329"/>
      <c r="L22" s="329"/>
      <c r="M22" s="329"/>
      <c r="N22" s="329"/>
      <c r="O22" s="329"/>
      <c r="P22" s="329"/>
      <c r="Q22" s="329"/>
      <c r="R22" s="329"/>
      <c r="S22" s="329"/>
      <c r="T22" s="329"/>
      <c r="U22" s="329"/>
      <c r="V22" s="329"/>
      <c r="W22" s="329"/>
      <c r="X22" s="329"/>
    </row>
    <row r="23" spans="1:25" s="96" customFormat="1">
      <c r="A23" s="54" t="str">
        <f>'BH Tariffs'!A31</f>
        <v>Dock Rent (6 Months Only)</v>
      </c>
      <c r="B23" s="487"/>
      <c r="C23" s="487"/>
      <c r="D23" s="486">
        <v>0</v>
      </c>
      <c r="E23" s="623" t="s">
        <v>286</v>
      </c>
      <c r="F23" s="623" t="s">
        <v>286</v>
      </c>
      <c r="G23" s="623" t="s">
        <v>286</v>
      </c>
      <c r="H23" s="623" t="s">
        <v>286</v>
      </c>
      <c r="I23" s="623" t="s">
        <v>286</v>
      </c>
      <c r="J23" s="623" t="s">
        <v>286</v>
      </c>
      <c r="K23" s="623" t="s">
        <v>286</v>
      </c>
      <c r="L23" s="623" t="s">
        <v>286</v>
      </c>
      <c r="M23" s="623" t="s">
        <v>286</v>
      </c>
      <c r="N23" s="623" t="s">
        <v>286</v>
      </c>
      <c r="O23" s="623" t="s">
        <v>286</v>
      </c>
      <c r="P23" s="623" t="s">
        <v>286</v>
      </c>
      <c r="Q23" s="623" t="s">
        <v>286</v>
      </c>
      <c r="R23" s="623" t="s">
        <v>286</v>
      </c>
      <c r="S23" s="623" t="s">
        <v>286</v>
      </c>
      <c r="T23" s="623" t="s">
        <v>286</v>
      </c>
      <c r="U23" s="623" t="s">
        <v>286</v>
      </c>
      <c r="V23" s="623" t="s">
        <v>286</v>
      </c>
      <c r="W23" s="623" t="s">
        <v>286</v>
      </c>
      <c r="X23" s="623" t="s">
        <v>286</v>
      </c>
    </row>
    <row r="24" spans="1:25" s="341" customFormat="1">
      <c r="A24" s="552"/>
      <c r="B24" s="553"/>
      <c r="C24" s="553"/>
      <c r="D24" s="554"/>
      <c r="E24" s="555"/>
      <c r="F24" s="555"/>
      <c r="G24" s="555"/>
      <c r="H24" s="555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</row>
    <row r="25" spans="1:25" s="96" customFormat="1">
      <c r="A25" s="559" t="s">
        <v>227</v>
      </c>
      <c r="B25" s="487"/>
      <c r="C25" s="487"/>
      <c r="D25" s="486"/>
      <c r="E25" s="313"/>
      <c r="F25" s="313"/>
      <c r="G25" s="313"/>
      <c r="H25" s="313"/>
      <c r="I25" s="313"/>
      <c r="J25" s="313"/>
      <c r="K25" s="313"/>
      <c r="L25" s="313"/>
      <c r="M25" s="313"/>
      <c r="N25" s="313"/>
      <c r="O25" s="313"/>
      <c r="P25" s="313"/>
      <c r="Q25" s="313"/>
      <c r="R25" s="313"/>
      <c r="S25" s="313"/>
      <c r="T25" s="313"/>
      <c r="U25" s="313"/>
      <c r="V25" s="313"/>
      <c r="W25" s="313"/>
      <c r="X25" s="313"/>
    </row>
    <row r="26" spans="1:25">
      <c r="A26" s="54"/>
      <c r="B26" s="21"/>
      <c r="C26" s="21"/>
      <c r="D26" s="486"/>
      <c r="E26" s="313"/>
      <c r="F26" s="313"/>
      <c r="G26" s="313"/>
      <c r="H26" s="313"/>
      <c r="I26" s="313"/>
      <c r="J26" s="313"/>
      <c r="K26" s="313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</row>
    <row r="27" spans="1:25">
      <c r="A27" s="54" t="s">
        <v>420</v>
      </c>
      <c r="B27" s="21"/>
      <c r="C27" s="21"/>
      <c r="D27" s="486">
        <v>0</v>
      </c>
      <c r="E27" s="313">
        <f>'Marina Projections'!C9</f>
        <v>0</v>
      </c>
      <c r="F27" s="313">
        <f>'Marina Projections'!D9</f>
        <v>214</v>
      </c>
      <c r="G27" s="313">
        <f>'Marina Projections'!E9</f>
        <v>214</v>
      </c>
      <c r="H27" s="313">
        <f>'Marina Projections'!F9</f>
        <v>214</v>
      </c>
      <c r="I27" s="313">
        <f>'Marina Projections'!G9</f>
        <v>214</v>
      </c>
      <c r="J27" s="313">
        <f>'Marina Projections'!H9</f>
        <v>214</v>
      </c>
      <c r="K27" s="313">
        <f>'Marina Projections'!I9</f>
        <v>214</v>
      </c>
      <c r="L27" s="313">
        <f>'Marina Projections'!J9</f>
        <v>214</v>
      </c>
      <c r="M27" s="313">
        <f>'Marina Projections'!K9</f>
        <v>214</v>
      </c>
      <c r="N27" s="313">
        <f>'Marina Projections'!L9</f>
        <v>214</v>
      </c>
      <c r="O27" s="313">
        <f>'Marina Projections'!M9</f>
        <v>214</v>
      </c>
      <c r="P27" s="313">
        <f>'Marina Projections'!N9</f>
        <v>214</v>
      </c>
      <c r="Q27" s="313">
        <f>'Marina Projections'!O9</f>
        <v>214</v>
      </c>
      <c r="R27" s="313">
        <f>'Marina Projections'!P9</f>
        <v>214</v>
      </c>
      <c r="S27" s="313">
        <f>'Marina Projections'!Q9</f>
        <v>214</v>
      </c>
      <c r="T27" s="313">
        <f>'Marina Projections'!R9</f>
        <v>214</v>
      </c>
      <c r="U27" s="313">
        <f>'Marina Projections'!S9</f>
        <v>214</v>
      </c>
      <c r="V27" s="313">
        <f>'Marina Projections'!T9</f>
        <v>214</v>
      </c>
      <c r="W27" s="313">
        <f>'Marina Projections'!U9</f>
        <v>214</v>
      </c>
      <c r="X27" s="313">
        <f>'Marina Projections'!V9</f>
        <v>214</v>
      </c>
      <c r="Y27" s="313"/>
    </row>
    <row r="28" spans="1:25" s="341" customFormat="1">
      <c r="A28" s="552" t="s">
        <v>205</v>
      </c>
      <c r="B28" s="553"/>
      <c r="C28" s="553"/>
      <c r="D28" s="554">
        <v>0</v>
      </c>
      <c r="E28" s="560"/>
      <c r="F28" s="560">
        <f>'Cruise Projections'!V27</f>
        <v>31.102343084676253</v>
      </c>
      <c r="G28" s="560">
        <f>'Cruise Projections'!W27</f>
        <v>33.08079253393673</v>
      </c>
      <c r="H28" s="560">
        <f>'Cruise Projections'!X27</f>
        <v>34.751627733366121</v>
      </c>
      <c r="I28" s="560">
        <f>'Cruise Projections'!Y27</f>
        <v>35.893083709582015</v>
      </c>
      <c r="J28" s="560">
        <f>'Cruise Projections'!Z27</f>
        <v>37.101192669283478</v>
      </c>
      <c r="K28" s="560">
        <f>'Cruise Projections'!AA27</f>
        <v>38.428851859015516</v>
      </c>
      <c r="L28" s="560">
        <f>'Cruise Projections'!AB27</f>
        <v>39.743393287481908</v>
      </c>
      <c r="M28" s="560">
        <f>'Cruise Projections'!AC27</f>
        <v>40.393144256705909</v>
      </c>
      <c r="N28" s="560">
        <f>'Cruise Projections'!AD27</f>
        <v>41.182784800148873</v>
      </c>
      <c r="O28" s="560">
        <f>'Cruise Projections'!AE27</f>
        <v>42.00581197297619</v>
      </c>
      <c r="P28" s="560">
        <f>'Cruise Projections'!AF27</f>
        <v>42.427677626093356</v>
      </c>
      <c r="Q28" s="560">
        <f>'Cruise Projections'!AG27</f>
        <v>42.444707284491429</v>
      </c>
      <c r="R28" s="560">
        <f>'Cruise Projections'!AH27</f>
        <v>42.366158474806085</v>
      </c>
      <c r="S28" s="560">
        <f>'Cruise Projections'!AI27</f>
        <v>42.539206123732718</v>
      </c>
      <c r="T28" s="560">
        <f>'Cruise Projections'!AJ27</f>
        <v>42.657554770462752</v>
      </c>
      <c r="U28" s="560">
        <f>'Cruise Projections'!AK27</f>
        <v>42.717111591748328</v>
      </c>
      <c r="V28" s="560">
        <f>'Cruise Projections'!AL27</f>
        <v>42.983945805620365</v>
      </c>
      <c r="W28" s="560">
        <f>'Cruise Projections'!AM27</f>
        <v>43.051784597932915</v>
      </c>
      <c r="X28" s="560">
        <f>'Cruise Projections'!AN27</f>
        <v>43.030880982919477</v>
      </c>
      <c r="Y28" s="561"/>
    </row>
    <row r="29" spans="1:25" s="341" customFormat="1">
      <c r="A29" s="552" t="s">
        <v>219</v>
      </c>
      <c r="B29" s="553"/>
      <c r="C29" s="553"/>
      <c r="D29" s="554">
        <v>0</v>
      </c>
      <c r="E29" s="560">
        <v>150</v>
      </c>
      <c r="F29" s="560">
        <f>E29</f>
        <v>150</v>
      </c>
      <c r="G29" s="560">
        <f t="shared" ref="G29:X29" si="0">F29</f>
        <v>150</v>
      </c>
      <c r="H29" s="560">
        <f t="shared" si="0"/>
        <v>150</v>
      </c>
      <c r="I29" s="560">
        <f t="shared" si="0"/>
        <v>150</v>
      </c>
      <c r="J29" s="560">
        <f t="shared" si="0"/>
        <v>150</v>
      </c>
      <c r="K29" s="560">
        <f t="shared" si="0"/>
        <v>150</v>
      </c>
      <c r="L29" s="560">
        <f t="shared" si="0"/>
        <v>150</v>
      </c>
      <c r="M29" s="560">
        <f t="shared" si="0"/>
        <v>150</v>
      </c>
      <c r="N29" s="560">
        <f t="shared" si="0"/>
        <v>150</v>
      </c>
      <c r="O29" s="560">
        <f t="shared" si="0"/>
        <v>150</v>
      </c>
      <c r="P29" s="560">
        <f t="shared" si="0"/>
        <v>150</v>
      </c>
      <c r="Q29" s="560">
        <f t="shared" si="0"/>
        <v>150</v>
      </c>
      <c r="R29" s="560">
        <f t="shared" si="0"/>
        <v>150</v>
      </c>
      <c r="S29" s="560">
        <f t="shared" si="0"/>
        <v>150</v>
      </c>
      <c r="T29" s="560">
        <f t="shared" si="0"/>
        <v>150</v>
      </c>
      <c r="U29" s="560">
        <f t="shared" si="0"/>
        <v>150</v>
      </c>
      <c r="V29" s="560">
        <f t="shared" si="0"/>
        <v>150</v>
      </c>
      <c r="W29" s="560">
        <f t="shared" si="0"/>
        <v>150</v>
      </c>
      <c r="X29" s="560">
        <f t="shared" si="0"/>
        <v>150</v>
      </c>
      <c r="Y29" s="561"/>
    </row>
    <row r="30" spans="1:25" s="341" customFormat="1">
      <c r="A30" s="552" t="s">
        <v>220</v>
      </c>
      <c r="B30" s="553"/>
      <c r="C30" s="553"/>
      <c r="D30" s="554">
        <v>0</v>
      </c>
      <c r="E30" s="611">
        <f>E28/E29</f>
        <v>0</v>
      </c>
      <c r="F30" s="611">
        <f t="shared" ref="F30:X30" si="1">F28/F29</f>
        <v>0.20734895389784169</v>
      </c>
      <c r="G30" s="611">
        <f t="shared" si="1"/>
        <v>0.22053861689291154</v>
      </c>
      <c r="H30" s="611">
        <f t="shared" si="1"/>
        <v>0.23167751822244081</v>
      </c>
      <c r="I30" s="611">
        <f t="shared" si="1"/>
        <v>0.23928722473054675</v>
      </c>
      <c r="J30" s="611">
        <f t="shared" si="1"/>
        <v>0.24734128446188985</v>
      </c>
      <c r="K30" s="611">
        <f t="shared" si="1"/>
        <v>0.25619234572677013</v>
      </c>
      <c r="L30" s="611">
        <f t="shared" si="1"/>
        <v>0.26495595524987936</v>
      </c>
      <c r="M30" s="611">
        <f t="shared" si="1"/>
        <v>0.26928762837803938</v>
      </c>
      <c r="N30" s="611">
        <f t="shared" si="1"/>
        <v>0.27455189866765917</v>
      </c>
      <c r="O30" s="611">
        <f t="shared" si="1"/>
        <v>0.28003874648650795</v>
      </c>
      <c r="P30" s="611">
        <f t="shared" si="1"/>
        <v>0.28285118417395572</v>
      </c>
      <c r="Q30" s="611">
        <f t="shared" si="1"/>
        <v>0.28296471522994288</v>
      </c>
      <c r="R30" s="611">
        <f t="shared" si="1"/>
        <v>0.28244105649870721</v>
      </c>
      <c r="S30" s="611">
        <f t="shared" si="1"/>
        <v>0.28359470749155147</v>
      </c>
      <c r="T30" s="611">
        <f t="shared" si="1"/>
        <v>0.2843836984697517</v>
      </c>
      <c r="U30" s="611">
        <f t="shared" si="1"/>
        <v>0.28478074394498887</v>
      </c>
      <c r="V30" s="611">
        <f t="shared" si="1"/>
        <v>0.28655963870413576</v>
      </c>
      <c r="W30" s="611">
        <f t="shared" si="1"/>
        <v>0.28701189731955279</v>
      </c>
      <c r="X30" s="611">
        <f t="shared" si="1"/>
        <v>0.28687253988612987</v>
      </c>
      <c r="Y30" s="561"/>
    </row>
    <row r="31" spans="1:25" s="96" customFormat="1">
      <c r="A31" s="54" t="s">
        <v>226</v>
      </c>
      <c r="B31" s="487"/>
      <c r="C31" s="487"/>
      <c r="D31" s="486">
        <v>0</v>
      </c>
      <c r="E31" s="330">
        <v>0</v>
      </c>
      <c r="F31" s="330">
        <v>125</v>
      </c>
      <c r="G31" s="330">
        <v>125</v>
      </c>
      <c r="H31" s="330">
        <v>125</v>
      </c>
      <c r="I31" s="330">
        <v>125</v>
      </c>
      <c r="J31" s="330">
        <v>125</v>
      </c>
      <c r="K31" s="330">
        <v>125</v>
      </c>
      <c r="L31" s="330">
        <v>125</v>
      </c>
      <c r="M31" s="330">
        <v>125</v>
      </c>
      <c r="N31" s="330">
        <v>125</v>
      </c>
      <c r="O31" s="330">
        <v>125</v>
      </c>
      <c r="P31" s="330">
        <v>125</v>
      </c>
      <c r="Q31" s="330">
        <v>125</v>
      </c>
      <c r="R31" s="330">
        <v>125</v>
      </c>
      <c r="S31" s="330">
        <v>125</v>
      </c>
      <c r="T31" s="330">
        <v>125</v>
      </c>
      <c r="U31" s="330">
        <v>125</v>
      </c>
      <c r="V31" s="330">
        <v>125</v>
      </c>
      <c r="W31" s="330">
        <v>125</v>
      </c>
      <c r="X31" s="330">
        <v>125</v>
      </c>
      <c r="Y31" s="58"/>
    </row>
    <row r="32" spans="1:25">
      <c r="A32" s="54"/>
      <c r="B32" s="21"/>
      <c r="C32" s="21"/>
      <c r="D32" s="486"/>
      <c r="E32" s="495"/>
      <c r="F32" s="495"/>
      <c r="G32" s="495"/>
      <c r="H32" s="495"/>
      <c r="I32" s="495"/>
      <c r="J32" s="495"/>
      <c r="K32" s="495"/>
      <c r="L32" s="495"/>
      <c r="M32" s="495"/>
      <c r="N32" s="495"/>
      <c r="O32" s="495"/>
      <c r="P32" s="495"/>
      <c r="Q32" s="495"/>
      <c r="R32" s="495"/>
      <c r="S32" s="495"/>
      <c r="T32" s="495"/>
      <c r="U32" s="495"/>
      <c r="V32" s="495"/>
      <c r="W32" s="495"/>
      <c r="X32" s="495"/>
      <c r="Y32" s="32"/>
    </row>
    <row r="33" spans="1:24" s="341" customFormat="1">
      <c r="A33" s="552" t="s">
        <v>206</v>
      </c>
      <c r="B33" s="553"/>
      <c r="C33" s="553"/>
      <c r="D33" s="554">
        <v>0</v>
      </c>
      <c r="E33" s="555">
        <v>0</v>
      </c>
      <c r="F33" s="555">
        <f t="shared" ref="F33:X33" si="2">F12/F28</f>
        <v>0</v>
      </c>
      <c r="G33" s="555">
        <f t="shared" si="2"/>
        <v>0</v>
      </c>
      <c r="H33" s="555">
        <f t="shared" si="2"/>
        <v>0</v>
      </c>
      <c r="I33" s="555">
        <f t="shared" si="2"/>
        <v>0</v>
      </c>
      <c r="J33" s="555">
        <f t="shared" si="2"/>
        <v>0</v>
      </c>
      <c r="K33" s="555">
        <f t="shared" si="2"/>
        <v>0</v>
      </c>
      <c r="L33" s="555">
        <f t="shared" si="2"/>
        <v>0</v>
      </c>
      <c r="M33" s="555">
        <f t="shared" si="2"/>
        <v>0</v>
      </c>
      <c r="N33" s="555">
        <f t="shared" si="2"/>
        <v>0</v>
      </c>
      <c r="O33" s="555">
        <f t="shared" si="2"/>
        <v>0</v>
      </c>
      <c r="P33" s="555">
        <f t="shared" si="2"/>
        <v>0</v>
      </c>
      <c r="Q33" s="555">
        <f t="shared" si="2"/>
        <v>0</v>
      </c>
      <c r="R33" s="555">
        <f t="shared" si="2"/>
        <v>0</v>
      </c>
      <c r="S33" s="555">
        <f t="shared" si="2"/>
        <v>0</v>
      </c>
      <c r="T33" s="555">
        <f t="shared" si="2"/>
        <v>0</v>
      </c>
      <c r="U33" s="555">
        <f t="shared" si="2"/>
        <v>0</v>
      </c>
      <c r="V33" s="555">
        <f t="shared" si="2"/>
        <v>0</v>
      </c>
      <c r="W33" s="555">
        <f t="shared" si="2"/>
        <v>0</v>
      </c>
      <c r="X33" s="555">
        <f t="shared" si="2"/>
        <v>0</v>
      </c>
    </row>
    <row r="34" spans="1:24" s="341" customFormat="1">
      <c r="A34" s="552" t="s">
        <v>207</v>
      </c>
      <c r="B34" s="553"/>
      <c r="C34" s="553"/>
      <c r="D34" s="554">
        <v>0</v>
      </c>
      <c r="E34" s="555">
        <v>0</v>
      </c>
      <c r="F34" s="555">
        <v>5500</v>
      </c>
      <c r="G34" s="555">
        <v>5500</v>
      </c>
      <c r="H34" s="555">
        <v>5500</v>
      </c>
      <c r="I34" s="555">
        <v>5500</v>
      </c>
      <c r="J34" s="555">
        <v>5500</v>
      </c>
      <c r="K34" s="555">
        <v>5500</v>
      </c>
      <c r="L34" s="555">
        <v>5500</v>
      </c>
      <c r="M34" s="555">
        <v>5500</v>
      </c>
      <c r="N34" s="555">
        <v>5500</v>
      </c>
      <c r="O34" s="555">
        <v>5500</v>
      </c>
      <c r="P34" s="555">
        <v>5500</v>
      </c>
      <c r="Q34" s="555">
        <v>5500</v>
      </c>
      <c r="R34" s="555">
        <v>5500</v>
      </c>
      <c r="S34" s="555">
        <v>5500</v>
      </c>
      <c r="T34" s="555">
        <v>5500</v>
      </c>
      <c r="U34" s="555">
        <v>5500</v>
      </c>
      <c r="V34" s="555">
        <v>5500</v>
      </c>
      <c r="W34" s="555">
        <v>5500</v>
      </c>
      <c r="X34" s="555">
        <v>5500</v>
      </c>
    </row>
    <row r="35" spans="1:24" s="341" customFormat="1">
      <c r="A35" s="552" t="s">
        <v>221</v>
      </c>
      <c r="B35" s="553"/>
      <c r="C35" s="553"/>
      <c r="D35" s="554">
        <v>0</v>
      </c>
      <c r="E35" s="560">
        <f t="shared" ref="E35:X35" si="3">E18/E29</f>
        <v>400</v>
      </c>
      <c r="F35" s="560">
        <f t="shared" si="3"/>
        <v>466.66666666666669</v>
      </c>
      <c r="G35" s="560">
        <f t="shared" si="3"/>
        <v>533.33333333333337</v>
      </c>
      <c r="H35" s="560">
        <f t="shared" si="3"/>
        <v>533.33333333333337</v>
      </c>
      <c r="I35" s="560">
        <f t="shared" si="3"/>
        <v>533.33333333333337</v>
      </c>
      <c r="J35" s="560">
        <f t="shared" si="3"/>
        <v>533.33333333333337</v>
      </c>
      <c r="K35" s="560">
        <f t="shared" si="3"/>
        <v>533.33333333333337</v>
      </c>
      <c r="L35" s="560">
        <f t="shared" si="3"/>
        <v>533.33333333333337</v>
      </c>
      <c r="M35" s="560">
        <f t="shared" si="3"/>
        <v>533.33333333333337</v>
      </c>
      <c r="N35" s="560">
        <f t="shared" si="3"/>
        <v>533.33333333333337</v>
      </c>
      <c r="O35" s="560">
        <f t="shared" si="3"/>
        <v>533.33333333333337</v>
      </c>
      <c r="P35" s="560">
        <f t="shared" si="3"/>
        <v>533.33333333333337</v>
      </c>
      <c r="Q35" s="560">
        <f t="shared" si="3"/>
        <v>533.33333333333337</v>
      </c>
      <c r="R35" s="560">
        <f t="shared" si="3"/>
        <v>533.33333333333337</v>
      </c>
      <c r="S35" s="560">
        <f t="shared" si="3"/>
        <v>533.33333333333337</v>
      </c>
      <c r="T35" s="560">
        <f t="shared" si="3"/>
        <v>533.33333333333337</v>
      </c>
      <c r="U35" s="560">
        <f t="shared" si="3"/>
        <v>533.33333333333337</v>
      </c>
      <c r="V35" s="560">
        <f t="shared" si="3"/>
        <v>533.33333333333337</v>
      </c>
      <c r="W35" s="560">
        <f t="shared" si="3"/>
        <v>533.33333333333337</v>
      </c>
      <c r="X35" s="560">
        <f t="shared" si="3"/>
        <v>533.33333333333337</v>
      </c>
    </row>
    <row r="36" spans="1:24" s="341" customFormat="1">
      <c r="A36" s="552" t="s">
        <v>222</v>
      </c>
      <c r="B36" s="553"/>
      <c r="C36" s="553"/>
      <c r="D36" s="554">
        <v>0</v>
      </c>
      <c r="E36" s="560">
        <v>800</v>
      </c>
      <c r="F36" s="560">
        <v>800</v>
      </c>
      <c r="G36" s="560">
        <v>800</v>
      </c>
      <c r="H36" s="560">
        <v>800</v>
      </c>
      <c r="I36" s="560">
        <v>800</v>
      </c>
      <c r="J36" s="560">
        <v>800</v>
      </c>
      <c r="K36" s="560">
        <v>800</v>
      </c>
      <c r="L36" s="560">
        <v>800</v>
      </c>
      <c r="M36" s="560">
        <v>800</v>
      </c>
      <c r="N36" s="560">
        <v>800</v>
      </c>
      <c r="O36" s="560">
        <v>800</v>
      </c>
      <c r="P36" s="560">
        <v>800</v>
      </c>
      <c r="Q36" s="560">
        <v>800</v>
      </c>
      <c r="R36" s="560">
        <v>800</v>
      </c>
      <c r="S36" s="560">
        <v>800</v>
      </c>
      <c r="T36" s="560">
        <v>800</v>
      </c>
      <c r="U36" s="560">
        <v>800</v>
      </c>
      <c r="V36" s="560">
        <v>800</v>
      </c>
      <c r="W36" s="560">
        <v>800</v>
      </c>
      <c r="X36" s="560">
        <v>800</v>
      </c>
    </row>
    <row r="37" spans="1:24" s="341" customFormat="1">
      <c r="A37" s="552" t="s">
        <v>208</v>
      </c>
      <c r="B37" s="553"/>
      <c r="C37" s="553"/>
      <c r="D37" s="554">
        <v>0</v>
      </c>
      <c r="E37" s="560">
        <f>SUM(E34,E36)</f>
        <v>800</v>
      </c>
      <c r="F37" s="560">
        <f t="shared" ref="F37:X37" si="4">SUM(F34,F36)</f>
        <v>6300</v>
      </c>
      <c r="G37" s="560">
        <f t="shared" si="4"/>
        <v>6300</v>
      </c>
      <c r="H37" s="560">
        <f t="shared" si="4"/>
        <v>6300</v>
      </c>
      <c r="I37" s="560">
        <f t="shared" si="4"/>
        <v>6300</v>
      </c>
      <c r="J37" s="560">
        <f t="shared" si="4"/>
        <v>6300</v>
      </c>
      <c r="K37" s="560">
        <f t="shared" si="4"/>
        <v>6300</v>
      </c>
      <c r="L37" s="560">
        <f t="shared" si="4"/>
        <v>6300</v>
      </c>
      <c r="M37" s="560">
        <f t="shared" si="4"/>
        <v>6300</v>
      </c>
      <c r="N37" s="560">
        <f t="shared" si="4"/>
        <v>6300</v>
      </c>
      <c r="O37" s="560">
        <f t="shared" si="4"/>
        <v>6300</v>
      </c>
      <c r="P37" s="560">
        <f t="shared" si="4"/>
        <v>6300</v>
      </c>
      <c r="Q37" s="560">
        <f t="shared" si="4"/>
        <v>6300</v>
      </c>
      <c r="R37" s="560">
        <f t="shared" si="4"/>
        <v>6300</v>
      </c>
      <c r="S37" s="560">
        <f t="shared" si="4"/>
        <v>6300</v>
      </c>
      <c r="T37" s="560">
        <f t="shared" si="4"/>
        <v>6300</v>
      </c>
      <c r="U37" s="560">
        <f t="shared" si="4"/>
        <v>6300</v>
      </c>
      <c r="V37" s="560">
        <f t="shared" si="4"/>
        <v>6300</v>
      </c>
      <c r="W37" s="560">
        <f t="shared" si="4"/>
        <v>6300</v>
      </c>
      <c r="X37" s="560">
        <f t="shared" si="4"/>
        <v>6300</v>
      </c>
    </row>
    <row r="38" spans="1:24">
      <c r="A38" s="54"/>
      <c r="B38" s="21"/>
      <c r="C38" s="21"/>
      <c r="D38" s="486"/>
      <c r="E38" s="330"/>
      <c r="F38" s="330"/>
      <c r="G38" s="330"/>
      <c r="H38" s="330"/>
      <c r="I38" s="330"/>
      <c r="J38" s="330"/>
      <c r="K38" s="330"/>
      <c r="L38" s="330"/>
      <c r="M38" s="330"/>
      <c r="N38" s="330"/>
      <c r="O38" s="330"/>
      <c r="P38" s="330"/>
      <c r="Q38" s="330"/>
      <c r="R38" s="330"/>
      <c r="S38" s="330"/>
      <c r="T38" s="330"/>
      <c r="U38" s="330"/>
      <c r="V38" s="330"/>
      <c r="W38" s="330"/>
      <c r="X38" s="330"/>
    </row>
    <row r="39" spans="1:24" s="341" customFormat="1">
      <c r="A39" s="552" t="s">
        <v>223</v>
      </c>
      <c r="B39" s="557"/>
      <c r="C39" s="557"/>
      <c r="D39" s="554">
        <v>0</v>
      </c>
      <c r="E39" s="555">
        <f t="shared" ref="E39:X39" si="5">(E19+E20)/E29</f>
        <v>160.26666666666668</v>
      </c>
      <c r="F39" s="555">
        <f t="shared" si="5"/>
        <v>187</v>
      </c>
      <c r="G39" s="555">
        <f t="shared" si="5"/>
        <v>213.73333333333332</v>
      </c>
      <c r="H39" s="555">
        <f t="shared" si="5"/>
        <v>213.73333333333332</v>
      </c>
      <c r="I39" s="555">
        <f t="shared" si="5"/>
        <v>213.73333333333332</v>
      </c>
      <c r="J39" s="555">
        <f t="shared" si="5"/>
        <v>213.73333333333332</v>
      </c>
      <c r="K39" s="555">
        <f t="shared" si="5"/>
        <v>213.73333333333332</v>
      </c>
      <c r="L39" s="555">
        <f t="shared" si="5"/>
        <v>213.73333333333332</v>
      </c>
      <c r="M39" s="555">
        <f t="shared" si="5"/>
        <v>213.73333333333332</v>
      </c>
      <c r="N39" s="555">
        <f t="shared" si="5"/>
        <v>213.73333333333332</v>
      </c>
      <c r="O39" s="555">
        <f t="shared" si="5"/>
        <v>213.73333333333332</v>
      </c>
      <c r="P39" s="555">
        <f t="shared" si="5"/>
        <v>213.73333333333332</v>
      </c>
      <c r="Q39" s="555">
        <f t="shared" si="5"/>
        <v>213.73333333333332</v>
      </c>
      <c r="R39" s="555">
        <f t="shared" si="5"/>
        <v>213.73333333333332</v>
      </c>
      <c r="S39" s="555">
        <f t="shared" si="5"/>
        <v>213.73333333333332</v>
      </c>
      <c r="T39" s="555">
        <f t="shared" si="5"/>
        <v>213.73333333333332</v>
      </c>
      <c r="U39" s="555">
        <f t="shared" si="5"/>
        <v>213.73333333333332</v>
      </c>
      <c r="V39" s="555">
        <f t="shared" si="5"/>
        <v>213.73333333333332</v>
      </c>
      <c r="W39" s="555">
        <f t="shared" si="5"/>
        <v>213.73333333333332</v>
      </c>
      <c r="X39" s="555">
        <f t="shared" si="5"/>
        <v>213.73333333333332</v>
      </c>
    </row>
    <row r="40" spans="1:24">
      <c r="A40" s="54"/>
      <c r="B40" s="74"/>
      <c r="C40" s="74"/>
      <c r="D40" s="492"/>
      <c r="E40" s="308"/>
      <c r="F40" s="308"/>
      <c r="G40" s="308"/>
      <c r="H40" s="308"/>
      <c r="I40" s="308"/>
      <c r="J40" s="308"/>
      <c r="K40" s="308"/>
      <c r="L40" s="308"/>
      <c r="M40" s="308"/>
      <c r="N40" s="308"/>
      <c r="O40" s="308"/>
      <c r="P40" s="308"/>
      <c r="Q40" s="308"/>
      <c r="R40" s="308"/>
      <c r="S40" s="308"/>
      <c r="T40" s="308"/>
      <c r="U40" s="308"/>
      <c r="V40" s="308"/>
      <c r="W40" s="308"/>
      <c r="X40" s="308"/>
    </row>
    <row r="41" spans="1:24">
      <c r="A41" s="293" t="s">
        <v>26</v>
      </c>
      <c r="B41" s="74"/>
      <c r="C41" s="74"/>
      <c r="D41" s="492"/>
      <c r="E41" s="308"/>
      <c r="F41" s="308"/>
      <c r="G41" s="308"/>
      <c r="H41" s="308"/>
      <c r="I41" s="308"/>
      <c r="J41" s="308"/>
      <c r="K41" s="308"/>
      <c r="L41" s="308"/>
      <c r="M41" s="308"/>
      <c r="N41" s="308"/>
      <c r="O41" s="308"/>
      <c r="P41" s="308"/>
      <c r="Q41" s="308"/>
      <c r="R41" s="308"/>
      <c r="S41" s="308"/>
      <c r="T41" s="308"/>
      <c r="U41" s="308"/>
      <c r="V41" s="308"/>
      <c r="W41" s="308"/>
      <c r="X41" s="308"/>
    </row>
    <row r="42" spans="1:24">
      <c r="A42" s="54" t="s">
        <v>264</v>
      </c>
      <c r="B42" s="277"/>
      <c r="C42" s="74"/>
      <c r="D42" s="486">
        <v>0</v>
      </c>
      <c r="E42" s="313">
        <f>'Parking Projections'!C29/2</f>
        <v>1922.3333333333337</v>
      </c>
      <c r="F42" s="313">
        <f>'Parking Projections'!D29</f>
        <v>3844.6666666666674</v>
      </c>
      <c r="G42" s="313">
        <f>'Parking Projections'!E29</f>
        <v>3844.6666666666674</v>
      </c>
      <c r="H42" s="313">
        <f>'Parking Projections'!F29</f>
        <v>3844.6666666666674</v>
      </c>
      <c r="I42" s="313">
        <f>'Parking Projections'!G29</f>
        <v>3844.6666666666674</v>
      </c>
      <c r="J42" s="313">
        <f>'Parking Projections'!H29</f>
        <v>3844.6666666666674</v>
      </c>
      <c r="K42" s="313">
        <f>'Parking Projections'!I29</f>
        <v>3844.6666666666674</v>
      </c>
      <c r="L42" s="313">
        <f>'Parking Projections'!J29</f>
        <v>3844.6666666666674</v>
      </c>
      <c r="M42" s="313">
        <f>'Parking Projections'!K29</f>
        <v>3844.6666666666674</v>
      </c>
      <c r="N42" s="313">
        <f>'Parking Projections'!L29</f>
        <v>3844.6666666666674</v>
      </c>
      <c r="O42" s="313">
        <f>'Parking Projections'!M29</f>
        <v>3844.6666666666674</v>
      </c>
      <c r="P42" s="313">
        <f>'Parking Projections'!N29</f>
        <v>3844.6666666666674</v>
      </c>
      <c r="Q42" s="313">
        <f>'Parking Projections'!O29</f>
        <v>3844.6666666666674</v>
      </c>
      <c r="R42" s="313">
        <f>'Parking Projections'!P29</f>
        <v>3844.6666666666674</v>
      </c>
      <c r="S42" s="313">
        <f>'Parking Projections'!Q29</f>
        <v>3844.6666666666674</v>
      </c>
      <c r="T42" s="313">
        <f>'Parking Projections'!R29</f>
        <v>3844.6666666666674</v>
      </c>
      <c r="U42" s="313">
        <f>'Parking Projections'!S29</f>
        <v>3844.6666666666674</v>
      </c>
      <c r="V42" s="313">
        <f>'Parking Projections'!T29</f>
        <v>3844.6666666666674</v>
      </c>
      <c r="W42" s="313">
        <f>'Parking Projections'!U29</f>
        <v>3844.6666666666674</v>
      </c>
      <c r="X42" s="313">
        <f>'Parking Projections'!V29</f>
        <v>3844.6666666666674</v>
      </c>
    </row>
    <row r="43" spans="1:24">
      <c r="A43" s="54" t="s">
        <v>267</v>
      </c>
      <c r="B43" s="277"/>
      <c r="C43" s="74"/>
      <c r="D43" s="486">
        <v>0</v>
      </c>
      <c r="E43" s="313">
        <f>'Parking Projections'!C33/2</f>
        <v>13243.416666666662</v>
      </c>
      <c r="F43" s="313">
        <f>'Parking Projections'!D33</f>
        <v>26486.833333333325</v>
      </c>
      <c r="G43" s="313">
        <f>'Parking Projections'!E33</f>
        <v>26486.833333333325</v>
      </c>
      <c r="H43" s="313">
        <f>'Parking Projections'!F33</f>
        <v>26486.833333333325</v>
      </c>
      <c r="I43" s="313">
        <f>'Parking Projections'!G33</f>
        <v>26486.833333333325</v>
      </c>
      <c r="J43" s="313">
        <f>'Parking Projections'!H33</f>
        <v>26486.833333333325</v>
      </c>
      <c r="K43" s="313">
        <f>'Parking Projections'!I33</f>
        <v>26486.833333333325</v>
      </c>
      <c r="L43" s="313">
        <f>'Parking Projections'!J33</f>
        <v>26486.833333333325</v>
      </c>
      <c r="M43" s="313">
        <f>'Parking Projections'!K33</f>
        <v>26486.833333333325</v>
      </c>
      <c r="N43" s="313">
        <f>'Parking Projections'!L33</f>
        <v>26486.833333333325</v>
      </c>
      <c r="O43" s="313">
        <f>'Parking Projections'!M33</f>
        <v>26486.833333333325</v>
      </c>
      <c r="P43" s="313">
        <f>'Parking Projections'!N33</f>
        <v>26486.833333333325</v>
      </c>
      <c r="Q43" s="313">
        <f>'Parking Projections'!O33</f>
        <v>26486.833333333325</v>
      </c>
      <c r="R43" s="313">
        <f>'Parking Projections'!P33</f>
        <v>26486.833333333325</v>
      </c>
      <c r="S43" s="313">
        <f>'Parking Projections'!Q33</f>
        <v>26486.833333333325</v>
      </c>
      <c r="T43" s="313">
        <f>'Parking Projections'!R33</f>
        <v>26486.833333333325</v>
      </c>
      <c r="U43" s="313">
        <f>'Parking Projections'!S33</f>
        <v>26486.833333333325</v>
      </c>
      <c r="V43" s="313">
        <f>'Parking Projections'!T33</f>
        <v>26486.833333333325</v>
      </c>
      <c r="W43" s="313">
        <f>'Parking Projections'!U33</f>
        <v>26486.833333333325</v>
      </c>
      <c r="X43" s="313">
        <f>'Parking Projections'!V33</f>
        <v>26486.833333333325</v>
      </c>
    </row>
    <row r="44" spans="1:24" s="96" customFormat="1">
      <c r="A44" s="54" t="s">
        <v>274</v>
      </c>
      <c r="B44" s="435"/>
      <c r="C44" s="583"/>
      <c r="D44" s="486">
        <v>0</v>
      </c>
      <c r="E44" s="313">
        <f>SUM(E42:E43)</f>
        <v>15165.749999999996</v>
      </c>
      <c r="F44" s="313">
        <f>SUM(F42:F43)</f>
        <v>30331.499999999993</v>
      </c>
      <c r="G44" s="313">
        <f t="shared" ref="G44:X44" si="6">SUM(G42:G43)</f>
        <v>30331.499999999993</v>
      </c>
      <c r="H44" s="313">
        <f t="shared" si="6"/>
        <v>30331.499999999993</v>
      </c>
      <c r="I44" s="313">
        <f t="shared" si="6"/>
        <v>30331.499999999993</v>
      </c>
      <c r="J44" s="313">
        <f t="shared" si="6"/>
        <v>30331.499999999993</v>
      </c>
      <c r="K44" s="313">
        <f t="shared" si="6"/>
        <v>30331.499999999993</v>
      </c>
      <c r="L44" s="313">
        <f t="shared" si="6"/>
        <v>30331.499999999993</v>
      </c>
      <c r="M44" s="313">
        <f t="shared" si="6"/>
        <v>30331.499999999993</v>
      </c>
      <c r="N44" s="313">
        <f t="shared" si="6"/>
        <v>30331.499999999993</v>
      </c>
      <c r="O44" s="313">
        <f t="shared" si="6"/>
        <v>30331.499999999993</v>
      </c>
      <c r="P44" s="313">
        <f t="shared" si="6"/>
        <v>30331.499999999993</v>
      </c>
      <c r="Q44" s="313">
        <f t="shared" si="6"/>
        <v>30331.499999999993</v>
      </c>
      <c r="R44" s="313">
        <f t="shared" si="6"/>
        <v>30331.499999999993</v>
      </c>
      <c r="S44" s="313">
        <f t="shared" si="6"/>
        <v>30331.499999999993</v>
      </c>
      <c r="T44" s="313">
        <f t="shared" si="6"/>
        <v>30331.499999999993</v>
      </c>
      <c r="U44" s="313">
        <f t="shared" si="6"/>
        <v>30331.499999999993</v>
      </c>
      <c r="V44" s="313">
        <f t="shared" si="6"/>
        <v>30331.499999999993</v>
      </c>
      <c r="W44" s="313">
        <f t="shared" si="6"/>
        <v>30331.499999999993</v>
      </c>
      <c r="X44" s="313">
        <f t="shared" si="6"/>
        <v>30331.499999999993</v>
      </c>
    </row>
    <row r="45" spans="1:24">
      <c r="A45" s="54"/>
      <c r="B45" s="277"/>
      <c r="C45" s="74"/>
      <c r="D45" s="499"/>
      <c r="E45" s="308"/>
      <c r="F45" s="308"/>
      <c r="G45" s="308"/>
      <c r="H45" s="308"/>
      <c r="I45" s="308"/>
      <c r="J45" s="308"/>
      <c r="K45" s="308"/>
      <c r="L45" s="308"/>
      <c r="M45" s="308"/>
      <c r="N45" s="308"/>
      <c r="O45" s="308"/>
      <c r="P45" s="308"/>
      <c r="Q45" s="308"/>
      <c r="R45" s="308"/>
      <c r="S45" s="308"/>
      <c r="T45" s="308"/>
      <c r="U45" s="308"/>
      <c r="V45" s="308"/>
      <c r="W45" s="308"/>
      <c r="X45" s="308"/>
    </row>
    <row r="46" spans="1:24" s="341" customFormat="1">
      <c r="A46" s="552" t="s">
        <v>224</v>
      </c>
      <c r="B46" s="556"/>
      <c r="C46" s="557"/>
      <c r="D46" s="554">
        <v>0</v>
      </c>
      <c r="E46" s="558">
        <v>3</v>
      </c>
      <c r="F46" s="558">
        <v>3</v>
      </c>
      <c r="G46" s="558">
        <v>3</v>
      </c>
      <c r="H46" s="558">
        <v>3</v>
      </c>
      <c r="I46" s="558">
        <v>3</v>
      </c>
      <c r="J46" s="558">
        <v>3</v>
      </c>
      <c r="K46" s="558">
        <v>3</v>
      </c>
      <c r="L46" s="558">
        <v>3</v>
      </c>
      <c r="M46" s="558">
        <v>3</v>
      </c>
      <c r="N46" s="558">
        <v>3</v>
      </c>
      <c r="O46" s="558">
        <v>3</v>
      </c>
      <c r="P46" s="558">
        <v>3</v>
      </c>
      <c r="Q46" s="558">
        <v>3</v>
      </c>
      <c r="R46" s="558">
        <v>3</v>
      </c>
      <c r="S46" s="558">
        <v>3</v>
      </c>
      <c r="T46" s="558">
        <v>3</v>
      </c>
      <c r="U46" s="558">
        <v>3</v>
      </c>
      <c r="V46" s="558">
        <v>3</v>
      </c>
      <c r="W46" s="558">
        <v>3</v>
      </c>
      <c r="X46" s="558">
        <v>3</v>
      </c>
    </row>
    <row r="47" spans="1:24" s="96" customFormat="1">
      <c r="A47" s="54" t="s">
        <v>225</v>
      </c>
      <c r="B47" s="435"/>
      <c r="C47" s="583"/>
      <c r="D47" s="486">
        <v>0</v>
      </c>
      <c r="E47" s="496">
        <v>1</v>
      </c>
      <c r="F47" s="496">
        <v>1</v>
      </c>
      <c r="G47" s="496">
        <v>1</v>
      </c>
      <c r="H47" s="496">
        <v>1</v>
      </c>
      <c r="I47" s="496">
        <v>1</v>
      </c>
      <c r="J47" s="496">
        <v>1</v>
      </c>
      <c r="K47" s="496">
        <v>1</v>
      </c>
      <c r="L47" s="496">
        <v>1</v>
      </c>
      <c r="M47" s="496">
        <v>1</v>
      </c>
      <c r="N47" s="496">
        <v>1</v>
      </c>
      <c r="O47" s="496">
        <v>1</v>
      </c>
      <c r="P47" s="496">
        <v>1</v>
      </c>
      <c r="Q47" s="496">
        <v>1</v>
      </c>
      <c r="R47" s="496">
        <v>1</v>
      </c>
      <c r="S47" s="496">
        <v>1</v>
      </c>
      <c r="T47" s="496">
        <v>1</v>
      </c>
      <c r="U47" s="496">
        <v>1</v>
      </c>
      <c r="V47" s="496">
        <v>1</v>
      </c>
      <c r="W47" s="496">
        <v>1</v>
      </c>
      <c r="X47" s="496">
        <v>1</v>
      </c>
    </row>
    <row r="48" spans="1:24">
      <c r="A48" s="54" t="s">
        <v>209</v>
      </c>
      <c r="B48" s="277"/>
      <c r="C48" s="74"/>
      <c r="D48" s="486">
        <v>0</v>
      </c>
      <c r="E48" s="496">
        <v>0.5</v>
      </c>
      <c r="F48" s="496">
        <v>0.5</v>
      </c>
      <c r="G48" s="496">
        <v>0.5</v>
      </c>
      <c r="H48" s="496">
        <v>0.5</v>
      </c>
      <c r="I48" s="496">
        <v>0.5</v>
      </c>
      <c r="J48" s="496">
        <v>0.5</v>
      </c>
      <c r="K48" s="496">
        <v>0.5</v>
      </c>
      <c r="L48" s="496">
        <v>0.5</v>
      </c>
      <c r="M48" s="496">
        <v>0.5</v>
      </c>
      <c r="N48" s="496">
        <v>0.5</v>
      </c>
      <c r="O48" s="496">
        <v>0.5</v>
      </c>
      <c r="P48" s="496">
        <v>0.5</v>
      </c>
      <c r="Q48" s="496">
        <v>0.5</v>
      </c>
      <c r="R48" s="496">
        <v>0.5</v>
      </c>
      <c r="S48" s="496">
        <v>0.5</v>
      </c>
      <c r="T48" s="496">
        <v>0.5</v>
      </c>
      <c r="U48" s="496">
        <v>0.5</v>
      </c>
      <c r="V48" s="496">
        <v>0.5</v>
      </c>
      <c r="W48" s="496">
        <v>0.5</v>
      </c>
      <c r="X48" s="496">
        <v>0.5</v>
      </c>
    </row>
    <row r="49" spans="1:25 16384:16384">
      <c r="A49" s="54" t="s">
        <v>289</v>
      </c>
      <c r="B49" s="277"/>
      <c r="C49" s="74"/>
      <c r="D49" s="486">
        <v>0</v>
      </c>
      <c r="E49" s="496">
        <f>SUM(E47:E48)/2</f>
        <v>0.75</v>
      </c>
      <c r="F49" s="496">
        <f t="shared" ref="F49:X49" si="7">SUM(F47:F48)/2</f>
        <v>0.75</v>
      </c>
      <c r="G49" s="496">
        <f t="shared" si="7"/>
        <v>0.75</v>
      </c>
      <c r="H49" s="496">
        <f t="shared" si="7"/>
        <v>0.75</v>
      </c>
      <c r="I49" s="496">
        <f t="shared" si="7"/>
        <v>0.75</v>
      </c>
      <c r="J49" s="496">
        <f t="shared" si="7"/>
        <v>0.75</v>
      </c>
      <c r="K49" s="496">
        <f t="shared" si="7"/>
        <v>0.75</v>
      </c>
      <c r="L49" s="496">
        <f t="shared" si="7"/>
        <v>0.75</v>
      </c>
      <c r="M49" s="496">
        <f t="shared" si="7"/>
        <v>0.75</v>
      </c>
      <c r="N49" s="496">
        <f t="shared" si="7"/>
        <v>0.75</v>
      </c>
      <c r="O49" s="496">
        <f t="shared" si="7"/>
        <v>0.75</v>
      </c>
      <c r="P49" s="496">
        <f t="shared" si="7"/>
        <v>0.75</v>
      </c>
      <c r="Q49" s="496">
        <f t="shared" si="7"/>
        <v>0.75</v>
      </c>
      <c r="R49" s="496">
        <f t="shared" si="7"/>
        <v>0.75</v>
      </c>
      <c r="S49" s="496">
        <f t="shared" si="7"/>
        <v>0.75</v>
      </c>
      <c r="T49" s="496">
        <f t="shared" si="7"/>
        <v>0.75</v>
      </c>
      <c r="U49" s="496">
        <f t="shared" si="7"/>
        <v>0.75</v>
      </c>
      <c r="V49" s="496">
        <f t="shared" si="7"/>
        <v>0.75</v>
      </c>
      <c r="W49" s="496">
        <f t="shared" si="7"/>
        <v>0.75</v>
      </c>
      <c r="X49" s="496">
        <f t="shared" si="7"/>
        <v>0.75</v>
      </c>
      <c r="XFD49" s="570">
        <f>SUM(D49:XFC49)</f>
        <v>15</v>
      </c>
    </row>
    <row r="50" spans="1:25 16384:16384">
      <c r="A50" s="54"/>
      <c r="B50" s="277"/>
      <c r="C50" s="74"/>
      <c r="D50" s="486"/>
      <c r="E50" s="496"/>
      <c r="F50" s="496"/>
      <c r="G50" s="496"/>
      <c r="H50" s="496"/>
      <c r="I50" s="496"/>
      <c r="J50" s="496"/>
      <c r="K50" s="496"/>
      <c r="L50" s="496"/>
      <c r="M50" s="496"/>
      <c r="N50" s="496"/>
      <c r="O50" s="496"/>
      <c r="P50" s="496"/>
      <c r="Q50" s="496"/>
      <c r="R50" s="496"/>
      <c r="S50" s="496"/>
      <c r="T50" s="496"/>
      <c r="U50" s="496"/>
      <c r="V50" s="496"/>
      <c r="W50" s="496"/>
      <c r="X50" s="496"/>
      <c r="XFD50" s="570"/>
    </row>
    <row r="51" spans="1:25 16384:16384">
      <c r="A51" s="54" t="s">
        <v>312</v>
      </c>
      <c r="B51" s="277"/>
      <c r="C51" s="74"/>
      <c r="D51" s="486">
        <v>0</v>
      </c>
      <c r="E51" s="313">
        <f>'OPEX - Concept A2'!L56</f>
        <v>3595</v>
      </c>
      <c r="F51" s="313">
        <f>'OPEX - Concept A2'!M56</f>
        <v>7190</v>
      </c>
      <c r="G51" s="313">
        <f>'OPEX - Concept A2'!N56</f>
        <v>7190</v>
      </c>
      <c r="H51" s="313">
        <f>'OPEX - Concept A2'!O56</f>
        <v>7190</v>
      </c>
      <c r="I51" s="313">
        <f>'OPEX - Concept A2'!P56</f>
        <v>7190</v>
      </c>
      <c r="J51" s="313">
        <f>'OPEX - Concept A2'!Q56</f>
        <v>7190</v>
      </c>
      <c r="K51" s="313">
        <f>'OPEX - Concept A2'!R56</f>
        <v>7190</v>
      </c>
      <c r="L51" s="313">
        <f>'OPEX - Concept A2'!S56</f>
        <v>7190</v>
      </c>
      <c r="M51" s="313">
        <f>'OPEX - Concept A2'!T56</f>
        <v>7190</v>
      </c>
      <c r="N51" s="313">
        <f>'OPEX - Concept A2'!U56</f>
        <v>7190</v>
      </c>
      <c r="O51" s="313">
        <f>'OPEX - Concept A2'!V56</f>
        <v>7190</v>
      </c>
      <c r="P51" s="313">
        <f>'OPEX - Concept A2'!W56</f>
        <v>7190</v>
      </c>
      <c r="Q51" s="313">
        <f>'OPEX - Concept A2'!X56</f>
        <v>7190</v>
      </c>
      <c r="R51" s="313">
        <f>'OPEX - Concept A2'!Y56</f>
        <v>7190</v>
      </c>
      <c r="S51" s="313">
        <f>'OPEX - Concept A2'!Z56</f>
        <v>7190</v>
      </c>
      <c r="T51" s="313">
        <f>'OPEX - Concept A2'!AA56</f>
        <v>7190</v>
      </c>
      <c r="U51" s="313">
        <f>'OPEX - Concept A2'!AB56</f>
        <v>7190</v>
      </c>
      <c r="V51" s="313">
        <f>'OPEX - Concept A2'!AC56</f>
        <v>7190</v>
      </c>
      <c r="W51" s="313">
        <f>'OPEX - Concept A2'!AD56</f>
        <v>7190</v>
      </c>
      <c r="X51" s="313">
        <f>'OPEX - Concept A2'!AE56</f>
        <v>7190</v>
      </c>
      <c r="XFD51" s="570"/>
    </row>
    <row r="52" spans="1:25 16384:16384">
      <c r="A52" s="54"/>
      <c r="B52" s="277"/>
      <c r="C52" s="74"/>
      <c r="D52" s="486"/>
      <c r="E52" s="308"/>
      <c r="F52" s="308"/>
      <c r="G52" s="308"/>
      <c r="H52" s="308"/>
      <c r="I52" s="308"/>
      <c r="J52" s="308"/>
      <c r="K52" s="308"/>
      <c r="L52" s="308"/>
      <c r="M52" s="308"/>
      <c r="N52" s="308"/>
      <c r="O52" s="308"/>
      <c r="P52" s="308"/>
      <c r="Q52" s="308"/>
      <c r="R52" s="308"/>
      <c r="S52" s="308"/>
      <c r="T52" s="308"/>
      <c r="U52" s="308"/>
      <c r="V52" s="308"/>
      <c r="W52" s="308"/>
      <c r="X52" s="308"/>
    </row>
    <row r="53" spans="1:25 16384:16384" s="612" customFormat="1">
      <c r="A53" s="613" t="s">
        <v>292</v>
      </c>
      <c r="B53" s="614"/>
      <c r="C53" s="615"/>
      <c r="D53" s="616">
        <v>0</v>
      </c>
      <c r="E53" s="617">
        <v>0</v>
      </c>
      <c r="F53" s="617">
        <v>0</v>
      </c>
      <c r="G53" s="617">
        <v>100000</v>
      </c>
      <c r="H53" s="617">
        <v>100000</v>
      </c>
      <c r="I53" s="617">
        <v>100000</v>
      </c>
      <c r="J53" s="617">
        <v>100000</v>
      </c>
      <c r="K53" s="617">
        <v>100000</v>
      </c>
      <c r="L53" s="617">
        <v>100000</v>
      </c>
      <c r="M53" s="617">
        <v>100000</v>
      </c>
      <c r="N53" s="617">
        <v>100000</v>
      </c>
      <c r="O53" s="617">
        <v>100000</v>
      </c>
      <c r="P53" s="617">
        <v>100000</v>
      </c>
      <c r="Q53" s="617">
        <v>100000</v>
      </c>
      <c r="R53" s="617">
        <v>100000</v>
      </c>
      <c r="S53" s="617">
        <v>100000</v>
      </c>
      <c r="T53" s="617">
        <v>100000</v>
      </c>
      <c r="U53" s="617">
        <v>100000</v>
      </c>
      <c r="V53" s="617">
        <v>100000</v>
      </c>
      <c r="W53" s="617">
        <v>100000</v>
      </c>
      <c r="X53" s="618">
        <v>100000</v>
      </c>
    </row>
    <row r="54" spans="1:25 16384:16384">
      <c r="A54" s="54"/>
      <c r="B54" s="277"/>
      <c r="C54" s="74"/>
      <c r="D54" s="486"/>
      <c r="E54" s="308"/>
      <c r="F54" s="308"/>
      <c r="G54" s="308"/>
      <c r="H54" s="308"/>
      <c r="I54" s="308"/>
      <c r="J54" s="308"/>
      <c r="K54" s="308"/>
      <c r="L54" s="308"/>
      <c r="M54" s="308"/>
      <c r="N54" s="308"/>
      <c r="O54" s="308"/>
      <c r="P54" s="308"/>
      <c r="Q54" s="308"/>
      <c r="R54" s="308"/>
      <c r="S54" s="308"/>
      <c r="T54" s="308"/>
      <c r="U54" s="308"/>
      <c r="V54" s="308"/>
      <c r="W54" s="308"/>
      <c r="X54" s="308"/>
    </row>
    <row r="55" spans="1:25 16384:16384" s="582" customFormat="1">
      <c r="A55" s="293" t="str">
        <f>'BH Tariffs'!A33</f>
        <v>Recreational/Commercial Marina</v>
      </c>
      <c r="B55" s="584"/>
      <c r="C55" s="585"/>
      <c r="D55" s="486"/>
      <c r="E55" s="586"/>
      <c r="F55" s="586"/>
      <c r="G55" s="586"/>
      <c r="H55" s="586"/>
      <c r="I55" s="586"/>
      <c r="J55" s="586"/>
      <c r="K55" s="586"/>
      <c r="L55" s="586"/>
      <c r="M55" s="586"/>
      <c r="N55" s="586"/>
      <c r="O55" s="586"/>
      <c r="P55" s="586"/>
      <c r="Q55" s="586"/>
      <c r="R55" s="586"/>
      <c r="S55" s="586"/>
      <c r="T55" s="586"/>
      <c r="U55" s="586"/>
      <c r="V55" s="586"/>
      <c r="W55" s="586"/>
      <c r="X55" s="586"/>
    </row>
    <row r="56" spans="1:25 16384:16384" s="96" customFormat="1">
      <c r="A56" s="54" t="s">
        <v>291</v>
      </c>
      <c r="B56" s="435"/>
      <c r="C56" s="583"/>
      <c r="D56" s="486">
        <v>0</v>
      </c>
      <c r="E56" s="313">
        <v>0</v>
      </c>
      <c r="F56" s="313">
        <f>'Marina Projections'!D31</f>
        <v>48</v>
      </c>
      <c r="G56" s="313">
        <f>'Marina Projections'!E31</f>
        <v>48</v>
      </c>
      <c r="H56" s="313">
        <f>'Marina Projections'!F31</f>
        <v>48</v>
      </c>
      <c r="I56" s="313">
        <f>'Marina Projections'!G31</f>
        <v>48</v>
      </c>
      <c r="J56" s="313">
        <f>'Marina Projections'!H31</f>
        <v>48</v>
      </c>
      <c r="K56" s="313">
        <f>'Marina Projections'!I31</f>
        <v>48</v>
      </c>
      <c r="L56" s="313">
        <f>'Marina Projections'!J31</f>
        <v>48</v>
      </c>
      <c r="M56" s="313">
        <f>'Marina Projections'!K31</f>
        <v>48</v>
      </c>
      <c r="N56" s="313">
        <f>'Marina Projections'!L31</f>
        <v>48</v>
      </c>
      <c r="O56" s="313">
        <f>'Marina Projections'!M31</f>
        <v>48</v>
      </c>
      <c r="P56" s="313">
        <f>'Marina Projections'!N31</f>
        <v>48</v>
      </c>
      <c r="Q56" s="313">
        <f>'Marina Projections'!O31</f>
        <v>48</v>
      </c>
      <c r="R56" s="313">
        <f>'Marina Projections'!P31</f>
        <v>48</v>
      </c>
      <c r="S56" s="313">
        <f>'Marina Projections'!Q31</f>
        <v>48</v>
      </c>
      <c r="T56" s="313">
        <f>'Marina Projections'!R31</f>
        <v>48</v>
      </c>
      <c r="U56" s="313">
        <f>'Marina Projections'!S31</f>
        <v>48</v>
      </c>
      <c r="V56" s="313">
        <f>'Marina Projections'!T31</f>
        <v>48</v>
      </c>
      <c r="W56" s="313">
        <f>'Marina Projections'!U31</f>
        <v>48</v>
      </c>
      <c r="X56" s="313">
        <f>'Marina Projections'!V31</f>
        <v>48</v>
      </c>
    </row>
    <row r="57" spans="1:25 16384:16384" s="96" customFormat="1">
      <c r="A57" s="54" t="s">
        <v>293</v>
      </c>
      <c r="B57" s="435"/>
      <c r="C57" s="583"/>
      <c r="D57" s="486">
        <v>0</v>
      </c>
      <c r="E57" s="313">
        <v>0</v>
      </c>
      <c r="F57" s="313">
        <f>'Marina Projections'!D38</f>
        <v>45131.095312500001</v>
      </c>
      <c r="G57" s="313">
        <f>'Marina Projections'!E38</f>
        <v>45131.095312500001</v>
      </c>
      <c r="H57" s="313">
        <f>'Marina Projections'!F38</f>
        <v>45131.095312500001</v>
      </c>
      <c r="I57" s="313">
        <f>'Marina Projections'!G38</f>
        <v>45131.095312500001</v>
      </c>
      <c r="J57" s="313">
        <f>'Marina Projections'!H38</f>
        <v>45131.095312500001</v>
      </c>
      <c r="K57" s="313">
        <f>'Marina Projections'!I38</f>
        <v>45131.095312500001</v>
      </c>
      <c r="L57" s="313">
        <f>'Marina Projections'!J38</f>
        <v>45131.095312500001</v>
      </c>
      <c r="M57" s="313">
        <f>'Marina Projections'!K38</f>
        <v>45131.095312500001</v>
      </c>
      <c r="N57" s="313">
        <f>'Marina Projections'!L38</f>
        <v>45131.095312500001</v>
      </c>
      <c r="O57" s="313">
        <f>'Marina Projections'!M38</f>
        <v>45131.095312500001</v>
      </c>
      <c r="P57" s="313">
        <f>'Marina Projections'!N38</f>
        <v>45131.095312500001</v>
      </c>
      <c r="Q57" s="313">
        <f>'Marina Projections'!O38</f>
        <v>45131.095312500001</v>
      </c>
      <c r="R57" s="313">
        <f>'Marina Projections'!P38</f>
        <v>45131.095312500001</v>
      </c>
      <c r="S57" s="313">
        <f>'Marina Projections'!Q38</f>
        <v>45131.095312500001</v>
      </c>
      <c r="T57" s="313">
        <f>'Marina Projections'!R38</f>
        <v>45131.095312500001</v>
      </c>
      <c r="U57" s="313">
        <f>'Marina Projections'!S38</f>
        <v>45131.095312500001</v>
      </c>
      <c r="V57" s="313">
        <f>'Marina Projections'!T38</f>
        <v>45131.095312500001</v>
      </c>
      <c r="W57" s="313">
        <f>'Marina Projections'!U38</f>
        <v>45131.095312500001</v>
      </c>
      <c r="X57" s="313">
        <f>'Marina Projections'!V38</f>
        <v>45131.095312500001</v>
      </c>
    </row>
    <row r="58" spans="1:25 16384:16384" s="96" customFormat="1">
      <c r="A58" s="54" t="s">
        <v>294</v>
      </c>
      <c r="B58" s="435"/>
      <c r="C58" s="583"/>
      <c r="D58" s="486">
        <v>0</v>
      </c>
      <c r="E58" s="313">
        <v>0</v>
      </c>
      <c r="F58" s="313">
        <f>'Marina Projections'!D34</f>
        <v>1695.75</v>
      </c>
      <c r="G58" s="313">
        <f>'Marina Projections'!E34</f>
        <v>1695.75</v>
      </c>
      <c r="H58" s="313">
        <f>'Marina Projections'!F34</f>
        <v>1695.75</v>
      </c>
      <c r="I58" s="313">
        <f>'Marina Projections'!G34</f>
        <v>1695.75</v>
      </c>
      <c r="J58" s="313">
        <f>'Marina Projections'!H34</f>
        <v>1695.75</v>
      </c>
      <c r="K58" s="313">
        <f>'Marina Projections'!I34</f>
        <v>1695.75</v>
      </c>
      <c r="L58" s="313">
        <f>'Marina Projections'!J34</f>
        <v>1695.75</v>
      </c>
      <c r="M58" s="313">
        <f>'Marina Projections'!K34</f>
        <v>1695.75</v>
      </c>
      <c r="N58" s="313">
        <f>'Marina Projections'!L34</f>
        <v>1695.75</v>
      </c>
      <c r="O58" s="313">
        <f>'Marina Projections'!M34</f>
        <v>1695.75</v>
      </c>
      <c r="P58" s="313">
        <f>'Marina Projections'!N34</f>
        <v>1695.75</v>
      </c>
      <c r="Q58" s="313">
        <f>'Marina Projections'!O34</f>
        <v>1695.75</v>
      </c>
      <c r="R58" s="313">
        <f>'Marina Projections'!P34</f>
        <v>1695.75</v>
      </c>
      <c r="S58" s="313">
        <f>'Marina Projections'!Q34</f>
        <v>1695.75</v>
      </c>
      <c r="T58" s="313">
        <f>'Marina Projections'!R34</f>
        <v>1695.75</v>
      </c>
      <c r="U58" s="313">
        <f>'Marina Projections'!S34</f>
        <v>1695.75</v>
      </c>
      <c r="V58" s="313">
        <f>'Marina Projections'!T34</f>
        <v>1695.75</v>
      </c>
      <c r="W58" s="313">
        <f>'Marina Projections'!U34</f>
        <v>1695.75</v>
      </c>
      <c r="X58" s="313">
        <f>'Marina Projections'!V34</f>
        <v>1695.75</v>
      </c>
    </row>
    <row r="59" spans="1:25 16384:16384" s="167" customFormat="1">
      <c r="A59" s="497" t="s">
        <v>170</v>
      </c>
      <c r="B59" s="450"/>
      <c r="C59" s="498"/>
      <c r="D59" s="486">
        <v>0</v>
      </c>
      <c r="E59" s="587">
        <v>0</v>
      </c>
      <c r="F59" s="587">
        <v>0</v>
      </c>
      <c r="G59" s="587">
        <v>0</v>
      </c>
      <c r="H59" s="587">
        <v>0</v>
      </c>
      <c r="I59" s="587">
        <v>0</v>
      </c>
      <c r="J59" s="587">
        <v>0</v>
      </c>
      <c r="K59" s="587">
        <v>0</v>
      </c>
      <c r="L59" s="587">
        <v>0</v>
      </c>
      <c r="M59" s="587">
        <v>0</v>
      </c>
      <c r="N59" s="587">
        <v>0</v>
      </c>
      <c r="O59" s="587">
        <v>0</v>
      </c>
      <c r="P59" s="587">
        <v>0</v>
      </c>
      <c r="Q59" s="587">
        <v>0</v>
      </c>
      <c r="R59" s="587">
        <v>0</v>
      </c>
      <c r="S59" s="587">
        <v>0</v>
      </c>
      <c r="T59" s="587">
        <v>0</v>
      </c>
      <c r="U59" s="587">
        <v>0</v>
      </c>
      <c r="V59" s="587">
        <v>0</v>
      </c>
      <c r="W59" s="587">
        <v>0</v>
      </c>
      <c r="X59" s="587">
        <v>0</v>
      </c>
      <c r="Y59" s="167" t="s">
        <v>282</v>
      </c>
    </row>
    <row r="60" spans="1:25 16384:16384" s="167" customFormat="1">
      <c r="A60" s="497" t="s">
        <v>16</v>
      </c>
      <c r="B60" s="450"/>
      <c r="C60" s="498"/>
      <c r="D60" s="499">
        <v>0</v>
      </c>
      <c r="E60" s="587">
        <v>0</v>
      </c>
      <c r="F60" s="587">
        <v>0</v>
      </c>
      <c r="G60" s="587">
        <v>0</v>
      </c>
      <c r="H60" s="587">
        <v>0</v>
      </c>
      <c r="I60" s="587">
        <v>0</v>
      </c>
      <c r="J60" s="587">
        <v>0</v>
      </c>
      <c r="K60" s="587">
        <v>0</v>
      </c>
      <c r="L60" s="587">
        <v>0</v>
      </c>
      <c r="M60" s="587">
        <v>0</v>
      </c>
      <c r="N60" s="587">
        <v>0</v>
      </c>
      <c r="O60" s="587">
        <v>0</v>
      </c>
      <c r="P60" s="587">
        <v>0</v>
      </c>
      <c r="Q60" s="587">
        <v>0</v>
      </c>
      <c r="R60" s="587">
        <v>0</v>
      </c>
      <c r="S60" s="587">
        <v>0</v>
      </c>
      <c r="T60" s="587">
        <v>0</v>
      </c>
      <c r="U60" s="587">
        <v>0</v>
      </c>
      <c r="V60" s="587">
        <v>0</v>
      </c>
      <c r="W60" s="587">
        <v>0</v>
      </c>
      <c r="X60" s="587">
        <v>0</v>
      </c>
      <c r="Y60" s="167" t="s">
        <v>282</v>
      </c>
    </row>
    <row r="61" spans="1:25 16384:16384">
      <c r="A61" s="54"/>
      <c r="B61" s="277"/>
      <c r="C61" s="74"/>
      <c r="D61" s="492"/>
      <c r="E61" s="308"/>
      <c r="F61" s="308"/>
      <c r="G61" s="308"/>
      <c r="H61" s="308"/>
      <c r="I61" s="308"/>
      <c r="J61" s="308"/>
      <c r="K61" s="308"/>
      <c r="L61" s="308"/>
      <c r="M61" s="308"/>
      <c r="N61" s="308"/>
      <c r="O61" s="308"/>
      <c r="P61" s="308"/>
      <c r="Q61" s="308"/>
      <c r="R61" s="308"/>
      <c r="S61" s="308"/>
      <c r="T61" s="308"/>
      <c r="U61" s="308"/>
      <c r="V61" s="308"/>
      <c r="W61" s="308"/>
      <c r="X61" s="308"/>
    </row>
    <row r="62" spans="1:25 16384:16384">
      <c r="A62" s="293" t="s">
        <v>2</v>
      </c>
      <c r="B62" s="277"/>
      <c r="C62" s="74"/>
      <c r="D62" s="492"/>
      <c r="E62" s="308"/>
      <c r="F62" s="308"/>
      <c r="G62" s="308"/>
      <c r="H62" s="308"/>
      <c r="I62" s="308"/>
      <c r="J62" s="308"/>
      <c r="K62" s="308"/>
      <c r="L62" s="308"/>
      <c r="M62" s="308"/>
      <c r="N62" s="308"/>
      <c r="O62" s="308"/>
      <c r="P62" s="308"/>
      <c r="Q62" s="308"/>
      <c r="R62" s="308"/>
      <c r="S62" s="308"/>
      <c r="T62" s="308"/>
      <c r="U62" s="308"/>
      <c r="V62" s="308"/>
      <c r="W62" s="308"/>
      <c r="X62" s="308"/>
    </row>
    <row r="63" spans="1:25 16384:16384" s="341" customFormat="1">
      <c r="A63" s="552" t="s">
        <v>290</v>
      </c>
      <c r="B63" s="556">
        <v>500</v>
      </c>
      <c r="C63" s="553"/>
      <c r="D63" s="554">
        <v>0</v>
      </c>
      <c r="E63" s="555">
        <v>0</v>
      </c>
      <c r="F63" s="555">
        <v>0</v>
      </c>
      <c r="G63" s="555">
        <f t="shared" ref="G63:X63" si="8">$B$63</f>
        <v>500</v>
      </c>
      <c r="H63" s="555">
        <f t="shared" si="8"/>
        <v>500</v>
      </c>
      <c r="I63" s="555">
        <f t="shared" si="8"/>
        <v>500</v>
      </c>
      <c r="J63" s="555">
        <f t="shared" si="8"/>
        <v>500</v>
      </c>
      <c r="K63" s="555">
        <f t="shared" si="8"/>
        <v>500</v>
      </c>
      <c r="L63" s="555">
        <f t="shared" si="8"/>
        <v>500</v>
      </c>
      <c r="M63" s="555">
        <f t="shared" si="8"/>
        <v>500</v>
      </c>
      <c r="N63" s="555">
        <f t="shared" si="8"/>
        <v>500</v>
      </c>
      <c r="O63" s="555">
        <f t="shared" si="8"/>
        <v>500</v>
      </c>
      <c r="P63" s="555">
        <f t="shared" si="8"/>
        <v>500</v>
      </c>
      <c r="Q63" s="555">
        <f t="shared" si="8"/>
        <v>500</v>
      </c>
      <c r="R63" s="555">
        <f t="shared" si="8"/>
        <v>500</v>
      </c>
      <c r="S63" s="555">
        <f t="shared" si="8"/>
        <v>500</v>
      </c>
      <c r="T63" s="555">
        <f t="shared" si="8"/>
        <v>500</v>
      </c>
      <c r="U63" s="555">
        <f t="shared" si="8"/>
        <v>500</v>
      </c>
      <c r="V63" s="555">
        <f t="shared" si="8"/>
        <v>500</v>
      </c>
      <c r="W63" s="555">
        <f t="shared" si="8"/>
        <v>500</v>
      </c>
      <c r="X63" s="555">
        <f t="shared" si="8"/>
        <v>500</v>
      </c>
    </row>
    <row r="64" spans="1:25 16384:16384" s="341" customFormat="1">
      <c r="A64" s="552" t="s">
        <v>540</v>
      </c>
      <c r="B64" s="556"/>
      <c r="C64" s="553"/>
      <c r="D64" s="1053">
        <v>0</v>
      </c>
      <c r="E64" s="1054">
        <v>0</v>
      </c>
      <c r="F64" s="1054">
        <v>0</v>
      </c>
      <c r="G64" s="1054">
        <v>200000</v>
      </c>
      <c r="H64" s="1054">
        <f>G64</f>
        <v>200000</v>
      </c>
      <c r="I64" s="1054">
        <f t="shared" ref="I64:X64" si="9">H64</f>
        <v>200000</v>
      </c>
      <c r="J64" s="1054">
        <f t="shared" si="9"/>
        <v>200000</v>
      </c>
      <c r="K64" s="1054">
        <f t="shared" si="9"/>
        <v>200000</v>
      </c>
      <c r="L64" s="1054">
        <f t="shared" si="9"/>
        <v>200000</v>
      </c>
      <c r="M64" s="1054">
        <f t="shared" si="9"/>
        <v>200000</v>
      </c>
      <c r="N64" s="1054">
        <f t="shared" si="9"/>
        <v>200000</v>
      </c>
      <c r="O64" s="1054">
        <f t="shared" si="9"/>
        <v>200000</v>
      </c>
      <c r="P64" s="1054">
        <f t="shared" si="9"/>
        <v>200000</v>
      </c>
      <c r="Q64" s="1054">
        <f t="shared" si="9"/>
        <v>200000</v>
      </c>
      <c r="R64" s="1054">
        <f t="shared" si="9"/>
        <v>200000</v>
      </c>
      <c r="S64" s="1054">
        <f t="shared" si="9"/>
        <v>200000</v>
      </c>
      <c r="T64" s="1054">
        <f t="shared" si="9"/>
        <v>200000</v>
      </c>
      <c r="U64" s="1054">
        <f t="shared" si="9"/>
        <v>200000</v>
      </c>
      <c r="V64" s="1054">
        <f t="shared" si="9"/>
        <v>200000</v>
      </c>
      <c r="W64" s="1054">
        <f t="shared" si="9"/>
        <v>200000</v>
      </c>
      <c r="X64" s="1054">
        <f t="shared" si="9"/>
        <v>200000</v>
      </c>
    </row>
    <row r="65" spans="1:25" s="96" customFormat="1">
      <c r="A65" s="54" t="s">
        <v>210</v>
      </c>
      <c r="B65" s="487"/>
      <c r="C65" s="487"/>
      <c r="D65" s="486">
        <v>0</v>
      </c>
      <c r="E65" s="313">
        <v>0</v>
      </c>
      <c r="F65" s="313">
        <v>1</v>
      </c>
      <c r="G65" s="313">
        <v>2</v>
      </c>
      <c r="H65" s="313">
        <v>2</v>
      </c>
      <c r="I65" s="313">
        <v>2</v>
      </c>
      <c r="J65" s="313">
        <v>3</v>
      </c>
      <c r="K65" s="313">
        <v>3</v>
      </c>
      <c r="L65" s="313">
        <v>3</v>
      </c>
      <c r="M65" s="313">
        <v>3</v>
      </c>
      <c r="N65" s="313">
        <v>3</v>
      </c>
      <c r="O65" s="313">
        <v>4</v>
      </c>
      <c r="P65" s="313">
        <v>4</v>
      </c>
      <c r="Q65" s="313">
        <v>4</v>
      </c>
      <c r="R65" s="313">
        <v>4</v>
      </c>
      <c r="S65" s="313">
        <v>4</v>
      </c>
      <c r="T65" s="313">
        <v>5</v>
      </c>
      <c r="U65" s="313">
        <v>5</v>
      </c>
      <c r="V65" s="313">
        <v>5</v>
      </c>
      <c r="W65" s="313">
        <v>5</v>
      </c>
      <c r="X65" s="313">
        <v>5</v>
      </c>
      <c r="Y65" s="313"/>
    </row>
    <row r="66" spans="1:25" s="96" customFormat="1">
      <c r="A66" s="96" t="s">
        <v>211</v>
      </c>
      <c r="D66" s="486">
        <v>0</v>
      </c>
      <c r="E66" s="435">
        <v>0</v>
      </c>
      <c r="F66" s="435">
        <v>3</v>
      </c>
      <c r="G66" s="435">
        <v>3</v>
      </c>
      <c r="H66" s="435">
        <v>3</v>
      </c>
      <c r="I66" s="435">
        <v>3</v>
      </c>
      <c r="J66" s="435">
        <v>3</v>
      </c>
      <c r="K66" s="435">
        <v>3</v>
      </c>
      <c r="L66" s="435">
        <v>3</v>
      </c>
      <c r="M66" s="435">
        <v>3</v>
      </c>
      <c r="N66" s="435">
        <v>3</v>
      </c>
      <c r="O66" s="435">
        <v>3</v>
      </c>
      <c r="P66" s="435">
        <v>3</v>
      </c>
      <c r="Q66" s="435">
        <v>3</v>
      </c>
      <c r="R66" s="435">
        <v>3</v>
      </c>
      <c r="S66" s="435">
        <v>3</v>
      </c>
      <c r="T66" s="435">
        <v>3</v>
      </c>
      <c r="U66" s="435">
        <v>3</v>
      </c>
      <c r="V66" s="435">
        <v>3</v>
      </c>
      <c r="W66" s="435">
        <v>3</v>
      </c>
      <c r="X66" s="435">
        <v>3</v>
      </c>
    </row>
    <row r="67" spans="1:25" s="96" customFormat="1">
      <c r="D67" s="486"/>
      <c r="E67" s="435"/>
      <c r="F67" s="435"/>
      <c r="G67" s="435"/>
      <c r="H67" s="435"/>
      <c r="I67" s="435"/>
      <c r="J67" s="435"/>
      <c r="K67" s="435"/>
      <c r="L67" s="435"/>
      <c r="M67" s="435"/>
      <c r="N67" s="435"/>
      <c r="O67" s="435"/>
      <c r="P67" s="435"/>
      <c r="Q67" s="435"/>
      <c r="R67" s="435"/>
      <c r="S67" s="435"/>
      <c r="T67" s="435"/>
      <c r="U67" s="435"/>
      <c r="V67" s="435"/>
      <c r="W67" s="435"/>
      <c r="X67" s="435"/>
    </row>
    <row r="68" spans="1:25">
      <c r="A68" s="28"/>
      <c r="D68" s="486"/>
      <c r="E68" s="331"/>
      <c r="F68" s="333"/>
      <c r="G68" s="331"/>
      <c r="H68" s="331"/>
      <c r="I68" s="331"/>
      <c r="J68" s="331"/>
      <c r="K68" s="331"/>
      <c r="L68" s="331"/>
      <c r="M68" s="331"/>
      <c r="N68" s="331"/>
      <c r="O68" s="331"/>
      <c r="P68" s="331"/>
      <c r="Q68" s="331"/>
      <c r="R68" s="331"/>
      <c r="S68" s="331"/>
      <c r="T68" s="331"/>
      <c r="U68" s="331"/>
      <c r="V68" s="331"/>
      <c r="W68" s="331"/>
      <c r="X68" s="331"/>
    </row>
    <row r="69" spans="1:25">
      <c r="A69" s="266" t="s">
        <v>135</v>
      </c>
      <c r="B69" s="223"/>
      <c r="C69" s="267"/>
      <c r="D69" s="332"/>
      <c r="E69" s="332"/>
      <c r="F69" s="349"/>
      <c r="G69" s="332"/>
      <c r="H69" s="332"/>
      <c r="I69" s="332"/>
      <c r="J69" s="332"/>
      <c r="K69" s="332"/>
      <c r="L69" s="332"/>
      <c r="M69" s="332"/>
      <c r="N69" s="332"/>
      <c r="O69" s="332"/>
      <c r="P69" s="332"/>
      <c r="Q69" s="332"/>
      <c r="R69" s="332"/>
      <c r="S69" s="332"/>
      <c r="T69" s="332"/>
      <c r="U69" s="332"/>
      <c r="V69" s="332"/>
      <c r="W69" s="332"/>
      <c r="X69" s="332"/>
    </row>
    <row r="70" spans="1:25" s="341" customFormat="1">
      <c r="A70" s="353"/>
      <c r="B70" s="355"/>
      <c r="C70" s="355"/>
      <c r="D70" s="502"/>
      <c r="E70" s="503"/>
      <c r="F70" s="503"/>
      <c r="G70" s="503"/>
      <c r="H70" s="503"/>
      <c r="I70" s="503"/>
      <c r="J70" s="503"/>
      <c r="K70" s="503"/>
      <c r="L70" s="503"/>
      <c r="M70" s="503"/>
      <c r="N70" s="503"/>
      <c r="O70" s="503"/>
      <c r="P70" s="503"/>
      <c r="Q70" s="503"/>
      <c r="R70" s="503"/>
      <c r="S70" s="503"/>
      <c r="T70" s="503"/>
      <c r="U70" s="503"/>
      <c r="V70" s="503"/>
      <c r="W70" s="503"/>
      <c r="X70" s="503"/>
    </row>
    <row r="71" spans="1:25" s="341" customFormat="1">
      <c r="A71" s="691" t="s">
        <v>144</v>
      </c>
      <c r="B71" s="355"/>
      <c r="C71" s="355"/>
      <c r="D71" s="548"/>
      <c r="E71" s="503"/>
      <c r="F71" s="503"/>
      <c r="G71" s="503"/>
      <c r="H71" s="503"/>
      <c r="I71" s="503"/>
      <c r="J71" s="503"/>
      <c r="K71" s="503"/>
      <c r="L71" s="503"/>
      <c r="M71" s="503"/>
      <c r="N71" s="503"/>
      <c r="O71" s="503"/>
      <c r="P71" s="503"/>
      <c r="Q71" s="503"/>
      <c r="R71" s="503"/>
      <c r="S71" s="503"/>
      <c r="T71" s="503"/>
      <c r="U71" s="503"/>
      <c r="V71" s="503"/>
      <c r="W71" s="503"/>
      <c r="X71" s="503"/>
    </row>
    <row r="72" spans="1:25" s="561" customFormat="1">
      <c r="A72" s="353" t="str">
        <f>'BH Tariffs'!A11</f>
        <v>Port Fee</v>
      </c>
      <c r="B72" s="355"/>
      <c r="C72" s="355"/>
      <c r="D72" s="548">
        <v>0</v>
      </c>
      <c r="E72" s="503">
        <f>'BH Tariffs'!D11*'P&amp;L - Concept A2'!E12</f>
        <v>0</v>
      </c>
      <c r="F72" s="503">
        <v>0</v>
      </c>
      <c r="G72" s="503">
        <v>0</v>
      </c>
      <c r="H72" s="503">
        <v>0</v>
      </c>
      <c r="I72" s="503">
        <v>0</v>
      </c>
      <c r="J72" s="503">
        <v>0</v>
      </c>
      <c r="K72" s="503">
        <v>0</v>
      </c>
      <c r="L72" s="503">
        <v>0</v>
      </c>
      <c r="M72" s="503">
        <v>0</v>
      </c>
      <c r="N72" s="503">
        <v>0</v>
      </c>
      <c r="O72" s="503">
        <v>0</v>
      </c>
      <c r="P72" s="503">
        <v>0</v>
      </c>
      <c r="Q72" s="503">
        <v>0</v>
      </c>
      <c r="R72" s="503">
        <v>0</v>
      </c>
      <c r="S72" s="503">
        <v>0</v>
      </c>
      <c r="T72" s="503">
        <v>0</v>
      </c>
      <c r="U72" s="503">
        <v>0</v>
      </c>
      <c r="V72" s="503">
        <v>0</v>
      </c>
      <c r="W72" s="503">
        <v>0</v>
      </c>
      <c r="X72" s="503">
        <v>0</v>
      </c>
    </row>
    <row r="73" spans="1:25">
      <c r="A73" s="88"/>
      <c r="B73" s="89"/>
      <c r="C73" s="89"/>
      <c r="D73" s="502"/>
      <c r="E73" s="504"/>
      <c r="F73" s="504"/>
      <c r="G73" s="504"/>
      <c r="H73" s="504"/>
      <c r="I73" s="504"/>
      <c r="J73" s="504"/>
      <c r="K73" s="504"/>
      <c r="L73" s="504"/>
      <c r="M73" s="504"/>
      <c r="N73" s="504"/>
      <c r="O73" s="504"/>
      <c r="P73" s="504"/>
      <c r="Q73" s="504"/>
      <c r="R73" s="504"/>
      <c r="S73" s="504"/>
      <c r="T73" s="504"/>
      <c r="U73" s="504"/>
      <c r="V73" s="504"/>
      <c r="W73" s="504"/>
      <c r="X73" s="504"/>
    </row>
    <row r="74" spans="1:25" s="695" customFormat="1" ht="14.25">
      <c r="A74" s="691" t="s">
        <v>124</v>
      </c>
      <c r="B74" s="692"/>
      <c r="C74" s="692"/>
      <c r="D74" s="693"/>
      <c r="E74" s="694"/>
      <c r="F74" s="694"/>
      <c r="G74" s="694"/>
      <c r="H74" s="694"/>
      <c r="I74" s="694"/>
      <c r="J74" s="694"/>
      <c r="K74" s="694"/>
      <c r="L74" s="694"/>
      <c r="M74" s="694"/>
      <c r="N74" s="694"/>
      <c r="O74" s="694"/>
      <c r="P74" s="694"/>
      <c r="Q74" s="694"/>
      <c r="R74" s="694"/>
      <c r="S74" s="694"/>
      <c r="T74" s="694"/>
      <c r="U74" s="694"/>
      <c r="V74" s="694"/>
      <c r="W74" s="694"/>
      <c r="X74" s="694"/>
    </row>
    <row r="75" spans="1:25" s="582" customFormat="1" ht="14.25">
      <c r="A75" s="605" t="s">
        <v>83</v>
      </c>
      <c r="B75" s="608"/>
      <c r="C75" s="608"/>
      <c r="D75" s="537"/>
      <c r="E75" s="538"/>
      <c r="F75" s="538"/>
      <c r="G75" s="538"/>
      <c r="H75" s="538"/>
      <c r="I75" s="538"/>
      <c r="J75" s="538"/>
      <c r="K75" s="538"/>
      <c r="L75" s="538"/>
      <c r="M75" s="538"/>
      <c r="N75" s="538"/>
      <c r="O75" s="538"/>
      <c r="P75" s="538"/>
      <c r="Q75" s="538"/>
      <c r="R75" s="538"/>
      <c r="S75" s="538"/>
      <c r="T75" s="538"/>
      <c r="U75" s="538"/>
      <c r="V75" s="538"/>
      <c r="W75" s="538"/>
      <c r="X75" s="538"/>
    </row>
    <row r="76" spans="1:25" s="341" customFormat="1">
      <c r="A76" s="353" t="str">
        <f>'BH Tariffs'!A19</f>
        <v>Town Wharfage (Exclusive Use, Ferry Property Only)</v>
      </c>
      <c r="B76" s="355"/>
      <c r="C76" s="355"/>
      <c r="D76" s="548">
        <v>0</v>
      </c>
      <c r="E76" s="503">
        <v>0</v>
      </c>
      <c r="F76" s="503">
        <v>0</v>
      </c>
      <c r="G76" s="503">
        <v>0</v>
      </c>
      <c r="H76" s="503">
        <v>0</v>
      </c>
      <c r="I76" s="503">
        <v>0</v>
      </c>
      <c r="J76" s="503">
        <v>0</v>
      </c>
      <c r="K76" s="503">
        <v>0</v>
      </c>
      <c r="L76" s="503">
        <v>0</v>
      </c>
      <c r="M76" s="503">
        <v>0</v>
      </c>
      <c r="N76" s="503">
        <v>0</v>
      </c>
      <c r="O76" s="503">
        <v>0</v>
      </c>
      <c r="P76" s="503">
        <v>0</v>
      </c>
      <c r="Q76" s="503">
        <v>0</v>
      </c>
      <c r="R76" s="503">
        <v>0</v>
      </c>
      <c r="S76" s="503">
        <v>0</v>
      </c>
      <c r="T76" s="503">
        <v>0</v>
      </c>
      <c r="U76" s="503">
        <v>0</v>
      </c>
      <c r="V76" s="503">
        <v>0</v>
      </c>
      <c r="W76" s="503">
        <v>0</v>
      </c>
      <c r="X76" s="503">
        <v>0</v>
      </c>
    </row>
    <row r="77" spans="1:25" s="341" customFormat="1">
      <c r="A77" s="353" t="str">
        <f>'BH Tariffs'!A21</f>
        <v>CBP Infastructure Fee (Ferry Property Only)</v>
      </c>
      <c r="B77" s="355"/>
      <c r="C77" s="355"/>
      <c r="D77" s="548">
        <v>0</v>
      </c>
      <c r="E77" s="503">
        <v>0</v>
      </c>
      <c r="F77" s="503">
        <v>0</v>
      </c>
      <c r="G77" s="503">
        <v>0</v>
      </c>
      <c r="H77" s="503">
        <v>0</v>
      </c>
      <c r="I77" s="503">
        <v>0</v>
      </c>
      <c r="J77" s="503">
        <v>0</v>
      </c>
      <c r="K77" s="503">
        <v>0</v>
      </c>
      <c r="L77" s="503">
        <v>0</v>
      </c>
      <c r="M77" s="503">
        <v>0</v>
      </c>
      <c r="N77" s="503">
        <v>0</v>
      </c>
      <c r="O77" s="503">
        <v>0</v>
      </c>
      <c r="P77" s="503">
        <v>0</v>
      </c>
      <c r="Q77" s="503">
        <v>0</v>
      </c>
      <c r="R77" s="503">
        <v>0</v>
      </c>
      <c r="S77" s="503">
        <v>0</v>
      </c>
      <c r="T77" s="503">
        <v>0</v>
      </c>
      <c r="U77" s="503">
        <v>0</v>
      </c>
      <c r="V77" s="503">
        <v>0</v>
      </c>
      <c r="W77" s="503">
        <v>0</v>
      </c>
      <c r="X77" s="503">
        <v>0</v>
      </c>
    </row>
    <row r="78" spans="1:25" s="96" customFormat="1">
      <c r="A78" s="90" t="str">
        <f>'BH Tariffs'!A22</f>
        <v>Infrastructure Fee</v>
      </c>
      <c r="B78" s="356"/>
      <c r="C78" s="356"/>
      <c r="D78" s="502">
        <v>0</v>
      </c>
      <c r="E78" s="504">
        <v>0</v>
      </c>
      <c r="F78" s="504">
        <f>'BH Tariffs'!E22*'Cruise Projections'!V97</f>
        <v>522936.74160000001</v>
      </c>
      <c r="G78" s="504">
        <f>'BH Tariffs'!F22*'Cruise Projections'!W97</f>
        <v>533395.47643200005</v>
      </c>
      <c r="H78" s="504">
        <f>'BH Tariffs'!G22*'Cruise Projections'!X97</f>
        <v>544063.38596063992</v>
      </c>
      <c r="I78" s="504">
        <f>'BH Tariffs'!H22*'Cruise Projections'!Y97</f>
        <v>554944.65367985272</v>
      </c>
      <c r="J78" s="504">
        <f>'BH Tariffs'!I22*'Cruise Projections'!Z97</f>
        <v>566043.54675344983</v>
      </c>
      <c r="K78" s="504">
        <f>'BH Tariffs'!J22*'Cruise Projections'!AA97</f>
        <v>577364.41768851888</v>
      </c>
      <c r="L78" s="504">
        <f>'BH Tariffs'!K22*'Cruise Projections'!AB97</f>
        <v>588911.70604228915</v>
      </c>
      <c r="M78" s="504">
        <f>'BH Tariffs'!L22*'Cruise Projections'!AC97</f>
        <v>600689.94016313506</v>
      </c>
      <c r="N78" s="504">
        <f>'BH Tariffs'!M22*'Cruise Projections'!AD97</f>
        <v>612703.73896639771</v>
      </c>
      <c r="O78" s="504">
        <f>'BH Tariffs'!N22*'Cruise Projections'!AE97</f>
        <v>624957.81374572578</v>
      </c>
      <c r="P78" s="504">
        <f>'BH Tariffs'!O22*'Cruise Projections'!AF97</f>
        <v>637456.97002064029</v>
      </c>
      <c r="Q78" s="504">
        <f>'BH Tariffs'!P22*'Cruise Projections'!AG97</f>
        <v>650206.10942105309</v>
      </c>
      <c r="R78" s="504">
        <f>'BH Tariffs'!Q22*'Cruise Projections'!AH97</f>
        <v>663210.23160947405</v>
      </c>
      <c r="S78" s="504">
        <f>'BH Tariffs'!R22*'Cruise Projections'!AI97</f>
        <v>676474.43624166364</v>
      </c>
      <c r="T78" s="504">
        <f>'BH Tariffs'!S22*'Cruise Projections'!AJ97</f>
        <v>690003.924966497</v>
      </c>
      <c r="U78" s="504">
        <f>'BH Tariffs'!T22*'Cruise Projections'!AK97</f>
        <v>703804.00346582686</v>
      </c>
      <c r="V78" s="504">
        <f>'BH Tariffs'!U22*'Cruise Projections'!AL97</f>
        <v>717880.08353514341</v>
      </c>
      <c r="W78" s="504">
        <f>'BH Tariffs'!V22*'Cruise Projections'!AM97</f>
        <v>732237.68520584644</v>
      </c>
      <c r="X78" s="504">
        <f>'BH Tariffs'!W22*'Cruise Projections'!AN97</f>
        <v>746882.43890996324</v>
      </c>
    </row>
    <row r="79" spans="1:25">
      <c r="A79" s="90"/>
      <c r="B79" s="89"/>
      <c r="C79" s="89"/>
      <c r="D79" s="502"/>
      <c r="E79" s="504"/>
      <c r="F79" s="504"/>
      <c r="G79" s="504"/>
      <c r="H79" s="504"/>
      <c r="I79" s="504"/>
      <c r="J79" s="504"/>
      <c r="K79" s="504"/>
      <c r="L79" s="504"/>
      <c r="M79" s="504"/>
      <c r="N79" s="504"/>
      <c r="O79" s="504"/>
      <c r="P79" s="504"/>
      <c r="Q79" s="504"/>
      <c r="R79" s="504"/>
      <c r="S79" s="504"/>
      <c r="T79" s="504"/>
      <c r="U79" s="504"/>
      <c r="V79" s="504"/>
      <c r="W79" s="504"/>
      <c r="X79" s="504"/>
    </row>
    <row r="80" spans="1:25" s="341" customFormat="1">
      <c r="A80" s="543" t="s">
        <v>163</v>
      </c>
      <c r="B80" s="354"/>
      <c r="C80" s="355"/>
      <c r="D80" s="548"/>
      <c r="E80" s="503"/>
      <c r="F80" s="503"/>
      <c r="G80" s="503"/>
      <c r="H80" s="503"/>
      <c r="I80" s="503"/>
      <c r="J80" s="503"/>
      <c r="K80" s="503"/>
      <c r="L80" s="503"/>
      <c r="M80" s="503"/>
      <c r="N80" s="503"/>
      <c r="O80" s="503"/>
      <c r="P80" s="503"/>
      <c r="Q80" s="503"/>
      <c r="R80" s="503"/>
      <c r="S80" s="503"/>
      <c r="T80" s="503"/>
      <c r="U80" s="503"/>
      <c r="V80" s="503"/>
      <c r="W80" s="503"/>
      <c r="X80" s="503"/>
    </row>
    <row r="81" spans="1:25" s="341" customFormat="1">
      <c r="A81" s="353" t="str">
        <f>'BH Tariffs'!A25</f>
        <v>Dock Rent (12 months)</v>
      </c>
      <c r="B81" s="354"/>
      <c r="C81" s="355"/>
      <c r="D81" s="548">
        <v>0</v>
      </c>
      <c r="E81" s="503">
        <v>0</v>
      </c>
      <c r="F81" s="503">
        <v>0</v>
      </c>
      <c r="G81" s="503">
        <v>0</v>
      </c>
      <c r="H81" s="503">
        <v>0</v>
      </c>
      <c r="I81" s="503">
        <v>0</v>
      </c>
      <c r="J81" s="503">
        <v>0</v>
      </c>
      <c r="K81" s="503">
        <v>0</v>
      </c>
      <c r="L81" s="503">
        <v>0</v>
      </c>
      <c r="M81" s="503">
        <v>0</v>
      </c>
      <c r="N81" s="503">
        <v>0</v>
      </c>
      <c r="O81" s="503">
        <v>0</v>
      </c>
      <c r="P81" s="503">
        <v>0</v>
      </c>
      <c r="Q81" s="503">
        <v>0</v>
      </c>
      <c r="R81" s="503">
        <v>0</v>
      </c>
      <c r="S81" s="503">
        <v>0</v>
      </c>
      <c r="T81" s="503">
        <v>0</v>
      </c>
      <c r="U81" s="503">
        <v>0</v>
      </c>
      <c r="V81" s="503">
        <v>0</v>
      </c>
      <c r="W81" s="503">
        <v>0</v>
      </c>
      <c r="X81" s="503">
        <v>0</v>
      </c>
    </row>
    <row r="82" spans="1:25" s="341" customFormat="1">
      <c r="A82" s="353" t="str">
        <f>'BH Tariffs'!A26</f>
        <v>Ferry Passenger Wharfage</v>
      </c>
      <c r="B82" s="354"/>
      <c r="C82" s="355"/>
      <c r="D82" s="548">
        <v>0</v>
      </c>
      <c r="E82" s="503">
        <v>0</v>
      </c>
      <c r="F82" s="503">
        <v>0</v>
      </c>
      <c r="G82" s="503">
        <v>0</v>
      </c>
      <c r="H82" s="503">
        <v>0</v>
      </c>
      <c r="I82" s="503">
        <v>0</v>
      </c>
      <c r="J82" s="503">
        <v>0</v>
      </c>
      <c r="K82" s="503">
        <v>0</v>
      </c>
      <c r="L82" s="503">
        <v>0</v>
      </c>
      <c r="M82" s="503">
        <v>0</v>
      </c>
      <c r="N82" s="503">
        <v>0</v>
      </c>
      <c r="O82" s="503">
        <v>0</v>
      </c>
      <c r="P82" s="503">
        <v>0</v>
      </c>
      <c r="Q82" s="503">
        <v>0</v>
      </c>
      <c r="R82" s="503">
        <v>0</v>
      </c>
      <c r="S82" s="503">
        <v>0</v>
      </c>
      <c r="T82" s="503">
        <v>0</v>
      </c>
      <c r="U82" s="503">
        <v>0</v>
      </c>
      <c r="V82" s="503">
        <v>0</v>
      </c>
      <c r="W82" s="503">
        <v>0</v>
      </c>
      <c r="X82" s="503">
        <v>0</v>
      </c>
    </row>
    <row r="83" spans="1:25" s="341" customFormat="1">
      <c r="A83" s="353" t="str">
        <f>'BH Tariffs'!A27</f>
        <v>Ferry Passenger Vehicle Wharfage</v>
      </c>
      <c r="B83" s="354"/>
      <c r="C83" s="355"/>
      <c r="D83" s="548">
        <v>0</v>
      </c>
      <c r="E83" s="503">
        <v>0</v>
      </c>
      <c r="F83" s="503">
        <v>0</v>
      </c>
      <c r="G83" s="503">
        <v>0</v>
      </c>
      <c r="H83" s="503">
        <v>0</v>
      </c>
      <c r="I83" s="503">
        <v>0</v>
      </c>
      <c r="J83" s="503">
        <v>0</v>
      </c>
      <c r="K83" s="503">
        <v>0</v>
      </c>
      <c r="L83" s="503">
        <v>0</v>
      </c>
      <c r="M83" s="503">
        <v>0</v>
      </c>
      <c r="N83" s="503">
        <v>0</v>
      </c>
      <c r="O83" s="503">
        <v>0</v>
      </c>
      <c r="P83" s="503">
        <v>0</v>
      </c>
      <c r="Q83" s="503">
        <v>0</v>
      </c>
      <c r="R83" s="503">
        <v>0</v>
      </c>
      <c r="S83" s="503">
        <v>0</v>
      </c>
      <c r="T83" s="503">
        <v>0</v>
      </c>
      <c r="U83" s="503">
        <v>0</v>
      </c>
      <c r="V83" s="503">
        <v>0</v>
      </c>
      <c r="W83" s="503">
        <v>0</v>
      </c>
      <c r="X83" s="503">
        <v>0</v>
      </c>
    </row>
    <row r="84" spans="1:25" s="341" customFormat="1">
      <c r="A84" s="353" t="str">
        <f>'BH Tariffs'!A28</f>
        <v>Ferry Bus Wharfage</v>
      </c>
      <c r="B84" s="354"/>
      <c r="C84" s="355"/>
      <c r="D84" s="548">
        <v>0</v>
      </c>
      <c r="E84" s="503">
        <v>0</v>
      </c>
      <c r="F84" s="503">
        <v>0</v>
      </c>
      <c r="G84" s="503">
        <v>0</v>
      </c>
      <c r="H84" s="503">
        <v>0</v>
      </c>
      <c r="I84" s="503">
        <v>0</v>
      </c>
      <c r="J84" s="503">
        <v>0</v>
      </c>
      <c r="K84" s="503">
        <v>0</v>
      </c>
      <c r="L84" s="503">
        <v>0</v>
      </c>
      <c r="M84" s="503">
        <v>0</v>
      </c>
      <c r="N84" s="503">
        <v>0</v>
      </c>
      <c r="O84" s="503">
        <v>0</v>
      </c>
      <c r="P84" s="503">
        <v>0</v>
      </c>
      <c r="Q84" s="503">
        <v>0</v>
      </c>
      <c r="R84" s="503">
        <v>0</v>
      </c>
      <c r="S84" s="503">
        <v>0</v>
      </c>
      <c r="T84" s="503">
        <v>0</v>
      </c>
      <c r="U84" s="503">
        <v>0</v>
      </c>
      <c r="V84" s="503">
        <v>0</v>
      </c>
      <c r="W84" s="503">
        <v>0</v>
      </c>
      <c r="X84" s="503">
        <v>0</v>
      </c>
    </row>
    <row r="85" spans="1:25">
      <c r="A85" s="88"/>
      <c r="B85" s="30"/>
      <c r="C85" s="89"/>
      <c r="D85" s="502"/>
      <c r="E85" s="504"/>
      <c r="F85" s="504"/>
      <c r="G85" s="504"/>
      <c r="H85" s="504"/>
      <c r="I85" s="504"/>
      <c r="J85" s="504"/>
      <c r="K85" s="504"/>
      <c r="L85" s="504"/>
      <c r="M85" s="504"/>
      <c r="N85" s="504"/>
      <c r="O85" s="504"/>
      <c r="P85" s="504"/>
      <c r="Q85" s="504"/>
      <c r="R85" s="504"/>
      <c r="S85" s="504"/>
      <c r="T85" s="504"/>
      <c r="U85" s="504"/>
      <c r="V85" s="504"/>
      <c r="W85" s="504"/>
      <c r="X85" s="504"/>
    </row>
    <row r="86" spans="1:25" s="96" customFormat="1">
      <c r="A86" s="605" t="s">
        <v>164</v>
      </c>
      <c r="B86" s="606"/>
      <c r="C86" s="356"/>
      <c r="D86" s="502"/>
      <c r="E86" s="504"/>
      <c r="F86" s="504"/>
      <c r="G86" s="504"/>
      <c r="H86" s="504"/>
      <c r="I86" s="504"/>
      <c r="J86" s="504"/>
      <c r="K86" s="504"/>
      <c r="L86" s="504"/>
      <c r="M86" s="504"/>
      <c r="N86" s="504"/>
      <c r="O86" s="504"/>
      <c r="P86" s="504"/>
      <c r="Q86" s="504"/>
      <c r="R86" s="504"/>
      <c r="S86" s="504"/>
      <c r="T86" s="504"/>
      <c r="U86" s="504"/>
      <c r="V86" s="504"/>
      <c r="W86" s="504"/>
      <c r="X86" s="504"/>
    </row>
    <row r="87" spans="1:25" s="96" customFormat="1">
      <c r="A87" s="90" t="str">
        <f>'BH Tariffs'!A31</f>
        <v>Dock Rent (6 Months Only)</v>
      </c>
      <c r="B87" s="606"/>
      <c r="C87" s="356"/>
      <c r="D87" s="502">
        <v>0</v>
      </c>
      <c r="E87" s="504">
        <v>0</v>
      </c>
      <c r="F87" s="504">
        <f>'BH Tariffs'!E31*6</f>
        <v>12240</v>
      </c>
      <c r="G87" s="504">
        <f>'BH Tariffs'!F31*6</f>
        <v>12484.800000000001</v>
      </c>
      <c r="H87" s="504">
        <f>'BH Tariffs'!G31*6</f>
        <v>12734.495999999999</v>
      </c>
      <c r="I87" s="504">
        <f>'BH Tariffs'!H31*6</f>
        <v>12989.18592</v>
      </c>
      <c r="J87" s="504">
        <f>'BH Tariffs'!I31*6</f>
        <v>13248.9696384</v>
      </c>
      <c r="K87" s="504">
        <f>'BH Tariffs'!J31*6</f>
        <v>13513.949031168002</v>
      </c>
      <c r="L87" s="504">
        <f>'BH Tariffs'!K31*6</f>
        <v>13784.228011791361</v>
      </c>
      <c r="M87" s="504">
        <f>'BH Tariffs'!L31*6</f>
        <v>14059.912572027188</v>
      </c>
      <c r="N87" s="504">
        <f>'BH Tariffs'!M31*6</f>
        <v>14341.110823467734</v>
      </c>
      <c r="O87" s="504">
        <f>'BH Tariffs'!N31*6</f>
        <v>14627.933039937088</v>
      </c>
      <c r="P87" s="504">
        <f>'BH Tariffs'!O31*6</f>
        <v>14920.491700735829</v>
      </c>
      <c r="Q87" s="504">
        <f>'BH Tariffs'!P31*6</f>
        <v>15218.901534750545</v>
      </c>
      <c r="R87" s="504">
        <f>'BH Tariffs'!Q31*6</f>
        <v>15523.279565445555</v>
      </c>
      <c r="S87" s="504">
        <f>'BH Tariffs'!R31*6</f>
        <v>15833.745156754467</v>
      </c>
      <c r="T87" s="504">
        <f>'BH Tariffs'!S31*6</f>
        <v>16150.420059889559</v>
      </c>
      <c r="U87" s="504">
        <f>'BH Tariffs'!T31*6</f>
        <v>16473.428461087351</v>
      </c>
      <c r="V87" s="504">
        <f>'BH Tariffs'!U31*6</f>
        <v>16802.897030309097</v>
      </c>
      <c r="W87" s="504">
        <f>'BH Tariffs'!V31*6</f>
        <v>17138.954970915282</v>
      </c>
      <c r="X87" s="504">
        <f>'BH Tariffs'!W31*6</f>
        <v>17481.734070333587</v>
      </c>
    </row>
    <row r="88" spans="1:25" s="96" customFormat="1">
      <c r="A88" s="90"/>
      <c r="B88" s="606"/>
      <c r="C88" s="356"/>
      <c r="D88" s="502"/>
      <c r="E88" s="504"/>
      <c r="F88" s="504"/>
      <c r="G88" s="504"/>
      <c r="H88" s="504"/>
      <c r="I88" s="504"/>
      <c r="J88" s="504"/>
      <c r="K88" s="504"/>
      <c r="L88" s="504"/>
      <c r="M88" s="504"/>
      <c r="N88" s="504"/>
      <c r="O88" s="504"/>
      <c r="P88" s="504"/>
      <c r="Q88" s="504"/>
      <c r="R88" s="504"/>
      <c r="S88" s="504"/>
      <c r="T88" s="504"/>
      <c r="U88" s="504"/>
      <c r="V88" s="504"/>
      <c r="W88" s="504"/>
      <c r="X88" s="504"/>
    </row>
    <row r="89" spans="1:25" s="582" customFormat="1" ht="14.25">
      <c r="A89" s="605" t="str">
        <f>'BH Tariffs'!A33</f>
        <v>Recreational/Commercial Marina</v>
      </c>
      <c r="B89" s="607"/>
      <c r="C89" s="608"/>
      <c r="D89" s="537"/>
      <c r="E89" s="538"/>
      <c r="F89" s="538"/>
      <c r="G89" s="538"/>
      <c r="H89" s="538"/>
      <c r="I89" s="538"/>
      <c r="J89" s="538"/>
      <c r="K89" s="538"/>
      <c r="L89" s="538"/>
      <c r="M89" s="538"/>
      <c r="N89" s="538"/>
      <c r="O89" s="538"/>
      <c r="P89" s="538"/>
      <c r="Q89" s="538"/>
      <c r="R89" s="538"/>
      <c r="S89" s="538"/>
      <c r="T89" s="538"/>
      <c r="U89" s="538"/>
      <c r="V89" s="538"/>
      <c r="W89" s="538"/>
      <c r="X89" s="538"/>
    </row>
    <row r="90" spans="1:25" s="96" customFormat="1">
      <c r="A90" s="90" t="str">
        <f>'BH Tariffs'!A34</f>
        <v>Transient Slip Rent</v>
      </c>
      <c r="B90" s="606"/>
      <c r="C90" s="356"/>
      <c r="D90" s="502">
        <v>0</v>
      </c>
      <c r="E90" s="504">
        <v>0</v>
      </c>
      <c r="F90" s="504">
        <f>'BH Tariffs'!E34*'P&amp;L - Concept A2'!F57</f>
        <v>115084.293046875</v>
      </c>
      <c r="G90" s="504">
        <f>'BH Tariffs'!F34*'P&amp;L - Concept A2'!G57</f>
        <v>117385.9789078125</v>
      </c>
      <c r="H90" s="504">
        <f>'BH Tariffs'!G34*'P&amp;L - Concept A2'!H57</f>
        <v>119733.69848596874</v>
      </c>
      <c r="I90" s="504">
        <f>'BH Tariffs'!H34*'P&amp;L - Concept A2'!I57</f>
        <v>122128.37245568812</v>
      </c>
      <c r="J90" s="504">
        <f>'BH Tariffs'!I34*'P&amp;L - Concept A2'!J57</f>
        <v>124570.9399048019</v>
      </c>
      <c r="K90" s="504">
        <f>'BH Tariffs'!J34*'P&amp;L - Concept A2'!K57</f>
        <v>127062.35870289794</v>
      </c>
      <c r="L90" s="504">
        <f>'BH Tariffs'!K34*'P&amp;L - Concept A2'!L57</f>
        <v>129603.6058769559</v>
      </c>
      <c r="M90" s="504">
        <f>'BH Tariffs'!L34*'P&amp;L - Concept A2'!M57</f>
        <v>132195.67799449502</v>
      </c>
      <c r="N90" s="504">
        <f>'BH Tariffs'!M34*'P&amp;L - Concept A2'!N57</f>
        <v>134839.59155438491</v>
      </c>
      <c r="O90" s="504">
        <f>'BH Tariffs'!N34*'P&amp;L - Concept A2'!O57</f>
        <v>137536.38338547264</v>
      </c>
      <c r="P90" s="504">
        <f>'BH Tariffs'!O34*'P&amp;L - Concept A2'!P57</f>
        <v>140287.11105318207</v>
      </c>
      <c r="Q90" s="504">
        <f>'BH Tariffs'!P34*'P&amp;L - Concept A2'!Q57</f>
        <v>143092.85327424572</v>
      </c>
      <c r="R90" s="504">
        <f>'BH Tariffs'!Q34*'P&amp;L - Concept A2'!R57</f>
        <v>145954.71033973063</v>
      </c>
      <c r="S90" s="504">
        <f>'BH Tariffs'!R34*'P&amp;L - Concept A2'!S57</f>
        <v>148873.80454652527</v>
      </c>
      <c r="T90" s="504">
        <f>'BH Tariffs'!S34*'P&amp;L - Concept A2'!T57</f>
        <v>151851.28063745575</v>
      </c>
      <c r="U90" s="504">
        <f>'BH Tariffs'!T34*'P&amp;L - Concept A2'!U57</f>
        <v>154888.30625020486</v>
      </c>
      <c r="V90" s="504">
        <f>'BH Tariffs'!U34*'P&amp;L - Concept A2'!V57</f>
        <v>157986.07237520898</v>
      </c>
      <c r="W90" s="504">
        <f>'BH Tariffs'!V34*'P&amp;L - Concept A2'!W57</f>
        <v>161145.79382271317</v>
      </c>
      <c r="X90" s="504">
        <f>'BH Tariffs'!W34*'P&amp;L - Concept A2'!X57</f>
        <v>164368.7096991674</v>
      </c>
    </row>
    <row r="91" spans="1:25" s="96" customFormat="1">
      <c r="A91" s="90" t="s">
        <v>280</v>
      </c>
      <c r="B91" s="606"/>
      <c r="C91" s="356"/>
      <c r="D91" s="502">
        <v>0</v>
      </c>
      <c r="E91" s="504">
        <v>0</v>
      </c>
      <c r="F91" s="504">
        <f>'BH Tariffs'!E35*'P&amp;L - Concept A2'!F58</f>
        <v>181614.82500000001</v>
      </c>
      <c r="G91" s="504">
        <f>'BH Tariffs'!F35*'P&amp;L - Concept A2'!G58</f>
        <v>185247.12150000001</v>
      </c>
      <c r="H91" s="504">
        <f>'BH Tariffs'!G35*'P&amp;L - Concept A2'!H58</f>
        <v>188952.06393</v>
      </c>
      <c r="I91" s="504">
        <f>'BH Tariffs'!H35*'P&amp;L - Concept A2'!I58</f>
        <v>192731.1052086</v>
      </c>
      <c r="J91" s="504">
        <f>'BH Tariffs'!I35*'P&amp;L - Concept A2'!J58</f>
        <v>196585.72731277198</v>
      </c>
      <c r="K91" s="504">
        <f>'BH Tariffs'!J35*'P&amp;L - Concept A2'!K58</f>
        <v>200517.44185902746</v>
      </c>
      <c r="L91" s="504">
        <f>'BH Tariffs'!K35*'P&amp;L - Concept A2'!L58</f>
        <v>204527.79069620802</v>
      </c>
      <c r="M91" s="504">
        <f>'BH Tariffs'!L35*'P&amp;L - Concept A2'!M58</f>
        <v>208618.34651013216</v>
      </c>
      <c r="N91" s="504">
        <f>'BH Tariffs'!M35*'P&amp;L - Concept A2'!N58</f>
        <v>212790.7134403348</v>
      </c>
      <c r="O91" s="504">
        <f>'BH Tariffs'!N35*'P&amp;L - Concept A2'!O58</f>
        <v>217046.52770914152</v>
      </c>
      <c r="P91" s="504">
        <f>'BH Tariffs'!O35*'P&amp;L - Concept A2'!P58</f>
        <v>221387.45826332434</v>
      </c>
      <c r="Q91" s="504">
        <f>'BH Tariffs'!P35*'P&amp;L - Concept A2'!Q58</f>
        <v>225815.2074285908</v>
      </c>
      <c r="R91" s="504">
        <f>'BH Tariffs'!Q35*'P&amp;L - Concept A2'!R58</f>
        <v>230331.51157716263</v>
      </c>
      <c r="S91" s="504">
        <f>'BH Tariffs'!R35*'P&amp;L - Concept A2'!S58</f>
        <v>234938.1418087059</v>
      </c>
      <c r="T91" s="504">
        <f>'BH Tariffs'!S35*'P&amp;L - Concept A2'!T58</f>
        <v>239636.90464488004</v>
      </c>
      <c r="U91" s="504">
        <f>'BH Tariffs'!T35*'P&amp;L - Concept A2'!U58</f>
        <v>244429.64273777764</v>
      </c>
      <c r="V91" s="504">
        <f>'BH Tariffs'!U35*'P&amp;L - Concept A2'!V58</f>
        <v>249318.23559253319</v>
      </c>
      <c r="W91" s="504">
        <f>'BH Tariffs'!V35*'P&amp;L - Concept A2'!W58</f>
        <v>254304.6003043839</v>
      </c>
      <c r="X91" s="504">
        <f>'BH Tariffs'!W35*'P&amp;L - Concept A2'!X58</f>
        <v>259390.69231047155</v>
      </c>
    </row>
    <row r="92" spans="1:25" s="167" customFormat="1">
      <c r="A92" s="539" t="str">
        <f>'BH Tariffs'!A36</f>
        <v>Water/Sewer</v>
      </c>
      <c r="B92" s="609"/>
      <c r="C92" s="540"/>
      <c r="D92" s="541">
        <v>0</v>
      </c>
      <c r="E92" s="542">
        <v>0</v>
      </c>
      <c r="F92" s="542">
        <v>0</v>
      </c>
      <c r="G92" s="542">
        <v>0</v>
      </c>
      <c r="H92" s="542">
        <v>0</v>
      </c>
      <c r="I92" s="542">
        <v>0</v>
      </c>
      <c r="J92" s="542">
        <v>0</v>
      </c>
      <c r="K92" s="542">
        <v>0</v>
      </c>
      <c r="L92" s="542">
        <v>0</v>
      </c>
      <c r="M92" s="542">
        <v>0</v>
      </c>
      <c r="N92" s="542">
        <v>0</v>
      </c>
      <c r="O92" s="542">
        <v>0</v>
      </c>
      <c r="P92" s="542">
        <v>0</v>
      </c>
      <c r="Q92" s="542">
        <v>0</v>
      </c>
      <c r="R92" s="542">
        <v>0</v>
      </c>
      <c r="S92" s="542">
        <v>0</v>
      </c>
      <c r="T92" s="542">
        <v>0</v>
      </c>
      <c r="U92" s="542">
        <v>0</v>
      </c>
      <c r="V92" s="542">
        <v>0</v>
      </c>
      <c r="W92" s="542">
        <v>0</v>
      </c>
      <c r="X92" s="542">
        <v>0</v>
      </c>
      <c r="Y92" s="167" t="s">
        <v>282</v>
      </c>
    </row>
    <row r="93" spans="1:25" s="167" customFormat="1">
      <c r="A93" s="539" t="str">
        <f>'BH Tariffs'!A37</f>
        <v xml:space="preserve">Power (Electricity) </v>
      </c>
      <c r="B93" s="609"/>
      <c r="C93" s="540"/>
      <c r="D93" s="541">
        <v>0</v>
      </c>
      <c r="E93" s="542">
        <v>0</v>
      </c>
      <c r="F93" s="542">
        <v>0</v>
      </c>
      <c r="G93" s="542">
        <v>0</v>
      </c>
      <c r="H93" s="542">
        <v>0</v>
      </c>
      <c r="I93" s="542">
        <v>0</v>
      </c>
      <c r="J93" s="542">
        <v>0</v>
      </c>
      <c r="K93" s="542">
        <v>0</v>
      </c>
      <c r="L93" s="542">
        <v>0</v>
      </c>
      <c r="M93" s="542">
        <v>0</v>
      </c>
      <c r="N93" s="542">
        <v>0</v>
      </c>
      <c r="O93" s="542">
        <v>0</v>
      </c>
      <c r="P93" s="542">
        <v>0</v>
      </c>
      <c r="Q93" s="542">
        <v>0</v>
      </c>
      <c r="R93" s="542">
        <v>0</v>
      </c>
      <c r="S93" s="542">
        <v>0</v>
      </c>
      <c r="T93" s="542">
        <v>0</v>
      </c>
      <c r="U93" s="542">
        <v>0</v>
      </c>
      <c r="V93" s="542">
        <v>0</v>
      </c>
      <c r="W93" s="542">
        <v>0</v>
      </c>
      <c r="X93" s="542">
        <v>0</v>
      </c>
      <c r="Y93" s="167" t="s">
        <v>282</v>
      </c>
    </row>
    <row r="94" spans="1:25" s="96" customFormat="1">
      <c r="A94" s="90" t="s">
        <v>526</v>
      </c>
      <c r="B94" s="606"/>
      <c r="C94" s="356"/>
      <c r="D94" s="502">
        <v>0</v>
      </c>
      <c r="E94" s="504">
        <v>0</v>
      </c>
      <c r="F94" s="504">
        <f>'BH Tariffs'!E38*'P&amp;L - Concept A2'!F56</f>
        <v>30000</v>
      </c>
      <c r="G94" s="504">
        <f>'BH Tariffs'!F38*'P&amp;L - Concept A2'!G56</f>
        <v>30600</v>
      </c>
      <c r="H94" s="504">
        <f>'BH Tariffs'!G38*'P&amp;L - Concept A2'!H56</f>
        <v>31212</v>
      </c>
      <c r="I94" s="504">
        <f>'BH Tariffs'!H38*'P&amp;L - Concept A2'!I56</f>
        <v>31836.239999999998</v>
      </c>
      <c r="J94" s="504">
        <f>'BH Tariffs'!I38*'P&amp;L - Concept A2'!J56</f>
        <v>32472.964799999998</v>
      </c>
      <c r="K94" s="504">
        <f>'BH Tariffs'!J38*'P&amp;L - Concept A2'!K56</f>
        <v>33122.424096000002</v>
      </c>
      <c r="L94" s="504">
        <f>'BH Tariffs'!K38*'P&amp;L - Concept A2'!L56</f>
        <v>33784.872577920003</v>
      </c>
      <c r="M94" s="504">
        <f>'BH Tariffs'!L38*'P&amp;L - Concept A2'!M56</f>
        <v>34460.570029478404</v>
      </c>
      <c r="N94" s="504">
        <f>'BH Tariffs'!M38*'P&amp;L - Concept A2'!N56</f>
        <v>35149.781430067975</v>
      </c>
      <c r="O94" s="504">
        <f>'BH Tariffs'!N38*'P&amp;L - Concept A2'!O56</f>
        <v>35852.77705866933</v>
      </c>
      <c r="P94" s="504">
        <f>'BH Tariffs'!O38*'P&amp;L - Concept A2'!P56</f>
        <v>36569.832599842717</v>
      </c>
      <c r="Q94" s="504">
        <f>'BH Tariffs'!P38*'P&amp;L - Concept A2'!Q56</f>
        <v>37301.229251839577</v>
      </c>
      <c r="R94" s="504">
        <f>'BH Tariffs'!Q38*'P&amp;L - Concept A2'!R56</f>
        <v>38047.253836876363</v>
      </c>
      <c r="S94" s="504">
        <f>'BH Tariffs'!R38*'P&amp;L - Concept A2'!S56</f>
        <v>38808.198913613887</v>
      </c>
      <c r="T94" s="504">
        <f>'BH Tariffs'!S38*'P&amp;L - Concept A2'!T56</f>
        <v>39584.362891886172</v>
      </c>
      <c r="U94" s="504">
        <f>'BH Tariffs'!T38*'P&amp;L - Concept A2'!U56</f>
        <v>40376.050149723902</v>
      </c>
      <c r="V94" s="504">
        <f>'BH Tariffs'!U38*'P&amp;L - Concept A2'!V56</f>
        <v>41183.571152718374</v>
      </c>
      <c r="W94" s="504">
        <f>'BH Tariffs'!V38*'P&amp;L - Concept A2'!W56</f>
        <v>42007.242575772747</v>
      </c>
      <c r="X94" s="504">
        <f>'BH Tariffs'!W38*'P&amp;L - Concept A2'!X56</f>
        <v>42847.387427288202</v>
      </c>
    </row>
    <row r="95" spans="1:25">
      <c r="A95" s="88"/>
      <c r="B95" s="30"/>
      <c r="C95" s="89"/>
      <c r="D95" s="502"/>
      <c r="E95" s="504"/>
      <c r="F95" s="504"/>
      <c r="G95" s="504"/>
      <c r="H95" s="504"/>
      <c r="I95" s="504"/>
      <c r="J95" s="504"/>
      <c r="K95" s="504"/>
      <c r="L95" s="504"/>
      <c r="M95" s="504"/>
      <c r="N95" s="504"/>
      <c r="O95" s="504"/>
      <c r="P95" s="504"/>
      <c r="Q95" s="504"/>
      <c r="R95" s="504"/>
      <c r="S95" s="504"/>
      <c r="T95" s="504"/>
      <c r="U95" s="504"/>
      <c r="V95" s="504"/>
      <c r="W95" s="504"/>
      <c r="X95" s="504"/>
    </row>
    <row r="96" spans="1:25">
      <c r="A96" s="91" t="s">
        <v>26</v>
      </c>
      <c r="B96" s="30"/>
      <c r="C96" s="89"/>
      <c r="D96" s="502"/>
      <c r="E96" s="504"/>
      <c r="F96" s="504"/>
      <c r="G96" s="504"/>
      <c r="H96" s="504"/>
      <c r="I96" s="504"/>
      <c r="J96" s="504"/>
      <c r="K96" s="504"/>
      <c r="L96" s="504"/>
      <c r="M96" s="504"/>
      <c r="N96" s="504"/>
      <c r="O96" s="504"/>
      <c r="P96" s="504"/>
      <c r="Q96" s="504"/>
      <c r="R96" s="504"/>
      <c r="S96" s="504"/>
      <c r="T96" s="504"/>
      <c r="U96" s="504"/>
      <c r="V96" s="504"/>
      <c r="W96" s="504"/>
      <c r="X96" s="504"/>
    </row>
    <row r="97" spans="1:24" s="341" customFormat="1">
      <c r="A97" s="353" t="s">
        <v>214</v>
      </c>
      <c r="B97" s="354"/>
      <c r="C97" s="355"/>
      <c r="D97" s="548">
        <v>0</v>
      </c>
      <c r="E97" s="503">
        <v>0</v>
      </c>
      <c r="F97" s="503">
        <v>0</v>
      </c>
      <c r="G97" s="503">
        <v>0</v>
      </c>
      <c r="H97" s="503">
        <v>0</v>
      </c>
      <c r="I97" s="503">
        <v>0</v>
      </c>
      <c r="J97" s="503">
        <v>0</v>
      </c>
      <c r="K97" s="503">
        <v>0</v>
      </c>
      <c r="L97" s="503">
        <v>0</v>
      </c>
      <c r="M97" s="503">
        <v>0</v>
      </c>
      <c r="N97" s="503">
        <v>0</v>
      </c>
      <c r="O97" s="503">
        <v>0</v>
      </c>
      <c r="P97" s="503">
        <v>0</v>
      </c>
      <c r="Q97" s="503">
        <v>0</v>
      </c>
      <c r="R97" s="503">
        <v>0</v>
      </c>
      <c r="S97" s="503">
        <v>0</v>
      </c>
      <c r="T97" s="503">
        <v>0</v>
      </c>
      <c r="U97" s="503">
        <v>0</v>
      </c>
      <c r="V97" s="503">
        <v>0</v>
      </c>
      <c r="W97" s="503">
        <v>0</v>
      </c>
      <c r="X97" s="503">
        <v>0</v>
      </c>
    </row>
    <row r="98" spans="1:24">
      <c r="A98" s="88" t="s">
        <v>215</v>
      </c>
      <c r="B98" s="30"/>
      <c r="C98" s="89"/>
      <c r="D98" s="502">
        <v>0</v>
      </c>
      <c r="E98" s="504">
        <f>'BH Tariffs'!D43*'P&amp;L - Concept A2'!E44</f>
        <v>0</v>
      </c>
      <c r="F98" s="504">
        <f>'BH Tariffs'!E43*'P&amp;L - Concept A2'!F44</f>
        <v>0</v>
      </c>
      <c r="G98" s="504">
        <f>'BH Tariffs'!F43*'P&amp;L - Concept A2'!G44</f>
        <v>0</v>
      </c>
      <c r="H98" s="504">
        <f>'BH Tariffs'!G43*'P&amp;L - Concept A2'!H44</f>
        <v>0</v>
      </c>
      <c r="I98" s="504">
        <f>'BH Tariffs'!H43*'P&amp;L - Concept A2'!I44</f>
        <v>0</v>
      </c>
      <c r="J98" s="504">
        <f>'BH Tariffs'!I43*'P&amp;L - Concept A2'!J44</f>
        <v>242651.99999999994</v>
      </c>
      <c r="K98" s="504">
        <f>'BH Tariffs'!J43*'P&amp;L - Concept A2'!K44</f>
        <v>242651.99999999994</v>
      </c>
      <c r="L98" s="504">
        <f>'BH Tariffs'!K43*'P&amp;L - Concept A2'!L44</f>
        <v>242651.99999999994</v>
      </c>
      <c r="M98" s="504">
        <f>'BH Tariffs'!L43*'P&amp;L - Concept A2'!M44</f>
        <v>242651.99999999994</v>
      </c>
      <c r="N98" s="504">
        <f>'BH Tariffs'!M43*'P&amp;L - Concept A2'!N44</f>
        <v>242651.99999999994</v>
      </c>
      <c r="O98" s="504">
        <f>'BH Tariffs'!N43*'P&amp;L - Concept A2'!O44</f>
        <v>303314.99999999994</v>
      </c>
      <c r="P98" s="504">
        <f>'BH Tariffs'!O43*'P&amp;L - Concept A2'!P44</f>
        <v>303314.99999999994</v>
      </c>
      <c r="Q98" s="504">
        <f>'BH Tariffs'!P43*'P&amp;L - Concept A2'!Q44</f>
        <v>303314.99999999994</v>
      </c>
      <c r="R98" s="504">
        <f>'BH Tariffs'!Q43*'P&amp;L - Concept A2'!R44</f>
        <v>303314.99999999994</v>
      </c>
      <c r="S98" s="504">
        <f>'BH Tariffs'!R43*'P&amp;L - Concept A2'!S44</f>
        <v>303314.99999999994</v>
      </c>
      <c r="T98" s="504">
        <f>'BH Tariffs'!S43*'P&amp;L - Concept A2'!T44</f>
        <v>363977.99999999988</v>
      </c>
      <c r="U98" s="504">
        <f>'BH Tariffs'!T43*'P&amp;L - Concept A2'!U44</f>
        <v>363977.99999999988</v>
      </c>
      <c r="V98" s="504">
        <f>'BH Tariffs'!U43*'P&amp;L - Concept A2'!V44</f>
        <v>363977.99999999988</v>
      </c>
      <c r="W98" s="504">
        <f>'BH Tariffs'!V43*'P&amp;L - Concept A2'!W44</f>
        <v>363977.99999999988</v>
      </c>
      <c r="X98" s="504">
        <f>'BH Tariffs'!W43*'P&amp;L - Concept A2'!X44</f>
        <v>363977.99999999988</v>
      </c>
    </row>
    <row r="99" spans="1:24">
      <c r="A99" s="91"/>
      <c r="B99" s="30"/>
      <c r="C99" s="89"/>
      <c r="D99" s="502"/>
      <c r="E99" s="504"/>
      <c r="F99" s="504"/>
      <c r="G99" s="504"/>
      <c r="H99" s="504"/>
      <c r="I99" s="504"/>
      <c r="J99" s="504"/>
      <c r="K99" s="504"/>
      <c r="L99" s="504"/>
      <c r="M99" s="504"/>
      <c r="N99" s="504"/>
      <c r="O99" s="504"/>
      <c r="P99" s="504"/>
      <c r="Q99" s="504"/>
      <c r="R99" s="504"/>
      <c r="S99" s="504"/>
      <c r="T99" s="504"/>
      <c r="U99" s="504"/>
      <c r="V99" s="504"/>
      <c r="W99" s="504"/>
      <c r="X99" s="504"/>
    </row>
    <row r="100" spans="1:24">
      <c r="A100" s="91" t="s">
        <v>2</v>
      </c>
      <c r="B100" s="30"/>
      <c r="C100" s="89"/>
      <c r="D100" s="502"/>
      <c r="E100" s="504"/>
      <c r="F100" s="504"/>
      <c r="G100" s="504"/>
      <c r="H100" s="504"/>
      <c r="I100" s="504"/>
      <c r="J100" s="504"/>
      <c r="K100" s="504"/>
      <c r="L100" s="504"/>
      <c r="M100" s="504"/>
      <c r="N100" s="504"/>
      <c r="O100" s="504"/>
      <c r="P100" s="504"/>
      <c r="Q100" s="504"/>
      <c r="R100" s="504"/>
      <c r="S100" s="504"/>
      <c r="T100" s="504"/>
      <c r="U100" s="504"/>
      <c r="V100" s="504"/>
      <c r="W100" s="504"/>
      <c r="X100" s="504"/>
    </row>
    <row r="101" spans="1:24" s="341" customFormat="1">
      <c r="A101" s="353" t="str">
        <f>'BH Tariffs'!A44</f>
        <v>Commerical Rent (Seasonal Kiosk(s)/Vendor(s))</v>
      </c>
      <c r="B101" s="354"/>
      <c r="C101" s="355"/>
      <c r="D101" s="548">
        <v>0</v>
      </c>
      <c r="E101" s="503">
        <v>0</v>
      </c>
      <c r="F101" s="503">
        <v>0</v>
      </c>
      <c r="G101" s="503">
        <v>0</v>
      </c>
      <c r="H101" s="503">
        <v>0</v>
      </c>
      <c r="I101" s="503">
        <v>0</v>
      </c>
      <c r="J101" s="503">
        <v>0</v>
      </c>
      <c r="K101" s="503">
        <v>0</v>
      </c>
      <c r="L101" s="503">
        <v>0</v>
      </c>
      <c r="M101" s="503">
        <v>0</v>
      </c>
      <c r="N101" s="503">
        <v>0</v>
      </c>
      <c r="O101" s="503">
        <v>0</v>
      </c>
      <c r="P101" s="503">
        <v>0</v>
      </c>
      <c r="Q101" s="503">
        <v>0</v>
      </c>
      <c r="R101" s="503">
        <v>0</v>
      </c>
      <c r="S101" s="503">
        <v>0</v>
      </c>
      <c r="T101" s="503">
        <v>0</v>
      </c>
      <c r="U101" s="503">
        <v>0</v>
      </c>
      <c r="V101" s="503">
        <v>0</v>
      </c>
      <c r="W101" s="503">
        <v>0</v>
      </c>
      <c r="X101" s="503">
        <v>0</v>
      </c>
    </row>
    <row r="102" spans="1:24" s="341" customFormat="1">
      <c r="A102" s="353" t="s">
        <v>541</v>
      </c>
      <c r="B102" s="354"/>
      <c r="C102" s="355"/>
      <c r="D102" s="548">
        <v>0</v>
      </c>
      <c r="E102" s="503">
        <v>0</v>
      </c>
      <c r="F102" s="503">
        <v>0</v>
      </c>
      <c r="G102" s="503">
        <v>0</v>
      </c>
      <c r="H102" s="503">
        <v>0</v>
      </c>
      <c r="I102" s="503">
        <v>0</v>
      </c>
      <c r="J102" s="503">
        <v>0</v>
      </c>
      <c r="K102" s="503">
        <v>0</v>
      </c>
      <c r="L102" s="503">
        <v>0</v>
      </c>
      <c r="M102" s="503">
        <v>0</v>
      </c>
      <c r="N102" s="503">
        <v>0</v>
      </c>
      <c r="O102" s="503">
        <v>0</v>
      </c>
      <c r="P102" s="503">
        <v>0</v>
      </c>
      <c r="Q102" s="503">
        <v>0</v>
      </c>
      <c r="R102" s="503">
        <v>0</v>
      </c>
      <c r="S102" s="503">
        <v>0</v>
      </c>
      <c r="T102" s="503">
        <v>0</v>
      </c>
      <c r="U102" s="503">
        <v>0</v>
      </c>
      <c r="V102" s="503">
        <v>0</v>
      </c>
      <c r="W102" s="503">
        <v>0</v>
      </c>
      <c r="X102" s="503">
        <v>0</v>
      </c>
    </row>
    <row r="103" spans="1:24">
      <c r="A103" s="88" t="str">
        <f>'BH Tariffs'!A45</f>
        <v>Motorcoach Access/Tour Operator Licenses</v>
      </c>
      <c r="B103" s="30"/>
      <c r="C103" s="89"/>
      <c r="D103" s="502">
        <v>0</v>
      </c>
      <c r="E103" s="504">
        <v>0</v>
      </c>
      <c r="F103" s="504">
        <f>'BH Tariffs'!E45*'P&amp;L - Concept A2'!F66</f>
        <v>3060</v>
      </c>
      <c r="G103" s="504">
        <f>'BH Tariffs'!F45*'P&amp;L - Concept A2'!G66</f>
        <v>3121.2000000000003</v>
      </c>
      <c r="H103" s="504">
        <f>'BH Tariffs'!G45*'P&amp;L - Concept A2'!H66</f>
        <v>3183.6239999999998</v>
      </c>
      <c r="I103" s="504">
        <f>'BH Tariffs'!H45*'P&amp;L - Concept A2'!I66</f>
        <v>3247.29648</v>
      </c>
      <c r="J103" s="504">
        <f>'BH Tariffs'!I45*'P&amp;L - Concept A2'!J66</f>
        <v>3312.2424096</v>
      </c>
      <c r="K103" s="504">
        <f>'BH Tariffs'!J45*'P&amp;L - Concept A2'!K66</f>
        <v>3378.4872577920005</v>
      </c>
      <c r="L103" s="504">
        <f>'BH Tariffs'!K45*'P&amp;L - Concept A2'!L66</f>
        <v>3446.0570029478404</v>
      </c>
      <c r="M103" s="504">
        <f>'BH Tariffs'!L45*'P&amp;L - Concept A2'!M66</f>
        <v>3514.9781430067969</v>
      </c>
      <c r="N103" s="504">
        <f>'BH Tariffs'!M45*'P&amp;L - Concept A2'!N66</f>
        <v>3585.2777058669335</v>
      </c>
      <c r="O103" s="504">
        <f>'BH Tariffs'!N45*'P&amp;L - Concept A2'!O66</f>
        <v>3656.9832599842721</v>
      </c>
      <c r="P103" s="504">
        <f>'BH Tariffs'!O45*'P&amp;L - Concept A2'!P66</f>
        <v>3730.1229251839572</v>
      </c>
      <c r="Q103" s="504">
        <f>'BH Tariffs'!P45*'P&amp;L - Concept A2'!Q66</f>
        <v>3804.7253836876362</v>
      </c>
      <c r="R103" s="504">
        <f>'BH Tariffs'!Q45*'P&amp;L - Concept A2'!R66</f>
        <v>3880.8198913613887</v>
      </c>
      <c r="S103" s="504">
        <f>'BH Tariffs'!R45*'P&amp;L - Concept A2'!S66</f>
        <v>3958.4362891886167</v>
      </c>
      <c r="T103" s="504">
        <f>'BH Tariffs'!S45*'P&amp;L - Concept A2'!T66</f>
        <v>4037.6050149723897</v>
      </c>
      <c r="U103" s="504">
        <f>'BH Tariffs'!T45*'P&amp;L - Concept A2'!U66</f>
        <v>4118.3571152718378</v>
      </c>
      <c r="V103" s="504">
        <f>'BH Tariffs'!U45*'P&amp;L - Concept A2'!V66</f>
        <v>4200.7242575772743</v>
      </c>
      <c r="W103" s="504">
        <f>'BH Tariffs'!V45*'P&amp;L - Concept A2'!W66</f>
        <v>4284.7387427288204</v>
      </c>
      <c r="X103" s="504">
        <f>'BH Tariffs'!W45*'P&amp;L - Concept A2'!X66</f>
        <v>4370.4335175833967</v>
      </c>
    </row>
    <row r="104" spans="1:24">
      <c r="A104" s="299" t="s">
        <v>217</v>
      </c>
      <c r="B104" s="299"/>
      <c r="C104" s="299"/>
      <c r="D104" s="505">
        <v>0</v>
      </c>
      <c r="E104" s="506">
        <v>0</v>
      </c>
      <c r="F104" s="506">
        <f>'BH Tariffs'!E46*'P&amp;L - Concept A2'!F65</f>
        <v>500</v>
      </c>
      <c r="G104" s="506">
        <f>'BH Tariffs'!F46*'P&amp;L - Concept A2'!G65</f>
        <v>1000</v>
      </c>
      <c r="H104" s="506">
        <f>'BH Tariffs'!G46*'P&amp;L - Concept A2'!H65</f>
        <v>1000</v>
      </c>
      <c r="I104" s="506">
        <f>'BH Tariffs'!H46*'P&amp;L - Concept A2'!I65</f>
        <v>1000</v>
      </c>
      <c r="J104" s="506">
        <f>'BH Tariffs'!I46*'P&amp;L - Concept A2'!J65</f>
        <v>1650</v>
      </c>
      <c r="K104" s="506">
        <f>'BH Tariffs'!J46*'P&amp;L - Concept A2'!K65</f>
        <v>1650</v>
      </c>
      <c r="L104" s="506">
        <f>'BH Tariffs'!K46*'P&amp;L - Concept A2'!L65</f>
        <v>1650</v>
      </c>
      <c r="M104" s="506">
        <f>'BH Tariffs'!L46*'P&amp;L - Concept A2'!M65</f>
        <v>1650</v>
      </c>
      <c r="N104" s="506">
        <f>'BH Tariffs'!M46*'P&amp;L - Concept A2'!N65</f>
        <v>1650</v>
      </c>
      <c r="O104" s="506">
        <f>'BH Tariffs'!N46*'P&amp;L - Concept A2'!O65</f>
        <v>2400</v>
      </c>
      <c r="P104" s="506">
        <f>'BH Tariffs'!O46*'P&amp;L - Concept A2'!P65</f>
        <v>2400</v>
      </c>
      <c r="Q104" s="506">
        <f>'BH Tariffs'!P46*'P&amp;L - Concept A2'!Q65</f>
        <v>2400</v>
      </c>
      <c r="R104" s="506">
        <f>'BH Tariffs'!Q46*'P&amp;L - Concept A2'!R65</f>
        <v>2400</v>
      </c>
      <c r="S104" s="506">
        <f>'BH Tariffs'!R46*'P&amp;L - Concept A2'!S65</f>
        <v>2400</v>
      </c>
      <c r="T104" s="506">
        <f>'BH Tariffs'!S46*'P&amp;L - Concept A2'!T65</f>
        <v>3250</v>
      </c>
      <c r="U104" s="506">
        <f>'BH Tariffs'!T46*'P&amp;L - Concept A2'!U65</f>
        <v>3250</v>
      </c>
      <c r="V104" s="506">
        <f>'BH Tariffs'!U46*'P&amp;L - Concept A2'!V65</f>
        <v>3250</v>
      </c>
      <c r="W104" s="506">
        <f>'BH Tariffs'!V46*'P&amp;L - Concept A2'!W65</f>
        <v>3250</v>
      </c>
      <c r="X104" s="506">
        <f>'BH Tariffs'!W46*'P&amp;L - Concept A2'!X65</f>
        <v>3250</v>
      </c>
    </row>
    <row r="105" spans="1:24">
      <c r="A105" s="278" t="s">
        <v>145</v>
      </c>
      <c r="D105" s="507">
        <f>SUM(D71:D104)</f>
        <v>0</v>
      </c>
      <c r="E105" s="508">
        <f>SUM(E70:E104)</f>
        <v>0</v>
      </c>
      <c r="F105" s="508">
        <f t="shared" ref="F105:X105" si="10">SUM(F70:F104)</f>
        <v>865435.85964687518</v>
      </c>
      <c r="G105" s="508">
        <f t="shared" si="10"/>
        <v>883234.57683981257</v>
      </c>
      <c r="H105" s="508">
        <f t="shared" si="10"/>
        <v>900879.26837660873</v>
      </c>
      <c r="I105" s="508">
        <f t="shared" si="10"/>
        <v>918876.85374414083</v>
      </c>
      <c r="J105" s="508">
        <f t="shared" si="10"/>
        <v>1180536.3908190236</v>
      </c>
      <c r="K105" s="508">
        <f t="shared" si="10"/>
        <v>1199261.0786354041</v>
      </c>
      <c r="L105" s="508">
        <f t="shared" si="10"/>
        <v>1218360.2602081122</v>
      </c>
      <c r="M105" s="508">
        <f t="shared" si="10"/>
        <v>1237841.4254122747</v>
      </c>
      <c r="N105" s="508">
        <f t="shared" si="10"/>
        <v>1257712.2139205199</v>
      </c>
      <c r="O105" s="508">
        <f t="shared" si="10"/>
        <v>1339393.4181989306</v>
      </c>
      <c r="P105" s="508">
        <f t="shared" si="10"/>
        <v>1360066.9865629093</v>
      </c>
      <c r="Q105" s="508">
        <f t="shared" si="10"/>
        <v>1381154.0262941674</v>
      </c>
      <c r="R105" s="508">
        <f t="shared" si="10"/>
        <v>1402662.8068200506</v>
      </c>
      <c r="S105" s="508">
        <f t="shared" si="10"/>
        <v>1424601.7629564519</v>
      </c>
      <c r="T105" s="508">
        <f t="shared" si="10"/>
        <v>1508492.4982155808</v>
      </c>
      <c r="U105" s="508">
        <f t="shared" si="10"/>
        <v>1531317.7881798923</v>
      </c>
      <c r="V105" s="508">
        <f t="shared" si="10"/>
        <v>1554599.5839434899</v>
      </c>
      <c r="W105" s="508">
        <f t="shared" si="10"/>
        <v>1578347.0156223602</v>
      </c>
      <c r="X105" s="508">
        <f t="shared" si="10"/>
        <v>1602569.3959348074</v>
      </c>
    </row>
    <row r="106" spans="1:24">
      <c r="D106" s="507"/>
      <c r="E106" s="413"/>
      <c r="F106" s="413"/>
      <c r="G106" s="413"/>
      <c r="H106" s="413"/>
      <c r="I106" s="413"/>
      <c r="J106" s="413"/>
      <c r="K106" s="413"/>
      <c r="L106" s="413"/>
      <c r="M106" s="413"/>
      <c r="N106" s="413"/>
      <c r="O106" s="413"/>
      <c r="P106" s="413"/>
      <c r="Q106" s="413"/>
      <c r="R106" s="413"/>
      <c r="S106" s="413"/>
      <c r="T106" s="413"/>
      <c r="U106" s="413"/>
      <c r="V106" s="413"/>
      <c r="W106" s="413"/>
      <c r="X106" s="413"/>
    </row>
    <row r="107" spans="1:24">
      <c r="A107" s="271" t="s">
        <v>146</v>
      </c>
      <c r="B107" s="149"/>
      <c r="C107" s="149"/>
      <c r="D107" s="509"/>
      <c r="E107" s="510"/>
      <c r="F107" s="510"/>
      <c r="G107" s="510"/>
      <c r="H107" s="510"/>
      <c r="I107" s="510"/>
      <c r="J107" s="510"/>
      <c r="K107" s="510"/>
      <c r="L107" s="510"/>
      <c r="M107" s="510"/>
      <c r="N107" s="510"/>
      <c r="O107" s="510"/>
      <c r="P107" s="510"/>
      <c r="Q107" s="510"/>
      <c r="R107" s="510"/>
      <c r="S107" s="510"/>
      <c r="T107" s="510"/>
      <c r="U107" s="510"/>
      <c r="V107" s="510"/>
      <c r="W107" s="510"/>
      <c r="X107" s="510"/>
    </row>
    <row r="108" spans="1:24">
      <c r="D108" s="507"/>
      <c r="E108" s="413"/>
      <c r="F108" s="413"/>
      <c r="G108" s="413"/>
      <c r="H108" s="413"/>
      <c r="I108" s="413"/>
      <c r="J108" s="413"/>
      <c r="K108" s="413"/>
      <c r="L108" s="413"/>
      <c r="M108" s="413"/>
      <c r="N108" s="413"/>
      <c r="O108" s="413"/>
      <c r="P108" s="413"/>
      <c r="Q108" s="413"/>
      <c r="R108" s="413"/>
      <c r="S108" s="413"/>
      <c r="T108" s="413"/>
      <c r="U108" s="413"/>
      <c r="V108" s="413"/>
      <c r="W108" s="413"/>
      <c r="X108" s="413"/>
    </row>
    <row r="109" spans="1:24">
      <c r="A109" s="91" t="s">
        <v>380</v>
      </c>
      <c r="B109" s="89"/>
      <c r="C109" s="89"/>
      <c r="D109" s="502"/>
      <c r="E109" s="504"/>
      <c r="F109" s="504"/>
      <c r="G109" s="504"/>
      <c r="H109" s="504"/>
      <c r="I109" s="504"/>
      <c r="J109" s="504"/>
      <c r="K109" s="504"/>
      <c r="L109" s="504"/>
      <c r="M109" s="504"/>
      <c r="N109" s="504"/>
      <c r="O109" s="504"/>
      <c r="P109" s="504"/>
      <c r="Q109" s="504"/>
      <c r="R109" s="504"/>
      <c r="S109" s="504"/>
      <c r="T109" s="504"/>
      <c r="U109" s="504"/>
      <c r="V109" s="504"/>
      <c r="W109" s="504"/>
      <c r="X109" s="504"/>
    </row>
    <row r="110" spans="1:24">
      <c r="A110" s="88" t="s">
        <v>432</v>
      </c>
      <c r="B110" s="89"/>
      <c r="C110" s="89"/>
      <c r="D110" s="502">
        <v>0</v>
      </c>
      <c r="E110" s="504">
        <v>0</v>
      </c>
      <c r="F110" s="504">
        <v>0</v>
      </c>
      <c r="G110" s="504">
        <v>0</v>
      </c>
      <c r="H110" s="504">
        <v>0</v>
      </c>
      <c r="I110" s="504">
        <v>0</v>
      </c>
      <c r="J110" s="504">
        <v>0</v>
      </c>
      <c r="K110" s="504">
        <v>0</v>
      </c>
      <c r="L110" s="504">
        <v>0</v>
      </c>
      <c r="M110" s="504">
        <v>0</v>
      </c>
      <c r="N110" s="504">
        <v>0</v>
      </c>
      <c r="O110" s="504">
        <v>0</v>
      </c>
      <c r="P110" s="504">
        <v>0</v>
      </c>
      <c r="Q110" s="504">
        <v>0</v>
      </c>
      <c r="R110" s="504">
        <v>0</v>
      </c>
      <c r="S110" s="504">
        <v>0</v>
      </c>
      <c r="T110" s="504">
        <v>0</v>
      </c>
      <c r="U110" s="504">
        <v>0</v>
      </c>
      <c r="V110" s="504">
        <v>0</v>
      </c>
      <c r="W110" s="504">
        <v>0</v>
      </c>
      <c r="X110" s="504">
        <v>0</v>
      </c>
    </row>
    <row r="111" spans="1:24">
      <c r="A111" s="88" t="s">
        <v>433</v>
      </c>
      <c r="B111" s="89"/>
      <c r="C111" s="89"/>
      <c r="D111" s="502">
        <v>0</v>
      </c>
      <c r="E111" s="504">
        <v>0</v>
      </c>
      <c r="F111" s="504">
        <v>0</v>
      </c>
      <c r="G111" s="504">
        <v>0</v>
      </c>
      <c r="H111" s="504">
        <v>0</v>
      </c>
      <c r="I111" s="504">
        <v>0</v>
      </c>
      <c r="J111" s="504">
        <v>0</v>
      </c>
      <c r="K111" s="504">
        <v>0</v>
      </c>
      <c r="L111" s="504">
        <v>0</v>
      </c>
      <c r="M111" s="504">
        <v>0</v>
      </c>
      <c r="N111" s="504">
        <v>0</v>
      </c>
      <c r="O111" s="504">
        <v>0</v>
      </c>
      <c r="P111" s="504">
        <v>0</v>
      </c>
      <c r="Q111" s="504">
        <v>0</v>
      </c>
      <c r="R111" s="504">
        <v>0</v>
      </c>
      <c r="S111" s="504">
        <v>0</v>
      </c>
      <c r="T111" s="504">
        <v>0</v>
      </c>
      <c r="U111" s="504">
        <v>0</v>
      </c>
      <c r="V111" s="504">
        <v>0</v>
      </c>
      <c r="W111" s="504">
        <v>0</v>
      </c>
      <c r="X111" s="504">
        <v>0</v>
      </c>
    </row>
    <row r="112" spans="1:24">
      <c r="A112" s="88" t="s">
        <v>434</v>
      </c>
      <c r="B112" s="89"/>
      <c r="C112" s="89"/>
      <c r="D112" s="502">
        <v>0</v>
      </c>
      <c r="E112" s="504">
        <v>0</v>
      </c>
      <c r="F112" s="504">
        <v>0</v>
      </c>
      <c r="G112" s="504">
        <v>0</v>
      </c>
      <c r="H112" s="504">
        <v>0</v>
      </c>
      <c r="I112" s="504">
        <v>0</v>
      </c>
      <c r="J112" s="504">
        <v>0</v>
      </c>
      <c r="K112" s="504">
        <v>0</v>
      </c>
      <c r="L112" s="504">
        <v>0</v>
      </c>
      <c r="M112" s="504">
        <v>0</v>
      </c>
      <c r="N112" s="504">
        <v>0</v>
      </c>
      <c r="O112" s="504">
        <v>0</v>
      </c>
      <c r="P112" s="504">
        <v>0</v>
      </c>
      <c r="Q112" s="504">
        <v>0</v>
      </c>
      <c r="R112" s="504">
        <v>0</v>
      </c>
      <c r="S112" s="504">
        <v>0</v>
      </c>
      <c r="T112" s="504">
        <v>0</v>
      </c>
      <c r="U112" s="504">
        <v>0</v>
      </c>
      <c r="V112" s="504">
        <v>0</v>
      </c>
      <c r="W112" s="504">
        <v>0</v>
      </c>
      <c r="X112" s="504">
        <v>0</v>
      </c>
    </row>
    <row r="113" spans="1:25">
      <c r="A113" s="88" t="s">
        <v>229</v>
      </c>
      <c r="B113" s="30"/>
      <c r="C113" s="89"/>
      <c r="D113" s="502">
        <v>0</v>
      </c>
      <c r="E113" s="504">
        <v>0</v>
      </c>
      <c r="F113" s="504">
        <v>0</v>
      </c>
      <c r="G113" s="504">
        <v>0</v>
      </c>
      <c r="H113" s="504">
        <v>0</v>
      </c>
      <c r="I113" s="504">
        <v>0</v>
      </c>
      <c r="J113" s="504">
        <v>0</v>
      </c>
      <c r="K113" s="504">
        <v>0</v>
      </c>
      <c r="L113" s="504">
        <v>0</v>
      </c>
      <c r="M113" s="504">
        <v>0</v>
      </c>
      <c r="N113" s="504">
        <v>0</v>
      </c>
      <c r="O113" s="504">
        <v>0</v>
      </c>
      <c r="P113" s="504">
        <v>0</v>
      </c>
      <c r="Q113" s="504">
        <v>0</v>
      </c>
      <c r="R113" s="504">
        <v>0</v>
      </c>
      <c r="S113" s="504">
        <v>0</v>
      </c>
      <c r="T113" s="504">
        <v>0</v>
      </c>
      <c r="U113" s="504">
        <v>0</v>
      </c>
      <c r="V113" s="504">
        <v>0</v>
      </c>
      <c r="W113" s="504">
        <v>0</v>
      </c>
      <c r="X113" s="504">
        <v>0</v>
      </c>
    </row>
    <row r="114" spans="1:25" s="32" customFormat="1">
      <c r="A114" s="299" t="s">
        <v>297</v>
      </c>
      <c r="B114" s="299"/>
      <c r="C114" s="299"/>
      <c r="D114" s="505">
        <v>0</v>
      </c>
      <c r="E114" s="506">
        <f t="shared" ref="E114:X114" si="11">E53</f>
        <v>0</v>
      </c>
      <c r="F114" s="506">
        <f t="shared" si="11"/>
        <v>0</v>
      </c>
      <c r="G114" s="506">
        <f t="shared" si="11"/>
        <v>100000</v>
      </c>
      <c r="H114" s="506">
        <f t="shared" si="11"/>
        <v>100000</v>
      </c>
      <c r="I114" s="506">
        <f t="shared" si="11"/>
        <v>100000</v>
      </c>
      <c r="J114" s="506">
        <f t="shared" si="11"/>
        <v>100000</v>
      </c>
      <c r="K114" s="506">
        <f t="shared" si="11"/>
        <v>100000</v>
      </c>
      <c r="L114" s="506">
        <f t="shared" si="11"/>
        <v>100000</v>
      </c>
      <c r="M114" s="506">
        <f t="shared" si="11"/>
        <v>100000</v>
      </c>
      <c r="N114" s="506">
        <f t="shared" si="11"/>
        <v>100000</v>
      </c>
      <c r="O114" s="506">
        <f t="shared" si="11"/>
        <v>100000</v>
      </c>
      <c r="P114" s="506">
        <f t="shared" si="11"/>
        <v>100000</v>
      </c>
      <c r="Q114" s="506">
        <f t="shared" si="11"/>
        <v>100000</v>
      </c>
      <c r="R114" s="506">
        <f t="shared" si="11"/>
        <v>100000</v>
      </c>
      <c r="S114" s="506">
        <f t="shared" si="11"/>
        <v>100000</v>
      </c>
      <c r="T114" s="506">
        <f t="shared" si="11"/>
        <v>100000</v>
      </c>
      <c r="U114" s="506">
        <f t="shared" si="11"/>
        <v>100000</v>
      </c>
      <c r="V114" s="506">
        <f t="shared" si="11"/>
        <v>100000</v>
      </c>
      <c r="W114" s="506">
        <f t="shared" si="11"/>
        <v>100000</v>
      </c>
      <c r="X114" s="506">
        <f t="shared" si="11"/>
        <v>100000</v>
      </c>
    </row>
    <row r="115" spans="1:25">
      <c r="A115" s="278" t="s">
        <v>147</v>
      </c>
      <c r="D115" s="507">
        <f>SUM(D113:D114)</f>
        <v>0</v>
      </c>
      <c r="E115" s="508">
        <f>SUM(E110:E114)</f>
        <v>0</v>
      </c>
      <c r="F115" s="508">
        <f t="shared" ref="F115:X115" si="12">SUM(F110:F114)</f>
        <v>0</v>
      </c>
      <c r="G115" s="508">
        <f t="shared" si="12"/>
        <v>100000</v>
      </c>
      <c r="H115" s="508">
        <f t="shared" si="12"/>
        <v>100000</v>
      </c>
      <c r="I115" s="508">
        <f t="shared" si="12"/>
        <v>100000</v>
      </c>
      <c r="J115" s="508">
        <f t="shared" si="12"/>
        <v>100000</v>
      </c>
      <c r="K115" s="508">
        <f t="shared" si="12"/>
        <v>100000</v>
      </c>
      <c r="L115" s="508">
        <f t="shared" si="12"/>
        <v>100000</v>
      </c>
      <c r="M115" s="508">
        <f t="shared" si="12"/>
        <v>100000</v>
      </c>
      <c r="N115" s="508">
        <f t="shared" si="12"/>
        <v>100000</v>
      </c>
      <c r="O115" s="508">
        <f t="shared" si="12"/>
        <v>100000</v>
      </c>
      <c r="P115" s="508">
        <f t="shared" si="12"/>
        <v>100000</v>
      </c>
      <c r="Q115" s="508">
        <f t="shared" si="12"/>
        <v>100000</v>
      </c>
      <c r="R115" s="508">
        <f t="shared" si="12"/>
        <v>100000</v>
      </c>
      <c r="S115" s="508">
        <f t="shared" si="12"/>
        <v>100000</v>
      </c>
      <c r="T115" s="508">
        <f t="shared" si="12"/>
        <v>100000</v>
      </c>
      <c r="U115" s="508">
        <f t="shared" si="12"/>
        <v>100000</v>
      </c>
      <c r="V115" s="508">
        <f t="shared" si="12"/>
        <v>100000</v>
      </c>
      <c r="W115" s="508">
        <f t="shared" si="12"/>
        <v>100000</v>
      </c>
      <c r="X115" s="508">
        <f t="shared" si="12"/>
        <v>100000</v>
      </c>
    </row>
    <row r="116" spans="1:25">
      <c r="D116" s="507"/>
      <c r="E116" s="413"/>
      <c r="F116" s="413"/>
      <c r="G116" s="413"/>
      <c r="H116" s="413"/>
      <c r="I116" s="413"/>
      <c r="J116" s="413"/>
      <c r="K116" s="413"/>
      <c r="L116" s="413"/>
      <c r="M116" s="413"/>
      <c r="N116" s="413"/>
      <c r="O116" s="413"/>
      <c r="P116" s="413"/>
      <c r="Q116" s="413"/>
      <c r="R116" s="413"/>
      <c r="S116" s="413"/>
      <c r="T116" s="413"/>
      <c r="U116" s="413"/>
      <c r="V116" s="413"/>
      <c r="W116" s="413"/>
      <c r="X116" s="413"/>
    </row>
    <row r="117" spans="1:25">
      <c r="A117" s="88" t="s">
        <v>608</v>
      </c>
      <c r="D117" s="507">
        <f t="shared" ref="D117" si="13">SUM(D115:D116)</f>
        <v>0</v>
      </c>
      <c r="E117" s="413">
        <v>58025</v>
      </c>
      <c r="F117" s="413">
        <v>0</v>
      </c>
      <c r="G117" s="413">
        <v>0</v>
      </c>
      <c r="H117" s="413">
        <v>0</v>
      </c>
      <c r="I117" s="413">
        <v>0</v>
      </c>
      <c r="J117" s="413">
        <v>0</v>
      </c>
      <c r="K117" s="413">
        <v>0</v>
      </c>
      <c r="L117" s="413">
        <v>0</v>
      </c>
      <c r="M117" s="413">
        <v>0</v>
      </c>
      <c r="N117" s="413">
        <v>0</v>
      </c>
      <c r="O117" s="413">
        <v>0</v>
      </c>
      <c r="P117" s="413">
        <v>0</v>
      </c>
      <c r="Q117" s="413">
        <v>0</v>
      </c>
      <c r="R117" s="413">
        <v>0</v>
      </c>
      <c r="S117" s="413">
        <v>0</v>
      </c>
      <c r="T117" s="413">
        <v>0</v>
      </c>
      <c r="U117" s="413">
        <v>0</v>
      </c>
      <c r="V117" s="413">
        <v>0</v>
      </c>
      <c r="W117" s="413">
        <v>0</v>
      </c>
      <c r="X117" s="413">
        <v>0</v>
      </c>
    </row>
    <row r="118" spans="1:25">
      <c r="D118" s="507"/>
      <c r="E118" s="413"/>
      <c r="F118" s="413"/>
      <c r="G118" s="413"/>
      <c r="H118" s="413"/>
      <c r="I118" s="413"/>
      <c r="J118" s="413"/>
      <c r="K118" s="413"/>
      <c r="L118" s="413"/>
      <c r="M118" s="413"/>
      <c r="N118" s="413"/>
      <c r="O118" s="413"/>
      <c r="P118" s="413"/>
      <c r="Q118" s="413"/>
      <c r="R118" s="413"/>
      <c r="S118" s="413"/>
      <c r="T118" s="413"/>
      <c r="U118" s="413"/>
      <c r="V118" s="413"/>
      <c r="W118" s="413"/>
      <c r="X118" s="413"/>
    </row>
    <row r="119" spans="1:25" s="16" customFormat="1" ht="14.25">
      <c r="A119" s="295" t="s">
        <v>148</v>
      </c>
      <c r="B119" s="295"/>
      <c r="C119" s="295"/>
      <c r="D119" s="511">
        <f>SUM(D105,D115)</f>
        <v>0</v>
      </c>
      <c r="E119" s="511">
        <f>SUM(E105,E115,E117)</f>
        <v>58025</v>
      </c>
      <c r="F119" s="511">
        <f t="shared" ref="F119:X119" si="14">SUM(F105,F115,F117)</f>
        <v>865435.85964687518</v>
      </c>
      <c r="G119" s="511">
        <f t="shared" si="14"/>
        <v>983234.57683981257</v>
      </c>
      <c r="H119" s="511">
        <f t="shared" si="14"/>
        <v>1000879.2683766087</v>
      </c>
      <c r="I119" s="511">
        <f t="shared" si="14"/>
        <v>1018876.8537441408</v>
      </c>
      <c r="J119" s="511">
        <f t="shared" si="14"/>
        <v>1280536.3908190236</v>
      </c>
      <c r="K119" s="511">
        <f t="shared" si="14"/>
        <v>1299261.0786354041</v>
      </c>
      <c r="L119" s="511">
        <f t="shared" si="14"/>
        <v>1318360.2602081122</v>
      </c>
      <c r="M119" s="511">
        <f t="shared" si="14"/>
        <v>1337841.4254122747</v>
      </c>
      <c r="N119" s="511">
        <f t="shared" si="14"/>
        <v>1357712.2139205199</v>
      </c>
      <c r="O119" s="511">
        <f t="shared" si="14"/>
        <v>1439393.4181989306</v>
      </c>
      <c r="P119" s="511">
        <f t="shared" si="14"/>
        <v>1460066.9865629093</v>
      </c>
      <c r="Q119" s="511">
        <f t="shared" si="14"/>
        <v>1481154.0262941674</v>
      </c>
      <c r="R119" s="511">
        <f t="shared" si="14"/>
        <v>1502662.8068200506</v>
      </c>
      <c r="S119" s="511">
        <f t="shared" si="14"/>
        <v>1524601.7629564519</v>
      </c>
      <c r="T119" s="511">
        <f t="shared" si="14"/>
        <v>1608492.4982155808</v>
      </c>
      <c r="U119" s="511">
        <f t="shared" si="14"/>
        <v>1631317.7881798923</v>
      </c>
      <c r="V119" s="511">
        <f t="shared" si="14"/>
        <v>1654599.5839434899</v>
      </c>
      <c r="W119" s="511">
        <f t="shared" si="14"/>
        <v>1678347.0156223602</v>
      </c>
      <c r="X119" s="511">
        <f t="shared" si="14"/>
        <v>1702569.3959348074</v>
      </c>
      <c r="Y119" s="622">
        <f>SUM(D119:X119)</f>
        <v>26203368.210331414</v>
      </c>
    </row>
    <row r="120" spans="1:25">
      <c r="A120" s="30"/>
      <c r="B120" s="30"/>
      <c r="C120" s="30"/>
      <c r="D120" s="502"/>
      <c r="E120" s="512"/>
      <c r="F120" s="512"/>
      <c r="G120" s="512"/>
      <c r="H120" s="512"/>
      <c r="I120" s="512"/>
      <c r="J120" s="512"/>
      <c r="K120" s="512"/>
      <c r="L120" s="512"/>
      <c r="M120" s="512"/>
      <c r="N120" s="512"/>
      <c r="O120" s="512"/>
      <c r="P120" s="512"/>
      <c r="Q120" s="512"/>
      <c r="R120" s="512"/>
      <c r="S120" s="512"/>
      <c r="T120" s="512"/>
      <c r="U120" s="512"/>
      <c r="V120" s="512"/>
      <c r="W120" s="512"/>
      <c r="X120" s="512"/>
    </row>
    <row r="121" spans="1:25" s="33" customFormat="1">
      <c r="A121" s="47" t="s">
        <v>7</v>
      </c>
      <c r="B121" s="47" t="s">
        <v>7</v>
      </c>
      <c r="C121" s="78" t="s">
        <v>7</v>
      </c>
      <c r="D121" s="604" t="s">
        <v>7</v>
      </c>
      <c r="E121" s="78" t="s">
        <v>7</v>
      </c>
      <c r="F121" s="78" t="s">
        <v>7</v>
      </c>
      <c r="G121" s="78" t="s">
        <v>7</v>
      </c>
      <c r="H121" s="78" t="s">
        <v>7</v>
      </c>
      <c r="I121" s="78" t="s">
        <v>7</v>
      </c>
      <c r="J121" s="78" t="s">
        <v>7</v>
      </c>
      <c r="K121" s="78" t="s">
        <v>7</v>
      </c>
      <c r="L121" s="78" t="s">
        <v>7</v>
      </c>
      <c r="M121" s="78" t="s">
        <v>7</v>
      </c>
      <c r="N121" s="78" t="s">
        <v>7</v>
      </c>
      <c r="O121" s="78" t="s">
        <v>7</v>
      </c>
      <c r="P121" s="78" t="s">
        <v>7</v>
      </c>
      <c r="Q121" s="78" t="s">
        <v>7</v>
      </c>
      <c r="R121" s="78" t="s">
        <v>7</v>
      </c>
      <c r="S121" s="78" t="s">
        <v>7</v>
      </c>
      <c r="T121" s="78" t="s">
        <v>7</v>
      </c>
      <c r="U121" s="78" t="s">
        <v>7</v>
      </c>
      <c r="V121" s="78" t="s">
        <v>7</v>
      </c>
      <c r="W121" s="78" t="s">
        <v>7</v>
      </c>
      <c r="X121" s="78" t="s">
        <v>7</v>
      </c>
    </row>
    <row r="122" spans="1:25">
      <c r="A122" s="30"/>
      <c r="B122" s="30"/>
      <c r="C122" s="30"/>
      <c r="D122" s="502"/>
      <c r="E122" s="512"/>
      <c r="F122" s="512"/>
      <c r="G122" s="512"/>
      <c r="H122" s="512"/>
      <c r="I122" s="512"/>
      <c r="J122" s="512"/>
      <c r="K122" s="512"/>
      <c r="L122" s="512"/>
      <c r="M122" s="512"/>
      <c r="N122" s="512"/>
      <c r="O122" s="512"/>
      <c r="P122" s="512"/>
      <c r="Q122" s="512"/>
      <c r="R122" s="512"/>
      <c r="S122" s="512"/>
      <c r="T122" s="512"/>
      <c r="U122" s="512"/>
      <c r="V122" s="512"/>
      <c r="W122" s="512"/>
      <c r="X122" s="512"/>
    </row>
    <row r="123" spans="1:25">
      <c r="A123" s="269" t="s">
        <v>131</v>
      </c>
      <c r="B123" s="269"/>
      <c r="C123" s="270"/>
      <c r="D123" s="513"/>
      <c r="E123" s="513"/>
      <c r="F123" s="513"/>
      <c r="G123" s="513"/>
      <c r="H123" s="513"/>
      <c r="I123" s="513"/>
      <c r="J123" s="513"/>
      <c r="K123" s="513"/>
      <c r="L123" s="513"/>
      <c r="M123" s="513"/>
      <c r="N123" s="513"/>
      <c r="O123" s="513"/>
      <c r="P123" s="513"/>
      <c r="Q123" s="513"/>
      <c r="R123" s="513"/>
      <c r="S123" s="513"/>
      <c r="T123" s="513"/>
      <c r="U123" s="513"/>
      <c r="V123" s="513"/>
      <c r="W123" s="513"/>
      <c r="X123" s="513"/>
    </row>
    <row r="124" spans="1:25">
      <c r="A124" s="69"/>
      <c r="B124" s="69"/>
      <c r="C124" s="69"/>
      <c r="D124" s="502"/>
      <c r="E124" s="504"/>
      <c r="F124" s="504"/>
      <c r="G124" s="504"/>
      <c r="H124" s="504"/>
      <c r="I124" s="504"/>
      <c r="J124" s="504"/>
      <c r="K124" s="504"/>
      <c r="L124" s="504"/>
      <c r="M124" s="504"/>
      <c r="N124" s="504"/>
      <c r="O124" s="504"/>
      <c r="P124" s="504"/>
      <c r="Q124" s="504"/>
      <c r="R124" s="504"/>
      <c r="S124" s="504"/>
      <c r="T124" s="504"/>
      <c r="U124" s="504"/>
      <c r="V124" s="504"/>
      <c r="W124" s="504"/>
      <c r="X124" s="504"/>
    </row>
    <row r="125" spans="1:25" s="96" customFormat="1">
      <c r="A125" s="69" t="s">
        <v>13</v>
      </c>
      <c r="B125" s="69"/>
      <c r="C125" s="69"/>
      <c r="D125" s="514">
        <v>0</v>
      </c>
      <c r="E125" s="515">
        <f>'OPEX - Concept A2'!L80</f>
        <v>12250</v>
      </c>
      <c r="F125" s="515">
        <f>'OPEX - Concept A2'!M80</f>
        <v>171500</v>
      </c>
      <c r="G125" s="515">
        <f>'OPEX - Concept A2'!N80</f>
        <v>174930</v>
      </c>
      <c r="H125" s="515">
        <f>'OPEX - Concept A2'!O80</f>
        <v>178428.59999999998</v>
      </c>
      <c r="I125" s="515">
        <f>'OPEX - Concept A2'!P80</f>
        <v>181997.17199999996</v>
      </c>
      <c r="J125" s="515">
        <f>'OPEX - Concept A2'!Q80</f>
        <v>185637.11543999997</v>
      </c>
      <c r="K125" s="515">
        <f>'OPEX - Concept A2'!R80</f>
        <v>189349.85774879999</v>
      </c>
      <c r="L125" s="515">
        <f>'OPEX - Concept A2'!S80</f>
        <v>193136.85490377599</v>
      </c>
      <c r="M125" s="515">
        <f>'OPEX - Concept A2'!T80</f>
        <v>196999.59200185153</v>
      </c>
      <c r="N125" s="515">
        <f>'OPEX - Concept A2'!U80</f>
        <v>200939.58384188855</v>
      </c>
      <c r="O125" s="515">
        <f>'OPEX - Concept A2'!V80</f>
        <v>204958.37551872636</v>
      </c>
      <c r="P125" s="515">
        <f>'OPEX - Concept A2'!W80</f>
        <v>209057.54302910087</v>
      </c>
      <c r="Q125" s="515">
        <f>'OPEX - Concept A2'!X80</f>
        <v>213238.69388968288</v>
      </c>
      <c r="R125" s="515">
        <f>'OPEX - Concept A2'!Y80</f>
        <v>217503.46776747654</v>
      </c>
      <c r="S125" s="515">
        <f>'OPEX - Concept A2'!Z80</f>
        <v>221853.53712282603</v>
      </c>
      <c r="T125" s="515">
        <f>'OPEX - Concept A2'!AA80</f>
        <v>226290.60786528263</v>
      </c>
      <c r="U125" s="515">
        <f>'OPEX - Concept A2'!AB80</f>
        <v>230816.42002258825</v>
      </c>
      <c r="V125" s="515">
        <f>'OPEX - Concept A2'!AC80</f>
        <v>235432.74842304003</v>
      </c>
      <c r="W125" s="515">
        <f>'OPEX - Concept A2'!AD80</f>
        <v>240141.40339150085</v>
      </c>
      <c r="X125" s="515">
        <f>'OPEX - Concept A2'!AE80</f>
        <v>244944.23145933088</v>
      </c>
    </row>
    <row r="126" spans="1:25" s="96" customFormat="1">
      <c r="A126" s="69" t="s">
        <v>41</v>
      </c>
      <c r="B126" s="69"/>
      <c r="C126" s="69"/>
      <c r="D126" s="514">
        <v>0</v>
      </c>
      <c r="E126" s="515">
        <f>'OPEX - Concept A2'!L88</f>
        <v>25000</v>
      </c>
      <c r="F126" s="515">
        <f>'OPEX - Concept A2'!M88</f>
        <v>25500</v>
      </c>
      <c r="G126" s="515">
        <f>'OPEX - Concept A2'!N88</f>
        <v>26010</v>
      </c>
      <c r="H126" s="515">
        <f>'OPEX - Concept A2'!O88</f>
        <v>26530.199999999997</v>
      </c>
      <c r="I126" s="515">
        <f>'OPEX - Concept A2'!P88</f>
        <v>27060.804</v>
      </c>
      <c r="J126" s="515">
        <f>'OPEX - Concept A2'!Q88</f>
        <v>27602.020080000002</v>
      </c>
      <c r="K126" s="515">
        <f>'OPEX - Concept A2'!R88</f>
        <v>28154.060481600001</v>
      </c>
      <c r="L126" s="515">
        <f>'OPEX - Concept A2'!S88</f>
        <v>28717.141691232002</v>
      </c>
      <c r="M126" s="515">
        <f>'OPEX - Concept A2'!T88</f>
        <v>29291.484525056643</v>
      </c>
      <c r="N126" s="515">
        <f>'OPEX - Concept A2'!U88</f>
        <v>29877.314215557777</v>
      </c>
      <c r="O126" s="515">
        <f>'OPEX - Concept A2'!V88</f>
        <v>30474.860499868933</v>
      </c>
      <c r="P126" s="515">
        <f>'OPEX - Concept A2'!W88</f>
        <v>31084.357709866312</v>
      </c>
      <c r="Q126" s="515">
        <f>'OPEX - Concept A2'!X88</f>
        <v>31706.044864063639</v>
      </c>
      <c r="R126" s="515">
        <f>'OPEX - Concept A2'!Y88</f>
        <v>32340.165761344906</v>
      </c>
      <c r="S126" s="515">
        <f>'OPEX - Concept A2'!Z88</f>
        <v>32986.969076571811</v>
      </c>
      <c r="T126" s="515">
        <f>'OPEX - Concept A2'!AA88</f>
        <v>33646.708458103247</v>
      </c>
      <c r="U126" s="515">
        <f>'OPEX - Concept A2'!AB88</f>
        <v>34319.642627265312</v>
      </c>
      <c r="V126" s="515">
        <f>'OPEX - Concept A2'!AC88</f>
        <v>35006.03547981062</v>
      </c>
      <c r="W126" s="515">
        <f>'OPEX - Concept A2'!AD88</f>
        <v>35706.156189406836</v>
      </c>
      <c r="X126" s="515">
        <f>'OPEX - Concept A2'!AE88</f>
        <v>36420.279313194973</v>
      </c>
    </row>
    <row r="127" spans="1:25" s="96" customFormat="1">
      <c r="A127" s="69" t="s">
        <v>424</v>
      </c>
      <c r="B127" s="69"/>
      <c r="C127" s="69"/>
      <c r="D127" s="514">
        <v>0</v>
      </c>
      <c r="E127" s="515">
        <f>'OPEX - Concept A2'!L89</f>
        <v>10000</v>
      </c>
      <c r="F127" s="515">
        <f>'OPEX - Concept A2'!M89</f>
        <v>500</v>
      </c>
      <c r="G127" s="515">
        <f>'OPEX - Concept A2'!N89</f>
        <v>520.20000000000005</v>
      </c>
      <c r="H127" s="515">
        <f>'OPEX - Concept A2'!O89</f>
        <v>530.60399999999993</v>
      </c>
      <c r="I127" s="515">
        <f>'OPEX - Concept A2'!P89</f>
        <v>541.21608000000003</v>
      </c>
      <c r="J127" s="515">
        <f>'OPEX - Concept A2'!Q89</f>
        <v>5000</v>
      </c>
      <c r="K127" s="515">
        <f>'OPEX - Concept A2'!R89</f>
        <v>563.08120963200008</v>
      </c>
      <c r="L127" s="515">
        <f>'OPEX - Concept A2'!S89</f>
        <v>574.34283382464002</v>
      </c>
      <c r="M127" s="515">
        <f>'OPEX - Concept A2'!T89</f>
        <v>585.82969050113286</v>
      </c>
      <c r="N127" s="515">
        <f>'OPEX - Concept A2'!U89</f>
        <v>597.54628431115555</v>
      </c>
      <c r="O127" s="515">
        <f>'OPEX - Concept A2'!V89</f>
        <v>5000</v>
      </c>
      <c r="P127" s="515">
        <f>'OPEX - Concept A2'!W89</f>
        <v>621.68715419732621</v>
      </c>
      <c r="Q127" s="515">
        <f>'OPEX - Concept A2'!X89</f>
        <v>634.12089728127273</v>
      </c>
      <c r="R127" s="515">
        <f>'OPEX - Concept A2'!Y89</f>
        <v>646.80331522689812</v>
      </c>
      <c r="S127" s="515">
        <f>'OPEX - Concept A2'!Z89</f>
        <v>659.73938153143615</v>
      </c>
      <c r="T127" s="515">
        <f>'OPEX - Concept A2'!AA89</f>
        <v>5000</v>
      </c>
      <c r="U127" s="515">
        <f>'OPEX - Concept A2'!AB89</f>
        <v>686.39285254530625</v>
      </c>
      <c r="V127" s="515">
        <f>'OPEX - Concept A2'!AC89</f>
        <v>700.12070959621246</v>
      </c>
      <c r="W127" s="515">
        <f>'OPEX - Concept A2'!AD89</f>
        <v>714.1231237881367</v>
      </c>
      <c r="X127" s="515">
        <f>'OPEX - Concept A2'!AE89</f>
        <v>728.40558626389941</v>
      </c>
    </row>
    <row r="128" spans="1:25" s="96" customFormat="1">
      <c r="A128" s="69" t="s">
        <v>42</v>
      </c>
      <c r="B128" s="69"/>
      <c r="C128" s="69"/>
      <c r="D128" s="514">
        <v>0</v>
      </c>
      <c r="E128" s="515">
        <f>'OPEX - Concept A2'!L90</f>
        <v>50000</v>
      </c>
      <c r="F128" s="515">
        <f>'OPEX - Concept A2'!M90</f>
        <v>51000</v>
      </c>
      <c r="G128" s="515">
        <f>'OPEX - Concept A2'!N90</f>
        <v>52020</v>
      </c>
      <c r="H128" s="515">
        <f>'OPEX - Concept A2'!O90</f>
        <v>53060.399999999994</v>
      </c>
      <c r="I128" s="515">
        <f>'OPEX - Concept A2'!P90</f>
        <v>54121.608</v>
      </c>
      <c r="J128" s="515">
        <f>'OPEX - Concept A2'!Q90</f>
        <v>55204.040160000004</v>
      </c>
      <c r="K128" s="515">
        <f>'OPEX - Concept A2'!R90</f>
        <v>56308.120963200003</v>
      </c>
      <c r="L128" s="515">
        <f>'OPEX - Concept A2'!S90</f>
        <v>57434.283382464004</v>
      </c>
      <c r="M128" s="515">
        <f>'OPEX - Concept A2'!T90</f>
        <v>58582.969050113286</v>
      </c>
      <c r="N128" s="515">
        <f>'OPEX - Concept A2'!U90</f>
        <v>59754.628431115554</v>
      </c>
      <c r="O128" s="515">
        <f>'OPEX - Concept A2'!V90</f>
        <v>60949.720999737867</v>
      </c>
      <c r="P128" s="515">
        <f>'OPEX - Concept A2'!W90</f>
        <v>62168.715419732624</v>
      </c>
      <c r="Q128" s="515">
        <f>'OPEX - Concept A2'!X90</f>
        <v>63412.089728127277</v>
      </c>
      <c r="R128" s="515">
        <f>'OPEX - Concept A2'!Y90</f>
        <v>64680.331522689812</v>
      </c>
      <c r="S128" s="515">
        <f>'OPEX - Concept A2'!Z90</f>
        <v>65973.938153143623</v>
      </c>
      <c r="T128" s="515">
        <f>'OPEX - Concept A2'!AA90</f>
        <v>67293.416916206494</v>
      </c>
      <c r="U128" s="515">
        <f>'OPEX - Concept A2'!AB90</f>
        <v>68639.285254530623</v>
      </c>
      <c r="V128" s="515">
        <f>'OPEX - Concept A2'!AC90</f>
        <v>70012.07095962124</v>
      </c>
      <c r="W128" s="515">
        <f>'OPEX - Concept A2'!AD90</f>
        <v>71412.312378813673</v>
      </c>
      <c r="X128" s="515">
        <f>'OPEX - Concept A2'!AE90</f>
        <v>72840.558626389946</v>
      </c>
    </row>
    <row r="129" spans="1:24" s="96" customFormat="1">
      <c r="A129" s="69" t="s">
        <v>43</v>
      </c>
      <c r="B129" s="69"/>
      <c r="C129" s="69"/>
      <c r="D129" s="514">
        <v>0</v>
      </c>
      <c r="E129" s="515">
        <f>'OPEX - Concept A2'!L91</f>
        <v>500</v>
      </c>
      <c r="F129" s="515">
        <f>'OPEX - Concept A2'!M91</f>
        <v>2040</v>
      </c>
      <c r="G129" s="515">
        <f>'OPEX - Concept A2'!N91</f>
        <v>2080.8000000000002</v>
      </c>
      <c r="H129" s="515">
        <f>'OPEX - Concept A2'!O91</f>
        <v>2122.4159999999997</v>
      </c>
      <c r="I129" s="515">
        <f>'OPEX - Concept A2'!P91</f>
        <v>2164.8643200000001</v>
      </c>
      <c r="J129" s="515">
        <f>'OPEX - Concept A2'!Q91</f>
        <v>2208.1616064</v>
      </c>
      <c r="K129" s="515">
        <f>'OPEX - Concept A2'!R91</f>
        <v>2252.3248385280003</v>
      </c>
      <c r="L129" s="515">
        <f>'OPEX - Concept A2'!S91</f>
        <v>2297.3713352985601</v>
      </c>
      <c r="M129" s="515">
        <f>'OPEX - Concept A2'!T91</f>
        <v>2343.3187620045314</v>
      </c>
      <c r="N129" s="515">
        <f>'OPEX - Concept A2'!U91</f>
        <v>2390.1851372446222</v>
      </c>
      <c r="O129" s="515">
        <f>'OPEX - Concept A2'!V91</f>
        <v>2437.9888399895149</v>
      </c>
      <c r="P129" s="515">
        <f>'OPEX - Concept A2'!W91</f>
        <v>2486.7486167893048</v>
      </c>
      <c r="Q129" s="515">
        <f>'OPEX - Concept A2'!X91</f>
        <v>2536.4835891250909</v>
      </c>
      <c r="R129" s="515">
        <f>'OPEX - Concept A2'!Y91</f>
        <v>2587.2132609075925</v>
      </c>
      <c r="S129" s="515">
        <f>'OPEX - Concept A2'!Z91</f>
        <v>2638.9575261257446</v>
      </c>
      <c r="T129" s="515">
        <f>'OPEX - Concept A2'!AA91</f>
        <v>2691.7366766482596</v>
      </c>
      <c r="U129" s="515">
        <f>'OPEX - Concept A2'!AB91</f>
        <v>2745.571410181225</v>
      </c>
      <c r="V129" s="515">
        <f>'OPEX - Concept A2'!AC91</f>
        <v>2800.4828383848499</v>
      </c>
      <c r="W129" s="515">
        <f>'OPEX - Concept A2'!AD91</f>
        <v>2856.4924951525468</v>
      </c>
      <c r="X129" s="515">
        <f>'OPEX - Concept A2'!AE91</f>
        <v>2913.6223450555976</v>
      </c>
    </row>
    <row r="130" spans="1:24" s="96" customFormat="1">
      <c r="A130" s="69" t="s">
        <v>44</v>
      </c>
      <c r="B130" s="69"/>
      <c r="C130" s="69"/>
      <c r="D130" s="514">
        <v>0</v>
      </c>
      <c r="E130" s="515">
        <f>'OPEX - Concept A2'!L92</f>
        <v>250</v>
      </c>
      <c r="F130" s="515">
        <f>'OPEX - Concept A2'!M92</f>
        <v>1020</v>
      </c>
      <c r="G130" s="515">
        <f>'OPEX - Concept A2'!N92</f>
        <v>1040.4000000000001</v>
      </c>
      <c r="H130" s="515">
        <f>'OPEX - Concept A2'!O92</f>
        <v>1061.2079999999999</v>
      </c>
      <c r="I130" s="515">
        <f>'OPEX - Concept A2'!P92</f>
        <v>1082.4321600000001</v>
      </c>
      <c r="J130" s="515">
        <f>'OPEX - Concept A2'!Q92</f>
        <v>1104.0808032</v>
      </c>
      <c r="K130" s="515">
        <f>'OPEX - Concept A2'!R92</f>
        <v>1126.1624192640002</v>
      </c>
      <c r="L130" s="515">
        <f>'OPEX - Concept A2'!S92</f>
        <v>1148.68566764928</v>
      </c>
      <c r="M130" s="515">
        <f>'OPEX - Concept A2'!T92</f>
        <v>1171.6593810022657</v>
      </c>
      <c r="N130" s="515">
        <f>'OPEX - Concept A2'!U92</f>
        <v>1195.0925686223111</v>
      </c>
      <c r="O130" s="515">
        <f>'OPEX - Concept A2'!V92</f>
        <v>1218.9944199947574</v>
      </c>
      <c r="P130" s="515">
        <f>'OPEX - Concept A2'!W92</f>
        <v>1243.3743083946524</v>
      </c>
      <c r="Q130" s="515">
        <f>'OPEX - Concept A2'!X92</f>
        <v>1268.2417945625455</v>
      </c>
      <c r="R130" s="515">
        <f>'OPEX - Concept A2'!Y92</f>
        <v>1293.6066304537962</v>
      </c>
      <c r="S130" s="515">
        <f>'OPEX - Concept A2'!Z92</f>
        <v>1319.4787630628723</v>
      </c>
      <c r="T130" s="515">
        <f>'OPEX - Concept A2'!AA92</f>
        <v>1345.8683383241298</v>
      </c>
      <c r="U130" s="515">
        <f>'OPEX - Concept A2'!AB92</f>
        <v>1372.7857050906125</v>
      </c>
      <c r="V130" s="515">
        <f>'OPEX - Concept A2'!AC92</f>
        <v>1400.2414191924249</v>
      </c>
      <c r="W130" s="515">
        <f>'OPEX - Concept A2'!AD92</f>
        <v>1428.2462475762734</v>
      </c>
      <c r="X130" s="515">
        <f>'OPEX - Concept A2'!AE92</f>
        <v>1456.8111725277988</v>
      </c>
    </row>
    <row r="131" spans="1:24" s="96" customFormat="1">
      <c r="A131" s="69" t="s">
        <v>2</v>
      </c>
      <c r="B131" s="69"/>
      <c r="C131" s="69"/>
      <c r="D131" s="514">
        <v>0</v>
      </c>
      <c r="E131" s="515">
        <f>'OPEX - Concept A2'!L93</f>
        <v>1000</v>
      </c>
      <c r="F131" s="515">
        <f>'OPEX - Concept A2'!M93</f>
        <v>1020</v>
      </c>
      <c r="G131" s="515">
        <f>'OPEX - Concept A2'!N93</f>
        <v>1040.4000000000001</v>
      </c>
      <c r="H131" s="515">
        <f>'OPEX - Concept A2'!O93</f>
        <v>1061.2079999999999</v>
      </c>
      <c r="I131" s="515">
        <f>'OPEX - Concept A2'!P93</f>
        <v>1082.4321600000001</v>
      </c>
      <c r="J131" s="515">
        <f>'OPEX - Concept A2'!Q93</f>
        <v>1104.0808032</v>
      </c>
      <c r="K131" s="515">
        <f>'OPEX - Concept A2'!R93</f>
        <v>1126.1624192640002</v>
      </c>
      <c r="L131" s="515">
        <f>'OPEX - Concept A2'!S93</f>
        <v>1148.68566764928</v>
      </c>
      <c r="M131" s="515">
        <f>'OPEX - Concept A2'!T93</f>
        <v>1171.6593810022657</v>
      </c>
      <c r="N131" s="515">
        <f>'OPEX - Concept A2'!U93</f>
        <v>1195.0925686223111</v>
      </c>
      <c r="O131" s="515">
        <f>'OPEX - Concept A2'!V93</f>
        <v>1218.9944199947574</v>
      </c>
      <c r="P131" s="515">
        <f>'OPEX - Concept A2'!W93</f>
        <v>1243.3743083946524</v>
      </c>
      <c r="Q131" s="515">
        <f>'OPEX - Concept A2'!X93</f>
        <v>1268.2417945625455</v>
      </c>
      <c r="R131" s="515">
        <f>'OPEX - Concept A2'!Y93</f>
        <v>1293.6066304537962</v>
      </c>
      <c r="S131" s="515">
        <f>'OPEX - Concept A2'!Z93</f>
        <v>1319.4787630628723</v>
      </c>
      <c r="T131" s="515">
        <f>'OPEX - Concept A2'!AA93</f>
        <v>1345.8683383241298</v>
      </c>
      <c r="U131" s="515">
        <f>'OPEX - Concept A2'!AB93</f>
        <v>1372.7857050906125</v>
      </c>
      <c r="V131" s="515">
        <f>'OPEX - Concept A2'!AC93</f>
        <v>1400.2414191924249</v>
      </c>
      <c r="W131" s="515">
        <f>'OPEX - Concept A2'!AD93</f>
        <v>1428.2462475762734</v>
      </c>
      <c r="X131" s="515">
        <f>'OPEX - Concept A2'!AE93</f>
        <v>1456.8111725277988</v>
      </c>
    </row>
    <row r="132" spans="1:24" s="96" customFormat="1">
      <c r="A132" s="69"/>
      <c r="B132" s="69"/>
      <c r="C132" s="69"/>
      <c r="D132" s="514"/>
      <c r="E132" s="515"/>
      <c r="F132" s="515"/>
      <c r="G132" s="515"/>
      <c r="H132" s="515"/>
      <c r="I132" s="515"/>
      <c r="J132" s="515"/>
      <c r="K132" s="515"/>
      <c r="L132" s="515"/>
      <c r="M132" s="515"/>
      <c r="N132" s="515"/>
      <c r="O132" s="515"/>
      <c r="P132" s="515"/>
      <c r="Q132" s="515"/>
      <c r="R132" s="515"/>
      <c r="S132" s="515"/>
      <c r="T132" s="515"/>
      <c r="U132" s="515"/>
      <c r="V132" s="515"/>
      <c r="W132" s="515"/>
      <c r="X132" s="515"/>
    </row>
    <row r="133" spans="1:24" s="96" customFormat="1">
      <c r="A133" s="69" t="s">
        <v>25</v>
      </c>
      <c r="B133" s="69"/>
      <c r="C133" s="69"/>
      <c r="D133" s="514">
        <v>0</v>
      </c>
      <c r="E133" s="515">
        <f>'OPEX - Concept A2'!L109</f>
        <v>23741.666666666664</v>
      </c>
      <c r="F133" s="515">
        <f>'OPEX - Concept A2'!M109</f>
        <v>24216.5</v>
      </c>
      <c r="G133" s="515">
        <f>'OPEX - Concept A2'!N109</f>
        <v>24700.83</v>
      </c>
      <c r="H133" s="515">
        <f>'OPEX - Concept A2'!O109</f>
        <v>25194.846599999997</v>
      </c>
      <c r="I133" s="515">
        <f>'OPEX - Concept A2'!P109</f>
        <v>25698.743532</v>
      </c>
      <c r="J133" s="515">
        <f>'OPEX - Concept A2'!Q109</f>
        <v>26212.718402639999</v>
      </c>
      <c r="K133" s="515">
        <f>'OPEX - Concept A2'!R109</f>
        <v>26736.972770692802</v>
      </c>
      <c r="L133" s="515">
        <f>'OPEX - Concept A2'!S109</f>
        <v>27271.712226106654</v>
      </c>
      <c r="M133" s="515">
        <f>'OPEX - Concept A2'!T109</f>
        <v>27817.146470628788</v>
      </c>
      <c r="N133" s="515">
        <f>'OPEX - Concept A2'!U109</f>
        <v>28373.48940004137</v>
      </c>
      <c r="O133" s="515">
        <f>'OPEX - Concept A2'!V109</f>
        <v>28940.959188042198</v>
      </c>
      <c r="P133" s="515">
        <f>'OPEX - Concept A2'!W109</f>
        <v>29519.77837180304</v>
      </c>
      <c r="Q133" s="515">
        <f>'OPEX - Concept A2'!X109</f>
        <v>30110.173939239099</v>
      </c>
      <c r="R133" s="515">
        <f>'OPEX - Concept A2'!Y109</f>
        <v>30712.37741802388</v>
      </c>
      <c r="S133" s="515">
        <f>'OPEX - Concept A2'!Z109</f>
        <v>31326.624966384359</v>
      </c>
      <c r="T133" s="515">
        <f>'OPEX - Concept A2'!AA109</f>
        <v>31953.157465712051</v>
      </c>
      <c r="U133" s="515">
        <f>'OPEX - Concept A2'!AB109</f>
        <v>32592.220615026294</v>
      </c>
      <c r="V133" s="515">
        <f>'OPEX - Concept A2'!AC109</f>
        <v>33244.065027326818</v>
      </c>
      <c r="W133" s="515">
        <f>'OPEX - Concept A2'!AD109</f>
        <v>33908.946327873353</v>
      </c>
      <c r="X133" s="515">
        <f>'OPEX - Concept A2'!AE109</f>
        <v>34587.125254430823</v>
      </c>
    </row>
    <row r="134" spans="1:24" s="96" customFormat="1">
      <c r="A134" s="782" t="s">
        <v>426</v>
      </c>
      <c r="B134" s="69"/>
      <c r="C134" s="69"/>
      <c r="D134" s="514">
        <v>0</v>
      </c>
      <c r="E134" s="515">
        <f>'OPEX - Concept A2'!L97</f>
        <v>1000</v>
      </c>
      <c r="F134" s="515">
        <f>'OPEX - Concept A2'!M97</f>
        <v>1020</v>
      </c>
      <c r="G134" s="515">
        <f>'OPEX - Concept A2'!N97</f>
        <v>1040.4000000000001</v>
      </c>
      <c r="H134" s="515">
        <f>'OPEX - Concept A2'!O97</f>
        <v>1061.2079999999999</v>
      </c>
      <c r="I134" s="515">
        <f>'OPEX - Concept A2'!P97</f>
        <v>1082.4321600000001</v>
      </c>
      <c r="J134" s="515">
        <f>'OPEX - Concept A2'!Q97</f>
        <v>25000</v>
      </c>
      <c r="K134" s="515">
        <f>'OPEX - Concept A2'!R97</f>
        <v>25500</v>
      </c>
      <c r="L134" s="515">
        <f>'OPEX - Concept A2'!S97</f>
        <v>26010</v>
      </c>
      <c r="M134" s="515">
        <f>'OPEX - Concept A2'!T97</f>
        <v>26530.199999999997</v>
      </c>
      <c r="N134" s="515">
        <f>'OPEX - Concept A2'!U97</f>
        <v>27060.804</v>
      </c>
      <c r="O134" s="515">
        <f>'OPEX - Concept A2'!V97</f>
        <v>27602.020080000002</v>
      </c>
      <c r="P134" s="515">
        <f>'OPEX - Concept A2'!W97</f>
        <v>28154.060481600001</v>
      </c>
      <c r="Q134" s="515">
        <f>'OPEX - Concept A2'!X97</f>
        <v>28717.141691232002</v>
      </c>
      <c r="R134" s="515">
        <f>'OPEX - Concept A2'!Y97</f>
        <v>29291.484525056643</v>
      </c>
      <c r="S134" s="515">
        <f>'OPEX - Concept A2'!Z97</f>
        <v>29877.314215557777</v>
      </c>
      <c r="T134" s="515">
        <f>'OPEX - Concept A2'!AA97</f>
        <v>30474.860499868933</v>
      </c>
      <c r="U134" s="515">
        <f>'OPEX - Concept A2'!AB97</f>
        <v>31084.357709866312</v>
      </c>
      <c r="V134" s="515">
        <f>'OPEX - Concept A2'!AC97</f>
        <v>31706.044864063639</v>
      </c>
      <c r="W134" s="515">
        <f>'OPEX - Concept A2'!AD97</f>
        <v>32340.165761344906</v>
      </c>
      <c r="X134" s="515">
        <f>'OPEX - Concept A2'!AE97</f>
        <v>32986.969076571811</v>
      </c>
    </row>
    <row r="135" spans="1:24" s="96" customFormat="1">
      <c r="A135" s="644" t="s">
        <v>302</v>
      </c>
      <c r="B135" s="69"/>
      <c r="C135" s="69"/>
      <c r="D135" s="514">
        <v>0</v>
      </c>
      <c r="E135" s="515">
        <f>'OPEX - Concept A2'!L98</f>
        <v>233675</v>
      </c>
      <c r="F135" s="515">
        <f>'OPEX - Concept A2'!M98</f>
        <v>476697</v>
      </c>
      <c r="G135" s="515">
        <f>'OPEX - Concept A2'!N98</f>
        <v>486230.94000000006</v>
      </c>
      <c r="H135" s="515">
        <f>'OPEX - Concept A2'!O98</f>
        <v>495955.55879999994</v>
      </c>
      <c r="I135" s="515">
        <f>'OPEX - Concept A2'!P98</f>
        <v>505874.66997599998</v>
      </c>
      <c r="J135" s="515">
        <f>'OPEX - Concept A2'!Q98</f>
        <v>515992.16337552003</v>
      </c>
      <c r="K135" s="515">
        <f>'OPEX - Concept A2'!R98</f>
        <v>526312.00664303044</v>
      </c>
      <c r="L135" s="515">
        <f>'OPEX - Concept A2'!S98</f>
        <v>536838.24677589093</v>
      </c>
      <c r="M135" s="515">
        <f>'OPEX - Concept A2'!T98</f>
        <v>547575.01171140897</v>
      </c>
      <c r="N135" s="515">
        <f>'OPEX - Concept A2'!U98</f>
        <v>558526.51194563706</v>
      </c>
      <c r="O135" s="515">
        <f>'OPEX - Concept A2'!V98</f>
        <v>569697.04218454985</v>
      </c>
      <c r="P135" s="515">
        <f>'OPEX - Concept A2'!W98</f>
        <v>581090.98302824085</v>
      </c>
      <c r="Q135" s="515">
        <f>'OPEX - Concept A2'!X98</f>
        <v>592712.80268880562</v>
      </c>
      <c r="R135" s="515">
        <f>'OPEX - Concept A2'!Y98</f>
        <v>604567.05874258175</v>
      </c>
      <c r="S135" s="515">
        <f>'OPEX - Concept A2'!Z98</f>
        <v>616658.39991743339</v>
      </c>
      <c r="T135" s="515">
        <f>'OPEX - Concept A2'!AA98</f>
        <v>628991.5679157821</v>
      </c>
      <c r="U135" s="515">
        <f>'OPEX - Concept A2'!AB98</f>
        <v>641571.39927409776</v>
      </c>
      <c r="V135" s="515">
        <f>'OPEX - Concept A2'!AC98</f>
        <v>654402.82725957979</v>
      </c>
      <c r="W135" s="515">
        <f>'OPEX - Concept A2'!AD98</f>
        <v>667490.88380477135</v>
      </c>
      <c r="X135" s="515">
        <f>'OPEX - Concept A2'!AE98</f>
        <v>680840.70148086676</v>
      </c>
    </row>
    <row r="136" spans="1:24" s="16" customFormat="1" ht="14.25">
      <c r="A136" s="282" t="s">
        <v>132</v>
      </c>
      <c r="B136" s="276"/>
      <c r="C136" s="276"/>
      <c r="D136" s="516">
        <f>SUM(D124:D135)</f>
        <v>0</v>
      </c>
      <c r="E136" s="517">
        <f t="shared" ref="E136:X136" si="15">SUM(E125:E135)</f>
        <v>357416.66666666663</v>
      </c>
      <c r="F136" s="517">
        <f t="shared" si="15"/>
        <v>754513.5</v>
      </c>
      <c r="G136" s="517">
        <f t="shared" si="15"/>
        <v>769613.97000000009</v>
      </c>
      <c r="H136" s="517">
        <f t="shared" si="15"/>
        <v>785006.24939999986</v>
      </c>
      <c r="I136" s="517">
        <f t="shared" si="15"/>
        <v>800706.374388</v>
      </c>
      <c r="J136" s="517">
        <f t="shared" si="15"/>
        <v>845064.38067096006</v>
      </c>
      <c r="K136" s="517">
        <f t="shared" si="15"/>
        <v>857428.74949401116</v>
      </c>
      <c r="L136" s="517">
        <f t="shared" si="15"/>
        <v>874577.32448389137</v>
      </c>
      <c r="M136" s="517">
        <f t="shared" si="15"/>
        <v>892068.87097356934</v>
      </c>
      <c r="N136" s="517">
        <f t="shared" si="15"/>
        <v>909910.24839304073</v>
      </c>
      <c r="O136" s="517">
        <f t="shared" si="15"/>
        <v>932498.9561509043</v>
      </c>
      <c r="P136" s="517">
        <f t="shared" si="15"/>
        <v>946670.62242811965</v>
      </c>
      <c r="Q136" s="517">
        <f t="shared" si="15"/>
        <v>965604.03487668198</v>
      </c>
      <c r="R136" s="517">
        <f t="shared" si="15"/>
        <v>984916.11557421566</v>
      </c>
      <c r="S136" s="517">
        <f t="shared" si="15"/>
        <v>1004614.4378856999</v>
      </c>
      <c r="T136" s="517">
        <f t="shared" si="15"/>
        <v>1029033.7924742519</v>
      </c>
      <c r="U136" s="517">
        <f t="shared" si="15"/>
        <v>1045200.8611762824</v>
      </c>
      <c r="V136" s="517">
        <f t="shared" si="15"/>
        <v>1066104.878399808</v>
      </c>
      <c r="W136" s="517">
        <f t="shared" si="15"/>
        <v>1087426.9759678042</v>
      </c>
      <c r="X136" s="517">
        <f t="shared" si="15"/>
        <v>1109175.5154871603</v>
      </c>
    </row>
    <row r="137" spans="1:24">
      <c r="A137" s="92"/>
      <c r="B137" s="69"/>
      <c r="C137" s="69"/>
      <c r="D137" s="514"/>
      <c r="E137" s="515"/>
      <c r="F137" s="515"/>
      <c r="G137" s="515"/>
      <c r="H137" s="515"/>
      <c r="I137" s="515"/>
      <c r="J137" s="515"/>
      <c r="K137" s="515"/>
      <c r="L137" s="515"/>
      <c r="M137" s="515"/>
      <c r="N137" s="515"/>
      <c r="O137" s="515"/>
      <c r="P137" s="515"/>
      <c r="Q137" s="515"/>
      <c r="R137" s="515"/>
      <c r="S137" s="515"/>
      <c r="T137" s="515"/>
      <c r="U137" s="515"/>
      <c r="V137" s="515"/>
      <c r="W137" s="515"/>
      <c r="X137" s="515"/>
    </row>
    <row r="138" spans="1:24">
      <c r="A138" s="269" t="s">
        <v>85</v>
      </c>
      <c r="B138" s="269"/>
      <c r="C138" s="270"/>
      <c r="D138" s="513"/>
      <c r="E138" s="513"/>
      <c r="F138" s="513"/>
      <c r="G138" s="513"/>
      <c r="H138" s="513"/>
      <c r="I138" s="513"/>
      <c r="J138" s="513"/>
      <c r="K138" s="513"/>
      <c r="L138" s="513"/>
      <c r="M138" s="513"/>
      <c r="N138" s="513"/>
      <c r="O138" s="513"/>
      <c r="P138" s="513"/>
      <c r="Q138" s="513"/>
      <c r="R138" s="513"/>
      <c r="S138" s="513"/>
      <c r="T138" s="513"/>
      <c r="U138" s="513"/>
      <c r="V138" s="513"/>
      <c r="W138" s="513"/>
      <c r="X138" s="513"/>
    </row>
    <row r="139" spans="1:24" s="368" customFormat="1">
      <c r="A139" s="263"/>
      <c r="B139" s="263"/>
      <c r="C139" s="367"/>
      <c r="D139" s="514"/>
      <c r="E139" s="515"/>
      <c r="F139" s="515"/>
      <c r="G139" s="515"/>
      <c r="H139" s="515"/>
      <c r="I139" s="515"/>
      <c r="J139" s="515"/>
      <c r="K139" s="515"/>
      <c r="L139" s="515"/>
      <c r="M139" s="515"/>
      <c r="N139" s="515"/>
      <c r="O139" s="515"/>
      <c r="P139" s="515"/>
      <c r="Q139" s="515"/>
      <c r="R139" s="515"/>
      <c r="S139" s="515"/>
      <c r="T139" s="515"/>
      <c r="U139" s="515"/>
      <c r="V139" s="515"/>
      <c r="W139" s="515"/>
      <c r="X139" s="515"/>
    </row>
    <row r="140" spans="1:24" s="58" customFormat="1">
      <c r="A140" s="69" t="s">
        <v>0</v>
      </c>
      <c r="B140" s="263"/>
      <c r="C140" s="783"/>
      <c r="D140" s="514">
        <v>0</v>
      </c>
      <c r="E140" s="515">
        <f>'OPEX - Concept A2'!L132</f>
        <v>0</v>
      </c>
      <c r="F140" s="515">
        <f>'OPEX - Concept A2'!M132</f>
        <v>54570</v>
      </c>
      <c r="G140" s="515">
        <f>'OPEX - Concept A2'!N132</f>
        <v>56774.628000000004</v>
      </c>
      <c r="H140" s="515">
        <f>'OPEX - Concept A2'!O132</f>
        <v>57910.120559999996</v>
      </c>
      <c r="I140" s="515">
        <f>'OPEX - Concept A2'!P132</f>
        <v>59068.322971199988</v>
      </c>
      <c r="J140" s="515">
        <f>'OPEX - Concept A2'!Q132</f>
        <v>60249.689430623999</v>
      </c>
      <c r="K140" s="515">
        <f>'OPEX - Concept A2'!R132</f>
        <v>61454.683219236475</v>
      </c>
      <c r="L140" s="515">
        <f>'OPEX - Concept A2'!S132</f>
        <v>62683.776883621205</v>
      </c>
      <c r="M140" s="515">
        <f>'OPEX - Concept A2'!T132</f>
        <v>63937.452421293638</v>
      </c>
      <c r="N140" s="515">
        <f>'OPEX - Concept A2'!U132</f>
        <v>65216.201469719512</v>
      </c>
      <c r="O140" s="515">
        <f>'OPEX - Concept A2'!V132</f>
        <v>66520.525499113894</v>
      </c>
      <c r="P140" s="515">
        <f>'OPEX - Concept A2'!W132</f>
        <v>67850.936009096185</v>
      </c>
      <c r="Q140" s="515">
        <f>'OPEX - Concept A2'!X132</f>
        <v>69207.954729278121</v>
      </c>
      <c r="R140" s="515">
        <f>'OPEX - Concept A2'!Y132</f>
        <v>70592.113823863678</v>
      </c>
      <c r="S140" s="515">
        <f>'OPEX - Concept A2'!Z132</f>
        <v>72003.956100340947</v>
      </c>
      <c r="T140" s="515">
        <f>'OPEX - Concept A2'!AA132</f>
        <v>73444.035222347768</v>
      </c>
      <c r="U140" s="515">
        <f>'OPEX - Concept A2'!AB132</f>
        <v>74912.915926794725</v>
      </c>
      <c r="V140" s="515">
        <f>'OPEX - Concept A2'!AC132</f>
        <v>76411.174245330621</v>
      </c>
      <c r="W140" s="515">
        <f>'OPEX - Concept A2'!AD132</f>
        <v>77939.397730237237</v>
      </c>
      <c r="X140" s="515">
        <f>'OPEX - Concept A2'!AE132</f>
        <v>79498.18568484197</v>
      </c>
    </row>
    <row r="141" spans="1:24" s="58" customFormat="1">
      <c r="A141" s="69" t="s">
        <v>4</v>
      </c>
      <c r="B141" s="263"/>
      <c r="C141" s="783"/>
      <c r="D141" s="514">
        <v>0</v>
      </c>
      <c r="E141" s="515">
        <f>'OPEX - Concept A2'!L155</f>
        <v>0</v>
      </c>
      <c r="F141" s="515">
        <f>'OPEX - Concept A2'!M155</f>
        <v>85335.846153846156</v>
      </c>
      <c r="G141" s="515">
        <f>'OPEX - Concept A2'!N155</f>
        <v>87042.563076923077</v>
      </c>
      <c r="H141" s="515">
        <f>'OPEX - Concept A2'!O155</f>
        <v>88783.41433846156</v>
      </c>
      <c r="I141" s="515">
        <f>'OPEX - Concept A2'!P155</f>
        <v>90559.082625230774</v>
      </c>
      <c r="J141" s="515">
        <f>'OPEX - Concept A2'!Q155</f>
        <v>92370.264277735376</v>
      </c>
      <c r="K141" s="515">
        <f>'OPEX - Concept A2'!R155</f>
        <v>94217.669563290081</v>
      </c>
      <c r="L141" s="515">
        <f>'OPEX - Concept A2'!S155</f>
        <v>96102.022954555898</v>
      </c>
      <c r="M141" s="515">
        <f>'OPEX - Concept A2'!T155</f>
        <v>98024.063413647003</v>
      </c>
      <c r="N141" s="515">
        <f>'OPEX - Concept A2'!U155</f>
        <v>99984.544681919942</v>
      </c>
      <c r="O141" s="515">
        <f>'OPEX - Concept A2'!V155</f>
        <v>101984.23557555837</v>
      </c>
      <c r="P141" s="515">
        <f>'OPEX - Concept A2'!W155</f>
        <v>104023.92028706953</v>
      </c>
      <c r="Q141" s="515">
        <f>'OPEX - Concept A2'!X155</f>
        <v>106104.39869281092</v>
      </c>
      <c r="R141" s="515">
        <f>'OPEX - Concept A2'!Y155</f>
        <v>108226.48666666714</v>
      </c>
      <c r="S141" s="515">
        <f>'OPEX - Concept A2'!Z155</f>
        <v>110391.01640000047</v>
      </c>
      <c r="T141" s="515">
        <f>'OPEX - Concept A2'!AA155</f>
        <v>112598.8367280005</v>
      </c>
      <c r="U141" s="515">
        <f>'OPEX - Concept A2'!AB155</f>
        <v>114850.8134625605</v>
      </c>
      <c r="V141" s="515">
        <f>'OPEX - Concept A2'!AC155</f>
        <v>117147.82973181173</v>
      </c>
      <c r="W141" s="515">
        <f>'OPEX - Concept A2'!AD155</f>
        <v>119490.78632644797</v>
      </c>
      <c r="X141" s="515">
        <f>'OPEX - Concept A2'!AE155</f>
        <v>121880.60205297693</v>
      </c>
    </row>
    <row r="142" spans="1:24" s="16" customFormat="1" ht="14.25">
      <c r="A142" s="282" t="s">
        <v>133</v>
      </c>
      <c r="B142" s="276"/>
      <c r="C142" s="276"/>
      <c r="D142" s="516">
        <f>SUM(D140:D141)</f>
        <v>0</v>
      </c>
      <c r="E142" s="517">
        <f>SUM(E140:E141)</f>
        <v>0</v>
      </c>
      <c r="F142" s="517">
        <f t="shared" ref="F142:X142" si="16">SUM(F140:F141)</f>
        <v>139905.84615384616</v>
      </c>
      <c r="G142" s="517">
        <f t="shared" si="16"/>
        <v>143817.19107692307</v>
      </c>
      <c r="H142" s="517">
        <f t="shared" si="16"/>
        <v>146693.53489846154</v>
      </c>
      <c r="I142" s="517">
        <f t="shared" si="16"/>
        <v>149627.40559643076</v>
      </c>
      <c r="J142" s="517">
        <f t="shared" si="16"/>
        <v>152619.95370835939</v>
      </c>
      <c r="K142" s="517">
        <f t="shared" si="16"/>
        <v>155672.35278252655</v>
      </c>
      <c r="L142" s="517">
        <f t="shared" si="16"/>
        <v>158785.7998381771</v>
      </c>
      <c r="M142" s="517">
        <f t="shared" si="16"/>
        <v>161961.51583494066</v>
      </c>
      <c r="N142" s="517">
        <f t="shared" si="16"/>
        <v>165200.74615163944</v>
      </c>
      <c r="O142" s="517">
        <f t="shared" si="16"/>
        <v>168504.76107467228</v>
      </c>
      <c r="P142" s="517">
        <f t="shared" si="16"/>
        <v>171874.85629616573</v>
      </c>
      <c r="Q142" s="517">
        <f t="shared" si="16"/>
        <v>175312.35342208904</v>
      </c>
      <c r="R142" s="517">
        <f t="shared" si="16"/>
        <v>178818.60049053084</v>
      </c>
      <c r="S142" s="517">
        <f t="shared" si="16"/>
        <v>182394.97250034142</v>
      </c>
      <c r="T142" s="517">
        <f t="shared" si="16"/>
        <v>186042.87195034826</v>
      </c>
      <c r="U142" s="517">
        <f t="shared" si="16"/>
        <v>189763.72938935523</v>
      </c>
      <c r="V142" s="517">
        <f t="shared" si="16"/>
        <v>193559.00397714233</v>
      </c>
      <c r="W142" s="517">
        <f t="shared" si="16"/>
        <v>197430.18405668519</v>
      </c>
      <c r="X142" s="517">
        <f t="shared" si="16"/>
        <v>201378.7877378189</v>
      </c>
    </row>
    <row r="143" spans="1:24">
      <c r="A143" s="92"/>
      <c r="B143" s="92"/>
      <c r="C143" s="69"/>
      <c r="D143" s="514"/>
      <c r="E143" s="515"/>
      <c r="F143" s="515"/>
      <c r="G143" s="515"/>
      <c r="H143" s="515"/>
      <c r="I143" s="515"/>
      <c r="J143" s="515"/>
      <c r="K143" s="515"/>
      <c r="L143" s="515"/>
      <c r="M143" s="515"/>
      <c r="N143" s="515"/>
      <c r="O143" s="515"/>
      <c r="P143" s="515"/>
      <c r="Q143" s="515"/>
      <c r="R143" s="515"/>
      <c r="S143" s="515"/>
      <c r="T143" s="515"/>
      <c r="U143" s="515"/>
      <c r="V143" s="515"/>
      <c r="W143" s="515"/>
      <c r="X143" s="515"/>
    </row>
    <row r="144" spans="1:24" s="16" customFormat="1" ht="14.25">
      <c r="A144" s="350" t="s">
        <v>118</v>
      </c>
      <c r="B144" s="350"/>
      <c r="C144" s="351"/>
      <c r="D144" s="519">
        <f t="shared" ref="D144:X144" si="17">SUM(D136,D142)</f>
        <v>0</v>
      </c>
      <c r="E144" s="519">
        <f t="shared" si="17"/>
        <v>357416.66666666663</v>
      </c>
      <c r="F144" s="519">
        <f t="shared" si="17"/>
        <v>894419.34615384613</v>
      </c>
      <c r="G144" s="519">
        <f t="shared" si="17"/>
        <v>913431.16107692313</v>
      </c>
      <c r="H144" s="519">
        <f t="shared" si="17"/>
        <v>931699.7842984614</v>
      </c>
      <c r="I144" s="519">
        <f t="shared" si="17"/>
        <v>950333.77998443076</v>
      </c>
      <c r="J144" s="519">
        <f t="shared" si="17"/>
        <v>997684.33437931945</v>
      </c>
      <c r="K144" s="519">
        <f t="shared" si="17"/>
        <v>1013101.1022765377</v>
      </c>
      <c r="L144" s="519">
        <f t="shared" si="17"/>
        <v>1033363.1243220684</v>
      </c>
      <c r="M144" s="519">
        <f t="shared" si="17"/>
        <v>1054030.3868085099</v>
      </c>
      <c r="N144" s="519">
        <f t="shared" si="17"/>
        <v>1075110.9945446802</v>
      </c>
      <c r="O144" s="519">
        <f t="shared" si="17"/>
        <v>1101003.7172255765</v>
      </c>
      <c r="P144" s="519">
        <f t="shared" si="17"/>
        <v>1118545.4787242855</v>
      </c>
      <c r="Q144" s="519">
        <f t="shared" si="17"/>
        <v>1140916.3882987711</v>
      </c>
      <c r="R144" s="519">
        <f t="shared" si="17"/>
        <v>1163734.7160647465</v>
      </c>
      <c r="S144" s="519">
        <f t="shared" si="17"/>
        <v>1187009.4103860413</v>
      </c>
      <c r="T144" s="519">
        <f t="shared" si="17"/>
        <v>1215076.6644246001</v>
      </c>
      <c r="U144" s="519">
        <f t="shared" si="17"/>
        <v>1234964.5905656377</v>
      </c>
      <c r="V144" s="519">
        <f t="shared" si="17"/>
        <v>1259663.8823769502</v>
      </c>
      <c r="W144" s="519">
        <f t="shared" si="17"/>
        <v>1284857.1600244893</v>
      </c>
      <c r="X144" s="519">
        <f t="shared" si="17"/>
        <v>1310554.3032249792</v>
      </c>
    </row>
    <row r="145" spans="1:24" s="222" customFormat="1" ht="14.25">
      <c r="A145" s="280"/>
      <c r="B145" s="280"/>
      <c r="C145" s="263"/>
      <c r="D145" s="518"/>
      <c r="E145" s="520"/>
      <c r="F145" s="520"/>
      <c r="G145" s="520"/>
      <c r="H145" s="520"/>
      <c r="I145" s="520"/>
      <c r="J145" s="520"/>
      <c r="K145" s="520"/>
      <c r="L145" s="520"/>
      <c r="M145" s="520"/>
      <c r="N145" s="520"/>
      <c r="O145" s="520"/>
      <c r="P145" s="520"/>
      <c r="Q145" s="520"/>
      <c r="R145" s="520"/>
      <c r="S145" s="520"/>
      <c r="T145" s="520"/>
      <c r="U145" s="520"/>
      <c r="V145" s="520"/>
      <c r="W145" s="520"/>
      <c r="X145" s="520"/>
    </row>
    <row r="146" spans="1:24" s="222" customFormat="1" ht="14.25">
      <c r="A146" s="271" t="s">
        <v>295</v>
      </c>
      <c r="B146" s="271"/>
      <c r="C146" s="269"/>
      <c r="D146" s="521"/>
      <c r="E146" s="521"/>
      <c r="F146" s="521"/>
      <c r="G146" s="521"/>
      <c r="H146" s="521"/>
      <c r="I146" s="521"/>
      <c r="J146" s="521"/>
      <c r="K146" s="521"/>
      <c r="L146" s="521"/>
      <c r="M146" s="521"/>
      <c r="N146" s="521"/>
      <c r="O146" s="521"/>
      <c r="P146" s="521"/>
      <c r="Q146" s="521"/>
      <c r="R146" s="521"/>
      <c r="S146" s="521"/>
      <c r="T146" s="521"/>
      <c r="U146" s="521"/>
      <c r="V146" s="521"/>
      <c r="W146" s="521"/>
      <c r="X146" s="521"/>
    </row>
    <row r="147" spans="1:24" s="222" customFormat="1" ht="14.25">
      <c r="A147" s="280"/>
      <c r="B147" s="280"/>
      <c r="C147" s="263"/>
      <c r="D147" s="518"/>
      <c r="E147" s="520"/>
      <c r="F147" s="520"/>
      <c r="G147" s="520"/>
      <c r="H147" s="520"/>
      <c r="I147" s="520"/>
      <c r="J147" s="520"/>
      <c r="K147" s="520"/>
      <c r="L147" s="520"/>
      <c r="M147" s="520"/>
      <c r="N147" s="520"/>
      <c r="O147" s="520"/>
      <c r="P147" s="520"/>
      <c r="Q147" s="520"/>
      <c r="R147" s="520"/>
      <c r="S147" s="520"/>
      <c r="T147" s="520"/>
      <c r="U147" s="520"/>
      <c r="V147" s="520"/>
      <c r="W147" s="520"/>
      <c r="X147" s="520"/>
    </row>
    <row r="148" spans="1:24" s="725" customFormat="1">
      <c r="A148" s="353" t="s">
        <v>228</v>
      </c>
      <c r="B148" s="691"/>
      <c r="C148" s="724"/>
      <c r="D148" s="699">
        <v>0</v>
      </c>
      <c r="E148" s="700"/>
      <c r="F148" s="700"/>
      <c r="G148" s="700"/>
      <c r="H148" s="700"/>
      <c r="I148" s="700"/>
      <c r="J148" s="700"/>
      <c r="K148" s="700"/>
      <c r="L148" s="700"/>
      <c r="M148" s="700"/>
      <c r="N148" s="700"/>
      <c r="O148" s="700"/>
      <c r="P148" s="700"/>
      <c r="Q148" s="700"/>
      <c r="R148" s="700"/>
      <c r="S148" s="700"/>
      <c r="T148" s="700"/>
      <c r="U148" s="700"/>
      <c r="V148" s="700"/>
      <c r="W148" s="700"/>
      <c r="X148" s="700"/>
    </row>
    <row r="149" spans="1:24" s="725" customFormat="1">
      <c r="A149" s="726" t="s">
        <v>228</v>
      </c>
      <c r="B149" s="727"/>
      <c r="C149" s="728"/>
      <c r="D149" s="729">
        <v>0</v>
      </c>
      <c r="E149" s="730"/>
      <c r="F149" s="730"/>
      <c r="G149" s="730"/>
      <c r="H149" s="730"/>
      <c r="I149" s="730"/>
      <c r="J149" s="730"/>
      <c r="K149" s="730"/>
      <c r="L149" s="730"/>
      <c r="M149" s="730"/>
      <c r="N149" s="730"/>
      <c r="O149" s="730"/>
      <c r="P149" s="730"/>
      <c r="Q149" s="730"/>
      <c r="R149" s="730"/>
      <c r="S149" s="730"/>
      <c r="T149" s="730"/>
      <c r="U149" s="730"/>
      <c r="V149" s="730"/>
      <c r="W149" s="730"/>
      <c r="X149" s="730"/>
    </row>
    <row r="150" spans="1:24" s="725" customFormat="1" ht="14.25">
      <c r="A150" s="691" t="s">
        <v>296</v>
      </c>
      <c r="B150" s="691"/>
      <c r="C150" s="724"/>
      <c r="D150" s="731">
        <f t="shared" ref="D150:X150" si="18">SUM(D148:D149)</f>
        <v>0</v>
      </c>
      <c r="E150" s="732">
        <f t="shared" si="18"/>
        <v>0</v>
      </c>
      <c r="F150" s="732">
        <f t="shared" si="18"/>
        <v>0</v>
      </c>
      <c r="G150" s="732">
        <f t="shared" si="18"/>
        <v>0</v>
      </c>
      <c r="H150" s="732">
        <f t="shared" si="18"/>
        <v>0</v>
      </c>
      <c r="I150" s="732">
        <f t="shared" si="18"/>
        <v>0</v>
      </c>
      <c r="J150" s="732">
        <f t="shared" si="18"/>
        <v>0</v>
      </c>
      <c r="K150" s="732">
        <f t="shared" si="18"/>
        <v>0</v>
      </c>
      <c r="L150" s="732">
        <f t="shared" si="18"/>
        <v>0</v>
      </c>
      <c r="M150" s="732">
        <f t="shared" si="18"/>
        <v>0</v>
      </c>
      <c r="N150" s="732">
        <f t="shared" si="18"/>
        <v>0</v>
      </c>
      <c r="O150" s="732">
        <f t="shared" si="18"/>
        <v>0</v>
      </c>
      <c r="P150" s="732">
        <f t="shared" si="18"/>
        <v>0</v>
      </c>
      <c r="Q150" s="732">
        <f t="shared" si="18"/>
        <v>0</v>
      </c>
      <c r="R150" s="732">
        <f t="shared" si="18"/>
        <v>0</v>
      </c>
      <c r="S150" s="732">
        <f t="shared" si="18"/>
        <v>0</v>
      </c>
      <c r="T150" s="732">
        <f t="shared" si="18"/>
        <v>0</v>
      </c>
      <c r="U150" s="732">
        <f t="shared" si="18"/>
        <v>0</v>
      </c>
      <c r="V150" s="732">
        <f t="shared" si="18"/>
        <v>0</v>
      </c>
      <c r="W150" s="732">
        <f t="shared" si="18"/>
        <v>0</v>
      </c>
      <c r="X150" s="732">
        <f t="shared" si="18"/>
        <v>0</v>
      </c>
    </row>
    <row r="151" spans="1:24" s="222" customFormat="1">
      <c r="A151" s="280"/>
      <c r="B151" s="280"/>
      <c r="C151" s="263"/>
      <c r="D151" s="514"/>
      <c r="E151" s="515"/>
      <c r="F151" s="520"/>
      <c r="G151" s="520"/>
      <c r="H151" s="520"/>
      <c r="I151" s="520"/>
      <c r="J151" s="520"/>
      <c r="K151" s="520"/>
      <c r="L151" s="520"/>
      <c r="M151" s="520"/>
      <c r="N151" s="520"/>
      <c r="O151" s="520"/>
      <c r="P151" s="520"/>
      <c r="Q151" s="520"/>
      <c r="R151" s="520"/>
      <c r="S151" s="520"/>
      <c r="T151" s="520"/>
      <c r="U151" s="520"/>
      <c r="V151" s="520"/>
      <c r="W151" s="520"/>
      <c r="X151" s="520"/>
    </row>
    <row r="152" spans="1:24" s="222" customFormat="1" ht="14.25">
      <c r="A152" s="296" t="s">
        <v>140</v>
      </c>
      <c r="B152" s="296"/>
      <c r="C152" s="297"/>
      <c r="D152" s="522">
        <f t="shared" ref="D152:X152" si="19">SUM(D144,D150)</f>
        <v>0</v>
      </c>
      <c r="E152" s="522">
        <f t="shared" si="19"/>
        <v>357416.66666666663</v>
      </c>
      <c r="F152" s="522">
        <f t="shared" si="19"/>
        <v>894419.34615384613</v>
      </c>
      <c r="G152" s="522">
        <f t="shared" si="19"/>
        <v>913431.16107692313</v>
      </c>
      <c r="H152" s="522">
        <f t="shared" si="19"/>
        <v>931699.7842984614</v>
      </c>
      <c r="I152" s="522">
        <f t="shared" si="19"/>
        <v>950333.77998443076</v>
      </c>
      <c r="J152" s="522">
        <f t="shared" si="19"/>
        <v>997684.33437931945</v>
      </c>
      <c r="K152" s="522">
        <f t="shared" si="19"/>
        <v>1013101.1022765377</v>
      </c>
      <c r="L152" s="522">
        <f t="shared" si="19"/>
        <v>1033363.1243220684</v>
      </c>
      <c r="M152" s="522">
        <f t="shared" si="19"/>
        <v>1054030.3868085099</v>
      </c>
      <c r="N152" s="522">
        <f t="shared" si="19"/>
        <v>1075110.9945446802</v>
      </c>
      <c r="O152" s="522">
        <f t="shared" si="19"/>
        <v>1101003.7172255765</v>
      </c>
      <c r="P152" s="522">
        <f t="shared" si="19"/>
        <v>1118545.4787242855</v>
      </c>
      <c r="Q152" s="522">
        <f t="shared" si="19"/>
        <v>1140916.3882987711</v>
      </c>
      <c r="R152" s="522">
        <f t="shared" si="19"/>
        <v>1163734.7160647465</v>
      </c>
      <c r="S152" s="522">
        <f t="shared" si="19"/>
        <v>1187009.4103860413</v>
      </c>
      <c r="T152" s="522">
        <f t="shared" si="19"/>
        <v>1215076.6644246001</v>
      </c>
      <c r="U152" s="522">
        <f t="shared" si="19"/>
        <v>1234964.5905656377</v>
      </c>
      <c r="V152" s="522">
        <f t="shared" si="19"/>
        <v>1259663.8823769502</v>
      </c>
      <c r="W152" s="522">
        <f t="shared" si="19"/>
        <v>1284857.1600244893</v>
      </c>
      <c r="X152" s="522">
        <f t="shared" si="19"/>
        <v>1310554.3032249792</v>
      </c>
    </row>
    <row r="153" spans="1:24">
      <c r="A153" s="92"/>
      <c r="B153" s="92"/>
      <c r="C153" s="69"/>
      <c r="D153" s="514"/>
      <c r="E153" s="515"/>
      <c r="F153" s="515"/>
      <c r="G153" s="515"/>
      <c r="H153" s="515"/>
      <c r="I153" s="515"/>
      <c r="J153" s="515"/>
      <c r="K153" s="515"/>
      <c r="L153" s="515"/>
      <c r="M153" s="515"/>
      <c r="N153" s="515"/>
      <c r="O153" s="515"/>
      <c r="P153" s="515"/>
      <c r="Q153" s="515"/>
      <c r="R153" s="515"/>
      <c r="S153" s="515"/>
      <c r="T153" s="515"/>
      <c r="U153" s="515"/>
      <c r="V153" s="515"/>
      <c r="W153" s="515"/>
      <c r="X153" s="515"/>
    </row>
    <row r="154" spans="1:24" s="33" customFormat="1">
      <c r="A154" s="47" t="s">
        <v>7</v>
      </c>
      <c r="B154" s="47" t="s">
        <v>7</v>
      </c>
      <c r="C154" s="78" t="s">
        <v>7</v>
      </c>
      <c r="D154" s="604" t="s">
        <v>7</v>
      </c>
      <c r="E154" s="78" t="s">
        <v>7</v>
      </c>
      <c r="F154" s="78" t="s">
        <v>7</v>
      </c>
      <c r="G154" s="78" t="s">
        <v>7</v>
      </c>
      <c r="H154" s="78" t="s">
        <v>7</v>
      </c>
      <c r="I154" s="78" t="s">
        <v>7</v>
      </c>
      <c r="J154" s="78" t="s">
        <v>7</v>
      </c>
      <c r="K154" s="78" t="s">
        <v>7</v>
      </c>
      <c r="L154" s="78" t="s">
        <v>7</v>
      </c>
      <c r="M154" s="78" t="s">
        <v>7</v>
      </c>
      <c r="N154" s="78" t="s">
        <v>7</v>
      </c>
      <c r="O154" s="78" t="s">
        <v>7</v>
      </c>
      <c r="P154" s="78" t="s">
        <v>7</v>
      </c>
      <c r="Q154" s="78" t="s">
        <v>7</v>
      </c>
      <c r="R154" s="78" t="s">
        <v>7</v>
      </c>
      <c r="S154" s="78" t="s">
        <v>7</v>
      </c>
      <c r="T154" s="78" t="s">
        <v>7</v>
      </c>
      <c r="U154" s="78" t="s">
        <v>7</v>
      </c>
      <c r="V154" s="78" t="s">
        <v>7</v>
      </c>
      <c r="W154" s="78" t="s">
        <v>7</v>
      </c>
      <c r="X154" s="78" t="s">
        <v>7</v>
      </c>
    </row>
    <row r="155" spans="1:24">
      <c r="A155" s="92"/>
      <c r="B155" s="92"/>
      <c r="C155" s="69"/>
      <c r="D155" s="518"/>
      <c r="E155" s="515"/>
      <c r="F155" s="515"/>
      <c r="G155" s="515"/>
      <c r="H155" s="515"/>
      <c r="I155" s="515"/>
      <c r="J155" s="515"/>
      <c r="K155" s="515"/>
      <c r="L155" s="515"/>
      <c r="M155" s="515"/>
      <c r="N155" s="515"/>
      <c r="O155" s="515"/>
      <c r="P155" s="515"/>
      <c r="Q155" s="515"/>
      <c r="R155" s="515"/>
      <c r="S155" s="515"/>
      <c r="T155" s="515"/>
      <c r="U155" s="515"/>
      <c r="V155" s="515"/>
      <c r="W155" s="515"/>
      <c r="X155" s="515"/>
    </row>
    <row r="156" spans="1:24" s="16" customFormat="1" ht="14.25">
      <c r="A156" s="278" t="s">
        <v>116</v>
      </c>
      <c r="B156" s="263"/>
      <c r="C156" s="263"/>
      <c r="D156" s="518">
        <f>D119-(D136+D142)</f>
        <v>0</v>
      </c>
      <c r="E156" s="520">
        <f>E119-E152</f>
        <v>-299391.66666666663</v>
      </c>
      <c r="F156" s="520">
        <f t="shared" ref="F156:X156" si="20">F119-F152</f>
        <v>-28983.486506970949</v>
      </c>
      <c r="G156" s="520">
        <f t="shared" si="20"/>
        <v>69803.415762889432</v>
      </c>
      <c r="H156" s="520">
        <f t="shared" si="20"/>
        <v>69179.484078147332</v>
      </c>
      <c r="I156" s="520">
        <f t="shared" si="20"/>
        <v>68543.073759710067</v>
      </c>
      <c r="J156" s="520">
        <f t="shared" si="20"/>
        <v>282852.05643970415</v>
      </c>
      <c r="K156" s="520">
        <f t="shared" si="20"/>
        <v>286159.97635886644</v>
      </c>
      <c r="L156" s="520">
        <f t="shared" si="20"/>
        <v>284997.13588604378</v>
      </c>
      <c r="M156" s="520">
        <f t="shared" si="20"/>
        <v>283811.03860376473</v>
      </c>
      <c r="N156" s="520">
        <f t="shared" si="20"/>
        <v>282601.21937583969</v>
      </c>
      <c r="O156" s="520">
        <f t="shared" si="20"/>
        <v>338389.70097335405</v>
      </c>
      <c r="P156" s="520">
        <f t="shared" si="20"/>
        <v>341521.50783862383</v>
      </c>
      <c r="Q156" s="520">
        <f t="shared" si="20"/>
        <v>340237.63799539628</v>
      </c>
      <c r="R156" s="520">
        <f t="shared" si="20"/>
        <v>338928.09075530409</v>
      </c>
      <c r="S156" s="520">
        <f t="shared" si="20"/>
        <v>337592.35257041059</v>
      </c>
      <c r="T156" s="520">
        <f t="shared" si="20"/>
        <v>393415.83379098075</v>
      </c>
      <c r="U156" s="520">
        <f t="shared" si="20"/>
        <v>396353.19761425466</v>
      </c>
      <c r="V156" s="520">
        <f t="shared" si="20"/>
        <v>394935.7015665397</v>
      </c>
      <c r="W156" s="520">
        <f t="shared" si="20"/>
        <v>393489.85559787089</v>
      </c>
      <c r="X156" s="520">
        <f t="shared" si="20"/>
        <v>392015.09270982817</v>
      </c>
    </row>
    <row r="157" spans="1:24">
      <c r="A157" s="30"/>
      <c r="B157" s="92"/>
      <c r="C157" s="69"/>
      <c r="D157" s="514"/>
      <c r="E157" s="515"/>
      <c r="F157" s="515"/>
      <c r="G157" s="515"/>
      <c r="H157" s="515"/>
      <c r="I157" s="515"/>
      <c r="J157" s="515"/>
      <c r="K157" s="515"/>
      <c r="L157" s="515"/>
      <c r="M157" s="515"/>
      <c r="N157" s="515"/>
      <c r="O157" s="515"/>
      <c r="P157" s="515"/>
      <c r="Q157" s="515"/>
      <c r="R157" s="515"/>
      <c r="S157" s="515"/>
      <c r="T157" s="515"/>
      <c r="U157" s="515"/>
      <c r="V157" s="515"/>
      <c r="W157" s="515"/>
      <c r="X157" s="515"/>
    </row>
    <row r="158" spans="1:24" s="594" customFormat="1">
      <c r="A158" s="589" t="s">
        <v>125</v>
      </c>
      <c r="B158" s="590"/>
      <c r="C158" s="591"/>
      <c r="D158" s="592">
        <v>0</v>
      </c>
      <c r="E158" s="593">
        <v>0</v>
      </c>
      <c r="F158" s="593">
        <v>0</v>
      </c>
      <c r="G158" s="593">
        <v>0</v>
      </c>
      <c r="H158" s="593">
        <v>0</v>
      </c>
      <c r="I158" s="593">
        <v>0</v>
      </c>
      <c r="J158" s="593">
        <v>0</v>
      </c>
      <c r="K158" s="593">
        <v>0</v>
      </c>
      <c r="L158" s="593">
        <v>0</v>
      </c>
      <c r="M158" s="593">
        <v>0</v>
      </c>
      <c r="N158" s="593">
        <v>0</v>
      </c>
      <c r="O158" s="593">
        <v>0</v>
      </c>
      <c r="P158" s="593">
        <v>0</v>
      </c>
      <c r="Q158" s="593">
        <v>0</v>
      </c>
      <c r="R158" s="593">
        <v>0</v>
      </c>
      <c r="S158" s="593">
        <v>0</v>
      </c>
      <c r="T158" s="593">
        <v>0</v>
      </c>
      <c r="U158" s="593">
        <v>0</v>
      </c>
      <c r="V158" s="593">
        <v>0</v>
      </c>
      <c r="W158" s="593">
        <v>0</v>
      </c>
      <c r="X158" s="593">
        <v>0</v>
      </c>
    </row>
    <row r="159" spans="1:24">
      <c r="A159" s="92"/>
      <c r="B159" s="92"/>
      <c r="C159" s="69"/>
      <c r="D159" s="514"/>
      <c r="E159" s="515"/>
      <c r="F159" s="515"/>
      <c r="G159" s="515"/>
      <c r="H159" s="515"/>
      <c r="I159" s="515"/>
      <c r="J159" s="515"/>
      <c r="K159" s="515"/>
      <c r="L159" s="515"/>
      <c r="M159" s="515"/>
      <c r="N159" s="515"/>
      <c r="O159" s="515"/>
      <c r="P159" s="515"/>
      <c r="Q159" s="515"/>
      <c r="R159" s="515"/>
      <c r="S159" s="515"/>
      <c r="T159" s="515"/>
      <c r="U159" s="515"/>
      <c r="V159" s="515"/>
      <c r="W159" s="515"/>
      <c r="X159" s="515"/>
    </row>
    <row r="160" spans="1:24" s="16" customFormat="1" ht="14.25">
      <c r="A160" s="278" t="s">
        <v>117</v>
      </c>
      <c r="B160" s="278"/>
      <c r="C160" s="263"/>
      <c r="D160" s="518">
        <v>0</v>
      </c>
      <c r="E160" s="520">
        <f>E156-E158</f>
        <v>-299391.66666666663</v>
      </c>
      <c r="F160" s="520">
        <f t="shared" ref="F160:X160" si="21">F156-F158</f>
        <v>-28983.486506970949</v>
      </c>
      <c r="G160" s="520">
        <f t="shared" si="21"/>
        <v>69803.415762889432</v>
      </c>
      <c r="H160" s="520">
        <f t="shared" si="21"/>
        <v>69179.484078147332</v>
      </c>
      <c r="I160" s="520">
        <f t="shared" si="21"/>
        <v>68543.073759710067</v>
      </c>
      <c r="J160" s="520">
        <f t="shared" si="21"/>
        <v>282852.05643970415</v>
      </c>
      <c r="K160" s="520">
        <f t="shared" si="21"/>
        <v>286159.97635886644</v>
      </c>
      <c r="L160" s="520">
        <f t="shared" si="21"/>
        <v>284997.13588604378</v>
      </c>
      <c r="M160" s="520">
        <f t="shared" si="21"/>
        <v>283811.03860376473</v>
      </c>
      <c r="N160" s="520">
        <f t="shared" si="21"/>
        <v>282601.21937583969</v>
      </c>
      <c r="O160" s="520">
        <f t="shared" si="21"/>
        <v>338389.70097335405</v>
      </c>
      <c r="P160" s="520">
        <f t="shared" si="21"/>
        <v>341521.50783862383</v>
      </c>
      <c r="Q160" s="520">
        <f t="shared" si="21"/>
        <v>340237.63799539628</v>
      </c>
      <c r="R160" s="520">
        <f t="shared" si="21"/>
        <v>338928.09075530409</v>
      </c>
      <c r="S160" s="520">
        <f t="shared" si="21"/>
        <v>337592.35257041059</v>
      </c>
      <c r="T160" s="520">
        <f t="shared" si="21"/>
        <v>393415.83379098075</v>
      </c>
      <c r="U160" s="520">
        <f t="shared" si="21"/>
        <v>396353.19761425466</v>
      </c>
      <c r="V160" s="520">
        <f t="shared" si="21"/>
        <v>394935.7015665397</v>
      </c>
      <c r="W160" s="520">
        <f t="shared" si="21"/>
        <v>393489.85559787089</v>
      </c>
      <c r="X160" s="520">
        <f t="shared" si="21"/>
        <v>392015.09270982817</v>
      </c>
    </row>
    <row r="161" spans="1:24">
      <c r="A161" s="92"/>
      <c r="B161" s="92"/>
      <c r="C161" s="69"/>
      <c r="D161" s="514"/>
      <c r="E161" s="515"/>
      <c r="F161" s="515"/>
      <c r="G161" s="515"/>
      <c r="H161" s="515"/>
      <c r="I161" s="515"/>
      <c r="J161" s="515"/>
      <c r="K161" s="515"/>
      <c r="L161" s="515"/>
      <c r="M161" s="515"/>
      <c r="N161" s="515"/>
      <c r="O161" s="515"/>
      <c r="P161" s="515"/>
      <c r="Q161" s="515"/>
      <c r="R161" s="515"/>
      <c r="S161" s="515"/>
      <c r="T161" s="515"/>
      <c r="U161" s="515"/>
      <c r="V161" s="515"/>
      <c r="W161" s="515"/>
      <c r="X161" s="515"/>
    </row>
    <row r="162" spans="1:24">
      <c r="A162" s="271" t="s">
        <v>126</v>
      </c>
      <c r="B162" s="272"/>
      <c r="C162" s="273"/>
      <c r="D162" s="523"/>
      <c r="E162" s="523"/>
      <c r="F162" s="523"/>
      <c r="G162" s="523"/>
      <c r="H162" s="523"/>
      <c r="I162" s="523"/>
      <c r="J162" s="523"/>
      <c r="K162" s="523"/>
      <c r="L162" s="523"/>
      <c r="M162" s="523"/>
      <c r="N162" s="523"/>
      <c r="O162" s="523"/>
      <c r="P162" s="523"/>
      <c r="Q162" s="523"/>
      <c r="R162" s="523"/>
      <c r="S162" s="523"/>
      <c r="T162" s="523"/>
      <c r="U162" s="523"/>
      <c r="V162" s="523"/>
      <c r="W162" s="523"/>
      <c r="X162" s="523"/>
    </row>
    <row r="163" spans="1:24" s="32" customFormat="1">
      <c r="A163" s="280"/>
      <c r="B163" s="91"/>
      <c r="C163" s="69"/>
      <c r="D163" s="514"/>
      <c r="E163" s="515"/>
      <c r="F163" s="515"/>
      <c r="G163" s="515"/>
      <c r="H163" s="515"/>
      <c r="I163" s="515"/>
      <c r="J163" s="515"/>
      <c r="K163" s="515"/>
      <c r="L163" s="515"/>
      <c r="M163" s="515"/>
      <c r="N163" s="515"/>
      <c r="O163" s="515"/>
      <c r="P163" s="515"/>
      <c r="Q163" s="515"/>
      <c r="R163" s="515"/>
      <c r="S163" s="515"/>
      <c r="T163" s="515"/>
      <c r="U163" s="515"/>
      <c r="V163" s="515"/>
      <c r="W163" s="515"/>
      <c r="X163" s="515"/>
    </row>
    <row r="164" spans="1:24" s="96" customFormat="1">
      <c r="A164" s="885" t="s">
        <v>136</v>
      </c>
      <c r="B164" s="719"/>
      <c r="C164" s="69"/>
      <c r="D164" s="514">
        <v>0</v>
      </c>
      <c r="E164" s="515">
        <f>'OPEX - Concept A2'!L170</f>
        <v>0</v>
      </c>
      <c r="F164" s="515">
        <f>'OPEX - Concept A2'!M170</f>
        <v>59545</v>
      </c>
      <c r="G164" s="515">
        <f>'OPEX - Concept A2'!N170</f>
        <v>60735.9</v>
      </c>
      <c r="H164" s="515">
        <f>'OPEX - Concept A2'!O170</f>
        <v>61950.618000000002</v>
      </c>
      <c r="I164" s="515">
        <f>'OPEX - Concept A2'!P170</f>
        <v>63189.630359999996</v>
      </c>
      <c r="J164" s="515">
        <f>'OPEX - Concept A2'!Q170</f>
        <v>64453.4229672</v>
      </c>
      <c r="K164" s="515">
        <f>'OPEX - Concept A2'!R170</f>
        <v>65742.491426544002</v>
      </c>
      <c r="L164" s="515">
        <f>'OPEX - Concept A2'!S170</f>
        <v>67057.341255074891</v>
      </c>
      <c r="M164" s="515">
        <f>'OPEX - Concept A2'!T170</f>
        <v>68398.488080176379</v>
      </c>
      <c r="N164" s="515">
        <f>'OPEX - Concept A2'!U170</f>
        <v>69766.45784177992</v>
      </c>
      <c r="O164" s="515">
        <f>'OPEX - Concept A2'!V170</f>
        <v>71161.786998615513</v>
      </c>
      <c r="P164" s="515">
        <f>'OPEX - Concept A2'!W170</f>
        <v>72585.022738587824</v>
      </c>
      <c r="Q164" s="515">
        <f>'OPEX - Concept A2'!X170</f>
        <v>74036.723193359576</v>
      </c>
      <c r="R164" s="515">
        <f>'OPEX - Concept A2'!Y170</f>
        <v>75517.457657226769</v>
      </c>
      <c r="S164" s="515">
        <f>'OPEX - Concept A2'!Z170</f>
        <v>77027.806810371301</v>
      </c>
      <c r="T164" s="515">
        <f>'OPEX - Concept A2'!AA170</f>
        <v>78568.362946578738</v>
      </c>
      <c r="U164" s="515">
        <f>'OPEX - Concept A2'!AB170</f>
        <v>80139.730205510321</v>
      </c>
      <c r="V164" s="515">
        <f>'OPEX - Concept A2'!AC170</f>
        <v>81742.524809620518</v>
      </c>
      <c r="W164" s="515">
        <f>'OPEX - Concept A2'!AD170</f>
        <v>83377.375305812937</v>
      </c>
      <c r="X164" s="515">
        <f>'OPEX - Concept A2'!AE170</f>
        <v>85044.922811929195</v>
      </c>
    </row>
    <row r="165" spans="1:24" s="96" customFormat="1">
      <c r="A165" s="885" t="s">
        <v>458</v>
      </c>
      <c r="B165" s="719"/>
      <c r="C165" s="69"/>
      <c r="D165" s="514">
        <v>0</v>
      </c>
      <c r="E165" s="515">
        <f>'OPEX - Concept A2'!L172</f>
        <v>666572.76</v>
      </c>
      <c r="F165" s="515">
        <f>'OPEX - Concept A2'!M172</f>
        <v>666572.76</v>
      </c>
      <c r="G165" s="515">
        <f>'OPEX - Concept A2'!N172</f>
        <v>666572.76</v>
      </c>
      <c r="H165" s="515">
        <f>'OPEX - Concept A2'!O172</f>
        <v>666572.76</v>
      </c>
      <c r="I165" s="515">
        <f>'OPEX - Concept A2'!P172</f>
        <v>666572.76</v>
      </c>
      <c r="J165" s="515">
        <f>'OPEX - Concept A2'!Q172</f>
        <v>666572.76</v>
      </c>
      <c r="K165" s="515">
        <f>'OPEX - Concept A2'!R172</f>
        <v>666572.76</v>
      </c>
      <c r="L165" s="515">
        <f>'OPEX - Concept A2'!S172</f>
        <v>666572.76</v>
      </c>
      <c r="M165" s="515">
        <f>'OPEX - Concept A2'!T172</f>
        <v>666572.76</v>
      </c>
      <c r="N165" s="515">
        <f>'OPEX - Concept A2'!U172</f>
        <v>666572.76</v>
      </c>
      <c r="O165" s="515">
        <f>'OPEX - Concept A2'!V172</f>
        <v>666572.76</v>
      </c>
      <c r="P165" s="515">
        <f>'OPEX - Concept A2'!W172</f>
        <v>666572.76</v>
      </c>
      <c r="Q165" s="515">
        <f>'OPEX - Concept A2'!X172</f>
        <v>666572.76</v>
      </c>
      <c r="R165" s="515">
        <f>'OPEX - Concept A2'!Y172</f>
        <v>666572.76</v>
      </c>
      <c r="S165" s="515">
        <f>'OPEX - Concept A2'!Z172</f>
        <v>666572.76</v>
      </c>
      <c r="T165" s="515">
        <f>'OPEX - Concept A2'!AA172</f>
        <v>666572.76</v>
      </c>
      <c r="U165" s="515">
        <f>'OPEX - Concept A2'!AB172</f>
        <v>666572.76</v>
      </c>
      <c r="V165" s="515">
        <f>'OPEX - Concept A2'!AC172</f>
        <v>666572.76</v>
      </c>
      <c r="W165" s="515">
        <f>'OPEX - Concept A2'!AD172</f>
        <v>666572.76</v>
      </c>
      <c r="X165" s="515">
        <f>'OPEX - Concept A2'!AE172</f>
        <v>666572.76</v>
      </c>
    </row>
    <row r="166" spans="1:24" s="341" customFormat="1">
      <c r="A166" s="696" t="s">
        <v>315</v>
      </c>
      <c r="B166" s="697"/>
      <c r="C166" s="698"/>
      <c r="D166" s="699">
        <v>0</v>
      </c>
      <c r="E166" s="700">
        <v>0</v>
      </c>
      <c r="F166" s="700">
        <v>0</v>
      </c>
      <c r="G166" s="700">
        <v>0</v>
      </c>
      <c r="H166" s="700">
        <v>0</v>
      </c>
      <c r="I166" s="700">
        <v>0</v>
      </c>
      <c r="J166" s="700">
        <v>0</v>
      </c>
      <c r="K166" s="700">
        <v>0</v>
      </c>
      <c r="L166" s="700">
        <v>0</v>
      </c>
      <c r="M166" s="700">
        <v>0</v>
      </c>
      <c r="N166" s="700">
        <v>0</v>
      </c>
      <c r="O166" s="700">
        <v>0</v>
      </c>
      <c r="P166" s="700">
        <v>0</v>
      </c>
      <c r="Q166" s="700">
        <v>0</v>
      </c>
      <c r="R166" s="700">
        <v>0</v>
      </c>
      <c r="S166" s="700">
        <v>0</v>
      </c>
      <c r="T166" s="700">
        <v>0</v>
      </c>
      <c r="U166" s="700">
        <v>0</v>
      </c>
      <c r="V166" s="700">
        <v>0</v>
      </c>
      <c r="W166" s="700">
        <v>0</v>
      </c>
      <c r="X166" s="700">
        <v>0</v>
      </c>
    </row>
    <row r="167" spans="1:24" s="32" customFormat="1">
      <c r="A167" s="93" t="s">
        <v>316</v>
      </c>
      <c r="B167" s="298"/>
      <c r="C167" s="298"/>
      <c r="D167" s="505">
        <v>0</v>
      </c>
      <c r="E167" s="506">
        <f>'OPEX - Concept A2'!L174</f>
        <v>246000</v>
      </c>
      <c r="F167" s="506">
        <f>'OPEX - Concept A2'!M174</f>
        <v>246000</v>
      </c>
      <c r="G167" s="506">
        <f>'OPEX - Concept A2'!N174</f>
        <v>246000</v>
      </c>
      <c r="H167" s="506">
        <f>'OPEX - Concept A2'!O174</f>
        <v>246000</v>
      </c>
      <c r="I167" s="506">
        <f>'OPEX - Concept A2'!P174</f>
        <v>246000</v>
      </c>
      <c r="J167" s="506">
        <f>'OPEX - Concept A2'!Q174</f>
        <v>246000</v>
      </c>
      <c r="K167" s="506">
        <f>'OPEX - Concept A2'!R174</f>
        <v>246000</v>
      </c>
      <c r="L167" s="506">
        <f>'OPEX - Concept A2'!S174</f>
        <v>246000</v>
      </c>
      <c r="M167" s="506">
        <f>'OPEX - Concept A2'!T174</f>
        <v>246000</v>
      </c>
      <c r="N167" s="506">
        <f>'OPEX - Concept A2'!U174</f>
        <v>246000</v>
      </c>
      <c r="O167" s="506">
        <f>'OPEX - Concept A2'!V174</f>
        <v>246000</v>
      </c>
      <c r="P167" s="506">
        <f>'OPEX - Concept A2'!W174</f>
        <v>246000</v>
      </c>
      <c r="Q167" s="506">
        <f>'OPEX - Concept A2'!X174</f>
        <v>246000</v>
      </c>
      <c r="R167" s="506">
        <f>'OPEX - Concept A2'!Y174</f>
        <v>246000</v>
      </c>
      <c r="S167" s="506">
        <f>'OPEX - Concept A2'!Z174</f>
        <v>246000</v>
      </c>
      <c r="T167" s="506">
        <f>'OPEX - Concept A2'!AA174</f>
        <v>246000</v>
      </c>
      <c r="U167" s="506">
        <f>'OPEX - Concept A2'!AB174</f>
        <v>246000</v>
      </c>
      <c r="V167" s="506">
        <f>'OPEX - Concept A2'!AC174</f>
        <v>246000</v>
      </c>
      <c r="W167" s="506">
        <f>'OPEX - Concept A2'!AD174</f>
        <v>246000</v>
      </c>
      <c r="X167" s="506">
        <f>'OPEX - Concept A2'!AE174</f>
        <v>246000</v>
      </c>
    </row>
    <row r="168" spans="1:24" s="222" customFormat="1" ht="14.25">
      <c r="A168" s="263" t="s">
        <v>134</v>
      </c>
      <c r="B168" s="264"/>
      <c r="C168" s="264"/>
      <c r="D168" s="524">
        <f>SUM(D164:D167)</f>
        <v>0</v>
      </c>
      <c r="E168" s="525">
        <f t="shared" ref="E168:X168" si="22">SUM(E164:E167)</f>
        <v>912572.76</v>
      </c>
      <c r="F168" s="525">
        <f t="shared" si="22"/>
        <v>972117.76</v>
      </c>
      <c r="G168" s="525">
        <f t="shared" si="22"/>
        <v>973308.66</v>
      </c>
      <c r="H168" s="525">
        <f t="shared" si="22"/>
        <v>974523.37800000003</v>
      </c>
      <c r="I168" s="525">
        <f t="shared" si="22"/>
        <v>975762.39035999996</v>
      </c>
      <c r="J168" s="525">
        <f t="shared" si="22"/>
        <v>977026.18296720006</v>
      </c>
      <c r="K168" s="525">
        <f t="shared" si="22"/>
        <v>978315.25142654404</v>
      </c>
      <c r="L168" s="525">
        <f t="shared" si="22"/>
        <v>979630.10125507484</v>
      </c>
      <c r="M168" s="525">
        <f t="shared" si="22"/>
        <v>980971.24808017642</v>
      </c>
      <c r="N168" s="525">
        <f t="shared" si="22"/>
        <v>982339.21784177993</v>
      </c>
      <c r="O168" s="525">
        <f t="shared" si="22"/>
        <v>983734.54699861549</v>
      </c>
      <c r="P168" s="525">
        <f t="shared" si="22"/>
        <v>985157.78273858782</v>
      </c>
      <c r="Q168" s="525">
        <f t="shared" si="22"/>
        <v>986609.48319335957</v>
      </c>
      <c r="R168" s="525">
        <f t="shared" si="22"/>
        <v>988090.21765722684</v>
      </c>
      <c r="S168" s="525">
        <f t="shared" si="22"/>
        <v>989600.56681037135</v>
      </c>
      <c r="T168" s="525">
        <f t="shared" si="22"/>
        <v>991141.12294657878</v>
      </c>
      <c r="U168" s="525">
        <f t="shared" si="22"/>
        <v>992712.49020551029</v>
      </c>
      <c r="V168" s="525">
        <f t="shared" si="22"/>
        <v>994315.28480962059</v>
      </c>
      <c r="W168" s="525">
        <f t="shared" si="22"/>
        <v>995950.13530581293</v>
      </c>
      <c r="X168" s="525">
        <f t="shared" si="22"/>
        <v>997617.68281192915</v>
      </c>
    </row>
    <row r="169" spans="1:24" s="32" customFormat="1">
      <c r="A169" s="69"/>
      <c r="B169" s="90"/>
      <c r="C169" s="90"/>
      <c r="D169" s="526"/>
      <c r="E169" s="527"/>
      <c r="F169" s="527"/>
      <c r="G169" s="527"/>
      <c r="H169" s="527"/>
      <c r="I169" s="527"/>
      <c r="J169" s="527"/>
      <c r="K169" s="527"/>
      <c r="L169" s="527"/>
      <c r="M169" s="527"/>
      <c r="N169" s="527"/>
      <c r="O169" s="527"/>
      <c r="P169" s="527"/>
      <c r="Q169" s="527"/>
      <c r="R169" s="527"/>
      <c r="S169" s="527"/>
      <c r="T169" s="527"/>
      <c r="U169" s="527"/>
      <c r="V169" s="527"/>
      <c r="W169" s="527"/>
      <c r="X169" s="527"/>
    </row>
    <row r="170" spans="1:24" s="32" customFormat="1">
      <c r="A170" s="94" t="s">
        <v>137</v>
      </c>
      <c r="C170" s="69"/>
      <c r="D170" s="514">
        <v>0</v>
      </c>
      <c r="E170" s="515">
        <f>E160-E164</f>
        <v>-299391.66666666663</v>
      </c>
      <c r="F170" s="515">
        <f t="shared" ref="F170:X170" si="23">F156-F164</f>
        <v>-88528.486506970949</v>
      </c>
      <c r="G170" s="515">
        <f t="shared" si="23"/>
        <v>9067.5157628894303</v>
      </c>
      <c r="H170" s="515">
        <f t="shared" si="23"/>
        <v>7228.86607814733</v>
      </c>
      <c r="I170" s="515">
        <f t="shared" si="23"/>
        <v>5353.4433997100714</v>
      </c>
      <c r="J170" s="515">
        <f t="shared" si="23"/>
        <v>218398.63347250415</v>
      </c>
      <c r="K170" s="515">
        <f t="shared" si="23"/>
        <v>220417.48493232243</v>
      </c>
      <c r="L170" s="515">
        <f t="shared" si="23"/>
        <v>217939.79463096889</v>
      </c>
      <c r="M170" s="515">
        <f t="shared" si="23"/>
        <v>215412.55052358835</v>
      </c>
      <c r="N170" s="515">
        <f t="shared" si="23"/>
        <v>212834.76153405977</v>
      </c>
      <c r="O170" s="515">
        <f t="shared" si="23"/>
        <v>267227.91397473856</v>
      </c>
      <c r="P170" s="515">
        <f t="shared" si="23"/>
        <v>268936.48510003602</v>
      </c>
      <c r="Q170" s="515">
        <f t="shared" si="23"/>
        <v>266200.91480203671</v>
      </c>
      <c r="R170" s="515">
        <f t="shared" si="23"/>
        <v>263410.63309807732</v>
      </c>
      <c r="S170" s="515">
        <f t="shared" si="23"/>
        <v>260564.5457600393</v>
      </c>
      <c r="T170" s="515">
        <f t="shared" si="23"/>
        <v>314847.47084440198</v>
      </c>
      <c r="U170" s="515">
        <f t="shared" si="23"/>
        <v>316213.46740874433</v>
      </c>
      <c r="V170" s="515">
        <f t="shared" si="23"/>
        <v>313193.17675691919</v>
      </c>
      <c r="W170" s="515">
        <f t="shared" si="23"/>
        <v>310112.48029205797</v>
      </c>
      <c r="X170" s="515">
        <f t="shared" si="23"/>
        <v>306970.16989789897</v>
      </c>
    </row>
    <row r="171" spans="1:24" ht="16.5" customHeight="1">
      <c r="A171" s="88" t="s">
        <v>128</v>
      </c>
      <c r="B171" s="98"/>
      <c r="C171" s="98"/>
      <c r="D171" s="528">
        <v>0</v>
      </c>
      <c r="E171" s="529">
        <f>E160-E168</f>
        <v>-1211964.4266666668</v>
      </c>
      <c r="F171" s="529">
        <f t="shared" ref="F171:X171" si="24">F160-F168</f>
        <v>-1001101.246506971</v>
      </c>
      <c r="G171" s="529">
        <f t="shared" si="24"/>
        <v>-903505.2442371106</v>
      </c>
      <c r="H171" s="529">
        <f t="shared" si="24"/>
        <v>-905343.89392185269</v>
      </c>
      <c r="I171" s="529">
        <f t="shared" si="24"/>
        <v>-907219.31660028989</v>
      </c>
      <c r="J171" s="529">
        <f t="shared" si="24"/>
        <v>-694174.12652749592</v>
      </c>
      <c r="K171" s="529">
        <f t="shared" si="24"/>
        <v>-692155.2750676776</v>
      </c>
      <c r="L171" s="529">
        <f t="shared" si="24"/>
        <v>-694632.96536903107</v>
      </c>
      <c r="M171" s="529">
        <f t="shared" si="24"/>
        <v>-697160.20947641169</v>
      </c>
      <c r="N171" s="529">
        <f t="shared" si="24"/>
        <v>-699737.99846594024</v>
      </c>
      <c r="O171" s="529">
        <f t="shared" si="24"/>
        <v>-645344.84602526145</v>
      </c>
      <c r="P171" s="529">
        <f t="shared" si="24"/>
        <v>-643636.27489996399</v>
      </c>
      <c r="Q171" s="529">
        <f t="shared" si="24"/>
        <v>-646371.8451979633</v>
      </c>
      <c r="R171" s="529">
        <f t="shared" si="24"/>
        <v>-649162.12690192275</v>
      </c>
      <c r="S171" s="529">
        <f t="shared" si="24"/>
        <v>-652008.21423996077</v>
      </c>
      <c r="T171" s="529">
        <f t="shared" si="24"/>
        <v>-597725.28915559803</v>
      </c>
      <c r="U171" s="529">
        <f t="shared" si="24"/>
        <v>-596359.29259125562</v>
      </c>
      <c r="V171" s="529">
        <f t="shared" si="24"/>
        <v>-599379.58324308088</v>
      </c>
      <c r="W171" s="529">
        <f t="shared" si="24"/>
        <v>-602460.27970794204</v>
      </c>
      <c r="X171" s="529">
        <f t="shared" si="24"/>
        <v>-605602.59010210098</v>
      </c>
    </row>
    <row r="172" spans="1:24" ht="16.5" customHeight="1">
      <c r="A172" s="88"/>
      <c r="B172" s="88"/>
      <c r="C172" s="88"/>
      <c r="D172" s="526"/>
      <c r="E172" s="527"/>
      <c r="F172" s="527"/>
      <c r="G172" s="527"/>
      <c r="H172" s="527"/>
      <c r="I172" s="527"/>
      <c r="J172" s="527"/>
      <c r="K172" s="527"/>
      <c r="L172" s="527"/>
      <c r="M172" s="527"/>
      <c r="N172" s="527"/>
      <c r="O172" s="527"/>
      <c r="P172" s="527"/>
      <c r="Q172" s="527"/>
      <c r="R172" s="527"/>
      <c r="S172" s="527"/>
      <c r="T172" s="527"/>
      <c r="U172" s="527"/>
      <c r="V172" s="527"/>
      <c r="W172" s="527"/>
      <c r="X172" s="527"/>
    </row>
    <row r="173" spans="1:24" ht="16.5" customHeight="1">
      <c r="A173" s="88" t="s">
        <v>129</v>
      </c>
      <c r="B173" s="632">
        <f>NPV(Cost_of_Money__DPC,E160:X160)</f>
        <v>4966451.2185038924</v>
      </c>
      <c r="C173" s="88"/>
      <c r="D173" s="526"/>
      <c r="E173" s="527"/>
      <c r="F173" s="527"/>
      <c r="G173" s="527"/>
      <c r="H173" s="527"/>
      <c r="I173" s="527"/>
      <c r="J173" s="527"/>
      <c r="K173" s="527"/>
      <c r="L173" s="527"/>
      <c r="M173" s="527"/>
      <c r="N173" s="527"/>
      <c r="O173" s="527"/>
      <c r="P173" s="527"/>
      <c r="Q173" s="527"/>
      <c r="R173" s="527"/>
      <c r="S173" s="527"/>
      <c r="T173" s="527"/>
      <c r="U173" s="527"/>
      <c r="V173" s="527"/>
      <c r="W173" s="527"/>
      <c r="X173" s="527"/>
    </row>
    <row r="174" spans="1:24" ht="16.5" customHeight="1">
      <c r="A174" s="300" t="s">
        <v>130</v>
      </c>
      <c r="B174" s="733">
        <f>SUM(E171:X171)</f>
        <v>-14645045.044904495</v>
      </c>
      <c r="C174" s="301"/>
      <c r="D174" s="530">
        <v>0</v>
      </c>
      <c r="E174" s="530">
        <f>E160-E168</f>
        <v>-1211964.4266666668</v>
      </c>
      <c r="F174" s="530">
        <f t="shared" ref="F174:X174" si="25">F160-F168</f>
        <v>-1001101.246506971</v>
      </c>
      <c r="G174" s="530">
        <f t="shared" si="25"/>
        <v>-903505.2442371106</v>
      </c>
      <c r="H174" s="530">
        <f t="shared" si="25"/>
        <v>-905343.89392185269</v>
      </c>
      <c r="I174" s="530">
        <f t="shared" si="25"/>
        <v>-907219.31660028989</v>
      </c>
      <c r="J174" s="530">
        <f t="shared" si="25"/>
        <v>-694174.12652749592</v>
      </c>
      <c r="K174" s="530">
        <f t="shared" si="25"/>
        <v>-692155.2750676776</v>
      </c>
      <c r="L174" s="530">
        <f t="shared" si="25"/>
        <v>-694632.96536903107</v>
      </c>
      <c r="M174" s="530">
        <f t="shared" si="25"/>
        <v>-697160.20947641169</v>
      </c>
      <c r="N174" s="530">
        <f t="shared" si="25"/>
        <v>-699737.99846594024</v>
      </c>
      <c r="O174" s="530">
        <f t="shared" si="25"/>
        <v>-645344.84602526145</v>
      </c>
      <c r="P174" s="530">
        <f t="shared" si="25"/>
        <v>-643636.27489996399</v>
      </c>
      <c r="Q174" s="530">
        <f t="shared" si="25"/>
        <v>-646371.8451979633</v>
      </c>
      <c r="R174" s="530">
        <f t="shared" si="25"/>
        <v>-649162.12690192275</v>
      </c>
      <c r="S174" s="530">
        <f t="shared" si="25"/>
        <v>-652008.21423996077</v>
      </c>
      <c r="T174" s="530">
        <f t="shared" si="25"/>
        <v>-597725.28915559803</v>
      </c>
      <c r="U174" s="530">
        <f t="shared" si="25"/>
        <v>-596359.29259125562</v>
      </c>
      <c r="V174" s="530">
        <f t="shared" si="25"/>
        <v>-599379.58324308088</v>
      </c>
      <c r="W174" s="530">
        <f t="shared" si="25"/>
        <v>-602460.27970794204</v>
      </c>
      <c r="X174" s="530">
        <f t="shared" si="25"/>
        <v>-605602.59010210098</v>
      </c>
    </row>
    <row r="175" spans="1:24" s="58" customFormat="1" ht="16.5" customHeight="1">
      <c r="A175" s="90" t="s">
        <v>32</v>
      </c>
      <c r="B175" s="792" t="e">
        <f>IRR(E174:X174)</f>
        <v>#NUM!</v>
      </c>
      <c r="C175" s="356"/>
      <c r="D175" s="502"/>
      <c r="E175" s="504"/>
      <c r="F175" s="504"/>
      <c r="G175" s="504"/>
      <c r="H175" s="504"/>
      <c r="I175" s="504"/>
      <c r="J175" s="504"/>
      <c r="K175" s="504"/>
      <c r="L175" s="504"/>
      <c r="M175" s="504"/>
      <c r="N175" s="504"/>
      <c r="O175" s="504"/>
      <c r="P175" s="504"/>
      <c r="Q175" s="504"/>
      <c r="R175" s="504"/>
      <c r="S175" s="504"/>
      <c r="T175" s="504"/>
      <c r="U175" s="504"/>
      <c r="V175" s="504"/>
      <c r="W175" s="504"/>
      <c r="X175" s="504"/>
    </row>
    <row r="176" spans="1:24">
      <c r="A176" s="30"/>
      <c r="B176" s="30"/>
      <c r="C176" s="30"/>
      <c r="D176" s="502"/>
      <c r="E176" s="512"/>
      <c r="F176" s="512"/>
      <c r="G176" s="512"/>
      <c r="H176" s="512"/>
      <c r="I176" s="512"/>
      <c r="J176" s="512"/>
      <c r="K176" s="512"/>
      <c r="L176" s="512"/>
      <c r="M176" s="512"/>
      <c r="N176" s="512"/>
      <c r="O176" s="512"/>
      <c r="P176" s="512"/>
      <c r="Q176" s="512"/>
      <c r="R176" s="512"/>
      <c r="S176" s="512"/>
      <c r="T176" s="512"/>
      <c r="U176" s="512"/>
      <c r="V176" s="512"/>
      <c r="W176" s="512"/>
      <c r="X176" s="512"/>
    </row>
    <row r="177" spans="1:24">
      <c r="A177" s="274" t="s">
        <v>28</v>
      </c>
      <c r="B177" s="275"/>
      <c r="C177" s="275"/>
      <c r="D177" s="531"/>
      <c r="E177" s="531"/>
      <c r="F177" s="531"/>
      <c r="G177" s="531"/>
      <c r="H177" s="531"/>
      <c r="I177" s="531"/>
      <c r="J177" s="531"/>
      <c r="K177" s="531"/>
      <c r="L177" s="531"/>
      <c r="M177" s="531"/>
      <c r="N177" s="531"/>
      <c r="O177" s="531"/>
      <c r="P177" s="531"/>
      <c r="Q177" s="531"/>
      <c r="R177" s="531"/>
      <c r="S177" s="531"/>
      <c r="T177" s="531"/>
      <c r="U177" s="531"/>
      <c r="V177" s="531"/>
      <c r="W177" s="531"/>
      <c r="X177" s="531"/>
    </row>
    <row r="178" spans="1:24">
      <c r="A178" s="30"/>
      <c r="B178" s="30"/>
      <c r="C178" s="30"/>
      <c r="D178" s="502"/>
      <c r="E178" s="512"/>
      <c r="F178" s="512"/>
      <c r="G178" s="512"/>
      <c r="H178" s="512"/>
      <c r="I178" s="512"/>
      <c r="J178" s="512"/>
      <c r="K178" s="512"/>
      <c r="L178" s="512"/>
      <c r="M178" s="512"/>
      <c r="N178" s="512"/>
      <c r="O178" s="512"/>
      <c r="P178" s="512"/>
      <c r="Q178" s="512"/>
      <c r="R178" s="512"/>
      <c r="S178" s="512"/>
      <c r="T178" s="512"/>
      <c r="U178" s="512"/>
      <c r="V178" s="512"/>
      <c r="W178" s="512"/>
      <c r="X178" s="512"/>
    </row>
    <row r="179" spans="1:24">
      <c r="A179" s="30" t="s">
        <v>300</v>
      </c>
      <c r="B179" s="30"/>
      <c r="C179" s="87"/>
      <c r="D179" s="502">
        <v>0</v>
      </c>
      <c r="E179" s="512"/>
      <c r="F179" s="512"/>
      <c r="G179" s="512"/>
      <c r="H179" s="512"/>
      <c r="I179" s="512"/>
      <c r="J179" s="512"/>
      <c r="K179" s="512"/>
      <c r="L179" s="512"/>
      <c r="M179" s="512"/>
      <c r="N179" s="512"/>
      <c r="O179" s="512"/>
      <c r="P179" s="512"/>
      <c r="Q179" s="512"/>
      <c r="R179" s="512"/>
      <c r="S179" s="512"/>
      <c r="T179" s="512"/>
      <c r="U179" s="512"/>
      <c r="V179" s="512"/>
      <c r="W179" s="512"/>
      <c r="X179" s="512"/>
    </row>
    <row r="180" spans="1:24">
      <c r="A180" s="30" t="s">
        <v>301</v>
      </c>
      <c r="B180" s="30"/>
      <c r="C180" s="30"/>
      <c r="D180" s="502">
        <v>0</v>
      </c>
      <c r="E180" s="512"/>
      <c r="F180" s="512"/>
      <c r="G180" s="512"/>
      <c r="H180" s="512"/>
      <c r="I180" s="512"/>
      <c r="J180" s="512"/>
      <c r="K180" s="512"/>
      <c r="L180" s="512"/>
      <c r="M180" s="512"/>
      <c r="N180" s="512"/>
      <c r="O180" s="512"/>
      <c r="P180" s="512"/>
      <c r="Q180" s="512"/>
      <c r="R180" s="512"/>
      <c r="S180" s="512"/>
      <c r="T180" s="512"/>
      <c r="U180" s="512"/>
      <c r="V180" s="512"/>
      <c r="W180" s="512"/>
      <c r="X180" s="512"/>
    </row>
    <row r="181" spans="1:24">
      <c r="A181" s="30"/>
      <c r="B181" s="30"/>
      <c r="C181" s="30"/>
      <c r="D181" s="502"/>
      <c r="E181" s="512"/>
      <c r="F181" s="512"/>
      <c r="G181" s="512"/>
      <c r="H181" s="512"/>
      <c r="I181" s="512"/>
      <c r="J181" s="512"/>
      <c r="K181" s="512"/>
      <c r="L181" s="512"/>
      <c r="M181" s="512"/>
      <c r="N181" s="512"/>
      <c r="O181" s="512"/>
      <c r="P181" s="512"/>
      <c r="Q181" s="512"/>
      <c r="R181" s="512"/>
      <c r="S181" s="512"/>
      <c r="T181" s="512"/>
      <c r="U181" s="512"/>
      <c r="V181" s="512"/>
      <c r="W181" s="512"/>
      <c r="X181" s="512"/>
    </row>
    <row r="182" spans="1:24">
      <c r="A182" s="30" t="s">
        <v>298</v>
      </c>
      <c r="B182" s="30"/>
      <c r="C182" s="30"/>
      <c r="D182" s="502">
        <v>0</v>
      </c>
      <c r="E182" s="512"/>
      <c r="F182" s="512"/>
      <c r="G182" s="512"/>
      <c r="H182" s="512"/>
      <c r="I182" s="512"/>
      <c r="J182" s="512"/>
      <c r="K182" s="512"/>
      <c r="L182" s="512"/>
      <c r="M182" s="512"/>
      <c r="N182" s="512"/>
      <c r="O182" s="512"/>
      <c r="P182" s="512"/>
      <c r="Q182" s="512"/>
      <c r="R182" s="512"/>
      <c r="S182" s="512"/>
      <c r="T182" s="512"/>
      <c r="U182" s="512"/>
      <c r="V182" s="512"/>
      <c r="W182" s="512"/>
      <c r="X182" s="512"/>
    </row>
    <row r="183" spans="1:24">
      <c r="A183" s="30" t="s">
        <v>299</v>
      </c>
      <c r="B183" s="30"/>
      <c r="C183" s="30"/>
      <c r="D183" s="502">
        <v>0</v>
      </c>
      <c r="E183" s="512"/>
      <c r="F183" s="512"/>
      <c r="G183" s="512"/>
      <c r="H183" s="512"/>
      <c r="I183" s="512"/>
      <c r="J183" s="512"/>
      <c r="K183" s="512"/>
      <c r="L183" s="512"/>
      <c r="M183" s="512"/>
      <c r="N183" s="512"/>
      <c r="O183" s="512"/>
      <c r="P183" s="512"/>
      <c r="Q183" s="512"/>
      <c r="R183" s="512"/>
      <c r="S183" s="512"/>
      <c r="T183" s="512"/>
      <c r="U183" s="512"/>
      <c r="V183" s="512"/>
      <c r="W183" s="512"/>
      <c r="X183" s="512"/>
    </row>
    <row r="184" spans="1:24">
      <c r="D184" s="502"/>
      <c r="E184" s="532"/>
      <c r="F184" s="532"/>
      <c r="G184" s="532"/>
      <c r="H184" s="532"/>
      <c r="I184" s="532"/>
      <c r="J184" s="532"/>
      <c r="K184" s="532"/>
      <c r="L184" s="532"/>
      <c r="M184" s="532"/>
      <c r="N184" s="532"/>
      <c r="O184" s="532"/>
      <c r="P184" s="532"/>
      <c r="Q184" s="532"/>
      <c r="R184" s="532"/>
      <c r="S184" s="532"/>
      <c r="T184" s="532"/>
      <c r="U184" s="532"/>
      <c r="V184" s="532"/>
      <c r="W184" s="532"/>
      <c r="X184" s="532"/>
    </row>
    <row r="185" spans="1:24">
      <c r="A185" s="131"/>
      <c r="B185" s="131"/>
      <c r="C185" s="131"/>
      <c r="D185" s="493"/>
      <c r="E185" s="334"/>
      <c r="F185" s="334"/>
      <c r="G185" s="334"/>
      <c r="H185" s="334"/>
      <c r="I185" s="334"/>
      <c r="J185" s="334"/>
      <c r="K185" s="334"/>
      <c r="L185" s="334"/>
      <c r="M185" s="334"/>
      <c r="N185" s="334"/>
      <c r="O185" s="334"/>
      <c r="P185" s="334"/>
      <c r="Q185" s="334"/>
      <c r="R185" s="334"/>
      <c r="S185" s="334"/>
      <c r="T185" s="334"/>
      <c r="U185" s="334"/>
      <c r="V185" s="334"/>
      <c r="W185" s="334"/>
      <c r="X185" s="334"/>
    </row>
    <row r="186" spans="1:24">
      <c r="D186" s="494"/>
      <c r="E186" s="327"/>
      <c r="F186" s="327"/>
      <c r="G186" s="327"/>
      <c r="H186" s="327"/>
      <c r="I186" s="327"/>
      <c r="J186" s="327"/>
      <c r="K186" s="327"/>
      <c r="L186" s="327"/>
      <c r="M186" s="327"/>
      <c r="N186" s="327"/>
      <c r="O186" s="327"/>
      <c r="P186" s="327"/>
      <c r="Q186" s="327"/>
      <c r="R186" s="327"/>
      <c r="S186" s="327"/>
      <c r="T186" s="327"/>
      <c r="U186" s="327"/>
      <c r="V186" s="327"/>
      <c r="W186" s="327"/>
      <c r="X186" s="327"/>
    </row>
    <row r="187" spans="1:24">
      <c r="A187"/>
      <c r="D187" s="494"/>
      <c r="E187" s="327"/>
      <c r="F187" s="327"/>
      <c r="G187" s="327"/>
      <c r="H187" s="327"/>
      <c r="I187" s="327"/>
      <c r="J187" s="327"/>
      <c r="K187" s="327"/>
      <c r="L187" s="327"/>
      <c r="M187" s="327"/>
      <c r="N187" s="327"/>
      <c r="O187" s="327"/>
      <c r="P187" s="327"/>
      <c r="Q187" s="327"/>
      <c r="R187" s="327"/>
      <c r="S187" s="327"/>
      <c r="T187" s="327"/>
      <c r="U187" s="327"/>
      <c r="V187" s="327"/>
      <c r="W187" s="327"/>
      <c r="X187" s="327"/>
    </row>
    <row r="188" spans="1:24">
      <c r="A188"/>
      <c r="D188" s="494"/>
      <c r="E188" s="327"/>
      <c r="F188" s="327"/>
      <c r="G188" s="327"/>
      <c r="H188" s="327"/>
      <c r="I188" s="327"/>
      <c r="J188" s="327"/>
      <c r="K188" s="327"/>
      <c r="L188" s="327"/>
      <c r="M188" s="327"/>
      <c r="N188" s="327"/>
      <c r="O188" s="327"/>
      <c r="P188" s="327"/>
      <c r="Q188" s="327"/>
      <c r="R188" s="327"/>
      <c r="S188" s="327"/>
      <c r="T188" s="327"/>
      <c r="U188" s="327"/>
      <c r="V188" s="327"/>
      <c r="W188" s="327"/>
      <c r="X188" s="327"/>
    </row>
    <row r="189" spans="1:24">
      <c r="D189" s="494"/>
      <c r="E189" s="327"/>
      <c r="F189" s="327"/>
      <c r="G189" s="327"/>
      <c r="H189" s="362"/>
      <c r="I189" s="327"/>
      <c r="J189" s="327"/>
      <c r="K189" s="327"/>
      <c r="L189" s="327"/>
      <c r="M189" s="327"/>
      <c r="N189" s="327"/>
      <c r="O189" s="327"/>
      <c r="P189" s="327"/>
      <c r="Q189" s="327"/>
      <c r="R189" s="327"/>
      <c r="S189" s="327"/>
      <c r="T189" s="327"/>
      <c r="U189" s="327"/>
      <c r="V189" s="327"/>
      <c r="W189" s="327"/>
      <c r="X189" s="327"/>
    </row>
    <row r="190" spans="1:24">
      <c r="D190" s="326"/>
      <c r="E190" s="327"/>
      <c r="F190" s="327"/>
      <c r="G190" s="327"/>
      <c r="H190" s="359"/>
      <c r="I190" s="327"/>
      <c r="J190" s="327"/>
      <c r="K190" s="327"/>
      <c r="L190" s="327"/>
      <c r="M190" s="327"/>
      <c r="N190" s="327"/>
      <c r="O190" s="327"/>
      <c r="P190" s="327"/>
      <c r="Q190" s="327"/>
      <c r="R190" s="327"/>
      <c r="S190" s="327"/>
      <c r="T190" s="327"/>
      <c r="U190" s="327"/>
      <c r="V190" s="327"/>
      <c r="W190" s="327"/>
      <c r="X190" s="327"/>
    </row>
    <row r="191" spans="1:24">
      <c r="H191" s="305"/>
    </row>
    <row r="192" spans="1:24">
      <c r="H192" s="30"/>
    </row>
    <row r="193" spans="8:8">
      <c r="H193" s="87"/>
    </row>
    <row r="195" spans="8:8">
      <c r="H195" s="360"/>
    </row>
    <row r="196" spans="8:8">
      <c r="H196" s="361"/>
    </row>
  </sheetData>
  <pageMargins left="0.7" right="0.7" top="0.75" bottom="0.75" header="0.3" footer="0.3"/>
  <pageSetup paperSize="9" scale="20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3CC"/>
  </sheetPr>
  <dimension ref="A1:AO194"/>
  <sheetViews>
    <sheetView topLeftCell="A58" zoomScale="63" zoomScaleNormal="55" workbookViewId="0">
      <selection activeCell="U79" sqref="U79"/>
    </sheetView>
  </sheetViews>
  <sheetFormatPr defaultColWidth="9" defaultRowHeight="16.5"/>
  <cols>
    <col min="1" max="1" width="91.375" style="4" bestFit="1" customWidth="1"/>
    <col min="2" max="2" width="10" style="18" bestFit="1" customWidth="1"/>
    <col min="3" max="5" width="9.625" style="18" bestFit="1" customWidth="1"/>
    <col min="6" max="6" width="10.875" style="18" bestFit="1" customWidth="1"/>
    <col min="7" max="8" width="10" style="18" bestFit="1" customWidth="1"/>
    <col min="9" max="9" width="10.875" style="18" bestFit="1" customWidth="1"/>
    <col min="10" max="11" width="10.5" style="18" bestFit="1" customWidth="1"/>
    <col min="12" max="17" width="10.875" style="127" bestFit="1" customWidth="1"/>
    <col min="18" max="18" width="10.5" style="127" bestFit="1" customWidth="1"/>
    <col min="19" max="19" width="11.25" style="139" bestFit="1" customWidth="1"/>
    <col min="20" max="20" width="11.25" style="4" bestFit="1" customWidth="1"/>
    <col min="21" max="21" width="10.875" style="4" bestFit="1" customWidth="1"/>
    <col min="22" max="24" width="11.25" style="4" bestFit="1" customWidth="1"/>
    <col min="25" max="25" width="10.875" style="4" bestFit="1" customWidth="1"/>
    <col min="26" max="31" width="11.25" style="4" bestFit="1" customWidth="1"/>
    <col min="32" max="33" width="10.875" style="4" bestFit="1" customWidth="1"/>
    <col min="34" max="39" width="11.25" style="4" bestFit="1" customWidth="1"/>
    <col min="40" max="40" width="10.875" style="4" bestFit="1" customWidth="1"/>
    <col min="41" max="41" width="9.125" style="4" bestFit="1" customWidth="1"/>
    <col min="42" max="16384" width="9" style="4"/>
  </cols>
  <sheetData>
    <row r="1" spans="1:41" ht="18.75" thickBot="1">
      <c r="A1" s="11" t="str">
        <f>Intro!A1</f>
        <v>Town of Bar Harbor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118"/>
      <c r="M1" s="118"/>
      <c r="N1" s="118"/>
      <c r="O1" s="118"/>
      <c r="P1" s="118"/>
      <c r="Q1" s="118"/>
      <c r="R1" s="118"/>
      <c r="S1" s="137"/>
      <c r="T1" s="3"/>
      <c r="U1" s="3"/>
      <c r="V1" s="3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</row>
    <row r="2" spans="1:41" s="18" customFormat="1" ht="17.25" thickBot="1">
      <c r="A2" s="380" t="str">
        <f>Intro!A2</f>
        <v>Ferry Property Business Plan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18"/>
      <c r="M2" s="118"/>
      <c r="N2" s="118"/>
      <c r="O2" s="118"/>
      <c r="P2" s="118"/>
      <c r="Q2" s="118"/>
      <c r="R2" s="118"/>
      <c r="S2" s="137"/>
      <c r="T2" s="14"/>
      <c r="U2" s="14"/>
      <c r="V2" s="14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</row>
    <row r="3" spans="1:41" s="381" customFormat="1" ht="14.25" thickBot="1">
      <c r="A3" s="384" t="str">
        <f>Intro!A3</f>
        <v>05.23.2018</v>
      </c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95"/>
      <c r="M3" s="395"/>
      <c r="N3" s="395"/>
      <c r="O3" s="395"/>
      <c r="P3" s="395"/>
      <c r="Q3" s="395"/>
      <c r="R3" s="395"/>
      <c r="S3" s="397"/>
      <c r="T3" s="385"/>
      <c r="U3" s="385"/>
      <c r="V3" s="385"/>
      <c r="W3" s="396"/>
      <c r="X3" s="396"/>
      <c r="Y3" s="396"/>
      <c r="Z3" s="396"/>
      <c r="AA3" s="396"/>
      <c r="AB3" s="396"/>
      <c r="AC3" s="396"/>
      <c r="AD3" s="396"/>
      <c r="AE3" s="396"/>
      <c r="AF3" s="396"/>
      <c r="AG3" s="396"/>
      <c r="AH3" s="396"/>
      <c r="AI3" s="396"/>
      <c r="AJ3" s="396"/>
      <c r="AK3" s="396"/>
      <c r="AL3" s="396"/>
      <c r="AM3" s="396"/>
      <c r="AN3" s="396"/>
    </row>
    <row r="4" spans="1:41" s="381" customFormat="1" ht="13.5">
      <c r="A4" s="384" t="str">
        <f ca="1">Intro!A4</f>
        <v>Town of Bar Harbor</v>
      </c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95"/>
      <c r="M4" s="395"/>
      <c r="N4" s="395"/>
      <c r="O4" s="395"/>
      <c r="P4" s="395"/>
      <c r="Q4" s="395"/>
      <c r="R4" s="395"/>
      <c r="S4" s="397"/>
      <c r="T4" s="385"/>
      <c r="U4" s="385"/>
      <c r="V4" s="385"/>
      <c r="W4" s="385"/>
      <c r="X4" s="385"/>
      <c r="Y4" s="385"/>
      <c r="Z4" s="385"/>
      <c r="AA4" s="385"/>
      <c r="AB4" s="385"/>
      <c r="AC4" s="385"/>
      <c r="AD4" s="385"/>
      <c r="AE4" s="385"/>
      <c r="AF4" s="385"/>
      <c r="AG4" s="385"/>
      <c r="AH4" s="385"/>
      <c r="AI4" s="385"/>
      <c r="AJ4" s="385"/>
      <c r="AK4" s="385"/>
      <c r="AL4" s="385"/>
      <c r="AM4" s="385"/>
      <c r="AN4" s="385"/>
    </row>
    <row r="5" spans="1:41">
      <c r="A5" s="1208" t="s">
        <v>179</v>
      </c>
      <c r="B5" s="1208"/>
      <c r="C5" s="1208"/>
      <c r="D5" s="1208"/>
      <c r="E5" s="1208"/>
      <c r="F5" s="1208"/>
      <c r="G5" s="1208"/>
      <c r="H5" s="1208"/>
      <c r="I5" s="1208"/>
      <c r="J5" s="1208"/>
      <c r="K5" s="1208"/>
      <c r="L5" s="1208"/>
      <c r="M5" s="1208"/>
      <c r="N5" s="1208"/>
      <c r="O5" s="1208"/>
      <c r="P5" s="1208"/>
      <c r="Q5" s="1208"/>
      <c r="R5" s="1208"/>
      <c r="S5" s="1208"/>
      <c r="T5" s="1208"/>
      <c r="U5" s="1208"/>
      <c r="V5" s="1208"/>
      <c r="W5" s="144"/>
      <c r="X5" s="144"/>
      <c r="Y5" s="144"/>
      <c r="Z5" s="144"/>
      <c r="AA5" s="144"/>
      <c r="AB5" s="144"/>
      <c r="AC5" s="144"/>
      <c r="AD5" s="144"/>
      <c r="AE5" s="144"/>
      <c r="AF5" s="144"/>
      <c r="AG5" s="144"/>
      <c r="AH5" s="144"/>
      <c r="AI5" s="144"/>
      <c r="AJ5" s="144"/>
      <c r="AK5" s="144"/>
      <c r="AL5" s="144"/>
      <c r="AM5" s="144"/>
      <c r="AN5" s="144"/>
    </row>
    <row r="6" spans="1:41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119"/>
      <c r="M6" s="119"/>
      <c r="N6" s="119"/>
      <c r="O6" s="119"/>
      <c r="P6" s="119"/>
      <c r="Q6" s="120"/>
      <c r="R6" s="120"/>
      <c r="S6" s="138"/>
      <c r="T6" s="425"/>
      <c r="U6" s="7"/>
      <c r="V6" s="7"/>
      <c r="AG6" s="18"/>
      <c r="AH6" s="18"/>
      <c r="AI6" s="18"/>
      <c r="AJ6" s="18"/>
      <c r="AK6" s="18"/>
      <c r="AL6" s="18"/>
      <c r="AM6" s="18"/>
      <c r="AN6" s="18"/>
    </row>
    <row r="7" spans="1:41">
      <c r="A7" s="8"/>
      <c r="B7" s="9">
        <v>2000</v>
      </c>
      <c r="C7" s="9">
        <v>2001</v>
      </c>
      <c r="D7" s="9">
        <v>2002</v>
      </c>
      <c r="E7" s="9">
        <v>2003</v>
      </c>
      <c r="F7" s="9">
        <v>2004</v>
      </c>
      <c r="G7" s="9">
        <v>2005</v>
      </c>
      <c r="H7" s="9">
        <v>2006</v>
      </c>
      <c r="I7" s="9">
        <v>2007</v>
      </c>
      <c r="J7" s="9">
        <v>2008</v>
      </c>
      <c r="K7" s="9">
        <v>2009</v>
      </c>
      <c r="L7" s="133">
        <v>2010</v>
      </c>
      <c r="M7" s="133">
        <v>2011</v>
      </c>
      <c r="N7" s="133">
        <v>2012</v>
      </c>
      <c r="O7" s="133">
        <v>2013</v>
      </c>
      <c r="P7" s="133">
        <v>2014</v>
      </c>
      <c r="Q7" s="133">
        <v>2015</v>
      </c>
      <c r="R7" s="133">
        <v>2016</v>
      </c>
      <c r="S7" s="133">
        <v>2017</v>
      </c>
      <c r="T7" s="444">
        <v>2018</v>
      </c>
      <c r="U7" s="86">
        <v>2019</v>
      </c>
      <c r="V7" s="86">
        <v>2020</v>
      </c>
      <c r="W7" s="86">
        <v>2021</v>
      </c>
      <c r="X7" s="86">
        <v>2022</v>
      </c>
      <c r="Y7" s="86">
        <v>2023</v>
      </c>
      <c r="Z7" s="86">
        <v>2024</v>
      </c>
      <c r="AA7" s="86">
        <v>2025</v>
      </c>
      <c r="AB7" s="86">
        <v>2026</v>
      </c>
      <c r="AC7" s="86">
        <v>2027</v>
      </c>
      <c r="AD7" s="86">
        <v>2028</v>
      </c>
      <c r="AE7" s="86">
        <v>2029</v>
      </c>
      <c r="AF7" s="86">
        <v>2030</v>
      </c>
      <c r="AG7" s="86">
        <v>2031</v>
      </c>
      <c r="AH7" s="86">
        <v>2032</v>
      </c>
      <c r="AI7" s="86">
        <v>2033</v>
      </c>
      <c r="AJ7" s="9">
        <f t="shared" ref="AJ7:AN7" si="0">AI7+1</f>
        <v>2034</v>
      </c>
      <c r="AK7" s="9">
        <f t="shared" si="0"/>
        <v>2035</v>
      </c>
      <c r="AL7" s="9">
        <f t="shared" si="0"/>
        <v>2036</v>
      </c>
      <c r="AM7" s="9">
        <f t="shared" si="0"/>
        <v>2037</v>
      </c>
      <c r="AN7" s="9">
        <f t="shared" si="0"/>
        <v>2038</v>
      </c>
    </row>
    <row r="8" spans="1:4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21"/>
      <c r="M8" s="121"/>
      <c r="N8" s="121"/>
      <c r="O8" s="121"/>
      <c r="P8" s="121"/>
      <c r="Q8" s="120"/>
      <c r="R8" s="120"/>
      <c r="S8" s="142"/>
      <c r="T8" s="425"/>
      <c r="U8" s="7"/>
      <c r="V8" s="438">
        <v>1.0049999999999999</v>
      </c>
      <c r="W8" s="439">
        <v>1.01</v>
      </c>
      <c r="X8" s="439">
        <v>1.0149999999999999</v>
      </c>
      <c r="Y8" s="438">
        <v>1.02</v>
      </c>
      <c r="Z8" s="439">
        <v>1.0249999999999999</v>
      </c>
      <c r="AA8" s="439">
        <v>1.03</v>
      </c>
      <c r="AB8" s="438">
        <v>1.0349999999999999</v>
      </c>
      <c r="AC8" s="439">
        <v>1.04</v>
      </c>
      <c r="AD8" s="439">
        <v>1.0449999999999999</v>
      </c>
      <c r="AE8" s="438">
        <v>1.05</v>
      </c>
      <c r="AF8" s="439">
        <v>1.0549999999999999</v>
      </c>
      <c r="AG8" s="439">
        <v>1.06</v>
      </c>
      <c r="AH8" s="438">
        <v>1.0649999999999999</v>
      </c>
      <c r="AI8" s="439">
        <v>1.07</v>
      </c>
      <c r="AJ8" s="439">
        <v>1.075</v>
      </c>
      <c r="AK8" s="438">
        <v>1.08</v>
      </c>
      <c r="AL8" s="439">
        <v>1.085</v>
      </c>
      <c r="AM8" s="439">
        <v>1.0900000000000001</v>
      </c>
      <c r="AN8" s="438">
        <v>1.095</v>
      </c>
    </row>
    <row r="9" spans="1:41">
      <c r="A9" s="145" t="s">
        <v>177</v>
      </c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6"/>
      <c r="M9" s="146"/>
      <c r="N9" s="146"/>
      <c r="O9" s="146"/>
      <c r="P9" s="146"/>
      <c r="Q9" s="146"/>
      <c r="R9" s="146"/>
      <c r="S9" s="147"/>
      <c r="T9" s="148"/>
      <c r="U9" s="148"/>
      <c r="V9" s="148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</row>
    <row r="10" spans="1:41" s="32" customFormat="1">
      <c r="A10" s="345"/>
      <c r="B10" s="345"/>
      <c r="C10" s="345"/>
      <c r="D10" s="345"/>
      <c r="E10" s="345"/>
      <c r="F10" s="345"/>
      <c r="G10" s="345"/>
      <c r="H10" s="345"/>
      <c r="I10" s="345"/>
      <c r="J10" s="345"/>
      <c r="K10" s="345"/>
      <c r="L10" s="346"/>
      <c r="M10" s="346"/>
      <c r="N10" s="346"/>
      <c r="O10" s="346"/>
      <c r="P10" s="346"/>
      <c r="Q10" s="346"/>
      <c r="R10" s="346"/>
      <c r="S10" s="347"/>
      <c r="T10" s="425"/>
      <c r="U10" s="348"/>
      <c r="V10" s="423">
        <v>4.4999999999999998E-2</v>
      </c>
      <c r="AC10" s="424">
        <v>0.03</v>
      </c>
    </row>
    <row r="11" spans="1:41" s="32" customFormat="1">
      <c r="A11" s="345" t="s">
        <v>182</v>
      </c>
      <c r="B11" s="431">
        <f t="shared" ref="B11:T11" si="1">B38</f>
        <v>34750</v>
      </c>
      <c r="C11" s="431">
        <f t="shared" si="1"/>
        <v>65175</v>
      </c>
      <c r="D11" s="431">
        <f t="shared" si="1"/>
        <v>97190</v>
      </c>
      <c r="E11" s="431">
        <f t="shared" si="1"/>
        <v>97150</v>
      </c>
      <c r="F11" s="431">
        <f t="shared" si="1"/>
        <v>104750</v>
      </c>
      <c r="G11" s="431">
        <f t="shared" si="1"/>
        <v>97579</v>
      </c>
      <c r="H11" s="431">
        <f t="shared" si="1"/>
        <v>98000</v>
      </c>
      <c r="I11" s="431">
        <f t="shared" si="1"/>
        <v>109836</v>
      </c>
      <c r="J11" s="431">
        <f t="shared" si="1"/>
        <v>134172</v>
      </c>
      <c r="K11" s="431">
        <f t="shared" si="1"/>
        <v>141570</v>
      </c>
      <c r="L11" s="431">
        <f t="shared" si="1"/>
        <v>173656</v>
      </c>
      <c r="M11" s="431">
        <f t="shared" si="1"/>
        <v>156309</v>
      </c>
      <c r="N11" s="431">
        <f t="shared" si="1"/>
        <v>130203</v>
      </c>
      <c r="O11" s="431">
        <f t="shared" si="1"/>
        <v>167573</v>
      </c>
      <c r="P11" s="431">
        <f t="shared" si="1"/>
        <v>158602</v>
      </c>
      <c r="Q11" s="431">
        <f t="shared" si="1"/>
        <v>158842</v>
      </c>
      <c r="R11" s="431">
        <f t="shared" si="1"/>
        <v>161527</v>
      </c>
      <c r="S11" s="431">
        <f t="shared" si="1"/>
        <v>223758</v>
      </c>
      <c r="T11" s="426">
        <f t="shared" si="1"/>
        <v>234700</v>
      </c>
      <c r="U11" s="420">
        <f>'[2]Historical Summary'!$C$2</f>
        <v>261573</v>
      </c>
      <c r="V11" s="430">
        <f>U11*(1+$V$10)</f>
        <v>273343.78499999997</v>
      </c>
      <c r="W11" s="430">
        <f t="shared" ref="W11:AB11" si="2">V11*(1+$V$10)</f>
        <v>285644.25532499998</v>
      </c>
      <c r="X11" s="430">
        <f t="shared" si="2"/>
        <v>298498.24681462493</v>
      </c>
      <c r="Y11" s="430">
        <f t="shared" si="2"/>
        <v>311930.66792128305</v>
      </c>
      <c r="Z11" s="430">
        <f t="shared" si="2"/>
        <v>325967.54797774076</v>
      </c>
      <c r="AA11" s="430">
        <f t="shared" si="2"/>
        <v>340636.08763673907</v>
      </c>
      <c r="AB11" s="430">
        <f t="shared" si="2"/>
        <v>355964.71158039232</v>
      </c>
      <c r="AC11" s="430">
        <f>AB11*(1+$AC$10)</f>
        <v>366643.6529278041</v>
      </c>
      <c r="AD11" s="430">
        <f t="shared" ref="AD11:AN11" si="3">AC11*(1+$AC$10)</f>
        <v>377642.96251563821</v>
      </c>
      <c r="AE11" s="430">
        <f t="shared" si="3"/>
        <v>388972.25139110739</v>
      </c>
      <c r="AF11" s="430">
        <f t="shared" si="3"/>
        <v>400641.41893284064</v>
      </c>
      <c r="AG11" s="430">
        <f t="shared" si="3"/>
        <v>412660.66150082584</v>
      </c>
      <c r="AH11" s="430">
        <f t="shared" si="3"/>
        <v>425040.48134585063</v>
      </c>
      <c r="AI11" s="430">
        <f t="shared" si="3"/>
        <v>437791.69578622613</v>
      </c>
      <c r="AJ11" s="430">
        <f t="shared" si="3"/>
        <v>450925.44665981294</v>
      </c>
      <c r="AK11" s="430">
        <f t="shared" si="3"/>
        <v>464453.21005960734</v>
      </c>
      <c r="AL11" s="430">
        <f t="shared" si="3"/>
        <v>478386.80636139557</v>
      </c>
      <c r="AM11" s="430">
        <f t="shared" si="3"/>
        <v>492738.41055223747</v>
      </c>
      <c r="AN11" s="430">
        <f t="shared" si="3"/>
        <v>507520.56286880461</v>
      </c>
    </row>
    <row r="12" spans="1:41" s="18" customFormat="1">
      <c r="A12" s="83" t="s">
        <v>183</v>
      </c>
      <c r="B12" s="135">
        <f t="shared" ref="B12:T12" si="4">B39</f>
        <v>36</v>
      </c>
      <c r="C12" s="135">
        <f t="shared" si="4"/>
        <v>54</v>
      </c>
      <c r="D12" s="135">
        <f t="shared" si="4"/>
        <v>64</v>
      </c>
      <c r="E12" s="135">
        <f t="shared" si="4"/>
        <v>78</v>
      </c>
      <c r="F12" s="135">
        <f t="shared" si="4"/>
        <v>87</v>
      </c>
      <c r="G12" s="135">
        <f t="shared" si="4"/>
        <v>76</v>
      </c>
      <c r="H12" s="135">
        <f t="shared" si="4"/>
        <v>73</v>
      </c>
      <c r="I12" s="135">
        <f t="shared" si="4"/>
        <v>91</v>
      </c>
      <c r="J12" s="135">
        <f t="shared" si="4"/>
        <v>107</v>
      </c>
      <c r="K12" s="135">
        <f t="shared" si="4"/>
        <v>92</v>
      </c>
      <c r="L12" s="135">
        <f t="shared" si="4"/>
        <v>107</v>
      </c>
      <c r="M12" s="135">
        <f t="shared" si="4"/>
        <v>106</v>
      </c>
      <c r="N12" s="135">
        <f t="shared" si="4"/>
        <v>108</v>
      </c>
      <c r="O12" s="135">
        <f t="shared" si="4"/>
        <v>126</v>
      </c>
      <c r="P12" s="135">
        <f t="shared" si="4"/>
        <v>119</v>
      </c>
      <c r="Q12" s="135">
        <f t="shared" si="4"/>
        <v>140</v>
      </c>
      <c r="R12" s="135">
        <f t="shared" si="4"/>
        <v>116</v>
      </c>
      <c r="S12" s="135">
        <f t="shared" si="4"/>
        <v>164</v>
      </c>
      <c r="T12" s="436">
        <f t="shared" si="4"/>
        <v>180</v>
      </c>
      <c r="U12" s="435">
        <v>172</v>
      </c>
      <c r="V12" s="435">
        <f t="shared" ref="V12:AN12" si="5">V11/V13</f>
        <v>185.53536452824216</v>
      </c>
      <c r="W12" s="435">
        <f t="shared" si="5"/>
        <v>197.33744447990003</v>
      </c>
      <c r="X12" s="435">
        <f t="shared" si="5"/>
        <v>207.30450763487767</v>
      </c>
      <c r="Y12" s="435">
        <f t="shared" si="5"/>
        <v>214.11365542363376</v>
      </c>
      <c r="Z12" s="435">
        <f t="shared" si="5"/>
        <v>221.32040944913612</v>
      </c>
      <c r="AA12" s="435">
        <f t="shared" si="5"/>
        <v>229.24031860406944</v>
      </c>
      <c r="AB12" s="435">
        <f t="shared" si="5"/>
        <v>237.08197614266663</v>
      </c>
      <c r="AC12" s="435">
        <f t="shared" si="5"/>
        <v>240.95794724231504</v>
      </c>
      <c r="AD12" s="435">
        <f t="shared" si="5"/>
        <v>245.66840412574359</v>
      </c>
      <c r="AE12" s="435">
        <f t="shared" si="5"/>
        <v>250.57802286769612</v>
      </c>
      <c r="AF12" s="435">
        <f t="shared" si="5"/>
        <v>253.09458560767831</v>
      </c>
      <c r="AG12" s="435">
        <f t="shared" si="5"/>
        <v>253.19617293407603</v>
      </c>
      <c r="AH12" s="435">
        <f t="shared" si="5"/>
        <v>252.72760431213803</v>
      </c>
      <c r="AI12" s="435">
        <f t="shared" si="5"/>
        <v>253.75988855313392</v>
      </c>
      <c r="AJ12" s="435">
        <f t="shared" si="5"/>
        <v>254.46587585617087</v>
      </c>
      <c r="AK12" s="435">
        <f t="shared" si="5"/>
        <v>254.82115122938887</v>
      </c>
      <c r="AL12" s="435">
        <f t="shared" si="5"/>
        <v>256.41290214682209</v>
      </c>
      <c r="AM12" s="435">
        <f t="shared" si="5"/>
        <v>256.81758211021253</v>
      </c>
      <c r="AN12" s="435">
        <f t="shared" si="5"/>
        <v>256.69288540099944</v>
      </c>
      <c r="AO12" s="342"/>
    </row>
    <row r="13" spans="1:41" s="18" customFormat="1">
      <c r="A13" s="82" t="s">
        <v>194</v>
      </c>
      <c r="B13" s="135">
        <f t="shared" ref="B13:U13" si="6">B11/B12</f>
        <v>965.27777777777783</v>
      </c>
      <c r="C13" s="135">
        <f t="shared" si="6"/>
        <v>1206.9444444444443</v>
      </c>
      <c r="D13" s="135">
        <f t="shared" si="6"/>
        <v>1518.59375</v>
      </c>
      <c r="E13" s="135">
        <f t="shared" si="6"/>
        <v>1245.5128205128206</v>
      </c>
      <c r="F13" s="135">
        <f t="shared" si="6"/>
        <v>1204.0229885057472</v>
      </c>
      <c r="G13" s="135">
        <f t="shared" si="6"/>
        <v>1283.9342105263158</v>
      </c>
      <c r="H13" s="135">
        <f t="shared" si="6"/>
        <v>1342.4657534246576</v>
      </c>
      <c r="I13" s="135">
        <f t="shared" si="6"/>
        <v>1206.9890109890109</v>
      </c>
      <c r="J13" s="135">
        <f t="shared" si="6"/>
        <v>1253.9439252336449</v>
      </c>
      <c r="K13" s="135">
        <f t="shared" si="6"/>
        <v>1538.804347826087</v>
      </c>
      <c r="L13" s="135">
        <f t="shared" si="6"/>
        <v>1622.9532710280373</v>
      </c>
      <c r="M13" s="135">
        <f t="shared" si="6"/>
        <v>1474.6132075471698</v>
      </c>
      <c r="N13" s="135">
        <f t="shared" si="6"/>
        <v>1205.5833333333333</v>
      </c>
      <c r="O13" s="135">
        <f t="shared" si="6"/>
        <v>1329.9444444444443</v>
      </c>
      <c r="P13" s="135">
        <f t="shared" si="6"/>
        <v>1332.7899159663866</v>
      </c>
      <c r="Q13" s="135">
        <f t="shared" si="6"/>
        <v>1134.5857142857142</v>
      </c>
      <c r="R13" s="135">
        <f t="shared" si="6"/>
        <v>1392.4741379310344</v>
      </c>
      <c r="S13" s="135">
        <f t="shared" si="6"/>
        <v>1364.3780487804879</v>
      </c>
      <c r="T13" s="436">
        <f t="shared" si="6"/>
        <v>1303.8888888888889</v>
      </c>
      <c r="U13" s="437">
        <f t="shared" si="6"/>
        <v>1520.7732558139535</v>
      </c>
      <c r="V13" s="437">
        <f>(TREND(B13:U13, B$7:U$7, V$7:AN$7)+(U13*V8))/2</f>
        <v>1473.2705309040512</v>
      </c>
      <c r="W13" s="437">
        <f t="shared" ref="W13:AN13" si="7">(TREND(C13:V13, C7:V7, W7:AO7)+(V13*W8))/2</f>
        <v>1447.4914078158872</v>
      </c>
      <c r="X13" s="437">
        <f t="shared" si="7"/>
        <v>1439.902345685437</v>
      </c>
      <c r="Y13" s="437">
        <f t="shared" si="7"/>
        <v>1456.8462123731147</v>
      </c>
      <c r="Z13" s="437">
        <f t="shared" si="7"/>
        <v>1472.8309458177405</v>
      </c>
      <c r="AA13" s="437">
        <f t="shared" si="7"/>
        <v>1485.9344538997345</v>
      </c>
      <c r="AB13" s="437">
        <f t="shared" si="7"/>
        <v>1501.4414734175605</v>
      </c>
      <c r="AC13" s="437">
        <f t="shared" si="7"/>
        <v>1521.6084678837983</v>
      </c>
      <c r="AD13" s="437">
        <f t="shared" si="7"/>
        <v>1537.2060719796282</v>
      </c>
      <c r="AE13" s="437">
        <f t="shared" si="7"/>
        <v>1552.2999460989549</v>
      </c>
      <c r="AF13" s="437">
        <f t="shared" si="7"/>
        <v>1582.971117184919</v>
      </c>
      <c r="AG13" s="437">
        <f t="shared" si="7"/>
        <v>1629.8060777098283</v>
      </c>
      <c r="AH13" s="437">
        <f t="shared" si="7"/>
        <v>1681.8126476635016</v>
      </c>
      <c r="AI13" s="437">
        <f t="shared" si="7"/>
        <v>1725.2202398195743</v>
      </c>
      <c r="AJ13" s="437">
        <f t="shared" si="7"/>
        <v>1772.0468221628462</v>
      </c>
      <c r="AK13" s="437">
        <f t="shared" si="7"/>
        <v>1822.6634948427363</v>
      </c>
      <c r="AL13" s="437">
        <f t="shared" si="7"/>
        <v>1865.6892939321408</v>
      </c>
      <c r="AM13" s="437">
        <f t="shared" si="7"/>
        <v>1918.6319196042436</v>
      </c>
      <c r="AN13" s="437">
        <f t="shared" si="7"/>
        <v>1977.150874579045</v>
      </c>
    </row>
    <row r="14" spans="1:41" s="18" customFormat="1">
      <c r="A14" s="83" t="s">
        <v>185</v>
      </c>
      <c r="B14" s="135"/>
      <c r="C14" s="135"/>
      <c r="D14" s="135"/>
      <c r="E14" s="135"/>
      <c r="F14" s="135"/>
      <c r="G14" s="135"/>
      <c r="H14" s="135"/>
      <c r="I14" s="135"/>
      <c r="J14" s="135">
        <f>'[2]Historical Summary'!$D$13</f>
        <v>39</v>
      </c>
      <c r="K14" s="135">
        <f>'[2]Historical Summary'!$D$12</f>
        <v>21</v>
      </c>
      <c r="L14" s="135">
        <f>'[2]Historical Summary'!$D$11</f>
        <v>31</v>
      </c>
      <c r="M14" s="135">
        <f>'[2]Historical Summary'!$D$10</f>
        <v>41</v>
      </c>
      <c r="N14" s="135">
        <f>'[2]Historical Summary'!$D$9</f>
        <v>28</v>
      </c>
      <c r="O14" s="135">
        <f>'[2]Historical Summary'!$D$8</f>
        <v>49</v>
      </c>
      <c r="P14" s="135">
        <f>'[2]Historical Summary'!$D$7</f>
        <v>46</v>
      </c>
      <c r="Q14" s="135">
        <f>'[2]Historical Summary'!$D$6</f>
        <v>40</v>
      </c>
      <c r="R14" s="135">
        <f>'[2]Historical Summary'!$D$5</f>
        <v>36</v>
      </c>
      <c r="S14" s="135">
        <f>'[2]Historical Summary'!$D$4</f>
        <v>46</v>
      </c>
      <c r="T14" s="436">
        <f>'[2]Historical Summary'!$D$3</f>
        <v>46</v>
      </c>
      <c r="U14" s="435">
        <f>'[2]Historical Summary'!$D$2</f>
        <v>35</v>
      </c>
      <c r="V14" s="437">
        <f>TREND(J14:U14, J$7:U$7, V$7:AN$7)</f>
        <v>44.848484848485214</v>
      </c>
      <c r="W14" s="437">
        <f t="shared" ref="W14:AN14" si="8">TREND(K14:V14, K$7:V$7, W$7:AO$7)</f>
        <v>47.252525252525174</v>
      </c>
      <c r="X14" s="437">
        <f t="shared" si="8"/>
        <v>46.373890419344889</v>
      </c>
      <c r="Y14" s="437">
        <f t="shared" si="8"/>
        <v>46.130292827262338</v>
      </c>
      <c r="Z14" s="437">
        <f t="shared" si="8"/>
        <v>47.227894958152092</v>
      </c>
      <c r="AA14" s="437">
        <f t="shared" si="8"/>
        <v>45.700593579917097</v>
      </c>
      <c r="AB14" s="437">
        <f t="shared" si="8"/>
        <v>47.244741971445478</v>
      </c>
      <c r="AC14" s="437">
        <f t="shared" si="8"/>
        <v>48.81721587621405</v>
      </c>
      <c r="AD14" s="437">
        <f t="shared" si="8"/>
        <v>49.584541295991585</v>
      </c>
      <c r="AE14" s="437">
        <f t="shared" si="8"/>
        <v>49.358374467382191</v>
      </c>
      <c r="AF14" s="437">
        <f t="shared" si="8"/>
        <v>50.560551667297204</v>
      </c>
      <c r="AG14" s="437">
        <f t="shared" si="8"/>
        <v>52.01080121563632</v>
      </c>
      <c r="AH14" s="437">
        <f t="shared" si="8"/>
        <v>51.403836143696026</v>
      </c>
      <c r="AI14" s="437">
        <f t="shared" si="8"/>
        <v>51.910403687653002</v>
      </c>
      <c r="AJ14" s="437">
        <f t="shared" si="8"/>
        <v>52.797804530669964</v>
      </c>
      <c r="AK14" s="437">
        <f t="shared" si="8"/>
        <v>53.582906821815186</v>
      </c>
      <c r="AL14" s="437">
        <f t="shared" si="8"/>
        <v>54.28604156420397</v>
      </c>
      <c r="AM14" s="437">
        <f t="shared" si="8"/>
        <v>55.117624066916051</v>
      </c>
      <c r="AN14" s="437">
        <f t="shared" si="8"/>
        <v>55.58160287184387</v>
      </c>
      <c r="AO14" s="342"/>
    </row>
    <row r="15" spans="1:41" s="18" customFormat="1">
      <c r="A15" s="83" t="s">
        <v>186</v>
      </c>
      <c r="B15" s="135"/>
      <c r="C15" s="135"/>
      <c r="D15" s="135"/>
      <c r="E15" s="135"/>
      <c r="F15" s="135"/>
      <c r="G15" s="135"/>
      <c r="H15" s="135"/>
      <c r="I15" s="135"/>
      <c r="J15" s="445">
        <f>J14/J12</f>
        <v>0.3644859813084112</v>
      </c>
      <c r="K15" s="445">
        <f t="shared" ref="K15:AN15" si="9">K14/K12</f>
        <v>0.22826086956521738</v>
      </c>
      <c r="L15" s="445">
        <f t="shared" si="9"/>
        <v>0.28971962616822428</v>
      </c>
      <c r="M15" s="445">
        <f t="shared" si="9"/>
        <v>0.3867924528301887</v>
      </c>
      <c r="N15" s="445">
        <f t="shared" si="9"/>
        <v>0.25925925925925924</v>
      </c>
      <c r="O15" s="445">
        <f t="shared" si="9"/>
        <v>0.3888888888888889</v>
      </c>
      <c r="P15" s="445">
        <f t="shared" si="9"/>
        <v>0.38655462184873951</v>
      </c>
      <c r="Q15" s="445">
        <f t="shared" si="9"/>
        <v>0.2857142857142857</v>
      </c>
      <c r="R15" s="445">
        <f t="shared" si="9"/>
        <v>0.31034482758620691</v>
      </c>
      <c r="S15" s="445">
        <f t="shared" si="9"/>
        <v>0.28048780487804881</v>
      </c>
      <c r="T15" s="447">
        <f t="shared" si="9"/>
        <v>0.25555555555555554</v>
      </c>
      <c r="U15" s="446">
        <f t="shared" si="9"/>
        <v>0.20348837209302326</v>
      </c>
      <c r="V15" s="446">
        <f t="shared" si="9"/>
        <v>0.24172472435387587</v>
      </c>
      <c r="W15" s="446">
        <f t="shared" si="9"/>
        <v>0.23945037586284401</v>
      </c>
      <c r="X15" s="446">
        <f t="shared" si="9"/>
        <v>0.22369938284710397</v>
      </c>
      <c r="Y15" s="446">
        <f t="shared" si="9"/>
        <v>0.21544769172237718</v>
      </c>
      <c r="Z15" s="446">
        <f t="shared" si="9"/>
        <v>0.21339150363810441</v>
      </c>
      <c r="AA15" s="446">
        <f t="shared" si="9"/>
        <v>0.19935670068077557</v>
      </c>
      <c r="AB15" s="446">
        <f t="shared" si="9"/>
        <v>0.19927597508726452</v>
      </c>
      <c r="AC15" s="446">
        <f t="shared" si="9"/>
        <v>0.20259641333648104</v>
      </c>
      <c r="AD15" s="446">
        <f t="shared" si="9"/>
        <v>0.20183523995463454</v>
      </c>
      <c r="AE15" s="446">
        <f t="shared" si="9"/>
        <v>0.19697806656189937</v>
      </c>
      <c r="AF15" s="446">
        <f t="shared" si="9"/>
        <v>0.19976939271893818</v>
      </c>
      <c r="AG15" s="446">
        <f t="shared" si="9"/>
        <v>0.20541701169068707</v>
      </c>
      <c r="AH15" s="446">
        <f t="shared" si="9"/>
        <v>0.20339620708867376</v>
      </c>
      <c r="AI15" s="446">
        <f t="shared" si="9"/>
        <v>0.20456504762683822</v>
      </c>
      <c r="AJ15" s="446">
        <f t="shared" si="9"/>
        <v>0.20748481246464781</v>
      </c>
      <c r="AK15" s="446">
        <f t="shared" si="9"/>
        <v>0.21027652753040146</v>
      </c>
      <c r="AL15" s="446">
        <f t="shared" si="9"/>
        <v>0.21171337756288008</v>
      </c>
      <c r="AM15" s="446">
        <f t="shared" si="9"/>
        <v>0.21461779841561815</v>
      </c>
      <c r="AN15" s="446">
        <f t="shared" si="9"/>
        <v>0.21652958080632281</v>
      </c>
      <c r="AO15" s="342"/>
    </row>
    <row r="16" spans="1:41" s="18" customFormat="1">
      <c r="A16" s="83"/>
      <c r="B16" s="135"/>
      <c r="C16" s="135"/>
      <c r="D16" s="135"/>
      <c r="E16" s="135"/>
      <c r="F16" s="135"/>
      <c r="G16" s="135"/>
      <c r="H16" s="135"/>
      <c r="I16" s="135"/>
      <c r="J16" s="445"/>
      <c r="K16" s="445"/>
      <c r="L16" s="445"/>
      <c r="M16" s="445"/>
      <c r="N16" s="445"/>
      <c r="O16" s="445"/>
      <c r="P16" s="445"/>
      <c r="Q16" s="445"/>
      <c r="R16" s="445"/>
      <c r="S16" s="445"/>
      <c r="T16" s="436"/>
      <c r="U16" s="446"/>
      <c r="V16" s="446"/>
      <c r="W16" s="446"/>
      <c r="X16" s="446"/>
      <c r="Y16" s="446"/>
      <c r="Z16" s="446"/>
      <c r="AA16" s="446"/>
      <c r="AB16" s="446"/>
      <c r="AC16" s="446"/>
      <c r="AD16" s="446"/>
      <c r="AE16" s="446"/>
      <c r="AF16" s="446"/>
      <c r="AG16" s="446"/>
      <c r="AH16" s="446"/>
      <c r="AI16" s="446"/>
      <c r="AJ16" s="446"/>
      <c r="AK16" s="446"/>
      <c r="AL16" s="446"/>
      <c r="AM16" s="446"/>
      <c r="AN16" s="446"/>
      <c r="AO16" s="342"/>
    </row>
    <row r="17" spans="1:41" s="18" customFormat="1">
      <c r="A17" s="85" t="s">
        <v>195</v>
      </c>
      <c r="B17" s="135"/>
      <c r="C17" s="135"/>
      <c r="D17" s="135"/>
      <c r="E17" s="135"/>
      <c r="F17" s="135"/>
      <c r="G17" s="135"/>
      <c r="H17" s="135"/>
      <c r="I17" s="135"/>
      <c r="J17" s="445"/>
      <c r="K17" s="445"/>
      <c r="L17" s="445"/>
      <c r="M17" s="445"/>
      <c r="N17" s="445"/>
      <c r="O17" s="445"/>
      <c r="P17" s="445"/>
      <c r="Q17" s="445"/>
      <c r="R17" s="445"/>
      <c r="S17" s="445"/>
      <c r="T17" s="436"/>
      <c r="U17" s="446"/>
      <c r="V17" s="446"/>
      <c r="W17" s="446"/>
      <c r="X17" s="446"/>
      <c r="Y17" s="446"/>
      <c r="Z17" s="446"/>
      <c r="AA17" s="446"/>
      <c r="AB17" s="446"/>
      <c r="AC17" s="446"/>
      <c r="AD17" s="446"/>
      <c r="AE17" s="446"/>
      <c r="AF17" s="446"/>
      <c r="AG17" s="446"/>
      <c r="AH17" s="446"/>
      <c r="AI17" s="446"/>
      <c r="AJ17" s="446"/>
      <c r="AK17" s="446"/>
      <c r="AL17" s="446"/>
      <c r="AM17" s="446"/>
      <c r="AN17" s="446"/>
      <c r="AO17" s="342"/>
    </row>
    <row r="18" spans="1:41" s="18" customFormat="1">
      <c r="A18" s="83" t="s">
        <v>180</v>
      </c>
      <c r="B18" s="135"/>
      <c r="C18" s="135"/>
      <c r="D18" s="135"/>
      <c r="E18" s="135"/>
      <c r="F18" s="135"/>
      <c r="G18" s="135"/>
      <c r="H18" s="135"/>
      <c r="I18" s="135"/>
      <c r="J18" s="445"/>
      <c r="K18" s="445"/>
      <c r="L18" s="445"/>
      <c r="M18" s="445"/>
      <c r="N18" s="445"/>
      <c r="O18" s="445"/>
      <c r="P18" s="445"/>
      <c r="Q18" s="445"/>
      <c r="R18" s="445"/>
      <c r="S18" s="445"/>
      <c r="T18" s="436">
        <f>'[2]2018 (2)'!$D$58</f>
        <v>94510</v>
      </c>
      <c r="U18" s="437">
        <f>'[2]2019'!$D$41</f>
        <v>129708</v>
      </c>
      <c r="V18" s="437">
        <f>V11*V19</f>
        <v>122808.05232711972</v>
      </c>
      <c r="W18" s="437">
        <f t="shared" ref="W18:AN18" si="10">W11*W19</f>
        <v>128334.41468184011</v>
      </c>
      <c r="X18" s="437">
        <f t="shared" si="10"/>
        <v>134109.46334252288</v>
      </c>
      <c r="Y18" s="437">
        <f t="shared" si="10"/>
        <v>140144.38919293642</v>
      </c>
      <c r="Z18" s="437">
        <f t="shared" si="10"/>
        <v>146450.88670661853</v>
      </c>
      <c r="AA18" s="437">
        <f t="shared" si="10"/>
        <v>153041.17660841637</v>
      </c>
      <c r="AB18" s="437">
        <f t="shared" si="10"/>
        <v>159928.0295557951</v>
      </c>
      <c r="AC18" s="437">
        <f t="shared" si="10"/>
        <v>164725.87044246896</v>
      </c>
      <c r="AD18" s="437">
        <f t="shared" si="10"/>
        <v>169667.64655574301</v>
      </c>
      <c r="AE18" s="437">
        <f t="shared" si="10"/>
        <v>174757.67595241533</v>
      </c>
      <c r="AF18" s="437">
        <f t="shared" si="10"/>
        <v>180000.40623098781</v>
      </c>
      <c r="AG18" s="437">
        <f t="shared" si="10"/>
        <v>185400.41841791742</v>
      </c>
      <c r="AH18" s="437">
        <f t="shared" si="10"/>
        <v>190962.43097045494</v>
      </c>
      <c r="AI18" s="437">
        <f t="shared" si="10"/>
        <v>196691.30389956859</v>
      </c>
      <c r="AJ18" s="437">
        <f t="shared" si="10"/>
        <v>202592.04301655566</v>
      </c>
      <c r="AK18" s="437">
        <f t="shared" si="10"/>
        <v>208669.80430705234</v>
      </c>
      <c r="AL18" s="437">
        <f t="shared" si="10"/>
        <v>214929.8984362639</v>
      </c>
      <c r="AM18" s="437">
        <f t="shared" si="10"/>
        <v>221377.79538935184</v>
      </c>
      <c r="AN18" s="437">
        <f t="shared" si="10"/>
        <v>228019.1292510324</v>
      </c>
      <c r="AO18" s="342"/>
    </row>
    <row r="19" spans="1:41" s="18" customFormat="1">
      <c r="A19" s="83" t="s">
        <v>198</v>
      </c>
      <c r="B19" s="135"/>
      <c r="C19" s="135"/>
      <c r="D19" s="135"/>
      <c r="E19" s="135"/>
      <c r="F19" s="135"/>
      <c r="G19" s="135"/>
      <c r="H19" s="135"/>
      <c r="I19" s="135"/>
      <c r="J19" s="445"/>
      <c r="K19" s="445"/>
      <c r="L19" s="445"/>
      <c r="M19" s="445"/>
      <c r="N19" s="445"/>
      <c r="O19" s="445"/>
      <c r="P19" s="445"/>
      <c r="Q19" s="445"/>
      <c r="R19" s="445"/>
      <c r="S19" s="445"/>
      <c r="T19" s="447">
        <f>T18/T11</f>
        <v>0.40268427780144866</v>
      </c>
      <c r="U19" s="446">
        <f>U18/U11</f>
        <v>0.49587686802536957</v>
      </c>
      <c r="V19" s="446">
        <f>SUM(T19:U19)/2</f>
        <v>0.44928057291340912</v>
      </c>
      <c r="W19" s="446">
        <f t="shared" ref="W19:AN19" si="11">V19</f>
        <v>0.44928057291340912</v>
      </c>
      <c r="X19" s="446">
        <f t="shared" si="11"/>
        <v>0.44928057291340912</v>
      </c>
      <c r="Y19" s="446">
        <f t="shared" si="11"/>
        <v>0.44928057291340912</v>
      </c>
      <c r="Z19" s="446">
        <f t="shared" si="11"/>
        <v>0.44928057291340912</v>
      </c>
      <c r="AA19" s="446">
        <f t="shared" si="11"/>
        <v>0.44928057291340912</v>
      </c>
      <c r="AB19" s="446">
        <f t="shared" si="11"/>
        <v>0.44928057291340912</v>
      </c>
      <c r="AC19" s="446">
        <f t="shared" si="11"/>
        <v>0.44928057291340912</v>
      </c>
      <c r="AD19" s="446">
        <f t="shared" si="11"/>
        <v>0.44928057291340912</v>
      </c>
      <c r="AE19" s="446">
        <f t="shared" si="11"/>
        <v>0.44928057291340912</v>
      </c>
      <c r="AF19" s="446">
        <f t="shared" si="11"/>
        <v>0.44928057291340912</v>
      </c>
      <c r="AG19" s="446">
        <f t="shared" si="11"/>
        <v>0.44928057291340912</v>
      </c>
      <c r="AH19" s="446">
        <f t="shared" si="11"/>
        <v>0.44928057291340912</v>
      </c>
      <c r="AI19" s="446">
        <f t="shared" si="11"/>
        <v>0.44928057291340912</v>
      </c>
      <c r="AJ19" s="446">
        <f t="shared" si="11"/>
        <v>0.44928057291340912</v>
      </c>
      <c r="AK19" s="446">
        <f t="shared" si="11"/>
        <v>0.44928057291340912</v>
      </c>
      <c r="AL19" s="446">
        <f t="shared" si="11"/>
        <v>0.44928057291340912</v>
      </c>
      <c r="AM19" s="446">
        <f t="shared" si="11"/>
        <v>0.44928057291340912</v>
      </c>
      <c r="AN19" s="446">
        <f t="shared" si="11"/>
        <v>0.44928057291340912</v>
      </c>
      <c r="AO19" s="342"/>
    </row>
    <row r="20" spans="1:41" s="18" customFormat="1">
      <c r="A20" s="83" t="s">
        <v>181</v>
      </c>
      <c r="B20" s="135"/>
      <c r="C20" s="135"/>
      <c r="D20" s="135"/>
      <c r="E20" s="135"/>
      <c r="F20" s="135"/>
      <c r="G20" s="135"/>
      <c r="H20" s="135"/>
      <c r="I20" s="135"/>
      <c r="J20" s="445"/>
      <c r="K20" s="445"/>
      <c r="L20" s="445"/>
      <c r="M20" s="445"/>
      <c r="N20" s="445"/>
      <c r="O20" s="445"/>
      <c r="P20" s="445"/>
      <c r="Q20" s="445"/>
      <c r="R20" s="445"/>
      <c r="S20" s="445"/>
      <c r="T20" s="436">
        <f>'[2]2018 (2)'!$B$58</f>
        <v>63</v>
      </c>
      <c r="U20" s="437">
        <f>'[2]2019'!$B$41</f>
        <v>74</v>
      </c>
      <c r="V20" s="437">
        <f>V12*V21</f>
        <v>72.380366045610742</v>
      </c>
      <c r="W20" s="437">
        <f t="shared" ref="W20:AN20" si="12">W12*W21</f>
        <v>76.984549561635419</v>
      </c>
      <c r="X20" s="437">
        <f t="shared" si="12"/>
        <v>80.872863152908664</v>
      </c>
      <c r="Y20" s="437">
        <f t="shared" si="12"/>
        <v>83.529222551894335</v>
      </c>
      <c r="Z20" s="437">
        <f t="shared" si="12"/>
        <v>86.340694616494375</v>
      </c>
      <c r="AA20" s="437">
        <f t="shared" si="12"/>
        <v>89.430380106587549</v>
      </c>
      <c r="AB20" s="437">
        <f t="shared" si="12"/>
        <v>92.489538367284482</v>
      </c>
      <c r="AC20" s="437">
        <f t="shared" si="12"/>
        <v>94.001617790461268</v>
      </c>
      <c r="AD20" s="437">
        <f t="shared" si="12"/>
        <v>95.839243702542987</v>
      </c>
      <c r="AE20" s="437">
        <f t="shared" si="12"/>
        <v>97.754565897804696</v>
      </c>
      <c r="AF20" s="437">
        <f t="shared" si="12"/>
        <v>98.736317989972179</v>
      </c>
      <c r="AG20" s="437">
        <f t="shared" si="12"/>
        <v>98.775948859747103</v>
      </c>
      <c r="AH20" s="437">
        <f t="shared" si="12"/>
        <v>98.59315261246779</v>
      </c>
      <c r="AI20" s="437">
        <f t="shared" si="12"/>
        <v>98.995863499507479</v>
      </c>
      <c r="AJ20" s="437">
        <f t="shared" si="12"/>
        <v>99.271280639238753</v>
      </c>
      <c r="AK20" s="437">
        <f t="shared" si="12"/>
        <v>99.409879345883681</v>
      </c>
      <c r="AL20" s="437">
        <f t="shared" si="12"/>
        <v>100.03084729099861</v>
      </c>
      <c r="AM20" s="437">
        <f t="shared" si="12"/>
        <v>100.18871953253058</v>
      </c>
      <c r="AN20" s="437">
        <f t="shared" si="12"/>
        <v>100.14007331632013</v>
      </c>
      <c r="AO20" s="342"/>
    </row>
    <row r="21" spans="1:41" s="18" customFormat="1">
      <c r="A21" s="83" t="s">
        <v>198</v>
      </c>
      <c r="B21" s="135"/>
      <c r="C21" s="135"/>
      <c r="D21" s="135"/>
      <c r="E21" s="135"/>
      <c r="F21" s="135"/>
      <c r="G21" s="135"/>
      <c r="H21" s="135"/>
      <c r="I21" s="135"/>
      <c r="J21" s="445"/>
      <c r="K21" s="445"/>
      <c r="L21" s="445"/>
      <c r="M21" s="445"/>
      <c r="N21" s="445"/>
      <c r="O21" s="445"/>
      <c r="P21" s="445"/>
      <c r="Q21" s="445"/>
      <c r="R21" s="445"/>
      <c r="S21" s="445"/>
      <c r="T21" s="447">
        <f>T20/T12</f>
        <v>0.35</v>
      </c>
      <c r="U21" s="446">
        <f>U20/U12</f>
        <v>0.43023255813953487</v>
      </c>
      <c r="V21" s="446">
        <f t="shared" ref="V21" si="13">SUM(T21:U21)/2</f>
        <v>0.39011627906976742</v>
      </c>
      <c r="W21" s="446">
        <f>V21</f>
        <v>0.39011627906976742</v>
      </c>
      <c r="X21" s="446">
        <f t="shared" ref="X21:AN21" si="14">W21</f>
        <v>0.39011627906976742</v>
      </c>
      <c r="Y21" s="446">
        <f t="shared" si="14"/>
        <v>0.39011627906976742</v>
      </c>
      <c r="Z21" s="446">
        <f t="shared" si="14"/>
        <v>0.39011627906976742</v>
      </c>
      <c r="AA21" s="446">
        <f t="shared" si="14"/>
        <v>0.39011627906976742</v>
      </c>
      <c r="AB21" s="446">
        <f t="shared" si="14"/>
        <v>0.39011627906976742</v>
      </c>
      <c r="AC21" s="446">
        <f t="shared" si="14"/>
        <v>0.39011627906976742</v>
      </c>
      <c r="AD21" s="446">
        <f t="shared" si="14"/>
        <v>0.39011627906976742</v>
      </c>
      <c r="AE21" s="446">
        <f t="shared" si="14"/>
        <v>0.39011627906976742</v>
      </c>
      <c r="AF21" s="446">
        <f t="shared" si="14"/>
        <v>0.39011627906976742</v>
      </c>
      <c r="AG21" s="446">
        <f t="shared" si="14"/>
        <v>0.39011627906976742</v>
      </c>
      <c r="AH21" s="446">
        <f t="shared" si="14"/>
        <v>0.39011627906976742</v>
      </c>
      <c r="AI21" s="446">
        <f t="shared" si="14"/>
        <v>0.39011627906976742</v>
      </c>
      <c r="AJ21" s="446">
        <f t="shared" si="14"/>
        <v>0.39011627906976742</v>
      </c>
      <c r="AK21" s="446">
        <f t="shared" si="14"/>
        <v>0.39011627906976742</v>
      </c>
      <c r="AL21" s="446">
        <f t="shared" si="14"/>
        <v>0.39011627906976742</v>
      </c>
      <c r="AM21" s="446">
        <f t="shared" si="14"/>
        <v>0.39011627906976742</v>
      </c>
      <c r="AN21" s="446">
        <f t="shared" si="14"/>
        <v>0.39011627906976742</v>
      </c>
      <c r="AO21" s="342"/>
    </row>
    <row r="22" spans="1:41" s="18" customFormat="1">
      <c r="A22" s="82" t="s">
        <v>194</v>
      </c>
      <c r="B22" s="135"/>
      <c r="C22" s="135"/>
      <c r="D22" s="135"/>
      <c r="E22" s="135"/>
      <c r="F22" s="135"/>
      <c r="G22" s="135"/>
      <c r="H22" s="135"/>
      <c r="I22" s="135"/>
      <c r="J22" s="445"/>
      <c r="K22" s="445"/>
      <c r="L22" s="445"/>
      <c r="M22" s="445"/>
      <c r="N22" s="445"/>
      <c r="O22" s="445"/>
      <c r="P22" s="445"/>
      <c r="Q22" s="445"/>
      <c r="R22" s="445"/>
      <c r="S22" s="445"/>
      <c r="T22" s="436">
        <f>T18/T20</f>
        <v>1500.1587301587301</v>
      </c>
      <c r="U22" s="437">
        <f>U18/U20</f>
        <v>1752.8108108108108</v>
      </c>
      <c r="V22" s="437">
        <f t="shared" ref="V22:AN22" si="15">V18/V20</f>
        <v>1696.7039410899331</v>
      </c>
      <c r="W22" s="437">
        <f t="shared" si="15"/>
        <v>1667.0152051626012</v>
      </c>
      <c r="X22" s="437">
        <f t="shared" si="15"/>
        <v>1658.2752002851469</v>
      </c>
      <c r="Y22" s="437">
        <f t="shared" si="15"/>
        <v>1677.7887416091858</v>
      </c>
      <c r="Z22" s="437">
        <f t="shared" si="15"/>
        <v>1696.1976893644403</v>
      </c>
      <c r="AA22" s="437">
        <f t="shared" si="15"/>
        <v>1711.2884505915588</v>
      </c>
      <c r="AB22" s="437">
        <f t="shared" si="15"/>
        <v>1729.1472352333099</v>
      </c>
      <c r="AC22" s="437">
        <f t="shared" si="15"/>
        <v>1752.3727177723572</v>
      </c>
      <c r="AD22" s="437">
        <f t="shared" si="15"/>
        <v>1770.3358248771433</v>
      </c>
      <c r="AE22" s="437">
        <f t="shared" si="15"/>
        <v>1787.7188072740439</v>
      </c>
      <c r="AF22" s="437">
        <f t="shared" si="15"/>
        <v>1823.0415099058985</v>
      </c>
      <c r="AG22" s="437">
        <f t="shared" si="15"/>
        <v>1876.9793715793023</v>
      </c>
      <c r="AH22" s="437">
        <f t="shared" si="15"/>
        <v>1936.8731591437761</v>
      </c>
      <c r="AI22" s="437">
        <f t="shared" si="15"/>
        <v>1986.8638642719366</v>
      </c>
      <c r="AJ22" s="437">
        <f t="shared" si="15"/>
        <v>2040.7920771445908</v>
      </c>
      <c r="AK22" s="437">
        <f t="shared" si="15"/>
        <v>2099.0851782548998</v>
      </c>
      <c r="AL22" s="437">
        <f t="shared" si="15"/>
        <v>2148.6361883051313</v>
      </c>
      <c r="AM22" s="437">
        <f t="shared" si="15"/>
        <v>2209.6079920202196</v>
      </c>
      <c r="AN22" s="437">
        <f t="shared" si="15"/>
        <v>2277.0018205476131</v>
      </c>
      <c r="AO22" s="342"/>
    </row>
    <row r="23" spans="1:41" s="18" customFormat="1">
      <c r="A23" s="83"/>
      <c r="B23" s="135"/>
      <c r="C23" s="135"/>
      <c r="D23" s="135"/>
      <c r="E23" s="135"/>
      <c r="F23" s="135"/>
      <c r="G23" s="135"/>
      <c r="H23" s="135"/>
      <c r="I23" s="135"/>
      <c r="J23" s="445"/>
      <c r="K23" s="445"/>
      <c r="L23" s="445"/>
      <c r="M23" s="445"/>
      <c r="N23" s="445"/>
      <c r="O23" s="445"/>
      <c r="P23" s="445"/>
      <c r="Q23" s="445"/>
      <c r="R23" s="445"/>
      <c r="S23" s="445"/>
      <c r="T23" s="436"/>
      <c r="U23" s="437"/>
      <c r="V23" s="446"/>
      <c r="W23" s="446"/>
      <c r="X23" s="446"/>
      <c r="Y23" s="446"/>
      <c r="Z23" s="446"/>
      <c r="AA23" s="446"/>
      <c r="AB23" s="446"/>
      <c r="AC23" s="446"/>
      <c r="AD23" s="446"/>
      <c r="AE23" s="446"/>
      <c r="AF23" s="446"/>
      <c r="AG23" s="446"/>
      <c r="AH23" s="446"/>
      <c r="AI23" s="446"/>
      <c r="AJ23" s="446"/>
      <c r="AK23" s="446"/>
      <c r="AL23" s="446"/>
      <c r="AM23" s="446"/>
      <c r="AN23" s="446"/>
      <c r="AO23" s="342"/>
    </row>
    <row r="24" spans="1:41" s="18" customFormat="1">
      <c r="A24" s="85" t="s">
        <v>196</v>
      </c>
      <c r="B24" s="135"/>
      <c r="C24" s="135"/>
      <c r="D24" s="135"/>
      <c r="E24" s="135"/>
      <c r="F24" s="135"/>
      <c r="G24" s="135"/>
      <c r="H24" s="135"/>
      <c r="I24" s="135"/>
      <c r="J24" s="445"/>
      <c r="K24" s="445"/>
      <c r="L24" s="445"/>
      <c r="M24" s="445"/>
      <c r="N24" s="445"/>
      <c r="O24" s="445"/>
      <c r="P24" s="445"/>
      <c r="Q24" s="445"/>
      <c r="R24" s="445"/>
      <c r="S24" s="445"/>
      <c r="T24" s="436"/>
      <c r="U24" s="437"/>
      <c r="V24" s="446"/>
      <c r="W24" s="446"/>
      <c r="X24" s="446"/>
      <c r="Y24" s="446"/>
      <c r="Z24" s="446"/>
      <c r="AA24" s="446"/>
      <c r="AB24" s="446"/>
      <c r="AC24" s="446"/>
      <c r="AD24" s="446"/>
      <c r="AE24" s="446"/>
      <c r="AF24" s="446"/>
      <c r="AG24" s="446"/>
      <c r="AH24" s="446"/>
      <c r="AI24" s="446"/>
      <c r="AJ24" s="446"/>
      <c r="AK24" s="446"/>
      <c r="AL24" s="446"/>
      <c r="AM24" s="446"/>
      <c r="AN24" s="446"/>
      <c r="AO24" s="342"/>
    </row>
    <row r="25" spans="1:41" s="18" customFormat="1">
      <c r="A25" s="83" t="s">
        <v>180</v>
      </c>
      <c r="B25" s="135"/>
      <c r="C25" s="135"/>
      <c r="D25" s="135"/>
      <c r="E25" s="135"/>
      <c r="F25" s="135"/>
      <c r="G25" s="135"/>
      <c r="H25" s="135"/>
      <c r="I25" s="135"/>
      <c r="J25" s="445"/>
      <c r="K25" s="445"/>
      <c r="L25" s="445"/>
      <c r="M25" s="445"/>
      <c r="N25" s="445"/>
      <c r="O25" s="445"/>
      <c r="P25" s="445"/>
      <c r="Q25" s="445"/>
      <c r="R25" s="445"/>
      <c r="S25" s="445"/>
      <c r="T25" s="436">
        <f>'[2]2018 (2)'!$D$59</f>
        <v>80002</v>
      </c>
      <c r="U25" s="437">
        <f>'[2]2019'!$D$42</f>
        <v>75414</v>
      </c>
      <c r="V25" s="437">
        <f>V11*V26</f>
        <v>85991.052936876848</v>
      </c>
      <c r="W25" s="437">
        <f t="shared" ref="W25:AN25" si="16">W11*W26</f>
        <v>89860.6503190363</v>
      </c>
      <c r="X25" s="437">
        <f t="shared" si="16"/>
        <v>93904.379583392918</v>
      </c>
      <c r="Y25" s="437">
        <f t="shared" si="16"/>
        <v>98130.076664645603</v>
      </c>
      <c r="Z25" s="437">
        <f t="shared" si="16"/>
        <v>102545.93011455465</v>
      </c>
      <c r="AA25" s="437">
        <f t="shared" si="16"/>
        <v>107160.49696970959</v>
      </c>
      <c r="AB25" s="437">
        <f t="shared" si="16"/>
        <v>111982.71933334653</v>
      </c>
      <c r="AC25" s="437">
        <f t="shared" si="16"/>
        <v>115342.20091334693</v>
      </c>
      <c r="AD25" s="437">
        <f t="shared" si="16"/>
        <v>118802.46694074733</v>
      </c>
      <c r="AE25" s="437">
        <f t="shared" si="16"/>
        <v>122366.54094896976</v>
      </c>
      <c r="AF25" s="437">
        <f t="shared" si="16"/>
        <v>126037.53717743886</v>
      </c>
      <c r="AG25" s="437">
        <f t="shared" si="16"/>
        <v>129818.66329276202</v>
      </c>
      <c r="AH25" s="437">
        <f t="shared" si="16"/>
        <v>133713.22319154488</v>
      </c>
      <c r="AI25" s="437">
        <f t="shared" si="16"/>
        <v>137724.61988729122</v>
      </c>
      <c r="AJ25" s="437">
        <f t="shared" si="16"/>
        <v>141856.35848390998</v>
      </c>
      <c r="AK25" s="437">
        <f t="shared" si="16"/>
        <v>146112.04923842728</v>
      </c>
      <c r="AL25" s="437">
        <f t="shared" si="16"/>
        <v>150495.4107155801</v>
      </c>
      <c r="AM25" s="437">
        <f t="shared" si="16"/>
        <v>155010.2730370475</v>
      </c>
      <c r="AN25" s="437">
        <f t="shared" si="16"/>
        <v>159660.58122815893</v>
      </c>
      <c r="AO25" s="342"/>
    </row>
    <row r="26" spans="1:41" s="18" customFormat="1">
      <c r="A26" s="83" t="s">
        <v>198</v>
      </c>
      <c r="B26" s="135"/>
      <c r="C26" s="135"/>
      <c r="D26" s="135"/>
      <c r="E26" s="135"/>
      <c r="F26" s="135"/>
      <c r="G26" s="135"/>
      <c r="H26" s="135"/>
      <c r="I26" s="135"/>
      <c r="J26" s="445"/>
      <c r="K26" s="445"/>
      <c r="L26" s="445"/>
      <c r="M26" s="445"/>
      <c r="N26" s="445"/>
      <c r="O26" s="445"/>
      <c r="P26" s="445"/>
      <c r="Q26" s="445"/>
      <c r="R26" s="445"/>
      <c r="S26" s="445"/>
      <c r="T26" s="447">
        <f>T25/T11</f>
        <v>0.34086919471665955</v>
      </c>
      <c r="U26" s="446">
        <f>U25/U11</f>
        <v>0.28830957323576972</v>
      </c>
      <c r="V26" s="446">
        <f>SUM(T26:U26)/2</f>
        <v>0.31458938397621461</v>
      </c>
      <c r="W26" s="446">
        <f t="shared" ref="W26:AN26" si="17">V26</f>
        <v>0.31458938397621461</v>
      </c>
      <c r="X26" s="446">
        <f t="shared" si="17"/>
        <v>0.31458938397621461</v>
      </c>
      <c r="Y26" s="446">
        <f t="shared" si="17"/>
        <v>0.31458938397621461</v>
      </c>
      <c r="Z26" s="446">
        <f t="shared" si="17"/>
        <v>0.31458938397621461</v>
      </c>
      <c r="AA26" s="446">
        <f t="shared" si="17"/>
        <v>0.31458938397621461</v>
      </c>
      <c r="AB26" s="446">
        <f t="shared" si="17"/>
        <v>0.31458938397621461</v>
      </c>
      <c r="AC26" s="446">
        <f t="shared" si="17"/>
        <v>0.31458938397621461</v>
      </c>
      <c r="AD26" s="446">
        <f t="shared" si="17"/>
        <v>0.31458938397621461</v>
      </c>
      <c r="AE26" s="446">
        <f t="shared" si="17"/>
        <v>0.31458938397621461</v>
      </c>
      <c r="AF26" s="446">
        <f t="shared" si="17"/>
        <v>0.31458938397621461</v>
      </c>
      <c r="AG26" s="446">
        <f t="shared" si="17"/>
        <v>0.31458938397621461</v>
      </c>
      <c r="AH26" s="446">
        <f t="shared" si="17"/>
        <v>0.31458938397621461</v>
      </c>
      <c r="AI26" s="446">
        <f t="shared" si="17"/>
        <v>0.31458938397621461</v>
      </c>
      <c r="AJ26" s="446">
        <f t="shared" si="17"/>
        <v>0.31458938397621461</v>
      </c>
      <c r="AK26" s="446">
        <f t="shared" si="17"/>
        <v>0.31458938397621461</v>
      </c>
      <c r="AL26" s="446">
        <f t="shared" si="17"/>
        <v>0.31458938397621461</v>
      </c>
      <c r="AM26" s="446">
        <f t="shared" si="17"/>
        <v>0.31458938397621461</v>
      </c>
      <c r="AN26" s="446">
        <f t="shared" si="17"/>
        <v>0.31458938397621461</v>
      </c>
      <c r="AO26" s="342"/>
    </row>
    <row r="27" spans="1:41" s="18" customFormat="1">
      <c r="A27" s="83" t="s">
        <v>181</v>
      </c>
      <c r="B27" s="135"/>
      <c r="C27" s="135"/>
      <c r="D27" s="135"/>
      <c r="E27" s="135"/>
      <c r="F27" s="135"/>
      <c r="G27" s="135"/>
      <c r="H27" s="135"/>
      <c r="I27" s="135"/>
      <c r="J27" s="445"/>
      <c r="K27" s="445"/>
      <c r="L27" s="445"/>
      <c r="M27" s="445"/>
      <c r="N27" s="445"/>
      <c r="O27" s="445"/>
      <c r="P27" s="445"/>
      <c r="Q27" s="445"/>
      <c r="R27" s="445"/>
      <c r="S27" s="445"/>
      <c r="T27" s="436">
        <f>'[2]2018 (2)'!$B$59</f>
        <v>30</v>
      </c>
      <c r="U27" s="437">
        <f>'[2]2019'!$B$42</f>
        <v>29</v>
      </c>
      <c r="V27" s="437">
        <f>V12*V28</f>
        <v>31.102343084676253</v>
      </c>
      <c r="W27" s="437">
        <f t="shared" ref="W27:AN27" si="18">W12*W28</f>
        <v>33.08079253393673</v>
      </c>
      <c r="X27" s="437">
        <f t="shared" si="18"/>
        <v>34.751627733366121</v>
      </c>
      <c r="Y27" s="437">
        <f t="shared" si="18"/>
        <v>35.893083709582015</v>
      </c>
      <c r="Z27" s="437">
        <f t="shared" si="18"/>
        <v>37.101192669283478</v>
      </c>
      <c r="AA27" s="437">
        <f t="shared" si="18"/>
        <v>38.428851859015516</v>
      </c>
      <c r="AB27" s="437">
        <f t="shared" si="18"/>
        <v>39.743393287481908</v>
      </c>
      <c r="AC27" s="437">
        <f t="shared" si="18"/>
        <v>40.393144256705909</v>
      </c>
      <c r="AD27" s="437">
        <f t="shared" si="18"/>
        <v>41.182784800148873</v>
      </c>
      <c r="AE27" s="437">
        <f t="shared" si="18"/>
        <v>42.00581197297619</v>
      </c>
      <c r="AF27" s="437">
        <f t="shared" si="18"/>
        <v>42.427677626093356</v>
      </c>
      <c r="AG27" s="437">
        <f t="shared" si="18"/>
        <v>42.444707284491429</v>
      </c>
      <c r="AH27" s="437">
        <f t="shared" si="18"/>
        <v>42.366158474806085</v>
      </c>
      <c r="AI27" s="437">
        <f t="shared" si="18"/>
        <v>42.539206123732718</v>
      </c>
      <c r="AJ27" s="437">
        <f t="shared" si="18"/>
        <v>42.657554770462752</v>
      </c>
      <c r="AK27" s="437">
        <f t="shared" si="18"/>
        <v>42.717111591748328</v>
      </c>
      <c r="AL27" s="437">
        <f t="shared" si="18"/>
        <v>42.983945805620365</v>
      </c>
      <c r="AM27" s="437">
        <f t="shared" si="18"/>
        <v>43.051784597932915</v>
      </c>
      <c r="AN27" s="437">
        <f t="shared" si="18"/>
        <v>43.030880982919477</v>
      </c>
      <c r="AO27" s="342"/>
    </row>
    <row r="28" spans="1:41" s="18" customFormat="1">
      <c r="A28" s="83" t="s">
        <v>198</v>
      </c>
      <c r="B28" s="135"/>
      <c r="C28" s="135"/>
      <c r="D28" s="135"/>
      <c r="E28" s="135"/>
      <c r="F28" s="135"/>
      <c r="G28" s="135"/>
      <c r="H28" s="135"/>
      <c r="I28" s="135"/>
      <c r="J28" s="445"/>
      <c r="K28" s="445"/>
      <c r="L28" s="445"/>
      <c r="M28" s="445"/>
      <c r="N28" s="445"/>
      <c r="O28" s="445"/>
      <c r="P28" s="445"/>
      <c r="Q28" s="445"/>
      <c r="R28" s="445"/>
      <c r="S28" s="445"/>
      <c r="T28" s="447">
        <f>T27/T12</f>
        <v>0.16666666666666666</v>
      </c>
      <c r="U28" s="446">
        <f>U27/U12</f>
        <v>0.16860465116279069</v>
      </c>
      <c r="V28" s="446">
        <f t="shared" ref="V28" si="19">SUM(T28:U28)/2</f>
        <v>0.16763565891472867</v>
      </c>
      <c r="W28" s="446">
        <f>V28</f>
        <v>0.16763565891472867</v>
      </c>
      <c r="X28" s="446">
        <f t="shared" ref="X28:AN28" si="20">W28</f>
        <v>0.16763565891472867</v>
      </c>
      <c r="Y28" s="446">
        <f t="shared" si="20"/>
        <v>0.16763565891472867</v>
      </c>
      <c r="Z28" s="446">
        <f t="shared" si="20"/>
        <v>0.16763565891472867</v>
      </c>
      <c r="AA28" s="446">
        <f t="shared" si="20"/>
        <v>0.16763565891472867</v>
      </c>
      <c r="AB28" s="446">
        <f t="shared" si="20"/>
        <v>0.16763565891472867</v>
      </c>
      <c r="AC28" s="446">
        <f t="shared" si="20"/>
        <v>0.16763565891472867</v>
      </c>
      <c r="AD28" s="446">
        <f t="shared" si="20"/>
        <v>0.16763565891472867</v>
      </c>
      <c r="AE28" s="446">
        <f t="shared" si="20"/>
        <v>0.16763565891472867</v>
      </c>
      <c r="AF28" s="446">
        <f t="shared" si="20"/>
        <v>0.16763565891472867</v>
      </c>
      <c r="AG28" s="446">
        <f t="shared" si="20"/>
        <v>0.16763565891472867</v>
      </c>
      <c r="AH28" s="446">
        <f t="shared" si="20"/>
        <v>0.16763565891472867</v>
      </c>
      <c r="AI28" s="446">
        <f t="shared" si="20"/>
        <v>0.16763565891472867</v>
      </c>
      <c r="AJ28" s="446">
        <f t="shared" si="20"/>
        <v>0.16763565891472867</v>
      </c>
      <c r="AK28" s="446">
        <f t="shared" si="20"/>
        <v>0.16763565891472867</v>
      </c>
      <c r="AL28" s="446">
        <f t="shared" si="20"/>
        <v>0.16763565891472867</v>
      </c>
      <c r="AM28" s="446">
        <f t="shared" si="20"/>
        <v>0.16763565891472867</v>
      </c>
      <c r="AN28" s="446">
        <f t="shared" si="20"/>
        <v>0.16763565891472867</v>
      </c>
      <c r="AO28" s="342"/>
    </row>
    <row r="29" spans="1:41" s="18" customFormat="1">
      <c r="A29" s="82" t="s">
        <v>194</v>
      </c>
      <c r="B29" s="135"/>
      <c r="C29" s="135"/>
      <c r="D29" s="135"/>
      <c r="E29" s="135"/>
      <c r="F29" s="135"/>
      <c r="G29" s="135"/>
      <c r="H29" s="135"/>
      <c r="I29" s="135"/>
      <c r="J29" s="445"/>
      <c r="K29" s="445"/>
      <c r="L29" s="445"/>
      <c r="M29" s="445"/>
      <c r="N29" s="445"/>
      <c r="O29" s="445"/>
      <c r="P29" s="445"/>
      <c r="Q29" s="445"/>
      <c r="R29" s="445"/>
      <c r="S29" s="445"/>
      <c r="T29" s="436">
        <f>T25/T27</f>
        <v>2666.7333333333331</v>
      </c>
      <c r="U29" s="437">
        <f>U25/U27</f>
        <v>2600.4827586206898</v>
      </c>
      <c r="V29" s="437">
        <f t="shared" ref="V29:AN29" si="21">V25/V27</f>
        <v>2764.7773257071294</v>
      </c>
      <c r="W29" s="437">
        <f t="shared" si="21"/>
        <v>2716.3995610700858</v>
      </c>
      <c r="X29" s="437">
        <f t="shared" si="21"/>
        <v>2702.1577321177506</v>
      </c>
      <c r="Y29" s="437">
        <f t="shared" si="21"/>
        <v>2733.9550276213467</v>
      </c>
      <c r="Z29" s="437">
        <f t="shared" si="21"/>
        <v>2763.9523890414889</v>
      </c>
      <c r="AA29" s="437">
        <f t="shared" si="21"/>
        <v>2788.5427689292114</v>
      </c>
      <c r="AB29" s="437">
        <f t="shared" si="21"/>
        <v>2817.6436401221445</v>
      </c>
      <c r="AC29" s="437">
        <f t="shared" si="21"/>
        <v>2855.489540015154</v>
      </c>
      <c r="AD29" s="437">
        <f t="shared" si="21"/>
        <v>2884.7604045542316</v>
      </c>
      <c r="AE29" s="437">
        <f t="shared" si="21"/>
        <v>2913.0859564788902</v>
      </c>
      <c r="AF29" s="437">
        <f t="shared" si="21"/>
        <v>2970.6442640623059</v>
      </c>
      <c r="AG29" s="437">
        <f t="shared" si="21"/>
        <v>3058.5359541446419</v>
      </c>
      <c r="AH29" s="437">
        <f t="shared" si="21"/>
        <v>3156.1328193364575</v>
      </c>
      <c r="AI29" s="437">
        <f t="shared" si="21"/>
        <v>3237.5926218908526</v>
      </c>
      <c r="AJ29" s="437">
        <f t="shared" si="21"/>
        <v>3325.4685892622979</v>
      </c>
      <c r="AK29" s="437">
        <f t="shared" si="21"/>
        <v>3420.4571375245273</v>
      </c>
      <c r="AL29" s="437">
        <f t="shared" si="21"/>
        <v>3501.2004574019838</v>
      </c>
      <c r="AM29" s="437">
        <f t="shared" si="21"/>
        <v>3600.5539488016984</v>
      </c>
      <c r="AN29" s="437">
        <f t="shared" si="21"/>
        <v>3710.3721230233241</v>
      </c>
      <c r="AO29" s="342"/>
    </row>
    <row r="30" spans="1:41" s="18" customFormat="1">
      <c r="A30" s="83"/>
      <c r="B30" s="135"/>
      <c r="C30" s="135"/>
      <c r="D30" s="135"/>
      <c r="E30" s="135"/>
      <c r="F30" s="135"/>
      <c r="G30" s="135"/>
      <c r="H30" s="135"/>
      <c r="I30" s="135"/>
      <c r="J30" s="445"/>
      <c r="K30" s="445"/>
      <c r="L30" s="445"/>
      <c r="M30" s="445"/>
      <c r="N30" s="445"/>
      <c r="O30" s="445"/>
      <c r="P30" s="445"/>
      <c r="Q30" s="445"/>
      <c r="R30" s="445"/>
      <c r="S30" s="445"/>
      <c r="T30" s="436"/>
      <c r="U30" s="437"/>
      <c r="V30" s="446"/>
      <c r="W30" s="446"/>
      <c r="X30" s="446"/>
      <c r="Y30" s="446"/>
      <c r="Z30" s="446"/>
      <c r="AA30" s="446"/>
      <c r="AB30" s="446"/>
      <c r="AC30" s="446"/>
      <c r="AD30" s="446"/>
      <c r="AE30" s="446"/>
      <c r="AF30" s="446"/>
      <c r="AG30" s="446"/>
      <c r="AH30" s="446"/>
      <c r="AI30" s="446"/>
      <c r="AJ30" s="446"/>
      <c r="AK30" s="446"/>
      <c r="AL30" s="446"/>
      <c r="AM30" s="446"/>
      <c r="AN30" s="446"/>
      <c r="AO30" s="342"/>
    </row>
    <row r="31" spans="1:41" s="18" customFormat="1">
      <c r="A31" s="85" t="s">
        <v>197</v>
      </c>
      <c r="B31" s="135"/>
      <c r="C31" s="135"/>
      <c r="D31" s="135"/>
      <c r="E31" s="135"/>
      <c r="F31" s="135"/>
      <c r="G31" s="135"/>
      <c r="H31" s="135"/>
      <c r="I31" s="135"/>
      <c r="J31" s="445"/>
      <c r="K31" s="445"/>
      <c r="L31" s="445"/>
      <c r="M31" s="445"/>
      <c r="N31" s="445"/>
      <c r="O31" s="445"/>
      <c r="P31" s="445"/>
      <c r="Q31" s="445"/>
      <c r="R31" s="445"/>
      <c r="S31" s="445"/>
      <c r="T31" s="436"/>
      <c r="U31" s="437"/>
      <c r="V31" s="446"/>
      <c r="W31" s="446"/>
      <c r="X31" s="446"/>
      <c r="Y31" s="446"/>
      <c r="Z31" s="446"/>
      <c r="AA31" s="446"/>
      <c r="AB31" s="446"/>
      <c r="AC31" s="446"/>
      <c r="AD31" s="446"/>
      <c r="AE31" s="446"/>
      <c r="AF31" s="446"/>
      <c r="AG31" s="446"/>
      <c r="AH31" s="446"/>
      <c r="AI31" s="446"/>
      <c r="AJ31" s="446"/>
      <c r="AK31" s="446"/>
      <c r="AL31" s="446"/>
      <c r="AM31" s="446"/>
      <c r="AN31" s="446"/>
      <c r="AO31" s="342"/>
    </row>
    <row r="32" spans="1:41" s="18" customFormat="1">
      <c r="A32" s="83" t="s">
        <v>180</v>
      </c>
      <c r="B32" s="135"/>
      <c r="C32" s="135"/>
      <c r="D32" s="135"/>
      <c r="E32" s="135"/>
      <c r="F32" s="135"/>
      <c r="G32" s="135"/>
      <c r="H32" s="135"/>
      <c r="I32" s="135"/>
      <c r="J32" s="445"/>
      <c r="K32" s="445"/>
      <c r="L32" s="445"/>
      <c r="M32" s="445"/>
      <c r="N32" s="445"/>
      <c r="O32" s="445"/>
      <c r="P32" s="445"/>
      <c r="Q32" s="445"/>
      <c r="R32" s="445"/>
      <c r="S32" s="445"/>
      <c r="T32" s="436">
        <f>'[2]2018 (2)'!$D$60</f>
        <v>46586</v>
      </c>
      <c r="U32" s="437">
        <f>'[2]2019'!$D$43</f>
        <v>41958</v>
      </c>
      <c r="V32" s="437">
        <f>V11*V33</f>
        <v>49051.290125713669</v>
      </c>
      <c r="W32" s="437">
        <f t="shared" ref="W32:AN32" si="22">W11*W33</f>
        <v>51258.598181370791</v>
      </c>
      <c r="X32" s="437">
        <f t="shared" si="22"/>
        <v>53565.235099532467</v>
      </c>
      <c r="Y32" s="437">
        <f t="shared" si="22"/>
        <v>55975.670679011426</v>
      </c>
      <c r="Z32" s="437">
        <f t="shared" si="22"/>
        <v>58494.575859566939</v>
      </c>
      <c r="AA32" s="437">
        <f t="shared" si="22"/>
        <v>61126.831773247446</v>
      </c>
      <c r="AB32" s="437">
        <f t="shared" si="22"/>
        <v>63877.539203043576</v>
      </c>
      <c r="AC32" s="437">
        <f t="shared" si="22"/>
        <v>65793.865379134892</v>
      </c>
      <c r="AD32" s="437">
        <f t="shared" si="22"/>
        <v>67767.681340508934</v>
      </c>
      <c r="AE32" s="437">
        <f t="shared" si="22"/>
        <v>69800.711780724203</v>
      </c>
      <c r="AF32" s="437">
        <f t="shared" si="22"/>
        <v>71894.733134145936</v>
      </c>
      <c r="AG32" s="437">
        <f t="shared" si="22"/>
        <v>74051.575128170312</v>
      </c>
      <c r="AH32" s="437">
        <f t="shared" si="22"/>
        <v>76273.122382015426</v>
      </c>
      <c r="AI32" s="437">
        <f t="shared" si="22"/>
        <v>78561.316053475879</v>
      </c>
      <c r="AJ32" s="437">
        <f t="shared" si="22"/>
        <v>80918.155535080165</v>
      </c>
      <c r="AK32" s="437">
        <f t="shared" si="22"/>
        <v>83345.700201132568</v>
      </c>
      <c r="AL32" s="437">
        <f t="shared" si="22"/>
        <v>85846.071207166548</v>
      </c>
      <c r="AM32" s="437">
        <f t="shared" si="22"/>
        <v>88421.453343381552</v>
      </c>
      <c r="AN32" s="437">
        <f t="shared" si="22"/>
        <v>91074.096943683006</v>
      </c>
      <c r="AO32" s="342"/>
    </row>
    <row r="33" spans="1:41" s="18" customFormat="1">
      <c r="A33" s="83" t="s">
        <v>198</v>
      </c>
      <c r="B33" s="135"/>
      <c r="C33" s="135"/>
      <c r="D33" s="135"/>
      <c r="E33" s="135"/>
      <c r="F33" s="135"/>
      <c r="G33" s="135"/>
      <c r="H33" s="135"/>
      <c r="I33" s="135"/>
      <c r="J33" s="445"/>
      <c r="K33" s="445"/>
      <c r="L33" s="445"/>
      <c r="M33" s="445"/>
      <c r="N33" s="445"/>
      <c r="O33" s="445"/>
      <c r="P33" s="445"/>
      <c r="Q33" s="445"/>
      <c r="R33" s="445"/>
      <c r="S33" s="445"/>
      <c r="T33" s="447">
        <f>T32/T11</f>
        <v>0.19849169152109075</v>
      </c>
      <c r="U33" s="446">
        <f>U32/U11</f>
        <v>0.16040646396990516</v>
      </c>
      <c r="V33" s="446">
        <f>SUM(T33:U33)/2</f>
        <v>0.17944907774549795</v>
      </c>
      <c r="W33" s="446">
        <f t="shared" ref="W33:AN33" si="23">V33</f>
        <v>0.17944907774549795</v>
      </c>
      <c r="X33" s="446">
        <f t="shared" si="23"/>
        <v>0.17944907774549795</v>
      </c>
      <c r="Y33" s="446">
        <f t="shared" si="23"/>
        <v>0.17944907774549795</v>
      </c>
      <c r="Z33" s="446">
        <f t="shared" si="23"/>
        <v>0.17944907774549795</v>
      </c>
      <c r="AA33" s="446">
        <f t="shared" si="23"/>
        <v>0.17944907774549795</v>
      </c>
      <c r="AB33" s="446">
        <f t="shared" si="23"/>
        <v>0.17944907774549795</v>
      </c>
      <c r="AC33" s="446">
        <f t="shared" si="23"/>
        <v>0.17944907774549795</v>
      </c>
      <c r="AD33" s="446">
        <f t="shared" si="23"/>
        <v>0.17944907774549795</v>
      </c>
      <c r="AE33" s="446">
        <f t="shared" si="23"/>
        <v>0.17944907774549795</v>
      </c>
      <c r="AF33" s="446">
        <f t="shared" si="23"/>
        <v>0.17944907774549795</v>
      </c>
      <c r="AG33" s="446">
        <f t="shared" si="23"/>
        <v>0.17944907774549795</v>
      </c>
      <c r="AH33" s="446">
        <f t="shared" si="23"/>
        <v>0.17944907774549795</v>
      </c>
      <c r="AI33" s="446">
        <f t="shared" si="23"/>
        <v>0.17944907774549795</v>
      </c>
      <c r="AJ33" s="446">
        <f t="shared" si="23"/>
        <v>0.17944907774549795</v>
      </c>
      <c r="AK33" s="446">
        <f t="shared" si="23"/>
        <v>0.17944907774549795</v>
      </c>
      <c r="AL33" s="446">
        <f t="shared" si="23"/>
        <v>0.17944907774549795</v>
      </c>
      <c r="AM33" s="446">
        <f t="shared" si="23"/>
        <v>0.17944907774549795</v>
      </c>
      <c r="AN33" s="446">
        <f t="shared" si="23"/>
        <v>0.17944907774549795</v>
      </c>
      <c r="AO33" s="342"/>
    </row>
    <row r="34" spans="1:41" s="18" customFormat="1">
      <c r="A34" s="83" t="s">
        <v>181</v>
      </c>
      <c r="B34" s="135"/>
      <c r="C34" s="135"/>
      <c r="D34" s="135"/>
      <c r="E34" s="135"/>
      <c r="F34" s="135"/>
      <c r="G34" s="135"/>
      <c r="H34" s="135"/>
      <c r="I34" s="135"/>
      <c r="J34" s="445"/>
      <c r="K34" s="445"/>
      <c r="L34" s="445"/>
      <c r="M34" s="445"/>
      <c r="N34" s="445"/>
      <c r="O34" s="445"/>
      <c r="P34" s="445"/>
      <c r="Q34" s="445"/>
      <c r="R34" s="445"/>
      <c r="S34" s="445"/>
      <c r="T34" s="436">
        <f>'[2]2018 (2)'!$B$60</f>
        <v>29</v>
      </c>
      <c r="U34" s="437">
        <f>'[2]2019'!$B$43</f>
        <v>25</v>
      </c>
      <c r="V34" s="437">
        <f>V12*V35</f>
        <v>28.429579112467081</v>
      </c>
      <c r="W34" s="437">
        <f t="shared" ref="W34:AN34" si="24">W12*W35</f>
        <v>30.238011518496311</v>
      </c>
      <c r="X34" s="437">
        <f t="shared" si="24"/>
        <v>31.765264348186683</v>
      </c>
      <c r="Y34" s="437">
        <f t="shared" si="24"/>
        <v>32.808629887910811</v>
      </c>
      <c r="Z34" s="437">
        <f t="shared" si="24"/>
        <v>33.912920621017498</v>
      </c>
      <c r="AA34" s="437">
        <f t="shared" si="24"/>
        <v>35.126488096179116</v>
      </c>
      <c r="AB34" s="437">
        <f t="shared" si="24"/>
        <v>36.328065078191557</v>
      </c>
      <c r="AC34" s="437">
        <f t="shared" si="24"/>
        <v>36.921980029636387</v>
      </c>
      <c r="AD34" s="437">
        <f t="shared" si="24"/>
        <v>37.643763216166917</v>
      </c>
      <c r="AE34" s="437">
        <f t="shared" si="24"/>
        <v>38.396063969132769</v>
      </c>
      <c r="AF34" s="437">
        <f t="shared" si="24"/>
        <v>38.781676812752778</v>
      </c>
      <c r="AG34" s="437">
        <f t="shared" si="24"/>
        <v>38.797243036151706</v>
      </c>
      <c r="AH34" s="437">
        <f t="shared" si="24"/>
        <v>38.725444278319863</v>
      </c>
      <c r="AI34" s="437">
        <f t="shared" si="24"/>
        <v>38.883621165893651</v>
      </c>
      <c r="AJ34" s="437">
        <f t="shared" si="24"/>
        <v>38.991799582095432</v>
      </c>
      <c r="AK34" s="437">
        <f t="shared" si="24"/>
        <v>39.04623841835339</v>
      </c>
      <c r="AL34" s="437">
        <f t="shared" si="24"/>
        <v>39.290142370301169</v>
      </c>
      <c r="AM34" s="437">
        <f t="shared" si="24"/>
        <v>39.352151470634638</v>
      </c>
      <c r="AN34" s="437">
        <f t="shared" si="24"/>
        <v>39.333044197104051</v>
      </c>
      <c r="AO34" s="342"/>
    </row>
    <row r="35" spans="1:41" s="18" customFormat="1">
      <c r="A35" s="83" t="s">
        <v>198</v>
      </c>
      <c r="B35" s="135"/>
      <c r="C35" s="135"/>
      <c r="D35" s="135"/>
      <c r="E35" s="135"/>
      <c r="F35" s="135"/>
      <c r="G35" s="135"/>
      <c r="H35" s="135"/>
      <c r="I35" s="135"/>
      <c r="J35" s="445"/>
      <c r="K35" s="445"/>
      <c r="L35" s="445"/>
      <c r="M35" s="445"/>
      <c r="N35" s="445"/>
      <c r="O35" s="445"/>
      <c r="P35" s="445"/>
      <c r="Q35" s="445"/>
      <c r="R35" s="445"/>
      <c r="S35" s="445"/>
      <c r="T35" s="447">
        <f>T34/T12</f>
        <v>0.16111111111111112</v>
      </c>
      <c r="U35" s="446">
        <f>U34/U12</f>
        <v>0.14534883720930233</v>
      </c>
      <c r="V35" s="446">
        <f t="shared" ref="V35" si="25">SUM(T35:U35)/2</f>
        <v>0.15322997416020673</v>
      </c>
      <c r="W35" s="446">
        <f>V35</f>
        <v>0.15322997416020673</v>
      </c>
      <c r="X35" s="446">
        <f t="shared" ref="X35:AN35" si="26">W35</f>
        <v>0.15322997416020673</v>
      </c>
      <c r="Y35" s="446">
        <f t="shared" si="26"/>
        <v>0.15322997416020673</v>
      </c>
      <c r="Z35" s="446">
        <f t="shared" si="26"/>
        <v>0.15322997416020673</v>
      </c>
      <c r="AA35" s="446">
        <f t="shared" si="26"/>
        <v>0.15322997416020673</v>
      </c>
      <c r="AB35" s="446">
        <f t="shared" si="26"/>
        <v>0.15322997416020673</v>
      </c>
      <c r="AC35" s="446">
        <f t="shared" si="26"/>
        <v>0.15322997416020673</v>
      </c>
      <c r="AD35" s="446">
        <f t="shared" si="26"/>
        <v>0.15322997416020673</v>
      </c>
      <c r="AE35" s="446">
        <f t="shared" si="26"/>
        <v>0.15322997416020673</v>
      </c>
      <c r="AF35" s="446">
        <f t="shared" si="26"/>
        <v>0.15322997416020673</v>
      </c>
      <c r="AG35" s="446">
        <f t="shared" si="26"/>
        <v>0.15322997416020673</v>
      </c>
      <c r="AH35" s="446">
        <f t="shared" si="26"/>
        <v>0.15322997416020673</v>
      </c>
      <c r="AI35" s="446">
        <f t="shared" si="26"/>
        <v>0.15322997416020673</v>
      </c>
      <c r="AJ35" s="446">
        <f t="shared" si="26"/>
        <v>0.15322997416020673</v>
      </c>
      <c r="AK35" s="446">
        <f t="shared" si="26"/>
        <v>0.15322997416020673</v>
      </c>
      <c r="AL35" s="446">
        <f t="shared" si="26"/>
        <v>0.15322997416020673</v>
      </c>
      <c r="AM35" s="446">
        <f t="shared" si="26"/>
        <v>0.15322997416020673</v>
      </c>
      <c r="AN35" s="446">
        <f t="shared" si="26"/>
        <v>0.15322997416020673</v>
      </c>
      <c r="AO35" s="342"/>
    </row>
    <row r="36" spans="1:41" s="18" customFormat="1">
      <c r="A36" s="82" t="s">
        <v>194</v>
      </c>
      <c r="B36" s="135"/>
      <c r="C36" s="135"/>
      <c r="D36" s="135"/>
      <c r="E36" s="135"/>
      <c r="F36" s="135"/>
      <c r="G36" s="135"/>
      <c r="H36" s="135"/>
      <c r="I36" s="135"/>
      <c r="J36" s="445"/>
      <c r="K36" s="445"/>
      <c r="L36" s="445"/>
      <c r="M36" s="445"/>
      <c r="N36" s="445"/>
      <c r="O36" s="445"/>
      <c r="P36" s="445"/>
      <c r="Q36" s="445"/>
      <c r="R36" s="445"/>
      <c r="S36" s="445"/>
      <c r="T36" s="436">
        <f>T32/T34</f>
        <v>1606.4137931034484</v>
      </c>
      <c r="U36" s="437">
        <f>U32/U34</f>
        <v>1678.32</v>
      </c>
      <c r="V36" s="437">
        <f t="shared" ref="V36:AN36" si="27">V32/V34</f>
        <v>1725.3611082903246</v>
      </c>
      <c r="W36" s="437">
        <f t="shared" si="27"/>
        <v>1695.1709324542185</v>
      </c>
      <c r="X36" s="437">
        <f t="shared" si="27"/>
        <v>1686.2833097307509</v>
      </c>
      <c r="Y36" s="437">
        <f t="shared" si="27"/>
        <v>1706.1264329004214</v>
      </c>
      <c r="Z36" s="437">
        <f t="shared" si="27"/>
        <v>1724.8463060216343</v>
      </c>
      <c r="AA36" s="437">
        <f t="shared" si="27"/>
        <v>1740.1919487617813</v>
      </c>
      <c r="AB36" s="437">
        <f t="shared" si="27"/>
        <v>1758.3523665671505</v>
      </c>
      <c r="AC36" s="437">
        <f t="shared" si="27"/>
        <v>1781.9701252837399</v>
      </c>
      <c r="AD36" s="437">
        <f t="shared" si="27"/>
        <v>1800.2366275485617</v>
      </c>
      <c r="AE36" s="437">
        <f t="shared" si="27"/>
        <v>1817.9132068546962</v>
      </c>
      <c r="AF36" s="437">
        <f t="shared" si="27"/>
        <v>1853.8325065538274</v>
      </c>
      <c r="AG36" s="437">
        <f t="shared" si="27"/>
        <v>1908.6813735493583</v>
      </c>
      <c r="AH36" s="437">
        <f t="shared" si="27"/>
        <v>1969.5867614543117</v>
      </c>
      <c r="AI36" s="437">
        <f t="shared" si="27"/>
        <v>2020.4218048082696</v>
      </c>
      <c r="AJ36" s="437">
        <f t="shared" si="27"/>
        <v>2075.2608600357294</v>
      </c>
      <c r="AK36" s="437">
        <f t="shared" si="27"/>
        <v>2134.5385260454832</v>
      </c>
      <c r="AL36" s="437">
        <f t="shared" si="27"/>
        <v>2184.9264479137219</v>
      </c>
      <c r="AM36" s="437">
        <f t="shared" si="27"/>
        <v>2246.9280595589139</v>
      </c>
      <c r="AN36" s="437">
        <f t="shared" si="27"/>
        <v>2315.4601634009418</v>
      </c>
      <c r="AO36" s="342"/>
    </row>
    <row r="37" spans="1:41" s="18" customFormat="1">
      <c r="A37" s="83"/>
      <c r="B37" s="135"/>
      <c r="C37" s="135"/>
      <c r="D37" s="135"/>
      <c r="E37" s="135"/>
      <c r="F37" s="135"/>
      <c r="G37" s="135"/>
      <c r="H37" s="135"/>
      <c r="I37" s="135"/>
      <c r="J37" s="445"/>
      <c r="K37" s="445"/>
      <c r="L37" s="445"/>
      <c r="M37" s="445"/>
      <c r="N37" s="445"/>
      <c r="O37" s="445"/>
      <c r="P37" s="445"/>
      <c r="Q37" s="445"/>
      <c r="R37" s="445"/>
      <c r="S37" s="445"/>
      <c r="T37" s="436"/>
      <c r="U37" s="437"/>
      <c r="V37" s="446"/>
      <c r="W37" s="446"/>
      <c r="X37" s="446"/>
      <c r="Y37" s="446"/>
      <c r="Z37" s="446"/>
      <c r="AA37" s="446"/>
      <c r="AB37" s="446"/>
      <c r="AC37" s="446"/>
      <c r="AD37" s="446"/>
      <c r="AE37" s="446"/>
      <c r="AF37" s="446"/>
      <c r="AG37" s="446"/>
      <c r="AH37" s="446"/>
      <c r="AI37" s="446"/>
      <c r="AJ37" s="446"/>
      <c r="AK37" s="446"/>
      <c r="AL37" s="446"/>
      <c r="AM37" s="446"/>
      <c r="AN37" s="446"/>
      <c r="AO37" s="342"/>
    </row>
    <row r="38" spans="1:41" s="422" customFormat="1" ht="14.25">
      <c r="A38" s="85" t="s">
        <v>187</v>
      </c>
      <c r="B38" s="432">
        <f>'[2]Historical Summary'!$C$21</f>
        <v>34750</v>
      </c>
      <c r="C38" s="432">
        <f>'[2]Historical Summary'!$C$20</f>
        <v>65175</v>
      </c>
      <c r="D38" s="432">
        <f>'[2]Historical Summary'!$C$19</f>
        <v>97190</v>
      </c>
      <c r="E38" s="432">
        <f>'[2]Historical Summary'!$C$18</f>
        <v>97150</v>
      </c>
      <c r="F38" s="432">
        <f>'[2]Historical Summary'!$C$17</f>
        <v>104750</v>
      </c>
      <c r="G38" s="432">
        <f>'[2]Historical Summary'!$C$16</f>
        <v>97579</v>
      </c>
      <c r="H38" s="432">
        <f>'[2]Historical Summary'!$C$15</f>
        <v>98000</v>
      </c>
      <c r="I38" s="432">
        <f>'[2]Historical Summary'!$C$14</f>
        <v>109836</v>
      </c>
      <c r="J38" s="432">
        <f>'[2]Historical Summary'!$C$13</f>
        <v>134172</v>
      </c>
      <c r="K38" s="432">
        <f>'[2]Historical Summary'!$C$12</f>
        <v>141570</v>
      </c>
      <c r="L38" s="132">
        <f>'[2]Historical Summary'!$C$11</f>
        <v>173656</v>
      </c>
      <c r="M38" s="132">
        <f>'[2]Historical Summary'!$C$10</f>
        <v>156309</v>
      </c>
      <c r="N38" s="132">
        <f>'[2]Historical Summary'!$C$9</f>
        <v>130203</v>
      </c>
      <c r="O38" s="132">
        <f>'[2]Historical Summary'!$C$8</f>
        <v>167573</v>
      </c>
      <c r="P38" s="140">
        <f>'[2]Historical Summary'!$C$7</f>
        <v>158602</v>
      </c>
      <c r="Q38" s="140">
        <f>'[2]Historical Summary'!$C$6</f>
        <v>158842</v>
      </c>
      <c r="R38" s="140">
        <f>'[2]Historical Summary'!$C$5</f>
        <v>161527</v>
      </c>
      <c r="S38" s="433">
        <f>'[2]Historical Summary'!$C$4</f>
        <v>223758</v>
      </c>
      <c r="T38" s="427">
        <f>'[2]Historical Summary'!$C$3</f>
        <v>234700</v>
      </c>
      <c r="U38" s="421">
        <f>U11</f>
        <v>261573</v>
      </c>
      <c r="V38" s="449">
        <f t="shared" ref="V38:AM38" si="28">U38</f>
        <v>261573</v>
      </c>
      <c r="W38" s="449">
        <f t="shared" si="28"/>
        <v>261573</v>
      </c>
      <c r="X38" s="449">
        <f t="shared" si="28"/>
        <v>261573</v>
      </c>
      <c r="Y38" s="449">
        <f t="shared" si="28"/>
        <v>261573</v>
      </c>
      <c r="Z38" s="449">
        <f t="shared" si="28"/>
        <v>261573</v>
      </c>
      <c r="AA38" s="449">
        <f t="shared" si="28"/>
        <v>261573</v>
      </c>
      <c r="AB38" s="449">
        <f t="shared" si="28"/>
        <v>261573</v>
      </c>
      <c r="AC38" s="449">
        <f t="shared" si="28"/>
        <v>261573</v>
      </c>
      <c r="AD38" s="449">
        <f t="shared" si="28"/>
        <v>261573</v>
      </c>
      <c r="AE38" s="449">
        <f t="shared" si="28"/>
        <v>261573</v>
      </c>
      <c r="AF38" s="449">
        <f t="shared" si="28"/>
        <v>261573</v>
      </c>
      <c r="AG38" s="449">
        <f t="shared" si="28"/>
        <v>261573</v>
      </c>
      <c r="AH38" s="449">
        <f t="shared" si="28"/>
        <v>261573</v>
      </c>
      <c r="AI38" s="449">
        <f t="shared" si="28"/>
        <v>261573</v>
      </c>
      <c r="AJ38" s="449">
        <f t="shared" si="28"/>
        <v>261573</v>
      </c>
      <c r="AK38" s="449">
        <f t="shared" si="28"/>
        <v>261573</v>
      </c>
      <c r="AL38" s="449">
        <f t="shared" si="28"/>
        <v>261573</v>
      </c>
      <c r="AM38" s="449">
        <f t="shared" si="28"/>
        <v>261573</v>
      </c>
      <c r="AN38" s="449">
        <f t="shared" ref="AN38" si="29">AM38</f>
        <v>261573</v>
      </c>
    </row>
    <row r="39" spans="1:41" s="18" customFormat="1">
      <c r="A39" s="83" t="s">
        <v>188</v>
      </c>
      <c r="B39" s="135">
        <f>'[2]Historical Summary'!$B$21</f>
        <v>36</v>
      </c>
      <c r="C39" s="135">
        <f>'[2]Historical Summary'!$B$20</f>
        <v>54</v>
      </c>
      <c r="D39" s="135">
        <f>'[2]Historical Summary'!$B$19</f>
        <v>64</v>
      </c>
      <c r="E39" s="135">
        <f>'[2]Historical Summary'!$B$18</f>
        <v>78</v>
      </c>
      <c r="F39" s="135">
        <f>'[2]Historical Summary'!$B$17</f>
        <v>87</v>
      </c>
      <c r="G39" s="135">
        <f>'[2]Historical Summary'!$B$16</f>
        <v>76</v>
      </c>
      <c r="H39" s="135">
        <f>'[2]Historical Summary'!$B$15</f>
        <v>73</v>
      </c>
      <c r="I39" s="135">
        <f>'[2]Historical Summary'!$B$14</f>
        <v>91</v>
      </c>
      <c r="J39" s="135">
        <f>'[2]Historical Summary'!$B$13</f>
        <v>107</v>
      </c>
      <c r="K39" s="135">
        <f>'[2]Historical Summary'!$B$12</f>
        <v>92</v>
      </c>
      <c r="L39" s="135">
        <f>'[2]Historical Summary'!$B$11</f>
        <v>107</v>
      </c>
      <c r="M39" s="135">
        <f>'[2]Historical Summary'!$B$10</f>
        <v>106</v>
      </c>
      <c r="N39" s="135">
        <f>'[2]Historical Summary'!$B$9</f>
        <v>108</v>
      </c>
      <c r="O39" s="135">
        <f>'[2]Historical Summary'!$B$8</f>
        <v>126</v>
      </c>
      <c r="P39" s="134">
        <f>'[2]Historical Summary'!$B$7</f>
        <v>119</v>
      </c>
      <c r="Q39" s="134">
        <f>'[2]Historical Summary'!$B$6</f>
        <v>140</v>
      </c>
      <c r="R39" s="134">
        <f>'[2]Historical Summary'!$B$5</f>
        <v>116</v>
      </c>
      <c r="S39" s="434">
        <f>'[2]Historical Summary'!$B$4</f>
        <v>164</v>
      </c>
      <c r="T39" s="448">
        <f>'[2]Historical Summary'!$B$3</f>
        <v>180</v>
      </c>
      <c r="U39" s="435">
        <f t="shared" ref="U39:U41" si="30">U12</f>
        <v>172</v>
      </c>
      <c r="V39" s="450">
        <f>V38/V40</f>
        <v>177.5458033763083</v>
      </c>
      <c r="W39" s="450">
        <f t="shared" ref="W39:AN39" si="31">W38/W40</f>
        <v>180.70780841088808</v>
      </c>
      <c r="X39" s="450">
        <f t="shared" si="31"/>
        <v>181.66023604571834</v>
      </c>
      <c r="Y39" s="450">
        <f t="shared" si="31"/>
        <v>179.54743457369693</v>
      </c>
      <c r="Z39" s="450">
        <f t="shared" si="31"/>
        <v>177.59879417441917</v>
      </c>
      <c r="AA39" s="450">
        <f t="shared" si="31"/>
        <v>176.03266369759402</v>
      </c>
      <c r="AB39" s="450">
        <f t="shared" si="31"/>
        <v>174.21458287322457</v>
      </c>
      <c r="AC39" s="450">
        <f t="shared" si="31"/>
        <v>171.90558906640871</v>
      </c>
      <c r="AD39" s="450">
        <f t="shared" si="31"/>
        <v>170.1613106843534</v>
      </c>
      <c r="AE39" s="450">
        <f t="shared" si="31"/>
        <v>168.50673779726165</v>
      </c>
      <c r="AF39" s="450">
        <f t="shared" si="31"/>
        <v>165.24180205206085</v>
      </c>
      <c r="AG39" s="450">
        <f t="shared" si="31"/>
        <v>160.49332713715074</v>
      </c>
      <c r="AH39" s="450">
        <f t="shared" si="31"/>
        <v>155.53040367688789</v>
      </c>
      <c r="AI39" s="450">
        <f t="shared" si="31"/>
        <v>151.61716397864404</v>
      </c>
      <c r="AJ39" s="450">
        <f t="shared" si="31"/>
        <v>147.61065945240705</v>
      </c>
      <c r="AK39" s="450">
        <f t="shared" si="31"/>
        <v>143.51140555572994</v>
      </c>
      <c r="AL39" s="450">
        <f t="shared" si="31"/>
        <v>140.20180147397789</v>
      </c>
      <c r="AM39" s="450">
        <f t="shared" si="31"/>
        <v>136.333080528523</v>
      </c>
      <c r="AN39" s="450">
        <f t="shared" si="31"/>
        <v>132.29794618263085</v>
      </c>
      <c r="AO39" s="342"/>
    </row>
    <row r="40" spans="1:41" s="18" customFormat="1">
      <c r="A40" s="82" t="s">
        <v>194</v>
      </c>
      <c r="B40" s="128">
        <f t="shared" ref="B40:T40" si="32">B38/B12</f>
        <v>965.27777777777783</v>
      </c>
      <c r="C40" s="128">
        <f t="shared" si="32"/>
        <v>1206.9444444444443</v>
      </c>
      <c r="D40" s="128">
        <f t="shared" si="32"/>
        <v>1518.59375</v>
      </c>
      <c r="E40" s="128">
        <f t="shared" si="32"/>
        <v>1245.5128205128206</v>
      </c>
      <c r="F40" s="128">
        <f t="shared" si="32"/>
        <v>1204.0229885057472</v>
      </c>
      <c r="G40" s="128">
        <f t="shared" si="32"/>
        <v>1283.9342105263158</v>
      </c>
      <c r="H40" s="128">
        <f t="shared" si="32"/>
        <v>1342.4657534246576</v>
      </c>
      <c r="I40" s="128">
        <f t="shared" si="32"/>
        <v>1206.9890109890109</v>
      </c>
      <c r="J40" s="128">
        <f t="shared" si="32"/>
        <v>1253.9439252336449</v>
      </c>
      <c r="K40" s="128">
        <f t="shared" si="32"/>
        <v>1538.804347826087</v>
      </c>
      <c r="L40" s="128">
        <f t="shared" si="32"/>
        <v>1622.9532710280373</v>
      </c>
      <c r="M40" s="128">
        <f t="shared" si="32"/>
        <v>1474.6132075471698</v>
      </c>
      <c r="N40" s="128">
        <f t="shared" si="32"/>
        <v>1205.5833333333333</v>
      </c>
      <c r="O40" s="128">
        <f t="shared" si="32"/>
        <v>1329.9444444444443</v>
      </c>
      <c r="P40" s="128">
        <f t="shared" si="32"/>
        <v>1332.7899159663866</v>
      </c>
      <c r="Q40" s="128">
        <f t="shared" si="32"/>
        <v>1134.5857142857142</v>
      </c>
      <c r="R40" s="128">
        <f t="shared" si="32"/>
        <v>1392.4741379310344</v>
      </c>
      <c r="S40" s="434">
        <f t="shared" si="32"/>
        <v>1364.3780487804879</v>
      </c>
      <c r="T40" s="440">
        <f t="shared" si="32"/>
        <v>1303.8888888888889</v>
      </c>
      <c r="U40" s="435">
        <f t="shared" si="30"/>
        <v>1520.7732558139535</v>
      </c>
      <c r="V40" s="451">
        <f t="shared" ref="V40:AN40" si="33">V13</f>
        <v>1473.2705309040512</v>
      </c>
      <c r="W40" s="451">
        <f t="shared" si="33"/>
        <v>1447.4914078158872</v>
      </c>
      <c r="X40" s="451">
        <f t="shared" si="33"/>
        <v>1439.902345685437</v>
      </c>
      <c r="Y40" s="451">
        <f t="shared" si="33"/>
        <v>1456.8462123731147</v>
      </c>
      <c r="Z40" s="451">
        <f t="shared" si="33"/>
        <v>1472.8309458177405</v>
      </c>
      <c r="AA40" s="451">
        <f t="shared" si="33"/>
        <v>1485.9344538997345</v>
      </c>
      <c r="AB40" s="451">
        <f t="shared" si="33"/>
        <v>1501.4414734175605</v>
      </c>
      <c r="AC40" s="451">
        <f t="shared" si="33"/>
        <v>1521.6084678837983</v>
      </c>
      <c r="AD40" s="451">
        <f t="shared" si="33"/>
        <v>1537.2060719796282</v>
      </c>
      <c r="AE40" s="451">
        <f t="shared" si="33"/>
        <v>1552.2999460989549</v>
      </c>
      <c r="AF40" s="451">
        <f t="shared" si="33"/>
        <v>1582.971117184919</v>
      </c>
      <c r="AG40" s="451">
        <f t="shared" si="33"/>
        <v>1629.8060777098283</v>
      </c>
      <c r="AH40" s="451">
        <f t="shared" si="33"/>
        <v>1681.8126476635016</v>
      </c>
      <c r="AI40" s="451">
        <f t="shared" si="33"/>
        <v>1725.2202398195743</v>
      </c>
      <c r="AJ40" s="451">
        <f t="shared" si="33"/>
        <v>1772.0468221628462</v>
      </c>
      <c r="AK40" s="451">
        <f t="shared" si="33"/>
        <v>1822.6634948427363</v>
      </c>
      <c r="AL40" s="451">
        <f t="shared" si="33"/>
        <v>1865.6892939321408</v>
      </c>
      <c r="AM40" s="451">
        <f t="shared" si="33"/>
        <v>1918.6319196042436</v>
      </c>
      <c r="AN40" s="451">
        <f t="shared" si="33"/>
        <v>1977.150874579045</v>
      </c>
    </row>
    <row r="41" spans="1:41" s="18" customFormat="1">
      <c r="A41" s="82" t="s">
        <v>185</v>
      </c>
      <c r="B41" s="437"/>
      <c r="C41" s="437"/>
      <c r="D41" s="437"/>
      <c r="E41" s="437"/>
      <c r="F41" s="437"/>
      <c r="G41" s="437"/>
      <c r="H41" s="437"/>
      <c r="I41" s="437"/>
      <c r="J41" s="135">
        <f t="shared" ref="J41:T41" si="34">J14</f>
        <v>39</v>
      </c>
      <c r="K41" s="135">
        <f t="shared" si="34"/>
        <v>21</v>
      </c>
      <c r="L41" s="135">
        <f t="shared" si="34"/>
        <v>31</v>
      </c>
      <c r="M41" s="135">
        <f t="shared" si="34"/>
        <v>41</v>
      </c>
      <c r="N41" s="135">
        <f t="shared" si="34"/>
        <v>28</v>
      </c>
      <c r="O41" s="135">
        <f t="shared" si="34"/>
        <v>49</v>
      </c>
      <c r="P41" s="135">
        <f t="shared" si="34"/>
        <v>46</v>
      </c>
      <c r="Q41" s="135">
        <f t="shared" si="34"/>
        <v>40</v>
      </c>
      <c r="R41" s="135">
        <f t="shared" si="34"/>
        <v>36</v>
      </c>
      <c r="S41" s="135">
        <f t="shared" si="34"/>
        <v>46</v>
      </c>
      <c r="T41" s="436">
        <f t="shared" si="34"/>
        <v>46</v>
      </c>
      <c r="U41" s="435">
        <f t="shared" si="30"/>
        <v>35</v>
      </c>
      <c r="V41" s="451">
        <f>V39*V42</f>
        <v>42.917210381325567</v>
      </c>
      <c r="W41" s="451">
        <f t="shared" ref="W41:AN41" si="35">W39*W42</f>
        <v>43.270552645337958</v>
      </c>
      <c r="X41" s="451">
        <f t="shared" si="35"/>
        <v>40.637282691286423</v>
      </c>
      <c r="Y41" s="451">
        <f t="shared" si="35"/>
        <v>38.683080333577543</v>
      </c>
      <c r="Z41" s="451">
        <f t="shared" si="35"/>
        <v>37.898073733193527</v>
      </c>
      <c r="AA41" s="451">
        <f t="shared" si="35"/>
        <v>35.093291046800879</v>
      </c>
      <c r="AB41" s="451">
        <f t="shared" si="35"/>
        <v>34.716780876482879</v>
      </c>
      <c r="AC41" s="451">
        <f t="shared" si="35"/>
        <v>34.827455777349392</v>
      </c>
      <c r="AD41" s="451">
        <f t="shared" si="35"/>
        <v>34.344548972971587</v>
      </c>
      <c r="AE41" s="451">
        <f t="shared" si="35"/>
        <v>33.192131413957526</v>
      </c>
      <c r="AF41" s="451">
        <f t="shared" si="35"/>
        <v>33.010254447723185</v>
      </c>
      <c r="AG41" s="451">
        <f t="shared" si="35"/>
        <v>32.968059656809359</v>
      </c>
      <c r="AH41" s="451">
        <f t="shared" si="35"/>
        <v>31.634294194849314</v>
      </c>
      <c r="AI41" s="451">
        <f t="shared" si="35"/>
        <v>31.015572370337459</v>
      </c>
      <c r="AJ41" s="451">
        <f t="shared" si="35"/>
        <v>30.626969994265668</v>
      </c>
      <c r="AK41" s="451">
        <f t="shared" si="35"/>
        <v>30.177080021266054</v>
      </c>
      <c r="AL41" s="451">
        <f t="shared" si="35"/>
        <v>29.682596930456238</v>
      </c>
      <c r="AM41" s="451">
        <f t="shared" si="35"/>
        <v>29.259505594250786</v>
      </c>
      <c r="AN41" s="451">
        <f t="shared" si="35"/>
        <v>28.646418828462515</v>
      </c>
    </row>
    <row r="42" spans="1:41" s="18" customFormat="1">
      <c r="A42" s="82" t="s">
        <v>186</v>
      </c>
      <c r="B42" s="82"/>
      <c r="C42" s="82"/>
      <c r="D42" s="82"/>
      <c r="E42" s="82"/>
      <c r="F42" s="82"/>
      <c r="G42" s="82"/>
      <c r="H42" s="82"/>
      <c r="I42" s="82"/>
      <c r="J42" s="445">
        <f t="shared" ref="J42:T42" si="36">J15</f>
        <v>0.3644859813084112</v>
      </c>
      <c r="K42" s="445">
        <f t="shared" si="36"/>
        <v>0.22826086956521738</v>
      </c>
      <c r="L42" s="445">
        <f t="shared" si="36"/>
        <v>0.28971962616822428</v>
      </c>
      <c r="M42" s="445">
        <f t="shared" si="36"/>
        <v>0.3867924528301887</v>
      </c>
      <c r="N42" s="445">
        <f t="shared" si="36"/>
        <v>0.25925925925925924</v>
      </c>
      <c r="O42" s="445">
        <f t="shared" si="36"/>
        <v>0.3888888888888889</v>
      </c>
      <c r="P42" s="445">
        <f t="shared" si="36"/>
        <v>0.38655462184873951</v>
      </c>
      <c r="Q42" s="445">
        <f t="shared" si="36"/>
        <v>0.2857142857142857</v>
      </c>
      <c r="R42" s="445">
        <f t="shared" si="36"/>
        <v>0.31034482758620691</v>
      </c>
      <c r="S42" s="445">
        <f t="shared" si="36"/>
        <v>0.28048780487804881</v>
      </c>
      <c r="T42" s="447">
        <f t="shared" si="36"/>
        <v>0.25555555555555554</v>
      </c>
      <c r="U42" s="466">
        <f>U15</f>
        <v>0.20348837209302326</v>
      </c>
      <c r="V42" s="452">
        <f>V15</f>
        <v>0.24172472435387587</v>
      </c>
      <c r="W42" s="452">
        <f t="shared" ref="W42:AN42" si="37">W15</f>
        <v>0.23945037586284401</v>
      </c>
      <c r="X42" s="452">
        <f t="shared" si="37"/>
        <v>0.22369938284710397</v>
      </c>
      <c r="Y42" s="452">
        <f t="shared" si="37"/>
        <v>0.21544769172237718</v>
      </c>
      <c r="Z42" s="452">
        <f t="shared" si="37"/>
        <v>0.21339150363810441</v>
      </c>
      <c r="AA42" s="452">
        <f t="shared" si="37"/>
        <v>0.19935670068077557</v>
      </c>
      <c r="AB42" s="452">
        <f t="shared" si="37"/>
        <v>0.19927597508726452</v>
      </c>
      <c r="AC42" s="452">
        <f t="shared" si="37"/>
        <v>0.20259641333648104</v>
      </c>
      <c r="AD42" s="452">
        <f t="shared" si="37"/>
        <v>0.20183523995463454</v>
      </c>
      <c r="AE42" s="452">
        <f t="shared" si="37"/>
        <v>0.19697806656189937</v>
      </c>
      <c r="AF42" s="452">
        <f t="shared" si="37"/>
        <v>0.19976939271893818</v>
      </c>
      <c r="AG42" s="452">
        <f t="shared" si="37"/>
        <v>0.20541701169068707</v>
      </c>
      <c r="AH42" s="452">
        <f t="shared" si="37"/>
        <v>0.20339620708867376</v>
      </c>
      <c r="AI42" s="452">
        <f t="shared" si="37"/>
        <v>0.20456504762683822</v>
      </c>
      <c r="AJ42" s="452">
        <f t="shared" si="37"/>
        <v>0.20748481246464781</v>
      </c>
      <c r="AK42" s="452">
        <f t="shared" si="37"/>
        <v>0.21027652753040146</v>
      </c>
      <c r="AL42" s="452">
        <f t="shared" si="37"/>
        <v>0.21171337756288008</v>
      </c>
      <c r="AM42" s="452">
        <f t="shared" si="37"/>
        <v>0.21461779841561815</v>
      </c>
      <c r="AN42" s="452">
        <f t="shared" si="37"/>
        <v>0.21652958080632281</v>
      </c>
    </row>
    <row r="43" spans="1:41" s="18" customFormat="1">
      <c r="A43" s="82"/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128"/>
      <c r="M43" s="128"/>
      <c r="N43" s="128"/>
      <c r="O43" s="128"/>
      <c r="P43" s="128"/>
      <c r="Q43" s="128"/>
      <c r="R43" s="128"/>
      <c r="S43" s="143"/>
      <c r="T43" s="373"/>
      <c r="U43" s="441"/>
      <c r="V43" s="451"/>
      <c r="W43" s="451"/>
      <c r="X43" s="451"/>
      <c r="Y43" s="451"/>
      <c r="Z43" s="451"/>
      <c r="AA43" s="451"/>
      <c r="AB43" s="451"/>
      <c r="AC43" s="451"/>
      <c r="AD43" s="451"/>
      <c r="AE43" s="451"/>
      <c r="AF43" s="451"/>
      <c r="AG43" s="451"/>
      <c r="AH43" s="451"/>
      <c r="AI43" s="451"/>
      <c r="AJ43" s="451"/>
      <c r="AK43" s="451"/>
      <c r="AL43" s="451"/>
      <c r="AM43" s="451"/>
      <c r="AN43" s="451"/>
    </row>
    <row r="44" spans="1:41" s="56" customFormat="1" ht="14.25">
      <c r="A44" s="163" t="s">
        <v>184</v>
      </c>
      <c r="B44" s="442"/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3">
        <f t="shared" ref="T44:AN44" si="38">T38/T11</f>
        <v>1</v>
      </c>
      <c r="U44" s="442">
        <f t="shared" si="38"/>
        <v>1</v>
      </c>
      <c r="V44" s="453">
        <f t="shared" si="38"/>
        <v>0.95693779904306231</v>
      </c>
      <c r="W44" s="453">
        <f t="shared" si="38"/>
        <v>0.91572995123738021</v>
      </c>
      <c r="X44" s="453">
        <f t="shared" si="38"/>
        <v>0.87629660405490939</v>
      </c>
      <c r="Y44" s="453">
        <f t="shared" si="38"/>
        <v>0.83856134359321477</v>
      </c>
      <c r="Z44" s="453">
        <f t="shared" si="38"/>
        <v>0.802451046500684</v>
      </c>
      <c r="AA44" s="453">
        <f t="shared" si="38"/>
        <v>0.7678957382781666</v>
      </c>
      <c r="AB44" s="453">
        <f t="shared" si="38"/>
        <v>0.73482845768245608</v>
      </c>
      <c r="AC44" s="453">
        <f t="shared" si="38"/>
        <v>0.7134256870703457</v>
      </c>
      <c r="AD44" s="453">
        <f t="shared" si="38"/>
        <v>0.69264629812654921</v>
      </c>
      <c r="AE44" s="453">
        <f t="shared" si="38"/>
        <v>0.67247213410344575</v>
      </c>
      <c r="AF44" s="453">
        <f t="shared" si="38"/>
        <v>0.65288556709072398</v>
      </c>
      <c r="AG44" s="453">
        <f t="shared" si="38"/>
        <v>0.63386948261235343</v>
      </c>
      <c r="AH44" s="453">
        <f t="shared" si="38"/>
        <v>0.61540726467218776</v>
      </c>
      <c r="AI44" s="453">
        <f t="shared" si="38"/>
        <v>0.59748278123513376</v>
      </c>
      <c r="AJ44" s="453">
        <f t="shared" si="38"/>
        <v>0.58008037013119784</v>
      </c>
      <c r="AK44" s="453">
        <f t="shared" si="38"/>
        <v>0.56318482537009495</v>
      </c>
      <c r="AL44" s="453">
        <f t="shared" si="38"/>
        <v>0.54678138385446118</v>
      </c>
      <c r="AM44" s="453">
        <f t="shared" si="38"/>
        <v>0.53085571248005936</v>
      </c>
      <c r="AN44" s="453">
        <f t="shared" si="38"/>
        <v>0.51539389561170801</v>
      </c>
    </row>
    <row r="45" spans="1:41" s="56" customFormat="1" ht="14.25">
      <c r="A45" s="163"/>
      <c r="B45" s="442"/>
      <c r="C45" s="442"/>
      <c r="D45" s="442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2"/>
      <c r="Q45" s="442"/>
      <c r="R45" s="442"/>
      <c r="S45" s="442"/>
      <c r="T45" s="443"/>
      <c r="U45" s="456"/>
      <c r="V45" s="456"/>
      <c r="W45" s="456"/>
      <c r="X45" s="456"/>
      <c r="Y45" s="456"/>
      <c r="Z45" s="456"/>
      <c r="AA45" s="456"/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</row>
    <row r="46" spans="1:41">
      <c r="A46" s="457" t="s">
        <v>193</v>
      </c>
      <c r="T46" s="400"/>
    </row>
    <row r="47" spans="1:41" s="18" customFormat="1">
      <c r="A47" s="458" t="s">
        <v>180</v>
      </c>
      <c r="L47" s="127"/>
      <c r="M47" s="127"/>
      <c r="N47" s="127"/>
      <c r="O47" s="127"/>
      <c r="P47" s="127"/>
      <c r="Q47" s="127"/>
      <c r="R47" s="127"/>
      <c r="S47" s="139"/>
      <c r="T47" s="400"/>
    </row>
    <row r="48" spans="1:41" s="18" customFormat="1">
      <c r="A48" s="83" t="s">
        <v>189</v>
      </c>
      <c r="L48" s="127"/>
      <c r="M48" s="127"/>
      <c r="N48" s="127"/>
      <c r="O48" s="127"/>
      <c r="P48" s="127"/>
      <c r="Q48" s="141">
        <f>Q38-Q50</f>
        <v>155972</v>
      </c>
      <c r="R48" s="141">
        <f t="shared" ref="R48:U48" si="39">R38-R50</f>
        <v>159586</v>
      </c>
      <c r="S48" s="141">
        <f t="shared" si="39"/>
        <v>221858</v>
      </c>
      <c r="T48" s="474">
        <f t="shared" si="39"/>
        <v>232804</v>
      </c>
      <c r="U48" s="473">
        <f t="shared" si="39"/>
        <v>260073</v>
      </c>
      <c r="V48" s="277"/>
      <c r="W48" s="277"/>
      <c r="X48" s="277"/>
      <c r="Y48" s="277"/>
      <c r="Z48" s="277"/>
      <c r="AA48" s="277"/>
      <c r="AB48" s="277"/>
      <c r="AC48" s="277"/>
      <c r="AD48" s="277"/>
      <c r="AE48" s="277"/>
      <c r="AF48" s="277"/>
      <c r="AG48" s="277"/>
      <c r="AH48" s="277"/>
      <c r="AI48" s="277"/>
      <c r="AJ48" s="277"/>
      <c r="AK48" s="277"/>
      <c r="AL48" s="277"/>
      <c r="AM48" s="277"/>
      <c r="AN48" s="277"/>
    </row>
    <row r="49" spans="1:41" s="18" customFormat="1">
      <c r="A49" s="83" t="s">
        <v>192</v>
      </c>
      <c r="L49" s="127"/>
      <c r="M49" s="127"/>
      <c r="N49" s="127"/>
      <c r="O49" s="127"/>
      <c r="P49" s="127"/>
      <c r="Q49" s="464">
        <f>Q48/Q38</f>
        <v>0.98193173090240615</v>
      </c>
      <c r="R49" s="464">
        <f t="shared" ref="R49:U49" si="40">R48/R38</f>
        <v>0.98798343311025405</v>
      </c>
      <c r="S49" s="464">
        <f t="shared" si="40"/>
        <v>0.99150868348841159</v>
      </c>
      <c r="T49" s="467">
        <f t="shared" si="40"/>
        <v>0.991921602045164</v>
      </c>
      <c r="U49" s="466">
        <f t="shared" si="40"/>
        <v>0.99426546317853903</v>
      </c>
      <c r="V49" s="277"/>
      <c r="W49" s="277"/>
      <c r="X49" s="277"/>
      <c r="Y49" s="277"/>
      <c r="Z49" s="277"/>
      <c r="AA49" s="277"/>
      <c r="AB49" s="277"/>
      <c r="AC49" s="277"/>
      <c r="AD49" s="277"/>
      <c r="AE49" s="277"/>
      <c r="AF49" s="277"/>
      <c r="AG49" s="277"/>
      <c r="AH49" s="277"/>
      <c r="AI49" s="277"/>
      <c r="AJ49" s="277"/>
      <c r="AK49" s="277"/>
      <c r="AL49" s="277"/>
      <c r="AM49" s="277"/>
      <c r="AN49" s="277"/>
    </row>
    <row r="50" spans="1:41" s="18" customFormat="1">
      <c r="A50" s="83" t="s">
        <v>190</v>
      </c>
      <c r="L50" s="127"/>
      <c r="M50" s="127"/>
      <c r="N50" s="127"/>
      <c r="O50" s="127"/>
      <c r="P50" s="127"/>
      <c r="Q50" s="434">
        <f>2870</f>
        <v>2870</v>
      </c>
      <c r="R50" s="434">
        <v>1941</v>
      </c>
      <c r="S50" s="434">
        <v>1900</v>
      </c>
      <c r="T50" s="448">
        <v>1896</v>
      </c>
      <c r="U50" s="435">
        <v>1500</v>
      </c>
      <c r="V50" s="277"/>
      <c r="W50" s="277"/>
      <c r="X50" s="277"/>
      <c r="Y50" s="277"/>
      <c r="Z50" s="277"/>
      <c r="AA50" s="277"/>
      <c r="AB50" s="277"/>
      <c r="AC50" s="277"/>
      <c r="AD50" s="277"/>
      <c r="AE50" s="277"/>
      <c r="AF50" s="277"/>
      <c r="AG50" s="277"/>
      <c r="AH50" s="277"/>
      <c r="AI50" s="277"/>
      <c r="AJ50" s="277"/>
      <c r="AK50" s="277"/>
      <c r="AL50" s="277"/>
      <c r="AM50" s="277"/>
      <c r="AN50" s="277"/>
    </row>
    <row r="51" spans="1:41" s="18" customFormat="1">
      <c r="A51" s="83" t="s">
        <v>192</v>
      </c>
      <c r="L51" s="127"/>
      <c r="M51" s="127"/>
      <c r="N51" s="127"/>
      <c r="O51" s="127"/>
      <c r="P51" s="127"/>
      <c r="Q51" s="464">
        <f>Q50/Q38</f>
        <v>1.8068269097593834E-2</v>
      </c>
      <c r="R51" s="464">
        <f t="shared" ref="R51:U51" si="41">R50/R38</f>
        <v>1.2016566889745986E-2</v>
      </c>
      <c r="S51" s="464">
        <f t="shared" si="41"/>
        <v>8.4913165115884127E-3</v>
      </c>
      <c r="T51" s="467">
        <f t="shared" si="41"/>
        <v>8.0783979548359613E-3</v>
      </c>
      <c r="U51" s="466">
        <f t="shared" si="41"/>
        <v>5.7345368214609307E-3</v>
      </c>
      <c r="V51" s="277"/>
      <c r="W51" s="277"/>
      <c r="X51" s="277"/>
      <c r="Y51" s="277"/>
      <c r="Z51" s="277"/>
      <c r="AA51" s="277"/>
      <c r="AB51" s="277"/>
      <c r="AC51" s="277"/>
      <c r="AD51" s="277"/>
      <c r="AE51" s="277"/>
      <c r="AF51" s="277"/>
      <c r="AG51" s="277"/>
      <c r="AH51" s="277"/>
      <c r="AI51" s="277"/>
      <c r="AJ51" s="277"/>
      <c r="AK51" s="277"/>
      <c r="AL51" s="277"/>
      <c r="AM51" s="277"/>
      <c r="AN51" s="277"/>
    </row>
    <row r="52" spans="1:41" s="56" customFormat="1" ht="14.25">
      <c r="A52" s="85" t="s">
        <v>191</v>
      </c>
      <c r="B52" s="442"/>
      <c r="C52" s="442"/>
      <c r="D52" s="442"/>
      <c r="E52" s="442"/>
      <c r="F52" s="442"/>
      <c r="G52" s="442"/>
      <c r="H52" s="442"/>
      <c r="I52" s="442"/>
      <c r="J52" s="442"/>
      <c r="K52" s="442"/>
      <c r="L52" s="442"/>
      <c r="M52" s="442"/>
      <c r="N52" s="442"/>
      <c r="O52" s="442"/>
      <c r="P52" s="442"/>
      <c r="Q52" s="433">
        <v>0</v>
      </c>
      <c r="R52" s="433">
        <v>0</v>
      </c>
      <c r="S52" s="433">
        <v>0</v>
      </c>
      <c r="T52" s="469">
        <v>0</v>
      </c>
      <c r="U52" s="421">
        <v>0</v>
      </c>
      <c r="V52" s="462"/>
      <c r="W52" s="462"/>
      <c r="X52" s="462"/>
      <c r="Y52" s="462"/>
      <c r="Z52" s="462"/>
      <c r="AA52" s="462"/>
      <c r="AB52" s="462"/>
      <c r="AC52" s="462"/>
      <c r="AD52" s="462"/>
      <c r="AE52" s="462"/>
      <c r="AF52" s="462"/>
      <c r="AG52" s="462"/>
      <c r="AH52" s="462"/>
      <c r="AI52" s="462"/>
      <c r="AJ52" s="462"/>
      <c r="AK52" s="462"/>
      <c r="AL52" s="462"/>
      <c r="AM52" s="462"/>
      <c r="AN52" s="462"/>
    </row>
    <row r="53" spans="1:41" s="56" customFormat="1" ht="14.25">
      <c r="A53" s="85" t="s">
        <v>192</v>
      </c>
      <c r="B53" s="442"/>
      <c r="C53" s="442"/>
      <c r="D53" s="442"/>
      <c r="E53" s="442"/>
      <c r="F53" s="442"/>
      <c r="G53" s="442"/>
      <c r="H53" s="442"/>
      <c r="I53" s="442"/>
      <c r="J53" s="442"/>
      <c r="K53" s="442"/>
      <c r="L53" s="442"/>
      <c r="M53" s="442"/>
      <c r="N53" s="442"/>
      <c r="O53" s="442"/>
      <c r="P53" s="442"/>
      <c r="Q53" s="472">
        <v>0</v>
      </c>
      <c r="R53" s="472">
        <v>0</v>
      </c>
      <c r="S53" s="472">
        <v>0</v>
      </c>
      <c r="T53" s="471">
        <v>0</v>
      </c>
      <c r="U53" s="199">
        <v>0</v>
      </c>
      <c r="V53" s="462"/>
      <c r="W53" s="462"/>
      <c r="X53" s="462"/>
      <c r="Y53" s="462"/>
      <c r="Z53" s="462"/>
      <c r="AA53" s="462"/>
      <c r="AB53" s="462"/>
      <c r="AC53" s="462"/>
      <c r="AD53" s="462"/>
      <c r="AE53" s="462"/>
      <c r="AF53" s="462"/>
      <c r="AG53" s="462"/>
      <c r="AH53" s="462"/>
      <c r="AI53" s="462"/>
      <c r="AJ53" s="462"/>
      <c r="AK53" s="462"/>
      <c r="AL53" s="462"/>
      <c r="AM53" s="462"/>
      <c r="AN53" s="462"/>
    </row>
    <row r="54" spans="1:41" s="56" customFormat="1" ht="14.25">
      <c r="A54" s="163"/>
      <c r="B54" s="442"/>
      <c r="C54" s="442"/>
      <c r="D54" s="442"/>
      <c r="E54" s="442"/>
      <c r="F54" s="442"/>
      <c r="G54" s="442"/>
      <c r="H54" s="442"/>
      <c r="I54" s="442"/>
      <c r="J54" s="442"/>
      <c r="K54" s="442"/>
      <c r="L54" s="442"/>
      <c r="M54" s="442"/>
      <c r="N54" s="442"/>
      <c r="O54" s="442"/>
      <c r="P54" s="442"/>
      <c r="Q54" s="442"/>
      <c r="R54" s="442"/>
      <c r="S54" s="442"/>
      <c r="T54" s="443"/>
      <c r="U54" s="442"/>
      <c r="V54" s="456"/>
      <c r="W54" s="456"/>
      <c r="X54" s="456"/>
      <c r="Y54" s="456"/>
      <c r="Z54" s="456"/>
      <c r="AA54" s="456"/>
      <c r="AB54" s="456"/>
      <c r="AC54" s="456"/>
      <c r="AD54" s="456"/>
      <c r="AE54" s="456"/>
      <c r="AF54" s="456"/>
      <c r="AG54" s="456"/>
      <c r="AH54" s="456"/>
      <c r="AI54" s="456"/>
      <c r="AJ54" s="456"/>
      <c r="AK54" s="456"/>
      <c r="AL54" s="456"/>
      <c r="AM54" s="456"/>
      <c r="AN54" s="456"/>
    </row>
    <row r="55" spans="1:41" s="56" customFormat="1">
      <c r="A55" s="459" t="s">
        <v>181</v>
      </c>
      <c r="B55" s="442"/>
      <c r="C55" s="442"/>
      <c r="D55" s="442"/>
      <c r="E55" s="442"/>
      <c r="F55" s="442"/>
      <c r="G55" s="442"/>
      <c r="H55" s="442"/>
      <c r="I55" s="442"/>
      <c r="J55" s="442"/>
      <c r="K55" s="442"/>
      <c r="L55" s="442"/>
      <c r="M55" s="442"/>
      <c r="N55" s="442"/>
      <c r="O55" s="442"/>
      <c r="P55" s="442"/>
      <c r="Q55" s="442"/>
      <c r="R55" s="442"/>
      <c r="S55" s="442"/>
      <c r="T55" s="443"/>
      <c r="U55" s="442"/>
      <c r="V55" s="456"/>
      <c r="W55" s="456"/>
      <c r="X55" s="456"/>
      <c r="Y55" s="456"/>
      <c r="Z55" s="456"/>
      <c r="AA55" s="456"/>
      <c r="AB55" s="456"/>
      <c r="AC55" s="456"/>
      <c r="AD55" s="456"/>
      <c r="AE55" s="456"/>
      <c r="AF55" s="456"/>
      <c r="AG55" s="456"/>
      <c r="AH55" s="456"/>
      <c r="AI55" s="456"/>
      <c r="AJ55" s="456"/>
      <c r="AK55" s="456"/>
      <c r="AL55" s="456"/>
      <c r="AM55" s="456"/>
      <c r="AN55" s="456"/>
    </row>
    <row r="56" spans="1:41" s="33" customFormat="1">
      <c r="A56" s="83" t="s">
        <v>189</v>
      </c>
      <c r="B56" s="307"/>
      <c r="C56" s="307"/>
      <c r="D56" s="307"/>
      <c r="E56" s="307"/>
      <c r="F56" s="307"/>
      <c r="G56" s="307"/>
      <c r="H56" s="307"/>
      <c r="I56" s="307"/>
      <c r="J56" s="307"/>
      <c r="K56" s="307"/>
      <c r="L56" s="307"/>
      <c r="M56" s="307"/>
      <c r="N56" s="307"/>
      <c r="O56" s="307"/>
      <c r="P56" s="307"/>
      <c r="Q56" s="434">
        <f>'[2]Historical Summary'!$E$6</f>
        <v>104</v>
      </c>
      <c r="R56" s="434">
        <f>'[2]Historical Summary'!$E$5</f>
        <v>96</v>
      </c>
      <c r="S56" s="434">
        <f>'[2]Historical Summary'!$E$4</f>
        <v>145</v>
      </c>
      <c r="T56" s="448">
        <f>'[2]Historical Summary'!$E$3</f>
        <v>161</v>
      </c>
      <c r="U56" s="435">
        <f>'[2]Historical Summary'!$E$2</f>
        <v>157</v>
      </c>
      <c r="V56" s="454"/>
      <c r="W56" s="454"/>
      <c r="X56" s="454"/>
      <c r="Y56" s="454"/>
      <c r="Z56" s="454"/>
      <c r="AA56" s="454"/>
      <c r="AB56" s="454"/>
      <c r="AC56" s="454"/>
      <c r="AD56" s="454"/>
      <c r="AE56" s="454"/>
      <c r="AF56" s="454"/>
      <c r="AG56" s="454"/>
      <c r="AH56" s="454"/>
      <c r="AI56" s="454"/>
      <c r="AJ56" s="454"/>
      <c r="AK56" s="454"/>
      <c r="AL56" s="454"/>
      <c r="AM56" s="454"/>
      <c r="AN56" s="454"/>
    </row>
    <row r="57" spans="1:41" s="56" customFormat="1">
      <c r="A57" s="83" t="s">
        <v>192</v>
      </c>
      <c r="B57" s="442"/>
      <c r="C57" s="442"/>
      <c r="D57" s="442"/>
      <c r="E57" s="442"/>
      <c r="F57" s="442"/>
      <c r="G57" s="442"/>
      <c r="H57" s="442"/>
      <c r="I57" s="442"/>
      <c r="J57" s="442"/>
      <c r="K57" s="442"/>
      <c r="L57" s="442"/>
      <c r="M57" s="442"/>
      <c r="N57" s="442"/>
      <c r="O57" s="442"/>
      <c r="P57" s="442"/>
      <c r="Q57" s="464">
        <f>Q56/Q39</f>
        <v>0.74285714285714288</v>
      </c>
      <c r="R57" s="464">
        <f>R56/R39</f>
        <v>0.82758620689655171</v>
      </c>
      <c r="S57" s="464">
        <f>S56/S39</f>
        <v>0.88414634146341464</v>
      </c>
      <c r="T57" s="467">
        <f>T56/T39</f>
        <v>0.89444444444444449</v>
      </c>
      <c r="U57" s="466">
        <f>U56/U39</f>
        <v>0.91279069767441856</v>
      </c>
      <c r="V57" s="455"/>
      <c r="W57" s="455"/>
      <c r="X57" s="455"/>
      <c r="Y57" s="455"/>
      <c r="Z57" s="455"/>
      <c r="AA57" s="455"/>
      <c r="AB57" s="455"/>
      <c r="AC57" s="455"/>
      <c r="AD57" s="455"/>
      <c r="AE57" s="455"/>
      <c r="AF57" s="455"/>
      <c r="AG57" s="455"/>
      <c r="AH57" s="455"/>
      <c r="AI57" s="455"/>
      <c r="AJ57" s="455"/>
      <c r="AK57" s="455"/>
      <c r="AL57" s="455"/>
      <c r="AM57" s="455"/>
      <c r="AN57" s="455"/>
      <c r="AO57" s="33"/>
    </row>
    <row r="58" spans="1:41" s="56" customFormat="1">
      <c r="A58" s="83" t="s">
        <v>190</v>
      </c>
      <c r="B58" s="442"/>
      <c r="C58" s="442"/>
      <c r="D58" s="442"/>
      <c r="E58" s="442"/>
      <c r="F58" s="442"/>
      <c r="G58" s="442"/>
      <c r="H58" s="442"/>
      <c r="I58" s="442"/>
      <c r="J58" s="442"/>
      <c r="K58" s="442"/>
      <c r="L58" s="442"/>
      <c r="M58" s="442"/>
      <c r="N58" s="442"/>
      <c r="O58" s="442"/>
      <c r="P58" s="442"/>
      <c r="Q58" s="434">
        <f>'[2]Historical Summary'!$F$6</f>
        <v>36</v>
      </c>
      <c r="R58" s="434">
        <f>'[2]Historical Summary'!$F$5</f>
        <v>20</v>
      </c>
      <c r="S58" s="433">
        <f>'[2]Historical Summary'!$F$4</f>
        <v>19</v>
      </c>
      <c r="T58" s="448">
        <f>'[2]Historical Summary'!$F$3</f>
        <v>19</v>
      </c>
      <c r="U58" s="435">
        <f>'[2]Historical Summary'!$F$2</f>
        <v>15</v>
      </c>
      <c r="V58" s="470"/>
      <c r="W58" s="470"/>
      <c r="X58" s="470"/>
      <c r="Y58" s="470"/>
      <c r="Z58" s="470"/>
      <c r="AA58" s="470"/>
      <c r="AB58" s="470"/>
      <c r="AC58" s="470"/>
      <c r="AD58" s="470"/>
      <c r="AE58" s="470"/>
      <c r="AF58" s="470"/>
      <c r="AG58" s="470"/>
      <c r="AH58" s="470"/>
      <c r="AI58" s="470"/>
      <c r="AJ58" s="470"/>
      <c r="AK58" s="470"/>
      <c r="AL58" s="470"/>
      <c r="AM58" s="470"/>
      <c r="AN58" s="470"/>
      <c r="AO58" s="33"/>
    </row>
    <row r="59" spans="1:41" s="56" customFormat="1">
      <c r="A59" s="83" t="s">
        <v>192</v>
      </c>
      <c r="B59" s="442"/>
      <c r="C59" s="442"/>
      <c r="D59" s="442"/>
      <c r="E59" s="442"/>
      <c r="F59" s="442"/>
      <c r="G59" s="442"/>
      <c r="H59" s="442"/>
      <c r="I59" s="442"/>
      <c r="J59" s="442"/>
      <c r="K59" s="442"/>
      <c r="L59" s="442"/>
      <c r="M59" s="442"/>
      <c r="N59" s="442"/>
      <c r="O59" s="442"/>
      <c r="P59" s="442"/>
      <c r="Q59" s="464">
        <f>Q58/Q39</f>
        <v>0.25714285714285712</v>
      </c>
      <c r="R59" s="464">
        <f>R58/R39</f>
        <v>0.17241379310344829</v>
      </c>
      <c r="S59" s="464">
        <f>S58/S39</f>
        <v>0.11585365853658537</v>
      </c>
      <c r="T59" s="467">
        <f>T58/T39</f>
        <v>0.10555555555555556</v>
      </c>
      <c r="U59" s="466">
        <f>U58/U39</f>
        <v>8.7209302325581398E-2</v>
      </c>
      <c r="V59" s="468"/>
      <c r="W59" s="468"/>
      <c r="X59" s="468"/>
      <c r="Y59" s="468"/>
      <c r="Z59" s="468"/>
      <c r="AA59" s="468"/>
      <c r="AB59" s="468"/>
      <c r="AC59" s="468"/>
      <c r="AD59" s="468"/>
      <c r="AE59" s="468"/>
      <c r="AF59" s="468"/>
      <c r="AG59" s="468"/>
      <c r="AH59" s="468"/>
      <c r="AI59" s="468"/>
      <c r="AJ59" s="468"/>
      <c r="AK59" s="468"/>
      <c r="AL59" s="468"/>
      <c r="AM59" s="468"/>
      <c r="AN59" s="468"/>
      <c r="AO59" s="33"/>
    </row>
    <row r="60" spans="1:41" s="16" customFormat="1" ht="14.25">
      <c r="A60" s="85" t="s">
        <v>191</v>
      </c>
      <c r="L60" s="460"/>
      <c r="M60" s="460"/>
      <c r="N60" s="460"/>
      <c r="O60" s="460"/>
      <c r="P60" s="460"/>
      <c r="Q60" s="463">
        <v>0</v>
      </c>
      <c r="R60" s="463">
        <v>0</v>
      </c>
      <c r="S60" s="463">
        <v>0</v>
      </c>
      <c r="T60" s="461">
        <v>0</v>
      </c>
      <c r="U60" s="315">
        <v>0</v>
      </c>
      <c r="V60" s="462"/>
      <c r="W60" s="462"/>
      <c r="X60" s="462"/>
      <c r="Y60" s="462"/>
      <c r="Z60" s="462"/>
      <c r="AA60" s="462"/>
      <c r="AB60" s="462"/>
      <c r="AC60" s="462"/>
      <c r="AD60" s="462"/>
      <c r="AE60" s="462"/>
      <c r="AF60" s="462"/>
      <c r="AG60" s="462"/>
      <c r="AH60" s="462"/>
      <c r="AI60" s="462"/>
      <c r="AJ60" s="462"/>
      <c r="AK60" s="462"/>
      <c r="AL60" s="462"/>
      <c r="AM60" s="462"/>
      <c r="AN60" s="462"/>
    </row>
    <row r="61" spans="1:41" s="16" customFormat="1" ht="14.25">
      <c r="A61" s="85" t="s">
        <v>192</v>
      </c>
      <c r="L61" s="460"/>
      <c r="M61" s="460"/>
      <c r="N61" s="460"/>
      <c r="O61" s="460"/>
      <c r="P61" s="460"/>
      <c r="Q61" s="465">
        <f>Q60/Q39</f>
        <v>0</v>
      </c>
      <c r="R61" s="465">
        <f t="shared" ref="R61:U61" si="42">R60/R39</f>
        <v>0</v>
      </c>
      <c r="S61" s="465">
        <f t="shared" si="42"/>
        <v>0</v>
      </c>
      <c r="T61" s="443">
        <f t="shared" si="42"/>
        <v>0</v>
      </c>
      <c r="U61" s="442">
        <f t="shared" si="42"/>
        <v>0</v>
      </c>
      <c r="V61" s="456"/>
      <c r="W61" s="456"/>
      <c r="X61" s="456"/>
      <c r="Y61" s="456"/>
      <c r="Z61" s="456"/>
      <c r="AA61" s="456"/>
      <c r="AB61" s="456"/>
      <c r="AC61" s="456"/>
      <c r="AD61" s="456"/>
      <c r="AE61" s="456"/>
      <c r="AF61" s="456"/>
      <c r="AG61" s="456"/>
      <c r="AH61" s="456"/>
      <c r="AI61" s="456"/>
      <c r="AJ61" s="456"/>
      <c r="AK61" s="456"/>
      <c r="AL61" s="456"/>
      <c r="AM61" s="456"/>
      <c r="AN61" s="456"/>
    </row>
    <row r="62" spans="1:41">
      <c r="A62" s="82"/>
      <c r="B62" s="82"/>
      <c r="C62" s="82"/>
      <c r="D62" s="82"/>
      <c r="E62" s="82"/>
      <c r="F62" s="82"/>
      <c r="G62" s="82"/>
      <c r="H62" s="82"/>
      <c r="I62" s="82"/>
      <c r="J62" s="82"/>
      <c r="K62" s="82"/>
      <c r="L62" s="123"/>
      <c r="M62" s="122"/>
      <c r="N62" s="122"/>
      <c r="O62" s="122"/>
      <c r="P62" s="124"/>
      <c r="Q62" s="125"/>
      <c r="R62" s="126"/>
      <c r="S62" s="152"/>
      <c r="T62" s="373"/>
      <c r="U62" s="155"/>
      <c r="V62" s="155"/>
      <c r="W62" s="155"/>
      <c r="X62" s="155"/>
      <c r="Y62" s="155"/>
      <c r="Z62" s="155"/>
      <c r="AA62" s="155"/>
      <c r="AB62" s="155"/>
      <c r="AC62" s="155"/>
      <c r="AD62" s="155"/>
      <c r="AE62" s="155"/>
      <c r="AF62" s="155"/>
      <c r="AG62" s="155"/>
      <c r="AH62" s="155"/>
      <c r="AI62" s="155"/>
      <c r="AJ62" s="155"/>
      <c r="AK62" s="154"/>
      <c r="AL62" s="154"/>
      <c r="AM62" s="154"/>
      <c r="AN62" s="154"/>
    </row>
    <row r="63" spans="1:41" s="18" customFormat="1">
      <c r="A63" s="475" t="s">
        <v>235</v>
      </c>
      <c r="B63" s="475"/>
      <c r="C63" s="475"/>
      <c r="D63" s="475"/>
      <c r="E63" s="475"/>
      <c r="F63" s="475"/>
      <c r="G63" s="475"/>
      <c r="H63" s="475"/>
      <c r="I63" s="475"/>
      <c r="J63" s="475"/>
      <c r="K63" s="475"/>
      <c r="L63" s="150"/>
      <c r="M63" s="150"/>
      <c r="N63" s="150"/>
      <c r="O63" s="150"/>
      <c r="P63" s="150"/>
      <c r="Q63" s="150"/>
      <c r="R63" s="150"/>
      <c r="S63" s="153"/>
      <c r="T63" s="156"/>
      <c r="U63" s="157"/>
      <c r="V63" s="157"/>
      <c r="W63" s="157"/>
      <c r="X63" s="157"/>
      <c r="Y63" s="157"/>
      <c r="Z63" s="157"/>
      <c r="AA63" s="157"/>
      <c r="AB63" s="157"/>
      <c r="AC63" s="157"/>
      <c r="AD63" s="157"/>
      <c r="AE63" s="157"/>
      <c r="AF63" s="157"/>
      <c r="AG63" s="157"/>
      <c r="AH63" s="157"/>
      <c r="AI63" s="157"/>
      <c r="AJ63" s="158"/>
      <c r="AK63" s="158"/>
      <c r="AL63" s="158"/>
      <c r="AM63" s="158"/>
      <c r="AN63" s="158"/>
    </row>
    <row r="64" spans="1:41">
      <c r="A64" s="84"/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129"/>
      <c r="M64" s="129"/>
      <c r="N64" s="129"/>
      <c r="O64" s="129"/>
      <c r="P64" s="129"/>
      <c r="Q64" s="129"/>
      <c r="R64" s="129"/>
      <c r="S64" s="152"/>
      <c r="T64" s="429"/>
      <c r="U64" s="159"/>
      <c r="V64" s="159"/>
      <c r="W64" s="159"/>
      <c r="X64" s="159"/>
      <c r="Y64" s="159"/>
      <c r="Z64" s="159"/>
      <c r="AA64" s="159"/>
      <c r="AB64" s="160"/>
      <c r="AC64" s="160"/>
      <c r="AD64" s="160"/>
      <c r="AE64" s="160"/>
      <c r="AF64" s="160"/>
      <c r="AG64" s="160"/>
      <c r="AH64" s="160"/>
      <c r="AI64" s="160"/>
      <c r="AJ64" s="160"/>
      <c r="AK64" s="154"/>
      <c r="AL64" s="154"/>
      <c r="AM64" s="154"/>
      <c r="AN64" s="154"/>
    </row>
    <row r="65" spans="1:41">
      <c r="A65" s="221" t="s">
        <v>233</v>
      </c>
      <c r="B65" s="221"/>
      <c r="C65" s="221"/>
      <c r="D65" s="221"/>
      <c r="E65" s="221"/>
      <c r="F65" s="221"/>
      <c r="G65" s="221"/>
      <c r="H65" s="221"/>
      <c r="I65" s="221"/>
      <c r="J65" s="221"/>
      <c r="K65" s="221"/>
      <c r="L65" s="224"/>
      <c r="M65" s="224"/>
      <c r="N65" s="224"/>
      <c r="O65" s="224"/>
      <c r="P65" s="224"/>
      <c r="Q65" s="224"/>
      <c r="R65" s="224"/>
      <c r="S65" s="225"/>
      <c r="T65" s="226"/>
      <c r="U65" s="227"/>
      <c r="V65" s="227"/>
      <c r="W65" s="227"/>
      <c r="X65" s="227"/>
      <c r="Y65" s="227"/>
      <c r="Z65" s="227"/>
      <c r="AA65" s="227"/>
      <c r="AB65" s="227"/>
      <c r="AC65" s="227"/>
      <c r="AD65" s="227"/>
      <c r="AE65" s="227"/>
      <c r="AF65" s="227"/>
      <c r="AG65" s="227"/>
      <c r="AH65" s="227"/>
      <c r="AI65" s="227"/>
      <c r="AJ65" s="228"/>
      <c r="AK65" s="229"/>
      <c r="AL65" s="229"/>
      <c r="AM65" s="229"/>
      <c r="AN65" s="229"/>
    </row>
    <row r="66" spans="1:41" s="32" customForma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129"/>
      <c r="M66" s="129"/>
      <c r="N66" s="129"/>
      <c r="O66" s="129"/>
      <c r="P66" s="129"/>
      <c r="Q66" s="129"/>
      <c r="R66" s="129"/>
      <c r="S66" s="343"/>
      <c r="T66" s="429"/>
      <c r="U66" s="159"/>
      <c r="V66" s="159"/>
      <c r="W66" s="159"/>
      <c r="X66" s="159"/>
      <c r="Y66" s="159"/>
      <c r="Z66" s="159"/>
      <c r="AA66" s="159"/>
      <c r="AB66" s="159"/>
      <c r="AC66" s="159"/>
      <c r="AD66" s="159"/>
      <c r="AE66" s="159"/>
      <c r="AF66" s="159"/>
      <c r="AG66" s="159"/>
      <c r="AH66" s="159"/>
      <c r="AI66" s="159"/>
      <c r="AJ66" s="344"/>
      <c r="AK66" s="230"/>
      <c r="AL66" s="230"/>
      <c r="AM66" s="230"/>
      <c r="AN66" s="230"/>
    </row>
    <row r="67" spans="1:41" s="16" customFormat="1">
      <c r="A67" s="85" t="s">
        <v>180</v>
      </c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132"/>
      <c r="M67" s="132"/>
      <c r="N67" s="132"/>
      <c r="O67" s="132"/>
      <c r="P67" s="132"/>
      <c r="Q67" s="132"/>
      <c r="R67" s="132"/>
      <c r="S67" s="152"/>
      <c r="T67" s="440">
        <v>0</v>
      </c>
      <c r="U67" s="419">
        <f>U25</f>
        <v>75414</v>
      </c>
      <c r="V67" s="419">
        <f>V25</f>
        <v>85991.052936876848</v>
      </c>
      <c r="W67" s="419">
        <f t="shared" ref="W67:AN67" si="43">W25</f>
        <v>89860.6503190363</v>
      </c>
      <c r="X67" s="419">
        <f t="shared" si="43"/>
        <v>93904.379583392918</v>
      </c>
      <c r="Y67" s="419">
        <f t="shared" si="43"/>
        <v>98130.076664645603</v>
      </c>
      <c r="Z67" s="419">
        <f t="shared" si="43"/>
        <v>102545.93011455465</v>
      </c>
      <c r="AA67" s="419">
        <f t="shared" si="43"/>
        <v>107160.49696970959</v>
      </c>
      <c r="AB67" s="419">
        <f t="shared" si="43"/>
        <v>111982.71933334653</v>
      </c>
      <c r="AC67" s="419">
        <f t="shared" si="43"/>
        <v>115342.20091334693</v>
      </c>
      <c r="AD67" s="419">
        <f t="shared" si="43"/>
        <v>118802.46694074733</v>
      </c>
      <c r="AE67" s="419">
        <f t="shared" si="43"/>
        <v>122366.54094896976</v>
      </c>
      <c r="AF67" s="419">
        <f t="shared" si="43"/>
        <v>126037.53717743886</v>
      </c>
      <c r="AG67" s="419">
        <f t="shared" si="43"/>
        <v>129818.66329276202</v>
      </c>
      <c r="AH67" s="419">
        <f t="shared" si="43"/>
        <v>133713.22319154488</v>
      </c>
      <c r="AI67" s="419">
        <f t="shared" si="43"/>
        <v>137724.61988729122</v>
      </c>
      <c r="AJ67" s="419">
        <f t="shared" si="43"/>
        <v>141856.35848390998</v>
      </c>
      <c r="AK67" s="419">
        <f t="shared" si="43"/>
        <v>146112.04923842728</v>
      </c>
      <c r="AL67" s="419">
        <f t="shared" si="43"/>
        <v>150495.4107155801</v>
      </c>
      <c r="AM67" s="419">
        <f t="shared" si="43"/>
        <v>155010.2730370475</v>
      </c>
      <c r="AN67" s="419">
        <f t="shared" si="43"/>
        <v>159660.58122815893</v>
      </c>
      <c r="AO67" s="370"/>
    </row>
    <row r="68" spans="1:41">
      <c r="A68" s="83" t="s">
        <v>181</v>
      </c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128"/>
      <c r="M68" s="128"/>
      <c r="N68" s="128"/>
      <c r="O68" s="128"/>
      <c r="P68" s="128"/>
      <c r="Q68" s="128"/>
      <c r="R68" s="128"/>
      <c r="S68" s="152"/>
      <c r="T68" s="440">
        <v>0</v>
      </c>
      <c r="U68" s="437">
        <f>U27</f>
        <v>29</v>
      </c>
      <c r="V68" s="437">
        <f t="shared" ref="V68:AN68" si="44">V27</f>
        <v>31.102343084676253</v>
      </c>
      <c r="W68" s="437">
        <f t="shared" si="44"/>
        <v>33.08079253393673</v>
      </c>
      <c r="X68" s="437">
        <f t="shared" si="44"/>
        <v>34.751627733366121</v>
      </c>
      <c r="Y68" s="437">
        <f t="shared" si="44"/>
        <v>35.893083709582015</v>
      </c>
      <c r="Z68" s="437">
        <f t="shared" si="44"/>
        <v>37.101192669283478</v>
      </c>
      <c r="AA68" s="437">
        <f t="shared" si="44"/>
        <v>38.428851859015516</v>
      </c>
      <c r="AB68" s="437">
        <f t="shared" si="44"/>
        <v>39.743393287481908</v>
      </c>
      <c r="AC68" s="437">
        <f t="shared" si="44"/>
        <v>40.393144256705909</v>
      </c>
      <c r="AD68" s="437">
        <f t="shared" si="44"/>
        <v>41.182784800148873</v>
      </c>
      <c r="AE68" s="437">
        <f t="shared" si="44"/>
        <v>42.00581197297619</v>
      </c>
      <c r="AF68" s="437">
        <f t="shared" si="44"/>
        <v>42.427677626093356</v>
      </c>
      <c r="AG68" s="437">
        <f t="shared" si="44"/>
        <v>42.444707284491429</v>
      </c>
      <c r="AH68" s="437">
        <f t="shared" si="44"/>
        <v>42.366158474806085</v>
      </c>
      <c r="AI68" s="437">
        <f t="shared" si="44"/>
        <v>42.539206123732718</v>
      </c>
      <c r="AJ68" s="437">
        <f t="shared" si="44"/>
        <v>42.657554770462752</v>
      </c>
      <c r="AK68" s="437">
        <f t="shared" si="44"/>
        <v>42.717111591748328</v>
      </c>
      <c r="AL68" s="437">
        <f t="shared" si="44"/>
        <v>42.983945805620365</v>
      </c>
      <c r="AM68" s="437">
        <f t="shared" si="44"/>
        <v>43.051784597932915</v>
      </c>
      <c r="AN68" s="437">
        <f t="shared" si="44"/>
        <v>43.030880982919477</v>
      </c>
    </row>
    <row r="69" spans="1:41">
      <c r="A69" s="82" t="s">
        <v>38</v>
      </c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128"/>
      <c r="M69" s="128"/>
      <c r="N69" s="128"/>
      <c r="O69" s="128"/>
      <c r="P69" s="128"/>
      <c r="Q69" s="128"/>
      <c r="R69" s="128"/>
      <c r="S69" s="152"/>
      <c r="T69" s="440">
        <v>0</v>
      </c>
      <c r="U69" s="441">
        <f t="shared" ref="U69:AM69" si="45">U67/U68</f>
        <v>2600.4827586206898</v>
      </c>
      <c r="V69" s="441">
        <f t="shared" si="45"/>
        <v>2764.7773257071294</v>
      </c>
      <c r="W69" s="441">
        <f t="shared" si="45"/>
        <v>2716.3995610700858</v>
      </c>
      <c r="X69" s="441">
        <f t="shared" si="45"/>
        <v>2702.1577321177506</v>
      </c>
      <c r="Y69" s="441">
        <f t="shared" si="45"/>
        <v>2733.9550276213467</v>
      </c>
      <c r="Z69" s="441">
        <f t="shared" si="45"/>
        <v>2763.9523890414889</v>
      </c>
      <c r="AA69" s="441">
        <f t="shared" si="45"/>
        <v>2788.5427689292114</v>
      </c>
      <c r="AB69" s="441">
        <f t="shared" si="45"/>
        <v>2817.6436401221445</v>
      </c>
      <c r="AC69" s="441">
        <f t="shared" si="45"/>
        <v>2855.489540015154</v>
      </c>
      <c r="AD69" s="441">
        <f t="shared" si="45"/>
        <v>2884.7604045542316</v>
      </c>
      <c r="AE69" s="441">
        <f t="shared" si="45"/>
        <v>2913.0859564788902</v>
      </c>
      <c r="AF69" s="441">
        <f t="shared" si="45"/>
        <v>2970.6442640623059</v>
      </c>
      <c r="AG69" s="441">
        <f t="shared" si="45"/>
        <v>3058.5359541446419</v>
      </c>
      <c r="AH69" s="441">
        <f t="shared" si="45"/>
        <v>3156.1328193364575</v>
      </c>
      <c r="AI69" s="441">
        <f t="shared" si="45"/>
        <v>3237.5926218908526</v>
      </c>
      <c r="AJ69" s="441">
        <f t="shared" si="45"/>
        <v>3325.4685892622979</v>
      </c>
      <c r="AK69" s="441">
        <f t="shared" si="45"/>
        <v>3420.4571375245273</v>
      </c>
      <c r="AL69" s="441">
        <f t="shared" si="45"/>
        <v>3501.2004574019838</v>
      </c>
      <c r="AM69" s="441">
        <f t="shared" si="45"/>
        <v>3600.5539488016984</v>
      </c>
      <c r="AN69" s="441">
        <f t="shared" ref="AN69" si="46">AN67/AN68</f>
        <v>3710.3721230233241</v>
      </c>
    </row>
    <row r="70" spans="1:41" s="18" customFormat="1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0"/>
      <c r="M70" s="130"/>
      <c r="N70" s="130"/>
      <c r="O70" s="130"/>
      <c r="P70" s="130"/>
      <c r="Q70" s="130"/>
      <c r="R70" s="130"/>
      <c r="S70" s="143"/>
      <c r="T70" s="440"/>
      <c r="U70" s="161"/>
      <c r="V70" s="161"/>
      <c r="W70" s="161"/>
      <c r="X70" s="161"/>
      <c r="Y70" s="161"/>
      <c r="Z70" s="161"/>
      <c r="AA70" s="161"/>
      <c r="AB70" s="161"/>
      <c r="AC70" s="161"/>
      <c r="AD70" s="161"/>
      <c r="AE70" s="161"/>
      <c r="AF70" s="161"/>
      <c r="AG70" s="161"/>
      <c r="AH70" s="161"/>
      <c r="AI70" s="161"/>
      <c r="AJ70" s="160"/>
      <c r="AK70" s="154"/>
      <c r="AL70" s="154"/>
      <c r="AM70" s="154"/>
      <c r="AN70" s="154"/>
    </row>
    <row r="71" spans="1:41">
      <c r="A71" s="221" t="s">
        <v>199</v>
      </c>
      <c r="B71" s="221"/>
      <c r="C71" s="221"/>
      <c r="D71" s="221"/>
      <c r="E71" s="221"/>
      <c r="F71" s="221"/>
      <c r="G71" s="221"/>
      <c r="H71" s="221"/>
      <c r="I71" s="221"/>
      <c r="J71" s="221"/>
      <c r="K71" s="221"/>
      <c r="L71" s="476"/>
      <c r="M71" s="476"/>
      <c r="N71" s="476"/>
      <c r="O71" s="476"/>
      <c r="P71" s="476"/>
      <c r="Q71" s="476"/>
      <c r="R71" s="476"/>
      <c r="S71" s="477"/>
      <c r="T71" s="479"/>
      <c r="U71" s="478"/>
      <c r="V71" s="478"/>
      <c r="W71" s="478"/>
      <c r="X71" s="478"/>
      <c r="Y71" s="478"/>
      <c r="Z71" s="478"/>
      <c r="AA71" s="478"/>
      <c r="AB71" s="478"/>
      <c r="AC71" s="478"/>
      <c r="AD71" s="478"/>
      <c r="AE71" s="478"/>
      <c r="AF71" s="478"/>
      <c r="AG71" s="478"/>
      <c r="AH71" s="478"/>
      <c r="AI71" s="478"/>
      <c r="AJ71" s="478"/>
      <c r="AK71" s="478"/>
      <c r="AL71" s="478"/>
      <c r="AM71" s="478"/>
      <c r="AN71" s="478"/>
    </row>
    <row r="72" spans="1:41" s="32" customForma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375"/>
      <c r="M72" s="375"/>
      <c r="N72" s="375"/>
      <c r="O72" s="375"/>
      <c r="P72" s="375"/>
      <c r="Q72" s="375"/>
      <c r="R72" s="375"/>
      <c r="S72" s="376"/>
      <c r="T72" s="440"/>
      <c r="U72" s="377"/>
      <c r="V72" s="377"/>
      <c r="W72" s="377"/>
      <c r="X72" s="377"/>
      <c r="Y72" s="377"/>
      <c r="Z72" s="377"/>
      <c r="AA72" s="377"/>
      <c r="AB72" s="377"/>
      <c r="AC72" s="377"/>
      <c r="AD72" s="377"/>
      <c r="AE72" s="377"/>
      <c r="AF72" s="377"/>
      <c r="AG72" s="377"/>
      <c r="AH72" s="377"/>
      <c r="AI72" s="377"/>
      <c r="AJ72" s="377"/>
      <c r="AK72" s="377"/>
      <c r="AL72" s="377"/>
      <c r="AM72" s="377"/>
      <c r="AN72" s="377"/>
    </row>
    <row r="73" spans="1:41" s="16" customFormat="1">
      <c r="A73" s="85" t="s">
        <v>180</v>
      </c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378"/>
      <c r="M73" s="378"/>
      <c r="N73" s="378"/>
      <c r="O73" s="378"/>
      <c r="P73" s="378"/>
      <c r="Q73" s="378"/>
      <c r="R73" s="378"/>
      <c r="S73" s="376"/>
      <c r="T73" s="440">
        <v>0</v>
      </c>
      <c r="U73" s="419">
        <f>U75*U74</f>
        <v>53227.063953488374</v>
      </c>
      <c r="V73" s="419">
        <f t="shared" ref="V73:AN73" si="47">V75*V74</f>
        <v>66073.951082970103</v>
      </c>
      <c r="W73" s="419">
        <f t="shared" si="47"/>
        <v>68397.624300633426</v>
      </c>
      <c r="X73" s="419">
        <f t="shared" si="47"/>
        <v>66773.873593374126</v>
      </c>
      <c r="Y73" s="419">
        <f t="shared" si="47"/>
        <v>67204.742381059797</v>
      </c>
      <c r="Z73" s="419">
        <f t="shared" si="47"/>
        <v>69558.70520019604</v>
      </c>
      <c r="AA73" s="419">
        <f t="shared" si="47"/>
        <v>67908.086564067824</v>
      </c>
      <c r="AB73" s="419">
        <f t="shared" si="47"/>
        <v>70935.214996839553</v>
      </c>
      <c r="AC73" s="419">
        <f t="shared" si="47"/>
        <v>74280.689055758688</v>
      </c>
      <c r="AD73" s="419">
        <f t="shared" si="47"/>
        <v>76221.657956522889</v>
      </c>
      <c r="AE73" s="419">
        <f t="shared" si="47"/>
        <v>76619.002025249414</v>
      </c>
      <c r="AF73" s="419">
        <f t="shared" si="47"/>
        <v>80035.892958267272</v>
      </c>
      <c r="AG73" s="419">
        <f t="shared" si="47"/>
        <v>84767.519927801797</v>
      </c>
      <c r="AH73" s="419">
        <f t="shared" si="47"/>
        <v>86451.621764890209</v>
      </c>
      <c r="AI73" s="419">
        <f t="shared" si="47"/>
        <v>89556.879099143625</v>
      </c>
      <c r="AJ73" s="419">
        <f t="shared" si="47"/>
        <v>93560.181735748833</v>
      </c>
      <c r="AK73" s="419">
        <f t="shared" si="47"/>
        <v>97663.608211682367</v>
      </c>
      <c r="AL73" s="419">
        <f t="shared" si="47"/>
        <v>101280.88655629056</v>
      </c>
      <c r="AM73" s="419">
        <f t="shared" si="47"/>
        <v>105750.4328675322</v>
      </c>
      <c r="AN73" s="419">
        <f t="shared" si="47"/>
        <v>109893.21472857127</v>
      </c>
    </row>
    <row r="74" spans="1:41">
      <c r="A74" s="83" t="s">
        <v>181</v>
      </c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379"/>
      <c r="M74" s="379"/>
      <c r="N74" s="379"/>
      <c r="O74" s="379"/>
      <c r="P74" s="379"/>
      <c r="Q74" s="379"/>
      <c r="R74" s="379"/>
      <c r="S74" s="376"/>
      <c r="T74" s="440">
        <v>0</v>
      </c>
      <c r="U74" s="441">
        <f>U14</f>
        <v>35</v>
      </c>
      <c r="V74" s="441">
        <f t="shared" ref="V74:AN74" si="48">V14</f>
        <v>44.848484848485214</v>
      </c>
      <c r="W74" s="441">
        <f t="shared" si="48"/>
        <v>47.252525252525174</v>
      </c>
      <c r="X74" s="441">
        <f t="shared" si="48"/>
        <v>46.373890419344889</v>
      </c>
      <c r="Y74" s="441">
        <f t="shared" si="48"/>
        <v>46.130292827262338</v>
      </c>
      <c r="Z74" s="441">
        <f t="shared" si="48"/>
        <v>47.227894958152092</v>
      </c>
      <c r="AA74" s="441">
        <f t="shared" si="48"/>
        <v>45.700593579917097</v>
      </c>
      <c r="AB74" s="441">
        <f t="shared" si="48"/>
        <v>47.244741971445478</v>
      </c>
      <c r="AC74" s="441">
        <f t="shared" si="48"/>
        <v>48.81721587621405</v>
      </c>
      <c r="AD74" s="441">
        <f t="shared" si="48"/>
        <v>49.584541295991585</v>
      </c>
      <c r="AE74" s="441">
        <f t="shared" si="48"/>
        <v>49.358374467382191</v>
      </c>
      <c r="AF74" s="441">
        <f t="shared" si="48"/>
        <v>50.560551667297204</v>
      </c>
      <c r="AG74" s="441">
        <f t="shared" si="48"/>
        <v>52.01080121563632</v>
      </c>
      <c r="AH74" s="441">
        <f t="shared" si="48"/>
        <v>51.403836143696026</v>
      </c>
      <c r="AI74" s="441">
        <f t="shared" si="48"/>
        <v>51.910403687653002</v>
      </c>
      <c r="AJ74" s="441">
        <f t="shared" si="48"/>
        <v>52.797804530669964</v>
      </c>
      <c r="AK74" s="441">
        <f t="shared" si="48"/>
        <v>53.582906821815186</v>
      </c>
      <c r="AL74" s="441">
        <f t="shared" si="48"/>
        <v>54.28604156420397</v>
      </c>
      <c r="AM74" s="441">
        <f t="shared" si="48"/>
        <v>55.117624066916051</v>
      </c>
      <c r="AN74" s="441">
        <f t="shared" si="48"/>
        <v>55.58160287184387</v>
      </c>
    </row>
    <row r="75" spans="1:41" s="18" customFormat="1">
      <c r="A75" s="82" t="s">
        <v>38</v>
      </c>
      <c r="B75" s="562"/>
      <c r="C75" s="562"/>
      <c r="D75" s="562"/>
      <c r="E75" s="562"/>
      <c r="F75" s="562"/>
      <c r="G75" s="562"/>
      <c r="H75" s="562"/>
      <c r="I75" s="562"/>
      <c r="J75" s="562"/>
      <c r="K75" s="562"/>
      <c r="L75" s="128"/>
      <c r="M75" s="128"/>
      <c r="N75" s="128"/>
      <c r="O75" s="128"/>
      <c r="P75" s="128"/>
      <c r="Q75" s="128"/>
      <c r="R75" s="128"/>
      <c r="S75" s="563"/>
      <c r="T75" s="440">
        <v>0</v>
      </c>
      <c r="U75" s="564">
        <f>U13</f>
        <v>1520.7732558139535</v>
      </c>
      <c r="V75" s="564">
        <f t="shared" ref="V75:AN75" si="49">V13</f>
        <v>1473.2705309040512</v>
      </c>
      <c r="W75" s="564">
        <f t="shared" si="49"/>
        <v>1447.4914078158872</v>
      </c>
      <c r="X75" s="564">
        <f t="shared" si="49"/>
        <v>1439.902345685437</v>
      </c>
      <c r="Y75" s="564">
        <f t="shared" si="49"/>
        <v>1456.8462123731147</v>
      </c>
      <c r="Z75" s="564">
        <f t="shared" si="49"/>
        <v>1472.8309458177405</v>
      </c>
      <c r="AA75" s="564">
        <f t="shared" si="49"/>
        <v>1485.9344538997345</v>
      </c>
      <c r="AB75" s="564">
        <f t="shared" si="49"/>
        <v>1501.4414734175605</v>
      </c>
      <c r="AC75" s="564">
        <f t="shared" si="49"/>
        <v>1521.6084678837983</v>
      </c>
      <c r="AD75" s="564">
        <f t="shared" si="49"/>
        <v>1537.2060719796282</v>
      </c>
      <c r="AE75" s="564">
        <f t="shared" si="49"/>
        <v>1552.2999460989549</v>
      </c>
      <c r="AF75" s="564">
        <f t="shared" si="49"/>
        <v>1582.971117184919</v>
      </c>
      <c r="AG75" s="564">
        <f t="shared" si="49"/>
        <v>1629.8060777098283</v>
      </c>
      <c r="AH75" s="564">
        <f t="shared" si="49"/>
        <v>1681.8126476635016</v>
      </c>
      <c r="AI75" s="564">
        <f t="shared" si="49"/>
        <v>1725.2202398195743</v>
      </c>
      <c r="AJ75" s="564">
        <f t="shared" si="49"/>
        <v>1772.0468221628462</v>
      </c>
      <c r="AK75" s="564">
        <f t="shared" si="49"/>
        <v>1822.6634948427363</v>
      </c>
      <c r="AL75" s="564">
        <f t="shared" si="49"/>
        <v>1865.6892939321408</v>
      </c>
      <c r="AM75" s="564">
        <f t="shared" si="49"/>
        <v>1918.6319196042436</v>
      </c>
      <c r="AN75" s="564">
        <f t="shared" si="49"/>
        <v>1977.150874579045</v>
      </c>
    </row>
    <row r="76" spans="1:41">
      <c r="A76" s="371"/>
      <c r="B76" s="371"/>
      <c r="C76" s="371"/>
      <c r="D76" s="371"/>
      <c r="E76" s="371"/>
      <c r="F76" s="371"/>
      <c r="G76" s="371"/>
      <c r="H76" s="371"/>
      <c r="I76" s="371"/>
      <c r="J76" s="371"/>
      <c r="K76" s="371"/>
      <c r="L76" s="303"/>
      <c r="M76" s="303"/>
      <c r="N76" s="303"/>
      <c r="O76" s="303"/>
      <c r="P76" s="303"/>
      <c r="Q76" s="303"/>
      <c r="R76" s="303"/>
      <c r="S76" s="343"/>
      <c r="T76" s="428"/>
      <c r="U76" s="230"/>
      <c r="V76" s="230"/>
      <c r="W76" s="230"/>
      <c r="X76" s="230"/>
      <c r="Y76" s="230"/>
      <c r="Z76" s="230"/>
      <c r="AA76" s="230"/>
      <c r="AB76" s="230"/>
      <c r="AC76" s="230"/>
      <c r="AD76" s="230"/>
      <c r="AE76" s="230"/>
      <c r="AF76" s="230"/>
      <c r="AG76" s="230"/>
      <c r="AH76" s="230"/>
      <c r="AI76" s="230"/>
      <c r="AJ76" s="230"/>
      <c r="AK76" s="230"/>
      <c r="AL76" s="230"/>
      <c r="AM76" s="230"/>
      <c r="AN76" s="230"/>
    </row>
    <row r="77" spans="1:41" s="18" customFormat="1">
      <c r="A77" s="221" t="s">
        <v>345</v>
      </c>
      <c r="B77" s="655"/>
      <c r="C77" s="221"/>
      <c r="D77" s="221"/>
      <c r="E77" s="221"/>
      <c r="F77" s="221"/>
      <c r="G77" s="221"/>
      <c r="H77" s="221"/>
      <c r="I77" s="221"/>
      <c r="J77" s="221"/>
      <c r="K77" s="221"/>
      <c r="L77" s="476"/>
      <c r="M77" s="476"/>
      <c r="N77" s="476"/>
      <c r="O77" s="476"/>
      <c r="P77" s="476"/>
      <c r="Q77" s="476"/>
      <c r="R77" s="476"/>
      <c r="S77" s="477"/>
      <c r="T77" s="479"/>
      <c r="U77" s="478"/>
      <c r="V77" s="478"/>
      <c r="W77" s="478"/>
      <c r="X77" s="478"/>
      <c r="Y77" s="478"/>
      <c r="Z77" s="478"/>
      <c r="AA77" s="478"/>
      <c r="AB77" s="478"/>
      <c r="AC77" s="478"/>
      <c r="AD77" s="478"/>
      <c r="AE77" s="478"/>
      <c r="AF77" s="478"/>
      <c r="AG77" s="478"/>
      <c r="AH77" s="478"/>
      <c r="AI77" s="478"/>
      <c r="AJ77" s="478"/>
      <c r="AK77" s="478"/>
      <c r="AL77" s="478"/>
      <c r="AM77" s="478"/>
      <c r="AN77" s="478"/>
    </row>
    <row r="78" spans="1:41" s="32" customFormat="1">
      <c r="A78" s="85"/>
      <c r="C78" s="85"/>
      <c r="D78" s="85"/>
      <c r="E78" s="85"/>
      <c r="F78" s="85"/>
      <c r="G78" s="85"/>
      <c r="H78" s="85"/>
      <c r="I78" s="85"/>
      <c r="J78" s="85"/>
      <c r="K78" s="85"/>
      <c r="L78" s="375"/>
      <c r="M78" s="375"/>
      <c r="N78" s="375"/>
      <c r="O78" s="375"/>
      <c r="P78" s="375"/>
      <c r="Q78" s="375"/>
      <c r="R78" s="375"/>
      <c r="S78" s="376"/>
      <c r="T78" s="440"/>
      <c r="U78" s="377"/>
      <c r="V78" s="377"/>
      <c r="W78" s="377"/>
      <c r="X78" s="377"/>
      <c r="Y78" s="377"/>
      <c r="Z78" s="377"/>
      <c r="AA78" s="377"/>
      <c r="AB78" s="377"/>
      <c r="AC78" s="377"/>
      <c r="AD78" s="377"/>
      <c r="AE78" s="377"/>
      <c r="AF78" s="377"/>
      <c r="AG78" s="377"/>
      <c r="AH78" s="377"/>
      <c r="AI78" s="377"/>
      <c r="AJ78" s="377"/>
      <c r="AK78" s="377"/>
      <c r="AL78" s="377"/>
      <c r="AM78" s="377"/>
      <c r="AN78" s="377"/>
    </row>
    <row r="79" spans="1:41" s="16" customFormat="1">
      <c r="A79" s="85" t="s">
        <v>180</v>
      </c>
      <c r="B79" s="710">
        <f>'[3]2018 (2)'!$C$65</f>
        <v>0.40268427780144866</v>
      </c>
      <c r="C79" s="85"/>
      <c r="D79" s="85"/>
      <c r="E79" s="85"/>
      <c r="F79" s="85"/>
      <c r="G79" s="85"/>
      <c r="H79" s="85"/>
      <c r="I79" s="85"/>
      <c r="J79" s="85"/>
      <c r="K79" s="85"/>
      <c r="L79" s="378"/>
      <c r="M79" s="378"/>
      <c r="N79" s="378"/>
      <c r="O79" s="378"/>
      <c r="P79" s="378"/>
      <c r="Q79" s="378"/>
      <c r="R79" s="378"/>
      <c r="S79" s="376"/>
      <c r="T79" s="440">
        <v>0</v>
      </c>
      <c r="U79" s="419">
        <f>$B$79*$U$11</f>
        <v>105331.33459735833</v>
      </c>
      <c r="V79" s="419">
        <f t="shared" ref="V79:AN79" si="50">$B$79*$U$11</f>
        <v>105331.33459735833</v>
      </c>
      <c r="W79" s="419">
        <f t="shared" si="50"/>
        <v>105331.33459735833</v>
      </c>
      <c r="X79" s="419">
        <f t="shared" si="50"/>
        <v>105331.33459735833</v>
      </c>
      <c r="Y79" s="419">
        <f t="shared" si="50"/>
        <v>105331.33459735833</v>
      </c>
      <c r="Z79" s="419">
        <f t="shared" si="50"/>
        <v>105331.33459735833</v>
      </c>
      <c r="AA79" s="419">
        <f t="shared" si="50"/>
        <v>105331.33459735833</v>
      </c>
      <c r="AB79" s="419">
        <f t="shared" si="50"/>
        <v>105331.33459735833</v>
      </c>
      <c r="AC79" s="419">
        <f t="shared" si="50"/>
        <v>105331.33459735833</v>
      </c>
      <c r="AD79" s="419">
        <f t="shared" si="50"/>
        <v>105331.33459735833</v>
      </c>
      <c r="AE79" s="419">
        <f t="shared" si="50"/>
        <v>105331.33459735833</v>
      </c>
      <c r="AF79" s="419">
        <f t="shared" si="50"/>
        <v>105331.33459735833</v>
      </c>
      <c r="AG79" s="419">
        <f t="shared" si="50"/>
        <v>105331.33459735833</v>
      </c>
      <c r="AH79" s="419">
        <f t="shared" si="50"/>
        <v>105331.33459735833</v>
      </c>
      <c r="AI79" s="419">
        <f t="shared" si="50"/>
        <v>105331.33459735833</v>
      </c>
      <c r="AJ79" s="419">
        <f t="shared" si="50"/>
        <v>105331.33459735833</v>
      </c>
      <c r="AK79" s="419">
        <f t="shared" si="50"/>
        <v>105331.33459735833</v>
      </c>
      <c r="AL79" s="419">
        <f t="shared" si="50"/>
        <v>105331.33459735833</v>
      </c>
      <c r="AM79" s="419">
        <f t="shared" si="50"/>
        <v>105331.33459735833</v>
      </c>
      <c r="AN79" s="419">
        <f t="shared" si="50"/>
        <v>105331.33459735833</v>
      </c>
    </row>
    <row r="80" spans="1:41" s="18" customFormat="1">
      <c r="A80" s="83" t="s">
        <v>181</v>
      </c>
      <c r="B80" s="446">
        <f>'[3]2018 (2)'!$B$65</f>
        <v>0.35</v>
      </c>
      <c r="C80" s="83"/>
      <c r="D80" s="83"/>
      <c r="E80" s="83"/>
      <c r="F80" s="83"/>
      <c r="G80" s="83"/>
      <c r="H80" s="83"/>
      <c r="I80" s="83"/>
      <c r="J80" s="83"/>
      <c r="K80" s="83"/>
      <c r="L80" s="379"/>
      <c r="M80" s="379"/>
      <c r="N80" s="379"/>
      <c r="O80" s="379"/>
      <c r="P80" s="379"/>
      <c r="Q80" s="379"/>
      <c r="R80" s="379"/>
      <c r="S80" s="376"/>
      <c r="T80" s="440">
        <v>0</v>
      </c>
      <c r="U80" s="441">
        <f>$B$80*$U$12</f>
        <v>60.199999999999996</v>
      </c>
      <c r="V80" s="441">
        <f t="shared" ref="V80:AN80" si="51">$B$80*$U$12</f>
        <v>60.199999999999996</v>
      </c>
      <c r="W80" s="441">
        <f t="shared" si="51"/>
        <v>60.199999999999996</v>
      </c>
      <c r="X80" s="441">
        <f t="shared" si="51"/>
        <v>60.199999999999996</v>
      </c>
      <c r="Y80" s="441">
        <f t="shared" si="51"/>
        <v>60.199999999999996</v>
      </c>
      <c r="Z80" s="441">
        <f t="shared" si="51"/>
        <v>60.199999999999996</v>
      </c>
      <c r="AA80" s="441">
        <f t="shared" si="51"/>
        <v>60.199999999999996</v>
      </c>
      <c r="AB80" s="441">
        <f t="shared" si="51"/>
        <v>60.199999999999996</v>
      </c>
      <c r="AC80" s="441">
        <f t="shared" si="51"/>
        <v>60.199999999999996</v>
      </c>
      <c r="AD80" s="441">
        <f t="shared" si="51"/>
        <v>60.199999999999996</v>
      </c>
      <c r="AE80" s="441">
        <f t="shared" si="51"/>
        <v>60.199999999999996</v>
      </c>
      <c r="AF80" s="441">
        <f t="shared" si="51"/>
        <v>60.199999999999996</v>
      </c>
      <c r="AG80" s="441">
        <f t="shared" si="51"/>
        <v>60.199999999999996</v>
      </c>
      <c r="AH80" s="441">
        <f t="shared" si="51"/>
        <v>60.199999999999996</v>
      </c>
      <c r="AI80" s="441">
        <f t="shared" si="51"/>
        <v>60.199999999999996</v>
      </c>
      <c r="AJ80" s="441">
        <f t="shared" si="51"/>
        <v>60.199999999999996</v>
      </c>
      <c r="AK80" s="441">
        <f t="shared" si="51"/>
        <v>60.199999999999996</v>
      </c>
      <c r="AL80" s="441">
        <f t="shared" si="51"/>
        <v>60.199999999999996</v>
      </c>
      <c r="AM80" s="441">
        <f t="shared" si="51"/>
        <v>60.199999999999996</v>
      </c>
      <c r="AN80" s="441">
        <f t="shared" si="51"/>
        <v>60.199999999999996</v>
      </c>
    </row>
    <row r="81" spans="1:40" s="18" customFormat="1">
      <c r="A81" s="82" t="s">
        <v>38</v>
      </c>
      <c r="B81" s="85"/>
      <c r="C81" s="562"/>
      <c r="D81" s="562"/>
      <c r="E81" s="562"/>
      <c r="F81" s="562"/>
      <c r="G81" s="562"/>
      <c r="H81" s="562"/>
      <c r="I81" s="562"/>
      <c r="J81" s="562"/>
      <c r="K81" s="562"/>
      <c r="L81" s="128"/>
      <c r="M81" s="128"/>
      <c r="N81" s="128"/>
      <c r="O81" s="128"/>
      <c r="P81" s="128"/>
      <c r="Q81" s="128"/>
      <c r="R81" s="128"/>
      <c r="S81" s="563"/>
      <c r="T81" s="440">
        <v>0</v>
      </c>
      <c r="U81" s="564">
        <f>U79/U80</f>
        <v>1749.6899434777133</v>
      </c>
      <c r="V81" s="564">
        <f t="shared" ref="V81:AN81" si="52">V79/V80</f>
        <v>1749.6899434777133</v>
      </c>
      <c r="W81" s="564">
        <f t="shared" si="52"/>
        <v>1749.6899434777133</v>
      </c>
      <c r="X81" s="564">
        <f t="shared" si="52"/>
        <v>1749.6899434777133</v>
      </c>
      <c r="Y81" s="564">
        <f t="shared" si="52"/>
        <v>1749.6899434777133</v>
      </c>
      <c r="Z81" s="564">
        <f t="shared" si="52"/>
        <v>1749.6899434777133</v>
      </c>
      <c r="AA81" s="564">
        <f t="shared" si="52"/>
        <v>1749.6899434777133</v>
      </c>
      <c r="AB81" s="564">
        <f t="shared" si="52"/>
        <v>1749.6899434777133</v>
      </c>
      <c r="AC81" s="564">
        <f t="shared" si="52"/>
        <v>1749.6899434777133</v>
      </c>
      <c r="AD81" s="564">
        <f t="shared" si="52"/>
        <v>1749.6899434777133</v>
      </c>
      <c r="AE81" s="564">
        <f t="shared" si="52"/>
        <v>1749.6899434777133</v>
      </c>
      <c r="AF81" s="564">
        <f t="shared" si="52"/>
        <v>1749.6899434777133</v>
      </c>
      <c r="AG81" s="564">
        <f t="shared" si="52"/>
        <v>1749.6899434777133</v>
      </c>
      <c r="AH81" s="564">
        <f t="shared" si="52"/>
        <v>1749.6899434777133</v>
      </c>
      <c r="AI81" s="564">
        <f t="shared" si="52"/>
        <v>1749.6899434777133</v>
      </c>
      <c r="AJ81" s="564">
        <f t="shared" si="52"/>
        <v>1749.6899434777133</v>
      </c>
      <c r="AK81" s="564">
        <f t="shared" si="52"/>
        <v>1749.6899434777133</v>
      </c>
      <c r="AL81" s="564">
        <f t="shared" si="52"/>
        <v>1749.6899434777133</v>
      </c>
      <c r="AM81" s="564">
        <f t="shared" si="52"/>
        <v>1749.6899434777133</v>
      </c>
      <c r="AN81" s="564">
        <f t="shared" si="52"/>
        <v>1749.6899434777133</v>
      </c>
    </row>
    <row r="82" spans="1:40" s="18" customFormat="1">
      <c r="A82" s="371"/>
      <c r="B82" s="83"/>
      <c r="C82" s="371"/>
      <c r="D82" s="371"/>
      <c r="E82" s="371"/>
      <c r="F82" s="371"/>
      <c r="G82" s="371"/>
      <c r="H82" s="371"/>
      <c r="I82" s="371"/>
      <c r="J82" s="371"/>
      <c r="K82" s="371"/>
      <c r="L82" s="303"/>
      <c r="M82" s="303"/>
      <c r="N82" s="303"/>
      <c r="O82" s="303"/>
      <c r="P82" s="303"/>
      <c r="Q82" s="303"/>
      <c r="R82" s="303"/>
      <c r="S82" s="343"/>
      <c r="T82" s="428"/>
      <c r="U82" s="230"/>
      <c r="V82" s="230"/>
      <c r="W82" s="230"/>
      <c r="X82" s="230"/>
      <c r="Y82" s="230"/>
      <c r="Z82" s="230"/>
      <c r="AA82" s="230"/>
      <c r="AB82" s="230"/>
      <c r="AC82" s="230"/>
      <c r="AD82" s="230"/>
      <c r="AE82" s="230"/>
      <c r="AF82" s="230"/>
      <c r="AG82" s="230"/>
      <c r="AH82" s="230"/>
      <c r="AI82" s="230"/>
      <c r="AJ82" s="230"/>
      <c r="AK82" s="230"/>
      <c r="AL82" s="230"/>
      <c r="AM82" s="230"/>
      <c r="AN82" s="230"/>
    </row>
    <row r="83" spans="1:40" s="18" customFormat="1">
      <c r="A83" s="221" t="s">
        <v>346</v>
      </c>
      <c r="B83" s="709"/>
      <c r="C83" s="221"/>
      <c r="D83" s="221"/>
      <c r="E83" s="221"/>
      <c r="F83" s="221"/>
      <c r="G83" s="221"/>
      <c r="H83" s="221"/>
      <c r="I83" s="221"/>
      <c r="J83" s="221"/>
      <c r="K83" s="221"/>
      <c r="L83" s="476"/>
      <c r="M83" s="476"/>
      <c r="N83" s="476"/>
      <c r="O83" s="476"/>
      <c r="P83" s="476"/>
      <c r="Q83" s="476"/>
      <c r="R83" s="476"/>
      <c r="S83" s="477"/>
      <c r="T83" s="479"/>
      <c r="U83" s="478"/>
      <c r="V83" s="478"/>
      <c r="W83" s="478"/>
      <c r="X83" s="478"/>
      <c r="Y83" s="478"/>
      <c r="Z83" s="478"/>
      <c r="AA83" s="478"/>
      <c r="AB83" s="478"/>
      <c r="AC83" s="478"/>
      <c r="AD83" s="478"/>
      <c r="AE83" s="478"/>
      <c r="AF83" s="478"/>
      <c r="AG83" s="478"/>
      <c r="AH83" s="478"/>
      <c r="AI83" s="478"/>
      <c r="AJ83" s="478"/>
      <c r="AK83" s="478"/>
      <c r="AL83" s="478"/>
      <c r="AM83" s="478"/>
      <c r="AN83" s="478"/>
    </row>
    <row r="84" spans="1:40" s="32" customFormat="1">
      <c r="A84" s="85"/>
      <c r="B84" s="371"/>
      <c r="C84" s="85"/>
      <c r="D84" s="85"/>
      <c r="E84" s="85"/>
      <c r="F84" s="85"/>
      <c r="G84" s="85"/>
      <c r="H84" s="85"/>
      <c r="I84" s="85"/>
      <c r="J84" s="85"/>
      <c r="K84" s="85"/>
      <c r="L84" s="375"/>
      <c r="M84" s="375"/>
      <c r="N84" s="375"/>
      <c r="O84" s="375"/>
      <c r="P84" s="375"/>
      <c r="Q84" s="375"/>
      <c r="R84" s="375"/>
      <c r="S84" s="376"/>
      <c r="T84" s="440"/>
      <c r="U84" s="377"/>
      <c r="V84" s="377"/>
      <c r="W84" s="377"/>
      <c r="X84" s="377"/>
      <c r="Y84" s="377"/>
      <c r="Z84" s="377"/>
      <c r="AA84" s="377"/>
      <c r="AB84" s="377"/>
      <c r="AC84" s="377"/>
      <c r="AD84" s="377"/>
      <c r="AE84" s="377"/>
      <c r="AF84" s="377"/>
      <c r="AG84" s="377"/>
      <c r="AH84" s="377"/>
      <c r="AI84" s="377"/>
      <c r="AJ84" s="377"/>
      <c r="AK84" s="377"/>
      <c r="AL84" s="377"/>
      <c r="AM84" s="377"/>
      <c r="AN84" s="377"/>
    </row>
    <row r="85" spans="1:40" s="16" customFormat="1">
      <c r="A85" s="85" t="s">
        <v>180</v>
      </c>
      <c r="B85" s="710">
        <f>'[3]2018 (2)'!$C$66</f>
        <v>0.34086919471665955</v>
      </c>
      <c r="C85" s="85"/>
      <c r="D85" s="85"/>
      <c r="E85" s="85"/>
      <c r="F85" s="85"/>
      <c r="G85" s="85"/>
      <c r="H85" s="85"/>
      <c r="I85" s="85"/>
      <c r="J85" s="85"/>
      <c r="K85" s="85"/>
      <c r="L85" s="378"/>
      <c r="M85" s="378"/>
      <c r="N85" s="378"/>
      <c r="O85" s="378"/>
      <c r="P85" s="378"/>
      <c r="Q85" s="378"/>
      <c r="R85" s="378"/>
      <c r="S85" s="376"/>
      <c r="T85" s="440">
        <v>0</v>
      </c>
      <c r="U85" s="419">
        <f>$B$85*$U$11</f>
        <v>89162.177869620791</v>
      </c>
      <c r="V85" s="419">
        <f t="shared" ref="V85:AN85" si="53">$B$85*$U$11</f>
        <v>89162.177869620791</v>
      </c>
      <c r="W85" s="419">
        <f t="shared" si="53"/>
        <v>89162.177869620791</v>
      </c>
      <c r="X85" s="419">
        <f t="shared" si="53"/>
        <v>89162.177869620791</v>
      </c>
      <c r="Y85" s="419">
        <f t="shared" si="53"/>
        <v>89162.177869620791</v>
      </c>
      <c r="Z85" s="419">
        <f t="shared" si="53"/>
        <v>89162.177869620791</v>
      </c>
      <c r="AA85" s="419">
        <f t="shared" si="53"/>
        <v>89162.177869620791</v>
      </c>
      <c r="AB85" s="419">
        <f t="shared" si="53"/>
        <v>89162.177869620791</v>
      </c>
      <c r="AC85" s="419">
        <f t="shared" si="53"/>
        <v>89162.177869620791</v>
      </c>
      <c r="AD85" s="419">
        <f t="shared" si="53"/>
        <v>89162.177869620791</v>
      </c>
      <c r="AE85" s="419">
        <f t="shared" si="53"/>
        <v>89162.177869620791</v>
      </c>
      <c r="AF85" s="419">
        <f t="shared" si="53"/>
        <v>89162.177869620791</v>
      </c>
      <c r="AG85" s="419">
        <f t="shared" si="53"/>
        <v>89162.177869620791</v>
      </c>
      <c r="AH85" s="419">
        <f t="shared" si="53"/>
        <v>89162.177869620791</v>
      </c>
      <c r="AI85" s="419">
        <f t="shared" si="53"/>
        <v>89162.177869620791</v>
      </c>
      <c r="AJ85" s="419">
        <f t="shared" si="53"/>
        <v>89162.177869620791</v>
      </c>
      <c r="AK85" s="419">
        <f t="shared" si="53"/>
        <v>89162.177869620791</v>
      </c>
      <c r="AL85" s="419">
        <f t="shared" si="53"/>
        <v>89162.177869620791</v>
      </c>
      <c r="AM85" s="419">
        <f t="shared" si="53"/>
        <v>89162.177869620791</v>
      </c>
      <c r="AN85" s="419">
        <f t="shared" si="53"/>
        <v>89162.177869620791</v>
      </c>
    </row>
    <row r="86" spans="1:40" s="18" customFormat="1">
      <c r="A86" s="83" t="s">
        <v>181</v>
      </c>
      <c r="B86" s="446">
        <f>'[3]2018 (2)'!$B$66</f>
        <v>0.16666666666666666</v>
      </c>
      <c r="C86" s="83"/>
      <c r="D86" s="83"/>
      <c r="E86" s="83"/>
      <c r="F86" s="83"/>
      <c r="G86" s="83"/>
      <c r="H86" s="83"/>
      <c r="I86" s="83"/>
      <c r="J86" s="83"/>
      <c r="K86" s="83"/>
      <c r="L86" s="379"/>
      <c r="M86" s="379"/>
      <c r="N86" s="379"/>
      <c r="O86" s="379"/>
      <c r="P86" s="379"/>
      <c r="Q86" s="379"/>
      <c r="R86" s="379"/>
      <c r="S86" s="376"/>
      <c r="T86" s="440">
        <v>0</v>
      </c>
      <c r="U86" s="441">
        <f>$B$86*$U$12</f>
        <v>28.666666666666664</v>
      </c>
      <c r="V86" s="441">
        <f t="shared" ref="V86:AN86" si="54">$B$86*$U$12</f>
        <v>28.666666666666664</v>
      </c>
      <c r="W86" s="441">
        <f t="shared" si="54"/>
        <v>28.666666666666664</v>
      </c>
      <c r="X86" s="441">
        <f t="shared" si="54"/>
        <v>28.666666666666664</v>
      </c>
      <c r="Y86" s="441">
        <f t="shared" si="54"/>
        <v>28.666666666666664</v>
      </c>
      <c r="Z86" s="441">
        <f t="shared" si="54"/>
        <v>28.666666666666664</v>
      </c>
      <c r="AA86" s="441">
        <f t="shared" si="54"/>
        <v>28.666666666666664</v>
      </c>
      <c r="AB86" s="441">
        <f t="shared" si="54"/>
        <v>28.666666666666664</v>
      </c>
      <c r="AC86" s="441">
        <f t="shared" si="54"/>
        <v>28.666666666666664</v>
      </c>
      <c r="AD86" s="441">
        <f t="shared" si="54"/>
        <v>28.666666666666664</v>
      </c>
      <c r="AE86" s="441">
        <f t="shared" si="54"/>
        <v>28.666666666666664</v>
      </c>
      <c r="AF86" s="441">
        <f t="shared" si="54"/>
        <v>28.666666666666664</v>
      </c>
      <c r="AG86" s="441">
        <f t="shared" si="54"/>
        <v>28.666666666666664</v>
      </c>
      <c r="AH86" s="441">
        <f t="shared" si="54"/>
        <v>28.666666666666664</v>
      </c>
      <c r="AI86" s="441">
        <f t="shared" si="54"/>
        <v>28.666666666666664</v>
      </c>
      <c r="AJ86" s="441">
        <f t="shared" si="54"/>
        <v>28.666666666666664</v>
      </c>
      <c r="AK86" s="441">
        <f t="shared" si="54"/>
        <v>28.666666666666664</v>
      </c>
      <c r="AL86" s="441">
        <f t="shared" si="54"/>
        <v>28.666666666666664</v>
      </c>
      <c r="AM86" s="441">
        <f t="shared" si="54"/>
        <v>28.666666666666664</v>
      </c>
      <c r="AN86" s="441">
        <f t="shared" si="54"/>
        <v>28.666666666666664</v>
      </c>
    </row>
    <row r="87" spans="1:40" s="18" customFormat="1">
      <c r="A87" s="82" t="s">
        <v>38</v>
      </c>
      <c r="B87" s="85"/>
      <c r="C87" s="562"/>
      <c r="D87" s="562"/>
      <c r="E87" s="562"/>
      <c r="F87" s="562"/>
      <c r="G87" s="562"/>
      <c r="H87" s="562"/>
      <c r="I87" s="562"/>
      <c r="J87" s="562"/>
      <c r="K87" s="562"/>
      <c r="L87" s="128"/>
      <c r="M87" s="128"/>
      <c r="N87" s="128"/>
      <c r="O87" s="128"/>
      <c r="P87" s="128"/>
      <c r="Q87" s="128"/>
      <c r="R87" s="128"/>
      <c r="S87" s="563"/>
      <c r="T87" s="440">
        <v>0</v>
      </c>
      <c r="U87" s="564">
        <f>U85/U86</f>
        <v>3110.3085303356092</v>
      </c>
      <c r="V87" s="564">
        <f t="shared" ref="V87:AN87" si="55">V85/V86</f>
        <v>3110.3085303356092</v>
      </c>
      <c r="W87" s="564">
        <f t="shared" si="55"/>
        <v>3110.3085303356092</v>
      </c>
      <c r="X87" s="564">
        <f t="shared" si="55"/>
        <v>3110.3085303356092</v>
      </c>
      <c r="Y87" s="564">
        <f t="shared" si="55"/>
        <v>3110.3085303356092</v>
      </c>
      <c r="Z87" s="564">
        <f t="shared" si="55"/>
        <v>3110.3085303356092</v>
      </c>
      <c r="AA87" s="564">
        <f t="shared" si="55"/>
        <v>3110.3085303356092</v>
      </c>
      <c r="AB87" s="564">
        <f t="shared" si="55"/>
        <v>3110.3085303356092</v>
      </c>
      <c r="AC87" s="564">
        <f t="shared" si="55"/>
        <v>3110.3085303356092</v>
      </c>
      <c r="AD87" s="564">
        <f t="shared" si="55"/>
        <v>3110.3085303356092</v>
      </c>
      <c r="AE87" s="564">
        <f t="shared" si="55"/>
        <v>3110.3085303356092</v>
      </c>
      <c r="AF87" s="564">
        <f t="shared" si="55"/>
        <v>3110.3085303356092</v>
      </c>
      <c r="AG87" s="564">
        <f t="shared" si="55"/>
        <v>3110.3085303356092</v>
      </c>
      <c r="AH87" s="564">
        <f t="shared" si="55"/>
        <v>3110.3085303356092</v>
      </c>
      <c r="AI87" s="564">
        <f t="shared" si="55"/>
        <v>3110.3085303356092</v>
      </c>
      <c r="AJ87" s="564">
        <f t="shared" si="55"/>
        <v>3110.3085303356092</v>
      </c>
      <c r="AK87" s="564">
        <f t="shared" si="55"/>
        <v>3110.3085303356092</v>
      </c>
      <c r="AL87" s="564">
        <f t="shared" si="55"/>
        <v>3110.3085303356092</v>
      </c>
      <c r="AM87" s="564">
        <f t="shared" si="55"/>
        <v>3110.3085303356092</v>
      </c>
      <c r="AN87" s="564">
        <f t="shared" si="55"/>
        <v>3110.3085303356092</v>
      </c>
    </row>
    <row r="88" spans="1:40">
      <c r="A88"/>
      <c r="B88" s="83"/>
      <c r="C88"/>
      <c r="D88"/>
      <c r="E88"/>
      <c r="F88"/>
      <c r="G88"/>
      <c r="H88"/>
      <c r="I88"/>
      <c r="J88"/>
      <c r="K88"/>
      <c r="T88" s="565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</row>
    <row r="89" spans="1:40" s="18" customFormat="1">
      <c r="A89" s="221" t="s">
        <v>347</v>
      </c>
      <c r="B89" s="709"/>
      <c r="C89" s="221"/>
      <c r="D89" s="221"/>
      <c r="E89" s="221"/>
      <c r="F89" s="221"/>
      <c r="G89" s="221"/>
      <c r="H89" s="221"/>
      <c r="I89" s="221"/>
      <c r="J89" s="221"/>
      <c r="K89" s="221"/>
      <c r="L89" s="476"/>
      <c r="M89" s="476"/>
      <c r="N89" s="476"/>
      <c r="O89" s="476"/>
      <c r="P89" s="476"/>
      <c r="Q89" s="476"/>
      <c r="R89" s="476"/>
      <c r="S89" s="477"/>
      <c r="T89" s="479"/>
      <c r="U89" s="478"/>
      <c r="V89" s="478"/>
      <c r="W89" s="478"/>
      <c r="X89" s="478"/>
      <c r="Y89" s="478"/>
      <c r="Z89" s="478"/>
      <c r="AA89" s="478"/>
      <c r="AB89" s="478"/>
      <c r="AC89" s="478"/>
      <c r="AD89" s="478"/>
      <c r="AE89" s="478"/>
      <c r="AF89" s="478"/>
      <c r="AG89" s="478"/>
      <c r="AH89" s="478"/>
      <c r="AI89" s="478"/>
      <c r="AJ89" s="478"/>
      <c r="AK89" s="478"/>
      <c r="AL89" s="478"/>
      <c r="AM89" s="478"/>
      <c r="AN89" s="478"/>
    </row>
    <row r="90" spans="1:40" s="32" customFormat="1">
      <c r="A90" s="85"/>
      <c r="B90"/>
      <c r="C90" s="85"/>
      <c r="D90" s="85"/>
      <c r="E90" s="85"/>
      <c r="F90" s="85"/>
      <c r="G90" s="85"/>
      <c r="H90" s="85"/>
      <c r="I90" s="85"/>
      <c r="J90" s="85"/>
      <c r="K90" s="85"/>
      <c r="L90" s="375"/>
      <c r="M90" s="375"/>
      <c r="N90" s="375"/>
      <c r="O90" s="375"/>
      <c r="P90" s="375"/>
      <c r="Q90" s="375"/>
      <c r="R90" s="375"/>
      <c r="S90" s="376"/>
      <c r="T90" s="440"/>
      <c r="U90" s="377"/>
      <c r="V90" s="377"/>
      <c r="W90" s="377"/>
      <c r="X90" s="377"/>
      <c r="Y90" s="377"/>
      <c r="Z90" s="377"/>
      <c r="AA90" s="377"/>
      <c r="AB90" s="377"/>
      <c r="AC90" s="377"/>
      <c r="AD90" s="377"/>
      <c r="AE90" s="377"/>
      <c r="AF90" s="377"/>
      <c r="AG90" s="377"/>
      <c r="AH90" s="377"/>
      <c r="AI90" s="377"/>
      <c r="AJ90" s="377"/>
      <c r="AK90" s="377"/>
      <c r="AL90" s="377"/>
      <c r="AM90" s="377"/>
      <c r="AN90" s="377"/>
    </row>
    <row r="91" spans="1:40" s="16" customFormat="1">
      <c r="A91" s="85" t="s">
        <v>180</v>
      </c>
      <c r="B91" s="710">
        <f>'[3]2018 (2)'!$C$67</f>
        <v>0.19849169152109075</v>
      </c>
      <c r="C91" s="85"/>
      <c r="D91" s="85"/>
      <c r="E91" s="85"/>
      <c r="F91" s="85"/>
      <c r="G91" s="85"/>
      <c r="H91" s="85"/>
      <c r="I91" s="85"/>
      <c r="J91" s="85"/>
      <c r="K91" s="85"/>
      <c r="L91" s="378"/>
      <c r="M91" s="378"/>
      <c r="N91" s="378"/>
      <c r="O91" s="378"/>
      <c r="P91" s="378"/>
      <c r="Q91" s="378"/>
      <c r="R91" s="378"/>
      <c r="S91" s="376"/>
      <c r="T91" s="440">
        <v>0</v>
      </c>
      <c r="U91" s="419">
        <f>$B$91*$U$11</f>
        <v>51920.067226246269</v>
      </c>
      <c r="V91" s="419">
        <f t="shared" ref="V91:AN91" si="56">$B$91*$U$11</f>
        <v>51920.067226246269</v>
      </c>
      <c r="W91" s="419">
        <f t="shared" si="56"/>
        <v>51920.067226246269</v>
      </c>
      <c r="X91" s="419">
        <f t="shared" si="56"/>
        <v>51920.067226246269</v>
      </c>
      <c r="Y91" s="419">
        <f t="shared" si="56"/>
        <v>51920.067226246269</v>
      </c>
      <c r="Z91" s="419">
        <f t="shared" si="56"/>
        <v>51920.067226246269</v>
      </c>
      <c r="AA91" s="419">
        <f t="shared" si="56"/>
        <v>51920.067226246269</v>
      </c>
      <c r="AB91" s="419">
        <f t="shared" si="56"/>
        <v>51920.067226246269</v>
      </c>
      <c r="AC91" s="419">
        <f t="shared" si="56"/>
        <v>51920.067226246269</v>
      </c>
      <c r="AD91" s="419">
        <f t="shared" si="56"/>
        <v>51920.067226246269</v>
      </c>
      <c r="AE91" s="419">
        <f t="shared" si="56"/>
        <v>51920.067226246269</v>
      </c>
      <c r="AF91" s="419">
        <f t="shared" si="56"/>
        <v>51920.067226246269</v>
      </c>
      <c r="AG91" s="419">
        <f t="shared" si="56"/>
        <v>51920.067226246269</v>
      </c>
      <c r="AH91" s="419">
        <f t="shared" si="56"/>
        <v>51920.067226246269</v>
      </c>
      <c r="AI91" s="419">
        <f t="shared" si="56"/>
        <v>51920.067226246269</v>
      </c>
      <c r="AJ91" s="419">
        <f t="shared" si="56"/>
        <v>51920.067226246269</v>
      </c>
      <c r="AK91" s="419">
        <f t="shared" si="56"/>
        <v>51920.067226246269</v>
      </c>
      <c r="AL91" s="419">
        <f t="shared" si="56"/>
        <v>51920.067226246269</v>
      </c>
      <c r="AM91" s="419">
        <f t="shared" si="56"/>
        <v>51920.067226246269</v>
      </c>
      <c r="AN91" s="419">
        <f t="shared" si="56"/>
        <v>51920.067226246269</v>
      </c>
    </row>
    <row r="92" spans="1:40" s="18" customFormat="1">
      <c r="A92" s="83" t="s">
        <v>181</v>
      </c>
      <c r="B92" s="446">
        <f>'[3]2018 (2)'!$B$67</f>
        <v>0.16111111111111112</v>
      </c>
      <c r="C92" s="83"/>
      <c r="D92" s="83"/>
      <c r="E92" s="83"/>
      <c r="F92" s="83"/>
      <c r="G92" s="83"/>
      <c r="H92" s="83"/>
      <c r="I92" s="83"/>
      <c r="J92" s="83"/>
      <c r="K92" s="83"/>
      <c r="L92" s="379"/>
      <c r="M92" s="379"/>
      <c r="N92" s="379"/>
      <c r="O92" s="379"/>
      <c r="P92" s="379"/>
      <c r="Q92" s="379"/>
      <c r="R92" s="379"/>
      <c r="S92" s="376"/>
      <c r="T92" s="440">
        <v>0</v>
      </c>
      <c r="U92" s="441">
        <f>$B$92*$U$12</f>
        <v>27.711111111111112</v>
      </c>
      <c r="V92" s="441">
        <f t="shared" ref="V92:AN92" si="57">$B$92*$U$12</f>
        <v>27.711111111111112</v>
      </c>
      <c r="W92" s="441">
        <f t="shared" si="57"/>
        <v>27.711111111111112</v>
      </c>
      <c r="X92" s="441">
        <f t="shared" si="57"/>
        <v>27.711111111111112</v>
      </c>
      <c r="Y92" s="441">
        <f t="shared" si="57"/>
        <v>27.711111111111112</v>
      </c>
      <c r="Z92" s="441">
        <f t="shared" si="57"/>
        <v>27.711111111111112</v>
      </c>
      <c r="AA92" s="441">
        <f t="shared" si="57"/>
        <v>27.711111111111112</v>
      </c>
      <c r="AB92" s="441">
        <f t="shared" si="57"/>
        <v>27.711111111111112</v>
      </c>
      <c r="AC92" s="441">
        <f t="shared" si="57"/>
        <v>27.711111111111112</v>
      </c>
      <c r="AD92" s="441">
        <f t="shared" si="57"/>
        <v>27.711111111111112</v>
      </c>
      <c r="AE92" s="441">
        <f t="shared" si="57"/>
        <v>27.711111111111112</v>
      </c>
      <c r="AF92" s="441">
        <f t="shared" si="57"/>
        <v>27.711111111111112</v>
      </c>
      <c r="AG92" s="441">
        <f t="shared" si="57"/>
        <v>27.711111111111112</v>
      </c>
      <c r="AH92" s="441">
        <f t="shared" si="57"/>
        <v>27.711111111111112</v>
      </c>
      <c r="AI92" s="441">
        <f t="shared" si="57"/>
        <v>27.711111111111112</v>
      </c>
      <c r="AJ92" s="441">
        <f t="shared" si="57"/>
        <v>27.711111111111112</v>
      </c>
      <c r="AK92" s="441">
        <f t="shared" si="57"/>
        <v>27.711111111111112</v>
      </c>
      <c r="AL92" s="441">
        <f t="shared" si="57"/>
        <v>27.711111111111112</v>
      </c>
      <c r="AM92" s="441">
        <f t="shared" si="57"/>
        <v>27.711111111111112</v>
      </c>
      <c r="AN92" s="441">
        <f t="shared" si="57"/>
        <v>27.711111111111112</v>
      </c>
    </row>
    <row r="93" spans="1:40" s="18" customFormat="1">
      <c r="A93" s="82" t="s">
        <v>38</v>
      </c>
      <c r="B93" s="562"/>
      <c r="C93" s="562"/>
      <c r="D93" s="562"/>
      <c r="E93" s="562"/>
      <c r="F93" s="562"/>
      <c r="G93" s="562"/>
      <c r="H93" s="562"/>
      <c r="I93" s="562"/>
      <c r="J93" s="562"/>
      <c r="K93" s="562"/>
      <c r="L93" s="128"/>
      <c r="M93" s="128"/>
      <c r="N93" s="128"/>
      <c r="O93" s="128"/>
      <c r="P93" s="128"/>
      <c r="Q93" s="128"/>
      <c r="R93" s="128"/>
      <c r="S93" s="563"/>
      <c r="T93" s="440">
        <v>0</v>
      </c>
      <c r="U93" s="564">
        <f>U91/U92</f>
        <v>1873.6191059992639</v>
      </c>
      <c r="V93" s="564">
        <f t="shared" ref="V93:AN93" si="58">V91/V92</f>
        <v>1873.6191059992639</v>
      </c>
      <c r="W93" s="564">
        <f t="shared" si="58"/>
        <v>1873.6191059992639</v>
      </c>
      <c r="X93" s="564">
        <f t="shared" si="58"/>
        <v>1873.6191059992639</v>
      </c>
      <c r="Y93" s="564">
        <f t="shared" si="58"/>
        <v>1873.6191059992639</v>
      </c>
      <c r="Z93" s="564">
        <f t="shared" si="58"/>
        <v>1873.6191059992639</v>
      </c>
      <c r="AA93" s="564">
        <f t="shared" si="58"/>
        <v>1873.6191059992639</v>
      </c>
      <c r="AB93" s="564">
        <f t="shared" si="58"/>
        <v>1873.6191059992639</v>
      </c>
      <c r="AC93" s="564">
        <f t="shared" si="58"/>
        <v>1873.6191059992639</v>
      </c>
      <c r="AD93" s="564">
        <f t="shared" si="58"/>
        <v>1873.6191059992639</v>
      </c>
      <c r="AE93" s="564">
        <f t="shared" si="58"/>
        <v>1873.6191059992639</v>
      </c>
      <c r="AF93" s="564">
        <f t="shared" si="58"/>
        <v>1873.6191059992639</v>
      </c>
      <c r="AG93" s="564">
        <f t="shared" si="58"/>
        <v>1873.6191059992639</v>
      </c>
      <c r="AH93" s="564">
        <f t="shared" si="58"/>
        <v>1873.6191059992639</v>
      </c>
      <c r="AI93" s="564">
        <f t="shared" si="58"/>
        <v>1873.6191059992639</v>
      </c>
      <c r="AJ93" s="564">
        <f t="shared" si="58"/>
        <v>1873.6191059992639</v>
      </c>
      <c r="AK93" s="564">
        <f t="shared" si="58"/>
        <v>1873.6191059992639</v>
      </c>
      <c r="AL93" s="564">
        <f t="shared" si="58"/>
        <v>1873.6191059992639</v>
      </c>
      <c r="AM93" s="564">
        <f t="shared" si="58"/>
        <v>1873.6191059992639</v>
      </c>
      <c r="AN93" s="564">
        <f t="shared" si="58"/>
        <v>1873.6191059992639</v>
      </c>
    </row>
    <row r="94" spans="1:40">
      <c r="A94"/>
      <c r="B94"/>
      <c r="C94"/>
      <c r="D94"/>
      <c r="E94"/>
      <c r="F94"/>
      <c r="G94"/>
      <c r="H94"/>
      <c r="I94"/>
      <c r="J94"/>
      <c r="K94"/>
      <c r="T94" s="565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</row>
    <row r="95" spans="1:40" s="18" customFormat="1">
      <c r="A95" s="221" t="s">
        <v>348</v>
      </c>
      <c r="B95" s="709"/>
      <c r="C95" s="221"/>
      <c r="D95" s="221"/>
      <c r="E95" s="221"/>
      <c r="F95" s="221"/>
      <c r="G95" s="221"/>
      <c r="H95" s="221"/>
      <c r="I95" s="221"/>
      <c r="J95" s="221"/>
      <c r="K95" s="221"/>
      <c r="L95" s="476"/>
      <c r="M95" s="476"/>
      <c r="N95" s="476"/>
      <c r="O95" s="476"/>
      <c r="P95" s="476"/>
      <c r="Q95" s="476"/>
      <c r="R95" s="476"/>
      <c r="S95" s="477"/>
      <c r="T95" s="479"/>
      <c r="U95" s="478"/>
      <c r="V95" s="478"/>
      <c r="W95" s="478"/>
      <c r="X95" s="478"/>
      <c r="Y95" s="478"/>
      <c r="Z95" s="478"/>
      <c r="AA95" s="478"/>
      <c r="AB95" s="478"/>
      <c r="AC95" s="478"/>
      <c r="AD95" s="478"/>
      <c r="AE95" s="478"/>
      <c r="AF95" s="478"/>
      <c r="AG95" s="478"/>
      <c r="AH95" s="478"/>
      <c r="AI95" s="478"/>
      <c r="AJ95" s="478"/>
      <c r="AK95" s="478"/>
      <c r="AL95" s="478"/>
      <c r="AM95" s="478"/>
      <c r="AN95" s="478"/>
    </row>
    <row r="96" spans="1:40" s="32" customFormat="1">
      <c r="A96" s="85"/>
      <c r="B96"/>
      <c r="C96" s="85"/>
      <c r="D96" s="85"/>
      <c r="E96" s="85"/>
      <c r="F96" s="85"/>
      <c r="G96" s="85"/>
      <c r="H96" s="85"/>
      <c r="I96" s="85"/>
      <c r="J96" s="85"/>
      <c r="K96" s="85"/>
      <c r="L96" s="375"/>
      <c r="M96" s="375"/>
      <c r="N96" s="375"/>
      <c r="O96" s="375"/>
      <c r="P96" s="375"/>
      <c r="Q96" s="375"/>
      <c r="R96" s="375"/>
      <c r="S96" s="376"/>
      <c r="T96" s="440"/>
      <c r="U96" s="377"/>
      <c r="V96" s="377"/>
      <c r="W96" s="377"/>
      <c r="X96" s="377"/>
      <c r="Y96" s="377"/>
      <c r="Z96" s="377"/>
      <c r="AA96" s="377"/>
      <c r="AB96" s="377"/>
      <c r="AC96" s="377"/>
      <c r="AD96" s="377"/>
      <c r="AE96" s="377"/>
      <c r="AF96" s="377"/>
      <c r="AG96" s="377"/>
      <c r="AH96" s="377"/>
      <c r="AI96" s="377"/>
      <c r="AJ96" s="377"/>
      <c r="AK96" s="377"/>
      <c r="AL96" s="377"/>
      <c r="AM96" s="377"/>
      <c r="AN96" s="377"/>
    </row>
    <row r="97" spans="1:40" s="16" customFormat="1">
      <c r="A97" s="85" t="s">
        <v>180</v>
      </c>
      <c r="B97" s="710">
        <v>1</v>
      </c>
      <c r="C97" s="85"/>
      <c r="D97" s="85"/>
      <c r="E97" s="85"/>
      <c r="F97" s="85"/>
      <c r="G97" s="85"/>
      <c r="H97" s="85"/>
      <c r="I97" s="85"/>
      <c r="J97" s="85"/>
      <c r="K97" s="85"/>
      <c r="L97" s="378"/>
      <c r="M97" s="378"/>
      <c r="N97" s="378"/>
      <c r="O97" s="378"/>
      <c r="P97" s="378"/>
      <c r="Q97" s="378"/>
      <c r="R97" s="378"/>
      <c r="S97" s="376"/>
      <c r="T97" s="440">
        <v>0</v>
      </c>
      <c r="U97" s="419">
        <f>$B$97*$U$11</f>
        <v>261573</v>
      </c>
      <c r="V97" s="419">
        <f t="shared" ref="V97:AN97" si="59">$B$97*$U$11</f>
        <v>261573</v>
      </c>
      <c r="W97" s="419">
        <f t="shared" si="59"/>
        <v>261573</v>
      </c>
      <c r="X97" s="419">
        <f t="shared" si="59"/>
        <v>261573</v>
      </c>
      <c r="Y97" s="419">
        <f t="shared" si="59"/>
        <v>261573</v>
      </c>
      <c r="Z97" s="419">
        <f t="shared" si="59"/>
        <v>261573</v>
      </c>
      <c r="AA97" s="419">
        <f t="shared" si="59"/>
        <v>261573</v>
      </c>
      <c r="AB97" s="419">
        <f t="shared" si="59"/>
        <v>261573</v>
      </c>
      <c r="AC97" s="419">
        <f t="shared" si="59"/>
        <v>261573</v>
      </c>
      <c r="AD97" s="419">
        <f t="shared" si="59"/>
        <v>261573</v>
      </c>
      <c r="AE97" s="419">
        <f t="shared" si="59"/>
        <v>261573</v>
      </c>
      <c r="AF97" s="419">
        <f t="shared" si="59"/>
        <v>261573</v>
      </c>
      <c r="AG97" s="419">
        <f t="shared" si="59"/>
        <v>261573</v>
      </c>
      <c r="AH97" s="419">
        <f t="shared" si="59"/>
        <v>261573</v>
      </c>
      <c r="AI97" s="419">
        <f t="shared" si="59"/>
        <v>261573</v>
      </c>
      <c r="AJ97" s="419">
        <f t="shared" si="59"/>
        <v>261573</v>
      </c>
      <c r="AK97" s="419">
        <f t="shared" si="59"/>
        <v>261573</v>
      </c>
      <c r="AL97" s="419">
        <f t="shared" si="59"/>
        <v>261573</v>
      </c>
      <c r="AM97" s="419">
        <f t="shared" si="59"/>
        <v>261573</v>
      </c>
      <c r="AN97" s="419">
        <f t="shared" si="59"/>
        <v>261573</v>
      </c>
    </row>
    <row r="98" spans="1:40" s="18" customFormat="1">
      <c r="A98" s="83" t="s">
        <v>181</v>
      </c>
      <c r="B98" s="446">
        <v>1</v>
      </c>
      <c r="C98" s="83"/>
      <c r="D98" s="83"/>
      <c r="E98" s="83"/>
      <c r="F98" s="83"/>
      <c r="G98" s="83"/>
      <c r="H98" s="83"/>
      <c r="I98" s="83"/>
      <c r="J98" s="83"/>
      <c r="K98" s="83"/>
      <c r="L98" s="379"/>
      <c r="M98" s="379"/>
      <c r="N98" s="379"/>
      <c r="O98" s="379"/>
      <c r="P98" s="379"/>
      <c r="Q98" s="379"/>
      <c r="R98" s="379"/>
      <c r="S98" s="376"/>
      <c r="T98" s="440">
        <v>0</v>
      </c>
      <c r="U98" s="441">
        <f>$B$98*$U$12</f>
        <v>172</v>
      </c>
      <c r="V98" s="441">
        <f t="shared" ref="V98:AN98" si="60">$B$98*$U$12</f>
        <v>172</v>
      </c>
      <c r="W98" s="441">
        <f t="shared" si="60"/>
        <v>172</v>
      </c>
      <c r="X98" s="441">
        <f t="shared" si="60"/>
        <v>172</v>
      </c>
      <c r="Y98" s="441">
        <f t="shared" si="60"/>
        <v>172</v>
      </c>
      <c r="Z98" s="441">
        <f t="shared" si="60"/>
        <v>172</v>
      </c>
      <c r="AA98" s="441">
        <f t="shared" si="60"/>
        <v>172</v>
      </c>
      <c r="AB98" s="441">
        <f t="shared" si="60"/>
        <v>172</v>
      </c>
      <c r="AC98" s="441">
        <f t="shared" si="60"/>
        <v>172</v>
      </c>
      <c r="AD98" s="441">
        <f t="shared" si="60"/>
        <v>172</v>
      </c>
      <c r="AE98" s="441">
        <f t="shared" si="60"/>
        <v>172</v>
      </c>
      <c r="AF98" s="441">
        <f t="shared" si="60"/>
        <v>172</v>
      </c>
      <c r="AG98" s="441">
        <f t="shared" si="60"/>
        <v>172</v>
      </c>
      <c r="AH98" s="441">
        <f t="shared" si="60"/>
        <v>172</v>
      </c>
      <c r="AI98" s="441">
        <f t="shared" si="60"/>
        <v>172</v>
      </c>
      <c r="AJ98" s="441">
        <f t="shared" si="60"/>
        <v>172</v>
      </c>
      <c r="AK98" s="441">
        <f t="shared" si="60"/>
        <v>172</v>
      </c>
      <c r="AL98" s="441">
        <f t="shared" si="60"/>
        <v>172</v>
      </c>
      <c r="AM98" s="441">
        <f t="shared" si="60"/>
        <v>172</v>
      </c>
      <c r="AN98" s="441">
        <f t="shared" si="60"/>
        <v>172</v>
      </c>
    </row>
    <row r="99" spans="1:40" s="18" customFormat="1">
      <c r="A99" s="83" t="s">
        <v>382</v>
      </c>
      <c r="B99" s="446"/>
      <c r="C99" s="83"/>
      <c r="D99" s="83"/>
      <c r="E99" s="83"/>
      <c r="F99" s="83"/>
      <c r="G99" s="83"/>
      <c r="H99" s="83"/>
      <c r="I99" s="83"/>
      <c r="J99" s="83"/>
      <c r="K99" s="83"/>
      <c r="L99" s="379"/>
      <c r="M99" s="379"/>
      <c r="N99" s="379"/>
      <c r="O99" s="379"/>
      <c r="P99" s="379"/>
      <c r="Q99" s="379"/>
      <c r="R99" s="379"/>
      <c r="S99" s="376"/>
      <c r="T99" s="440">
        <v>0</v>
      </c>
      <c r="U99" s="441">
        <v>106</v>
      </c>
      <c r="V99" s="441">
        <v>106</v>
      </c>
      <c r="W99" s="441">
        <v>106</v>
      </c>
      <c r="X99" s="441">
        <v>106</v>
      </c>
      <c r="Y99" s="441">
        <v>106</v>
      </c>
      <c r="Z99" s="441">
        <v>106</v>
      </c>
      <c r="AA99" s="441">
        <v>106</v>
      </c>
      <c r="AB99" s="441">
        <v>106</v>
      </c>
      <c r="AC99" s="441">
        <v>106</v>
      </c>
      <c r="AD99" s="441">
        <v>106</v>
      </c>
      <c r="AE99" s="441">
        <v>106</v>
      </c>
      <c r="AF99" s="441">
        <v>106</v>
      </c>
      <c r="AG99" s="441">
        <v>106</v>
      </c>
      <c r="AH99" s="441">
        <v>106</v>
      </c>
      <c r="AI99" s="441">
        <v>106</v>
      </c>
      <c r="AJ99" s="441">
        <v>106</v>
      </c>
      <c r="AK99" s="441">
        <v>106</v>
      </c>
      <c r="AL99" s="441">
        <v>106</v>
      </c>
      <c r="AM99" s="441">
        <v>106</v>
      </c>
      <c r="AN99" s="441">
        <v>106</v>
      </c>
    </row>
    <row r="100" spans="1:40" s="18" customFormat="1">
      <c r="A100" s="82" t="s">
        <v>38</v>
      </c>
      <c r="B100" s="562"/>
      <c r="C100" s="562"/>
      <c r="D100" s="562"/>
      <c r="E100" s="562"/>
      <c r="F100" s="562"/>
      <c r="G100" s="562"/>
      <c r="H100" s="562"/>
      <c r="I100" s="562"/>
      <c r="J100" s="562"/>
      <c r="K100" s="562"/>
      <c r="L100" s="128"/>
      <c r="M100" s="128"/>
      <c r="N100" s="128"/>
      <c r="O100" s="128"/>
      <c r="P100" s="128"/>
      <c r="Q100" s="128"/>
      <c r="R100" s="128"/>
      <c r="S100" s="563"/>
      <c r="T100" s="440">
        <v>0</v>
      </c>
      <c r="U100" s="564">
        <f>U97/U98</f>
        <v>1520.7732558139535</v>
      </c>
      <c r="V100" s="564">
        <f t="shared" ref="V100:AN100" si="61">V97/V98</f>
        <v>1520.7732558139535</v>
      </c>
      <c r="W100" s="564">
        <f t="shared" si="61"/>
        <v>1520.7732558139535</v>
      </c>
      <c r="X100" s="564">
        <f t="shared" si="61"/>
        <v>1520.7732558139535</v>
      </c>
      <c r="Y100" s="564">
        <f t="shared" si="61"/>
        <v>1520.7732558139535</v>
      </c>
      <c r="Z100" s="564">
        <f t="shared" si="61"/>
        <v>1520.7732558139535</v>
      </c>
      <c r="AA100" s="564">
        <f t="shared" si="61"/>
        <v>1520.7732558139535</v>
      </c>
      <c r="AB100" s="564">
        <f t="shared" si="61"/>
        <v>1520.7732558139535</v>
      </c>
      <c r="AC100" s="564">
        <f t="shared" si="61"/>
        <v>1520.7732558139535</v>
      </c>
      <c r="AD100" s="564">
        <f t="shared" si="61"/>
        <v>1520.7732558139535</v>
      </c>
      <c r="AE100" s="564">
        <f t="shared" si="61"/>
        <v>1520.7732558139535</v>
      </c>
      <c r="AF100" s="564">
        <f t="shared" si="61"/>
        <v>1520.7732558139535</v>
      </c>
      <c r="AG100" s="564">
        <f t="shared" si="61"/>
        <v>1520.7732558139535</v>
      </c>
      <c r="AH100" s="564">
        <f t="shared" si="61"/>
        <v>1520.7732558139535</v>
      </c>
      <c r="AI100" s="564">
        <f t="shared" si="61"/>
        <v>1520.7732558139535</v>
      </c>
      <c r="AJ100" s="564">
        <f t="shared" si="61"/>
        <v>1520.7732558139535</v>
      </c>
      <c r="AK100" s="564">
        <f t="shared" si="61"/>
        <v>1520.7732558139535</v>
      </c>
      <c r="AL100" s="564">
        <f t="shared" si="61"/>
        <v>1520.7732558139535</v>
      </c>
      <c r="AM100" s="564">
        <f t="shared" si="61"/>
        <v>1520.7732558139535</v>
      </c>
      <c r="AN100" s="564">
        <f t="shared" si="61"/>
        <v>1520.7732558139535</v>
      </c>
    </row>
    <row r="101" spans="1:40">
      <c r="A101"/>
      <c r="B101"/>
      <c r="C101"/>
      <c r="D101"/>
      <c r="E101"/>
      <c r="F101"/>
      <c r="G101"/>
      <c r="H101"/>
      <c r="I101"/>
      <c r="J101"/>
      <c r="K101"/>
      <c r="T101" s="565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</row>
    <row r="102" spans="1:40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118"/>
      <c r="M102" s="118"/>
      <c r="N102" s="118"/>
      <c r="O102" s="118"/>
      <c r="P102" s="118"/>
      <c r="Q102" s="118"/>
      <c r="R102" s="118"/>
      <c r="S102" s="151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131"/>
      <c r="AL102" s="131"/>
      <c r="AM102" s="131"/>
      <c r="AN102" s="131"/>
    </row>
    <row r="103" spans="1:40">
      <c r="A103"/>
      <c r="B103"/>
      <c r="C103"/>
      <c r="D103"/>
      <c r="E103"/>
      <c r="F103"/>
      <c r="G103"/>
      <c r="H103"/>
      <c r="I103"/>
      <c r="J103"/>
      <c r="K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</row>
    <row r="104" spans="1:40">
      <c r="A104"/>
      <c r="B104"/>
      <c r="C104"/>
      <c r="D104"/>
      <c r="E104"/>
      <c r="F104"/>
      <c r="G104"/>
      <c r="H104"/>
      <c r="I104"/>
      <c r="J104"/>
      <c r="K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</row>
    <row r="105" spans="1:40">
      <c r="A105"/>
      <c r="B105"/>
      <c r="C105"/>
      <c r="D105"/>
      <c r="E105"/>
      <c r="F105"/>
      <c r="G105"/>
      <c r="H105"/>
      <c r="I105"/>
      <c r="J105"/>
      <c r="K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</row>
    <row r="106" spans="1:40">
      <c r="A106"/>
      <c r="B106"/>
      <c r="C106"/>
      <c r="D106"/>
      <c r="E106"/>
      <c r="F106"/>
      <c r="G106"/>
      <c r="H106"/>
      <c r="I106"/>
      <c r="J106"/>
      <c r="K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</row>
    <row r="107" spans="1:40">
      <c r="A107"/>
      <c r="B107"/>
      <c r="C107"/>
      <c r="D107"/>
      <c r="E107"/>
      <c r="F107"/>
      <c r="G107"/>
      <c r="H107"/>
      <c r="I107"/>
      <c r="J107"/>
      <c r="K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</row>
    <row r="108" spans="1:40">
      <c r="A108"/>
      <c r="B108"/>
      <c r="C108"/>
      <c r="D108"/>
      <c r="E108"/>
      <c r="F108"/>
      <c r="G108"/>
      <c r="H108"/>
      <c r="I108"/>
      <c r="J108"/>
      <c r="K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</row>
    <row r="109" spans="1:40">
      <c r="A109"/>
      <c r="B109"/>
      <c r="C109"/>
      <c r="D109"/>
      <c r="E109"/>
      <c r="F109"/>
      <c r="G109"/>
      <c r="H109"/>
      <c r="I109"/>
      <c r="J109"/>
      <c r="K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</row>
    <row r="110" spans="1:40">
      <c r="A110"/>
      <c r="B110"/>
      <c r="C110"/>
      <c r="D110"/>
      <c r="E110"/>
      <c r="F110"/>
      <c r="G110"/>
      <c r="H110"/>
      <c r="I110"/>
      <c r="J110"/>
      <c r="K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</row>
    <row r="111" spans="1:40">
      <c r="A111"/>
      <c r="B111"/>
      <c r="C111"/>
      <c r="D111"/>
      <c r="E111"/>
      <c r="F111"/>
      <c r="G111"/>
      <c r="H111"/>
      <c r="I111"/>
      <c r="J111"/>
      <c r="K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</row>
    <row r="112" spans="1:40">
      <c r="A112"/>
      <c r="B112"/>
      <c r="C112"/>
      <c r="D112"/>
      <c r="E112"/>
      <c r="F112"/>
      <c r="G112"/>
      <c r="H112"/>
      <c r="I112"/>
      <c r="J112"/>
      <c r="K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</row>
    <row r="113" spans="1:36">
      <c r="A113"/>
      <c r="B113"/>
      <c r="C113"/>
      <c r="D113"/>
      <c r="E113"/>
      <c r="F113"/>
      <c r="G113"/>
      <c r="H113"/>
      <c r="I113"/>
      <c r="J113"/>
      <c r="K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</row>
    <row r="114" spans="1:36">
      <c r="A114"/>
      <c r="B114"/>
      <c r="C114"/>
      <c r="D114"/>
      <c r="E114"/>
      <c r="F114"/>
      <c r="G114"/>
      <c r="H114"/>
      <c r="I114"/>
      <c r="J114"/>
      <c r="K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</row>
    <row r="115" spans="1:36">
      <c r="A115"/>
      <c r="B115"/>
      <c r="C115"/>
      <c r="D115"/>
      <c r="E115"/>
      <c r="F115"/>
      <c r="G115"/>
      <c r="H115"/>
      <c r="I115"/>
      <c r="J115"/>
      <c r="K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</row>
    <row r="116" spans="1:36">
      <c r="A116"/>
      <c r="B116"/>
      <c r="C116"/>
      <c r="D116"/>
      <c r="E116"/>
      <c r="F116"/>
      <c r="G116"/>
      <c r="H116"/>
      <c r="I116"/>
      <c r="J116"/>
      <c r="K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</row>
    <row r="117" spans="1:36">
      <c r="A117"/>
      <c r="B117"/>
      <c r="C117"/>
      <c r="D117"/>
      <c r="E117"/>
      <c r="F117"/>
      <c r="G117"/>
      <c r="H117"/>
      <c r="I117"/>
      <c r="J117"/>
      <c r="K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</row>
    <row r="118" spans="1:36">
      <c r="A118"/>
      <c r="B118"/>
      <c r="C118"/>
      <c r="D118"/>
      <c r="E118"/>
      <c r="F118"/>
      <c r="G118"/>
      <c r="H118"/>
      <c r="I118"/>
      <c r="J118"/>
      <c r="K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</row>
    <row r="119" spans="1:36">
      <c r="A119"/>
      <c r="B119"/>
      <c r="C119"/>
      <c r="D119"/>
      <c r="E119"/>
      <c r="F119"/>
      <c r="G119"/>
      <c r="H119"/>
      <c r="I119"/>
      <c r="J119"/>
      <c r="K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</row>
    <row r="120" spans="1:36">
      <c r="A120"/>
      <c r="B120"/>
      <c r="C120"/>
      <c r="D120"/>
      <c r="E120"/>
      <c r="F120"/>
      <c r="G120"/>
      <c r="H120"/>
      <c r="I120"/>
      <c r="J120"/>
      <c r="K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</row>
    <row r="121" spans="1:36">
      <c r="A121"/>
      <c r="B121"/>
      <c r="C121"/>
      <c r="D121"/>
      <c r="E121"/>
      <c r="F121"/>
      <c r="G121"/>
      <c r="H121"/>
      <c r="I121"/>
      <c r="J121"/>
      <c r="K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</row>
    <row r="122" spans="1:36">
      <c r="A122"/>
      <c r="B122"/>
      <c r="C122"/>
      <c r="D122"/>
      <c r="E122"/>
      <c r="F122"/>
      <c r="G122"/>
      <c r="H122"/>
      <c r="I122"/>
      <c r="J122"/>
      <c r="K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</row>
    <row r="123" spans="1:36">
      <c r="A123"/>
      <c r="B123"/>
      <c r="C123"/>
      <c r="D123"/>
      <c r="E123"/>
      <c r="F123"/>
      <c r="G123"/>
      <c r="H123"/>
      <c r="I123"/>
      <c r="J123"/>
      <c r="K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</row>
    <row r="124" spans="1:36">
      <c r="A124"/>
      <c r="B124"/>
      <c r="C124"/>
      <c r="D124"/>
      <c r="E124"/>
      <c r="F124"/>
      <c r="G124"/>
      <c r="H124"/>
      <c r="I124"/>
      <c r="J124"/>
      <c r="K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</row>
    <row r="125" spans="1:36">
      <c r="A125"/>
      <c r="B125"/>
      <c r="C125"/>
      <c r="D125"/>
      <c r="E125"/>
      <c r="F125"/>
      <c r="G125"/>
      <c r="H125"/>
      <c r="I125"/>
      <c r="J125"/>
      <c r="K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</row>
    <row r="126" spans="1:36">
      <c r="A126"/>
      <c r="B126"/>
      <c r="C126"/>
      <c r="D126"/>
      <c r="E126"/>
      <c r="F126"/>
      <c r="G126"/>
      <c r="H126"/>
      <c r="I126"/>
      <c r="J126"/>
      <c r="K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</row>
    <row r="127" spans="1:36">
      <c r="A127"/>
      <c r="B127"/>
      <c r="C127"/>
      <c r="D127"/>
      <c r="E127"/>
      <c r="F127"/>
      <c r="G127"/>
      <c r="H127"/>
      <c r="I127"/>
      <c r="J127"/>
      <c r="K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</row>
    <row r="128" spans="1:36">
      <c r="A128"/>
      <c r="B128"/>
      <c r="C128"/>
      <c r="D128"/>
      <c r="E128"/>
      <c r="F128"/>
      <c r="G128"/>
      <c r="H128"/>
      <c r="I128"/>
      <c r="J128"/>
      <c r="K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</row>
    <row r="129" spans="1:36">
      <c r="A129"/>
      <c r="B129"/>
      <c r="C129"/>
      <c r="D129"/>
      <c r="E129"/>
      <c r="F129"/>
      <c r="G129"/>
      <c r="H129"/>
      <c r="I129"/>
      <c r="J129"/>
      <c r="K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</row>
    <row r="130" spans="1:36">
      <c r="A130"/>
      <c r="B130"/>
      <c r="C130"/>
      <c r="D130"/>
      <c r="E130"/>
      <c r="F130"/>
      <c r="G130"/>
      <c r="H130"/>
      <c r="I130"/>
      <c r="J130"/>
      <c r="K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</row>
    <row r="131" spans="1:36">
      <c r="A131"/>
      <c r="B131"/>
      <c r="C131"/>
      <c r="D131"/>
      <c r="E131"/>
      <c r="F131"/>
      <c r="G131"/>
      <c r="H131"/>
      <c r="I131"/>
      <c r="J131"/>
      <c r="K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</row>
    <row r="132" spans="1:36">
      <c r="A132"/>
      <c r="B132"/>
      <c r="C132"/>
      <c r="D132"/>
      <c r="E132"/>
      <c r="F132"/>
      <c r="G132"/>
      <c r="H132"/>
      <c r="I132"/>
      <c r="J132"/>
      <c r="K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</row>
    <row r="133" spans="1:36">
      <c r="A133"/>
      <c r="B133"/>
      <c r="C133"/>
      <c r="D133"/>
      <c r="E133"/>
      <c r="F133"/>
      <c r="G133"/>
      <c r="H133"/>
      <c r="I133"/>
      <c r="J133"/>
      <c r="K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</row>
    <row r="134" spans="1:36">
      <c r="A134"/>
      <c r="B134"/>
      <c r="C134"/>
      <c r="D134"/>
      <c r="E134"/>
      <c r="F134"/>
      <c r="G134"/>
      <c r="H134"/>
      <c r="I134"/>
      <c r="J134"/>
      <c r="K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</row>
    <row r="135" spans="1:36">
      <c r="A135"/>
      <c r="B135"/>
      <c r="C135"/>
      <c r="D135"/>
      <c r="E135"/>
      <c r="F135"/>
      <c r="G135"/>
      <c r="H135"/>
      <c r="I135"/>
      <c r="J135"/>
      <c r="K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</row>
    <row r="136" spans="1:36">
      <c r="A136"/>
      <c r="B136"/>
      <c r="C136"/>
      <c r="D136"/>
      <c r="E136"/>
      <c r="F136"/>
      <c r="G136"/>
      <c r="H136"/>
      <c r="I136"/>
      <c r="J136"/>
      <c r="K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</row>
    <row r="137" spans="1:36">
      <c r="A137"/>
      <c r="B137"/>
      <c r="C137"/>
      <c r="D137"/>
      <c r="E137"/>
      <c r="F137"/>
      <c r="G137"/>
      <c r="H137"/>
      <c r="I137"/>
      <c r="J137"/>
      <c r="K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</row>
    <row r="138" spans="1:36">
      <c r="A138"/>
      <c r="B138"/>
      <c r="C138"/>
      <c r="D138"/>
      <c r="E138"/>
      <c r="F138"/>
      <c r="G138"/>
      <c r="H138"/>
      <c r="I138"/>
      <c r="J138"/>
      <c r="K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</row>
    <row r="139" spans="1:36">
      <c r="A139"/>
      <c r="B139"/>
      <c r="C139"/>
      <c r="D139"/>
      <c r="E139"/>
      <c r="F139"/>
      <c r="G139"/>
      <c r="H139"/>
      <c r="I139"/>
      <c r="J139"/>
      <c r="K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</row>
    <row r="140" spans="1:36">
      <c r="A140"/>
      <c r="B140"/>
      <c r="C140"/>
      <c r="D140"/>
      <c r="E140"/>
      <c r="F140"/>
      <c r="G140"/>
      <c r="H140"/>
      <c r="I140"/>
      <c r="J140"/>
      <c r="K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</row>
    <row r="141" spans="1:36">
      <c r="A141"/>
      <c r="B141"/>
      <c r="C141"/>
      <c r="D141"/>
      <c r="E141"/>
      <c r="F141"/>
      <c r="G141"/>
      <c r="H141"/>
      <c r="I141"/>
      <c r="J141"/>
      <c r="K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</row>
    <row r="142" spans="1:36">
      <c r="A142"/>
      <c r="B142"/>
      <c r="C142"/>
      <c r="D142"/>
      <c r="E142"/>
      <c r="F142"/>
      <c r="G142"/>
      <c r="H142"/>
      <c r="I142"/>
      <c r="J142"/>
      <c r="K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</row>
    <row r="143" spans="1:36">
      <c r="A143"/>
      <c r="B143"/>
      <c r="C143"/>
      <c r="D143"/>
      <c r="E143"/>
      <c r="F143"/>
      <c r="G143"/>
      <c r="H143"/>
      <c r="I143"/>
      <c r="J143"/>
      <c r="K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</row>
    <row r="144" spans="1:36">
      <c r="A144"/>
      <c r="B144"/>
      <c r="C144"/>
      <c r="D144"/>
      <c r="E144"/>
      <c r="F144"/>
      <c r="G144"/>
      <c r="H144"/>
      <c r="I144"/>
      <c r="J144"/>
      <c r="K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</row>
    <row r="145" spans="1:36">
      <c r="A145"/>
      <c r="B145"/>
      <c r="C145"/>
      <c r="D145"/>
      <c r="E145"/>
      <c r="F145"/>
      <c r="G145"/>
      <c r="H145"/>
      <c r="I145"/>
      <c r="J145"/>
      <c r="K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</row>
    <row r="146" spans="1:36">
      <c r="A146"/>
      <c r="B146"/>
      <c r="C146"/>
      <c r="D146"/>
      <c r="E146"/>
      <c r="F146"/>
      <c r="G146"/>
      <c r="H146"/>
      <c r="I146"/>
      <c r="J146"/>
      <c r="K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</row>
    <row r="147" spans="1:36">
      <c r="A147"/>
      <c r="B147"/>
      <c r="C147"/>
      <c r="D147"/>
      <c r="E147"/>
      <c r="F147"/>
      <c r="G147"/>
      <c r="H147"/>
      <c r="I147"/>
      <c r="J147"/>
      <c r="K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</row>
    <row r="148" spans="1:36">
      <c r="A148"/>
      <c r="B148"/>
      <c r="C148"/>
      <c r="D148"/>
      <c r="E148"/>
      <c r="F148"/>
      <c r="G148"/>
      <c r="H148"/>
      <c r="I148"/>
      <c r="J148"/>
      <c r="K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</row>
    <row r="149" spans="1:36">
      <c r="A149"/>
      <c r="B149"/>
      <c r="C149"/>
      <c r="D149"/>
      <c r="E149"/>
      <c r="F149"/>
      <c r="G149"/>
      <c r="H149"/>
      <c r="I149"/>
      <c r="J149"/>
      <c r="K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</row>
    <row r="150" spans="1:36">
      <c r="A150"/>
      <c r="B150"/>
      <c r="C150"/>
      <c r="D150"/>
      <c r="E150"/>
      <c r="F150"/>
      <c r="G150"/>
      <c r="H150"/>
      <c r="I150"/>
      <c r="J150"/>
      <c r="K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</row>
    <row r="151" spans="1:36">
      <c r="A151"/>
      <c r="B151"/>
      <c r="C151"/>
      <c r="D151"/>
      <c r="E151"/>
      <c r="F151"/>
      <c r="G151"/>
      <c r="H151"/>
      <c r="I151"/>
      <c r="J151"/>
      <c r="K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</row>
    <row r="152" spans="1:36">
      <c r="A152"/>
      <c r="B152"/>
      <c r="C152"/>
      <c r="D152"/>
      <c r="E152"/>
      <c r="F152"/>
      <c r="G152"/>
      <c r="H152"/>
      <c r="I152"/>
      <c r="J152"/>
      <c r="K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</row>
    <row r="153" spans="1:36">
      <c r="A153"/>
      <c r="B153"/>
      <c r="C153"/>
      <c r="D153"/>
      <c r="E153"/>
      <c r="F153"/>
      <c r="G153"/>
      <c r="H153"/>
      <c r="I153"/>
      <c r="J153"/>
      <c r="K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</row>
    <row r="154" spans="1:36">
      <c r="A154"/>
      <c r="B154"/>
      <c r="C154"/>
      <c r="D154"/>
      <c r="E154"/>
      <c r="F154"/>
      <c r="G154"/>
      <c r="H154"/>
      <c r="I154"/>
      <c r="J154"/>
      <c r="K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</row>
    <row r="155" spans="1:36">
      <c r="A155"/>
      <c r="B155"/>
      <c r="C155"/>
      <c r="D155"/>
      <c r="E155"/>
      <c r="F155"/>
      <c r="G155"/>
      <c r="H155"/>
      <c r="I155"/>
      <c r="J155"/>
      <c r="K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</row>
    <row r="156" spans="1:36">
      <c r="A156"/>
      <c r="B156"/>
      <c r="C156"/>
      <c r="D156"/>
      <c r="E156"/>
      <c r="F156"/>
      <c r="G156"/>
      <c r="H156"/>
      <c r="I156"/>
      <c r="J156"/>
      <c r="K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</row>
    <row r="157" spans="1:36">
      <c r="A157"/>
      <c r="B157"/>
      <c r="C157"/>
      <c r="D157"/>
      <c r="E157"/>
      <c r="F157"/>
      <c r="G157"/>
      <c r="H157"/>
      <c r="I157"/>
      <c r="J157"/>
      <c r="K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</row>
    <row r="158" spans="1:36">
      <c r="A158"/>
      <c r="B158"/>
      <c r="C158"/>
      <c r="D158"/>
      <c r="E158"/>
      <c r="F158"/>
      <c r="G158"/>
      <c r="H158"/>
      <c r="I158"/>
      <c r="J158"/>
      <c r="K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</row>
    <row r="159" spans="1:36">
      <c r="A159"/>
      <c r="B159"/>
      <c r="C159"/>
      <c r="D159"/>
      <c r="E159"/>
      <c r="F159"/>
      <c r="G159"/>
      <c r="H159"/>
      <c r="I159"/>
      <c r="J159"/>
      <c r="K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</row>
    <row r="160" spans="1:36">
      <c r="A160"/>
      <c r="B160"/>
      <c r="C160"/>
      <c r="D160"/>
      <c r="E160"/>
      <c r="F160"/>
      <c r="G160"/>
      <c r="H160"/>
      <c r="I160"/>
      <c r="J160"/>
      <c r="K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</row>
    <row r="161" spans="1:36">
      <c r="A161"/>
      <c r="B161"/>
      <c r="C161"/>
      <c r="D161"/>
      <c r="E161"/>
      <c r="F161"/>
      <c r="G161"/>
      <c r="H161"/>
      <c r="I161"/>
      <c r="J161"/>
      <c r="K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</row>
    <row r="162" spans="1:36">
      <c r="A162"/>
      <c r="B162"/>
      <c r="C162"/>
      <c r="D162"/>
      <c r="E162"/>
      <c r="F162"/>
      <c r="G162"/>
      <c r="H162"/>
      <c r="I162"/>
      <c r="J162"/>
      <c r="K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</row>
    <row r="163" spans="1:36">
      <c r="A163"/>
      <c r="B163"/>
      <c r="C163"/>
      <c r="D163"/>
      <c r="E163"/>
      <c r="F163"/>
      <c r="G163"/>
      <c r="H163"/>
      <c r="I163"/>
      <c r="J163"/>
      <c r="K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</row>
    <row r="164" spans="1:36">
      <c r="A164"/>
      <c r="B164"/>
      <c r="C164"/>
      <c r="D164"/>
      <c r="E164"/>
      <c r="F164"/>
      <c r="G164"/>
      <c r="H164"/>
      <c r="I164"/>
      <c r="J164"/>
      <c r="K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</row>
    <row r="165" spans="1:36">
      <c r="A165"/>
      <c r="B165"/>
      <c r="C165"/>
      <c r="D165"/>
      <c r="E165"/>
      <c r="F165"/>
      <c r="G165"/>
      <c r="H165"/>
      <c r="I165"/>
      <c r="J165"/>
      <c r="K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</row>
    <row r="166" spans="1:36">
      <c r="A166"/>
      <c r="B166"/>
      <c r="C166"/>
      <c r="D166"/>
      <c r="E166"/>
      <c r="F166"/>
      <c r="G166"/>
      <c r="H166"/>
      <c r="I166"/>
      <c r="J166"/>
      <c r="K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</row>
    <row r="167" spans="1:36">
      <c r="A167"/>
      <c r="B167"/>
      <c r="C167"/>
      <c r="D167"/>
      <c r="E167"/>
      <c r="F167"/>
      <c r="G167"/>
      <c r="H167"/>
      <c r="I167"/>
      <c r="J167"/>
      <c r="K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</row>
    <row r="168" spans="1:36">
      <c r="A168"/>
      <c r="B168"/>
      <c r="C168"/>
      <c r="D168"/>
      <c r="E168"/>
      <c r="F168"/>
      <c r="G168"/>
      <c r="H168"/>
      <c r="I168"/>
      <c r="J168"/>
      <c r="K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</row>
    <row r="169" spans="1:36">
      <c r="A169"/>
      <c r="B169"/>
      <c r="C169"/>
      <c r="D169"/>
      <c r="E169"/>
      <c r="F169"/>
      <c r="G169"/>
      <c r="H169"/>
      <c r="I169"/>
      <c r="J169"/>
      <c r="K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</row>
    <row r="170" spans="1:36">
      <c r="A170"/>
      <c r="B170"/>
      <c r="C170"/>
      <c r="D170"/>
      <c r="E170"/>
      <c r="F170"/>
      <c r="G170"/>
      <c r="H170"/>
      <c r="I170"/>
      <c r="J170"/>
      <c r="K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</row>
    <row r="171" spans="1:36">
      <c r="A171"/>
      <c r="B171"/>
      <c r="C171"/>
      <c r="D171"/>
      <c r="E171"/>
      <c r="F171"/>
      <c r="G171"/>
      <c r="H171"/>
      <c r="I171"/>
      <c r="J171"/>
      <c r="K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</row>
    <row r="172" spans="1:36">
      <c r="A172"/>
      <c r="B172"/>
      <c r="C172"/>
      <c r="D172"/>
      <c r="E172"/>
      <c r="F172"/>
      <c r="G172"/>
      <c r="H172"/>
      <c r="I172"/>
      <c r="J172"/>
      <c r="K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</row>
    <row r="173" spans="1:36">
      <c r="A173"/>
      <c r="B173"/>
      <c r="C173"/>
      <c r="D173"/>
      <c r="E173"/>
      <c r="F173"/>
      <c r="G173"/>
      <c r="H173"/>
      <c r="I173"/>
      <c r="J173"/>
      <c r="K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</row>
    <row r="174" spans="1:36">
      <c r="A174"/>
      <c r="B174"/>
      <c r="C174"/>
      <c r="D174"/>
      <c r="E174"/>
      <c r="F174"/>
      <c r="G174"/>
      <c r="H174"/>
      <c r="I174"/>
      <c r="J174"/>
      <c r="K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</row>
    <row r="175" spans="1:36">
      <c r="A175"/>
      <c r="B175"/>
      <c r="C175"/>
      <c r="D175"/>
      <c r="E175"/>
      <c r="F175"/>
      <c r="G175"/>
      <c r="H175"/>
      <c r="I175"/>
      <c r="J175"/>
      <c r="K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</row>
    <row r="176" spans="1:36">
      <c r="A176"/>
      <c r="B176"/>
      <c r="C176"/>
      <c r="D176"/>
      <c r="E176"/>
      <c r="F176"/>
      <c r="G176"/>
      <c r="H176"/>
      <c r="I176"/>
      <c r="J176"/>
      <c r="K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</row>
    <row r="177" spans="1:36">
      <c r="A177"/>
      <c r="B177"/>
      <c r="C177"/>
      <c r="D177"/>
      <c r="E177"/>
      <c r="F177"/>
      <c r="G177"/>
      <c r="H177"/>
      <c r="I177"/>
      <c r="J177"/>
      <c r="K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</row>
    <row r="178" spans="1:36">
      <c r="A178"/>
      <c r="B178"/>
      <c r="C178"/>
      <c r="D178"/>
      <c r="E178"/>
      <c r="F178"/>
      <c r="G178"/>
      <c r="H178"/>
      <c r="I178"/>
      <c r="J178"/>
      <c r="K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</row>
    <row r="179" spans="1:36">
      <c r="A179"/>
      <c r="B179"/>
      <c r="C179"/>
      <c r="D179"/>
      <c r="E179"/>
      <c r="F179"/>
      <c r="G179"/>
      <c r="H179"/>
      <c r="I179"/>
      <c r="J179"/>
      <c r="K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</row>
    <row r="180" spans="1:36">
      <c r="A180"/>
      <c r="B180"/>
      <c r="C180"/>
      <c r="D180"/>
      <c r="E180"/>
      <c r="F180"/>
      <c r="G180"/>
      <c r="H180"/>
      <c r="I180"/>
      <c r="J180"/>
      <c r="K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</row>
    <row r="181" spans="1:36">
      <c r="A181"/>
      <c r="B181"/>
      <c r="C181"/>
      <c r="D181"/>
      <c r="E181"/>
      <c r="F181"/>
      <c r="G181"/>
      <c r="H181"/>
      <c r="I181"/>
      <c r="J181"/>
      <c r="K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</row>
    <row r="182" spans="1:36">
      <c r="A182"/>
      <c r="B182"/>
      <c r="C182"/>
      <c r="D182"/>
      <c r="E182"/>
      <c r="F182"/>
      <c r="G182"/>
      <c r="H182"/>
      <c r="I182"/>
      <c r="J182"/>
      <c r="K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</row>
    <row r="183" spans="1:36">
      <c r="A183"/>
      <c r="B183"/>
      <c r="C183"/>
      <c r="D183"/>
      <c r="E183"/>
      <c r="F183"/>
      <c r="G183"/>
      <c r="H183"/>
      <c r="I183"/>
      <c r="J183"/>
      <c r="K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</row>
    <row r="184" spans="1:36">
      <c r="A184"/>
      <c r="B184"/>
      <c r="C184"/>
      <c r="D184"/>
      <c r="E184"/>
      <c r="F184"/>
      <c r="G184"/>
      <c r="H184"/>
      <c r="I184"/>
      <c r="J184"/>
      <c r="K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</row>
    <row r="185" spans="1:36">
      <c r="A185"/>
      <c r="B185"/>
      <c r="C185"/>
      <c r="D185"/>
      <c r="E185"/>
      <c r="F185"/>
      <c r="G185"/>
      <c r="H185"/>
      <c r="I185"/>
      <c r="J185"/>
      <c r="K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</row>
    <row r="186" spans="1:36">
      <c r="A186"/>
      <c r="B186"/>
      <c r="C186"/>
      <c r="D186"/>
      <c r="E186"/>
      <c r="F186"/>
      <c r="G186"/>
      <c r="H186"/>
      <c r="I186"/>
      <c r="J186"/>
      <c r="K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</row>
    <row r="187" spans="1:36">
      <c r="A187"/>
      <c r="B187"/>
      <c r="C187"/>
      <c r="D187"/>
      <c r="E187"/>
      <c r="F187"/>
      <c r="G187"/>
      <c r="H187"/>
      <c r="I187"/>
      <c r="J187"/>
      <c r="K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</row>
    <row r="188" spans="1:36">
      <c r="A188"/>
      <c r="B188"/>
      <c r="C188"/>
      <c r="D188"/>
      <c r="E188"/>
      <c r="F188"/>
      <c r="G188"/>
      <c r="H188"/>
      <c r="I188"/>
      <c r="J188"/>
      <c r="K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</row>
    <row r="189" spans="1:36">
      <c r="A189"/>
      <c r="B189"/>
      <c r="C189"/>
      <c r="D189"/>
      <c r="E189"/>
      <c r="F189"/>
      <c r="G189"/>
      <c r="H189"/>
      <c r="I189"/>
      <c r="J189"/>
      <c r="K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</row>
    <row r="190" spans="1:36">
      <c r="A190"/>
      <c r="B190"/>
      <c r="C190"/>
      <c r="D190"/>
      <c r="E190"/>
      <c r="F190"/>
      <c r="G190"/>
      <c r="H190"/>
      <c r="I190"/>
      <c r="J190"/>
      <c r="K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</row>
    <row r="191" spans="1:36">
      <c r="A191"/>
      <c r="B191"/>
      <c r="C191"/>
      <c r="D191"/>
      <c r="E191"/>
      <c r="F191"/>
      <c r="G191"/>
      <c r="H191"/>
      <c r="I191"/>
      <c r="J191"/>
      <c r="K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</row>
    <row r="192" spans="1:36">
      <c r="A192"/>
      <c r="B192"/>
      <c r="C192"/>
      <c r="D192"/>
      <c r="E192"/>
      <c r="F192"/>
      <c r="G192"/>
      <c r="H192"/>
      <c r="I192"/>
      <c r="J192"/>
      <c r="K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</row>
    <row r="193" spans="1:36">
      <c r="A193"/>
      <c r="B193"/>
      <c r="C193"/>
      <c r="D193"/>
      <c r="E193"/>
      <c r="F193"/>
      <c r="G193"/>
      <c r="H193"/>
      <c r="I193"/>
      <c r="J193"/>
      <c r="K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</row>
    <row r="194" spans="1:36">
      <c r="A194"/>
      <c r="B194"/>
      <c r="C194"/>
      <c r="D194"/>
      <c r="E194"/>
      <c r="F194"/>
      <c r="G194"/>
      <c r="H194"/>
      <c r="I194"/>
      <c r="J194"/>
      <c r="K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</row>
  </sheetData>
  <mergeCells count="1">
    <mergeCell ref="A5:V5"/>
  </mergeCells>
  <pageMargins left="0.7" right="0.7" top="0.75" bottom="0.75" header="0.3" footer="0.3"/>
  <pageSetup orientation="portrait" horizontalDpi="1200" verticalDpi="120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3CC"/>
  </sheetPr>
  <dimension ref="A1:W238"/>
  <sheetViews>
    <sheetView topLeftCell="A37" zoomScale="70" zoomScaleNormal="70" workbookViewId="0">
      <selection activeCell="C163" sqref="C163"/>
    </sheetView>
  </sheetViews>
  <sheetFormatPr defaultColWidth="9" defaultRowHeight="16.5"/>
  <cols>
    <col min="1" max="1" width="45.625" style="18" customWidth="1"/>
    <col min="2" max="2" width="9.625" style="18" customWidth="1"/>
    <col min="3" max="22" width="11.25" style="18" bestFit="1" customWidth="1"/>
    <col min="23" max="16384" width="9" style="18"/>
  </cols>
  <sheetData>
    <row r="1" spans="1:23" ht="18.75" thickBot="1">
      <c r="A1" s="11" t="str">
        <f>Intro!A1</f>
        <v>Town of Bar Harbor</v>
      </c>
      <c r="B1" s="14"/>
      <c r="C1" s="14"/>
      <c r="D1" s="1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</row>
    <row r="2" spans="1:23" ht="17.25" thickBot="1">
      <c r="A2" s="380" t="str">
        <f>Intro!A2</f>
        <v>Ferry Property Business Plan</v>
      </c>
      <c r="B2" s="14"/>
      <c r="C2" s="14"/>
      <c r="D2" s="1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</row>
    <row r="3" spans="1:23" s="381" customFormat="1" ht="14.25" thickBot="1">
      <c r="A3" s="384" t="str">
        <f>Intro!A3</f>
        <v>05.23.2018</v>
      </c>
      <c r="B3" s="385"/>
      <c r="C3" s="385"/>
      <c r="D3" s="385"/>
      <c r="E3" s="396"/>
      <c r="F3" s="396"/>
      <c r="G3" s="396"/>
      <c r="H3" s="396"/>
      <c r="I3" s="396"/>
      <c r="J3" s="396"/>
      <c r="K3" s="396"/>
      <c r="L3" s="396"/>
      <c r="M3" s="396"/>
      <c r="N3" s="396"/>
      <c r="O3" s="396"/>
      <c r="P3" s="396"/>
      <c r="Q3" s="396"/>
      <c r="R3" s="396"/>
      <c r="S3" s="396"/>
      <c r="T3" s="396"/>
      <c r="U3" s="396"/>
      <c r="V3" s="396"/>
    </row>
    <row r="4" spans="1:23" s="381" customFormat="1" ht="13.5">
      <c r="A4" s="384" t="str">
        <f ca="1">Intro!A4</f>
        <v>Town of Bar Harbor</v>
      </c>
      <c r="B4" s="385"/>
      <c r="C4" s="385"/>
      <c r="D4" s="385"/>
      <c r="E4" s="385"/>
      <c r="F4" s="385"/>
      <c r="G4" s="385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5"/>
      <c r="U4" s="385"/>
      <c r="V4" s="385"/>
    </row>
    <row r="5" spans="1:23">
      <c r="A5" s="1208" t="s">
        <v>234</v>
      </c>
      <c r="B5" s="1208"/>
      <c r="C5" s="1208"/>
      <c r="D5" s="1208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</row>
    <row r="6" spans="1:23">
      <c r="A6" s="6"/>
      <c r="B6" s="425"/>
      <c r="C6" s="7"/>
      <c r="D6" s="7"/>
    </row>
    <row r="7" spans="1:23">
      <c r="A7" s="8"/>
      <c r="B7" s="444">
        <v>2018</v>
      </c>
      <c r="C7" s="86">
        <v>2019</v>
      </c>
      <c r="D7" s="86">
        <v>2020</v>
      </c>
      <c r="E7" s="86">
        <v>2021</v>
      </c>
      <c r="F7" s="86">
        <v>2022</v>
      </c>
      <c r="G7" s="86">
        <v>2023</v>
      </c>
      <c r="H7" s="86">
        <v>2024</v>
      </c>
      <c r="I7" s="86">
        <v>2025</v>
      </c>
      <c r="J7" s="86">
        <v>2026</v>
      </c>
      <c r="K7" s="86">
        <v>2027</v>
      </c>
      <c r="L7" s="86">
        <v>2028</v>
      </c>
      <c r="M7" s="86">
        <v>2029</v>
      </c>
      <c r="N7" s="86">
        <v>2030</v>
      </c>
      <c r="O7" s="86">
        <v>2031</v>
      </c>
      <c r="P7" s="86">
        <v>2032</v>
      </c>
      <c r="Q7" s="86">
        <v>2033</v>
      </c>
      <c r="R7" s="9">
        <f t="shared" ref="R7:V7" si="0">Q7+1</f>
        <v>2034</v>
      </c>
      <c r="S7" s="9">
        <f t="shared" si="0"/>
        <v>2035</v>
      </c>
      <c r="T7" s="9">
        <f t="shared" si="0"/>
        <v>2036</v>
      </c>
      <c r="U7" s="9">
        <f t="shared" si="0"/>
        <v>2037</v>
      </c>
      <c r="V7" s="9">
        <f t="shared" si="0"/>
        <v>2038</v>
      </c>
    </row>
    <row r="8" spans="1:23">
      <c r="A8" s="82"/>
      <c r="B8" s="373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4"/>
      <c r="T8" s="154"/>
      <c r="U8" s="154"/>
      <c r="V8" s="154"/>
    </row>
    <row r="9" spans="1:23">
      <c r="A9" s="82" t="s">
        <v>420</v>
      </c>
      <c r="B9" s="373">
        <v>0</v>
      </c>
      <c r="C9" s="734">
        <v>0</v>
      </c>
      <c r="D9" s="734">
        <v>214</v>
      </c>
      <c r="E9" s="734">
        <v>214</v>
      </c>
      <c r="F9" s="734">
        <v>214</v>
      </c>
      <c r="G9" s="734">
        <v>214</v>
      </c>
      <c r="H9" s="734">
        <v>214</v>
      </c>
      <c r="I9" s="734">
        <v>214</v>
      </c>
      <c r="J9" s="734">
        <v>214</v>
      </c>
      <c r="K9" s="734">
        <v>214</v>
      </c>
      <c r="L9" s="734">
        <v>214</v>
      </c>
      <c r="M9" s="734">
        <v>214</v>
      </c>
      <c r="N9" s="734">
        <v>214</v>
      </c>
      <c r="O9" s="734">
        <v>214</v>
      </c>
      <c r="P9" s="734">
        <v>214</v>
      </c>
      <c r="Q9" s="734">
        <v>214</v>
      </c>
      <c r="R9" s="734">
        <v>214</v>
      </c>
      <c r="S9" s="734">
        <v>214</v>
      </c>
      <c r="T9" s="734">
        <v>214</v>
      </c>
      <c r="U9" s="734">
        <v>214</v>
      </c>
      <c r="V9" s="734">
        <v>214</v>
      </c>
    </row>
    <row r="10" spans="1:23">
      <c r="A10" s="82"/>
      <c r="B10" s="373"/>
      <c r="C10" s="155"/>
      <c r="D10" s="155"/>
      <c r="E10" s="155"/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4"/>
      <c r="T10" s="154"/>
      <c r="U10" s="154"/>
      <c r="V10" s="154"/>
    </row>
    <row r="11" spans="1:23">
      <c r="A11" s="475" t="s">
        <v>349</v>
      </c>
      <c r="B11" s="480"/>
      <c r="C11" s="480"/>
      <c r="D11" s="480"/>
      <c r="E11" s="268"/>
      <c r="F11" s="268"/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</row>
    <row r="12" spans="1:23" s="32" customFormat="1">
      <c r="A12" s="481"/>
      <c r="B12" s="374"/>
      <c r="C12" s="482"/>
      <c r="D12" s="482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</row>
    <row r="13" spans="1:23" s="16" customFormat="1" ht="14.25">
      <c r="A13" s="85" t="s">
        <v>237</v>
      </c>
      <c r="B13" s="711">
        <v>0</v>
      </c>
      <c r="C13" s="419">
        <f>SUM(C24:C27)</f>
        <v>12</v>
      </c>
      <c r="D13" s="419">
        <f t="shared" ref="D13:V13" si="1">SUM(D24:D27)</f>
        <v>12</v>
      </c>
      <c r="E13" s="419">
        <f t="shared" si="1"/>
        <v>12</v>
      </c>
      <c r="F13" s="419">
        <f t="shared" si="1"/>
        <v>12</v>
      </c>
      <c r="G13" s="419">
        <f t="shared" si="1"/>
        <v>12</v>
      </c>
      <c r="H13" s="419">
        <f t="shared" si="1"/>
        <v>12</v>
      </c>
      <c r="I13" s="419">
        <f t="shared" si="1"/>
        <v>12</v>
      </c>
      <c r="J13" s="419">
        <f t="shared" si="1"/>
        <v>12</v>
      </c>
      <c r="K13" s="419">
        <f t="shared" si="1"/>
        <v>12</v>
      </c>
      <c r="L13" s="419">
        <f t="shared" si="1"/>
        <v>12</v>
      </c>
      <c r="M13" s="419">
        <f t="shared" si="1"/>
        <v>12</v>
      </c>
      <c r="N13" s="419">
        <f t="shared" si="1"/>
        <v>12</v>
      </c>
      <c r="O13" s="419">
        <f t="shared" si="1"/>
        <v>12</v>
      </c>
      <c r="P13" s="419">
        <f t="shared" si="1"/>
        <v>12</v>
      </c>
      <c r="Q13" s="419">
        <f t="shared" si="1"/>
        <v>12</v>
      </c>
      <c r="R13" s="419">
        <f t="shared" si="1"/>
        <v>12</v>
      </c>
      <c r="S13" s="419">
        <f t="shared" si="1"/>
        <v>12</v>
      </c>
      <c r="T13" s="419">
        <f t="shared" si="1"/>
        <v>12</v>
      </c>
      <c r="U13" s="419">
        <f t="shared" si="1"/>
        <v>12</v>
      </c>
      <c r="V13" s="419">
        <f t="shared" si="1"/>
        <v>12</v>
      </c>
    </row>
    <row r="14" spans="1:23" s="16" customFormat="1" ht="14.25">
      <c r="A14" s="85" t="s">
        <v>273</v>
      </c>
      <c r="B14" s="711">
        <v>0</v>
      </c>
      <c r="C14" s="419">
        <f t="shared" ref="C14:V14" si="2">SUM(C20,C23)</f>
        <v>22204.974374999998</v>
      </c>
      <c r="D14" s="419">
        <f t="shared" si="2"/>
        <v>22204.974374999998</v>
      </c>
      <c r="E14" s="419">
        <f t="shared" si="2"/>
        <v>22204.974374999998</v>
      </c>
      <c r="F14" s="419">
        <f t="shared" si="2"/>
        <v>22204.974374999998</v>
      </c>
      <c r="G14" s="419">
        <f t="shared" si="2"/>
        <v>22204.974374999998</v>
      </c>
      <c r="H14" s="419">
        <f t="shared" si="2"/>
        <v>22204.974374999998</v>
      </c>
      <c r="I14" s="419">
        <f t="shared" si="2"/>
        <v>22204.974374999998</v>
      </c>
      <c r="J14" s="419">
        <f t="shared" si="2"/>
        <v>22204.974374999998</v>
      </c>
      <c r="K14" s="419">
        <f t="shared" si="2"/>
        <v>22204.974374999998</v>
      </c>
      <c r="L14" s="419">
        <f t="shared" si="2"/>
        <v>22204.974374999998</v>
      </c>
      <c r="M14" s="419">
        <f t="shared" si="2"/>
        <v>22204.974374999998</v>
      </c>
      <c r="N14" s="419">
        <f t="shared" si="2"/>
        <v>22204.974374999998</v>
      </c>
      <c r="O14" s="419">
        <f t="shared" si="2"/>
        <v>22204.974374999998</v>
      </c>
      <c r="P14" s="419">
        <f t="shared" si="2"/>
        <v>22204.974374999998</v>
      </c>
      <c r="Q14" s="419">
        <f t="shared" si="2"/>
        <v>22204.974374999998</v>
      </c>
      <c r="R14" s="419">
        <f t="shared" si="2"/>
        <v>22204.974374999998</v>
      </c>
      <c r="S14" s="419">
        <f t="shared" si="2"/>
        <v>22204.974374999998</v>
      </c>
      <c r="T14" s="419">
        <f t="shared" si="2"/>
        <v>22204.974374999998</v>
      </c>
      <c r="U14" s="419">
        <f t="shared" si="2"/>
        <v>22204.974374999998</v>
      </c>
      <c r="V14" s="419">
        <f t="shared" si="2"/>
        <v>22204.974374999998</v>
      </c>
    </row>
    <row r="15" spans="1:23" s="16" customFormat="1">
      <c r="A15" s="83" t="s">
        <v>251</v>
      </c>
      <c r="B15" s="440">
        <v>0</v>
      </c>
      <c r="C15" s="441">
        <f>(C24*$A$24)+(C25*$A$25)+(C26*$A$26)+(C27*$A$27)</f>
        <v>540</v>
      </c>
      <c r="D15" s="441">
        <f t="shared" ref="D15:V15" si="3">(D24*$A$24)+(D25*$A$25)+(D26*$A$26)+(D27*$A$27)</f>
        <v>540</v>
      </c>
      <c r="E15" s="441">
        <f t="shared" si="3"/>
        <v>540</v>
      </c>
      <c r="F15" s="441">
        <f t="shared" si="3"/>
        <v>540</v>
      </c>
      <c r="G15" s="441">
        <f t="shared" si="3"/>
        <v>540</v>
      </c>
      <c r="H15" s="441">
        <f t="shared" si="3"/>
        <v>540</v>
      </c>
      <c r="I15" s="441">
        <f t="shared" si="3"/>
        <v>540</v>
      </c>
      <c r="J15" s="441">
        <f t="shared" si="3"/>
        <v>540</v>
      </c>
      <c r="K15" s="441">
        <f t="shared" si="3"/>
        <v>540</v>
      </c>
      <c r="L15" s="441">
        <f t="shared" si="3"/>
        <v>540</v>
      </c>
      <c r="M15" s="441">
        <f t="shared" si="3"/>
        <v>540</v>
      </c>
      <c r="N15" s="441">
        <f t="shared" si="3"/>
        <v>540</v>
      </c>
      <c r="O15" s="441">
        <f t="shared" si="3"/>
        <v>540</v>
      </c>
      <c r="P15" s="441">
        <f t="shared" si="3"/>
        <v>540</v>
      </c>
      <c r="Q15" s="441">
        <f t="shared" si="3"/>
        <v>540</v>
      </c>
      <c r="R15" s="441">
        <f t="shared" si="3"/>
        <v>540</v>
      </c>
      <c r="S15" s="441">
        <f t="shared" si="3"/>
        <v>540</v>
      </c>
      <c r="T15" s="441">
        <f t="shared" si="3"/>
        <v>540</v>
      </c>
      <c r="U15" s="441">
        <f t="shared" si="3"/>
        <v>540</v>
      </c>
      <c r="V15" s="441">
        <f t="shared" si="3"/>
        <v>540</v>
      </c>
      <c r="W15" s="441"/>
    </row>
    <row r="16" spans="1:23" s="16" customFormat="1">
      <c r="A16" s="83" t="s">
        <v>253</v>
      </c>
      <c r="B16" s="440">
        <v>0</v>
      </c>
      <c r="C16" s="441">
        <f>C15*0.665</f>
        <v>359.1</v>
      </c>
      <c r="D16" s="441">
        <f t="shared" ref="D16:V16" si="4">D15*0.665</f>
        <v>359.1</v>
      </c>
      <c r="E16" s="441">
        <f t="shared" si="4"/>
        <v>359.1</v>
      </c>
      <c r="F16" s="441">
        <f t="shared" si="4"/>
        <v>359.1</v>
      </c>
      <c r="G16" s="441">
        <f t="shared" si="4"/>
        <v>359.1</v>
      </c>
      <c r="H16" s="441">
        <f t="shared" si="4"/>
        <v>359.1</v>
      </c>
      <c r="I16" s="441">
        <f t="shared" si="4"/>
        <v>359.1</v>
      </c>
      <c r="J16" s="441">
        <f t="shared" si="4"/>
        <v>359.1</v>
      </c>
      <c r="K16" s="441">
        <f t="shared" si="4"/>
        <v>359.1</v>
      </c>
      <c r="L16" s="441">
        <f t="shared" si="4"/>
        <v>359.1</v>
      </c>
      <c r="M16" s="441">
        <f t="shared" si="4"/>
        <v>359.1</v>
      </c>
      <c r="N16" s="441">
        <f t="shared" si="4"/>
        <v>359.1</v>
      </c>
      <c r="O16" s="441">
        <f t="shared" si="4"/>
        <v>359.1</v>
      </c>
      <c r="P16" s="441">
        <f t="shared" si="4"/>
        <v>359.1</v>
      </c>
      <c r="Q16" s="441">
        <f t="shared" si="4"/>
        <v>359.1</v>
      </c>
      <c r="R16" s="441">
        <f t="shared" si="4"/>
        <v>359.1</v>
      </c>
      <c r="S16" s="441">
        <f t="shared" si="4"/>
        <v>359.1</v>
      </c>
      <c r="T16" s="441">
        <f t="shared" si="4"/>
        <v>359.1</v>
      </c>
      <c r="U16" s="441">
        <f t="shared" si="4"/>
        <v>359.1</v>
      </c>
      <c r="V16" s="441">
        <f t="shared" si="4"/>
        <v>359.1</v>
      </c>
      <c r="W16" s="441"/>
    </row>
    <row r="17" spans="1:23" s="16" customFormat="1">
      <c r="A17" s="83" t="s">
        <v>254</v>
      </c>
      <c r="B17" s="440">
        <v>0</v>
      </c>
      <c r="C17" s="441">
        <f>C15*0.335</f>
        <v>180.9</v>
      </c>
      <c r="D17" s="441">
        <f t="shared" ref="D17:V17" si="5">D15*0.335</f>
        <v>180.9</v>
      </c>
      <c r="E17" s="441">
        <f t="shared" si="5"/>
        <v>180.9</v>
      </c>
      <c r="F17" s="441">
        <f t="shared" si="5"/>
        <v>180.9</v>
      </c>
      <c r="G17" s="441">
        <f t="shared" si="5"/>
        <v>180.9</v>
      </c>
      <c r="H17" s="441">
        <f t="shared" si="5"/>
        <v>180.9</v>
      </c>
      <c r="I17" s="441">
        <f t="shared" si="5"/>
        <v>180.9</v>
      </c>
      <c r="J17" s="441">
        <f t="shared" si="5"/>
        <v>180.9</v>
      </c>
      <c r="K17" s="441">
        <f t="shared" si="5"/>
        <v>180.9</v>
      </c>
      <c r="L17" s="441">
        <f t="shared" si="5"/>
        <v>180.9</v>
      </c>
      <c r="M17" s="441">
        <f t="shared" si="5"/>
        <v>180.9</v>
      </c>
      <c r="N17" s="441">
        <f t="shared" si="5"/>
        <v>180.9</v>
      </c>
      <c r="O17" s="441">
        <f t="shared" si="5"/>
        <v>180.9</v>
      </c>
      <c r="P17" s="441">
        <f t="shared" si="5"/>
        <v>180.9</v>
      </c>
      <c r="Q17" s="441">
        <f t="shared" si="5"/>
        <v>180.9</v>
      </c>
      <c r="R17" s="441">
        <f t="shared" si="5"/>
        <v>180.9</v>
      </c>
      <c r="S17" s="441">
        <f t="shared" si="5"/>
        <v>180.9</v>
      </c>
      <c r="T17" s="441">
        <f t="shared" si="5"/>
        <v>180.9</v>
      </c>
      <c r="U17" s="441">
        <f t="shared" si="5"/>
        <v>180.9</v>
      </c>
      <c r="V17" s="441">
        <f t="shared" si="5"/>
        <v>180.9</v>
      </c>
      <c r="W17" s="441"/>
    </row>
    <row r="18" spans="1:23" s="16" customFormat="1">
      <c r="A18" s="83" t="s">
        <v>255</v>
      </c>
      <c r="B18" s="440">
        <v>0</v>
      </c>
      <c r="C18" s="441">
        <f>C17*214</f>
        <v>38712.6</v>
      </c>
      <c r="D18" s="441">
        <f t="shared" ref="D18:V18" si="6">D17*214</f>
        <v>38712.6</v>
      </c>
      <c r="E18" s="441">
        <f t="shared" si="6"/>
        <v>38712.6</v>
      </c>
      <c r="F18" s="441">
        <f t="shared" si="6"/>
        <v>38712.6</v>
      </c>
      <c r="G18" s="441">
        <f t="shared" si="6"/>
        <v>38712.6</v>
      </c>
      <c r="H18" s="441">
        <f t="shared" si="6"/>
        <v>38712.6</v>
      </c>
      <c r="I18" s="441">
        <f t="shared" si="6"/>
        <v>38712.6</v>
      </c>
      <c r="J18" s="441">
        <f t="shared" si="6"/>
        <v>38712.6</v>
      </c>
      <c r="K18" s="441">
        <f t="shared" si="6"/>
        <v>38712.6</v>
      </c>
      <c r="L18" s="441">
        <f t="shared" si="6"/>
        <v>38712.6</v>
      </c>
      <c r="M18" s="441">
        <f t="shared" si="6"/>
        <v>38712.6</v>
      </c>
      <c r="N18" s="441">
        <f t="shared" si="6"/>
        <v>38712.6</v>
      </c>
      <c r="O18" s="441">
        <f t="shared" si="6"/>
        <v>38712.6</v>
      </c>
      <c r="P18" s="441">
        <f t="shared" si="6"/>
        <v>38712.6</v>
      </c>
      <c r="Q18" s="441">
        <f t="shared" si="6"/>
        <v>38712.6</v>
      </c>
      <c r="R18" s="441">
        <f t="shared" si="6"/>
        <v>38712.6</v>
      </c>
      <c r="S18" s="441">
        <f t="shared" si="6"/>
        <v>38712.6</v>
      </c>
      <c r="T18" s="441">
        <f t="shared" si="6"/>
        <v>38712.6</v>
      </c>
      <c r="U18" s="441">
        <f t="shared" si="6"/>
        <v>38712.6</v>
      </c>
      <c r="V18" s="441">
        <f t="shared" si="6"/>
        <v>38712.6</v>
      </c>
      <c r="W18" s="441"/>
    </row>
    <row r="19" spans="1:23" s="16" customFormat="1">
      <c r="A19" s="83" t="s">
        <v>256</v>
      </c>
      <c r="B19" s="440">
        <v>0</v>
      </c>
      <c r="C19" s="358">
        <f t="shared" ref="C19:V19" si="7">$B$169</f>
        <v>0.24687500000000001</v>
      </c>
      <c r="D19" s="358">
        <f t="shared" si="7"/>
        <v>0.24687500000000001</v>
      </c>
      <c r="E19" s="358">
        <f t="shared" si="7"/>
        <v>0.24687500000000001</v>
      </c>
      <c r="F19" s="358">
        <f t="shared" si="7"/>
        <v>0.24687500000000001</v>
      </c>
      <c r="G19" s="358">
        <f t="shared" si="7"/>
        <v>0.24687500000000001</v>
      </c>
      <c r="H19" s="358">
        <f t="shared" si="7"/>
        <v>0.24687500000000001</v>
      </c>
      <c r="I19" s="358">
        <f t="shared" si="7"/>
        <v>0.24687500000000001</v>
      </c>
      <c r="J19" s="358">
        <f t="shared" si="7"/>
        <v>0.24687500000000001</v>
      </c>
      <c r="K19" s="358">
        <f t="shared" si="7"/>
        <v>0.24687500000000001</v>
      </c>
      <c r="L19" s="358">
        <f t="shared" si="7"/>
        <v>0.24687500000000001</v>
      </c>
      <c r="M19" s="358">
        <f t="shared" si="7"/>
        <v>0.24687500000000001</v>
      </c>
      <c r="N19" s="358">
        <f t="shared" si="7"/>
        <v>0.24687500000000001</v>
      </c>
      <c r="O19" s="358">
        <f t="shared" si="7"/>
        <v>0.24687500000000001</v>
      </c>
      <c r="P19" s="358">
        <f t="shared" si="7"/>
        <v>0.24687500000000001</v>
      </c>
      <c r="Q19" s="358">
        <f t="shared" si="7"/>
        <v>0.24687500000000001</v>
      </c>
      <c r="R19" s="358">
        <f t="shared" si="7"/>
        <v>0.24687500000000001</v>
      </c>
      <c r="S19" s="358">
        <f t="shared" si="7"/>
        <v>0.24687500000000001</v>
      </c>
      <c r="T19" s="358">
        <f t="shared" si="7"/>
        <v>0.24687500000000001</v>
      </c>
      <c r="U19" s="358">
        <f t="shared" si="7"/>
        <v>0.24687500000000001</v>
      </c>
      <c r="V19" s="358">
        <f t="shared" si="7"/>
        <v>0.24687500000000001</v>
      </c>
      <c r="W19" s="441"/>
    </row>
    <row r="20" spans="1:23" s="16" customFormat="1">
      <c r="A20" s="83" t="s">
        <v>257</v>
      </c>
      <c r="B20" s="440">
        <v>0</v>
      </c>
      <c r="C20" s="441">
        <f>C19*C18</f>
        <v>9557.1731249999993</v>
      </c>
      <c r="D20" s="441">
        <f t="shared" ref="D20:V20" si="8">D19*D18</f>
        <v>9557.1731249999993</v>
      </c>
      <c r="E20" s="441">
        <f t="shared" si="8"/>
        <v>9557.1731249999993</v>
      </c>
      <c r="F20" s="441">
        <f t="shared" si="8"/>
        <v>9557.1731249999993</v>
      </c>
      <c r="G20" s="441">
        <f t="shared" si="8"/>
        <v>9557.1731249999993</v>
      </c>
      <c r="H20" s="441">
        <f t="shared" si="8"/>
        <v>9557.1731249999993</v>
      </c>
      <c r="I20" s="441">
        <f t="shared" si="8"/>
        <v>9557.1731249999993</v>
      </c>
      <c r="J20" s="441">
        <f t="shared" si="8"/>
        <v>9557.1731249999993</v>
      </c>
      <c r="K20" s="441">
        <f t="shared" si="8"/>
        <v>9557.1731249999993</v>
      </c>
      <c r="L20" s="441">
        <f t="shared" si="8"/>
        <v>9557.1731249999993</v>
      </c>
      <c r="M20" s="441">
        <f t="shared" si="8"/>
        <v>9557.1731249999993</v>
      </c>
      <c r="N20" s="441">
        <f t="shared" si="8"/>
        <v>9557.1731249999993</v>
      </c>
      <c r="O20" s="441">
        <f t="shared" si="8"/>
        <v>9557.1731249999993</v>
      </c>
      <c r="P20" s="441">
        <f t="shared" si="8"/>
        <v>9557.1731249999993</v>
      </c>
      <c r="Q20" s="441">
        <f t="shared" si="8"/>
        <v>9557.1731249999993</v>
      </c>
      <c r="R20" s="441">
        <f t="shared" si="8"/>
        <v>9557.1731249999993</v>
      </c>
      <c r="S20" s="441">
        <f t="shared" si="8"/>
        <v>9557.1731249999993</v>
      </c>
      <c r="T20" s="441">
        <f t="shared" si="8"/>
        <v>9557.1731249999993</v>
      </c>
      <c r="U20" s="441">
        <f t="shared" si="8"/>
        <v>9557.1731249999993</v>
      </c>
      <c r="V20" s="441">
        <f t="shared" si="8"/>
        <v>9557.1731249999993</v>
      </c>
      <c r="W20" s="441"/>
    </row>
    <row r="21" spans="1:23" s="16" customFormat="1">
      <c r="A21" s="83" t="s">
        <v>277</v>
      </c>
      <c r="B21" s="440">
        <v>0</v>
      </c>
      <c r="C21" s="441">
        <f>C16*214</f>
        <v>76847.400000000009</v>
      </c>
      <c r="D21" s="441">
        <f t="shared" ref="D21:V21" si="9">D16*214</f>
        <v>76847.400000000009</v>
      </c>
      <c r="E21" s="441">
        <f t="shared" si="9"/>
        <v>76847.400000000009</v>
      </c>
      <c r="F21" s="441">
        <f t="shared" si="9"/>
        <v>76847.400000000009</v>
      </c>
      <c r="G21" s="441">
        <f t="shared" si="9"/>
        <v>76847.400000000009</v>
      </c>
      <c r="H21" s="441">
        <f t="shared" si="9"/>
        <v>76847.400000000009</v>
      </c>
      <c r="I21" s="441">
        <f t="shared" si="9"/>
        <v>76847.400000000009</v>
      </c>
      <c r="J21" s="441">
        <f t="shared" si="9"/>
        <v>76847.400000000009</v>
      </c>
      <c r="K21" s="441">
        <f t="shared" si="9"/>
        <v>76847.400000000009</v>
      </c>
      <c r="L21" s="441">
        <f t="shared" si="9"/>
        <v>76847.400000000009</v>
      </c>
      <c r="M21" s="441">
        <f t="shared" si="9"/>
        <v>76847.400000000009</v>
      </c>
      <c r="N21" s="441">
        <f t="shared" si="9"/>
        <v>76847.400000000009</v>
      </c>
      <c r="O21" s="441">
        <f t="shared" si="9"/>
        <v>76847.400000000009</v>
      </c>
      <c r="P21" s="441">
        <f t="shared" si="9"/>
        <v>76847.400000000009</v>
      </c>
      <c r="Q21" s="441">
        <f t="shared" si="9"/>
        <v>76847.400000000009</v>
      </c>
      <c r="R21" s="441">
        <f t="shared" si="9"/>
        <v>76847.400000000009</v>
      </c>
      <c r="S21" s="441">
        <f t="shared" si="9"/>
        <v>76847.400000000009</v>
      </c>
      <c r="T21" s="441">
        <f t="shared" si="9"/>
        <v>76847.400000000009</v>
      </c>
      <c r="U21" s="441">
        <f t="shared" si="9"/>
        <v>76847.400000000009</v>
      </c>
      <c r="V21" s="441">
        <f t="shared" si="9"/>
        <v>76847.400000000009</v>
      </c>
      <c r="W21" s="441"/>
    </row>
    <row r="22" spans="1:23" s="16" customFormat="1">
      <c r="A22" s="83" t="s">
        <v>275</v>
      </c>
      <c r="B22" s="440">
        <v>0</v>
      </c>
      <c r="C22" s="358">
        <f>$B$167</f>
        <v>0.16458333333333333</v>
      </c>
      <c r="D22" s="358">
        <f t="shared" ref="D22:V22" si="10">$B$167</f>
        <v>0.16458333333333333</v>
      </c>
      <c r="E22" s="358">
        <f t="shared" si="10"/>
        <v>0.16458333333333333</v>
      </c>
      <c r="F22" s="358">
        <f t="shared" si="10"/>
        <v>0.16458333333333333</v>
      </c>
      <c r="G22" s="358">
        <f t="shared" si="10"/>
        <v>0.16458333333333333</v>
      </c>
      <c r="H22" s="358">
        <f t="shared" si="10"/>
        <v>0.16458333333333333</v>
      </c>
      <c r="I22" s="358">
        <f t="shared" si="10"/>
        <v>0.16458333333333333</v>
      </c>
      <c r="J22" s="358">
        <f t="shared" si="10"/>
        <v>0.16458333333333333</v>
      </c>
      <c r="K22" s="358">
        <f t="shared" si="10"/>
        <v>0.16458333333333333</v>
      </c>
      <c r="L22" s="358">
        <f t="shared" si="10"/>
        <v>0.16458333333333333</v>
      </c>
      <c r="M22" s="358">
        <f t="shared" si="10"/>
        <v>0.16458333333333333</v>
      </c>
      <c r="N22" s="358">
        <f t="shared" si="10"/>
        <v>0.16458333333333333</v>
      </c>
      <c r="O22" s="358">
        <f t="shared" si="10"/>
        <v>0.16458333333333333</v>
      </c>
      <c r="P22" s="358">
        <f t="shared" si="10"/>
        <v>0.16458333333333333</v>
      </c>
      <c r="Q22" s="358">
        <f t="shared" si="10"/>
        <v>0.16458333333333333</v>
      </c>
      <c r="R22" s="358">
        <f t="shared" si="10"/>
        <v>0.16458333333333333</v>
      </c>
      <c r="S22" s="358">
        <f t="shared" si="10"/>
        <v>0.16458333333333333</v>
      </c>
      <c r="T22" s="358">
        <f t="shared" si="10"/>
        <v>0.16458333333333333</v>
      </c>
      <c r="U22" s="358">
        <f t="shared" si="10"/>
        <v>0.16458333333333333</v>
      </c>
      <c r="V22" s="358">
        <f t="shared" si="10"/>
        <v>0.16458333333333333</v>
      </c>
      <c r="W22" s="441"/>
    </row>
    <row r="23" spans="1:23" s="16" customFormat="1">
      <c r="A23" s="83" t="s">
        <v>276</v>
      </c>
      <c r="B23" s="440">
        <v>0</v>
      </c>
      <c r="C23" s="441">
        <f t="shared" ref="C23" si="11">C22*C21</f>
        <v>12647.80125</v>
      </c>
      <c r="D23" s="441">
        <f t="shared" ref="D23" si="12">D22*D21</f>
        <v>12647.80125</v>
      </c>
      <c r="E23" s="441">
        <f t="shared" ref="E23" si="13">E22*E21</f>
        <v>12647.80125</v>
      </c>
      <c r="F23" s="441">
        <f t="shared" ref="F23" si="14">F22*F21</f>
        <v>12647.80125</v>
      </c>
      <c r="G23" s="441">
        <f t="shared" ref="G23" si="15">G22*G21</f>
        <v>12647.80125</v>
      </c>
      <c r="H23" s="441">
        <f t="shared" ref="H23" si="16">H22*H21</f>
        <v>12647.80125</v>
      </c>
      <c r="I23" s="441">
        <f t="shared" ref="I23" si="17">I22*I21</f>
        <v>12647.80125</v>
      </c>
      <c r="J23" s="441">
        <f t="shared" ref="J23" si="18">J22*J21</f>
        <v>12647.80125</v>
      </c>
      <c r="K23" s="441">
        <f t="shared" ref="K23" si="19">K22*K21</f>
        <v>12647.80125</v>
      </c>
      <c r="L23" s="441">
        <f t="shared" ref="L23" si="20">L22*L21</f>
        <v>12647.80125</v>
      </c>
      <c r="M23" s="441">
        <f t="shared" ref="M23" si="21">M22*M21</f>
        <v>12647.80125</v>
      </c>
      <c r="N23" s="441">
        <f t="shared" ref="N23" si="22">N22*N21</f>
        <v>12647.80125</v>
      </c>
      <c r="O23" s="441">
        <f t="shared" ref="O23" si="23">O22*O21</f>
        <v>12647.80125</v>
      </c>
      <c r="P23" s="441">
        <f t="shared" ref="P23" si="24">P22*P21</f>
        <v>12647.80125</v>
      </c>
      <c r="Q23" s="441">
        <f t="shared" ref="Q23" si="25">Q22*Q21</f>
        <v>12647.80125</v>
      </c>
      <c r="R23" s="441">
        <f t="shared" ref="R23" si="26">R22*R21</f>
        <v>12647.80125</v>
      </c>
      <c r="S23" s="441">
        <f t="shared" ref="S23" si="27">S22*S21</f>
        <v>12647.80125</v>
      </c>
      <c r="T23" s="441">
        <f t="shared" ref="T23" si="28">T22*T21</f>
        <v>12647.80125</v>
      </c>
      <c r="U23" s="441">
        <f t="shared" ref="U23" si="29">U22*U21</f>
        <v>12647.80125</v>
      </c>
      <c r="V23" s="441">
        <f t="shared" ref="V23" si="30">V22*V21</f>
        <v>12647.80125</v>
      </c>
      <c r="W23" s="441"/>
    </row>
    <row r="24" spans="1:23" s="16" customFormat="1">
      <c r="A24" s="566">
        <v>45</v>
      </c>
      <c r="B24" s="440">
        <v>0</v>
      </c>
      <c r="C24" s="441">
        <v>12</v>
      </c>
      <c r="D24" s="441">
        <v>12</v>
      </c>
      <c r="E24" s="441">
        <v>12</v>
      </c>
      <c r="F24" s="441">
        <v>12</v>
      </c>
      <c r="G24" s="441">
        <v>12</v>
      </c>
      <c r="H24" s="441">
        <v>12</v>
      </c>
      <c r="I24" s="441">
        <v>12</v>
      </c>
      <c r="J24" s="441">
        <v>12</v>
      </c>
      <c r="K24" s="441">
        <v>12</v>
      </c>
      <c r="L24" s="441">
        <v>12</v>
      </c>
      <c r="M24" s="441">
        <v>12</v>
      </c>
      <c r="N24" s="441">
        <v>12</v>
      </c>
      <c r="O24" s="441">
        <v>12</v>
      </c>
      <c r="P24" s="441">
        <v>12</v>
      </c>
      <c r="Q24" s="441">
        <v>12</v>
      </c>
      <c r="R24" s="441">
        <v>12</v>
      </c>
      <c r="S24" s="441">
        <v>12</v>
      </c>
      <c r="T24" s="441">
        <v>12</v>
      </c>
      <c r="U24" s="441">
        <v>12</v>
      </c>
      <c r="V24" s="441">
        <v>12</v>
      </c>
      <c r="W24" s="18"/>
    </row>
    <row r="25" spans="1:23" s="16" customFormat="1">
      <c r="A25" s="567">
        <v>55</v>
      </c>
      <c r="B25" s="440">
        <v>0</v>
      </c>
      <c r="C25" s="441">
        <v>0</v>
      </c>
      <c r="D25" s="441">
        <v>0</v>
      </c>
      <c r="E25" s="441">
        <v>0</v>
      </c>
      <c r="F25" s="441">
        <v>0</v>
      </c>
      <c r="G25" s="441">
        <v>0</v>
      </c>
      <c r="H25" s="441">
        <v>0</v>
      </c>
      <c r="I25" s="441">
        <v>0</v>
      </c>
      <c r="J25" s="441">
        <v>0</v>
      </c>
      <c r="K25" s="441">
        <v>0</v>
      </c>
      <c r="L25" s="441">
        <v>0</v>
      </c>
      <c r="M25" s="441">
        <v>0</v>
      </c>
      <c r="N25" s="441">
        <v>0</v>
      </c>
      <c r="O25" s="441">
        <v>0</v>
      </c>
      <c r="P25" s="441">
        <v>0</v>
      </c>
      <c r="Q25" s="441">
        <v>0</v>
      </c>
      <c r="R25" s="441">
        <v>0</v>
      </c>
      <c r="S25" s="441">
        <v>0</v>
      </c>
      <c r="T25" s="441">
        <v>0</v>
      </c>
      <c r="U25" s="441">
        <v>0</v>
      </c>
      <c r="V25" s="441">
        <v>0</v>
      </c>
      <c r="W25" s="18"/>
    </row>
    <row r="26" spans="1:23">
      <c r="A26" s="567">
        <v>65</v>
      </c>
      <c r="B26" s="440">
        <v>0</v>
      </c>
      <c r="C26" s="441">
        <v>0</v>
      </c>
      <c r="D26" s="441">
        <v>0</v>
      </c>
      <c r="E26" s="441">
        <v>0</v>
      </c>
      <c r="F26" s="441">
        <v>0</v>
      </c>
      <c r="G26" s="441">
        <v>0</v>
      </c>
      <c r="H26" s="441">
        <v>0</v>
      </c>
      <c r="I26" s="441">
        <v>0</v>
      </c>
      <c r="J26" s="441">
        <v>0</v>
      </c>
      <c r="K26" s="441">
        <v>0</v>
      </c>
      <c r="L26" s="441">
        <v>0</v>
      </c>
      <c r="M26" s="441">
        <v>0</v>
      </c>
      <c r="N26" s="441">
        <v>0</v>
      </c>
      <c r="O26" s="441">
        <v>0</v>
      </c>
      <c r="P26" s="441">
        <v>0</v>
      </c>
      <c r="Q26" s="441">
        <v>0</v>
      </c>
      <c r="R26" s="441">
        <v>0</v>
      </c>
      <c r="S26" s="441">
        <v>0</v>
      </c>
      <c r="T26" s="441">
        <v>0</v>
      </c>
      <c r="U26" s="441">
        <v>0</v>
      </c>
      <c r="V26" s="441">
        <v>0</v>
      </c>
    </row>
    <row r="27" spans="1:23">
      <c r="A27" s="567">
        <v>80</v>
      </c>
      <c r="B27" s="440">
        <v>0</v>
      </c>
      <c r="C27" s="441">
        <v>0</v>
      </c>
      <c r="D27" s="441">
        <v>0</v>
      </c>
      <c r="E27" s="441">
        <v>0</v>
      </c>
      <c r="F27" s="441">
        <v>0</v>
      </c>
      <c r="G27" s="441">
        <v>0</v>
      </c>
      <c r="H27" s="441">
        <v>0</v>
      </c>
      <c r="I27" s="441">
        <v>0</v>
      </c>
      <c r="J27" s="441">
        <v>0</v>
      </c>
      <c r="K27" s="441">
        <v>0</v>
      </c>
      <c r="L27" s="441">
        <v>0</v>
      </c>
      <c r="M27" s="441">
        <v>0</v>
      </c>
      <c r="N27" s="441">
        <v>0</v>
      </c>
      <c r="O27" s="441">
        <v>0</v>
      </c>
      <c r="P27" s="441">
        <v>0</v>
      </c>
      <c r="Q27" s="441">
        <v>0</v>
      </c>
      <c r="R27" s="441">
        <v>0</v>
      </c>
      <c r="S27" s="441">
        <v>0</v>
      </c>
      <c r="T27" s="441">
        <v>0</v>
      </c>
      <c r="U27" s="441">
        <v>0</v>
      </c>
      <c r="V27" s="441">
        <v>0</v>
      </c>
    </row>
    <row r="28" spans="1:23">
      <c r="A28" s="567"/>
      <c r="B28" s="440"/>
      <c r="C28" s="441"/>
      <c r="D28" s="441"/>
      <c r="E28" s="441"/>
      <c r="F28" s="441"/>
      <c r="G28" s="441"/>
      <c r="H28" s="441"/>
      <c r="I28" s="441"/>
      <c r="J28" s="441"/>
      <c r="K28" s="441"/>
      <c r="L28" s="441"/>
      <c r="M28" s="441"/>
      <c r="N28" s="441"/>
      <c r="O28" s="441"/>
      <c r="P28" s="441"/>
      <c r="Q28" s="441"/>
      <c r="R28" s="441"/>
      <c r="S28" s="441"/>
      <c r="T28" s="441"/>
      <c r="U28" s="441"/>
      <c r="V28" s="441"/>
    </row>
    <row r="29" spans="1:23">
      <c r="A29" s="475" t="s">
        <v>350</v>
      </c>
      <c r="B29" s="480"/>
      <c r="C29" s="480"/>
      <c r="D29" s="480"/>
      <c r="E29" s="26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</row>
    <row r="30" spans="1:23" s="32" customFormat="1">
      <c r="A30" s="481"/>
      <c r="B30" s="374"/>
      <c r="C30" s="482"/>
      <c r="D30" s="482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</row>
    <row r="31" spans="1:23" s="16" customFormat="1" ht="14.25">
      <c r="A31" s="85" t="s">
        <v>237</v>
      </c>
      <c r="B31" s="711">
        <v>0</v>
      </c>
      <c r="C31" s="419">
        <f t="shared" ref="C31:G31" si="31">SUM(C42:C45)</f>
        <v>48</v>
      </c>
      <c r="D31" s="419">
        <f t="shared" si="31"/>
        <v>48</v>
      </c>
      <c r="E31" s="419">
        <f t="shared" si="31"/>
        <v>48</v>
      </c>
      <c r="F31" s="419">
        <f t="shared" si="31"/>
        <v>48</v>
      </c>
      <c r="G31" s="419">
        <f t="shared" si="31"/>
        <v>48</v>
      </c>
      <c r="H31" s="419">
        <f t="shared" ref="H31:V31" si="32">SUM(H42:H45)</f>
        <v>48</v>
      </c>
      <c r="I31" s="419">
        <f t="shared" si="32"/>
        <v>48</v>
      </c>
      <c r="J31" s="419">
        <f t="shared" si="32"/>
        <v>48</v>
      </c>
      <c r="K31" s="419">
        <f t="shared" si="32"/>
        <v>48</v>
      </c>
      <c r="L31" s="419">
        <f t="shared" si="32"/>
        <v>48</v>
      </c>
      <c r="M31" s="419">
        <f t="shared" si="32"/>
        <v>48</v>
      </c>
      <c r="N31" s="419">
        <f t="shared" si="32"/>
        <v>48</v>
      </c>
      <c r="O31" s="419">
        <f t="shared" si="32"/>
        <v>48</v>
      </c>
      <c r="P31" s="419">
        <f t="shared" si="32"/>
        <v>48</v>
      </c>
      <c r="Q31" s="419">
        <f t="shared" si="32"/>
        <v>48</v>
      </c>
      <c r="R31" s="419">
        <f t="shared" si="32"/>
        <v>48</v>
      </c>
      <c r="S31" s="419">
        <f t="shared" si="32"/>
        <v>48</v>
      </c>
      <c r="T31" s="419">
        <f t="shared" si="32"/>
        <v>48</v>
      </c>
      <c r="U31" s="419">
        <f t="shared" si="32"/>
        <v>48</v>
      </c>
      <c r="V31" s="419">
        <f t="shared" si="32"/>
        <v>48</v>
      </c>
    </row>
    <row r="32" spans="1:23" s="16" customFormat="1" ht="14.25">
      <c r="A32" s="85" t="s">
        <v>273</v>
      </c>
      <c r="B32" s="711">
        <v>0</v>
      </c>
      <c r="C32" s="419">
        <f t="shared" ref="C32:G32" si="33">SUM(C38,C41)</f>
        <v>104856.8234375</v>
      </c>
      <c r="D32" s="419">
        <f t="shared" si="33"/>
        <v>104856.8234375</v>
      </c>
      <c r="E32" s="419">
        <f t="shared" si="33"/>
        <v>104856.8234375</v>
      </c>
      <c r="F32" s="419">
        <f t="shared" si="33"/>
        <v>104856.8234375</v>
      </c>
      <c r="G32" s="419">
        <f t="shared" si="33"/>
        <v>104856.8234375</v>
      </c>
      <c r="H32" s="419">
        <f t="shared" ref="H32:V32" si="34">SUM(H38,H41)</f>
        <v>104856.8234375</v>
      </c>
      <c r="I32" s="419">
        <f t="shared" si="34"/>
        <v>104856.8234375</v>
      </c>
      <c r="J32" s="419">
        <f t="shared" si="34"/>
        <v>104856.8234375</v>
      </c>
      <c r="K32" s="419">
        <f t="shared" si="34"/>
        <v>104856.8234375</v>
      </c>
      <c r="L32" s="419">
        <f t="shared" si="34"/>
        <v>104856.8234375</v>
      </c>
      <c r="M32" s="419">
        <f t="shared" si="34"/>
        <v>104856.8234375</v>
      </c>
      <c r="N32" s="419">
        <f t="shared" si="34"/>
        <v>104856.8234375</v>
      </c>
      <c r="O32" s="419">
        <f t="shared" si="34"/>
        <v>104856.8234375</v>
      </c>
      <c r="P32" s="419">
        <f t="shared" si="34"/>
        <v>104856.8234375</v>
      </c>
      <c r="Q32" s="419">
        <f t="shared" si="34"/>
        <v>104856.8234375</v>
      </c>
      <c r="R32" s="419">
        <f t="shared" si="34"/>
        <v>104856.8234375</v>
      </c>
      <c r="S32" s="419">
        <f t="shared" si="34"/>
        <v>104856.8234375</v>
      </c>
      <c r="T32" s="419">
        <f t="shared" si="34"/>
        <v>104856.8234375</v>
      </c>
      <c r="U32" s="419">
        <f t="shared" si="34"/>
        <v>104856.8234375</v>
      </c>
      <c r="V32" s="419">
        <f t="shared" si="34"/>
        <v>104856.8234375</v>
      </c>
    </row>
    <row r="33" spans="1:23" s="16" customFormat="1">
      <c r="A33" s="83" t="s">
        <v>251</v>
      </c>
      <c r="B33" s="440">
        <v>0</v>
      </c>
      <c r="C33" s="441">
        <f t="shared" ref="C33:G33" si="35">(C42*$A$42)+(C43*$A$43)+(C44*$A$44)+(C45*$A$45)</f>
        <v>2550</v>
      </c>
      <c r="D33" s="441">
        <f t="shared" si="35"/>
        <v>2550</v>
      </c>
      <c r="E33" s="441">
        <f t="shared" si="35"/>
        <v>2550</v>
      </c>
      <c r="F33" s="441">
        <f t="shared" si="35"/>
        <v>2550</v>
      </c>
      <c r="G33" s="441">
        <f t="shared" si="35"/>
        <v>2550</v>
      </c>
      <c r="H33" s="441">
        <f t="shared" ref="H33:V33" si="36">(H42*$A$42)+(H43*$A$43)+(H44*$A$44)+(H45*$A$45)</f>
        <v>2550</v>
      </c>
      <c r="I33" s="441">
        <f t="shared" si="36"/>
        <v>2550</v>
      </c>
      <c r="J33" s="441">
        <f t="shared" si="36"/>
        <v>2550</v>
      </c>
      <c r="K33" s="441">
        <f t="shared" si="36"/>
        <v>2550</v>
      </c>
      <c r="L33" s="441">
        <f t="shared" si="36"/>
        <v>2550</v>
      </c>
      <c r="M33" s="441">
        <f t="shared" si="36"/>
        <v>2550</v>
      </c>
      <c r="N33" s="441">
        <f t="shared" si="36"/>
        <v>2550</v>
      </c>
      <c r="O33" s="441">
        <f t="shared" si="36"/>
        <v>2550</v>
      </c>
      <c r="P33" s="441">
        <f t="shared" si="36"/>
        <v>2550</v>
      </c>
      <c r="Q33" s="441">
        <f t="shared" si="36"/>
        <v>2550</v>
      </c>
      <c r="R33" s="441">
        <f t="shared" si="36"/>
        <v>2550</v>
      </c>
      <c r="S33" s="441">
        <f t="shared" si="36"/>
        <v>2550</v>
      </c>
      <c r="T33" s="441">
        <f t="shared" si="36"/>
        <v>2550</v>
      </c>
      <c r="U33" s="441">
        <f t="shared" si="36"/>
        <v>2550</v>
      </c>
      <c r="V33" s="441">
        <f t="shared" si="36"/>
        <v>2550</v>
      </c>
      <c r="W33" s="441"/>
    </row>
    <row r="34" spans="1:23" s="16" customFormat="1">
      <c r="A34" s="83" t="s">
        <v>253</v>
      </c>
      <c r="B34" s="440">
        <v>0</v>
      </c>
      <c r="C34" s="441">
        <f t="shared" ref="C34:G34" si="37">C33*0.665</f>
        <v>1695.75</v>
      </c>
      <c r="D34" s="441">
        <f t="shared" si="37"/>
        <v>1695.75</v>
      </c>
      <c r="E34" s="441">
        <f t="shared" si="37"/>
        <v>1695.75</v>
      </c>
      <c r="F34" s="441">
        <f t="shared" si="37"/>
        <v>1695.75</v>
      </c>
      <c r="G34" s="441">
        <f t="shared" si="37"/>
        <v>1695.75</v>
      </c>
      <c r="H34" s="441">
        <f t="shared" ref="H34:V34" si="38">H33*0.665</f>
        <v>1695.75</v>
      </c>
      <c r="I34" s="441">
        <f t="shared" si="38"/>
        <v>1695.75</v>
      </c>
      <c r="J34" s="441">
        <f t="shared" si="38"/>
        <v>1695.75</v>
      </c>
      <c r="K34" s="441">
        <f t="shared" si="38"/>
        <v>1695.75</v>
      </c>
      <c r="L34" s="441">
        <f t="shared" si="38"/>
        <v>1695.75</v>
      </c>
      <c r="M34" s="441">
        <f t="shared" si="38"/>
        <v>1695.75</v>
      </c>
      <c r="N34" s="441">
        <f t="shared" si="38"/>
        <v>1695.75</v>
      </c>
      <c r="O34" s="441">
        <f t="shared" si="38"/>
        <v>1695.75</v>
      </c>
      <c r="P34" s="441">
        <f t="shared" si="38"/>
        <v>1695.75</v>
      </c>
      <c r="Q34" s="441">
        <f t="shared" si="38"/>
        <v>1695.75</v>
      </c>
      <c r="R34" s="441">
        <f t="shared" si="38"/>
        <v>1695.75</v>
      </c>
      <c r="S34" s="441">
        <f t="shared" si="38"/>
        <v>1695.75</v>
      </c>
      <c r="T34" s="441">
        <f t="shared" si="38"/>
        <v>1695.75</v>
      </c>
      <c r="U34" s="441">
        <f t="shared" si="38"/>
        <v>1695.75</v>
      </c>
      <c r="V34" s="441">
        <f t="shared" si="38"/>
        <v>1695.75</v>
      </c>
      <c r="W34" s="441"/>
    </row>
    <row r="35" spans="1:23" s="16" customFormat="1">
      <c r="A35" s="83" t="s">
        <v>254</v>
      </c>
      <c r="B35" s="440">
        <v>0</v>
      </c>
      <c r="C35" s="441">
        <f t="shared" ref="C35:G35" si="39">C33*0.335</f>
        <v>854.25</v>
      </c>
      <c r="D35" s="441">
        <f t="shared" si="39"/>
        <v>854.25</v>
      </c>
      <c r="E35" s="441">
        <f t="shared" si="39"/>
        <v>854.25</v>
      </c>
      <c r="F35" s="441">
        <f t="shared" si="39"/>
        <v>854.25</v>
      </c>
      <c r="G35" s="441">
        <f t="shared" si="39"/>
        <v>854.25</v>
      </c>
      <c r="H35" s="441">
        <f t="shared" ref="H35:V35" si="40">H33*0.335</f>
        <v>854.25</v>
      </c>
      <c r="I35" s="441">
        <f t="shared" si="40"/>
        <v>854.25</v>
      </c>
      <c r="J35" s="441">
        <f t="shared" si="40"/>
        <v>854.25</v>
      </c>
      <c r="K35" s="441">
        <f t="shared" si="40"/>
        <v>854.25</v>
      </c>
      <c r="L35" s="441">
        <f t="shared" si="40"/>
        <v>854.25</v>
      </c>
      <c r="M35" s="441">
        <f t="shared" si="40"/>
        <v>854.25</v>
      </c>
      <c r="N35" s="441">
        <f t="shared" si="40"/>
        <v>854.25</v>
      </c>
      <c r="O35" s="441">
        <f t="shared" si="40"/>
        <v>854.25</v>
      </c>
      <c r="P35" s="441">
        <f t="shared" si="40"/>
        <v>854.25</v>
      </c>
      <c r="Q35" s="441">
        <f t="shared" si="40"/>
        <v>854.25</v>
      </c>
      <c r="R35" s="441">
        <f t="shared" si="40"/>
        <v>854.25</v>
      </c>
      <c r="S35" s="441">
        <f t="shared" si="40"/>
        <v>854.25</v>
      </c>
      <c r="T35" s="441">
        <f t="shared" si="40"/>
        <v>854.25</v>
      </c>
      <c r="U35" s="441">
        <f t="shared" si="40"/>
        <v>854.25</v>
      </c>
      <c r="V35" s="441">
        <f t="shared" si="40"/>
        <v>854.25</v>
      </c>
      <c r="W35" s="441"/>
    </row>
    <row r="36" spans="1:23" s="16" customFormat="1">
      <c r="A36" s="83" t="s">
        <v>255</v>
      </c>
      <c r="B36" s="440">
        <v>0</v>
      </c>
      <c r="C36" s="441">
        <f t="shared" ref="C36:G36" si="41">C35*214</f>
        <v>182809.5</v>
      </c>
      <c r="D36" s="441">
        <f t="shared" si="41"/>
        <v>182809.5</v>
      </c>
      <c r="E36" s="441">
        <f t="shared" si="41"/>
        <v>182809.5</v>
      </c>
      <c r="F36" s="441">
        <f t="shared" si="41"/>
        <v>182809.5</v>
      </c>
      <c r="G36" s="441">
        <f t="shared" si="41"/>
        <v>182809.5</v>
      </c>
      <c r="H36" s="441">
        <f t="shared" ref="H36:V36" si="42">H35*214</f>
        <v>182809.5</v>
      </c>
      <c r="I36" s="441">
        <f t="shared" si="42"/>
        <v>182809.5</v>
      </c>
      <c r="J36" s="441">
        <f t="shared" si="42"/>
        <v>182809.5</v>
      </c>
      <c r="K36" s="441">
        <f t="shared" si="42"/>
        <v>182809.5</v>
      </c>
      <c r="L36" s="441">
        <f t="shared" si="42"/>
        <v>182809.5</v>
      </c>
      <c r="M36" s="441">
        <f t="shared" si="42"/>
        <v>182809.5</v>
      </c>
      <c r="N36" s="441">
        <f t="shared" si="42"/>
        <v>182809.5</v>
      </c>
      <c r="O36" s="441">
        <f t="shared" si="42"/>
        <v>182809.5</v>
      </c>
      <c r="P36" s="441">
        <f t="shared" si="42"/>
        <v>182809.5</v>
      </c>
      <c r="Q36" s="441">
        <f t="shared" si="42"/>
        <v>182809.5</v>
      </c>
      <c r="R36" s="441">
        <f t="shared" si="42"/>
        <v>182809.5</v>
      </c>
      <c r="S36" s="441">
        <f t="shared" si="42"/>
        <v>182809.5</v>
      </c>
      <c r="T36" s="441">
        <f t="shared" si="42"/>
        <v>182809.5</v>
      </c>
      <c r="U36" s="441">
        <f t="shared" si="42"/>
        <v>182809.5</v>
      </c>
      <c r="V36" s="441">
        <f t="shared" si="42"/>
        <v>182809.5</v>
      </c>
      <c r="W36" s="441"/>
    </row>
    <row r="37" spans="1:23" s="16" customFormat="1">
      <c r="A37" s="83" t="s">
        <v>256</v>
      </c>
      <c r="B37" s="440">
        <v>0</v>
      </c>
      <c r="C37" s="358">
        <f t="shared" ref="C37:V37" si="43">$B$169</f>
        <v>0.24687500000000001</v>
      </c>
      <c r="D37" s="358">
        <f t="shared" si="43"/>
        <v>0.24687500000000001</v>
      </c>
      <c r="E37" s="358">
        <f t="shared" si="43"/>
        <v>0.24687500000000001</v>
      </c>
      <c r="F37" s="358">
        <f t="shared" si="43"/>
        <v>0.24687500000000001</v>
      </c>
      <c r="G37" s="358">
        <f t="shared" si="43"/>
        <v>0.24687500000000001</v>
      </c>
      <c r="H37" s="358">
        <f t="shared" si="43"/>
        <v>0.24687500000000001</v>
      </c>
      <c r="I37" s="358">
        <f t="shared" si="43"/>
        <v>0.24687500000000001</v>
      </c>
      <c r="J37" s="358">
        <f t="shared" si="43"/>
        <v>0.24687500000000001</v>
      </c>
      <c r="K37" s="358">
        <f t="shared" si="43"/>
        <v>0.24687500000000001</v>
      </c>
      <c r="L37" s="358">
        <f t="shared" si="43"/>
        <v>0.24687500000000001</v>
      </c>
      <c r="M37" s="358">
        <f t="shared" si="43"/>
        <v>0.24687500000000001</v>
      </c>
      <c r="N37" s="358">
        <f t="shared" si="43"/>
        <v>0.24687500000000001</v>
      </c>
      <c r="O37" s="358">
        <f t="shared" si="43"/>
        <v>0.24687500000000001</v>
      </c>
      <c r="P37" s="358">
        <f t="shared" si="43"/>
        <v>0.24687500000000001</v>
      </c>
      <c r="Q37" s="358">
        <f t="shared" si="43"/>
        <v>0.24687500000000001</v>
      </c>
      <c r="R37" s="358">
        <f t="shared" si="43"/>
        <v>0.24687500000000001</v>
      </c>
      <c r="S37" s="358">
        <f t="shared" si="43"/>
        <v>0.24687500000000001</v>
      </c>
      <c r="T37" s="358">
        <f t="shared" si="43"/>
        <v>0.24687500000000001</v>
      </c>
      <c r="U37" s="358">
        <f t="shared" si="43"/>
        <v>0.24687500000000001</v>
      </c>
      <c r="V37" s="358">
        <f t="shared" si="43"/>
        <v>0.24687500000000001</v>
      </c>
      <c r="W37" s="441"/>
    </row>
    <row r="38" spans="1:23" s="16" customFormat="1">
      <c r="A38" s="83" t="s">
        <v>257</v>
      </c>
      <c r="B38" s="440">
        <v>0</v>
      </c>
      <c r="C38" s="441">
        <f t="shared" ref="C38:G38" si="44">C37*C36</f>
        <v>45131.095312500001</v>
      </c>
      <c r="D38" s="441">
        <f t="shared" si="44"/>
        <v>45131.095312500001</v>
      </c>
      <c r="E38" s="441">
        <f t="shared" si="44"/>
        <v>45131.095312500001</v>
      </c>
      <c r="F38" s="441">
        <f t="shared" si="44"/>
        <v>45131.095312500001</v>
      </c>
      <c r="G38" s="441">
        <f t="shared" si="44"/>
        <v>45131.095312500001</v>
      </c>
      <c r="H38" s="441">
        <f t="shared" ref="H38:V38" si="45">H37*H36</f>
        <v>45131.095312500001</v>
      </c>
      <c r="I38" s="441">
        <f t="shared" si="45"/>
        <v>45131.095312500001</v>
      </c>
      <c r="J38" s="441">
        <f t="shared" si="45"/>
        <v>45131.095312500001</v>
      </c>
      <c r="K38" s="441">
        <f t="shared" si="45"/>
        <v>45131.095312500001</v>
      </c>
      <c r="L38" s="441">
        <f t="shared" si="45"/>
        <v>45131.095312500001</v>
      </c>
      <c r="M38" s="441">
        <f t="shared" si="45"/>
        <v>45131.095312500001</v>
      </c>
      <c r="N38" s="441">
        <f t="shared" si="45"/>
        <v>45131.095312500001</v>
      </c>
      <c r="O38" s="441">
        <f t="shared" si="45"/>
        <v>45131.095312500001</v>
      </c>
      <c r="P38" s="441">
        <f t="shared" si="45"/>
        <v>45131.095312500001</v>
      </c>
      <c r="Q38" s="441">
        <f t="shared" si="45"/>
        <v>45131.095312500001</v>
      </c>
      <c r="R38" s="441">
        <f t="shared" si="45"/>
        <v>45131.095312500001</v>
      </c>
      <c r="S38" s="441">
        <f t="shared" si="45"/>
        <v>45131.095312500001</v>
      </c>
      <c r="T38" s="441">
        <f t="shared" si="45"/>
        <v>45131.095312500001</v>
      </c>
      <c r="U38" s="441">
        <f t="shared" si="45"/>
        <v>45131.095312500001</v>
      </c>
      <c r="V38" s="441">
        <f t="shared" si="45"/>
        <v>45131.095312500001</v>
      </c>
      <c r="W38" s="441"/>
    </row>
    <row r="39" spans="1:23" s="16" customFormat="1">
      <c r="A39" s="83" t="s">
        <v>277</v>
      </c>
      <c r="B39" s="440">
        <v>0</v>
      </c>
      <c r="C39" s="441">
        <f t="shared" ref="C39:G39" si="46">C34*214</f>
        <v>362890.5</v>
      </c>
      <c r="D39" s="441">
        <f t="shared" si="46"/>
        <v>362890.5</v>
      </c>
      <c r="E39" s="441">
        <f t="shared" si="46"/>
        <v>362890.5</v>
      </c>
      <c r="F39" s="441">
        <f t="shared" si="46"/>
        <v>362890.5</v>
      </c>
      <c r="G39" s="441">
        <f t="shared" si="46"/>
        <v>362890.5</v>
      </c>
      <c r="H39" s="441">
        <f t="shared" ref="H39:V39" si="47">H34*214</f>
        <v>362890.5</v>
      </c>
      <c r="I39" s="441">
        <f t="shared" si="47"/>
        <v>362890.5</v>
      </c>
      <c r="J39" s="441">
        <f t="shared" si="47"/>
        <v>362890.5</v>
      </c>
      <c r="K39" s="441">
        <f t="shared" si="47"/>
        <v>362890.5</v>
      </c>
      <c r="L39" s="441">
        <f t="shared" si="47"/>
        <v>362890.5</v>
      </c>
      <c r="M39" s="441">
        <f t="shared" si="47"/>
        <v>362890.5</v>
      </c>
      <c r="N39" s="441">
        <f t="shared" si="47"/>
        <v>362890.5</v>
      </c>
      <c r="O39" s="441">
        <f t="shared" si="47"/>
        <v>362890.5</v>
      </c>
      <c r="P39" s="441">
        <f t="shared" si="47"/>
        <v>362890.5</v>
      </c>
      <c r="Q39" s="441">
        <f t="shared" si="47"/>
        <v>362890.5</v>
      </c>
      <c r="R39" s="441">
        <f t="shared" si="47"/>
        <v>362890.5</v>
      </c>
      <c r="S39" s="441">
        <f t="shared" si="47"/>
        <v>362890.5</v>
      </c>
      <c r="T39" s="441">
        <f t="shared" si="47"/>
        <v>362890.5</v>
      </c>
      <c r="U39" s="441">
        <f t="shared" si="47"/>
        <v>362890.5</v>
      </c>
      <c r="V39" s="441">
        <f t="shared" si="47"/>
        <v>362890.5</v>
      </c>
      <c r="W39" s="441"/>
    </row>
    <row r="40" spans="1:23" s="16" customFormat="1">
      <c r="A40" s="83" t="s">
        <v>275</v>
      </c>
      <c r="B40" s="440">
        <v>0</v>
      </c>
      <c r="C40" s="358">
        <f t="shared" ref="C40:V40" si="48">$B$167</f>
        <v>0.16458333333333333</v>
      </c>
      <c r="D40" s="358">
        <f t="shared" si="48"/>
        <v>0.16458333333333333</v>
      </c>
      <c r="E40" s="358">
        <f t="shared" si="48"/>
        <v>0.16458333333333333</v>
      </c>
      <c r="F40" s="358">
        <f t="shared" si="48"/>
        <v>0.16458333333333333</v>
      </c>
      <c r="G40" s="358">
        <f t="shared" si="48"/>
        <v>0.16458333333333333</v>
      </c>
      <c r="H40" s="358">
        <f t="shared" si="48"/>
        <v>0.16458333333333333</v>
      </c>
      <c r="I40" s="358">
        <f t="shared" si="48"/>
        <v>0.16458333333333333</v>
      </c>
      <c r="J40" s="358">
        <f t="shared" si="48"/>
        <v>0.16458333333333333</v>
      </c>
      <c r="K40" s="358">
        <f t="shared" si="48"/>
        <v>0.16458333333333333</v>
      </c>
      <c r="L40" s="358">
        <f t="shared" si="48"/>
        <v>0.16458333333333333</v>
      </c>
      <c r="M40" s="358">
        <f t="shared" si="48"/>
        <v>0.16458333333333333</v>
      </c>
      <c r="N40" s="358">
        <f t="shared" si="48"/>
        <v>0.16458333333333333</v>
      </c>
      <c r="O40" s="358">
        <f t="shared" si="48"/>
        <v>0.16458333333333333</v>
      </c>
      <c r="P40" s="358">
        <f t="shared" si="48"/>
        <v>0.16458333333333333</v>
      </c>
      <c r="Q40" s="358">
        <f t="shared" si="48"/>
        <v>0.16458333333333333</v>
      </c>
      <c r="R40" s="358">
        <f t="shared" si="48"/>
        <v>0.16458333333333333</v>
      </c>
      <c r="S40" s="358">
        <f t="shared" si="48"/>
        <v>0.16458333333333333</v>
      </c>
      <c r="T40" s="358">
        <f t="shared" si="48"/>
        <v>0.16458333333333333</v>
      </c>
      <c r="U40" s="358">
        <f t="shared" si="48"/>
        <v>0.16458333333333333</v>
      </c>
      <c r="V40" s="358">
        <f t="shared" si="48"/>
        <v>0.16458333333333333</v>
      </c>
      <c r="W40" s="441"/>
    </row>
    <row r="41" spans="1:23" s="16" customFormat="1">
      <c r="A41" s="83" t="s">
        <v>276</v>
      </c>
      <c r="B41" s="440">
        <v>0</v>
      </c>
      <c r="C41" s="441">
        <f t="shared" ref="C41:G41" si="49">C40*C39</f>
        <v>59725.728125000001</v>
      </c>
      <c r="D41" s="441">
        <f t="shared" si="49"/>
        <v>59725.728125000001</v>
      </c>
      <c r="E41" s="441">
        <f t="shared" si="49"/>
        <v>59725.728125000001</v>
      </c>
      <c r="F41" s="441">
        <f t="shared" si="49"/>
        <v>59725.728125000001</v>
      </c>
      <c r="G41" s="441">
        <f t="shared" si="49"/>
        <v>59725.728125000001</v>
      </c>
      <c r="H41" s="441">
        <f t="shared" ref="H41:V41" si="50">H40*H39</f>
        <v>59725.728125000001</v>
      </c>
      <c r="I41" s="441">
        <f t="shared" si="50"/>
        <v>59725.728125000001</v>
      </c>
      <c r="J41" s="441">
        <f t="shared" si="50"/>
        <v>59725.728125000001</v>
      </c>
      <c r="K41" s="441">
        <f t="shared" si="50"/>
        <v>59725.728125000001</v>
      </c>
      <c r="L41" s="441">
        <f t="shared" si="50"/>
        <v>59725.728125000001</v>
      </c>
      <c r="M41" s="441">
        <f t="shared" si="50"/>
        <v>59725.728125000001</v>
      </c>
      <c r="N41" s="441">
        <f t="shared" si="50"/>
        <v>59725.728125000001</v>
      </c>
      <c r="O41" s="441">
        <f t="shared" si="50"/>
        <v>59725.728125000001</v>
      </c>
      <c r="P41" s="441">
        <f t="shared" si="50"/>
        <v>59725.728125000001</v>
      </c>
      <c r="Q41" s="441">
        <f t="shared" si="50"/>
        <v>59725.728125000001</v>
      </c>
      <c r="R41" s="441">
        <f t="shared" si="50"/>
        <v>59725.728125000001</v>
      </c>
      <c r="S41" s="441">
        <f t="shared" si="50"/>
        <v>59725.728125000001</v>
      </c>
      <c r="T41" s="441">
        <f t="shared" si="50"/>
        <v>59725.728125000001</v>
      </c>
      <c r="U41" s="441">
        <f t="shared" si="50"/>
        <v>59725.728125000001</v>
      </c>
      <c r="V41" s="441">
        <f t="shared" si="50"/>
        <v>59725.728125000001</v>
      </c>
      <c r="W41" s="441"/>
    </row>
    <row r="42" spans="1:23" s="16" customFormat="1">
      <c r="A42" s="566">
        <v>45</v>
      </c>
      <c r="B42" s="440">
        <v>0</v>
      </c>
      <c r="C42" s="441">
        <f>'Slips by Length'!$D$3</f>
        <v>24</v>
      </c>
      <c r="D42" s="441">
        <f>'Slips by Length'!$D$3</f>
        <v>24</v>
      </c>
      <c r="E42" s="441">
        <f>'Slips by Length'!$D$3</f>
        <v>24</v>
      </c>
      <c r="F42" s="441">
        <f>'Slips by Length'!$D$3</f>
        <v>24</v>
      </c>
      <c r="G42" s="441">
        <f>'Slips by Length'!$D$3</f>
        <v>24</v>
      </c>
      <c r="H42" s="441">
        <f>'Slips by Length'!$D$3</f>
        <v>24</v>
      </c>
      <c r="I42" s="441">
        <f>'Slips by Length'!$D$3</f>
        <v>24</v>
      </c>
      <c r="J42" s="441">
        <f>'Slips by Length'!$D$3</f>
        <v>24</v>
      </c>
      <c r="K42" s="441">
        <f>'Slips by Length'!$D$3</f>
        <v>24</v>
      </c>
      <c r="L42" s="441">
        <f>'Slips by Length'!$D$3</f>
        <v>24</v>
      </c>
      <c r="M42" s="441">
        <f>'Slips by Length'!$D$3</f>
        <v>24</v>
      </c>
      <c r="N42" s="441">
        <f>'Slips by Length'!$D$3</f>
        <v>24</v>
      </c>
      <c r="O42" s="441">
        <f>'Slips by Length'!$D$3</f>
        <v>24</v>
      </c>
      <c r="P42" s="441">
        <f>'Slips by Length'!$D$3</f>
        <v>24</v>
      </c>
      <c r="Q42" s="441">
        <f>'Slips by Length'!$D$3</f>
        <v>24</v>
      </c>
      <c r="R42" s="441">
        <f>'Slips by Length'!$D$3</f>
        <v>24</v>
      </c>
      <c r="S42" s="441">
        <f>'Slips by Length'!$D$3</f>
        <v>24</v>
      </c>
      <c r="T42" s="441">
        <f>'Slips by Length'!$D$3</f>
        <v>24</v>
      </c>
      <c r="U42" s="441">
        <f>'Slips by Length'!$D$3</f>
        <v>24</v>
      </c>
      <c r="V42" s="441">
        <f>'Slips by Length'!$D$3</f>
        <v>24</v>
      </c>
      <c r="W42" s="18"/>
    </row>
    <row r="43" spans="1:23" s="16" customFormat="1">
      <c r="A43" s="567">
        <v>55</v>
      </c>
      <c r="B43" s="440">
        <v>0</v>
      </c>
      <c r="C43" s="441">
        <f>'Slips by Length'!$D$4</f>
        <v>12</v>
      </c>
      <c r="D43" s="441">
        <f>'Slips by Length'!$D$4</f>
        <v>12</v>
      </c>
      <c r="E43" s="441">
        <f>'Slips by Length'!$D$4</f>
        <v>12</v>
      </c>
      <c r="F43" s="441">
        <f>'Slips by Length'!$D$4</f>
        <v>12</v>
      </c>
      <c r="G43" s="441">
        <f>'Slips by Length'!$D$4</f>
        <v>12</v>
      </c>
      <c r="H43" s="441">
        <f>'Slips by Length'!$D$4</f>
        <v>12</v>
      </c>
      <c r="I43" s="441">
        <f>'Slips by Length'!$D$4</f>
        <v>12</v>
      </c>
      <c r="J43" s="441">
        <f>'Slips by Length'!$D$4</f>
        <v>12</v>
      </c>
      <c r="K43" s="441">
        <f>'Slips by Length'!$D$4</f>
        <v>12</v>
      </c>
      <c r="L43" s="441">
        <f>'Slips by Length'!$D$4</f>
        <v>12</v>
      </c>
      <c r="M43" s="441">
        <f>'Slips by Length'!$D$4</f>
        <v>12</v>
      </c>
      <c r="N43" s="441">
        <f>'Slips by Length'!$D$4</f>
        <v>12</v>
      </c>
      <c r="O43" s="441">
        <f>'Slips by Length'!$D$4</f>
        <v>12</v>
      </c>
      <c r="P43" s="441">
        <f>'Slips by Length'!$D$4</f>
        <v>12</v>
      </c>
      <c r="Q43" s="441">
        <f>'Slips by Length'!$D$4</f>
        <v>12</v>
      </c>
      <c r="R43" s="441">
        <f>'Slips by Length'!$D$4</f>
        <v>12</v>
      </c>
      <c r="S43" s="441">
        <f>'Slips by Length'!$D$4</f>
        <v>12</v>
      </c>
      <c r="T43" s="441">
        <f>'Slips by Length'!$D$4</f>
        <v>12</v>
      </c>
      <c r="U43" s="441">
        <f>'Slips by Length'!$D$4</f>
        <v>12</v>
      </c>
      <c r="V43" s="441">
        <f>'Slips by Length'!$D$4</f>
        <v>12</v>
      </c>
      <c r="W43" s="18"/>
    </row>
    <row r="44" spans="1:23">
      <c r="A44" s="567">
        <v>65</v>
      </c>
      <c r="B44" s="440">
        <v>0</v>
      </c>
      <c r="C44" s="441">
        <f>'Slips by Length'!$D$5</f>
        <v>10</v>
      </c>
      <c r="D44" s="441">
        <f>'Slips by Length'!$D$5</f>
        <v>10</v>
      </c>
      <c r="E44" s="441">
        <f>'Slips by Length'!$D$5</f>
        <v>10</v>
      </c>
      <c r="F44" s="441">
        <f>'Slips by Length'!$D$5</f>
        <v>10</v>
      </c>
      <c r="G44" s="441">
        <f>'Slips by Length'!$D$5</f>
        <v>10</v>
      </c>
      <c r="H44" s="441">
        <f>'Slips by Length'!$D$5</f>
        <v>10</v>
      </c>
      <c r="I44" s="441">
        <f>'Slips by Length'!$D$5</f>
        <v>10</v>
      </c>
      <c r="J44" s="441">
        <f>'Slips by Length'!$D$5</f>
        <v>10</v>
      </c>
      <c r="K44" s="441">
        <f>'Slips by Length'!$D$5</f>
        <v>10</v>
      </c>
      <c r="L44" s="441">
        <f>'Slips by Length'!$D$5</f>
        <v>10</v>
      </c>
      <c r="M44" s="441">
        <f>'Slips by Length'!$D$5</f>
        <v>10</v>
      </c>
      <c r="N44" s="441">
        <f>'Slips by Length'!$D$5</f>
        <v>10</v>
      </c>
      <c r="O44" s="441">
        <f>'Slips by Length'!$D$5</f>
        <v>10</v>
      </c>
      <c r="P44" s="441">
        <f>'Slips by Length'!$D$5</f>
        <v>10</v>
      </c>
      <c r="Q44" s="441">
        <f>'Slips by Length'!$D$5</f>
        <v>10</v>
      </c>
      <c r="R44" s="441">
        <f>'Slips by Length'!$D$5</f>
        <v>10</v>
      </c>
      <c r="S44" s="441">
        <f>'Slips by Length'!$D$5</f>
        <v>10</v>
      </c>
      <c r="T44" s="441">
        <f>'Slips by Length'!$D$5</f>
        <v>10</v>
      </c>
      <c r="U44" s="441">
        <f>'Slips by Length'!$D$5</f>
        <v>10</v>
      </c>
      <c r="V44" s="441">
        <f>'Slips by Length'!$D$5</f>
        <v>10</v>
      </c>
    </row>
    <row r="45" spans="1:23">
      <c r="A45" s="567">
        <v>80</v>
      </c>
      <c r="B45" s="440">
        <v>0</v>
      </c>
      <c r="C45" s="441">
        <f>'Slips by Length'!$D$6</f>
        <v>2</v>
      </c>
      <c r="D45" s="441">
        <f>'Slips by Length'!$D$6</f>
        <v>2</v>
      </c>
      <c r="E45" s="441">
        <f>'Slips by Length'!$D$6</f>
        <v>2</v>
      </c>
      <c r="F45" s="441">
        <f>'Slips by Length'!$D$6</f>
        <v>2</v>
      </c>
      <c r="G45" s="441">
        <f>'Slips by Length'!$D$6</f>
        <v>2</v>
      </c>
      <c r="H45" s="441">
        <f>'Slips by Length'!$D$6</f>
        <v>2</v>
      </c>
      <c r="I45" s="441">
        <f>'Slips by Length'!$D$6</f>
        <v>2</v>
      </c>
      <c r="J45" s="441">
        <f>'Slips by Length'!$D$6</f>
        <v>2</v>
      </c>
      <c r="K45" s="441">
        <f>'Slips by Length'!$D$6</f>
        <v>2</v>
      </c>
      <c r="L45" s="441">
        <f>'Slips by Length'!$D$6</f>
        <v>2</v>
      </c>
      <c r="M45" s="441">
        <f>'Slips by Length'!$D$6</f>
        <v>2</v>
      </c>
      <c r="N45" s="441">
        <f>'Slips by Length'!$D$6</f>
        <v>2</v>
      </c>
      <c r="O45" s="441">
        <f>'Slips by Length'!$D$6</f>
        <v>2</v>
      </c>
      <c r="P45" s="441">
        <f>'Slips by Length'!$D$6</f>
        <v>2</v>
      </c>
      <c r="Q45" s="441">
        <f>'Slips by Length'!$D$6</f>
        <v>2</v>
      </c>
      <c r="R45" s="441">
        <f>'Slips by Length'!$D$6</f>
        <v>2</v>
      </c>
      <c r="S45" s="441">
        <f>'Slips by Length'!$D$6</f>
        <v>2</v>
      </c>
      <c r="T45" s="441">
        <f>'Slips by Length'!$D$6</f>
        <v>2</v>
      </c>
      <c r="U45" s="441">
        <f>'Slips by Length'!$D$6</f>
        <v>2</v>
      </c>
      <c r="V45" s="441">
        <f>'Slips by Length'!$D$6</f>
        <v>2</v>
      </c>
    </row>
    <row r="46" spans="1:23">
      <c r="A46"/>
      <c r="B46" s="448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</row>
    <row r="47" spans="1:23">
      <c r="A47" s="475" t="s">
        <v>352</v>
      </c>
      <c r="B47" s="480"/>
      <c r="C47" s="480"/>
      <c r="D47" s="480"/>
      <c r="E47" s="268"/>
      <c r="F47" s="268"/>
      <c r="G47" s="268"/>
      <c r="H47" s="268"/>
      <c r="I47" s="268"/>
      <c r="J47" s="268"/>
      <c r="K47" s="268"/>
      <c r="L47" s="268"/>
      <c r="M47" s="268"/>
      <c r="N47" s="268"/>
      <c r="O47" s="268"/>
      <c r="P47" s="268"/>
      <c r="Q47" s="268"/>
      <c r="R47" s="268"/>
      <c r="S47" s="268"/>
      <c r="T47" s="268"/>
      <c r="U47" s="268"/>
      <c r="V47" s="268"/>
    </row>
    <row r="48" spans="1:23">
      <c r="A48" s="481"/>
      <c r="B48" s="374"/>
      <c r="C48" s="482"/>
      <c r="D48" s="482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</row>
    <row r="49" spans="1:23">
      <c r="A49" s="85" t="s">
        <v>237</v>
      </c>
      <c r="B49" s="711">
        <v>0</v>
      </c>
      <c r="C49" s="419">
        <f>SUM(C60:C63)</f>
        <v>0</v>
      </c>
      <c r="D49" s="419">
        <f t="shared" ref="D49:V49" si="51">SUM(D60:D63)</f>
        <v>0</v>
      </c>
      <c r="E49" s="419">
        <f t="shared" si="51"/>
        <v>0</v>
      </c>
      <c r="F49" s="419">
        <f t="shared" si="51"/>
        <v>0</v>
      </c>
      <c r="G49" s="419">
        <f t="shared" si="51"/>
        <v>0</v>
      </c>
      <c r="H49" s="419">
        <f t="shared" si="51"/>
        <v>0</v>
      </c>
      <c r="I49" s="419">
        <f t="shared" si="51"/>
        <v>0</v>
      </c>
      <c r="J49" s="419">
        <f t="shared" si="51"/>
        <v>0</v>
      </c>
      <c r="K49" s="419">
        <f t="shared" si="51"/>
        <v>0</v>
      </c>
      <c r="L49" s="419">
        <f t="shared" si="51"/>
        <v>0</v>
      </c>
      <c r="M49" s="419">
        <f t="shared" si="51"/>
        <v>0</v>
      </c>
      <c r="N49" s="419">
        <f t="shared" si="51"/>
        <v>0</v>
      </c>
      <c r="O49" s="419">
        <f t="shared" si="51"/>
        <v>0</v>
      </c>
      <c r="P49" s="419">
        <f t="shared" si="51"/>
        <v>0</v>
      </c>
      <c r="Q49" s="419">
        <f t="shared" si="51"/>
        <v>0</v>
      </c>
      <c r="R49" s="419">
        <f t="shared" si="51"/>
        <v>0</v>
      </c>
      <c r="S49" s="419">
        <f t="shared" si="51"/>
        <v>0</v>
      </c>
      <c r="T49" s="419">
        <f t="shared" si="51"/>
        <v>0</v>
      </c>
      <c r="U49" s="419">
        <f t="shared" si="51"/>
        <v>0</v>
      </c>
      <c r="V49" s="419">
        <f t="shared" si="51"/>
        <v>0</v>
      </c>
    </row>
    <row r="50" spans="1:23">
      <c r="A50" s="85" t="s">
        <v>273</v>
      </c>
      <c r="B50" s="711">
        <v>0</v>
      </c>
      <c r="C50" s="419">
        <f>SUM(C56,C59)</f>
        <v>0</v>
      </c>
      <c r="D50" s="419">
        <f t="shared" ref="D50:V50" si="52">SUM(D56,D59)</f>
        <v>0</v>
      </c>
      <c r="E50" s="419">
        <f t="shared" si="52"/>
        <v>0</v>
      </c>
      <c r="F50" s="419">
        <f t="shared" si="52"/>
        <v>0</v>
      </c>
      <c r="G50" s="419">
        <f t="shared" si="52"/>
        <v>0</v>
      </c>
      <c r="H50" s="419">
        <f t="shared" si="52"/>
        <v>0</v>
      </c>
      <c r="I50" s="419">
        <f t="shared" si="52"/>
        <v>0</v>
      </c>
      <c r="J50" s="419">
        <f t="shared" si="52"/>
        <v>0</v>
      </c>
      <c r="K50" s="419">
        <f t="shared" si="52"/>
        <v>0</v>
      </c>
      <c r="L50" s="419">
        <f t="shared" si="52"/>
        <v>0</v>
      </c>
      <c r="M50" s="419">
        <f t="shared" si="52"/>
        <v>0</v>
      </c>
      <c r="N50" s="419">
        <f t="shared" si="52"/>
        <v>0</v>
      </c>
      <c r="O50" s="419">
        <f t="shared" si="52"/>
        <v>0</v>
      </c>
      <c r="P50" s="419">
        <f t="shared" si="52"/>
        <v>0</v>
      </c>
      <c r="Q50" s="419">
        <f t="shared" si="52"/>
        <v>0</v>
      </c>
      <c r="R50" s="419">
        <f t="shared" si="52"/>
        <v>0</v>
      </c>
      <c r="S50" s="419">
        <f t="shared" si="52"/>
        <v>0</v>
      </c>
      <c r="T50" s="419">
        <f t="shared" si="52"/>
        <v>0</v>
      </c>
      <c r="U50" s="419">
        <f t="shared" si="52"/>
        <v>0</v>
      </c>
      <c r="V50" s="419">
        <f t="shared" si="52"/>
        <v>0</v>
      </c>
    </row>
    <row r="51" spans="1:23" s="16" customFormat="1">
      <c r="A51" s="83" t="s">
        <v>251</v>
      </c>
      <c r="B51" s="440">
        <v>0</v>
      </c>
      <c r="C51" s="441">
        <f>(C60*$A$42)+(C61*$A$43)+(C62*$A$44)+(C63*$A$45)</f>
        <v>0</v>
      </c>
      <c r="D51" s="441">
        <f t="shared" ref="D51:V51" si="53">(D60*$A$42)+(D61*$A$43)+(D62*$A$44)+(D63*$A$45)</f>
        <v>0</v>
      </c>
      <c r="E51" s="441">
        <f t="shared" si="53"/>
        <v>0</v>
      </c>
      <c r="F51" s="441">
        <f t="shared" si="53"/>
        <v>0</v>
      </c>
      <c r="G51" s="441">
        <f t="shared" si="53"/>
        <v>0</v>
      </c>
      <c r="H51" s="441">
        <f t="shared" si="53"/>
        <v>0</v>
      </c>
      <c r="I51" s="441">
        <f t="shared" si="53"/>
        <v>0</v>
      </c>
      <c r="J51" s="441">
        <f t="shared" si="53"/>
        <v>0</v>
      </c>
      <c r="K51" s="441">
        <f t="shared" si="53"/>
        <v>0</v>
      </c>
      <c r="L51" s="441">
        <f t="shared" si="53"/>
        <v>0</v>
      </c>
      <c r="M51" s="441">
        <f t="shared" si="53"/>
        <v>0</v>
      </c>
      <c r="N51" s="441">
        <f t="shared" si="53"/>
        <v>0</v>
      </c>
      <c r="O51" s="441">
        <f t="shared" si="53"/>
        <v>0</v>
      </c>
      <c r="P51" s="441">
        <f t="shared" si="53"/>
        <v>0</v>
      </c>
      <c r="Q51" s="441">
        <f t="shared" si="53"/>
        <v>0</v>
      </c>
      <c r="R51" s="441">
        <f t="shared" si="53"/>
        <v>0</v>
      </c>
      <c r="S51" s="441">
        <f t="shared" si="53"/>
        <v>0</v>
      </c>
      <c r="T51" s="441">
        <f t="shared" si="53"/>
        <v>0</v>
      </c>
      <c r="U51" s="441">
        <f t="shared" si="53"/>
        <v>0</v>
      </c>
      <c r="V51" s="441">
        <f t="shared" si="53"/>
        <v>0</v>
      </c>
      <c r="W51" s="441"/>
    </row>
    <row r="52" spans="1:23" s="16" customFormat="1">
      <c r="A52" s="83" t="s">
        <v>253</v>
      </c>
      <c r="B52" s="440">
        <v>0</v>
      </c>
      <c r="C52" s="441">
        <f>C51*0.665</f>
        <v>0</v>
      </c>
      <c r="D52" s="441">
        <f t="shared" ref="D52:V52" si="54">D51*0.665</f>
        <v>0</v>
      </c>
      <c r="E52" s="441">
        <f t="shared" si="54"/>
        <v>0</v>
      </c>
      <c r="F52" s="441">
        <f t="shared" si="54"/>
        <v>0</v>
      </c>
      <c r="G52" s="441">
        <f t="shared" si="54"/>
        <v>0</v>
      </c>
      <c r="H52" s="441">
        <f t="shared" si="54"/>
        <v>0</v>
      </c>
      <c r="I52" s="441">
        <f t="shared" si="54"/>
        <v>0</v>
      </c>
      <c r="J52" s="441">
        <f t="shared" si="54"/>
        <v>0</v>
      </c>
      <c r="K52" s="441">
        <f t="shared" si="54"/>
        <v>0</v>
      </c>
      <c r="L52" s="441">
        <f t="shared" si="54"/>
        <v>0</v>
      </c>
      <c r="M52" s="441">
        <f t="shared" si="54"/>
        <v>0</v>
      </c>
      <c r="N52" s="441">
        <f t="shared" si="54"/>
        <v>0</v>
      </c>
      <c r="O52" s="441">
        <f t="shared" si="54"/>
        <v>0</v>
      </c>
      <c r="P52" s="441">
        <f t="shared" si="54"/>
        <v>0</v>
      </c>
      <c r="Q52" s="441">
        <f t="shared" si="54"/>
        <v>0</v>
      </c>
      <c r="R52" s="441">
        <f t="shared" si="54"/>
        <v>0</v>
      </c>
      <c r="S52" s="441">
        <f t="shared" si="54"/>
        <v>0</v>
      </c>
      <c r="T52" s="441">
        <f t="shared" si="54"/>
        <v>0</v>
      </c>
      <c r="U52" s="441">
        <f t="shared" si="54"/>
        <v>0</v>
      </c>
      <c r="V52" s="441">
        <f t="shared" si="54"/>
        <v>0</v>
      </c>
      <c r="W52" s="441"/>
    </row>
    <row r="53" spans="1:23" s="16" customFormat="1">
      <c r="A53" s="83" t="s">
        <v>254</v>
      </c>
      <c r="B53" s="440">
        <v>0</v>
      </c>
      <c r="C53" s="441">
        <f>C51*0.335</f>
        <v>0</v>
      </c>
      <c r="D53" s="441">
        <f t="shared" ref="D53:V53" si="55">D51*0.335</f>
        <v>0</v>
      </c>
      <c r="E53" s="441">
        <f t="shared" si="55"/>
        <v>0</v>
      </c>
      <c r="F53" s="441">
        <f t="shared" si="55"/>
        <v>0</v>
      </c>
      <c r="G53" s="441">
        <f t="shared" si="55"/>
        <v>0</v>
      </c>
      <c r="H53" s="441">
        <f t="shared" si="55"/>
        <v>0</v>
      </c>
      <c r="I53" s="441">
        <f t="shared" si="55"/>
        <v>0</v>
      </c>
      <c r="J53" s="441">
        <f t="shared" si="55"/>
        <v>0</v>
      </c>
      <c r="K53" s="441">
        <f t="shared" si="55"/>
        <v>0</v>
      </c>
      <c r="L53" s="441">
        <f t="shared" si="55"/>
        <v>0</v>
      </c>
      <c r="M53" s="441">
        <f t="shared" si="55"/>
        <v>0</v>
      </c>
      <c r="N53" s="441">
        <f t="shared" si="55"/>
        <v>0</v>
      </c>
      <c r="O53" s="441">
        <f t="shared" si="55"/>
        <v>0</v>
      </c>
      <c r="P53" s="441">
        <f t="shared" si="55"/>
        <v>0</v>
      </c>
      <c r="Q53" s="441">
        <f t="shared" si="55"/>
        <v>0</v>
      </c>
      <c r="R53" s="441">
        <f t="shared" si="55"/>
        <v>0</v>
      </c>
      <c r="S53" s="441">
        <f t="shared" si="55"/>
        <v>0</v>
      </c>
      <c r="T53" s="441">
        <f t="shared" si="55"/>
        <v>0</v>
      </c>
      <c r="U53" s="441">
        <f t="shared" si="55"/>
        <v>0</v>
      </c>
      <c r="V53" s="441">
        <f t="shared" si="55"/>
        <v>0</v>
      </c>
      <c r="W53" s="441"/>
    </row>
    <row r="54" spans="1:23" s="16" customFormat="1">
      <c r="A54" s="83" t="s">
        <v>255</v>
      </c>
      <c r="B54" s="440">
        <v>0</v>
      </c>
      <c r="C54" s="441">
        <f>C53*214</f>
        <v>0</v>
      </c>
      <c r="D54" s="441">
        <f t="shared" ref="D54:V54" si="56">D53*214</f>
        <v>0</v>
      </c>
      <c r="E54" s="441">
        <f t="shared" si="56"/>
        <v>0</v>
      </c>
      <c r="F54" s="441">
        <f t="shared" si="56"/>
        <v>0</v>
      </c>
      <c r="G54" s="441">
        <f t="shared" si="56"/>
        <v>0</v>
      </c>
      <c r="H54" s="441">
        <f t="shared" si="56"/>
        <v>0</v>
      </c>
      <c r="I54" s="441">
        <f t="shared" si="56"/>
        <v>0</v>
      </c>
      <c r="J54" s="441">
        <f t="shared" si="56"/>
        <v>0</v>
      </c>
      <c r="K54" s="441">
        <f t="shared" si="56"/>
        <v>0</v>
      </c>
      <c r="L54" s="441">
        <f t="shared" si="56"/>
        <v>0</v>
      </c>
      <c r="M54" s="441">
        <f t="shared" si="56"/>
        <v>0</v>
      </c>
      <c r="N54" s="441">
        <f t="shared" si="56"/>
        <v>0</v>
      </c>
      <c r="O54" s="441">
        <f t="shared" si="56"/>
        <v>0</v>
      </c>
      <c r="P54" s="441">
        <f t="shared" si="56"/>
        <v>0</v>
      </c>
      <c r="Q54" s="441">
        <f t="shared" si="56"/>
        <v>0</v>
      </c>
      <c r="R54" s="441">
        <f t="shared" si="56"/>
        <v>0</v>
      </c>
      <c r="S54" s="441">
        <f t="shared" si="56"/>
        <v>0</v>
      </c>
      <c r="T54" s="441">
        <f t="shared" si="56"/>
        <v>0</v>
      </c>
      <c r="U54" s="441">
        <f t="shared" si="56"/>
        <v>0</v>
      </c>
      <c r="V54" s="441">
        <f t="shared" si="56"/>
        <v>0</v>
      </c>
      <c r="W54" s="441"/>
    </row>
    <row r="55" spans="1:23" s="16" customFormat="1">
      <c r="A55" s="83" t="s">
        <v>256</v>
      </c>
      <c r="B55" s="440">
        <v>0</v>
      </c>
      <c r="C55" s="358">
        <f>$B$169</f>
        <v>0.24687500000000001</v>
      </c>
      <c r="D55" s="358">
        <f t="shared" ref="D55:V55" si="57">$B$169</f>
        <v>0.24687500000000001</v>
      </c>
      <c r="E55" s="358">
        <f t="shared" si="57"/>
        <v>0.24687500000000001</v>
      </c>
      <c r="F55" s="358">
        <f t="shared" si="57"/>
        <v>0.24687500000000001</v>
      </c>
      <c r="G55" s="358">
        <f t="shared" si="57"/>
        <v>0.24687500000000001</v>
      </c>
      <c r="H55" s="358">
        <f t="shared" si="57"/>
        <v>0.24687500000000001</v>
      </c>
      <c r="I55" s="358">
        <f t="shared" si="57"/>
        <v>0.24687500000000001</v>
      </c>
      <c r="J55" s="358">
        <f t="shared" si="57"/>
        <v>0.24687500000000001</v>
      </c>
      <c r="K55" s="358">
        <f t="shared" si="57"/>
        <v>0.24687500000000001</v>
      </c>
      <c r="L55" s="358">
        <f t="shared" si="57"/>
        <v>0.24687500000000001</v>
      </c>
      <c r="M55" s="358">
        <f t="shared" si="57"/>
        <v>0.24687500000000001</v>
      </c>
      <c r="N55" s="358">
        <f t="shared" si="57"/>
        <v>0.24687500000000001</v>
      </c>
      <c r="O55" s="358">
        <f t="shared" si="57"/>
        <v>0.24687500000000001</v>
      </c>
      <c r="P55" s="358">
        <f t="shared" si="57"/>
        <v>0.24687500000000001</v>
      </c>
      <c r="Q55" s="358">
        <f t="shared" si="57"/>
        <v>0.24687500000000001</v>
      </c>
      <c r="R55" s="358">
        <f t="shared" si="57"/>
        <v>0.24687500000000001</v>
      </c>
      <c r="S55" s="358">
        <f t="shared" si="57"/>
        <v>0.24687500000000001</v>
      </c>
      <c r="T55" s="358">
        <f t="shared" si="57"/>
        <v>0.24687500000000001</v>
      </c>
      <c r="U55" s="358">
        <f t="shared" si="57"/>
        <v>0.24687500000000001</v>
      </c>
      <c r="V55" s="358">
        <f t="shared" si="57"/>
        <v>0.24687500000000001</v>
      </c>
      <c r="W55" s="441"/>
    </row>
    <row r="56" spans="1:23" s="16" customFormat="1">
      <c r="A56" s="83" t="s">
        <v>257</v>
      </c>
      <c r="B56" s="440">
        <v>0</v>
      </c>
      <c r="C56" s="441">
        <f>C55*C54</f>
        <v>0</v>
      </c>
      <c r="D56" s="441">
        <f t="shared" ref="D56:V56" si="58">D55*D54</f>
        <v>0</v>
      </c>
      <c r="E56" s="441">
        <f t="shared" si="58"/>
        <v>0</v>
      </c>
      <c r="F56" s="441">
        <f t="shared" si="58"/>
        <v>0</v>
      </c>
      <c r="G56" s="441">
        <f t="shared" si="58"/>
        <v>0</v>
      </c>
      <c r="H56" s="441">
        <f t="shared" si="58"/>
        <v>0</v>
      </c>
      <c r="I56" s="441">
        <f t="shared" si="58"/>
        <v>0</v>
      </c>
      <c r="J56" s="441">
        <f t="shared" si="58"/>
        <v>0</v>
      </c>
      <c r="K56" s="441">
        <f t="shared" si="58"/>
        <v>0</v>
      </c>
      <c r="L56" s="441">
        <f t="shared" si="58"/>
        <v>0</v>
      </c>
      <c r="M56" s="441">
        <f t="shared" si="58"/>
        <v>0</v>
      </c>
      <c r="N56" s="441">
        <f t="shared" si="58"/>
        <v>0</v>
      </c>
      <c r="O56" s="441">
        <f t="shared" si="58"/>
        <v>0</v>
      </c>
      <c r="P56" s="441">
        <f t="shared" si="58"/>
        <v>0</v>
      </c>
      <c r="Q56" s="441">
        <f t="shared" si="58"/>
        <v>0</v>
      </c>
      <c r="R56" s="441">
        <f t="shared" si="58"/>
        <v>0</v>
      </c>
      <c r="S56" s="441">
        <f t="shared" si="58"/>
        <v>0</v>
      </c>
      <c r="T56" s="441">
        <f t="shared" si="58"/>
        <v>0</v>
      </c>
      <c r="U56" s="441">
        <f t="shared" si="58"/>
        <v>0</v>
      </c>
      <c r="V56" s="441">
        <f t="shared" si="58"/>
        <v>0</v>
      </c>
      <c r="W56" s="441"/>
    </row>
    <row r="57" spans="1:23" s="16" customFormat="1">
      <c r="A57" s="83" t="s">
        <v>277</v>
      </c>
      <c r="B57" s="440">
        <v>0</v>
      </c>
      <c r="C57" s="441">
        <f>C52*214</f>
        <v>0</v>
      </c>
      <c r="D57" s="441">
        <f t="shared" ref="D57:V57" si="59">D52*214</f>
        <v>0</v>
      </c>
      <c r="E57" s="441">
        <f t="shared" si="59"/>
        <v>0</v>
      </c>
      <c r="F57" s="441">
        <f t="shared" si="59"/>
        <v>0</v>
      </c>
      <c r="G57" s="441">
        <f t="shared" si="59"/>
        <v>0</v>
      </c>
      <c r="H57" s="441">
        <f t="shared" si="59"/>
        <v>0</v>
      </c>
      <c r="I57" s="441">
        <f t="shared" si="59"/>
        <v>0</v>
      </c>
      <c r="J57" s="441">
        <f t="shared" si="59"/>
        <v>0</v>
      </c>
      <c r="K57" s="441">
        <f t="shared" si="59"/>
        <v>0</v>
      </c>
      <c r="L57" s="441">
        <f t="shared" si="59"/>
        <v>0</v>
      </c>
      <c r="M57" s="441">
        <f t="shared" si="59"/>
        <v>0</v>
      </c>
      <c r="N57" s="441">
        <f t="shared" si="59"/>
        <v>0</v>
      </c>
      <c r="O57" s="441">
        <f t="shared" si="59"/>
        <v>0</v>
      </c>
      <c r="P57" s="441">
        <f t="shared" si="59"/>
        <v>0</v>
      </c>
      <c r="Q57" s="441">
        <f t="shared" si="59"/>
        <v>0</v>
      </c>
      <c r="R57" s="441">
        <f t="shared" si="59"/>
        <v>0</v>
      </c>
      <c r="S57" s="441">
        <f t="shared" si="59"/>
        <v>0</v>
      </c>
      <c r="T57" s="441">
        <f t="shared" si="59"/>
        <v>0</v>
      </c>
      <c r="U57" s="441">
        <f t="shared" si="59"/>
        <v>0</v>
      </c>
      <c r="V57" s="441">
        <f t="shared" si="59"/>
        <v>0</v>
      </c>
      <c r="W57" s="441"/>
    </row>
    <row r="58" spans="1:23" s="16" customFormat="1">
      <c r="A58" s="83" t="s">
        <v>275</v>
      </c>
      <c r="B58" s="440">
        <v>0</v>
      </c>
      <c r="C58" s="358">
        <f>$B$167</f>
        <v>0.16458333333333333</v>
      </c>
      <c r="D58" s="358">
        <f t="shared" ref="D58:V58" si="60">$B$167</f>
        <v>0.16458333333333333</v>
      </c>
      <c r="E58" s="358">
        <f t="shared" si="60"/>
        <v>0.16458333333333333</v>
      </c>
      <c r="F58" s="358">
        <f t="shared" si="60"/>
        <v>0.16458333333333333</v>
      </c>
      <c r="G58" s="358">
        <f t="shared" si="60"/>
        <v>0.16458333333333333</v>
      </c>
      <c r="H58" s="358">
        <f t="shared" si="60"/>
        <v>0.16458333333333333</v>
      </c>
      <c r="I58" s="358">
        <f t="shared" si="60"/>
        <v>0.16458333333333333</v>
      </c>
      <c r="J58" s="358">
        <f t="shared" si="60"/>
        <v>0.16458333333333333</v>
      </c>
      <c r="K58" s="358">
        <f t="shared" si="60"/>
        <v>0.16458333333333333</v>
      </c>
      <c r="L58" s="358">
        <f t="shared" si="60"/>
        <v>0.16458333333333333</v>
      </c>
      <c r="M58" s="358">
        <f t="shared" si="60"/>
        <v>0.16458333333333333</v>
      </c>
      <c r="N58" s="358">
        <f t="shared" si="60"/>
        <v>0.16458333333333333</v>
      </c>
      <c r="O58" s="358">
        <f t="shared" si="60"/>
        <v>0.16458333333333333</v>
      </c>
      <c r="P58" s="358">
        <f t="shared" si="60"/>
        <v>0.16458333333333333</v>
      </c>
      <c r="Q58" s="358">
        <f t="shared" si="60"/>
        <v>0.16458333333333333</v>
      </c>
      <c r="R58" s="358">
        <f t="shared" si="60"/>
        <v>0.16458333333333333</v>
      </c>
      <c r="S58" s="358">
        <f t="shared" si="60"/>
        <v>0.16458333333333333</v>
      </c>
      <c r="T58" s="358">
        <f t="shared" si="60"/>
        <v>0.16458333333333333</v>
      </c>
      <c r="U58" s="358">
        <f t="shared" si="60"/>
        <v>0.16458333333333333</v>
      </c>
      <c r="V58" s="358">
        <f t="shared" si="60"/>
        <v>0.16458333333333333</v>
      </c>
      <c r="W58" s="441"/>
    </row>
    <row r="59" spans="1:23" s="16" customFormat="1">
      <c r="A59" s="83" t="s">
        <v>276</v>
      </c>
      <c r="B59" s="440">
        <v>0</v>
      </c>
      <c r="C59" s="441">
        <f>C58*C57</f>
        <v>0</v>
      </c>
      <c r="D59" s="441">
        <f t="shared" ref="D59:V59" si="61">D58*D57</f>
        <v>0</v>
      </c>
      <c r="E59" s="441">
        <f t="shared" si="61"/>
        <v>0</v>
      </c>
      <c r="F59" s="441">
        <f t="shared" si="61"/>
        <v>0</v>
      </c>
      <c r="G59" s="441">
        <f t="shared" si="61"/>
        <v>0</v>
      </c>
      <c r="H59" s="441">
        <f t="shared" si="61"/>
        <v>0</v>
      </c>
      <c r="I59" s="441">
        <f t="shared" si="61"/>
        <v>0</v>
      </c>
      <c r="J59" s="441">
        <f t="shared" si="61"/>
        <v>0</v>
      </c>
      <c r="K59" s="441">
        <f t="shared" si="61"/>
        <v>0</v>
      </c>
      <c r="L59" s="441">
        <f t="shared" si="61"/>
        <v>0</v>
      </c>
      <c r="M59" s="441">
        <f t="shared" si="61"/>
        <v>0</v>
      </c>
      <c r="N59" s="441">
        <f t="shared" si="61"/>
        <v>0</v>
      </c>
      <c r="O59" s="441">
        <f t="shared" si="61"/>
        <v>0</v>
      </c>
      <c r="P59" s="441">
        <f t="shared" si="61"/>
        <v>0</v>
      </c>
      <c r="Q59" s="441">
        <f t="shared" si="61"/>
        <v>0</v>
      </c>
      <c r="R59" s="441">
        <f t="shared" si="61"/>
        <v>0</v>
      </c>
      <c r="S59" s="441">
        <f t="shared" si="61"/>
        <v>0</v>
      </c>
      <c r="T59" s="441">
        <f t="shared" si="61"/>
        <v>0</v>
      </c>
      <c r="U59" s="441">
        <f t="shared" si="61"/>
        <v>0</v>
      </c>
      <c r="V59" s="441">
        <f t="shared" si="61"/>
        <v>0</v>
      </c>
      <c r="W59" s="441"/>
    </row>
    <row r="60" spans="1:23" s="16" customFormat="1">
      <c r="A60" s="566">
        <v>45</v>
      </c>
      <c r="B60" s="440">
        <v>0</v>
      </c>
      <c r="C60" s="441">
        <v>0</v>
      </c>
      <c r="D60" s="441">
        <v>0</v>
      </c>
      <c r="E60" s="441">
        <v>0</v>
      </c>
      <c r="F60" s="441">
        <v>0</v>
      </c>
      <c r="G60" s="441">
        <v>0</v>
      </c>
      <c r="H60" s="441">
        <v>0</v>
      </c>
      <c r="I60" s="441">
        <v>0</v>
      </c>
      <c r="J60" s="441">
        <v>0</v>
      </c>
      <c r="K60" s="441">
        <v>0</v>
      </c>
      <c r="L60" s="441">
        <v>0</v>
      </c>
      <c r="M60" s="441">
        <v>0</v>
      </c>
      <c r="N60" s="441">
        <v>0</v>
      </c>
      <c r="O60" s="441">
        <v>0</v>
      </c>
      <c r="P60" s="441">
        <v>0</v>
      </c>
      <c r="Q60" s="441">
        <v>0</v>
      </c>
      <c r="R60" s="441">
        <v>0</v>
      </c>
      <c r="S60" s="441">
        <v>0</v>
      </c>
      <c r="T60" s="441">
        <v>0</v>
      </c>
      <c r="U60" s="441">
        <v>0</v>
      </c>
      <c r="V60" s="441">
        <v>0</v>
      </c>
      <c r="W60" s="18"/>
    </row>
    <row r="61" spans="1:23" s="16" customFormat="1">
      <c r="A61" s="567">
        <v>55</v>
      </c>
      <c r="B61" s="440">
        <v>0</v>
      </c>
      <c r="C61" s="441">
        <v>0</v>
      </c>
      <c r="D61" s="441">
        <v>0</v>
      </c>
      <c r="E61" s="441">
        <v>0</v>
      </c>
      <c r="F61" s="441">
        <v>0</v>
      </c>
      <c r="G61" s="441">
        <v>0</v>
      </c>
      <c r="H61" s="441">
        <v>0</v>
      </c>
      <c r="I61" s="441">
        <v>0</v>
      </c>
      <c r="J61" s="441">
        <v>0</v>
      </c>
      <c r="K61" s="441">
        <v>0</v>
      </c>
      <c r="L61" s="441">
        <v>0</v>
      </c>
      <c r="M61" s="441">
        <v>0</v>
      </c>
      <c r="N61" s="441">
        <v>0</v>
      </c>
      <c r="O61" s="441">
        <v>0</v>
      </c>
      <c r="P61" s="441">
        <v>0</v>
      </c>
      <c r="Q61" s="441">
        <v>0</v>
      </c>
      <c r="R61" s="441">
        <v>0</v>
      </c>
      <c r="S61" s="441">
        <v>0</v>
      </c>
      <c r="T61" s="441">
        <v>0</v>
      </c>
      <c r="U61" s="441">
        <v>0</v>
      </c>
      <c r="V61" s="441">
        <v>0</v>
      </c>
      <c r="W61" s="18"/>
    </row>
    <row r="62" spans="1:23">
      <c r="A62" s="567">
        <v>65</v>
      </c>
      <c r="B62" s="440">
        <v>0</v>
      </c>
      <c r="C62" s="441">
        <v>0</v>
      </c>
      <c r="D62" s="441">
        <v>0</v>
      </c>
      <c r="E62" s="441">
        <v>0</v>
      </c>
      <c r="F62" s="441">
        <v>0</v>
      </c>
      <c r="G62" s="441">
        <v>0</v>
      </c>
      <c r="H62" s="441">
        <v>0</v>
      </c>
      <c r="I62" s="441">
        <v>0</v>
      </c>
      <c r="J62" s="441">
        <v>0</v>
      </c>
      <c r="K62" s="441">
        <v>0</v>
      </c>
      <c r="L62" s="441">
        <v>0</v>
      </c>
      <c r="M62" s="441">
        <v>0</v>
      </c>
      <c r="N62" s="441">
        <v>0</v>
      </c>
      <c r="O62" s="441">
        <v>0</v>
      </c>
      <c r="P62" s="441">
        <v>0</v>
      </c>
      <c r="Q62" s="441">
        <v>0</v>
      </c>
      <c r="R62" s="441">
        <v>0</v>
      </c>
      <c r="S62" s="441">
        <v>0</v>
      </c>
      <c r="T62" s="441">
        <v>0</v>
      </c>
      <c r="U62" s="441">
        <v>0</v>
      </c>
      <c r="V62" s="441">
        <v>0</v>
      </c>
    </row>
    <row r="63" spans="1:23">
      <c r="A63" s="567">
        <v>80</v>
      </c>
      <c r="B63" s="440">
        <v>0</v>
      </c>
      <c r="C63" s="441">
        <v>0</v>
      </c>
      <c r="D63" s="441">
        <v>0</v>
      </c>
      <c r="E63" s="441">
        <v>0</v>
      </c>
      <c r="F63" s="441">
        <v>0</v>
      </c>
      <c r="G63" s="441">
        <v>0</v>
      </c>
      <c r="H63" s="441">
        <v>0</v>
      </c>
      <c r="I63" s="441">
        <v>0</v>
      </c>
      <c r="J63" s="441">
        <v>0</v>
      </c>
      <c r="K63" s="441">
        <v>0</v>
      </c>
      <c r="L63" s="441">
        <v>0</v>
      </c>
      <c r="M63" s="441">
        <v>0</v>
      </c>
      <c r="N63" s="441">
        <v>0</v>
      </c>
      <c r="O63" s="441">
        <v>0</v>
      </c>
      <c r="P63" s="441">
        <v>0</v>
      </c>
      <c r="Q63" s="441">
        <v>0</v>
      </c>
      <c r="R63" s="441">
        <v>0</v>
      </c>
      <c r="S63" s="441">
        <v>0</v>
      </c>
      <c r="T63" s="441">
        <v>0</v>
      </c>
      <c r="U63" s="441">
        <v>0</v>
      </c>
      <c r="V63" s="441">
        <v>0</v>
      </c>
    </row>
    <row r="64" spans="1:23">
      <c r="A64"/>
      <c r="B64" s="448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</row>
    <row r="65" spans="1:23">
      <c r="A65" s="475" t="s">
        <v>353</v>
      </c>
      <c r="B65" s="480"/>
      <c r="C65" s="480"/>
      <c r="D65" s="480"/>
      <c r="E65" s="268"/>
      <c r="F65" s="268"/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</row>
    <row r="66" spans="1:23">
      <c r="A66" s="481"/>
      <c r="B66" s="374"/>
      <c r="C66" s="482"/>
      <c r="D66" s="482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</row>
    <row r="67" spans="1:23">
      <c r="A67" s="85" t="s">
        <v>237</v>
      </c>
      <c r="B67" s="711">
        <v>0</v>
      </c>
      <c r="C67" s="419">
        <f>SUM(C78:C81)</f>
        <v>12</v>
      </c>
      <c r="D67" s="419">
        <f t="shared" ref="D67:V67" si="62">SUM(D78:D81)</f>
        <v>12</v>
      </c>
      <c r="E67" s="419">
        <f t="shared" si="62"/>
        <v>12</v>
      </c>
      <c r="F67" s="419">
        <f t="shared" si="62"/>
        <v>12</v>
      </c>
      <c r="G67" s="419">
        <f t="shared" si="62"/>
        <v>12</v>
      </c>
      <c r="H67" s="419">
        <f t="shared" si="62"/>
        <v>12</v>
      </c>
      <c r="I67" s="419">
        <f t="shared" si="62"/>
        <v>12</v>
      </c>
      <c r="J67" s="419">
        <f t="shared" si="62"/>
        <v>12</v>
      </c>
      <c r="K67" s="419">
        <f t="shared" si="62"/>
        <v>12</v>
      </c>
      <c r="L67" s="419">
        <f t="shared" si="62"/>
        <v>12</v>
      </c>
      <c r="M67" s="419">
        <f t="shared" si="62"/>
        <v>12</v>
      </c>
      <c r="N67" s="419">
        <f t="shared" si="62"/>
        <v>12</v>
      </c>
      <c r="O67" s="419">
        <f t="shared" si="62"/>
        <v>12</v>
      </c>
      <c r="P67" s="419">
        <f t="shared" si="62"/>
        <v>12</v>
      </c>
      <c r="Q67" s="419">
        <f t="shared" si="62"/>
        <v>12</v>
      </c>
      <c r="R67" s="419">
        <f t="shared" si="62"/>
        <v>12</v>
      </c>
      <c r="S67" s="419">
        <f t="shared" si="62"/>
        <v>12</v>
      </c>
      <c r="T67" s="419">
        <f t="shared" si="62"/>
        <v>12</v>
      </c>
      <c r="U67" s="419">
        <f t="shared" si="62"/>
        <v>12</v>
      </c>
      <c r="V67" s="419">
        <f t="shared" si="62"/>
        <v>12</v>
      </c>
    </row>
    <row r="68" spans="1:23">
      <c r="A68" s="85" t="s">
        <v>273</v>
      </c>
      <c r="B68" s="711">
        <v>0</v>
      </c>
      <c r="C68" s="419">
        <f>SUM(C74,C77)</f>
        <v>22204.974374999998</v>
      </c>
      <c r="D68" s="419">
        <f t="shared" ref="D68:V68" si="63">SUM(D74,D77)</f>
        <v>22204.974374999998</v>
      </c>
      <c r="E68" s="419">
        <f t="shared" si="63"/>
        <v>22204.974374999998</v>
      </c>
      <c r="F68" s="419">
        <f t="shared" si="63"/>
        <v>22204.974374999998</v>
      </c>
      <c r="G68" s="419">
        <f t="shared" si="63"/>
        <v>22204.974374999998</v>
      </c>
      <c r="H68" s="419">
        <f t="shared" si="63"/>
        <v>22204.974374999998</v>
      </c>
      <c r="I68" s="419">
        <f t="shared" si="63"/>
        <v>22204.974374999998</v>
      </c>
      <c r="J68" s="419">
        <f t="shared" si="63"/>
        <v>22204.974374999998</v>
      </c>
      <c r="K68" s="419">
        <f t="shared" si="63"/>
        <v>22204.974374999998</v>
      </c>
      <c r="L68" s="419">
        <f t="shared" si="63"/>
        <v>22204.974374999998</v>
      </c>
      <c r="M68" s="419">
        <f t="shared" si="63"/>
        <v>22204.974374999998</v>
      </c>
      <c r="N68" s="419">
        <f t="shared" si="63"/>
        <v>22204.974374999998</v>
      </c>
      <c r="O68" s="419">
        <f t="shared" si="63"/>
        <v>22204.974374999998</v>
      </c>
      <c r="P68" s="419">
        <f t="shared" si="63"/>
        <v>22204.974374999998</v>
      </c>
      <c r="Q68" s="419">
        <f t="shared" si="63"/>
        <v>22204.974374999998</v>
      </c>
      <c r="R68" s="419">
        <f t="shared" si="63"/>
        <v>22204.974374999998</v>
      </c>
      <c r="S68" s="419">
        <f t="shared" si="63"/>
        <v>22204.974374999998</v>
      </c>
      <c r="T68" s="419">
        <f t="shared" si="63"/>
        <v>22204.974374999998</v>
      </c>
      <c r="U68" s="419">
        <f t="shared" si="63"/>
        <v>22204.974374999998</v>
      </c>
      <c r="V68" s="419">
        <f t="shared" si="63"/>
        <v>22204.974374999998</v>
      </c>
    </row>
    <row r="69" spans="1:23" s="16" customFormat="1">
      <c r="A69" s="83" t="s">
        <v>251</v>
      </c>
      <c r="B69" s="440">
        <v>0</v>
      </c>
      <c r="C69" s="441">
        <f>(C78*$A$78)+(C79*$A$79)+(C80*$A$80)+(C81*$A$81)</f>
        <v>540</v>
      </c>
      <c r="D69" s="441">
        <f t="shared" ref="D69:V69" si="64">(D78*$A$78)+(D79*$A$79)+(D80*$A$80)+(D81*$A$81)</f>
        <v>540</v>
      </c>
      <c r="E69" s="441">
        <f t="shared" si="64"/>
        <v>540</v>
      </c>
      <c r="F69" s="441">
        <f t="shared" si="64"/>
        <v>540</v>
      </c>
      <c r="G69" s="441">
        <f t="shared" si="64"/>
        <v>540</v>
      </c>
      <c r="H69" s="441">
        <f t="shared" si="64"/>
        <v>540</v>
      </c>
      <c r="I69" s="441">
        <f t="shared" si="64"/>
        <v>540</v>
      </c>
      <c r="J69" s="441">
        <f t="shared" si="64"/>
        <v>540</v>
      </c>
      <c r="K69" s="441">
        <f t="shared" si="64"/>
        <v>540</v>
      </c>
      <c r="L69" s="441">
        <f t="shared" si="64"/>
        <v>540</v>
      </c>
      <c r="M69" s="441">
        <f t="shared" si="64"/>
        <v>540</v>
      </c>
      <c r="N69" s="441">
        <f t="shared" si="64"/>
        <v>540</v>
      </c>
      <c r="O69" s="441">
        <f t="shared" si="64"/>
        <v>540</v>
      </c>
      <c r="P69" s="441">
        <f t="shared" si="64"/>
        <v>540</v>
      </c>
      <c r="Q69" s="441">
        <f t="shared" si="64"/>
        <v>540</v>
      </c>
      <c r="R69" s="441">
        <f t="shared" si="64"/>
        <v>540</v>
      </c>
      <c r="S69" s="441">
        <f t="shared" si="64"/>
        <v>540</v>
      </c>
      <c r="T69" s="441">
        <f t="shared" si="64"/>
        <v>540</v>
      </c>
      <c r="U69" s="441">
        <f t="shared" si="64"/>
        <v>540</v>
      </c>
      <c r="V69" s="441">
        <f t="shared" si="64"/>
        <v>540</v>
      </c>
      <c r="W69" s="441"/>
    </row>
    <row r="70" spans="1:23" s="16" customFormat="1">
      <c r="A70" s="83" t="s">
        <v>253</v>
      </c>
      <c r="B70" s="440">
        <v>0</v>
      </c>
      <c r="C70" s="441">
        <f>C69*0.665</f>
        <v>359.1</v>
      </c>
      <c r="D70" s="441">
        <f t="shared" ref="D70:V70" si="65">D69*0.665</f>
        <v>359.1</v>
      </c>
      <c r="E70" s="441">
        <f t="shared" si="65"/>
        <v>359.1</v>
      </c>
      <c r="F70" s="441">
        <f t="shared" si="65"/>
        <v>359.1</v>
      </c>
      <c r="G70" s="441">
        <f t="shared" si="65"/>
        <v>359.1</v>
      </c>
      <c r="H70" s="441">
        <f t="shared" si="65"/>
        <v>359.1</v>
      </c>
      <c r="I70" s="441">
        <f t="shared" si="65"/>
        <v>359.1</v>
      </c>
      <c r="J70" s="441">
        <f t="shared" si="65"/>
        <v>359.1</v>
      </c>
      <c r="K70" s="441">
        <f t="shared" si="65"/>
        <v>359.1</v>
      </c>
      <c r="L70" s="441">
        <f t="shared" si="65"/>
        <v>359.1</v>
      </c>
      <c r="M70" s="441">
        <f t="shared" si="65"/>
        <v>359.1</v>
      </c>
      <c r="N70" s="441">
        <f t="shared" si="65"/>
        <v>359.1</v>
      </c>
      <c r="O70" s="441">
        <f t="shared" si="65"/>
        <v>359.1</v>
      </c>
      <c r="P70" s="441">
        <f t="shared" si="65"/>
        <v>359.1</v>
      </c>
      <c r="Q70" s="441">
        <f t="shared" si="65"/>
        <v>359.1</v>
      </c>
      <c r="R70" s="441">
        <f t="shared" si="65"/>
        <v>359.1</v>
      </c>
      <c r="S70" s="441">
        <f t="shared" si="65"/>
        <v>359.1</v>
      </c>
      <c r="T70" s="441">
        <f t="shared" si="65"/>
        <v>359.1</v>
      </c>
      <c r="U70" s="441">
        <f t="shared" si="65"/>
        <v>359.1</v>
      </c>
      <c r="V70" s="441">
        <f t="shared" si="65"/>
        <v>359.1</v>
      </c>
      <c r="W70" s="441"/>
    </row>
    <row r="71" spans="1:23" s="16" customFormat="1">
      <c r="A71" s="83" t="s">
        <v>254</v>
      </c>
      <c r="B71" s="440">
        <v>0</v>
      </c>
      <c r="C71" s="441">
        <f>C69*0.335</f>
        <v>180.9</v>
      </c>
      <c r="D71" s="441">
        <f t="shared" ref="D71:V71" si="66">D69*0.335</f>
        <v>180.9</v>
      </c>
      <c r="E71" s="441">
        <f t="shared" si="66"/>
        <v>180.9</v>
      </c>
      <c r="F71" s="441">
        <f t="shared" si="66"/>
        <v>180.9</v>
      </c>
      <c r="G71" s="441">
        <f t="shared" si="66"/>
        <v>180.9</v>
      </c>
      <c r="H71" s="441">
        <f t="shared" si="66"/>
        <v>180.9</v>
      </c>
      <c r="I71" s="441">
        <f t="shared" si="66"/>
        <v>180.9</v>
      </c>
      <c r="J71" s="441">
        <f t="shared" si="66"/>
        <v>180.9</v>
      </c>
      <c r="K71" s="441">
        <f t="shared" si="66"/>
        <v>180.9</v>
      </c>
      <c r="L71" s="441">
        <f t="shared" si="66"/>
        <v>180.9</v>
      </c>
      <c r="M71" s="441">
        <f t="shared" si="66"/>
        <v>180.9</v>
      </c>
      <c r="N71" s="441">
        <f t="shared" si="66"/>
        <v>180.9</v>
      </c>
      <c r="O71" s="441">
        <f t="shared" si="66"/>
        <v>180.9</v>
      </c>
      <c r="P71" s="441">
        <f t="shared" si="66"/>
        <v>180.9</v>
      </c>
      <c r="Q71" s="441">
        <f t="shared" si="66"/>
        <v>180.9</v>
      </c>
      <c r="R71" s="441">
        <f t="shared" si="66"/>
        <v>180.9</v>
      </c>
      <c r="S71" s="441">
        <f t="shared" si="66"/>
        <v>180.9</v>
      </c>
      <c r="T71" s="441">
        <f t="shared" si="66"/>
        <v>180.9</v>
      </c>
      <c r="U71" s="441">
        <f t="shared" si="66"/>
        <v>180.9</v>
      </c>
      <c r="V71" s="441">
        <f t="shared" si="66"/>
        <v>180.9</v>
      </c>
      <c r="W71" s="441"/>
    </row>
    <row r="72" spans="1:23" s="16" customFormat="1">
      <c r="A72" s="83" t="s">
        <v>255</v>
      </c>
      <c r="B72" s="440">
        <v>0</v>
      </c>
      <c r="C72" s="441">
        <f>C71*214</f>
        <v>38712.6</v>
      </c>
      <c r="D72" s="441">
        <f t="shared" ref="D72:V72" si="67">D71*214</f>
        <v>38712.6</v>
      </c>
      <c r="E72" s="441">
        <f t="shared" si="67"/>
        <v>38712.6</v>
      </c>
      <c r="F72" s="441">
        <f t="shared" si="67"/>
        <v>38712.6</v>
      </c>
      <c r="G72" s="441">
        <f t="shared" si="67"/>
        <v>38712.6</v>
      </c>
      <c r="H72" s="441">
        <f t="shared" si="67"/>
        <v>38712.6</v>
      </c>
      <c r="I72" s="441">
        <f t="shared" si="67"/>
        <v>38712.6</v>
      </c>
      <c r="J72" s="441">
        <f t="shared" si="67"/>
        <v>38712.6</v>
      </c>
      <c r="K72" s="441">
        <f t="shared" si="67"/>
        <v>38712.6</v>
      </c>
      <c r="L72" s="441">
        <f t="shared" si="67"/>
        <v>38712.6</v>
      </c>
      <c r="M72" s="441">
        <f t="shared" si="67"/>
        <v>38712.6</v>
      </c>
      <c r="N72" s="441">
        <f t="shared" si="67"/>
        <v>38712.6</v>
      </c>
      <c r="O72" s="441">
        <f t="shared" si="67"/>
        <v>38712.6</v>
      </c>
      <c r="P72" s="441">
        <f t="shared" si="67"/>
        <v>38712.6</v>
      </c>
      <c r="Q72" s="441">
        <f t="shared" si="67"/>
        <v>38712.6</v>
      </c>
      <c r="R72" s="441">
        <f t="shared" si="67"/>
        <v>38712.6</v>
      </c>
      <c r="S72" s="441">
        <f t="shared" si="67"/>
        <v>38712.6</v>
      </c>
      <c r="T72" s="441">
        <f t="shared" si="67"/>
        <v>38712.6</v>
      </c>
      <c r="U72" s="441">
        <f t="shared" si="67"/>
        <v>38712.6</v>
      </c>
      <c r="V72" s="441">
        <f t="shared" si="67"/>
        <v>38712.6</v>
      </c>
      <c r="W72" s="441"/>
    </row>
    <row r="73" spans="1:23" s="16" customFormat="1">
      <c r="A73" s="83" t="s">
        <v>256</v>
      </c>
      <c r="B73" s="440">
        <v>0</v>
      </c>
      <c r="C73" s="358">
        <f>$B$169</f>
        <v>0.24687500000000001</v>
      </c>
      <c r="D73" s="358">
        <f t="shared" ref="D73:V73" si="68">$B$169</f>
        <v>0.24687500000000001</v>
      </c>
      <c r="E73" s="358">
        <f t="shared" si="68"/>
        <v>0.24687500000000001</v>
      </c>
      <c r="F73" s="358">
        <f t="shared" si="68"/>
        <v>0.24687500000000001</v>
      </c>
      <c r="G73" s="358">
        <f t="shared" si="68"/>
        <v>0.24687500000000001</v>
      </c>
      <c r="H73" s="358">
        <f t="shared" si="68"/>
        <v>0.24687500000000001</v>
      </c>
      <c r="I73" s="358">
        <f t="shared" si="68"/>
        <v>0.24687500000000001</v>
      </c>
      <c r="J73" s="358">
        <f t="shared" si="68"/>
        <v>0.24687500000000001</v>
      </c>
      <c r="K73" s="358">
        <f t="shared" si="68"/>
        <v>0.24687500000000001</v>
      </c>
      <c r="L73" s="358">
        <f t="shared" si="68"/>
        <v>0.24687500000000001</v>
      </c>
      <c r="M73" s="358">
        <f t="shared" si="68"/>
        <v>0.24687500000000001</v>
      </c>
      <c r="N73" s="358">
        <f t="shared" si="68"/>
        <v>0.24687500000000001</v>
      </c>
      <c r="O73" s="358">
        <f t="shared" si="68"/>
        <v>0.24687500000000001</v>
      </c>
      <c r="P73" s="358">
        <f t="shared" si="68"/>
        <v>0.24687500000000001</v>
      </c>
      <c r="Q73" s="358">
        <f t="shared" si="68"/>
        <v>0.24687500000000001</v>
      </c>
      <c r="R73" s="358">
        <f t="shared" si="68"/>
        <v>0.24687500000000001</v>
      </c>
      <c r="S73" s="358">
        <f t="shared" si="68"/>
        <v>0.24687500000000001</v>
      </c>
      <c r="T73" s="358">
        <f t="shared" si="68"/>
        <v>0.24687500000000001</v>
      </c>
      <c r="U73" s="358">
        <f t="shared" si="68"/>
        <v>0.24687500000000001</v>
      </c>
      <c r="V73" s="358">
        <f t="shared" si="68"/>
        <v>0.24687500000000001</v>
      </c>
      <c r="W73" s="441"/>
    </row>
    <row r="74" spans="1:23" s="16" customFormat="1">
      <c r="A74" s="83" t="s">
        <v>257</v>
      </c>
      <c r="B74" s="440">
        <v>0</v>
      </c>
      <c r="C74" s="441">
        <f>C73*C72</f>
        <v>9557.1731249999993</v>
      </c>
      <c r="D74" s="441">
        <f t="shared" ref="D74:V74" si="69">D73*D72</f>
        <v>9557.1731249999993</v>
      </c>
      <c r="E74" s="441">
        <f t="shared" si="69"/>
        <v>9557.1731249999993</v>
      </c>
      <c r="F74" s="441">
        <f t="shared" si="69"/>
        <v>9557.1731249999993</v>
      </c>
      <c r="G74" s="441">
        <f t="shared" si="69"/>
        <v>9557.1731249999993</v>
      </c>
      <c r="H74" s="441">
        <f t="shared" si="69"/>
        <v>9557.1731249999993</v>
      </c>
      <c r="I74" s="441">
        <f t="shared" si="69"/>
        <v>9557.1731249999993</v>
      </c>
      <c r="J74" s="441">
        <f t="shared" si="69"/>
        <v>9557.1731249999993</v>
      </c>
      <c r="K74" s="441">
        <f t="shared" si="69"/>
        <v>9557.1731249999993</v>
      </c>
      <c r="L74" s="441">
        <f t="shared" si="69"/>
        <v>9557.1731249999993</v>
      </c>
      <c r="M74" s="441">
        <f t="shared" si="69"/>
        <v>9557.1731249999993</v>
      </c>
      <c r="N74" s="441">
        <f t="shared" si="69"/>
        <v>9557.1731249999993</v>
      </c>
      <c r="O74" s="441">
        <f t="shared" si="69"/>
        <v>9557.1731249999993</v>
      </c>
      <c r="P74" s="441">
        <f t="shared" si="69"/>
        <v>9557.1731249999993</v>
      </c>
      <c r="Q74" s="441">
        <f t="shared" si="69"/>
        <v>9557.1731249999993</v>
      </c>
      <c r="R74" s="441">
        <f t="shared" si="69"/>
        <v>9557.1731249999993</v>
      </c>
      <c r="S74" s="441">
        <f t="shared" si="69"/>
        <v>9557.1731249999993</v>
      </c>
      <c r="T74" s="441">
        <f t="shared" si="69"/>
        <v>9557.1731249999993</v>
      </c>
      <c r="U74" s="441">
        <f t="shared" si="69"/>
        <v>9557.1731249999993</v>
      </c>
      <c r="V74" s="441">
        <f t="shared" si="69"/>
        <v>9557.1731249999993</v>
      </c>
      <c r="W74" s="441"/>
    </row>
    <row r="75" spans="1:23" s="16" customFormat="1">
      <c r="A75" s="83" t="s">
        <v>277</v>
      </c>
      <c r="B75" s="440">
        <v>0</v>
      </c>
      <c r="C75" s="441">
        <f>C70*214</f>
        <v>76847.400000000009</v>
      </c>
      <c r="D75" s="441">
        <f t="shared" ref="D75:V75" si="70">D70*214</f>
        <v>76847.400000000009</v>
      </c>
      <c r="E75" s="441">
        <f t="shared" si="70"/>
        <v>76847.400000000009</v>
      </c>
      <c r="F75" s="441">
        <f t="shared" si="70"/>
        <v>76847.400000000009</v>
      </c>
      <c r="G75" s="441">
        <f t="shared" si="70"/>
        <v>76847.400000000009</v>
      </c>
      <c r="H75" s="441">
        <f t="shared" si="70"/>
        <v>76847.400000000009</v>
      </c>
      <c r="I75" s="441">
        <f t="shared" si="70"/>
        <v>76847.400000000009</v>
      </c>
      <c r="J75" s="441">
        <f t="shared" si="70"/>
        <v>76847.400000000009</v>
      </c>
      <c r="K75" s="441">
        <f t="shared" si="70"/>
        <v>76847.400000000009</v>
      </c>
      <c r="L75" s="441">
        <f t="shared" si="70"/>
        <v>76847.400000000009</v>
      </c>
      <c r="M75" s="441">
        <f t="shared" si="70"/>
        <v>76847.400000000009</v>
      </c>
      <c r="N75" s="441">
        <f t="shared" si="70"/>
        <v>76847.400000000009</v>
      </c>
      <c r="O75" s="441">
        <f t="shared" si="70"/>
        <v>76847.400000000009</v>
      </c>
      <c r="P75" s="441">
        <f t="shared" si="70"/>
        <v>76847.400000000009</v>
      </c>
      <c r="Q75" s="441">
        <f t="shared" si="70"/>
        <v>76847.400000000009</v>
      </c>
      <c r="R75" s="441">
        <f t="shared" si="70"/>
        <v>76847.400000000009</v>
      </c>
      <c r="S75" s="441">
        <f t="shared" si="70"/>
        <v>76847.400000000009</v>
      </c>
      <c r="T75" s="441">
        <f t="shared" si="70"/>
        <v>76847.400000000009</v>
      </c>
      <c r="U75" s="441">
        <f t="shared" si="70"/>
        <v>76847.400000000009</v>
      </c>
      <c r="V75" s="441">
        <f t="shared" si="70"/>
        <v>76847.400000000009</v>
      </c>
      <c r="W75" s="441"/>
    </row>
    <row r="76" spans="1:23" s="16" customFormat="1">
      <c r="A76" s="83" t="s">
        <v>275</v>
      </c>
      <c r="B76" s="440">
        <v>0</v>
      </c>
      <c r="C76" s="358">
        <f>$B$167</f>
        <v>0.16458333333333333</v>
      </c>
      <c r="D76" s="358">
        <f t="shared" ref="D76:V76" si="71">$B$167</f>
        <v>0.16458333333333333</v>
      </c>
      <c r="E76" s="358">
        <f t="shared" si="71"/>
        <v>0.16458333333333333</v>
      </c>
      <c r="F76" s="358">
        <f t="shared" si="71"/>
        <v>0.16458333333333333</v>
      </c>
      <c r="G76" s="358">
        <f t="shared" si="71"/>
        <v>0.16458333333333333</v>
      </c>
      <c r="H76" s="358">
        <f t="shared" si="71"/>
        <v>0.16458333333333333</v>
      </c>
      <c r="I76" s="358">
        <f t="shared" si="71"/>
        <v>0.16458333333333333</v>
      </c>
      <c r="J76" s="358">
        <f t="shared" si="71"/>
        <v>0.16458333333333333</v>
      </c>
      <c r="K76" s="358">
        <f t="shared" si="71"/>
        <v>0.16458333333333333</v>
      </c>
      <c r="L76" s="358">
        <f t="shared" si="71"/>
        <v>0.16458333333333333</v>
      </c>
      <c r="M76" s="358">
        <f t="shared" si="71"/>
        <v>0.16458333333333333</v>
      </c>
      <c r="N76" s="358">
        <f t="shared" si="71"/>
        <v>0.16458333333333333</v>
      </c>
      <c r="O76" s="358">
        <f t="shared" si="71"/>
        <v>0.16458333333333333</v>
      </c>
      <c r="P76" s="358">
        <f t="shared" si="71"/>
        <v>0.16458333333333333</v>
      </c>
      <c r="Q76" s="358">
        <f t="shared" si="71"/>
        <v>0.16458333333333333</v>
      </c>
      <c r="R76" s="358">
        <f t="shared" si="71"/>
        <v>0.16458333333333333</v>
      </c>
      <c r="S76" s="358">
        <f t="shared" si="71"/>
        <v>0.16458333333333333</v>
      </c>
      <c r="T76" s="358">
        <f t="shared" si="71"/>
        <v>0.16458333333333333</v>
      </c>
      <c r="U76" s="358">
        <f t="shared" si="71"/>
        <v>0.16458333333333333</v>
      </c>
      <c r="V76" s="358">
        <f t="shared" si="71"/>
        <v>0.16458333333333333</v>
      </c>
      <c r="W76" s="441"/>
    </row>
    <row r="77" spans="1:23" s="16" customFormat="1">
      <c r="A77" s="83" t="s">
        <v>276</v>
      </c>
      <c r="B77" s="440">
        <v>0</v>
      </c>
      <c r="C77" s="441">
        <f>C76*C75</f>
        <v>12647.80125</v>
      </c>
      <c r="D77" s="441">
        <f t="shared" ref="D77:V77" si="72">D76*D75</f>
        <v>12647.80125</v>
      </c>
      <c r="E77" s="441">
        <f t="shared" si="72"/>
        <v>12647.80125</v>
      </c>
      <c r="F77" s="441">
        <f t="shared" si="72"/>
        <v>12647.80125</v>
      </c>
      <c r="G77" s="441">
        <f t="shared" si="72"/>
        <v>12647.80125</v>
      </c>
      <c r="H77" s="441">
        <f t="shared" si="72"/>
        <v>12647.80125</v>
      </c>
      <c r="I77" s="441">
        <f t="shared" si="72"/>
        <v>12647.80125</v>
      </c>
      <c r="J77" s="441">
        <f t="shared" si="72"/>
        <v>12647.80125</v>
      </c>
      <c r="K77" s="441">
        <f t="shared" si="72"/>
        <v>12647.80125</v>
      </c>
      <c r="L77" s="441">
        <f t="shared" si="72"/>
        <v>12647.80125</v>
      </c>
      <c r="M77" s="441">
        <f t="shared" si="72"/>
        <v>12647.80125</v>
      </c>
      <c r="N77" s="441">
        <f t="shared" si="72"/>
        <v>12647.80125</v>
      </c>
      <c r="O77" s="441">
        <f t="shared" si="72"/>
        <v>12647.80125</v>
      </c>
      <c r="P77" s="441">
        <f t="shared" si="72"/>
        <v>12647.80125</v>
      </c>
      <c r="Q77" s="441">
        <f t="shared" si="72"/>
        <v>12647.80125</v>
      </c>
      <c r="R77" s="441">
        <f t="shared" si="72"/>
        <v>12647.80125</v>
      </c>
      <c r="S77" s="441">
        <f t="shared" si="72"/>
        <v>12647.80125</v>
      </c>
      <c r="T77" s="441">
        <f t="shared" si="72"/>
        <v>12647.80125</v>
      </c>
      <c r="U77" s="441">
        <f t="shared" si="72"/>
        <v>12647.80125</v>
      </c>
      <c r="V77" s="441">
        <f t="shared" si="72"/>
        <v>12647.80125</v>
      </c>
      <c r="W77" s="441"/>
    </row>
    <row r="78" spans="1:23" s="16" customFormat="1">
      <c r="A78" s="566">
        <v>45</v>
      </c>
      <c r="B78" s="440">
        <v>0</v>
      </c>
      <c r="C78" s="441">
        <v>12</v>
      </c>
      <c r="D78" s="441">
        <v>12</v>
      </c>
      <c r="E78" s="441">
        <v>12</v>
      </c>
      <c r="F78" s="441">
        <v>12</v>
      </c>
      <c r="G78" s="441">
        <v>12</v>
      </c>
      <c r="H78" s="441">
        <v>12</v>
      </c>
      <c r="I78" s="441">
        <v>12</v>
      </c>
      <c r="J78" s="441">
        <v>12</v>
      </c>
      <c r="K78" s="441">
        <v>12</v>
      </c>
      <c r="L78" s="441">
        <v>12</v>
      </c>
      <c r="M78" s="441">
        <v>12</v>
      </c>
      <c r="N78" s="441">
        <v>12</v>
      </c>
      <c r="O78" s="441">
        <v>12</v>
      </c>
      <c r="P78" s="441">
        <v>12</v>
      </c>
      <c r="Q78" s="441">
        <v>12</v>
      </c>
      <c r="R78" s="441">
        <v>12</v>
      </c>
      <c r="S78" s="441">
        <v>12</v>
      </c>
      <c r="T78" s="441">
        <v>12</v>
      </c>
      <c r="U78" s="441">
        <v>12</v>
      </c>
      <c r="V78" s="441">
        <v>12</v>
      </c>
      <c r="W78" s="18"/>
    </row>
    <row r="79" spans="1:23" s="16" customFormat="1">
      <c r="A79" s="567">
        <v>55</v>
      </c>
      <c r="B79" s="440">
        <v>0</v>
      </c>
      <c r="C79" s="441">
        <v>0</v>
      </c>
      <c r="D79" s="441">
        <v>0</v>
      </c>
      <c r="E79" s="441">
        <v>0</v>
      </c>
      <c r="F79" s="441">
        <v>0</v>
      </c>
      <c r="G79" s="441">
        <v>0</v>
      </c>
      <c r="H79" s="441">
        <v>0</v>
      </c>
      <c r="I79" s="441">
        <v>0</v>
      </c>
      <c r="J79" s="441">
        <v>0</v>
      </c>
      <c r="K79" s="441">
        <v>0</v>
      </c>
      <c r="L79" s="441">
        <v>0</v>
      </c>
      <c r="M79" s="441">
        <v>0</v>
      </c>
      <c r="N79" s="441">
        <v>0</v>
      </c>
      <c r="O79" s="441">
        <v>0</v>
      </c>
      <c r="P79" s="441">
        <v>0</v>
      </c>
      <c r="Q79" s="441">
        <v>0</v>
      </c>
      <c r="R79" s="441">
        <v>0</v>
      </c>
      <c r="S79" s="441">
        <v>0</v>
      </c>
      <c r="T79" s="441">
        <v>0</v>
      </c>
      <c r="U79" s="441">
        <v>0</v>
      </c>
      <c r="V79" s="441">
        <v>0</v>
      </c>
      <c r="W79" s="18"/>
    </row>
    <row r="80" spans="1:23">
      <c r="A80" s="567">
        <v>65</v>
      </c>
      <c r="B80" s="440">
        <v>0</v>
      </c>
      <c r="C80" s="441">
        <v>0</v>
      </c>
      <c r="D80" s="441">
        <v>0</v>
      </c>
      <c r="E80" s="441">
        <v>0</v>
      </c>
      <c r="F80" s="441">
        <v>0</v>
      </c>
      <c r="G80" s="441">
        <v>0</v>
      </c>
      <c r="H80" s="441">
        <v>0</v>
      </c>
      <c r="I80" s="441">
        <v>0</v>
      </c>
      <c r="J80" s="441">
        <v>0</v>
      </c>
      <c r="K80" s="441">
        <v>0</v>
      </c>
      <c r="L80" s="441">
        <v>0</v>
      </c>
      <c r="M80" s="441">
        <v>0</v>
      </c>
      <c r="N80" s="441">
        <v>0</v>
      </c>
      <c r="O80" s="441">
        <v>0</v>
      </c>
      <c r="P80" s="441">
        <v>0</v>
      </c>
      <c r="Q80" s="441">
        <v>0</v>
      </c>
      <c r="R80" s="441">
        <v>0</v>
      </c>
      <c r="S80" s="441">
        <v>0</v>
      </c>
      <c r="T80" s="441">
        <v>0</v>
      </c>
      <c r="U80" s="441">
        <v>0</v>
      </c>
      <c r="V80" s="441">
        <v>0</v>
      </c>
    </row>
    <row r="81" spans="1:23">
      <c r="A81" s="567">
        <v>80</v>
      </c>
      <c r="B81" s="440">
        <v>0</v>
      </c>
      <c r="C81" s="441">
        <v>0</v>
      </c>
      <c r="D81" s="441">
        <v>0</v>
      </c>
      <c r="E81" s="441">
        <v>0</v>
      </c>
      <c r="F81" s="441">
        <v>0</v>
      </c>
      <c r="G81" s="441">
        <v>0</v>
      </c>
      <c r="H81" s="441">
        <v>0</v>
      </c>
      <c r="I81" s="441">
        <v>0</v>
      </c>
      <c r="J81" s="441">
        <v>0</v>
      </c>
      <c r="K81" s="441">
        <v>0</v>
      </c>
      <c r="L81" s="441">
        <v>0</v>
      </c>
      <c r="M81" s="441">
        <v>0</v>
      </c>
      <c r="N81" s="441">
        <v>0</v>
      </c>
      <c r="O81" s="441">
        <v>0</v>
      </c>
      <c r="P81" s="441">
        <v>0</v>
      </c>
      <c r="Q81" s="441">
        <v>0</v>
      </c>
      <c r="R81" s="441">
        <v>0</v>
      </c>
      <c r="S81" s="441">
        <v>0</v>
      </c>
      <c r="T81" s="441">
        <v>0</v>
      </c>
      <c r="U81" s="441">
        <v>0</v>
      </c>
      <c r="V81" s="441">
        <v>0</v>
      </c>
    </row>
    <row r="82" spans="1:23">
      <c r="A82"/>
      <c r="B82" s="448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</row>
    <row r="83" spans="1:23">
      <c r="A83" s="475" t="s">
        <v>351</v>
      </c>
      <c r="B83" s="480"/>
      <c r="C83" s="480"/>
      <c r="D83" s="480"/>
      <c r="E83" s="268"/>
      <c r="F83" s="268"/>
      <c r="G83" s="268"/>
      <c r="H83" s="268"/>
      <c r="I83" s="268"/>
      <c r="J83" s="268"/>
      <c r="K83" s="268"/>
      <c r="L83" s="268"/>
      <c r="M83" s="268"/>
      <c r="N83" s="268"/>
      <c r="O83" s="268"/>
      <c r="P83" s="268"/>
      <c r="Q83" s="268"/>
      <c r="R83" s="268"/>
      <c r="S83" s="268"/>
      <c r="T83" s="268"/>
      <c r="U83" s="268"/>
      <c r="V83" s="268"/>
    </row>
    <row r="84" spans="1:23">
      <c r="A84" s="481"/>
      <c r="B84" s="374"/>
      <c r="C84" s="482"/>
      <c r="D84" s="482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</row>
    <row r="85" spans="1:23">
      <c r="A85" s="85" t="s">
        <v>237</v>
      </c>
      <c r="B85" s="711">
        <v>0</v>
      </c>
      <c r="C85" s="419">
        <f t="shared" ref="C85:G85" si="73">SUM(C96:C99)</f>
        <v>42</v>
      </c>
      <c r="D85" s="419">
        <f t="shared" si="73"/>
        <v>42</v>
      </c>
      <c r="E85" s="419">
        <f t="shared" si="73"/>
        <v>42</v>
      </c>
      <c r="F85" s="419">
        <f t="shared" si="73"/>
        <v>42</v>
      </c>
      <c r="G85" s="419">
        <f t="shared" si="73"/>
        <v>42</v>
      </c>
      <c r="H85" s="419">
        <f t="shared" ref="H85:V85" si="74">SUM(H96:H99)</f>
        <v>42</v>
      </c>
      <c r="I85" s="419">
        <f t="shared" si="74"/>
        <v>42</v>
      </c>
      <c r="J85" s="419">
        <f t="shared" si="74"/>
        <v>42</v>
      </c>
      <c r="K85" s="419">
        <f t="shared" si="74"/>
        <v>42</v>
      </c>
      <c r="L85" s="419">
        <f t="shared" si="74"/>
        <v>42</v>
      </c>
      <c r="M85" s="419">
        <f t="shared" si="74"/>
        <v>42</v>
      </c>
      <c r="N85" s="419">
        <f t="shared" si="74"/>
        <v>42</v>
      </c>
      <c r="O85" s="419">
        <f t="shared" si="74"/>
        <v>42</v>
      </c>
      <c r="P85" s="419">
        <f t="shared" si="74"/>
        <v>42</v>
      </c>
      <c r="Q85" s="419">
        <f t="shared" si="74"/>
        <v>42</v>
      </c>
      <c r="R85" s="419">
        <f t="shared" si="74"/>
        <v>42</v>
      </c>
      <c r="S85" s="419">
        <f t="shared" si="74"/>
        <v>42</v>
      </c>
      <c r="T85" s="419">
        <f t="shared" si="74"/>
        <v>42</v>
      </c>
      <c r="U85" s="419">
        <f t="shared" si="74"/>
        <v>42</v>
      </c>
      <c r="V85" s="419">
        <f t="shared" si="74"/>
        <v>42</v>
      </c>
    </row>
    <row r="86" spans="1:23">
      <c r="A86" s="85" t="s">
        <v>273</v>
      </c>
      <c r="B86" s="711">
        <v>0</v>
      </c>
      <c r="C86" s="419">
        <f t="shared" ref="C86:G86" si="75">SUM(C92,C95)</f>
        <v>91287.116875000007</v>
      </c>
      <c r="D86" s="419">
        <f t="shared" si="75"/>
        <v>91287.116875000007</v>
      </c>
      <c r="E86" s="419">
        <f t="shared" si="75"/>
        <v>91287.116875000007</v>
      </c>
      <c r="F86" s="419">
        <f t="shared" si="75"/>
        <v>91287.116875000007</v>
      </c>
      <c r="G86" s="419">
        <f t="shared" si="75"/>
        <v>91287.116875000007</v>
      </c>
      <c r="H86" s="419">
        <f t="shared" ref="H86:V86" si="76">SUM(H92,H95)</f>
        <v>91287.116875000007</v>
      </c>
      <c r="I86" s="419">
        <f t="shared" si="76"/>
        <v>91287.116875000007</v>
      </c>
      <c r="J86" s="419">
        <f t="shared" si="76"/>
        <v>91287.116875000007</v>
      </c>
      <c r="K86" s="419">
        <f t="shared" si="76"/>
        <v>91287.116875000007</v>
      </c>
      <c r="L86" s="419">
        <f t="shared" si="76"/>
        <v>91287.116875000007</v>
      </c>
      <c r="M86" s="419">
        <f t="shared" si="76"/>
        <v>91287.116875000007</v>
      </c>
      <c r="N86" s="419">
        <f t="shared" si="76"/>
        <v>91287.116875000007</v>
      </c>
      <c r="O86" s="419">
        <f t="shared" si="76"/>
        <v>91287.116875000007</v>
      </c>
      <c r="P86" s="419">
        <f t="shared" si="76"/>
        <v>91287.116875000007</v>
      </c>
      <c r="Q86" s="419">
        <f t="shared" si="76"/>
        <v>91287.116875000007</v>
      </c>
      <c r="R86" s="419">
        <f t="shared" si="76"/>
        <v>91287.116875000007</v>
      </c>
      <c r="S86" s="419">
        <f t="shared" si="76"/>
        <v>91287.116875000007</v>
      </c>
      <c r="T86" s="419">
        <f t="shared" si="76"/>
        <v>91287.116875000007</v>
      </c>
      <c r="U86" s="419">
        <f t="shared" si="76"/>
        <v>91287.116875000007</v>
      </c>
      <c r="V86" s="419">
        <f t="shared" si="76"/>
        <v>91287.116875000007</v>
      </c>
    </row>
    <row r="87" spans="1:23" s="16" customFormat="1">
      <c r="A87" s="83" t="s">
        <v>251</v>
      </c>
      <c r="B87" s="440">
        <v>0</v>
      </c>
      <c r="C87" s="441">
        <f t="shared" ref="C87:G87" si="77">(C96*$A$42)+(C97*$A$43)+(C98*$A$44)+(C99*$A$45)</f>
        <v>2220</v>
      </c>
      <c r="D87" s="441">
        <f t="shared" si="77"/>
        <v>2220</v>
      </c>
      <c r="E87" s="441">
        <f t="shared" si="77"/>
        <v>2220</v>
      </c>
      <c r="F87" s="441">
        <f t="shared" si="77"/>
        <v>2220</v>
      </c>
      <c r="G87" s="441">
        <f t="shared" si="77"/>
        <v>2220</v>
      </c>
      <c r="H87" s="441">
        <f t="shared" ref="H87:V87" si="78">(H96*$A$42)+(H97*$A$43)+(H98*$A$44)+(H99*$A$45)</f>
        <v>2220</v>
      </c>
      <c r="I87" s="441">
        <f t="shared" si="78"/>
        <v>2220</v>
      </c>
      <c r="J87" s="441">
        <f t="shared" si="78"/>
        <v>2220</v>
      </c>
      <c r="K87" s="441">
        <f t="shared" si="78"/>
        <v>2220</v>
      </c>
      <c r="L87" s="441">
        <f t="shared" si="78"/>
        <v>2220</v>
      </c>
      <c r="M87" s="441">
        <f t="shared" si="78"/>
        <v>2220</v>
      </c>
      <c r="N87" s="441">
        <f t="shared" si="78"/>
        <v>2220</v>
      </c>
      <c r="O87" s="441">
        <f t="shared" si="78"/>
        <v>2220</v>
      </c>
      <c r="P87" s="441">
        <f t="shared" si="78"/>
        <v>2220</v>
      </c>
      <c r="Q87" s="441">
        <f t="shared" si="78"/>
        <v>2220</v>
      </c>
      <c r="R87" s="441">
        <f t="shared" si="78"/>
        <v>2220</v>
      </c>
      <c r="S87" s="441">
        <f t="shared" si="78"/>
        <v>2220</v>
      </c>
      <c r="T87" s="441">
        <f t="shared" si="78"/>
        <v>2220</v>
      </c>
      <c r="U87" s="441">
        <f t="shared" si="78"/>
        <v>2220</v>
      </c>
      <c r="V87" s="441">
        <f t="shared" si="78"/>
        <v>2220</v>
      </c>
      <c r="W87" s="441"/>
    </row>
    <row r="88" spans="1:23" s="16" customFormat="1">
      <c r="A88" s="83" t="s">
        <v>253</v>
      </c>
      <c r="B88" s="440">
        <v>0</v>
      </c>
      <c r="C88" s="441">
        <f t="shared" ref="C88:G88" si="79">C87*0.665</f>
        <v>1476.3000000000002</v>
      </c>
      <c r="D88" s="441">
        <f t="shared" si="79"/>
        <v>1476.3000000000002</v>
      </c>
      <c r="E88" s="441">
        <f t="shared" si="79"/>
        <v>1476.3000000000002</v>
      </c>
      <c r="F88" s="441">
        <f t="shared" si="79"/>
        <v>1476.3000000000002</v>
      </c>
      <c r="G88" s="441">
        <f t="shared" si="79"/>
        <v>1476.3000000000002</v>
      </c>
      <c r="H88" s="441">
        <f t="shared" ref="H88:V88" si="80">H87*0.665</f>
        <v>1476.3000000000002</v>
      </c>
      <c r="I88" s="441">
        <f t="shared" si="80"/>
        <v>1476.3000000000002</v>
      </c>
      <c r="J88" s="441">
        <f t="shared" si="80"/>
        <v>1476.3000000000002</v>
      </c>
      <c r="K88" s="441">
        <f t="shared" si="80"/>
        <v>1476.3000000000002</v>
      </c>
      <c r="L88" s="441">
        <f t="shared" si="80"/>
        <v>1476.3000000000002</v>
      </c>
      <c r="M88" s="441">
        <f t="shared" si="80"/>
        <v>1476.3000000000002</v>
      </c>
      <c r="N88" s="441">
        <f t="shared" si="80"/>
        <v>1476.3000000000002</v>
      </c>
      <c r="O88" s="441">
        <f t="shared" si="80"/>
        <v>1476.3000000000002</v>
      </c>
      <c r="P88" s="441">
        <f t="shared" si="80"/>
        <v>1476.3000000000002</v>
      </c>
      <c r="Q88" s="441">
        <f t="shared" si="80"/>
        <v>1476.3000000000002</v>
      </c>
      <c r="R88" s="441">
        <f t="shared" si="80"/>
        <v>1476.3000000000002</v>
      </c>
      <c r="S88" s="441">
        <f t="shared" si="80"/>
        <v>1476.3000000000002</v>
      </c>
      <c r="T88" s="441">
        <f t="shared" si="80"/>
        <v>1476.3000000000002</v>
      </c>
      <c r="U88" s="441">
        <f t="shared" si="80"/>
        <v>1476.3000000000002</v>
      </c>
      <c r="V88" s="441">
        <f t="shared" si="80"/>
        <v>1476.3000000000002</v>
      </c>
      <c r="W88" s="441"/>
    </row>
    <row r="89" spans="1:23" s="16" customFormat="1">
      <c r="A89" s="83" t="s">
        <v>254</v>
      </c>
      <c r="B89" s="440">
        <v>0</v>
      </c>
      <c r="C89" s="441">
        <f t="shared" ref="C89:G89" si="81">C87*0.335</f>
        <v>743.7</v>
      </c>
      <c r="D89" s="441">
        <f t="shared" si="81"/>
        <v>743.7</v>
      </c>
      <c r="E89" s="441">
        <f t="shared" si="81"/>
        <v>743.7</v>
      </c>
      <c r="F89" s="441">
        <f t="shared" si="81"/>
        <v>743.7</v>
      </c>
      <c r="G89" s="441">
        <f t="shared" si="81"/>
        <v>743.7</v>
      </c>
      <c r="H89" s="441">
        <f t="shared" ref="H89:V89" si="82">H87*0.335</f>
        <v>743.7</v>
      </c>
      <c r="I89" s="441">
        <f t="shared" si="82"/>
        <v>743.7</v>
      </c>
      <c r="J89" s="441">
        <f t="shared" si="82"/>
        <v>743.7</v>
      </c>
      <c r="K89" s="441">
        <f t="shared" si="82"/>
        <v>743.7</v>
      </c>
      <c r="L89" s="441">
        <f t="shared" si="82"/>
        <v>743.7</v>
      </c>
      <c r="M89" s="441">
        <f t="shared" si="82"/>
        <v>743.7</v>
      </c>
      <c r="N89" s="441">
        <f t="shared" si="82"/>
        <v>743.7</v>
      </c>
      <c r="O89" s="441">
        <f t="shared" si="82"/>
        <v>743.7</v>
      </c>
      <c r="P89" s="441">
        <f t="shared" si="82"/>
        <v>743.7</v>
      </c>
      <c r="Q89" s="441">
        <f t="shared" si="82"/>
        <v>743.7</v>
      </c>
      <c r="R89" s="441">
        <f t="shared" si="82"/>
        <v>743.7</v>
      </c>
      <c r="S89" s="441">
        <f t="shared" si="82"/>
        <v>743.7</v>
      </c>
      <c r="T89" s="441">
        <f t="shared" si="82"/>
        <v>743.7</v>
      </c>
      <c r="U89" s="441">
        <f t="shared" si="82"/>
        <v>743.7</v>
      </c>
      <c r="V89" s="441">
        <f t="shared" si="82"/>
        <v>743.7</v>
      </c>
      <c r="W89" s="441"/>
    </row>
    <row r="90" spans="1:23" s="16" customFormat="1">
      <c r="A90" s="83" t="s">
        <v>255</v>
      </c>
      <c r="B90" s="440">
        <v>0</v>
      </c>
      <c r="C90" s="441">
        <f t="shared" ref="C90:G90" si="83">C89*214</f>
        <v>159151.80000000002</v>
      </c>
      <c r="D90" s="441">
        <f t="shared" si="83"/>
        <v>159151.80000000002</v>
      </c>
      <c r="E90" s="441">
        <f t="shared" si="83"/>
        <v>159151.80000000002</v>
      </c>
      <c r="F90" s="441">
        <f t="shared" si="83"/>
        <v>159151.80000000002</v>
      </c>
      <c r="G90" s="441">
        <f t="shared" si="83"/>
        <v>159151.80000000002</v>
      </c>
      <c r="H90" s="441">
        <f t="shared" ref="H90:V90" si="84">H89*214</f>
        <v>159151.80000000002</v>
      </c>
      <c r="I90" s="441">
        <f t="shared" si="84"/>
        <v>159151.80000000002</v>
      </c>
      <c r="J90" s="441">
        <f t="shared" si="84"/>
        <v>159151.80000000002</v>
      </c>
      <c r="K90" s="441">
        <f t="shared" si="84"/>
        <v>159151.80000000002</v>
      </c>
      <c r="L90" s="441">
        <f t="shared" si="84"/>
        <v>159151.80000000002</v>
      </c>
      <c r="M90" s="441">
        <f t="shared" si="84"/>
        <v>159151.80000000002</v>
      </c>
      <c r="N90" s="441">
        <f t="shared" si="84"/>
        <v>159151.80000000002</v>
      </c>
      <c r="O90" s="441">
        <f t="shared" si="84"/>
        <v>159151.80000000002</v>
      </c>
      <c r="P90" s="441">
        <f t="shared" si="84"/>
        <v>159151.80000000002</v>
      </c>
      <c r="Q90" s="441">
        <f t="shared" si="84"/>
        <v>159151.80000000002</v>
      </c>
      <c r="R90" s="441">
        <f t="shared" si="84"/>
        <v>159151.80000000002</v>
      </c>
      <c r="S90" s="441">
        <f t="shared" si="84"/>
        <v>159151.80000000002</v>
      </c>
      <c r="T90" s="441">
        <f t="shared" si="84"/>
        <v>159151.80000000002</v>
      </c>
      <c r="U90" s="441">
        <f t="shared" si="84"/>
        <v>159151.80000000002</v>
      </c>
      <c r="V90" s="441">
        <f t="shared" si="84"/>
        <v>159151.80000000002</v>
      </c>
      <c r="W90" s="441"/>
    </row>
    <row r="91" spans="1:23" s="16" customFormat="1">
      <c r="A91" s="83" t="s">
        <v>256</v>
      </c>
      <c r="B91" s="440">
        <v>0</v>
      </c>
      <c r="C91" s="358">
        <f t="shared" ref="C91:V91" si="85">$B$169</f>
        <v>0.24687500000000001</v>
      </c>
      <c r="D91" s="358">
        <f t="shared" si="85"/>
        <v>0.24687500000000001</v>
      </c>
      <c r="E91" s="358">
        <f t="shared" si="85"/>
        <v>0.24687500000000001</v>
      </c>
      <c r="F91" s="358">
        <f t="shared" si="85"/>
        <v>0.24687500000000001</v>
      </c>
      <c r="G91" s="358">
        <f t="shared" si="85"/>
        <v>0.24687500000000001</v>
      </c>
      <c r="H91" s="358">
        <f t="shared" si="85"/>
        <v>0.24687500000000001</v>
      </c>
      <c r="I91" s="358">
        <f t="shared" si="85"/>
        <v>0.24687500000000001</v>
      </c>
      <c r="J91" s="358">
        <f t="shared" si="85"/>
        <v>0.24687500000000001</v>
      </c>
      <c r="K91" s="358">
        <f t="shared" si="85"/>
        <v>0.24687500000000001</v>
      </c>
      <c r="L91" s="358">
        <f t="shared" si="85"/>
        <v>0.24687500000000001</v>
      </c>
      <c r="M91" s="358">
        <f t="shared" si="85"/>
        <v>0.24687500000000001</v>
      </c>
      <c r="N91" s="358">
        <f t="shared" si="85"/>
        <v>0.24687500000000001</v>
      </c>
      <c r="O91" s="358">
        <f t="shared" si="85"/>
        <v>0.24687500000000001</v>
      </c>
      <c r="P91" s="358">
        <f t="shared" si="85"/>
        <v>0.24687500000000001</v>
      </c>
      <c r="Q91" s="358">
        <f t="shared" si="85"/>
        <v>0.24687500000000001</v>
      </c>
      <c r="R91" s="358">
        <f t="shared" si="85"/>
        <v>0.24687500000000001</v>
      </c>
      <c r="S91" s="358">
        <f t="shared" si="85"/>
        <v>0.24687500000000001</v>
      </c>
      <c r="T91" s="358">
        <f t="shared" si="85"/>
        <v>0.24687500000000001</v>
      </c>
      <c r="U91" s="358">
        <f t="shared" si="85"/>
        <v>0.24687500000000001</v>
      </c>
      <c r="V91" s="358">
        <f t="shared" si="85"/>
        <v>0.24687500000000001</v>
      </c>
      <c r="W91" s="441"/>
    </row>
    <row r="92" spans="1:23" s="16" customFormat="1">
      <c r="A92" s="83" t="s">
        <v>257</v>
      </c>
      <c r="B92" s="440">
        <v>0</v>
      </c>
      <c r="C92" s="441">
        <f t="shared" ref="C92:G92" si="86">C91*C90</f>
        <v>39290.600625000006</v>
      </c>
      <c r="D92" s="441">
        <f t="shared" si="86"/>
        <v>39290.600625000006</v>
      </c>
      <c r="E92" s="441">
        <f t="shared" si="86"/>
        <v>39290.600625000006</v>
      </c>
      <c r="F92" s="441">
        <f t="shared" si="86"/>
        <v>39290.600625000006</v>
      </c>
      <c r="G92" s="441">
        <f t="shared" si="86"/>
        <v>39290.600625000006</v>
      </c>
      <c r="H92" s="441">
        <f t="shared" ref="H92:V92" si="87">H91*H90</f>
        <v>39290.600625000006</v>
      </c>
      <c r="I92" s="441">
        <f t="shared" si="87"/>
        <v>39290.600625000006</v>
      </c>
      <c r="J92" s="441">
        <f t="shared" si="87"/>
        <v>39290.600625000006</v>
      </c>
      <c r="K92" s="441">
        <f t="shared" si="87"/>
        <v>39290.600625000006</v>
      </c>
      <c r="L92" s="441">
        <f t="shared" si="87"/>
        <v>39290.600625000006</v>
      </c>
      <c r="M92" s="441">
        <f t="shared" si="87"/>
        <v>39290.600625000006</v>
      </c>
      <c r="N92" s="441">
        <f t="shared" si="87"/>
        <v>39290.600625000006</v>
      </c>
      <c r="O92" s="441">
        <f t="shared" si="87"/>
        <v>39290.600625000006</v>
      </c>
      <c r="P92" s="441">
        <f t="shared" si="87"/>
        <v>39290.600625000006</v>
      </c>
      <c r="Q92" s="441">
        <f t="shared" si="87"/>
        <v>39290.600625000006</v>
      </c>
      <c r="R92" s="441">
        <f t="shared" si="87"/>
        <v>39290.600625000006</v>
      </c>
      <c r="S92" s="441">
        <f t="shared" si="87"/>
        <v>39290.600625000006</v>
      </c>
      <c r="T92" s="441">
        <f t="shared" si="87"/>
        <v>39290.600625000006</v>
      </c>
      <c r="U92" s="441">
        <f t="shared" si="87"/>
        <v>39290.600625000006</v>
      </c>
      <c r="V92" s="441">
        <f t="shared" si="87"/>
        <v>39290.600625000006</v>
      </c>
      <c r="W92" s="441"/>
    </row>
    <row r="93" spans="1:23" s="16" customFormat="1">
      <c r="A93" s="83" t="s">
        <v>277</v>
      </c>
      <c r="B93" s="440">
        <v>0</v>
      </c>
      <c r="C93" s="441">
        <f t="shared" ref="C93:G93" si="88">C88*214</f>
        <v>315928.2</v>
      </c>
      <c r="D93" s="441">
        <f t="shared" si="88"/>
        <v>315928.2</v>
      </c>
      <c r="E93" s="441">
        <f t="shared" si="88"/>
        <v>315928.2</v>
      </c>
      <c r="F93" s="441">
        <f t="shared" si="88"/>
        <v>315928.2</v>
      </c>
      <c r="G93" s="441">
        <f t="shared" si="88"/>
        <v>315928.2</v>
      </c>
      <c r="H93" s="441">
        <f t="shared" ref="H93:V93" si="89">H88*214</f>
        <v>315928.2</v>
      </c>
      <c r="I93" s="441">
        <f t="shared" si="89"/>
        <v>315928.2</v>
      </c>
      <c r="J93" s="441">
        <f t="shared" si="89"/>
        <v>315928.2</v>
      </c>
      <c r="K93" s="441">
        <f t="shared" si="89"/>
        <v>315928.2</v>
      </c>
      <c r="L93" s="441">
        <f t="shared" si="89"/>
        <v>315928.2</v>
      </c>
      <c r="M93" s="441">
        <f t="shared" si="89"/>
        <v>315928.2</v>
      </c>
      <c r="N93" s="441">
        <f t="shared" si="89"/>
        <v>315928.2</v>
      </c>
      <c r="O93" s="441">
        <f t="shared" si="89"/>
        <v>315928.2</v>
      </c>
      <c r="P93" s="441">
        <f t="shared" si="89"/>
        <v>315928.2</v>
      </c>
      <c r="Q93" s="441">
        <f t="shared" si="89"/>
        <v>315928.2</v>
      </c>
      <c r="R93" s="441">
        <f t="shared" si="89"/>
        <v>315928.2</v>
      </c>
      <c r="S93" s="441">
        <f t="shared" si="89"/>
        <v>315928.2</v>
      </c>
      <c r="T93" s="441">
        <f t="shared" si="89"/>
        <v>315928.2</v>
      </c>
      <c r="U93" s="441">
        <f t="shared" si="89"/>
        <v>315928.2</v>
      </c>
      <c r="V93" s="441">
        <f t="shared" si="89"/>
        <v>315928.2</v>
      </c>
      <c r="W93" s="441"/>
    </row>
    <row r="94" spans="1:23" s="16" customFormat="1">
      <c r="A94" s="83" t="s">
        <v>275</v>
      </c>
      <c r="B94" s="440">
        <v>0</v>
      </c>
      <c r="C94" s="358">
        <f t="shared" ref="C94:V94" si="90">$B$167</f>
        <v>0.16458333333333333</v>
      </c>
      <c r="D94" s="358">
        <f t="shared" si="90"/>
        <v>0.16458333333333333</v>
      </c>
      <c r="E94" s="358">
        <f t="shared" si="90"/>
        <v>0.16458333333333333</v>
      </c>
      <c r="F94" s="358">
        <f t="shared" si="90"/>
        <v>0.16458333333333333</v>
      </c>
      <c r="G94" s="358">
        <f t="shared" si="90"/>
        <v>0.16458333333333333</v>
      </c>
      <c r="H94" s="358">
        <f t="shared" si="90"/>
        <v>0.16458333333333333</v>
      </c>
      <c r="I94" s="358">
        <f t="shared" si="90"/>
        <v>0.16458333333333333</v>
      </c>
      <c r="J94" s="358">
        <f t="shared" si="90"/>
        <v>0.16458333333333333</v>
      </c>
      <c r="K94" s="358">
        <f t="shared" si="90"/>
        <v>0.16458333333333333</v>
      </c>
      <c r="L94" s="358">
        <f t="shared" si="90"/>
        <v>0.16458333333333333</v>
      </c>
      <c r="M94" s="358">
        <f t="shared" si="90"/>
        <v>0.16458333333333333</v>
      </c>
      <c r="N94" s="358">
        <f t="shared" si="90"/>
        <v>0.16458333333333333</v>
      </c>
      <c r="O94" s="358">
        <f t="shared" si="90"/>
        <v>0.16458333333333333</v>
      </c>
      <c r="P94" s="358">
        <f t="shared" si="90"/>
        <v>0.16458333333333333</v>
      </c>
      <c r="Q94" s="358">
        <f t="shared" si="90"/>
        <v>0.16458333333333333</v>
      </c>
      <c r="R94" s="358">
        <f t="shared" si="90"/>
        <v>0.16458333333333333</v>
      </c>
      <c r="S94" s="358">
        <f t="shared" si="90"/>
        <v>0.16458333333333333</v>
      </c>
      <c r="T94" s="358">
        <f t="shared" si="90"/>
        <v>0.16458333333333333</v>
      </c>
      <c r="U94" s="358">
        <f t="shared" si="90"/>
        <v>0.16458333333333333</v>
      </c>
      <c r="V94" s="358">
        <f t="shared" si="90"/>
        <v>0.16458333333333333</v>
      </c>
      <c r="W94" s="441"/>
    </row>
    <row r="95" spans="1:23" s="16" customFormat="1">
      <c r="A95" s="83" t="s">
        <v>276</v>
      </c>
      <c r="B95" s="440">
        <v>0</v>
      </c>
      <c r="C95" s="441">
        <f t="shared" ref="C95:G95" si="91">C94*C93</f>
        <v>51996.516250000001</v>
      </c>
      <c r="D95" s="441">
        <f t="shared" si="91"/>
        <v>51996.516250000001</v>
      </c>
      <c r="E95" s="441">
        <f t="shared" si="91"/>
        <v>51996.516250000001</v>
      </c>
      <c r="F95" s="441">
        <f t="shared" si="91"/>
        <v>51996.516250000001</v>
      </c>
      <c r="G95" s="441">
        <f t="shared" si="91"/>
        <v>51996.516250000001</v>
      </c>
      <c r="H95" s="441">
        <f t="shared" ref="H95" si="92">H94*H93</f>
        <v>51996.516250000001</v>
      </c>
      <c r="I95" s="441">
        <f t="shared" ref="I95" si="93">I94*I93</f>
        <v>51996.516250000001</v>
      </c>
      <c r="J95" s="441">
        <f t="shared" ref="J95" si="94">J94*J93</f>
        <v>51996.516250000001</v>
      </c>
      <c r="K95" s="441">
        <f t="shared" ref="K95" si="95">K94*K93</f>
        <v>51996.516250000001</v>
      </c>
      <c r="L95" s="441">
        <f t="shared" ref="L95" si="96">L94*L93</f>
        <v>51996.516250000001</v>
      </c>
      <c r="M95" s="441">
        <f t="shared" ref="M95" si="97">M94*M93</f>
        <v>51996.516250000001</v>
      </c>
      <c r="N95" s="441">
        <f t="shared" ref="N95" si="98">N94*N93</f>
        <v>51996.516250000001</v>
      </c>
      <c r="O95" s="441">
        <f t="shared" ref="O95" si="99">O94*O93</f>
        <v>51996.516250000001</v>
      </c>
      <c r="P95" s="441">
        <f t="shared" ref="P95" si="100">P94*P93</f>
        <v>51996.516250000001</v>
      </c>
      <c r="Q95" s="441">
        <f t="shared" ref="Q95" si="101">Q94*Q93</f>
        <v>51996.516250000001</v>
      </c>
      <c r="R95" s="441">
        <f t="shared" ref="R95" si="102">R94*R93</f>
        <v>51996.516250000001</v>
      </c>
      <c r="S95" s="441">
        <f t="shared" ref="S95" si="103">S94*S93</f>
        <v>51996.516250000001</v>
      </c>
      <c r="T95" s="441">
        <f t="shared" ref="T95" si="104">T94*T93</f>
        <v>51996.516250000001</v>
      </c>
      <c r="U95" s="441">
        <f t="shared" ref="U95" si="105">U94*U93</f>
        <v>51996.516250000001</v>
      </c>
      <c r="V95" s="441">
        <f t="shared" ref="V95" si="106">V94*V93</f>
        <v>51996.516250000001</v>
      </c>
      <c r="W95" s="441"/>
    </row>
    <row r="96" spans="1:23" s="16" customFormat="1">
      <c r="A96" s="566">
        <v>45</v>
      </c>
      <c r="B96" s="440">
        <v>0</v>
      </c>
      <c r="C96" s="441">
        <f>'Slips by Length'!$F$12</f>
        <v>22</v>
      </c>
      <c r="D96" s="441">
        <f>'Slips by Length'!$F$12</f>
        <v>22</v>
      </c>
      <c r="E96" s="441">
        <f>'Slips by Length'!$F$12</f>
        <v>22</v>
      </c>
      <c r="F96" s="441">
        <f>'Slips by Length'!$F$12</f>
        <v>22</v>
      </c>
      <c r="G96" s="441">
        <f>'Slips by Length'!$F$12</f>
        <v>22</v>
      </c>
      <c r="H96" s="441">
        <f>'Slips by Length'!$F$12</f>
        <v>22</v>
      </c>
      <c r="I96" s="441">
        <f>'Slips by Length'!$F$12</f>
        <v>22</v>
      </c>
      <c r="J96" s="441">
        <f>'Slips by Length'!$F$12</f>
        <v>22</v>
      </c>
      <c r="K96" s="441">
        <f>'Slips by Length'!$F$12</f>
        <v>22</v>
      </c>
      <c r="L96" s="441">
        <f>'Slips by Length'!$F$12</f>
        <v>22</v>
      </c>
      <c r="M96" s="441">
        <f>'Slips by Length'!$F$12</f>
        <v>22</v>
      </c>
      <c r="N96" s="441">
        <f>'Slips by Length'!$F$12</f>
        <v>22</v>
      </c>
      <c r="O96" s="441">
        <f>'Slips by Length'!$F$12</f>
        <v>22</v>
      </c>
      <c r="P96" s="441">
        <f>'Slips by Length'!$F$12</f>
        <v>22</v>
      </c>
      <c r="Q96" s="441">
        <f>'Slips by Length'!$F$12</f>
        <v>22</v>
      </c>
      <c r="R96" s="441">
        <f>'Slips by Length'!$F$12</f>
        <v>22</v>
      </c>
      <c r="S96" s="441">
        <f>'Slips by Length'!$F$12</f>
        <v>22</v>
      </c>
      <c r="T96" s="441">
        <f>'Slips by Length'!$F$12</f>
        <v>22</v>
      </c>
      <c r="U96" s="441">
        <f>'Slips by Length'!$F$12</f>
        <v>22</v>
      </c>
      <c r="V96" s="441">
        <f>'Slips by Length'!$F$12</f>
        <v>22</v>
      </c>
      <c r="W96" s="18"/>
    </row>
    <row r="97" spans="1:23" s="16" customFormat="1">
      <c r="A97" s="567">
        <v>55</v>
      </c>
      <c r="B97" s="440">
        <v>0</v>
      </c>
      <c r="C97" s="441">
        <f>'Slips by Length'!$F$13</f>
        <v>10</v>
      </c>
      <c r="D97" s="441">
        <f>'Slips by Length'!$F$13</f>
        <v>10</v>
      </c>
      <c r="E97" s="441">
        <f>'Slips by Length'!$F$13</f>
        <v>10</v>
      </c>
      <c r="F97" s="441">
        <f>'Slips by Length'!$F$13</f>
        <v>10</v>
      </c>
      <c r="G97" s="441">
        <f>'Slips by Length'!$F$13</f>
        <v>10</v>
      </c>
      <c r="H97" s="441">
        <f>'Slips by Length'!$F$13</f>
        <v>10</v>
      </c>
      <c r="I97" s="441">
        <f>'Slips by Length'!$F$13</f>
        <v>10</v>
      </c>
      <c r="J97" s="441">
        <f>'Slips by Length'!$F$13</f>
        <v>10</v>
      </c>
      <c r="K97" s="441">
        <f>'Slips by Length'!$F$13</f>
        <v>10</v>
      </c>
      <c r="L97" s="441">
        <f>'Slips by Length'!$F$13</f>
        <v>10</v>
      </c>
      <c r="M97" s="441">
        <f>'Slips by Length'!$F$13</f>
        <v>10</v>
      </c>
      <c r="N97" s="441">
        <f>'Slips by Length'!$F$13</f>
        <v>10</v>
      </c>
      <c r="O97" s="441">
        <f>'Slips by Length'!$F$13</f>
        <v>10</v>
      </c>
      <c r="P97" s="441">
        <f>'Slips by Length'!$F$13</f>
        <v>10</v>
      </c>
      <c r="Q97" s="441">
        <f>'Slips by Length'!$F$13</f>
        <v>10</v>
      </c>
      <c r="R97" s="441">
        <f>'Slips by Length'!$F$13</f>
        <v>10</v>
      </c>
      <c r="S97" s="441">
        <f>'Slips by Length'!$F$13</f>
        <v>10</v>
      </c>
      <c r="T97" s="441">
        <f>'Slips by Length'!$F$13</f>
        <v>10</v>
      </c>
      <c r="U97" s="441">
        <f>'Slips by Length'!$F$13</f>
        <v>10</v>
      </c>
      <c r="V97" s="441">
        <f>'Slips by Length'!$F$13</f>
        <v>10</v>
      </c>
      <c r="W97" s="18"/>
    </row>
    <row r="98" spans="1:23">
      <c r="A98" s="567">
        <v>65</v>
      </c>
      <c r="B98" s="440">
        <v>0</v>
      </c>
      <c r="C98" s="441">
        <f>'Slips by Length'!$F$14</f>
        <v>8</v>
      </c>
      <c r="D98" s="441">
        <f>'Slips by Length'!$F$14</f>
        <v>8</v>
      </c>
      <c r="E98" s="441">
        <f>'Slips by Length'!$F$14</f>
        <v>8</v>
      </c>
      <c r="F98" s="441">
        <f>'Slips by Length'!$F$14</f>
        <v>8</v>
      </c>
      <c r="G98" s="441">
        <f>'Slips by Length'!$F$14</f>
        <v>8</v>
      </c>
      <c r="H98" s="441">
        <f>'Slips by Length'!$F$14</f>
        <v>8</v>
      </c>
      <c r="I98" s="441">
        <f>'Slips by Length'!$F$14</f>
        <v>8</v>
      </c>
      <c r="J98" s="441">
        <f>'Slips by Length'!$F$14</f>
        <v>8</v>
      </c>
      <c r="K98" s="441">
        <f>'Slips by Length'!$F$14</f>
        <v>8</v>
      </c>
      <c r="L98" s="441">
        <f>'Slips by Length'!$F$14</f>
        <v>8</v>
      </c>
      <c r="M98" s="441">
        <f>'Slips by Length'!$F$14</f>
        <v>8</v>
      </c>
      <c r="N98" s="441">
        <f>'Slips by Length'!$F$14</f>
        <v>8</v>
      </c>
      <c r="O98" s="441">
        <f>'Slips by Length'!$F$14</f>
        <v>8</v>
      </c>
      <c r="P98" s="441">
        <f>'Slips by Length'!$F$14</f>
        <v>8</v>
      </c>
      <c r="Q98" s="441">
        <f>'Slips by Length'!$F$14</f>
        <v>8</v>
      </c>
      <c r="R98" s="441">
        <f>'Slips by Length'!$F$14</f>
        <v>8</v>
      </c>
      <c r="S98" s="441">
        <f>'Slips by Length'!$F$14</f>
        <v>8</v>
      </c>
      <c r="T98" s="441">
        <f>'Slips by Length'!$F$14</f>
        <v>8</v>
      </c>
      <c r="U98" s="441">
        <f>'Slips by Length'!$F$14</f>
        <v>8</v>
      </c>
      <c r="V98" s="441">
        <f>'Slips by Length'!$F$14</f>
        <v>8</v>
      </c>
    </row>
    <row r="99" spans="1:23">
      <c r="A99" s="567">
        <v>80</v>
      </c>
      <c r="B99" s="440">
        <v>0</v>
      </c>
      <c r="C99" s="441">
        <f>'Slips by Length'!$F$15</f>
        <v>2</v>
      </c>
      <c r="D99" s="441">
        <f>'Slips by Length'!$F$15</f>
        <v>2</v>
      </c>
      <c r="E99" s="441">
        <f>'Slips by Length'!$F$15</f>
        <v>2</v>
      </c>
      <c r="F99" s="441">
        <f>'Slips by Length'!$F$15</f>
        <v>2</v>
      </c>
      <c r="G99" s="441">
        <f>'Slips by Length'!$F$15</f>
        <v>2</v>
      </c>
      <c r="H99" s="441">
        <f>'Slips by Length'!$F$15</f>
        <v>2</v>
      </c>
      <c r="I99" s="441">
        <f>'Slips by Length'!$F$15</f>
        <v>2</v>
      </c>
      <c r="J99" s="441">
        <f>'Slips by Length'!$F$15</f>
        <v>2</v>
      </c>
      <c r="K99" s="441">
        <f>'Slips by Length'!$F$15</f>
        <v>2</v>
      </c>
      <c r="L99" s="441">
        <f>'Slips by Length'!$F$15</f>
        <v>2</v>
      </c>
      <c r="M99" s="441">
        <f>'Slips by Length'!$F$15</f>
        <v>2</v>
      </c>
      <c r="N99" s="441">
        <f>'Slips by Length'!$F$15</f>
        <v>2</v>
      </c>
      <c r="O99" s="441">
        <f>'Slips by Length'!$F$15</f>
        <v>2</v>
      </c>
      <c r="P99" s="441">
        <f>'Slips by Length'!$F$15</f>
        <v>2</v>
      </c>
      <c r="Q99" s="441">
        <f>'Slips by Length'!$F$15</f>
        <v>2</v>
      </c>
      <c r="R99" s="441">
        <f>'Slips by Length'!$F$15</f>
        <v>2</v>
      </c>
      <c r="S99" s="441">
        <f>'Slips by Length'!$F$15</f>
        <v>2</v>
      </c>
      <c r="T99" s="441">
        <f>'Slips by Length'!$F$15</f>
        <v>2</v>
      </c>
      <c r="U99" s="441">
        <f>'Slips by Length'!$F$15</f>
        <v>2</v>
      </c>
      <c r="V99" s="441">
        <f>'Slips by Length'!$F$15</f>
        <v>2</v>
      </c>
    </row>
    <row r="100" spans="1:23">
      <c r="A100"/>
      <c r="B100" s="565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</row>
    <row r="101" spans="1:23">
      <c r="A101" s="475" t="s">
        <v>355</v>
      </c>
      <c r="B101" s="480"/>
      <c r="C101" s="480"/>
      <c r="D101" s="480"/>
      <c r="E101" s="268"/>
      <c r="F101" s="268"/>
      <c r="G101" s="268"/>
      <c r="H101" s="268"/>
      <c r="I101" s="268"/>
      <c r="J101" s="268"/>
      <c r="K101" s="268"/>
      <c r="L101" s="268"/>
      <c r="M101" s="268"/>
      <c r="N101" s="268"/>
      <c r="O101" s="268"/>
      <c r="P101" s="268"/>
      <c r="Q101" s="268"/>
      <c r="R101" s="268"/>
      <c r="S101" s="268"/>
      <c r="T101" s="268"/>
      <c r="U101" s="268"/>
      <c r="V101" s="268"/>
    </row>
    <row r="102" spans="1:23">
      <c r="A102" s="481"/>
      <c r="B102" s="374"/>
      <c r="C102" s="482"/>
      <c r="D102" s="482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</row>
    <row r="103" spans="1:23">
      <c r="A103" s="85" t="s">
        <v>237</v>
      </c>
      <c r="B103" s="711">
        <v>0</v>
      </c>
      <c r="C103" s="419">
        <f>SUM(C114:C117)</f>
        <v>12</v>
      </c>
      <c r="D103" s="419">
        <f t="shared" ref="D103:V103" si="107">SUM(D114:D117)</f>
        <v>12</v>
      </c>
      <c r="E103" s="419">
        <f t="shared" si="107"/>
        <v>12</v>
      </c>
      <c r="F103" s="419">
        <f t="shared" si="107"/>
        <v>12</v>
      </c>
      <c r="G103" s="419">
        <f t="shared" si="107"/>
        <v>12</v>
      </c>
      <c r="H103" s="419">
        <f t="shared" si="107"/>
        <v>12</v>
      </c>
      <c r="I103" s="419">
        <f t="shared" si="107"/>
        <v>12</v>
      </c>
      <c r="J103" s="419">
        <f t="shared" si="107"/>
        <v>12</v>
      </c>
      <c r="K103" s="419">
        <f t="shared" si="107"/>
        <v>12</v>
      </c>
      <c r="L103" s="419">
        <f t="shared" si="107"/>
        <v>12</v>
      </c>
      <c r="M103" s="419">
        <f t="shared" si="107"/>
        <v>12</v>
      </c>
      <c r="N103" s="419">
        <f t="shared" si="107"/>
        <v>12</v>
      </c>
      <c r="O103" s="419">
        <f t="shared" si="107"/>
        <v>12</v>
      </c>
      <c r="P103" s="419">
        <f t="shared" si="107"/>
        <v>12</v>
      </c>
      <c r="Q103" s="419">
        <f t="shared" si="107"/>
        <v>12</v>
      </c>
      <c r="R103" s="419">
        <f t="shared" si="107"/>
        <v>12</v>
      </c>
      <c r="S103" s="419">
        <f t="shared" si="107"/>
        <v>12</v>
      </c>
      <c r="T103" s="419">
        <f t="shared" si="107"/>
        <v>12</v>
      </c>
      <c r="U103" s="419">
        <f t="shared" si="107"/>
        <v>12</v>
      </c>
      <c r="V103" s="419">
        <f t="shared" si="107"/>
        <v>12</v>
      </c>
    </row>
    <row r="104" spans="1:23">
      <c r="A104" s="85" t="s">
        <v>273</v>
      </c>
      <c r="B104" s="711">
        <v>0</v>
      </c>
      <c r="C104" s="419">
        <f>SUM(C110,C113)</f>
        <v>22204.974374999998</v>
      </c>
      <c r="D104" s="419">
        <f t="shared" ref="D104:V104" si="108">SUM(D110,D113)</f>
        <v>22204.974374999998</v>
      </c>
      <c r="E104" s="419">
        <f t="shared" si="108"/>
        <v>22204.974374999998</v>
      </c>
      <c r="F104" s="419">
        <f t="shared" si="108"/>
        <v>22204.974374999998</v>
      </c>
      <c r="G104" s="419">
        <f t="shared" si="108"/>
        <v>22204.974374999998</v>
      </c>
      <c r="H104" s="419">
        <f t="shared" si="108"/>
        <v>22204.974374999998</v>
      </c>
      <c r="I104" s="419">
        <f t="shared" si="108"/>
        <v>22204.974374999998</v>
      </c>
      <c r="J104" s="419">
        <f t="shared" si="108"/>
        <v>22204.974374999998</v>
      </c>
      <c r="K104" s="419">
        <f t="shared" si="108"/>
        <v>22204.974374999998</v>
      </c>
      <c r="L104" s="419">
        <f t="shared" si="108"/>
        <v>22204.974374999998</v>
      </c>
      <c r="M104" s="419">
        <f t="shared" si="108"/>
        <v>22204.974374999998</v>
      </c>
      <c r="N104" s="419">
        <f t="shared" si="108"/>
        <v>22204.974374999998</v>
      </c>
      <c r="O104" s="419">
        <f t="shared" si="108"/>
        <v>22204.974374999998</v>
      </c>
      <c r="P104" s="419">
        <f t="shared" si="108"/>
        <v>22204.974374999998</v>
      </c>
      <c r="Q104" s="419">
        <f t="shared" si="108"/>
        <v>22204.974374999998</v>
      </c>
      <c r="R104" s="419">
        <f t="shared" si="108"/>
        <v>22204.974374999998</v>
      </c>
      <c r="S104" s="419">
        <f t="shared" si="108"/>
        <v>22204.974374999998</v>
      </c>
      <c r="T104" s="419">
        <f t="shared" si="108"/>
        <v>22204.974374999998</v>
      </c>
      <c r="U104" s="419">
        <f t="shared" si="108"/>
        <v>22204.974374999998</v>
      </c>
      <c r="V104" s="419">
        <f t="shared" si="108"/>
        <v>22204.974374999998</v>
      </c>
    </row>
    <row r="105" spans="1:23" s="16" customFormat="1">
      <c r="A105" s="83" t="s">
        <v>251</v>
      </c>
      <c r="B105" s="440">
        <v>0</v>
      </c>
      <c r="C105" s="441">
        <f>(C114*$A$114)+(C115*$A$114)+(C116*$A$114)+(C117*$A$114)</f>
        <v>540</v>
      </c>
      <c r="D105" s="441">
        <f t="shared" ref="D105:V105" si="109">(D114*$A$114)+(D115*$A$114)+(D116*$A$114)+(D117*$A$114)</f>
        <v>540</v>
      </c>
      <c r="E105" s="441">
        <f t="shared" si="109"/>
        <v>540</v>
      </c>
      <c r="F105" s="441">
        <f t="shared" si="109"/>
        <v>540</v>
      </c>
      <c r="G105" s="441">
        <f t="shared" si="109"/>
        <v>540</v>
      </c>
      <c r="H105" s="441">
        <f t="shared" si="109"/>
        <v>540</v>
      </c>
      <c r="I105" s="441">
        <f t="shared" si="109"/>
        <v>540</v>
      </c>
      <c r="J105" s="441">
        <f t="shared" si="109"/>
        <v>540</v>
      </c>
      <c r="K105" s="441">
        <f t="shared" si="109"/>
        <v>540</v>
      </c>
      <c r="L105" s="441">
        <f t="shared" si="109"/>
        <v>540</v>
      </c>
      <c r="M105" s="441">
        <f t="shared" si="109"/>
        <v>540</v>
      </c>
      <c r="N105" s="441">
        <f t="shared" si="109"/>
        <v>540</v>
      </c>
      <c r="O105" s="441">
        <f t="shared" si="109"/>
        <v>540</v>
      </c>
      <c r="P105" s="441">
        <f t="shared" si="109"/>
        <v>540</v>
      </c>
      <c r="Q105" s="441">
        <f t="shared" si="109"/>
        <v>540</v>
      </c>
      <c r="R105" s="441">
        <f t="shared" si="109"/>
        <v>540</v>
      </c>
      <c r="S105" s="441">
        <f t="shared" si="109"/>
        <v>540</v>
      </c>
      <c r="T105" s="441">
        <f t="shared" si="109"/>
        <v>540</v>
      </c>
      <c r="U105" s="441">
        <f t="shared" si="109"/>
        <v>540</v>
      </c>
      <c r="V105" s="441">
        <f t="shared" si="109"/>
        <v>540</v>
      </c>
      <c r="W105" s="441"/>
    </row>
    <row r="106" spans="1:23" s="16" customFormat="1">
      <c r="A106" s="83" t="s">
        <v>253</v>
      </c>
      <c r="B106" s="440">
        <v>0</v>
      </c>
      <c r="C106" s="441">
        <f>C105*0.665</f>
        <v>359.1</v>
      </c>
      <c r="D106" s="441">
        <f t="shared" ref="D106:V106" si="110">D105*0.665</f>
        <v>359.1</v>
      </c>
      <c r="E106" s="441">
        <f t="shared" si="110"/>
        <v>359.1</v>
      </c>
      <c r="F106" s="441">
        <f t="shared" si="110"/>
        <v>359.1</v>
      </c>
      <c r="G106" s="441">
        <f t="shared" si="110"/>
        <v>359.1</v>
      </c>
      <c r="H106" s="441">
        <f t="shared" si="110"/>
        <v>359.1</v>
      </c>
      <c r="I106" s="441">
        <f t="shared" si="110"/>
        <v>359.1</v>
      </c>
      <c r="J106" s="441">
        <f t="shared" si="110"/>
        <v>359.1</v>
      </c>
      <c r="K106" s="441">
        <f t="shared" si="110"/>
        <v>359.1</v>
      </c>
      <c r="L106" s="441">
        <f t="shared" si="110"/>
        <v>359.1</v>
      </c>
      <c r="M106" s="441">
        <f t="shared" si="110"/>
        <v>359.1</v>
      </c>
      <c r="N106" s="441">
        <f t="shared" si="110"/>
        <v>359.1</v>
      </c>
      <c r="O106" s="441">
        <f t="shared" si="110"/>
        <v>359.1</v>
      </c>
      <c r="P106" s="441">
        <f t="shared" si="110"/>
        <v>359.1</v>
      </c>
      <c r="Q106" s="441">
        <f t="shared" si="110"/>
        <v>359.1</v>
      </c>
      <c r="R106" s="441">
        <f t="shared" si="110"/>
        <v>359.1</v>
      </c>
      <c r="S106" s="441">
        <f t="shared" si="110"/>
        <v>359.1</v>
      </c>
      <c r="T106" s="441">
        <f t="shared" si="110"/>
        <v>359.1</v>
      </c>
      <c r="U106" s="441">
        <f t="shared" si="110"/>
        <v>359.1</v>
      </c>
      <c r="V106" s="441">
        <f t="shared" si="110"/>
        <v>359.1</v>
      </c>
      <c r="W106" s="441"/>
    </row>
    <row r="107" spans="1:23" s="16" customFormat="1">
      <c r="A107" s="83" t="s">
        <v>254</v>
      </c>
      <c r="B107" s="440">
        <v>0</v>
      </c>
      <c r="C107" s="441">
        <f>C105*0.335</f>
        <v>180.9</v>
      </c>
      <c r="D107" s="441">
        <f t="shared" ref="D107:V107" si="111">D105*0.335</f>
        <v>180.9</v>
      </c>
      <c r="E107" s="441">
        <f t="shared" si="111"/>
        <v>180.9</v>
      </c>
      <c r="F107" s="441">
        <f t="shared" si="111"/>
        <v>180.9</v>
      </c>
      <c r="G107" s="441">
        <f t="shared" si="111"/>
        <v>180.9</v>
      </c>
      <c r="H107" s="441">
        <f t="shared" si="111"/>
        <v>180.9</v>
      </c>
      <c r="I107" s="441">
        <f t="shared" si="111"/>
        <v>180.9</v>
      </c>
      <c r="J107" s="441">
        <f t="shared" si="111"/>
        <v>180.9</v>
      </c>
      <c r="K107" s="441">
        <f t="shared" si="111"/>
        <v>180.9</v>
      </c>
      <c r="L107" s="441">
        <f t="shared" si="111"/>
        <v>180.9</v>
      </c>
      <c r="M107" s="441">
        <f t="shared" si="111"/>
        <v>180.9</v>
      </c>
      <c r="N107" s="441">
        <f t="shared" si="111"/>
        <v>180.9</v>
      </c>
      <c r="O107" s="441">
        <f t="shared" si="111"/>
        <v>180.9</v>
      </c>
      <c r="P107" s="441">
        <f t="shared" si="111"/>
        <v>180.9</v>
      </c>
      <c r="Q107" s="441">
        <f t="shared" si="111"/>
        <v>180.9</v>
      </c>
      <c r="R107" s="441">
        <f t="shared" si="111"/>
        <v>180.9</v>
      </c>
      <c r="S107" s="441">
        <f t="shared" si="111"/>
        <v>180.9</v>
      </c>
      <c r="T107" s="441">
        <f t="shared" si="111"/>
        <v>180.9</v>
      </c>
      <c r="U107" s="441">
        <f t="shared" si="111"/>
        <v>180.9</v>
      </c>
      <c r="V107" s="441">
        <f t="shared" si="111"/>
        <v>180.9</v>
      </c>
      <c r="W107" s="441"/>
    </row>
    <row r="108" spans="1:23" s="16" customFormat="1">
      <c r="A108" s="83" t="s">
        <v>255</v>
      </c>
      <c r="B108" s="440">
        <v>0</v>
      </c>
      <c r="C108" s="441">
        <f>C107*214</f>
        <v>38712.6</v>
      </c>
      <c r="D108" s="441">
        <f t="shared" ref="D108:V108" si="112">D107*214</f>
        <v>38712.6</v>
      </c>
      <c r="E108" s="441">
        <f t="shared" si="112"/>
        <v>38712.6</v>
      </c>
      <c r="F108" s="441">
        <f t="shared" si="112"/>
        <v>38712.6</v>
      </c>
      <c r="G108" s="441">
        <f t="shared" si="112"/>
        <v>38712.6</v>
      </c>
      <c r="H108" s="441">
        <f t="shared" si="112"/>
        <v>38712.6</v>
      </c>
      <c r="I108" s="441">
        <f t="shared" si="112"/>
        <v>38712.6</v>
      </c>
      <c r="J108" s="441">
        <f t="shared" si="112"/>
        <v>38712.6</v>
      </c>
      <c r="K108" s="441">
        <f t="shared" si="112"/>
        <v>38712.6</v>
      </c>
      <c r="L108" s="441">
        <f t="shared" si="112"/>
        <v>38712.6</v>
      </c>
      <c r="M108" s="441">
        <f t="shared" si="112"/>
        <v>38712.6</v>
      </c>
      <c r="N108" s="441">
        <f t="shared" si="112"/>
        <v>38712.6</v>
      </c>
      <c r="O108" s="441">
        <f t="shared" si="112"/>
        <v>38712.6</v>
      </c>
      <c r="P108" s="441">
        <f t="shared" si="112"/>
        <v>38712.6</v>
      </c>
      <c r="Q108" s="441">
        <f t="shared" si="112"/>
        <v>38712.6</v>
      </c>
      <c r="R108" s="441">
        <f t="shared" si="112"/>
        <v>38712.6</v>
      </c>
      <c r="S108" s="441">
        <f t="shared" si="112"/>
        <v>38712.6</v>
      </c>
      <c r="T108" s="441">
        <f t="shared" si="112"/>
        <v>38712.6</v>
      </c>
      <c r="U108" s="441">
        <f t="shared" si="112"/>
        <v>38712.6</v>
      </c>
      <c r="V108" s="441">
        <f t="shared" si="112"/>
        <v>38712.6</v>
      </c>
      <c r="W108" s="441"/>
    </row>
    <row r="109" spans="1:23" s="16" customFormat="1">
      <c r="A109" s="83" t="s">
        <v>256</v>
      </c>
      <c r="B109" s="440">
        <v>0</v>
      </c>
      <c r="C109" s="358">
        <f>$B$169</f>
        <v>0.24687500000000001</v>
      </c>
      <c r="D109" s="358">
        <f t="shared" ref="D109:V109" si="113">$B$169</f>
        <v>0.24687500000000001</v>
      </c>
      <c r="E109" s="358">
        <f t="shared" si="113"/>
        <v>0.24687500000000001</v>
      </c>
      <c r="F109" s="358">
        <f t="shared" si="113"/>
        <v>0.24687500000000001</v>
      </c>
      <c r="G109" s="358">
        <f t="shared" si="113"/>
        <v>0.24687500000000001</v>
      </c>
      <c r="H109" s="358">
        <f t="shared" si="113"/>
        <v>0.24687500000000001</v>
      </c>
      <c r="I109" s="358">
        <f t="shared" si="113"/>
        <v>0.24687500000000001</v>
      </c>
      <c r="J109" s="358">
        <f t="shared" si="113"/>
        <v>0.24687500000000001</v>
      </c>
      <c r="K109" s="358">
        <f t="shared" si="113"/>
        <v>0.24687500000000001</v>
      </c>
      <c r="L109" s="358">
        <f t="shared" si="113"/>
        <v>0.24687500000000001</v>
      </c>
      <c r="M109" s="358">
        <f t="shared" si="113"/>
        <v>0.24687500000000001</v>
      </c>
      <c r="N109" s="358">
        <f t="shared" si="113"/>
        <v>0.24687500000000001</v>
      </c>
      <c r="O109" s="358">
        <f t="shared" si="113"/>
        <v>0.24687500000000001</v>
      </c>
      <c r="P109" s="358">
        <f t="shared" si="113"/>
        <v>0.24687500000000001</v>
      </c>
      <c r="Q109" s="358">
        <f t="shared" si="113"/>
        <v>0.24687500000000001</v>
      </c>
      <c r="R109" s="358">
        <f t="shared" si="113"/>
        <v>0.24687500000000001</v>
      </c>
      <c r="S109" s="358">
        <f t="shared" si="113"/>
        <v>0.24687500000000001</v>
      </c>
      <c r="T109" s="358">
        <f t="shared" si="113"/>
        <v>0.24687500000000001</v>
      </c>
      <c r="U109" s="358">
        <f t="shared" si="113"/>
        <v>0.24687500000000001</v>
      </c>
      <c r="V109" s="358">
        <f t="shared" si="113"/>
        <v>0.24687500000000001</v>
      </c>
      <c r="W109" s="441"/>
    </row>
    <row r="110" spans="1:23" s="16" customFormat="1">
      <c r="A110" s="83" t="s">
        <v>257</v>
      </c>
      <c r="B110" s="440">
        <v>0</v>
      </c>
      <c r="C110" s="441">
        <f>C109*C108</f>
        <v>9557.1731249999993</v>
      </c>
      <c r="D110" s="441">
        <f t="shared" ref="D110:V110" si="114">D109*D108</f>
        <v>9557.1731249999993</v>
      </c>
      <c r="E110" s="441">
        <f t="shared" si="114"/>
        <v>9557.1731249999993</v>
      </c>
      <c r="F110" s="441">
        <f t="shared" si="114"/>
        <v>9557.1731249999993</v>
      </c>
      <c r="G110" s="441">
        <f t="shared" si="114"/>
        <v>9557.1731249999993</v>
      </c>
      <c r="H110" s="441">
        <f t="shared" si="114"/>
        <v>9557.1731249999993</v>
      </c>
      <c r="I110" s="441">
        <f t="shared" si="114"/>
        <v>9557.1731249999993</v>
      </c>
      <c r="J110" s="441">
        <f t="shared" si="114"/>
        <v>9557.1731249999993</v>
      </c>
      <c r="K110" s="441">
        <f t="shared" si="114"/>
        <v>9557.1731249999993</v>
      </c>
      <c r="L110" s="441">
        <f t="shared" si="114"/>
        <v>9557.1731249999993</v>
      </c>
      <c r="M110" s="441">
        <f t="shared" si="114"/>
        <v>9557.1731249999993</v>
      </c>
      <c r="N110" s="441">
        <f t="shared" si="114"/>
        <v>9557.1731249999993</v>
      </c>
      <c r="O110" s="441">
        <f t="shared" si="114"/>
        <v>9557.1731249999993</v>
      </c>
      <c r="P110" s="441">
        <f t="shared" si="114"/>
        <v>9557.1731249999993</v>
      </c>
      <c r="Q110" s="441">
        <f t="shared" si="114"/>
        <v>9557.1731249999993</v>
      </c>
      <c r="R110" s="441">
        <f t="shared" si="114"/>
        <v>9557.1731249999993</v>
      </c>
      <c r="S110" s="441">
        <f t="shared" si="114"/>
        <v>9557.1731249999993</v>
      </c>
      <c r="T110" s="441">
        <f t="shared" si="114"/>
        <v>9557.1731249999993</v>
      </c>
      <c r="U110" s="441">
        <f t="shared" si="114"/>
        <v>9557.1731249999993</v>
      </c>
      <c r="V110" s="441">
        <f t="shared" si="114"/>
        <v>9557.1731249999993</v>
      </c>
      <c r="W110" s="441"/>
    </row>
    <row r="111" spans="1:23" s="16" customFormat="1">
      <c r="A111" s="83" t="s">
        <v>277</v>
      </c>
      <c r="B111" s="440">
        <v>0</v>
      </c>
      <c r="C111" s="441">
        <f>C106*214</f>
        <v>76847.400000000009</v>
      </c>
      <c r="D111" s="441">
        <f t="shared" ref="D111:V111" si="115">D106*214</f>
        <v>76847.400000000009</v>
      </c>
      <c r="E111" s="441">
        <f t="shared" si="115"/>
        <v>76847.400000000009</v>
      </c>
      <c r="F111" s="441">
        <f t="shared" si="115"/>
        <v>76847.400000000009</v>
      </c>
      <c r="G111" s="441">
        <f t="shared" si="115"/>
        <v>76847.400000000009</v>
      </c>
      <c r="H111" s="441">
        <f t="shared" si="115"/>
        <v>76847.400000000009</v>
      </c>
      <c r="I111" s="441">
        <f t="shared" si="115"/>
        <v>76847.400000000009</v>
      </c>
      <c r="J111" s="441">
        <f t="shared" si="115"/>
        <v>76847.400000000009</v>
      </c>
      <c r="K111" s="441">
        <f t="shared" si="115"/>
        <v>76847.400000000009</v>
      </c>
      <c r="L111" s="441">
        <f t="shared" si="115"/>
        <v>76847.400000000009</v>
      </c>
      <c r="M111" s="441">
        <f t="shared" si="115"/>
        <v>76847.400000000009</v>
      </c>
      <c r="N111" s="441">
        <f t="shared" si="115"/>
        <v>76847.400000000009</v>
      </c>
      <c r="O111" s="441">
        <f t="shared" si="115"/>
        <v>76847.400000000009</v>
      </c>
      <c r="P111" s="441">
        <f t="shared" si="115"/>
        <v>76847.400000000009</v>
      </c>
      <c r="Q111" s="441">
        <f t="shared" si="115"/>
        <v>76847.400000000009</v>
      </c>
      <c r="R111" s="441">
        <f t="shared" si="115"/>
        <v>76847.400000000009</v>
      </c>
      <c r="S111" s="441">
        <f t="shared" si="115"/>
        <v>76847.400000000009</v>
      </c>
      <c r="T111" s="441">
        <f t="shared" si="115"/>
        <v>76847.400000000009</v>
      </c>
      <c r="U111" s="441">
        <f t="shared" si="115"/>
        <v>76847.400000000009</v>
      </c>
      <c r="V111" s="441">
        <f t="shared" si="115"/>
        <v>76847.400000000009</v>
      </c>
      <c r="W111" s="441"/>
    </row>
    <row r="112" spans="1:23" s="16" customFormat="1">
      <c r="A112" s="83" t="s">
        <v>275</v>
      </c>
      <c r="B112" s="440">
        <v>0</v>
      </c>
      <c r="C112" s="358">
        <f>$B$167</f>
        <v>0.16458333333333333</v>
      </c>
      <c r="D112" s="358">
        <f t="shared" ref="D112:V112" si="116">$B$167</f>
        <v>0.16458333333333333</v>
      </c>
      <c r="E112" s="358">
        <f t="shared" si="116"/>
        <v>0.16458333333333333</v>
      </c>
      <c r="F112" s="358">
        <f t="shared" si="116"/>
        <v>0.16458333333333333</v>
      </c>
      <c r="G112" s="358">
        <f t="shared" si="116"/>
        <v>0.16458333333333333</v>
      </c>
      <c r="H112" s="358">
        <f t="shared" si="116"/>
        <v>0.16458333333333333</v>
      </c>
      <c r="I112" s="358">
        <f t="shared" si="116"/>
        <v>0.16458333333333333</v>
      </c>
      <c r="J112" s="358">
        <f t="shared" si="116"/>
        <v>0.16458333333333333</v>
      </c>
      <c r="K112" s="358">
        <f t="shared" si="116"/>
        <v>0.16458333333333333</v>
      </c>
      <c r="L112" s="358">
        <f t="shared" si="116"/>
        <v>0.16458333333333333</v>
      </c>
      <c r="M112" s="358">
        <f t="shared" si="116"/>
        <v>0.16458333333333333</v>
      </c>
      <c r="N112" s="358">
        <f t="shared" si="116"/>
        <v>0.16458333333333333</v>
      </c>
      <c r="O112" s="358">
        <f t="shared" si="116"/>
        <v>0.16458333333333333</v>
      </c>
      <c r="P112" s="358">
        <f t="shared" si="116"/>
        <v>0.16458333333333333</v>
      </c>
      <c r="Q112" s="358">
        <f t="shared" si="116"/>
        <v>0.16458333333333333</v>
      </c>
      <c r="R112" s="358">
        <f t="shared" si="116"/>
        <v>0.16458333333333333</v>
      </c>
      <c r="S112" s="358">
        <f t="shared" si="116"/>
        <v>0.16458333333333333</v>
      </c>
      <c r="T112" s="358">
        <f t="shared" si="116"/>
        <v>0.16458333333333333</v>
      </c>
      <c r="U112" s="358">
        <f t="shared" si="116"/>
        <v>0.16458333333333333</v>
      </c>
      <c r="V112" s="358">
        <f t="shared" si="116"/>
        <v>0.16458333333333333</v>
      </c>
      <c r="W112" s="441"/>
    </row>
    <row r="113" spans="1:23" s="16" customFormat="1">
      <c r="A113" s="83" t="s">
        <v>276</v>
      </c>
      <c r="B113" s="440">
        <v>0</v>
      </c>
      <c r="C113" s="441">
        <f>C112*C111</f>
        <v>12647.80125</v>
      </c>
      <c r="D113" s="441">
        <f t="shared" ref="D113:V113" si="117">D112*D111</f>
        <v>12647.80125</v>
      </c>
      <c r="E113" s="441">
        <f t="shared" si="117"/>
        <v>12647.80125</v>
      </c>
      <c r="F113" s="441">
        <f t="shared" si="117"/>
        <v>12647.80125</v>
      </c>
      <c r="G113" s="441">
        <f t="shared" si="117"/>
        <v>12647.80125</v>
      </c>
      <c r="H113" s="441">
        <f t="shared" si="117"/>
        <v>12647.80125</v>
      </c>
      <c r="I113" s="441">
        <f t="shared" si="117"/>
        <v>12647.80125</v>
      </c>
      <c r="J113" s="441">
        <f t="shared" si="117"/>
        <v>12647.80125</v>
      </c>
      <c r="K113" s="441">
        <f t="shared" si="117"/>
        <v>12647.80125</v>
      </c>
      <c r="L113" s="441">
        <f t="shared" si="117"/>
        <v>12647.80125</v>
      </c>
      <c r="M113" s="441">
        <f t="shared" si="117"/>
        <v>12647.80125</v>
      </c>
      <c r="N113" s="441">
        <f t="shared" si="117"/>
        <v>12647.80125</v>
      </c>
      <c r="O113" s="441">
        <f t="shared" si="117"/>
        <v>12647.80125</v>
      </c>
      <c r="P113" s="441">
        <f t="shared" si="117"/>
        <v>12647.80125</v>
      </c>
      <c r="Q113" s="441">
        <f t="shared" si="117"/>
        <v>12647.80125</v>
      </c>
      <c r="R113" s="441">
        <f t="shared" si="117"/>
        <v>12647.80125</v>
      </c>
      <c r="S113" s="441">
        <f t="shared" si="117"/>
        <v>12647.80125</v>
      </c>
      <c r="T113" s="441">
        <f t="shared" si="117"/>
        <v>12647.80125</v>
      </c>
      <c r="U113" s="441">
        <f t="shared" si="117"/>
        <v>12647.80125</v>
      </c>
      <c r="V113" s="441">
        <f t="shared" si="117"/>
        <v>12647.80125</v>
      </c>
      <c r="W113" s="441"/>
    </row>
    <row r="114" spans="1:23" s="16" customFormat="1">
      <c r="A114" s="566">
        <v>45</v>
      </c>
      <c r="B114" s="440">
        <v>0</v>
      </c>
      <c r="C114" s="441">
        <v>12</v>
      </c>
      <c r="D114" s="441">
        <v>12</v>
      </c>
      <c r="E114" s="441">
        <v>12</v>
      </c>
      <c r="F114" s="441">
        <v>12</v>
      </c>
      <c r="G114" s="441">
        <v>12</v>
      </c>
      <c r="H114" s="441">
        <v>12</v>
      </c>
      <c r="I114" s="441">
        <v>12</v>
      </c>
      <c r="J114" s="441">
        <v>12</v>
      </c>
      <c r="K114" s="441">
        <v>12</v>
      </c>
      <c r="L114" s="441">
        <v>12</v>
      </c>
      <c r="M114" s="441">
        <v>12</v>
      </c>
      <c r="N114" s="441">
        <v>12</v>
      </c>
      <c r="O114" s="441">
        <v>12</v>
      </c>
      <c r="P114" s="441">
        <v>12</v>
      </c>
      <c r="Q114" s="441">
        <v>12</v>
      </c>
      <c r="R114" s="441">
        <v>12</v>
      </c>
      <c r="S114" s="441">
        <v>12</v>
      </c>
      <c r="T114" s="441">
        <v>12</v>
      </c>
      <c r="U114" s="441">
        <v>12</v>
      </c>
      <c r="V114" s="441">
        <v>12</v>
      </c>
      <c r="W114" s="18"/>
    </row>
    <row r="115" spans="1:23" s="16" customFormat="1">
      <c r="A115" s="567">
        <v>55</v>
      </c>
      <c r="B115" s="440">
        <v>0</v>
      </c>
      <c r="C115" s="441">
        <v>0</v>
      </c>
      <c r="D115" s="441">
        <v>0</v>
      </c>
      <c r="E115" s="441">
        <v>0</v>
      </c>
      <c r="F115" s="441">
        <v>0</v>
      </c>
      <c r="G115" s="441">
        <v>0</v>
      </c>
      <c r="H115" s="441">
        <v>0</v>
      </c>
      <c r="I115" s="441">
        <v>0</v>
      </c>
      <c r="J115" s="441">
        <v>0</v>
      </c>
      <c r="K115" s="441">
        <v>0</v>
      </c>
      <c r="L115" s="441">
        <v>0</v>
      </c>
      <c r="M115" s="441">
        <v>0</v>
      </c>
      <c r="N115" s="441">
        <v>0</v>
      </c>
      <c r="O115" s="441">
        <v>0</v>
      </c>
      <c r="P115" s="441">
        <v>0</v>
      </c>
      <c r="Q115" s="441">
        <v>0</v>
      </c>
      <c r="R115" s="441">
        <v>0</v>
      </c>
      <c r="S115" s="441">
        <v>0</v>
      </c>
      <c r="T115" s="441">
        <v>0</v>
      </c>
      <c r="U115" s="441">
        <v>0</v>
      </c>
      <c r="V115" s="441">
        <v>0</v>
      </c>
      <c r="W115" s="18"/>
    </row>
    <row r="116" spans="1:23">
      <c r="A116" s="567">
        <v>65</v>
      </c>
      <c r="B116" s="440">
        <v>0</v>
      </c>
      <c r="C116" s="441">
        <v>0</v>
      </c>
      <c r="D116" s="441">
        <v>0</v>
      </c>
      <c r="E116" s="441">
        <v>0</v>
      </c>
      <c r="F116" s="441">
        <v>0</v>
      </c>
      <c r="G116" s="441">
        <v>0</v>
      </c>
      <c r="H116" s="441">
        <v>0</v>
      </c>
      <c r="I116" s="441">
        <v>0</v>
      </c>
      <c r="J116" s="441">
        <v>0</v>
      </c>
      <c r="K116" s="441">
        <v>0</v>
      </c>
      <c r="L116" s="441">
        <v>0</v>
      </c>
      <c r="M116" s="441">
        <v>0</v>
      </c>
      <c r="N116" s="441">
        <v>0</v>
      </c>
      <c r="O116" s="441">
        <v>0</v>
      </c>
      <c r="P116" s="441">
        <v>0</v>
      </c>
      <c r="Q116" s="441">
        <v>0</v>
      </c>
      <c r="R116" s="441">
        <v>0</v>
      </c>
      <c r="S116" s="441">
        <v>0</v>
      </c>
      <c r="T116" s="441">
        <v>0</v>
      </c>
      <c r="U116" s="441">
        <v>0</v>
      </c>
      <c r="V116" s="441">
        <v>0</v>
      </c>
    </row>
    <row r="117" spans="1:23">
      <c r="A117" s="567">
        <v>80</v>
      </c>
      <c r="B117" s="440">
        <v>0</v>
      </c>
      <c r="C117" s="441">
        <v>0</v>
      </c>
      <c r="D117" s="441">
        <v>0</v>
      </c>
      <c r="E117" s="441">
        <v>0</v>
      </c>
      <c r="F117" s="441">
        <v>0</v>
      </c>
      <c r="G117" s="441">
        <v>0</v>
      </c>
      <c r="H117" s="441">
        <v>0</v>
      </c>
      <c r="I117" s="441">
        <v>0</v>
      </c>
      <c r="J117" s="441">
        <v>0</v>
      </c>
      <c r="K117" s="441">
        <v>0</v>
      </c>
      <c r="L117" s="441">
        <v>0</v>
      </c>
      <c r="M117" s="441">
        <v>0</v>
      </c>
      <c r="N117" s="441">
        <v>0</v>
      </c>
      <c r="O117" s="441">
        <v>0</v>
      </c>
      <c r="P117" s="441">
        <v>0</v>
      </c>
      <c r="Q117" s="441">
        <v>0</v>
      </c>
      <c r="R117" s="441">
        <v>0</v>
      </c>
      <c r="S117" s="441">
        <v>0</v>
      </c>
      <c r="T117" s="441">
        <v>0</v>
      </c>
      <c r="U117" s="441">
        <v>0</v>
      </c>
      <c r="V117" s="441">
        <v>0</v>
      </c>
    </row>
    <row r="118" spans="1:23">
      <c r="A118"/>
      <c r="B118" s="565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23">
      <c r="A119" s="475" t="s">
        <v>354</v>
      </c>
      <c r="B119" s="480"/>
      <c r="C119" s="480"/>
      <c r="D119" s="480"/>
      <c r="E119" s="268"/>
      <c r="F119" s="268"/>
      <c r="G119" s="268"/>
      <c r="H119" s="268"/>
      <c r="I119" s="268"/>
      <c r="J119" s="268"/>
      <c r="K119" s="268"/>
      <c r="L119" s="268"/>
      <c r="M119" s="268"/>
      <c r="N119" s="268"/>
      <c r="O119" s="268"/>
      <c r="P119" s="268"/>
      <c r="Q119" s="268"/>
      <c r="R119" s="268"/>
      <c r="S119" s="268"/>
      <c r="T119" s="268"/>
      <c r="U119" s="268"/>
      <c r="V119" s="268"/>
    </row>
    <row r="120" spans="1:23">
      <c r="A120" s="481"/>
      <c r="B120" s="374"/>
      <c r="C120" s="482"/>
      <c r="D120" s="482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</row>
    <row r="121" spans="1:23">
      <c r="A121" s="85" t="s">
        <v>237</v>
      </c>
      <c r="B121" s="711">
        <v>0</v>
      </c>
      <c r="C121" s="419">
        <f t="shared" ref="C121:G121" si="118">SUM(C132:C135)</f>
        <v>32</v>
      </c>
      <c r="D121" s="419">
        <f t="shared" si="118"/>
        <v>32</v>
      </c>
      <c r="E121" s="419">
        <f t="shared" si="118"/>
        <v>32</v>
      </c>
      <c r="F121" s="419">
        <f t="shared" si="118"/>
        <v>32</v>
      </c>
      <c r="G121" s="419">
        <f t="shared" si="118"/>
        <v>32</v>
      </c>
      <c r="H121" s="419">
        <f t="shared" ref="H121:V121" si="119">SUM(H132:H135)</f>
        <v>32</v>
      </c>
      <c r="I121" s="419">
        <f t="shared" si="119"/>
        <v>32</v>
      </c>
      <c r="J121" s="419">
        <f t="shared" si="119"/>
        <v>32</v>
      </c>
      <c r="K121" s="419">
        <f t="shared" si="119"/>
        <v>32</v>
      </c>
      <c r="L121" s="419">
        <f t="shared" si="119"/>
        <v>32</v>
      </c>
      <c r="M121" s="419">
        <f t="shared" si="119"/>
        <v>32</v>
      </c>
      <c r="N121" s="419">
        <f t="shared" si="119"/>
        <v>32</v>
      </c>
      <c r="O121" s="419">
        <f t="shared" si="119"/>
        <v>32</v>
      </c>
      <c r="P121" s="419">
        <f t="shared" si="119"/>
        <v>32</v>
      </c>
      <c r="Q121" s="419">
        <f t="shared" si="119"/>
        <v>32</v>
      </c>
      <c r="R121" s="419">
        <f t="shared" si="119"/>
        <v>32</v>
      </c>
      <c r="S121" s="419">
        <f t="shared" si="119"/>
        <v>32</v>
      </c>
      <c r="T121" s="419">
        <f t="shared" si="119"/>
        <v>32</v>
      </c>
      <c r="U121" s="419">
        <f t="shared" si="119"/>
        <v>32</v>
      </c>
      <c r="V121" s="419">
        <f t="shared" si="119"/>
        <v>32</v>
      </c>
    </row>
    <row r="122" spans="1:23">
      <c r="A122" s="85" t="s">
        <v>273</v>
      </c>
      <c r="B122" s="711">
        <v>0</v>
      </c>
      <c r="C122" s="419">
        <f t="shared" ref="C122:G122" si="120">SUM(C128,C131)</f>
        <v>70315.752187500009</v>
      </c>
      <c r="D122" s="419">
        <f t="shared" si="120"/>
        <v>70315.752187500009</v>
      </c>
      <c r="E122" s="419">
        <f t="shared" si="120"/>
        <v>70315.752187500009</v>
      </c>
      <c r="F122" s="419">
        <f t="shared" si="120"/>
        <v>70315.752187500009</v>
      </c>
      <c r="G122" s="419">
        <f t="shared" si="120"/>
        <v>70315.752187500009</v>
      </c>
      <c r="H122" s="419">
        <f t="shared" ref="H122:V122" si="121">SUM(H128,H131)</f>
        <v>70315.752187500009</v>
      </c>
      <c r="I122" s="419">
        <f t="shared" si="121"/>
        <v>70315.752187500009</v>
      </c>
      <c r="J122" s="419">
        <f t="shared" si="121"/>
        <v>70315.752187500009</v>
      </c>
      <c r="K122" s="419">
        <f t="shared" si="121"/>
        <v>70315.752187500009</v>
      </c>
      <c r="L122" s="419">
        <f t="shared" si="121"/>
        <v>70315.752187500009</v>
      </c>
      <c r="M122" s="419">
        <f t="shared" si="121"/>
        <v>70315.752187500009</v>
      </c>
      <c r="N122" s="419">
        <f t="shared" si="121"/>
        <v>70315.752187500009</v>
      </c>
      <c r="O122" s="419">
        <f t="shared" si="121"/>
        <v>70315.752187500009</v>
      </c>
      <c r="P122" s="419">
        <f t="shared" si="121"/>
        <v>70315.752187500009</v>
      </c>
      <c r="Q122" s="419">
        <f t="shared" si="121"/>
        <v>70315.752187500009</v>
      </c>
      <c r="R122" s="419">
        <f t="shared" si="121"/>
        <v>70315.752187500009</v>
      </c>
      <c r="S122" s="419">
        <f t="shared" si="121"/>
        <v>70315.752187500009</v>
      </c>
      <c r="T122" s="419">
        <f t="shared" si="121"/>
        <v>70315.752187500009</v>
      </c>
      <c r="U122" s="419">
        <f t="shared" si="121"/>
        <v>70315.752187500009</v>
      </c>
      <c r="V122" s="419">
        <f t="shared" si="121"/>
        <v>70315.752187500009</v>
      </c>
    </row>
    <row r="123" spans="1:23" s="16" customFormat="1">
      <c r="A123" s="83" t="s">
        <v>251</v>
      </c>
      <c r="B123" s="440">
        <v>0</v>
      </c>
      <c r="C123" s="441">
        <f t="shared" ref="C123:G123" si="122">(C132*$A$42)+(C133*$A$43)+(C134*$A$44)+(C135*$A$45)</f>
        <v>1710</v>
      </c>
      <c r="D123" s="441">
        <f t="shared" si="122"/>
        <v>1710</v>
      </c>
      <c r="E123" s="441">
        <f t="shared" si="122"/>
        <v>1710</v>
      </c>
      <c r="F123" s="441">
        <f t="shared" si="122"/>
        <v>1710</v>
      </c>
      <c r="G123" s="441">
        <f t="shared" si="122"/>
        <v>1710</v>
      </c>
      <c r="H123" s="441">
        <f t="shared" ref="H123" si="123">(H132*$A$42)+(H133*$A$43)+(H134*$A$44)+(H135*$A$45)</f>
        <v>1710</v>
      </c>
      <c r="I123" s="441">
        <f t="shared" ref="I123" si="124">(I132*$A$42)+(I133*$A$43)+(I134*$A$44)+(I135*$A$45)</f>
        <v>1710</v>
      </c>
      <c r="J123" s="441">
        <f t="shared" ref="J123" si="125">(J132*$A$42)+(J133*$A$43)+(J134*$A$44)+(J135*$A$45)</f>
        <v>1710</v>
      </c>
      <c r="K123" s="441">
        <f t="shared" ref="K123" si="126">(K132*$A$42)+(K133*$A$43)+(K134*$A$44)+(K135*$A$45)</f>
        <v>1710</v>
      </c>
      <c r="L123" s="441">
        <f t="shared" ref="L123" si="127">(L132*$A$42)+(L133*$A$43)+(L134*$A$44)+(L135*$A$45)</f>
        <v>1710</v>
      </c>
      <c r="M123" s="441">
        <f t="shared" ref="M123" si="128">(M132*$A$42)+(M133*$A$43)+(M134*$A$44)+(M135*$A$45)</f>
        <v>1710</v>
      </c>
      <c r="N123" s="441">
        <f t="shared" ref="N123" si="129">(N132*$A$42)+(N133*$A$43)+(N134*$A$44)+(N135*$A$45)</f>
        <v>1710</v>
      </c>
      <c r="O123" s="441">
        <f t="shared" ref="O123" si="130">(O132*$A$42)+(O133*$A$43)+(O134*$A$44)+(O135*$A$45)</f>
        <v>1710</v>
      </c>
      <c r="P123" s="441">
        <f t="shared" ref="P123" si="131">(P132*$A$42)+(P133*$A$43)+(P134*$A$44)+(P135*$A$45)</f>
        <v>1710</v>
      </c>
      <c r="Q123" s="441">
        <f t="shared" ref="Q123" si="132">(Q132*$A$42)+(Q133*$A$43)+(Q134*$A$44)+(Q135*$A$45)</f>
        <v>1710</v>
      </c>
      <c r="R123" s="441">
        <f t="shared" ref="R123" si="133">(R132*$A$42)+(R133*$A$43)+(R134*$A$44)+(R135*$A$45)</f>
        <v>1710</v>
      </c>
      <c r="S123" s="441">
        <f t="shared" ref="S123" si="134">(S132*$A$42)+(S133*$A$43)+(S134*$A$44)+(S135*$A$45)</f>
        <v>1710</v>
      </c>
      <c r="T123" s="441">
        <f t="shared" ref="T123" si="135">(T132*$A$42)+(T133*$A$43)+(T134*$A$44)+(T135*$A$45)</f>
        <v>1710</v>
      </c>
      <c r="U123" s="441">
        <f t="shared" ref="U123" si="136">(U132*$A$42)+(U133*$A$43)+(U134*$A$44)+(U135*$A$45)</f>
        <v>1710</v>
      </c>
      <c r="V123" s="441">
        <f t="shared" ref="V123" si="137">(V132*$A$42)+(V133*$A$43)+(V134*$A$44)+(V135*$A$45)</f>
        <v>1710</v>
      </c>
      <c r="W123" s="441"/>
    </row>
    <row r="124" spans="1:23" s="16" customFormat="1">
      <c r="A124" s="83" t="s">
        <v>253</v>
      </c>
      <c r="B124" s="440">
        <v>0</v>
      </c>
      <c r="C124" s="441">
        <f t="shared" ref="C124:G124" si="138">C123*0.665</f>
        <v>1137.1500000000001</v>
      </c>
      <c r="D124" s="441">
        <f t="shared" si="138"/>
        <v>1137.1500000000001</v>
      </c>
      <c r="E124" s="441">
        <f t="shared" si="138"/>
        <v>1137.1500000000001</v>
      </c>
      <c r="F124" s="441">
        <f t="shared" si="138"/>
        <v>1137.1500000000001</v>
      </c>
      <c r="G124" s="441">
        <f t="shared" si="138"/>
        <v>1137.1500000000001</v>
      </c>
      <c r="H124" s="441">
        <f t="shared" ref="H124:V124" si="139">H123*0.665</f>
        <v>1137.1500000000001</v>
      </c>
      <c r="I124" s="441">
        <f t="shared" si="139"/>
        <v>1137.1500000000001</v>
      </c>
      <c r="J124" s="441">
        <f t="shared" si="139"/>
        <v>1137.1500000000001</v>
      </c>
      <c r="K124" s="441">
        <f t="shared" si="139"/>
        <v>1137.1500000000001</v>
      </c>
      <c r="L124" s="441">
        <f t="shared" si="139"/>
        <v>1137.1500000000001</v>
      </c>
      <c r="M124" s="441">
        <f t="shared" si="139"/>
        <v>1137.1500000000001</v>
      </c>
      <c r="N124" s="441">
        <f t="shared" si="139"/>
        <v>1137.1500000000001</v>
      </c>
      <c r="O124" s="441">
        <f t="shared" si="139"/>
        <v>1137.1500000000001</v>
      </c>
      <c r="P124" s="441">
        <f t="shared" si="139"/>
        <v>1137.1500000000001</v>
      </c>
      <c r="Q124" s="441">
        <f t="shared" si="139"/>
        <v>1137.1500000000001</v>
      </c>
      <c r="R124" s="441">
        <f t="shared" si="139"/>
        <v>1137.1500000000001</v>
      </c>
      <c r="S124" s="441">
        <f t="shared" si="139"/>
        <v>1137.1500000000001</v>
      </c>
      <c r="T124" s="441">
        <f t="shared" si="139"/>
        <v>1137.1500000000001</v>
      </c>
      <c r="U124" s="441">
        <f t="shared" si="139"/>
        <v>1137.1500000000001</v>
      </c>
      <c r="V124" s="441">
        <f t="shared" si="139"/>
        <v>1137.1500000000001</v>
      </c>
      <c r="W124" s="441"/>
    </row>
    <row r="125" spans="1:23" s="16" customFormat="1">
      <c r="A125" s="83" t="s">
        <v>254</v>
      </c>
      <c r="B125" s="440">
        <v>0</v>
      </c>
      <c r="C125" s="441">
        <f t="shared" ref="C125:G125" si="140">C123*0.335</f>
        <v>572.85</v>
      </c>
      <c r="D125" s="441">
        <f t="shared" si="140"/>
        <v>572.85</v>
      </c>
      <c r="E125" s="441">
        <f t="shared" si="140"/>
        <v>572.85</v>
      </c>
      <c r="F125" s="441">
        <f t="shared" si="140"/>
        <v>572.85</v>
      </c>
      <c r="G125" s="441">
        <f t="shared" si="140"/>
        <v>572.85</v>
      </c>
      <c r="H125" s="441">
        <f t="shared" ref="H125:V125" si="141">H123*0.335</f>
        <v>572.85</v>
      </c>
      <c r="I125" s="441">
        <f t="shared" si="141"/>
        <v>572.85</v>
      </c>
      <c r="J125" s="441">
        <f t="shared" si="141"/>
        <v>572.85</v>
      </c>
      <c r="K125" s="441">
        <f t="shared" si="141"/>
        <v>572.85</v>
      </c>
      <c r="L125" s="441">
        <f t="shared" si="141"/>
        <v>572.85</v>
      </c>
      <c r="M125" s="441">
        <f t="shared" si="141"/>
        <v>572.85</v>
      </c>
      <c r="N125" s="441">
        <f t="shared" si="141"/>
        <v>572.85</v>
      </c>
      <c r="O125" s="441">
        <f t="shared" si="141"/>
        <v>572.85</v>
      </c>
      <c r="P125" s="441">
        <f t="shared" si="141"/>
        <v>572.85</v>
      </c>
      <c r="Q125" s="441">
        <f t="shared" si="141"/>
        <v>572.85</v>
      </c>
      <c r="R125" s="441">
        <f t="shared" si="141"/>
        <v>572.85</v>
      </c>
      <c r="S125" s="441">
        <f t="shared" si="141"/>
        <v>572.85</v>
      </c>
      <c r="T125" s="441">
        <f t="shared" si="141"/>
        <v>572.85</v>
      </c>
      <c r="U125" s="441">
        <f t="shared" si="141"/>
        <v>572.85</v>
      </c>
      <c r="V125" s="441">
        <f t="shared" si="141"/>
        <v>572.85</v>
      </c>
      <c r="W125" s="441"/>
    </row>
    <row r="126" spans="1:23" s="16" customFormat="1">
      <c r="A126" s="83" t="s">
        <v>255</v>
      </c>
      <c r="B126" s="440">
        <v>0</v>
      </c>
      <c r="C126" s="441">
        <f t="shared" ref="C126:G126" si="142">C125*214</f>
        <v>122589.90000000001</v>
      </c>
      <c r="D126" s="441">
        <f t="shared" si="142"/>
        <v>122589.90000000001</v>
      </c>
      <c r="E126" s="441">
        <f t="shared" si="142"/>
        <v>122589.90000000001</v>
      </c>
      <c r="F126" s="441">
        <f t="shared" si="142"/>
        <v>122589.90000000001</v>
      </c>
      <c r="G126" s="441">
        <f t="shared" si="142"/>
        <v>122589.90000000001</v>
      </c>
      <c r="H126" s="441">
        <f t="shared" ref="H126:V126" si="143">H125*214</f>
        <v>122589.90000000001</v>
      </c>
      <c r="I126" s="441">
        <f t="shared" si="143"/>
        <v>122589.90000000001</v>
      </c>
      <c r="J126" s="441">
        <f t="shared" si="143"/>
        <v>122589.90000000001</v>
      </c>
      <c r="K126" s="441">
        <f t="shared" si="143"/>
        <v>122589.90000000001</v>
      </c>
      <c r="L126" s="441">
        <f t="shared" si="143"/>
        <v>122589.90000000001</v>
      </c>
      <c r="M126" s="441">
        <f t="shared" si="143"/>
        <v>122589.90000000001</v>
      </c>
      <c r="N126" s="441">
        <f t="shared" si="143"/>
        <v>122589.90000000001</v>
      </c>
      <c r="O126" s="441">
        <f t="shared" si="143"/>
        <v>122589.90000000001</v>
      </c>
      <c r="P126" s="441">
        <f t="shared" si="143"/>
        <v>122589.90000000001</v>
      </c>
      <c r="Q126" s="441">
        <f t="shared" si="143"/>
        <v>122589.90000000001</v>
      </c>
      <c r="R126" s="441">
        <f t="shared" si="143"/>
        <v>122589.90000000001</v>
      </c>
      <c r="S126" s="441">
        <f t="shared" si="143"/>
        <v>122589.90000000001</v>
      </c>
      <c r="T126" s="441">
        <f t="shared" si="143"/>
        <v>122589.90000000001</v>
      </c>
      <c r="U126" s="441">
        <f t="shared" si="143"/>
        <v>122589.90000000001</v>
      </c>
      <c r="V126" s="441">
        <f t="shared" si="143"/>
        <v>122589.90000000001</v>
      </c>
      <c r="W126" s="441"/>
    </row>
    <row r="127" spans="1:23" s="16" customFormat="1">
      <c r="A127" s="83" t="s">
        <v>256</v>
      </c>
      <c r="B127" s="440">
        <v>0</v>
      </c>
      <c r="C127" s="358">
        <f t="shared" ref="C127:V127" si="144">$B$169</f>
        <v>0.24687500000000001</v>
      </c>
      <c r="D127" s="358">
        <f t="shared" si="144"/>
        <v>0.24687500000000001</v>
      </c>
      <c r="E127" s="358">
        <f t="shared" si="144"/>
        <v>0.24687500000000001</v>
      </c>
      <c r="F127" s="358">
        <f t="shared" si="144"/>
        <v>0.24687500000000001</v>
      </c>
      <c r="G127" s="358">
        <f t="shared" si="144"/>
        <v>0.24687500000000001</v>
      </c>
      <c r="H127" s="358">
        <f t="shared" si="144"/>
        <v>0.24687500000000001</v>
      </c>
      <c r="I127" s="358">
        <f t="shared" si="144"/>
        <v>0.24687500000000001</v>
      </c>
      <c r="J127" s="358">
        <f t="shared" si="144"/>
        <v>0.24687500000000001</v>
      </c>
      <c r="K127" s="358">
        <f t="shared" si="144"/>
        <v>0.24687500000000001</v>
      </c>
      <c r="L127" s="358">
        <f t="shared" si="144"/>
        <v>0.24687500000000001</v>
      </c>
      <c r="M127" s="358">
        <f t="shared" si="144"/>
        <v>0.24687500000000001</v>
      </c>
      <c r="N127" s="358">
        <f t="shared" si="144"/>
        <v>0.24687500000000001</v>
      </c>
      <c r="O127" s="358">
        <f t="shared" si="144"/>
        <v>0.24687500000000001</v>
      </c>
      <c r="P127" s="358">
        <f t="shared" si="144"/>
        <v>0.24687500000000001</v>
      </c>
      <c r="Q127" s="358">
        <f t="shared" si="144"/>
        <v>0.24687500000000001</v>
      </c>
      <c r="R127" s="358">
        <f t="shared" si="144"/>
        <v>0.24687500000000001</v>
      </c>
      <c r="S127" s="358">
        <f t="shared" si="144"/>
        <v>0.24687500000000001</v>
      </c>
      <c r="T127" s="358">
        <f t="shared" si="144"/>
        <v>0.24687500000000001</v>
      </c>
      <c r="U127" s="358">
        <f t="shared" si="144"/>
        <v>0.24687500000000001</v>
      </c>
      <c r="V127" s="358">
        <f t="shared" si="144"/>
        <v>0.24687500000000001</v>
      </c>
      <c r="W127" s="441"/>
    </row>
    <row r="128" spans="1:23" s="16" customFormat="1">
      <c r="A128" s="83" t="s">
        <v>257</v>
      </c>
      <c r="B128" s="440">
        <v>0</v>
      </c>
      <c r="C128" s="441">
        <f t="shared" ref="C128:G128" si="145">C127*C126</f>
        <v>30264.381562500002</v>
      </c>
      <c r="D128" s="441">
        <f t="shared" si="145"/>
        <v>30264.381562500002</v>
      </c>
      <c r="E128" s="441">
        <f t="shared" si="145"/>
        <v>30264.381562500002</v>
      </c>
      <c r="F128" s="441">
        <f t="shared" si="145"/>
        <v>30264.381562500002</v>
      </c>
      <c r="G128" s="441">
        <f t="shared" si="145"/>
        <v>30264.381562500002</v>
      </c>
      <c r="H128" s="441">
        <f t="shared" ref="H128:V128" si="146">H127*H126</f>
        <v>30264.381562500002</v>
      </c>
      <c r="I128" s="441">
        <f t="shared" si="146"/>
        <v>30264.381562500002</v>
      </c>
      <c r="J128" s="441">
        <f t="shared" si="146"/>
        <v>30264.381562500002</v>
      </c>
      <c r="K128" s="441">
        <f t="shared" si="146"/>
        <v>30264.381562500002</v>
      </c>
      <c r="L128" s="441">
        <f t="shared" si="146"/>
        <v>30264.381562500002</v>
      </c>
      <c r="M128" s="441">
        <f t="shared" si="146"/>
        <v>30264.381562500002</v>
      </c>
      <c r="N128" s="441">
        <f t="shared" si="146"/>
        <v>30264.381562500002</v>
      </c>
      <c r="O128" s="441">
        <f t="shared" si="146"/>
        <v>30264.381562500002</v>
      </c>
      <c r="P128" s="441">
        <f t="shared" si="146"/>
        <v>30264.381562500002</v>
      </c>
      <c r="Q128" s="441">
        <f t="shared" si="146"/>
        <v>30264.381562500002</v>
      </c>
      <c r="R128" s="441">
        <f t="shared" si="146"/>
        <v>30264.381562500002</v>
      </c>
      <c r="S128" s="441">
        <f t="shared" si="146"/>
        <v>30264.381562500002</v>
      </c>
      <c r="T128" s="441">
        <f t="shared" si="146"/>
        <v>30264.381562500002</v>
      </c>
      <c r="U128" s="441">
        <f t="shared" si="146"/>
        <v>30264.381562500002</v>
      </c>
      <c r="V128" s="441">
        <f t="shared" si="146"/>
        <v>30264.381562500002</v>
      </c>
      <c r="W128" s="441"/>
    </row>
    <row r="129" spans="1:23" s="16" customFormat="1">
      <c r="A129" s="83" t="s">
        <v>277</v>
      </c>
      <c r="B129" s="440">
        <v>0</v>
      </c>
      <c r="C129" s="441">
        <f t="shared" ref="C129:G129" si="147">C124*214</f>
        <v>243350.1</v>
      </c>
      <c r="D129" s="441">
        <f t="shared" si="147"/>
        <v>243350.1</v>
      </c>
      <c r="E129" s="441">
        <f t="shared" si="147"/>
        <v>243350.1</v>
      </c>
      <c r="F129" s="441">
        <f t="shared" si="147"/>
        <v>243350.1</v>
      </c>
      <c r="G129" s="441">
        <f t="shared" si="147"/>
        <v>243350.1</v>
      </c>
      <c r="H129" s="441">
        <f t="shared" ref="H129:V129" si="148">H124*214</f>
        <v>243350.1</v>
      </c>
      <c r="I129" s="441">
        <f t="shared" si="148"/>
        <v>243350.1</v>
      </c>
      <c r="J129" s="441">
        <f t="shared" si="148"/>
        <v>243350.1</v>
      </c>
      <c r="K129" s="441">
        <f t="shared" si="148"/>
        <v>243350.1</v>
      </c>
      <c r="L129" s="441">
        <f t="shared" si="148"/>
        <v>243350.1</v>
      </c>
      <c r="M129" s="441">
        <f t="shared" si="148"/>
        <v>243350.1</v>
      </c>
      <c r="N129" s="441">
        <f t="shared" si="148"/>
        <v>243350.1</v>
      </c>
      <c r="O129" s="441">
        <f t="shared" si="148"/>
        <v>243350.1</v>
      </c>
      <c r="P129" s="441">
        <f t="shared" si="148"/>
        <v>243350.1</v>
      </c>
      <c r="Q129" s="441">
        <f t="shared" si="148"/>
        <v>243350.1</v>
      </c>
      <c r="R129" s="441">
        <f t="shared" si="148"/>
        <v>243350.1</v>
      </c>
      <c r="S129" s="441">
        <f t="shared" si="148"/>
        <v>243350.1</v>
      </c>
      <c r="T129" s="441">
        <f t="shared" si="148"/>
        <v>243350.1</v>
      </c>
      <c r="U129" s="441">
        <f t="shared" si="148"/>
        <v>243350.1</v>
      </c>
      <c r="V129" s="441">
        <f t="shared" si="148"/>
        <v>243350.1</v>
      </c>
      <c r="W129" s="441"/>
    </row>
    <row r="130" spans="1:23" s="16" customFormat="1">
      <c r="A130" s="83" t="s">
        <v>275</v>
      </c>
      <c r="B130" s="440">
        <v>0</v>
      </c>
      <c r="C130" s="358">
        <f t="shared" ref="C130:V130" si="149">$B$167</f>
        <v>0.16458333333333333</v>
      </c>
      <c r="D130" s="358">
        <f t="shared" si="149"/>
        <v>0.16458333333333333</v>
      </c>
      <c r="E130" s="358">
        <f t="shared" si="149"/>
        <v>0.16458333333333333</v>
      </c>
      <c r="F130" s="358">
        <f t="shared" si="149"/>
        <v>0.16458333333333333</v>
      </c>
      <c r="G130" s="358">
        <f t="shared" si="149"/>
        <v>0.16458333333333333</v>
      </c>
      <c r="H130" s="358">
        <f t="shared" si="149"/>
        <v>0.16458333333333333</v>
      </c>
      <c r="I130" s="358">
        <f t="shared" si="149"/>
        <v>0.16458333333333333</v>
      </c>
      <c r="J130" s="358">
        <f t="shared" si="149"/>
        <v>0.16458333333333333</v>
      </c>
      <c r="K130" s="358">
        <f t="shared" si="149"/>
        <v>0.16458333333333333</v>
      </c>
      <c r="L130" s="358">
        <f t="shared" si="149"/>
        <v>0.16458333333333333</v>
      </c>
      <c r="M130" s="358">
        <f t="shared" si="149"/>
        <v>0.16458333333333333</v>
      </c>
      <c r="N130" s="358">
        <f t="shared" si="149"/>
        <v>0.16458333333333333</v>
      </c>
      <c r="O130" s="358">
        <f t="shared" si="149"/>
        <v>0.16458333333333333</v>
      </c>
      <c r="P130" s="358">
        <f t="shared" si="149"/>
        <v>0.16458333333333333</v>
      </c>
      <c r="Q130" s="358">
        <f t="shared" si="149"/>
        <v>0.16458333333333333</v>
      </c>
      <c r="R130" s="358">
        <f t="shared" si="149"/>
        <v>0.16458333333333333</v>
      </c>
      <c r="S130" s="358">
        <f t="shared" si="149"/>
        <v>0.16458333333333333</v>
      </c>
      <c r="T130" s="358">
        <f t="shared" si="149"/>
        <v>0.16458333333333333</v>
      </c>
      <c r="U130" s="358">
        <f t="shared" si="149"/>
        <v>0.16458333333333333</v>
      </c>
      <c r="V130" s="358">
        <f t="shared" si="149"/>
        <v>0.16458333333333333</v>
      </c>
      <c r="W130" s="441"/>
    </row>
    <row r="131" spans="1:23" s="16" customFormat="1">
      <c r="A131" s="83" t="s">
        <v>276</v>
      </c>
      <c r="B131" s="440">
        <v>0</v>
      </c>
      <c r="C131" s="441">
        <f t="shared" ref="C131:G131" si="150">C130*C129</f>
        <v>40051.370625000003</v>
      </c>
      <c r="D131" s="441">
        <f t="shared" si="150"/>
        <v>40051.370625000003</v>
      </c>
      <c r="E131" s="441">
        <f t="shared" si="150"/>
        <v>40051.370625000003</v>
      </c>
      <c r="F131" s="441">
        <f t="shared" si="150"/>
        <v>40051.370625000003</v>
      </c>
      <c r="G131" s="441">
        <f t="shared" si="150"/>
        <v>40051.370625000003</v>
      </c>
      <c r="H131" s="441">
        <f t="shared" ref="H131" si="151">H130*H129</f>
        <v>40051.370625000003</v>
      </c>
      <c r="I131" s="441">
        <f t="shared" ref="I131" si="152">I130*I129</f>
        <v>40051.370625000003</v>
      </c>
      <c r="J131" s="441">
        <f t="shared" ref="J131" si="153">J130*J129</f>
        <v>40051.370625000003</v>
      </c>
      <c r="K131" s="441">
        <f t="shared" ref="K131" si="154">K130*K129</f>
        <v>40051.370625000003</v>
      </c>
      <c r="L131" s="441">
        <f t="shared" ref="L131" si="155">L130*L129</f>
        <v>40051.370625000003</v>
      </c>
      <c r="M131" s="441">
        <f t="shared" ref="M131" si="156">M130*M129</f>
        <v>40051.370625000003</v>
      </c>
      <c r="N131" s="441">
        <f t="shared" ref="N131" si="157">N130*N129</f>
        <v>40051.370625000003</v>
      </c>
      <c r="O131" s="441">
        <f t="shared" ref="O131" si="158">O130*O129</f>
        <v>40051.370625000003</v>
      </c>
      <c r="P131" s="441">
        <f t="shared" ref="P131" si="159">P130*P129</f>
        <v>40051.370625000003</v>
      </c>
      <c r="Q131" s="441">
        <f t="shared" ref="Q131" si="160">Q130*Q129</f>
        <v>40051.370625000003</v>
      </c>
      <c r="R131" s="441">
        <f t="shared" ref="R131" si="161">R130*R129</f>
        <v>40051.370625000003</v>
      </c>
      <c r="S131" s="441">
        <f t="shared" ref="S131" si="162">S130*S129</f>
        <v>40051.370625000003</v>
      </c>
      <c r="T131" s="441">
        <f t="shared" ref="T131" si="163">T130*T129</f>
        <v>40051.370625000003</v>
      </c>
      <c r="U131" s="441">
        <f t="shared" ref="U131" si="164">U130*U129</f>
        <v>40051.370625000003</v>
      </c>
      <c r="V131" s="441">
        <f t="shared" ref="V131" si="165">V130*V129</f>
        <v>40051.370625000003</v>
      </c>
      <c r="W131" s="441"/>
    </row>
    <row r="132" spans="1:23" s="16" customFormat="1">
      <c r="A132" s="566">
        <v>45</v>
      </c>
      <c r="B132" s="440">
        <v>0</v>
      </c>
      <c r="C132" s="441">
        <f>'Slips by Length'!$D$21</f>
        <v>16</v>
      </c>
      <c r="D132" s="441">
        <f>'Slips by Length'!$D$21</f>
        <v>16</v>
      </c>
      <c r="E132" s="441">
        <f>'Slips by Length'!$D$21</f>
        <v>16</v>
      </c>
      <c r="F132" s="441">
        <f>'Slips by Length'!$D$21</f>
        <v>16</v>
      </c>
      <c r="G132" s="441">
        <f>'Slips by Length'!$D$21</f>
        <v>16</v>
      </c>
      <c r="H132" s="441">
        <f>'Slips by Length'!$D$21</f>
        <v>16</v>
      </c>
      <c r="I132" s="441">
        <f>'Slips by Length'!$D$21</f>
        <v>16</v>
      </c>
      <c r="J132" s="441">
        <f>'Slips by Length'!$D$21</f>
        <v>16</v>
      </c>
      <c r="K132" s="441">
        <f>'Slips by Length'!$D$21</f>
        <v>16</v>
      </c>
      <c r="L132" s="441">
        <f>'Slips by Length'!$D$21</f>
        <v>16</v>
      </c>
      <c r="M132" s="441">
        <f>'Slips by Length'!$D$21</f>
        <v>16</v>
      </c>
      <c r="N132" s="441">
        <f>'Slips by Length'!$D$21</f>
        <v>16</v>
      </c>
      <c r="O132" s="441">
        <f>'Slips by Length'!$D$21</f>
        <v>16</v>
      </c>
      <c r="P132" s="441">
        <f>'Slips by Length'!$D$21</f>
        <v>16</v>
      </c>
      <c r="Q132" s="441">
        <f>'Slips by Length'!$D$21</f>
        <v>16</v>
      </c>
      <c r="R132" s="441">
        <f>'Slips by Length'!$D$21</f>
        <v>16</v>
      </c>
      <c r="S132" s="441">
        <f>'Slips by Length'!$D$21</f>
        <v>16</v>
      </c>
      <c r="T132" s="441">
        <f>'Slips by Length'!$D$21</f>
        <v>16</v>
      </c>
      <c r="U132" s="441">
        <f>'Slips by Length'!$D$21</f>
        <v>16</v>
      </c>
      <c r="V132" s="441">
        <f>'Slips by Length'!$D$21</f>
        <v>16</v>
      </c>
      <c r="W132" s="18"/>
    </row>
    <row r="133" spans="1:23" s="16" customFormat="1">
      <c r="A133" s="567">
        <v>55</v>
      </c>
      <c r="B133" s="440">
        <v>0</v>
      </c>
      <c r="C133" s="441">
        <f>'Slips by Length'!$D$22</f>
        <v>8</v>
      </c>
      <c r="D133" s="441">
        <f>'Slips by Length'!$D$22</f>
        <v>8</v>
      </c>
      <c r="E133" s="441">
        <f>'Slips by Length'!$D$22</f>
        <v>8</v>
      </c>
      <c r="F133" s="441">
        <f>'Slips by Length'!$D$22</f>
        <v>8</v>
      </c>
      <c r="G133" s="441">
        <f>'Slips by Length'!$D$22</f>
        <v>8</v>
      </c>
      <c r="H133" s="441">
        <f>'Slips by Length'!$D$22</f>
        <v>8</v>
      </c>
      <c r="I133" s="441">
        <f>'Slips by Length'!$D$22</f>
        <v>8</v>
      </c>
      <c r="J133" s="441">
        <f>'Slips by Length'!$D$22</f>
        <v>8</v>
      </c>
      <c r="K133" s="441">
        <f>'Slips by Length'!$D$22</f>
        <v>8</v>
      </c>
      <c r="L133" s="441">
        <f>'Slips by Length'!$D$22</f>
        <v>8</v>
      </c>
      <c r="M133" s="441">
        <f>'Slips by Length'!$D$22</f>
        <v>8</v>
      </c>
      <c r="N133" s="441">
        <f>'Slips by Length'!$D$22</f>
        <v>8</v>
      </c>
      <c r="O133" s="441">
        <f>'Slips by Length'!$D$22</f>
        <v>8</v>
      </c>
      <c r="P133" s="441">
        <f>'Slips by Length'!$D$22</f>
        <v>8</v>
      </c>
      <c r="Q133" s="441">
        <f>'Slips by Length'!$D$22</f>
        <v>8</v>
      </c>
      <c r="R133" s="441">
        <f>'Slips by Length'!$D$22</f>
        <v>8</v>
      </c>
      <c r="S133" s="441">
        <f>'Slips by Length'!$D$22</f>
        <v>8</v>
      </c>
      <c r="T133" s="441">
        <f>'Slips by Length'!$D$22</f>
        <v>8</v>
      </c>
      <c r="U133" s="441">
        <f>'Slips by Length'!$D$22</f>
        <v>8</v>
      </c>
      <c r="V133" s="441">
        <f>'Slips by Length'!$D$22</f>
        <v>8</v>
      </c>
      <c r="W133" s="18"/>
    </row>
    <row r="134" spans="1:23">
      <c r="A134" s="567">
        <v>65</v>
      </c>
      <c r="B134" s="440">
        <v>0</v>
      </c>
      <c r="C134" s="441">
        <f>'Slips by Length'!$D$23</f>
        <v>6</v>
      </c>
      <c r="D134" s="441">
        <f>'Slips by Length'!$D$23</f>
        <v>6</v>
      </c>
      <c r="E134" s="441">
        <f>'Slips by Length'!$D$23</f>
        <v>6</v>
      </c>
      <c r="F134" s="441">
        <f>'Slips by Length'!$D$23</f>
        <v>6</v>
      </c>
      <c r="G134" s="441">
        <f>'Slips by Length'!$D$23</f>
        <v>6</v>
      </c>
      <c r="H134" s="441">
        <f>'Slips by Length'!$D$23</f>
        <v>6</v>
      </c>
      <c r="I134" s="441">
        <f>'Slips by Length'!$D$23</f>
        <v>6</v>
      </c>
      <c r="J134" s="441">
        <f>'Slips by Length'!$D$23</f>
        <v>6</v>
      </c>
      <c r="K134" s="441">
        <f>'Slips by Length'!$D$23</f>
        <v>6</v>
      </c>
      <c r="L134" s="441">
        <f>'Slips by Length'!$D$23</f>
        <v>6</v>
      </c>
      <c r="M134" s="441">
        <f>'Slips by Length'!$D$23</f>
        <v>6</v>
      </c>
      <c r="N134" s="441">
        <f>'Slips by Length'!$D$23</f>
        <v>6</v>
      </c>
      <c r="O134" s="441">
        <f>'Slips by Length'!$D$23</f>
        <v>6</v>
      </c>
      <c r="P134" s="441">
        <f>'Slips by Length'!$D$23</f>
        <v>6</v>
      </c>
      <c r="Q134" s="441">
        <f>'Slips by Length'!$D$23</f>
        <v>6</v>
      </c>
      <c r="R134" s="441">
        <f>'Slips by Length'!$D$23</f>
        <v>6</v>
      </c>
      <c r="S134" s="441">
        <f>'Slips by Length'!$D$23</f>
        <v>6</v>
      </c>
      <c r="T134" s="441">
        <f>'Slips by Length'!$D$23</f>
        <v>6</v>
      </c>
      <c r="U134" s="441">
        <f>'Slips by Length'!$D$23</f>
        <v>6</v>
      </c>
      <c r="V134" s="441">
        <f>'Slips by Length'!$D$23</f>
        <v>6</v>
      </c>
    </row>
    <row r="135" spans="1:23">
      <c r="A135" s="567">
        <v>80</v>
      </c>
      <c r="B135" s="440">
        <v>0</v>
      </c>
      <c r="C135" s="441">
        <f>'Slips by Length'!$D$24</f>
        <v>2</v>
      </c>
      <c r="D135" s="441">
        <f>'Slips by Length'!$D$24</f>
        <v>2</v>
      </c>
      <c r="E135" s="441">
        <f>'Slips by Length'!$D$24</f>
        <v>2</v>
      </c>
      <c r="F135" s="441">
        <f>'Slips by Length'!$D$24</f>
        <v>2</v>
      </c>
      <c r="G135" s="441">
        <f>'Slips by Length'!$D$24</f>
        <v>2</v>
      </c>
      <c r="H135" s="441">
        <f>'Slips by Length'!$D$24</f>
        <v>2</v>
      </c>
      <c r="I135" s="441">
        <f>'Slips by Length'!$D$24</f>
        <v>2</v>
      </c>
      <c r="J135" s="441">
        <f>'Slips by Length'!$D$24</f>
        <v>2</v>
      </c>
      <c r="K135" s="441">
        <f>'Slips by Length'!$D$24</f>
        <v>2</v>
      </c>
      <c r="L135" s="441">
        <f>'Slips by Length'!$D$24</f>
        <v>2</v>
      </c>
      <c r="M135" s="441">
        <f>'Slips by Length'!$D$24</f>
        <v>2</v>
      </c>
      <c r="N135" s="441">
        <f>'Slips by Length'!$D$24</f>
        <v>2</v>
      </c>
      <c r="O135" s="441">
        <f>'Slips by Length'!$D$24</f>
        <v>2</v>
      </c>
      <c r="P135" s="441">
        <f>'Slips by Length'!$D$24</f>
        <v>2</v>
      </c>
      <c r="Q135" s="441">
        <f>'Slips by Length'!$D$24</f>
        <v>2</v>
      </c>
      <c r="R135" s="441">
        <f>'Slips by Length'!$D$24</f>
        <v>2</v>
      </c>
      <c r="S135" s="441">
        <f>'Slips by Length'!$D$24</f>
        <v>2</v>
      </c>
      <c r="T135" s="441">
        <f>'Slips by Length'!$D$24</f>
        <v>2</v>
      </c>
      <c r="U135" s="441">
        <f>'Slips by Length'!$D$24</f>
        <v>2</v>
      </c>
      <c r="V135" s="441">
        <f>'Slips by Length'!$D$24</f>
        <v>2</v>
      </c>
    </row>
    <row r="136" spans="1:23">
      <c r="A136"/>
      <c r="B136" s="565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23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131"/>
      <c r="T137" s="131"/>
      <c r="U137" s="131"/>
      <c r="V137" s="131"/>
    </row>
    <row r="138" spans="1:23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23">
      <c r="A139" s="16" t="s">
        <v>252</v>
      </c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23">
      <c r="A140" t="s">
        <v>238</v>
      </c>
      <c r="B140" s="439">
        <v>0</v>
      </c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23">
      <c r="A141" t="s">
        <v>239</v>
      </c>
      <c r="B141" s="439">
        <v>0</v>
      </c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23">
      <c r="A142" t="s">
        <v>240</v>
      </c>
      <c r="B142" s="439">
        <v>0</v>
      </c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23">
      <c r="A143" t="s">
        <v>241</v>
      </c>
      <c r="B143" s="439">
        <v>0</v>
      </c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23">
      <c r="A144" t="s">
        <v>242</v>
      </c>
      <c r="B144" s="439">
        <v>0.5</v>
      </c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>
      <c r="A145" t="s">
        <v>243</v>
      </c>
      <c r="B145" s="439">
        <v>0.5</v>
      </c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>
      <c r="A146" t="s">
        <v>244</v>
      </c>
      <c r="B146" s="439">
        <v>0.8</v>
      </c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>
      <c r="A147" t="s">
        <v>245</v>
      </c>
      <c r="B147" s="439">
        <v>1</v>
      </c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>
      <c r="A148" t="s">
        <v>246</v>
      </c>
      <c r="B148" s="439">
        <v>0.65</v>
      </c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>
      <c r="A149" t="s">
        <v>247</v>
      </c>
      <c r="B149" s="439">
        <v>0.5</v>
      </c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>
      <c r="A150" t="s">
        <v>248</v>
      </c>
      <c r="B150" s="439">
        <v>0</v>
      </c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>
      <c r="A151" t="s">
        <v>249</v>
      </c>
      <c r="B151" s="439">
        <v>0</v>
      </c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s="279" customFormat="1" ht="14.25">
      <c r="A152" s="279" t="s">
        <v>250</v>
      </c>
      <c r="B152" s="568">
        <f>SUM(B140:B151)/12</f>
        <v>0.32916666666666666</v>
      </c>
    </row>
    <row r="153" spans="1:18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>
      <c r="A154" s="16" t="s">
        <v>269</v>
      </c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>
      <c r="A155" t="s">
        <v>238</v>
      </c>
      <c r="B155" s="439">
        <v>0</v>
      </c>
    </row>
    <row r="156" spans="1:18">
      <c r="A156" t="s">
        <v>239</v>
      </c>
      <c r="B156" s="439">
        <v>0</v>
      </c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>
      <c r="A157" t="s">
        <v>240</v>
      </c>
      <c r="B157" s="439">
        <v>0</v>
      </c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>
      <c r="A158" t="s">
        <v>241</v>
      </c>
      <c r="B158" s="439">
        <v>0</v>
      </c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>
      <c r="A159" t="s">
        <v>242</v>
      </c>
      <c r="B159" s="439">
        <v>0.25</v>
      </c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>
      <c r="A160" t="s">
        <v>243</v>
      </c>
      <c r="B160" s="439">
        <v>0.25</v>
      </c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>
      <c r="A161" t="s">
        <v>244</v>
      </c>
      <c r="B161" s="439">
        <v>0.4</v>
      </c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>
      <c r="A162" t="s">
        <v>245</v>
      </c>
      <c r="B162" s="439">
        <v>0.5</v>
      </c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>
      <c r="A163" t="s">
        <v>246</v>
      </c>
      <c r="B163" s="439">
        <v>0.32500000000000001</v>
      </c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>
      <c r="A164" t="s">
        <v>247</v>
      </c>
      <c r="B164" s="439">
        <v>0.25</v>
      </c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>
      <c r="A165" t="s">
        <v>248</v>
      </c>
      <c r="B165" s="439">
        <v>0</v>
      </c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>
      <c r="A166" t="s">
        <v>249</v>
      </c>
      <c r="B166" s="439">
        <v>0</v>
      </c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>
      <c r="A167" s="279" t="s">
        <v>250</v>
      </c>
      <c r="B167" s="568">
        <f>SUM(B155:B166)/12</f>
        <v>0.16458333333333333</v>
      </c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>
      <c r="A169" s="279" t="s">
        <v>270</v>
      </c>
      <c r="B169" s="568">
        <f>SUM(B152,B167)/2</f>
        <v>0.24687500000000001</v>
      </c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</sheetData>
  <mergeCells count="1">
    <mergeCell ref="A5:D5"/>
  </mergeCells>
  <pageMargins left="0.7" right="0.7" top="0.75" bottom="0.75" header="0.3" footer="0.3"/>
  <pageSetup orientation="portrait" horizontalDpi="1200" verticalDpi="120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3CC"/>
  </sheetPr>
  <dimension ref="A1:V132"/>
  <sheetViews>
    <sheetView zoomScale="70" zoomScaleNormal="70" workbookViewId="0">
      <selection activeCell="Q23" sqref="Q23"/>
    </sheetView>
  </sheetViews>
  <sheetFormatPr defaultColWidth="9" defaultRowHeight="16.5"/>
  <cols>
    <col min="1" max="1" width="45.625" style="18" customWidth="1"/>
    <col min="2" max="2" width="9.625" style="18" customWidth="1"/>
    <col min="3" max="22" width="10" style="18" bestFit="1" customWidth="1"/>
    <col min="23" max="16384" width="9" style="18"/>
  </cols>
  <sheetData>
    <row r="1" spans="1:22" ht="18.75" thickBot="1">
      <c r="A1" s="11" t="str">
        <f>Intro!A1</f>
        <v>Town of Bar Harbor</v>
      </c>
      <c r="B1" s="14"/>
      <c r="C1" s="14"/>
      <c r="D1" s="1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</row>
    <row r="2" spans="1:22" ht="17.25" thickBot="1">
      <c r="A2" s="380" t="str">
        <f>Intro!A2</f>
        <v>Ferry Property Business Plan</v>
      </c>
      <c r="B2" s="14"/>
      <c r="C2" s="14"/>
      <c r="D2" s="1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</row>
    <row r="3" spans="1:22" s="381" customFormat="1" ht="14.25" thickBot="1">
      <c r="A3" s="384" t="str">
        <f>Intro!A3</f>
        <v>05.23.2018</v>
      </c>
      <c r="B3" s="385"/>
      <c r="C3" s="385"/>
      <c r="D3" s="385"/>
      <c r="E3" s="396"/>
      <c r="F3" s="396"/>
      <c r="G3" s="396"/>
      <c r="H3" s="396"/>
      <c r="I3" s="396"/>
      <c r="J3" s="396"/>
      <c r="K3" s="396"/>
      <c r="L3" s="396"/>
      <c r="M3" s="396"/>
      <c r="N3" s="396"/>
      <c r="O3" s="396"/>
      <c r="P3" s="396"/>
      <c r="Q3" s="396"/>
      <c r="R3" s="396"/>
      <c r="S3" s="396"/>
      <c r="T3" s="396"/>
      <c r="U3" s="396"/>
      <c r="V3" s="396"/>
    </row>
    <row r="4" spans="1:22" s="381" customFormat="1" ht="13.5">
      <c r="A4" s="384" t="str">
        <f ca="1">Intro!A4</f>
        <v>Town of Bar Harbor</v>
      </c>
      <c r="B4" s="385"/>
      <c r="C4" s="385"/>
      <c r="D4" s="385"/>
      <c r="E4" s="385"/>
      <c r="F4" s="385"/>
      <c r="G4" s="385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5"/>
      <c r="U4" s="385"/>
      <c r="V4" s="385"/>
    </row>
    <row r="5" spans="1:22">
      <c r="A5" s="1208" t="s">
        <v>200</v>
      </c>
      <c r="B5" s="1208"/>
      <c r="C5" s="1208"/>
      <c r="D5" s="1208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</row>
    <row r="6" spans="1:22">
      <c r="A6" s="6"/>
      <c r="B6" s="425"/>
      <c r="C6" s="7"/>
      <c r="D6" s="7"/>
    </row>
    <row r="7" spans="1:22">
      <c r="A7" s="8"/>
      <c r="B7" s="444">
        <v>2018</v>
      </c>
      <c r="C7" s="86">
        <v>2019</v>
      </c>
      <c r="D7" s="86">
        <v>2020</v>
      </c>
      <c r="E7" s="86">
        <v>2021</v>
      </c>
      <c r="F7" s="86">
        <v>2022</v>
      </c>
      <c r="G7" s="86">
        <v>2023</v>
      </c>
      <c r="H7" s="86">
        <v>2024</v>
      </c>
      <c r="I7" s="86">
        <v>2025</v>
      </c>
      <c r="J7" s="86">
        <v>2026</v>
      </c>
      <c r="K7" s="86">
        <v>2027</v>
      </c>
      <c r="L7" s="86">
        <v>2028</v>
      </c>
      <c r="M7" s="86">
        <v>2029</v>
      </c>
      <c r="N7" s="86">
        <v>2030</v>
      </c>
      <c r="O7" s="86">
        <v>2031</v>
      </c>
      <c r="P7" s="86">
        <v>2032</v>
      </c>
      <c r="Q7" s="86">
        <v>2033</v>
      </c>
      <c r="R7" s="9">
        <f t="shared" ref="R7:V7" si="0">Q7+1</f>
        <v>2034</v>
      </c>
      <c r="S7" s="9">
        <f t="shared" si="0"/>
        <v>2035</v>
      </c>
      <c r="T7" s="9">
        <f t="shared" si="0"/>
        <v>2036</v>
      </c>
      <c r="U7" s="9">
        <f t="shared" si="0"/>
        <v>2037</v>
      </c>
      <c r="V7" s="9">
        <f t="shared" si="0"/>
        <v>2038</v>
      </c>
    </row>
    <row r="8" spans="1:22">
      <c r="A8" s="82"/>
      <c r="B8" s="373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4"/>
      <c r="T8" s="154"/>
      <c r="U8" s="154"/>
      <c r="V8" s="154"/>
    </row>
    <row r="9" spans="1:22">
      <c r="A9" s="475" t="s">
        <v>201</v>
      </c>
      <c r="B9" s="480"/>
      <c r="C9" s="480"/>
      <c r="D9" s="480"/>
      <c r="E9" s="268"/>
      <c r="F9" s="268"/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/>
      <c r="U9" s="268"/>
      <c r="V9" s="268"/>
    </row>
    <row r="10" spans="1:22" s="32" customFormat="1">
      <c r="A10" s="481"/>
      <c r="B10" s="374"/>
      <c r="C10" s="482"/>
      <c r="D10" s="482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</row>
    <row r="11" spans="1:22" s="16" customFormat="1">
      <c r="A11" s="85" t="s">
        <v>180</v>
      </c>
      <c r="B11" s="440">
        <v>0</v>
      </c>
      <c r="C11" s="419">
        <v>60000</v>
      </c>
      <c r="D11" s="419">
        <v>70000</v>
      </c>
      <c r="E11" s="419">
        <v>80000</v>
      </c>
      <c r="F11" s="419">
        <v>80000</v>
      </c>
      <c r="G11" s="419">
        <v>80000</v>
      </c>
      <c r="H11" s="419">
        <v>80000</v>
      </c>
      <c r="I11" s="419">
        <v>80000</v>
      </c>
      <c r="J11" s="419">
        <v>80000</v>
      </c>
      <c r="K11" s="419">
        <v>80000</v>
      </c>
      <c r="L11" s="419">
        <v>80000</v>
      </c>
      <c r="M11" s="419">
        <v>80000</v>
      </c>
      <c r="N11" s="419">
        <v>80000</v>
      </c>
      <c r="O11" s="419">
        <v>80000</v>
      </c>
      <c r="P11" s="419">
        <v>80000</v>
      </c>
      <c r="Q11" s="419">
        <v>80000</v>
      </c>
      <c r="R11" s="419">
        <v>80000</v>
      </c>
      <c r="S11" s="419">
        <v>80000</v>
      </c>
      <c r="T11" s="419">
        <v>80000</v>
      </c>
      <c r="U11" s="419">
        <v>80000</v>
      </c>
      <c r="V11" s="419">
        <v>80000</v>
      </c>
    </row>
    <row r="12" spans="1:22">
      <c r="A12" s="83" t="s">
        <v>202</v>
      </c>
      <c r="B12" s="440">
        <v>0</v>
      </c>
      <c r="C12" s="441">
        <v>24000</v>
      </c>
      <c r="D12" s="441">
        <v>28000</v>
      </c>
      <c r="E12" s="441">
        <v>32000</v>
      </c>
      <c r="F12" s="441">
        <v>32000</v>
      </c>
      <c r="G12" s="441">
        <v>32000</v>
      </c>
      <c r="H12" s="441">
        <v>32000</v>
      </c>
      <c r="I12" s="441">
        <v>32000</v>
      </c>
      <c r="J12" s="441">
        <v>32000</v>
      </c>
      <c r="K12" s="441">
        <v>32000</v>
      </c>
      <c r="L12" s="441">
        <v>32000</v>
      </c>
      <c r="M12" s="441">
        <v>32000</v>
      </c>
      <c r="N12" s="441">
        <v>32000</v>
      </c>
      <c r="O12" s="441">
        <v>32000</v>
      </c>
      <c r="P12" s="441">
        <v>32000</v>
      </c>
      <c r="Q12" s="441">
        <v>32000</v>
      </c>
      <c r="R12" s="441">
        <v>32000</v>
      </c>
      <c r="S12" s="441">
        <v>32000</v>
      </c>
      <c r="T12" s="441">
        <v>32000</v>
      </c>
      <c r="U12" s="441">
        <v>32000</v>
      </c>
      <c r="V12" s="441">
        <v>32000</v>
      </c>
    </row>
    <row r="13" spans="1:22">
      <c r="A13" s="82" t="s">
        <v>203</v>
      </c>
      <c r="B13" s="440">
        <v>0</v>
      </c>
      <c r="C13" s="441">
        <v>40</v>
      </c>
      <c r="D13" s="441">
        <v>50</v>
      </c>
      <c r="E13" s="441">
        <v>60</v>
      </c>
      <c r="F13" s="441">
        <v>60</v>
      </c>
      <c r="G13" s="441">
        <v>60</v>
      </c>
      <c r="H13" s="441">
        <v>60</v>
      </c>
      <c r="I13" s="441">
        <v>60</v>
      </c>
      <c r="J13" s="441">
        <v>60</v>
      </c>
      <c r="K13" s="441">
        <v>60</v>
      </c>
      <c r="L13" s="441">
        <v>60</v>
      </c>
      <c r="M13" s="441">
        <v>60</v>
      </c>
      <c r="N13" s="441">
        <v>60</v>
      </c>
      <c r="O13" s="441">
        <v>60</v>
      </c>
      <c r="P13" s="441">
        <v>60</v>
      </c>
      <c r="Q13" s="441">
        <v>60</v>
      </c>
      <c r="R13" s="441">
        <v>60</v>
      </c>
      <c r="S13" s="483">
        <v>60</v>
      </c>
      <c r="T13" s="483">
        <v>60</v>
      </c>
      <c r="U13" s="483">
        <v>60</v>
      </c>
      <c r="V13" s="483">
        <v>60</v>
      </c>
    </row>
    <row r="14" spans="1:22">
      <c r="A14"/>
      <c r="B14" s="448"/>
      <c r="C14" s="96"/>
      <c r="D14" s="96"/>
      <c r="E14" s="96"/>
      <c r="F14" s="96"/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</row>
    <row r="15" spans="1:22">
      <c r="A15" s="95"/>
      <c r="B15" s="95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131"/>
      <c r="T15" s="131"/>
      <c r="U15" s="131"/>
      <c r="V15" s="131"/>
    </row>
    <row r="16" spans="1:2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</row>
    <row r="17" spans="1:18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</row>
    <row r="18" spans="1:18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</row>
    <row r="19" spans="1:18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</row>
    <row r="20" spans="1:18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</row>
    <row r="21" spans="1:18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</row>
    <row r="22" spans="1:18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</row>
    <row r="23" spans="1:18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</row>
    <row r="24" spans="1:18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</row>
    <row r="25" spans="1:18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</row>
    <row r="26" spans="1:18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</row>
    <row r="27" spans="1:18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</row>
    <row r="28" spans="1:18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</row>
    <row r="29" spans="1:18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</row>
    <row r="30" spans="1:18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</row>
    <row r="31" spans="1:18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</row>
    <row r="32" spans="1:18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</row>
    <row r="33" spans="1:18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</row>
    <row r="34" spans="1:18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</row>
    <row r="35" spans="1:18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</row>
    <row r="36" spans="1:18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</row>
    <row r="37" spans="1:18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</row>
    <row r="38" spans="1:18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</row>
    <row r="39" spans="1:18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</row>
    <row r="40" spans="1:18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</row>
    <row r="41" spans="1:18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</row>
    <row r="42" spans="1:18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</row>
    <row r="43" spans="1:18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</row>
    <row r="44" spans="1:18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</row>
    <row r="45" spans="1:18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</row>
    <row r="46" spans="1:18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</row>
    <row r="47" spans="1:18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</row>
    <row r="48" spans="1:18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</row>
    <row r="49" spans="1:18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</row>
    <row r="50" spans="1:18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</row>
    <row r="51" spans="1:18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</row>
    <row r="52" spans="1:18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</row>
    <row r="53" spans="1:18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</row>
    <row r="54" spans="1:18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</row>
    <row r="55" spans="1:18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</row>
    <row r="56" spans="1:18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</row>
    <row r="57" spans="1:18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</row>
    <row r="58" spans="1:18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</row>
    <row r="59" spans="1:18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</row>
    <row r="60" spans="1:18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</row>
    <row r="61" spans="1:18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</row>
    <row r="62" spans="1:18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</row>
    <row r="63" spans="1:18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</row>
    <row r="64" spans="1:18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</row>
    <row r="65" spans="1:18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</row>
    <row r="66" spans="1:18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</row>
    <row r="67" spans="1:18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</row>
    <row r="68" spans="1:18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</row>
    <row r="69" spans="1:18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</row>
    <row r="70" spans="1:18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</row>
    <row r="71" spans="1:18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</row>
    <row r="72" spans="1:18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</row>
    <row r="73" spans="1:18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</row>
    <row r="74" spans="1:18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</row>
    <row r="75" spans="1:18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</row>
    <row r="76" spans="1:18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</row>
    <row r="77" spans="1:18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</row>
    <row r="78" spans="1:18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</row>
    <row r="79" spans="1:18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</row>
    <row r="80" spans="1:18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</row>
    <row r="81" spans="1:18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</row>
    <row r="82" spans="1:18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</row>
    <row r="83" spans="1:18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</row>
    <row r="84" spans="1:18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</row>
    <row r="85" spans="1:18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</row>
    <row r="86" spans="1:18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</row>
    <row r="87" spans="1:18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</row>
    <row r="88" spans="1:18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</row>
    <row r="89" spans="1:18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</row>
    <row r="90" spans="1:18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</row>
    <row r="91" spans="1:18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</row>
    <row r="92" spans="1:18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</row>
    <row r="93" spans="1:18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</row>
    <row r="94" spans="1:18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</row>
    <row r="95" spans="1:18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</row>
    <row r="96" spans="1:18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8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</row>
    <row r="98" spans="1:18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</row>
    <row r="99" spans="1:18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</row>
    <row r="100" spans="1:18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</row>
    <row r="101" spans="1:18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</sheetData>
  <mergeCells count="1">
    <mergeCell ref="A5:D5"/>
  </mergeCells>
  <pageMargins left="0.7" right="0.7" top="0.75" bottom="0.75" header="0.3" footer="0.3"/>
  <pageSetup orientation="portrait" horizontalDpi="1200" verticalDpi="120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3CC"/>
  </sheetPr>
  <dimension ref="A1:X216"/>
  <sheetViews>
    <sheetView topLeftCell="A84" zoomScale="70" zoomScaleNormal="70" workbookViewId="0">
      <selection activeCell="C90" sqref="C90"/>
    </sheetView>
  </sheetViews>
  <sheetFormatPr defaultColWidth="9" defaultRowHeight="16.5"/>
  <cols>
    <col min="1" max="1" width="55.25" style="18" bestFit="1" customWidth="1"/>
    <col min="2" max="2" width="9.625" style="18" customWidth="1"/>
    <col min="3" max="22" width="10.875" style="18" bestFit="1" customWidth="1"/>
    <col min="23" max="23" width="9" style="18"/>
    <col min="24" max="24" width="9.625" style="18" bestFit="1" customWidth="1"/>
    <col min="25" max="16384" width="9" style="18"/>
  </cols>
  <sheetData>
    <row r="1" spans="1:23" ht="18.75" thickBot="1">
      <c r="A1" s="11" t="str">
        <f>Intro!A1</f>
        <v>Town of Bar Harbor</v>
      </c>
      <c r="B1" s="14"/>
      <c r="C1" s="14"/>
      <c r="D1" s="1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</row>
    <row r="2" spans="1:23" ht="17.25" thickBot="1">
      <c r="A2" s="380" t="str">
        <f>Intro!A2</f>
        <v>Ferry Property Business Plan</v>
      </c>
      <c r="B2" s="14"/>
      <c r="C2" s="14"/>
      <c r="D2" s="1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</row>
    <row r="3" spans="1:23" s="381" customFormat="1" ht="14.25" thickBot="1">
      <c r="A3" s="384" t="str">
        <f>Intro!A3</f>
        <v>05.23.2018</v>
      </c>
      <c r="B3" s="385"/>
      <c r="C3" s="385"/>
      <c r="D3" s="385"/>
      <c r="E3" s="396"/>
      <c r="F3" s="396"/>
      <c r="G3" s="396"/>
      <c r="H3" s="396"/>
      <c r="I3" s="396"/>
      <c r="J3" s="396"/>
      <c r="K3" s="396"/>
      <c r="L3" s="396"/>
      <c r="M3" s="396"/>
      <c r="N3" s="396"/>
      <c r="O3" s="396"/>
      <c r="P3" s="396"/>
      <c r="Q3" s="396"/>
      <c r="R3" s="396"/>
      <c r="S3" s="396"/>
      <c r="T3" s="396"/>
      <c r="U3" s="396"/>
      <c r="V3" s="396"/>
    </row>
    <row r="4" spans="1:23" s="381" customFormat="1" ht="13.5">
      <c r="A4" s="384" t="str">
        <f ca="1">Intro!A4</f>
        <v>Town of Bar Harbor</v>
      </c>
      <c r="B4" s="385"/>
      <c r="C4" s="385"/>
      <c r="D4" s="385"/>
      <c r="E4" s="385"/>
      <c r="F4" s="385"/>
      <c r="G4" s="385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5"/>
      <c r="U4" s="385"/>
      <c r="V4" s="385"/>
    </row>
    <row r="5" spans="1:23">
      <c r="A5" s="1208" t="s">
        <v>260</v>
      </c>
      <c r="B5" s="1208"/>
      <c r="C5" s="1208"/>
      <c r="D5" s="1208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</row>
    <row r="6" spans="1:23">
      <c r="A6" s="6"/>
      <c r="B6" s="425"/>
      <c r="C6" s="7"/>
      <c r="D6" s="7"/>
    </row>
    <row r="7" spans="1:23">
      <c r="A7" s="8"/>
      <c r="B7" s="444">
        <v>2018</v>
      </c>
      <c r="C7" s="86">
        <v>2019</v>
      </c>
      <c r="D7" s="86">
        <v>2020</v>
      </c>
      <c r="E7" s="86">
        <v>2021</v>
      </c>
      <c r="F7" s="86">
        <v>2022</v>
      </c>
      <c r="G7" s="86">
        <v>2023</v>
      </c>
      <c r="H7" s="86">
        <v>2024</v>
      </c>
      <c r="I7" s="86">
        <v>2025</v>
      </c>
      <c r="J7" s="86">
        <v>2026</v>
      </c>
      <c r="K7" s="86">
        <v>2027</v>
      </c>
      <c r="L7" s="86">
        <v>2028</v>
      </c>
      <c r="M7" s="86">
        <v>2029</v>
      </c>
      <c r="N7" s="86">
        <v>2030</v>
      </c>
      <c r="O7" s="86">
        <v>2031</v>
      </c>
      <c r="P7" s="86">
        <v>2032</v>
      </c>
      <c r="Q7" s="86">
        <v>2033</v>
      </c>
      <c r="R7" s="9">
        <f t="shared" ref="R7:V7" si="0">Q7+1</f>
        <v>2034</v>
      </c>
      <c r="S7" s="9">
        <f t="shared" si="0"/>
        <v>2035</v>
      </c>
      <c r="T7" s="9">
        <f t="shared" si="0"/>
        <v>2036</v>
      </c>
      <c r="U7" s="9">
        <f t="shared" si="0"/>
        <v>2037</v>
      </c>
      <c r="V7" s="9">
        <f t="shared" si="0"/>
        <v>2038</v>
      </c>
    </row>
    <row r="8" spans="1:23">
      <c r="A8" s="82"/>
      <c r="B8" s="373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4"/>
      <c r="T8" s="154"/>
      <c r="U8" s="154"/>
      <c r="V8" s="154"/>
    </row>
    <row r="9" spans="1:23">
      <c r="A9" s="475" t="s">
        <v>349</v>
      </c>
      <c r="B9" s="480"/>
      <c r="C9" s="480"/>
      <c r="D9" s="480"/>
      <c r="E9" s="268"/>
      <c r="F9" s="268"/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/>
      <c r="U9" s="268"/>
      <c r="V9" s="268"/>
    </row>
    <row r="10" spans="1:23" s="306" customFormat="1" ht="14.25">
      <c r="A10" s="633"/>
      <c r="B10" s="634"/>
      <c r="C10" s="635">
        <f>C11/250</f>
        <v>1</v>
      </c>
      <c r="D10" s="635">
        <f t="shared" ref="D10:L10" si="1">D11/250</f>
        <v>1</v>
      </c>
      <c r="E10" s="635">
        <f t="shared" si="1"/>
        <v>1</v>
      </c>
      <c r="F10" s="635">
        <f t="shared" si="1"/>
        <v>1</v>
      </c>
      <c r="G10" s="635">
        <f t="shared" si="1"/>
        <v>1</v>
      </c>
      <c r="H10" s="635">
        <f t="shared" si="1"/>
        <v>1</v>
      </c>
      <c r="I10" s="635">
        <f t="shared" si="1"/>
        <v>1</v>
      </c>
      <c r="J10" s="635">
        <f t="shared" si="1"/>
        <v>1</v>
      </c>
      <c r="K10" s="635">
        <f t="shared" si="1"/>
        <v>1</v>
      </c>
      <c r="L10" s="635">
        <f t="shared" si="1"/>
        <v>1</v>
      </c>
      <c r="M10" s="636">
        <v>1</v>
      </c>
      <c r="N10" s="636">
        <v>1</v>
      </c>
      <c r="O10" s="636">
        <v>1</v>
      </c>
      <c r="P10" s="636">
        <v>1</v>
      </c>
      <c r="Q10" s="636">
        <v>1</v>
      </c>
      <c r="R10" s="636">
        <v>1</v>
      </c>
      <c r="S10" s="636">
        <v>1</v>
      </c>
      <c r="T10" s="636">
        <v>1</v>
      </c>
      <c r="U10" s="636">
        <v>1</v>
      </c>
      <c r="V10" s="636">
        <v>1</v>
      </c>
    </row>
    <row r="11" spans="1:23" s="16" customFormat="1" ht="14.25">
      <c r="A11" s="85" t="s">
        <v>261</v>
      </c>
      <c r="B11" s="711">
        <v>0</v>
      </c>
      <c r="C11" s="419">
        <f>'Parking by Use'!$B$3</f>
        <v>250</v>
      </c>
      <c r="D11" s="419">
        <f>'Parking by Use'!$B$3</f>
        <v>250</v>
      </c>
      <c r="E11" s="419">
        <f>'Parking by Use'!$B$3</f>
        <v>250</v>
      </c>
      <c r="F11" s="419">
        <f>'Parking by Use'!$B$3</f>
        <v>250</v>
      </c>
      <c r="G11" s="419">
        <f>'Parking by Use'!$B$3</f>
        <v>250</v>
      </c>
      <c r="H11" s="419">
        <f>'Parking by Use'!$B$3</f>
        <v>250</v>
      </c>
      <c r="I11" s="419">
        <f>'Parking by Use'!$B$3</f>
        <v>250</v>
      </c>
      <c r="J11" s="419">
        <f>'Parking by Use'!$B$3</f>
        <v>250</v>
      </c>
      <c r="K11" s="419">
        <f>'Parking by Use'!$B$3</f>
        <v>250</v>
      </c>
      <c r="L11" s="419">
        <f>'Parking by Use'!$B$3</f>
        <v>250</v>
      </c>
      <c r="M11" s="419">
        <f>'Parking by Use'!$B$3</f>
        <v>250</v>
      </c>
      <c r="N11" s="419">
        <f>'Parking by Use'!$B$3</f>
        <v>250</v>
      </c>
      <c r="O11" s="419">
        <f>'Parking by Use'!$B$3</f>
        <v>250</v>
      </c>
      <c r="P11" s="419">
        <f>'Parking by Use'!$B$3</f>
        <v>250</v>
      </c>
      <c r="Q11" s="419">
        <f>'Parking by Use'!$B$3</f>
        <v>250</v>
      </c>
      <c r="R11" s="419">
        <f>'Parking by Use'!$B$3</f>
        <v>250</v>
      </c>
      <c r="S11" s="419">
        <f>'Parking by Use'!$B$3</f>
        <v>250</v>
      </c>
      <c r="T11" s="419">
        <f>'Parking by Use'!$B$3</f>
        <v>250</v>
      </c>
      <c r="U11" s="419">
        <f>'Parking by Use'!$B$3</f>
        <v>250</v>
      </c>
      <c r="V11" s="419">
        <f>'Parking by Use'!$B$3</f>
        <v>250</v>
      </c>
    </row>
    <row r="12" spans="1:23" s="16" customFormat="1" ht="14.25">
      <c r="A12" s="85" t="s">
        <v>274</v>
      </c>
      <c r="B12" s="711">
        <v>0</v>
      </c>
      <c r="C12" s="419">
        <f>SUM(C16,C20)</f>
        <v>30783.187499999996</v>
      </c>
      <c r="D12" s="419">
        <f t="shared" ref="D12:V12" si="2">SUM(D16,D20)</f>
        <v>30783.187499999996</v>
      </c>
      <c r="E12" s="419">
        <f t="shared" si="2"/>
        <v>30783.187499999996</v>
      </c>
      <c r="F12" s="419">
        <f t="shared" si="2"/>
        <v>30783.187499999996</v>
      </c>
      <c r="G12" s="419">
        <f t="shared" si="2"/>
        <v>30783.187499999996</v>
      </c>
      <c r="H12" s="419">
        <f t="shared" si="2"/>
        <v>30783.187499999996</v>
      </c>
      <c r="I12" s="419">
        <f t="shared" si="2"/>
        <v>30783.187499999996</v>
      </c>
      <c r="J12" s="419">
        <f t="shared" si="2"/>
        <v>30783.187499999996</v>
      </c>
      <c r="K12" s="419">
        <f t="shared" si="2"/>
        <v>30783.187499999996</v>
      </c>
      <c r="L12" s="419">
        <f t="shared" si="2"/>
        <v>30783.187499999996</v>
      </c>
      <c r="M12" s="419">
        <f t="shared" si="2"/>
        <v>30783.187499999996</v>
      </c>
      <c r="N12" s="419">
        <f t="shared" si="2"/>
        <v>30783.187499999996</v>
      </c>
      <c r="O12" s="419">
        <f t="shared" si="2"/>
        <v>30783.187499999996</v>
      </c>
      <c r="P12" s="419">
        <f t="shared" si="2"/>
        <v>30783.187499999996</v>
      </c>
      <c r="Q12" s="419">
        <f t="shared" si="2"/>
        <v>30783.187499999996</v>
      </c>
      <c r="R12" s="419">
        <f t="shared" si="2"/>
        <v>30783.187499999996</v>
      </c>
      <c r="S12" s="419">
        <f t="shared" si="2"/>
        <v>30783.187499999996</v>
      </c>
      <c r="T12" s="419">
        <f t="shared" si="2"/>
        <v>30783.187499999996</v>
      </c>
      <c r="U12" s="419">
        <f t="shared" si="2"/>
        <v>30783.187499999996</v>
      </c>
      <c r="V12" s="419">
        <f t="shared" si="2"/>
        <v>30783.187499999996</v>
      </c>
    </row>
    <row r="13" spans="1:23" s="16" customFormat="1">
      <c r="A13" s="83" t="s">
        <v>263</v>
      </c>
      <c r="B13" s="440">
        <v>0</v>
      </c>
      <c r="C13" s="441">
        <f>('Parking by Use'!$I$3-'Parking by Use'!$D$3)+('Marina Projections'!C13/3)</f>
        <v>30.666666666666668</v>
      </c>
      <c r="D13" s="441">
        <f>('Parking by Use'!$I$3-'Parking by Use'!$D$3)+('Marina Projections'!D13/3)</f>
        <v>30.666666666666668</v>
      </c>
      <c r="E13" s="441">
        <f>('Parking by Use'!$I$3-'Parking by Use'!$D$3)+('Marina Projections'!E13/3)</f>
        <v>30.666666666666668</v>
      </c>
      <c r="F13" s="441">
        <f>('Parking by Use'!$I$3-'Parking by Use'!$D$3)+('Marina Projections'!F13/3)</f>
        <v>30.666666666666668</v>
      </c>
      <c r="G13" s="441">
        <f>('Parking by Use'!$I$3-'Parking by Use'!$D$3)+('Marina Projections'!G13/3)</f>
        <v>30.666666666666668</v>
      </c>
      <c r="H13" s="441">
        <f>('Parking by Use'!$I$3-'Parking by Use'!$D$3)+('Marina Projections'!H13/3)</f>
        <v>30.666666666666668</v>
      </c>
      <c r="I13" s="441">
        <f>('Parking by Use'!$I$3-'Parking by Use'!$D$3)+('Marina Projections'!I13/3)</f>
        <v>30.666666666666668</v>
      </c>
      <c r="J13" s="441">
        <f>('Parking by Use'!$I$3-'Parking by Use'!$D$3)+('Marina Projections'!J13/3)</f>
        <v>30.666666666666668</v>
      </c>
      <c r="K13" s="441">
        <f>('Parking by Use'!$I$3-'Parking by Use'!$D$3)+('Marina Projections'!K13/3)</f>
        <v>30.666666666666668</v>
      </c>
      <c r="L13" s="441">
        <f>('Parking by Use'!$I$3-'Parking by Use'!$D$3)+('Marina Projections'!L13/3)</f>
        <v>30.666666666666668</v>
      </c>
      <c r="M13" s="441">
        <f>('Parking by Use'!$I$3-'Parking by Use'!$D$3)+('Marina Projections'!M13/3)</f>
        <v>30.666666666666668</v>
      </c>
      <c r="N13" s="441">
        <f>('Parking by Use'!$I$3-'Parking by Use'!$D$3)+('Marina Projections'!N13/3)</f>
        <v>30.666666666666668</v>
      </c>
      <c r="O13" s="441">
        <f>('Parking by Use'!$I$3-'Parking by Use'!$D$3)+('Marina Projections'!O13/3)</f>
        <v>30.666666666666668</v>
      </c>
      <c r="P13" s="441">
        <f>('Parking by Use'!$I$3-'Parking by Use'!$D$3)+('Marina Projections'!P13/3)</f>
        <v>30.666666666666668</v>
      </c>
      <c r="Q13" s="441">
        <f>('Parking by Use'!$I$3-'Parking by Use'!$D$3)+('Marina Projections'!Q13/3)</f>
        <v>30.666666666666668</v>
      </c>
      <c r="R13" s="441">
        <f>('Parking by Use'!$I$3-'Parking by Use'!$D$3)+('Marina Projections'!R13/3)</f>
        <v>30.666666666666668</v>
      </c>
      <c r="S13" s="441">
        <f>('Parking by Use'!$I$3-'Parking by Use'!$D$3)+('Marina Projections'!S13/3)</f>
        <v>30.666666666666668</v>
      </c>
      <c r="T13" s="441">
        <f>('Parking by Use'!$I$3-'Parking by Use'!$D$3)+('Marina Projections'!T13/3)</f>
        <v>30.666666666666668</v>
      </c>
      <c r="U13" s="441">
        <f>('Parking by Use'!$I$3-'Parking by Use'!$D$3)+('Marina Projections'!U13/3)</f>
        <v>30.666666666666668</v>
      </c>
      <c r="V13" s="441">
        <f>('Parking by Use'!$I$3-'Parking by Use'!$D$3)+('Marina Projections'!V13/3)</f>
        <v>30.666666666666668</v>
      </c>
      <c r="W13" s="441"/>
    </row>
    <row r="14" spans="1:23" s="16" customFormat="1">
      <c r="A14" s="83" t="s">
        <v>264</v>
      </c>
      <c r="B14" s="440">
        <v>0</v>
      </c>
      <c r="C14" s="441">
        <f>C13*365</f>
        <v>11193.333333333334</v>
      </c>
      <c r="D14" s="441">
        <f t="shared" ref="D14:V14" si="3">D13*365</f>
        <v>11193.333333333334</v>
      </c>
      <c r="E14" s="441">
        <f t="shared" si="3"/>
        <v>11193.333333333334</v>
      </c>
      <c r="F14" s="441">
        <f t="shared" si="3"/>
        <v>11193.333333333334</v>
      </c>
      <c r="G14" s="441">
        <f t="shared" si="3"/>
        <v>11193.333333333334</v>
      </c>
      <c r="H14" s="441">
        <f t="shared" si="3"/>
        <v>11193.333333333334</v>
      </c>
      <c r="I14" s="441">
        <f t="shared" si="3"/>
        <v>11193.333333333334</v>
      </c>
      <c r="J14" s="441">
        <f t="shared" si="3"/>
        <v>11193.333333333334</v>
      </c>
      <c r="K14" s="441">
        <f t="shared" si="3"/>
        <v>11193.333333333334</v>
      </c>
      <c r="L14" s="441">
        <f t="shared" si="3"/>
        <v>11193.333333333334</v>
      </c>
      <c r="M14" s="441">
        <f t="shared" si="3"/>
        <v>11193.333333333334</v>
      </c>
      <c r="N14" s="441">
        <f t="shared" si="3"/>
        <v>11193.333333333334</v>
      </c>
      <c r="O14" s="441">
        <f t="shared" si="3"/>
        <v>11193.333333333334</v>
      </c>
      <c r="P14" s="441">
        <f t="shared" si="3"/>
        <v>11193.333333333334</v>
      </c>
      <c r="Q14" s="441">
        <f t="shared" si="3"/>
        <v>11193.333333333334</v>
      </c>
      <c r="R14" s="441">
        <f t="shared" si="3"/>
        <v>11193.333333333334</v>
      </c>
      <c r="S14" s="441">
        <f t="shared" si="3"/>
        <v>11193.333333333334</v>
      </c>
      <c r="T14" s="441">
        <f t="shared" si="3"/>
        <v>11193.333333333334</v>
      </c>
      <c r="U14" s="441">
        <f t="shared" si="3"/>
        <v>11193.333333333334</v>
      </c>
      <c r="V14" s="441">
        <f t="shared" si="3"/>
        <v>11193.333333333334</v>
      </c>
      <c r="W14" s="441"/>
    </row>
    <row r="15" spans="1:23" s="16" customFormat="1">
      <c r="A15" s="83" t="s">
        <v>265</v>
      </c>
      <c r="B15" s="440">
        <v>0</v>
      </c>
      <c r="C15" s="358">
        <f t="shared" ref="C15:V15" si="4">$B$132</f>
        <v>0.24687500000000001</v>
      </c>
      <c r="D15" s="358">
        <f t="shared" si="4"/>
        <v>0.24687500000000001</v>
      </c>
      <c r="E15" s="358">
        <f t="shared" si="4"/>
        <v>0.24687500000000001</v>
      </c>
      <c r="F15" s="358">
        <f t="shared" si="4"/>
        <v>0.24687500000000001</v>
      </c>
      <c r="G15" s="358">
        <f t="shared" si="4"/>
        <v>0.24687500000000001</v>
      </c>
      <c r="H15" s="358">
        <f t="shared" si="4"/>
        <v>0.24687500000000001</v>
      </c>
      <c r="I15" s="358">
        <f t="shared" si="4"/>
        <v>0.24687500000000001</v>
      </c>
      <c r="J15" s="358">
        <f t="shared" si="4"/>
        <v>0.24687500000000001</v>
      </c>
      <c r="K15" s="358">
        <f t="shared" si="4"/>
        <v>0.24687500000000001</v>
      </c>
      <c r="L15" s="358">
        <f t="shared" si="4"/>
        <v>0.24687500000000001</v>
      </c>
      <c r="M15" s="358">
        <f t="shared" si="4"/>
        <v>0.24687500000000001</v>
      </c>
      <c r="N15" s="358">
        <f t="shared" si="4"/>
        <v>0.24687500000000001</v>
      </c>
      <c r="O15" s="358">
        <f t="shared" si="4"/>
        <v>0.24687500000000001</v>
      </c>
      <c r="P15" s="358">
        <f t="shared" si="4"/>
        <v>0.24687500000000001</v>
      </c>
      <c r="Q15" s="358">
        <f t="shared" si="4"/>
        <v>0.24687500000000001</v>
      </c>
      <c r="R15" s="358">
        <f t="shared" si="4"/>
        <v>0.24687500000000001</v>
      </c>
      <c r="S15" s="358">
        <f t="shared" si="4"/>
        <v>0.24687500000000001</v>
      </c>
      <c r="T15" s="358">
        <f t="shared" si="4"/>
        <v>0.24687500000000001</v>
      </c>
      <c r="U15" s="358">
        <f t="shared" si="4"/>
        <v>0.24687500000000001</v>
      </c>
      <c r="V15" s="358">
        <f t="shared" si="4"/>
        <v>0.24687500000000001</v>
      </c>
      <c r="W15" s="441"/>
    </row>
    <row r="16" spans="1:23" s="16" customFormat="1">
      <c r="A16" s="83" t="s">
        <v>266</v>
      </c>
      <c r="B16" s="440">
        <v>0</v>
      </c>
      <c r="C16" s="441">
        <f>C15*C14</f>
        <v>2763.354166666667</v>
      </c>
      <c r="D16" s="441">
        <f t="shared" ref="D16:V16" si="5">D15*D14</f>
        <v>2763.354166666667</v>
      </c>
      <c r="E16" s="441">
        <f t="shared" si="5"/>
        <v>2763.354166666667</v>
      </c>
      <c r="F16" s="441">
        <f t="shared" si="5"/>
        <v>2763.354166666667</v>
      </c>
      <c r="G16" s="441">
        <f t="shared" si="5"/>
        <v>2763.354166666667</v>
      </c>
      <c r="H16" s="441">
        <f t="shared" si="5"/>
        <v>2763.354166666667</v>
      </c>
      <c r="I16" s="441">
        <f t="shared" si="5"/>
        <v>2763.354166666667</v>
      </c>
      <c r="J16" s="441">
        <f t="shared" si="5"/>
        <v>2763.354166666667</v>
      </c>
      <c r="K16" s="441">
        <f t="shared" si="5"/>
        <v>2763.354166666667</v>
      </c>
      <c r="L16" s="441">
        <f t="shared" si="5"/>
        <v>2763.354166666667</v>
      </c>
      <c r="M16" s="441">
        <f t="shared" si="5"/>
        <v>2763.354166666667</v>
      </c>
      <c r="N16" s="441">
        <f t="shared" si="5"/>
        <v>2763.354166666667</v>
      </c>
      <c r="O16" s="441">
        <f t="shared" si="5"/>
        <v>2763.354166666667</v>
      </c>
      <c r="P16" s="441">
        <f t="shared" si="5"/>
        <v>2763.354166666667</v>
      </c>
      <c r="Q16" s="441">
        <f t="shared" si="5"/>
        <v>2763.354166666667</v>
      </c>
      <c r="R16" s="441">
        <f t="shared" si="5"/>
        <v>2763.354166666667</v>
      </c>
      <c r="S16" s="441">
        <f t="shared" si="5"/>
        <v>2763.354166666667</v>
      </c>
      <c r="T16" s="441">
        <f t="shared" si="5"/>
        <v>2763.354166666667</v>
      </c>
      <c r="U16" s="441">
        <f t="shared" si="5"/>
        <v>2763.354166666667</v>
      </c>
      <c r="V16" s="441">
        <f t="shared" si="5"/>
        <v>2763.354166666667</v>
      </c>
      <c r="W16" s="441"/>
    </row>
    <row r="17" spans="1:23" s="16" customFormat="1">
      <c r="A17" s="83" t="s">
        <v>262</v>
      </c>
      <c r="B17" s="440">
        <v>0</v>
      </c>
      <c r="C17" s="441">
        <f>C11-C13</f>
        <v>219.33333333333334</v>
      </c>
      <c r="D17" s="441">
        <f t="shared" ref="D17:V17" si="6">D11-D13</f>
        <v>219.33333333333334</v>
      </c>
      <c r="E17" s="441">
        <f t="shared" si="6"/>
        <v>219.33333333333334</v>
      </c>
      <c r="F17" s="441">
        <f t="shared" si="6"/>
        <v>219.33333333333334</v>
      </c>
      <c r="G17" s="441">
        <f t="shared" si="6"/>
        <v>219.33333333333334</v>
      </c>
      <c r="H17" s="441">
        <f t="shared" si="6"/>
        <v>219.33333333333334</v>
      </c>
      <c r="I17" s="441">
        <f t="shared" si="6"/>
        <v>219.33333333333334</v>
      </c>
      <c r="J17" s="441">
        <f t="shared" si="6"/>
        <v>219.33333333333334</v>
      </c>
      <c r="K17" s="441">
        <f t="shared" si="6"/>
        <v>219.33333333333334</v>
      </c>
      <c r="L17" s="441">
        <f t="shared" si="6"/>
        <v>219.33333333333334</v>
      </c>
      <c r="M17" s="441">
        <f t="shared" si="6"/>
        <v>219.33333333333334</v>
      </c>
      <c r="N17" s="441">
        <f t="shared" si="6"/>
        <v>219.33333333333334</v>
      </c>
      <c r="O17" s="441">
        <f t="shared" si="6"/>
        <v>219.33333333333334</v>
      </c>
      <c r="P17" s="441">
        <f t="shared" si="6"/>
        <v>219.33333333333334</v>
      </c>
      <c r="Q17" s="441">
        <f t="shared" si="6"/>
        <v>219.33333333333334</v>
      </c>
      <c r="R17" s="441">
        <f t="shared" si="6"/>
        <v>219.33333333333334</v>
      </c>
      <c r="S17" s="441">
        <f t="shared" si="6"/>
        <v>219.33333333333334</v>
      </c>
      <c r="T17" s="441">
        <f t="shared" si="6"/>
        <v>219.33333333333334</v>
      </c>
      <c r="U17" s="441">
        <f t="shared" si="6"/>
        <v>219.33333333333334</v>
      </c>
      <c r="V17" s="441">
        <f t="shared" si="6"/>
        <v>219.33333333333334</v>
      </c>
      <c r="W17" s="441"/>
    </row>
    <row r="18" spans="1:23" s="16" customFormat="1">
      <c r="A18" s="83" t="s">
        <v>267</v>
      </c>
      <c r="B18" s="440">
        <v>0</v>
      </c>
      <c r="C18" s="441">
        <f>C17*365</f>
        <v>80056.666666666672</v>
      </c>
      <c r="D18" s="441">
        <f t="shared" ref="D18:V18" si="7">D17*365</f>
        <v>80056.666666666672</v>
      </c>
      <c r="E18" s="441">
        <f t="shared" si="7"/>
        <v>80056.666666666672</v>
      </c>
      <c r="F18" s="441">
        <f t="shared" si="7"/>
        <v>80056.666666666672</v>
      </c>
      <c r="G18" s="441">
        <f t="shared" si="7"/>
        <v>80056.666666666672</v>
      </c>
      <c r="H18" s="441">
        <f t="shared" si="7"/>
        <v>80056.666666666672</v>
      </c>
      <c r="I18" s="441">
        <f t="shared" si="7"/>
        <v>80056.666666666672</v>
      </c>
      <c r="J18" s="441">
        <f t="shared" si="7"/>
        <v>80056.666666666672</v>
      </c>
      <c r="K18" s="441">
        <f t="shared" si="7"/>
        <v>80056.666666666672</v>
      </c>
      <c r="L18" s="441">
        <f t="shared" si="7"/>
        <v>80056.666666666672</v>
      </c>
      <c r="M18" s="441">
        <f t="shared" si="7"/>
        <v>80056.666666666672</v>
      </c>
      <c r="N18" s="441">
        <f t="shared" si="7"/>
        <v>80056.666666666672</v>
      </c>
      <c r="O18" s="441">
        <f t="shared" si="7"/>
        <v>80056.666666666672</v>
      </c>
      <c r="P18" s="441">
        <f t="shared" si="7"/>
        <v>80056.666666666672</v>
      </c>
      <c r="Q18" s="441">
        <f t="shared" si="7"/>
        <v>80056.666666666672</v>
      </c>
      <c r="R18" s="441">
        <f t="shared" si="7"/>
        <v>80056.666666666672</v>
      </c>
      <c r="S18" s="441">
        <f t="shared" si="7"/>
        <v>80056.666666666672</v>
      </c>
      <c r="T18" s="441">
        <f t="shared" si="7"/>
        <v>80056.666666666672</v>
      </c>
      <c r="U18" s="441">
        <f t="shared" si="7"/>
        <v>80056.666666666672</v>
      </c>
      <c r="V18" s="441">
        <f t="shared" si="7"/>
        <v>80056.666666666672</v>
      </c>
      <c r="W18" s="441"/>
    </row>
    <row r="19" spans="1:23" s="16" customFormat="1">
      <c r="A19" s="83" t="s">
        <v>271</v>
      </c>
      <c r="B19" s="440">
        <v>0</v>
      </c>
      <c r="C19" s="358">
        <f t="shared" ref="C19:V19" si="8">$B$115</f>
        <v>0.34999999999999992</v>
      </c>
      <c r="D19" s="358">
        <f t="shared" si="8"/>
        <v>0.34999999999999992</v>
      </c>
      <c r="E19" s="358">
        <f t="shared" si="8"/>
        <v>0.34999999999999992</v>
      </c>
      <c r="F19" s="358">
        <f t="shared" si="8"/>
        <v>0.34999999999999992</v>
      </c>
      <c r="G19" s="358">
        <f t="shared" si="8"/>
        <v>0.34999999999999992</v>
      </c>
      <c r="H19" s="358">
        <f t="shared" si="8"/>
        <v>0.34999999999999992</v>
      </c>
      <c r="I19" s="358">
        <f t="shared" si="8"/>
        <v>0.34999999999999992</v>
      </c>
      <c r="J19" s="358">
        <f t="shared" si="8"/>
        <v>0.34999999999999992</v>
      </c>
      <c r="K19" s="358">
        <f t="shared" si="8"/>
        <v>0.34999999999999992</v>
      </c>
      <c r="L19" s="358">
        <f t="shared" si="8"/>
        <v>0.34999999999999992</v>
      </c>
      <c r="M19" s="358">
        <f t="shared" si="8"/>
        <v>0.34999999999999992</v>
      </c>
      <c r="N19" s="358">
        <f t="shared" si="8"/>
        <v>0.34999999999999992</v>
      </c>
      <c r="O19" s="358">
        <f t="shared" si="8"/>
        <v>0.34999999999999992</v>
      </c>
      <c r="P19" s="358">
        <f t="shared" si="8"/>
        <v>0.34999999999999992</v>
      </c>
      <c r="Q19" s="358">
        <f t="shared" si="8"/>
        <v>0.34999999999999992</v>
      </c>
      <c r="R19" s="358">
        <f t="shared" si="8"/>
        <v>0.34999999999999992</v>
      </c>
      <c r="S19" s="358">
        <f t="shared" si="8"/>
        <v>0.34999999999999992</v>
      </c>
      <c r="T19" s="358">
        <f t="shared" si="8"/>
        <v>0.34999999999999992</v>
      </c>
      <c r="U19" s="358">
        <f t="shared" si="8"/>
        <v>0.34999999999999992</v>
      </c>
      <c r="V19" s="358">
        <f t="shared" si="8"/>
        <v>0.34999999999999992</v>
      </c>
      <c r="W19" s="441"/>
    </row>
    <row r="20" spans="1:23" s="16" customFormat="1">
      <c r="A20" s="83" t="s">
        <v>272</v>
      </c>
      <c r="B20" s="440">
        <v>0</v>
      </c>
      <c r="C20" s="441">
        <f>C19*C18</f>
        <v>28019.833333333328</v>
      </c>
      <c r="D20" s="441">
        <f t="shared" ref="D20:V20" si="9">D19*D18</f>
        <v>28019.833333333328</v>
      </c>
      <c r="E20" s="441">
        <f t="shared" si="9"/>
        <v>28019.833333333328</v>
      </c>
      <c r="F20" s="441">
        <f t="shared" si="9"/>
        <v>28019.833333333328</v>
      </c>
      <c r="G20" s="441">
        <f t="shared" si="9"/>
        <v>28019.833333333328</v>
      </c>
      <c r="H20" s="441">
        <f t="shared" si="9"/>
        <v>28019.833333333328</v>
      </c>
      <c r="I20" s="441">
        <f t="shared" si="9"/>
        <v>28019.833333333328</v>
      </c>
      <c r="J20" s="441">
        <f t="shared" si="9"/>
        <v>28019.833333333328</v>
      </c>
      <c r="K20" s="441">
        <f t="shared" si="9"/>
        <v>28019.833333333328</v>
      </c>
      <c r="L20" s="441">
        <f t="shared" si="9"/>
        <v>28019.833333333328</v>
      </c>
      <c r="M20" s="441">
        <f t="shared" si="9"/>
        <v>28019.833333333328</v>
      </c>
      <c r="N20" s="441">
        <f t="shared" si="9"/>
        <v>28019.833333333328</v>
      </c>
      <c r="O20" s="441">
        <f t="shared" si="9"/>
        <v>28019.833333333328</v>
      </c>
      <c r="P20" s="441">
        <f t="shared" si="9"/>
        <v>28019.833333333328</v>
      </c>
      <c r="Q20" s="441">
        <f t="shared" si="9"/>
        <v>28019.833333333328</v>
      </c>
      <c r="R20" s="441">
        <f t="shared" si="9"/>
        <v>28019.833333333328</v>
      </c>
      <c r="S20" s="441">
        <f t="shared" si="9"/>
        <v>28019.833333333328</v>
      </c>
      <c r="T20" s="441">
        <f t="shared" si="9"/>
        <v>28019.833333333328</v>
      </c>
      <c r="U20" s="441">
        <f t="shared" si="9"/>
        <v>28019.833333333328</v>
      </c>
      <c r="V20" s="441">
        <f t="shared" si="9"/>
        <v>28019.833333333328</v>
      </c>
      <c r="W20" s="441"/>
    </row>
    <row r="21" spans="1:23" s="16" customFormat="1">
      <c r="A21" s="83"/>
      <c r="B21" s="440"/>
      <c r="C21" s="441"/>
      <c r="D21" s="441"/>
      <c r="E21" s="441"/>
      <c r="F21" s="441"/>
      <c r="G21" s="441"/>
      <c r="H21" s="441"/>
      <c r="I21" s="441"/>
      <c r="J21" s="441"/>
      <c r="K21" s="441"/>
      <c r="L21" s="441"/>
      <c r="M21" s="441"/>
      <c r="N21" s="441"/>
      <c r="O21" s="441"/>
      <c r="P21" s="441"/>
      <c r="Q21" s="441"/>
      <c r="R21" s="441"/>
      <c r="S21" s="441"/>
      <c r="T21" s="441"/>
      <c r="U21" s="441"/>
      <c r="V21" s="441"/>
      <c r="W21" s="441"/>
    </row>
    <row r="22" spans="1:23">
      <c r="A22" s="475" t="s">
        <v>350</v>
      </c>
      <c r="B22" s="480"/>
      <c r="C22" s="480"/>
      <c r="D22" s="480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</row>
    <row r="23" spans="1:23" s="306" customFormat="1" ht="14.25">
      <c r="A23" s="633"/>
      <c r="B23" s="634"/>
      <c r="C23" s="635">
        <f>C24/250</f>
        <v>1</v>
      </c>
      <c r="D23" s="635">
        <f t="shared" ref="D23:L23" si="10">D24/250</f>
        <v>1</v>
      </c>
      <c r="E23" s="635">
        <f t="shared" si="10"/>
        <v>1</v>
      </c>
      <c r="F23" s="635">
        <f t="shared" si="10"/>
        <v>1</v>
      </c>
      <c r="G23" s="635">
        <f t="shared" si="10"/>
        <v>1</v>
      </c>
      <c r="H23" s="635">
        <f t="shared" si="10"/>
        <v>1</v>
      </c>
      <c r="I23" s="635">
        <f t="shared" si="10"/>
        <v>1</v>
      </c>
      <c r="J23" s="635">
        <f t="shared" si="10"/>
        <v>1</v>
      </c>
      <c r="K23" s="635">
        <f t="shared" si="10"/>
        <v>1</v>
      </c>
      <c r="L23" s="635">
        <f t="shared" si="10"/>
        <v>1</v>
      </c>
      <c r="M23" s="636">
        <v>1</v>
      </c>
      <c r="N23" s="636">
        <v>1</v>
      </c>
      <c r="O23" s="636">
        <v>1</v>
      </c>
      <c r="P23" s="636">
        <v>1</v>
      </c>
      <c r="Q23" s="636">
        <v>1</v>
      </c>
      <c r="R23" s="636">
        <v>1</v>
      </c>
      <c r="S23" s="636">
        <v>1</v>
      </c>
      <c r="T23" s="636">
        <v>1</v>
      </c>
      <c r="U23" s="636">
        <v>1</v>
      </c>
      <c r="V23" s="636">
        <v>1</v>
      </c>
    </row>
    <row r="24" spans="1:23" s="16" customFormat="1" ht="14.25">
      <c r="A24" s="85" t="s">
        <v>261</v>
      </c>
      <c r="B24" s="711">
        <v>0</v>
      </c>
      <c r="C24" s="419">
        <f>'Parking by Use'!$B$4</f>
        <v>250</v>
      </c>
      <c r="D24" s="419">
        <f>'Parking by Use'!$B$4</f>
        <v>250</v>
      </c>
      <c r="E24" s="419">
        <f>'Parking by Use'!$B$4</f>
        <v>250</v>
      </c>
      <c r="F24" s="419">
        <f>'Parking by Use'!$B$4</f>
        <v>250</v>
      </c>
      <c r="G24" s="419">
        <f>'Parking by Use'!$B$4</f>
        <v>250</v>
      </c>
      <c r="H24" s="419">
        <f>'Parking by Use'!$B$4</f>
        <v>250</v>
      </c>
      <c r="I24" s="419">
        <f>'Parking by Use'!$B$4</f>
        <v>250</v>
      </c>
      <c r="J24" s="419">
        <f>'Parking by Use'!$B$4</f>
        <v>250</v>
      </c>
      <c r="K24" s="419">
        <f>'Parking by Use'!$B$4</f>
        <v>250</v>
      </c>
      <c r="L24" s="419">
        <f>'Parking by Use'!$B$4</f>
        <v>250</v>
      </c>
      <c r="M24" s="419">
        <f>'Parking by Use'!$B$4</f>
        <v>250</v>
      </c>
      <c r="N24" s="419">
        <f>'Parking by Use'!$B$4</f>
        <v>250</v>
      </c>
      <c r="O24" s="419">
        <f>'Parking by Use'!$B$4</f>
        <v>250</v>
      </c>
      <c r="P24" s="419">
        <f>'Parking by Use'!$B$4</f>
        <v>250</v>
      </c>
      <c r="Q24" s="419">
        <f>'Parking by Use'!$B$4</f>
        <v>250</v>
      </c>
      <c r="R24" s="419">
        <f>'Parking by Use'!$B$4</f>
        <v>250</v>
      </c>
      <c r="S24" s="419">
        <f>'Parking by Use'!$B$4</f>
        <v>250</v>
      </c>
      <c r="T24" s="419">
        <f>'Parking by Use'!$B$4</f>
        <v>250</v>
      </c>
      <c r="U24" s="419">
        <f>'Parking by Use'!$B$4</f>
        <v>250</v>
      </c>
      <c r="V24" s="419">
        <f>'Parking by Use'!$B$4</f>
        <v>250</v>
      </c>
    </row>
    <row r="25" spans="1:23" s="16" customFormat="1" ht="14.25">
      <c r="A25" s="85" t="s">
        <v>274</v>
      </c>
      <c r="B25" s="711">
        <v>0</v>
      </c>
      <c r="C25" s="419">
        <f>SUM(C29,C33)</f>
        <v>30331.499999999993</v>
      </c>
      <c r="D25" s="419">
        <f t="shared" ref="D25:V25" si="11">SUM(D29,D33)</f>
        <v>30331.499999999993</v>
      </c>
      <c r="E25" s="419">
        <f t="shared" si="11"/>
        <v>30331.499999999993</v>
      </c>
      <c r="F25" s="419">
        <f t="shared" si="11"/>
        <v>30331.499999999993</v>
      </c>
      <c r="G25" s="419">
        <f t="shared" si="11"/>
        <v>30331.499999999993</v>
      </c>
      <c r="H25" s="419">
        <f t="shared" si="11"/>
        <v>30331.499999999993</v>
      </c>
      <c r="I25" s="419">
        <f t="shared" si="11"/>
        <v>30331.499999999993</v>
      </c>
      <c r="J25" s="419">
        <f t="shared" si="11"/>
        <v>30331.499999999993</v>
      </c>
      <c r="K25" s="419">
        <f t="shared" si="11"/>
        <v>30331.499999999993</v>
      </c>
      <c r="L25" s="419">
        <f t="shared" si="11"/>
        <v>30331.499999999993</v>
      </c>
      <c r="M25" s="419">
        <f t="shared" si="11"/>
        <v>30331.499999999993</v>
      </c>
      <c r="N25" s="419">
        <f t="shared" si="11"/>
        <v>30331.499999999993</v>
      </c>
      <c r="O25" s="419">
        <f t="shared" si="11"/>
        <v>30331.499999999993</v>
      </c>
      <c r="P25" s="419">
        <f t="shared" si="11"/>
        <v>30331.499999999993</v>
      </c>
      <c r="Q25" s="419">
        <f t="shared" si="11"/>
        <v>30331.499999999993</v>
      </c>
      <c r="R25" s="419">
        <f t="shared" si="11"/>
        <v>30331.499999999993</v>
      </c>
      <c r="S25" s="419">
        <f t="shared" si="11"/>
        <v>30331.499999999993</v>
      </c>
      <c r="T25" s="419">
        <f t="shared" si="11"/>
        <v>30331.499999999993</v>
      </c>
      <c r="U25" s="419">
        <f t="shared" si="11"/>
        <v>30331.499999999993</v>
      </c>
      <c r="V25" s="419">
        <f t="shared" si="11"/>
        <v>30331.499999999993</v>
      </c>
    </row>
    <row r="26" spans="1:23" s="16" customFormat="1">
      <c r="A26" s="83" t="s">
        <v>263</v>
      </c>
      <c r="B26" s="440">
        <v>0</v>
      </c>
      <c r="C26" s="441">
        <f>('Parking by Use'!$I$4-'Parking by Use'!$D$4)+('Marina Projections'!C31/3)</f>
        <v>42.666666666666671</v>
      </c>
      <c r="D26" s="441">
        <f>('Parking by Use'!$I$4-'Parking by Use'!$D$4)+('Marina Projections'!D31/3)</f>
        <v>42.666666666666671</v>
      </c>
      <c r="E26" s="441">
        <f>('Parking by Use'!$I$4-'Parking by Use'!$D$4)+('Marina Projections'!E31/3)</f>
        <v>42.666666666666671</v>
      </c>
      <c r="F26" s="441">
        <f>('Parking by Use'!$I$4-'Parking by Use'!$D$4)+('Marina Projections'!F31/3)</f>
        <v>42.666666666666671</v>
      </c>
      <c r="G26" s="441">
        <f>('Parking by Use'!$I$4-'Parking by Use'!$D$4)+('Marina Projections'!G31/3)</f>
        <v>42.666666666666671</v>
      </c>
      <c r="H26" s="441">
        <f>('Parking by Use'!$I$4-'Parking by Use'!$D$4)+('Marina Projections'!H31/3)</f>
        <v>42.666666666666671</v>
      </c>
      <c r="I26" s="441">
        <f>('Parking by Use'!$I$4-'Parking by Use'!$D$4)+('Marina Projections'!I31/3)</f>
        <v>42.666666666666671</v>
      </c>
      <c r="J26" s="441">
        <f>('Parking by Use'!$I$4-'Parking by Use'!$D$4)+('Marina Projections'!J31/3)</f>
        <v>42.666666666666671</v>
      </c>
      <c r="K26" s="441">
        <f>('Parking by Use'!$I$4-'Parking by Use'!$D$4)+('Marina Projections'!K31/3)</f>
        <v>42.666666666666671</v>
      </c>
      <c r="L26" s="441">
        <f>('Parking by Use'!$I$4-'Parking by Use'!$D$4)+('Marina Projections'!L31/3)</f>
        <v>42.666666666666671</v>
      </c>
      <c r="M26" s="441">
        <f>('Parking by Use'!$I$4-'Parking by Use'!$D$4)+('Marina Projections'!M31/3)</f>
        <v>42.666666666666671</v>
      </c>
      <c r="N26" s="441">
        <f>('Parking by Use'!$I$4-'Parking by Use'!$D$4)+('Marina Projections'!N31/3)</f>
        <v>42.666666666666671</v>
      </c>
      <c r="O26" s="441">
        <f>('Parking by Use'!$I$4-'Parking by Use'!$D$4)+('Marina Projections'!O31/3)</f>
        <v>42.666666666666671</v>
      </c>
      <c r="P26" s="441">
        <f>('Parking by Use'!$I$4-'Parking by Use'!$D$4)+('Marina Projections'!P31/3)</f>
        <v>42.666666666666671</v>
      </c>
      <c r="Q26" s="441">
        <f>('Parking by Use'!$I$4-'Parking by Use'!$D$4)+('Marina Projections'!Q31/3)</f>
        <v>42.666666666666671</v>
      </c>
      <c r="R26" s="441">
        <f>('Parking by Use'!$I$4-'Parking by Use'!$D$4)+('Marina Projections'!R31/3)</f>
        <v>42.666666666666671</v>
      </c>
      <c r="S26" s="441">
        <f>('Parking by Use'!$I$4-'Parking by Use'!$D$4)+('Marina Projections'!S31/3)</f>
        <v>42.666666666666671</v>
      </c>
      <c r="T26" s="441">
        <f>('Parking by Use'!$I$4-'Parking by Use'!$D$4)+('Marina Projections'!T31/3)</f>
        <v>42.666666666666671</v>
      </c>
      <c r="U26" s="441">
        <f>('Parking by Use'!$I$4-'Parking by Use'!$D$4)+('Marina Projections'!U31/3)</f>
        <v>42.666666666666671</v>
      </c>
      <c r="V26" s="441">
        <f>('Parking by Use'!$I$4-'Parking by Use'!$D$4)+('Marina Projections'!V31/3)</f>
        <v>42.666666666666671</v>
      </c>
      <c r="W26" s="441"/>
    </row>
    <row r="27" spans="1:23" s="16" customFormat="1">
      <c r="A27" s="83" t="s">
        <v>264</v>
      </c>
      <c r="B27" s="440">
        <v>0</v>
      </c>
      <c r="C27" s="441">
        <f>C26*365</f>
        <v>15573.333333333336</v>
      </c>
      <c r="D27" s="441">
        <f t="shared" ref="D27:V27" si="12">D26*365</f>
        <v>15573.333333333336</v>
      </c>
      <c r="E27" s="441">
        <f t="shared" si="12"/>
        <v>15573.333333333336</v>
      </c>
      <c r="F27" s="441">
        <f t="shared" si="12"/>
        <v>15573.333333333336</v>
      </c>
      <c r="G27" s="441">
        <f t="shared" si="12"/>
        <v>15573.333333333336</v>
      </c>
      <c r="H27" s="441">
        <f t="shared" si="12"/>
        <v>15573.333333333336</v>
      </c>
      <c r="I27" s="441">
        <f t="shared" si="12"/>
        <v>15573.333333333336</v>
      </c>
      <c r="J27" s="441">
        <f t="shared" si="12"/>
        <v>15573.333333333336</v>
      </c>
      <c r="K27" s="441">
        <f t="shared" si="12"/>
        <v>15573.333333333336</v>
      </c>
      <c r="L27" s="441">
        <f t="shared" si="12"/>
        <v>15573.333333333336</v>
      </c>
      <c r="M27" s="441">
        <f t="shared" si="12"/>
        <v>15573.333333333336</v>
      </c>
      <c r="N27" s="441">
        <f t="shared" si="12"/>
        <v>15573.333333333336</v>
      </c>
      <c r="O27" s="441">
        <f t="shared" si="12"/>
        <v>15573.333333333336</v>
      </c>
      <c r="P27" s="441">
        <f t="shared" si="12"/>
        <v>15573.333333333336</v>
      </c>
      <c r="Q27" s="441">
        <f t="shared" si="12"/>
        <v>15573.333333333336</v>
      </c>
      <c r="R27" s="441">
        <f t="shared" si="12"/>
        <v>15573.333333333336</v>
      </c>
      <c r="S27" s="441">
        <f t="shared" si="12"/>
        <v>15573.333333333336</v>
      </c>
      <c r="T27" s="441">
        <f t="shared" si="12"/>
        <v>15573.333333333336</v>
      </c>
      <c r="U27" s="441">
        <f t="shared" si="12"/>
        <v>15573.333333333336</v>
      </c>
      <c r="V27" s="441">
        <f t="shared" si="12"/>
        <v>15573.333333333336</v>
      </c>
      <c r="W27" s="441"/>
    </row>
    <row r="28" spans="1:23" s="16" customFormat="1">
      <c r="A28" s="83" t="s">
        <v>265</v>
      </c>
      <c r="B28" s="440">
        <v>0</v>
      </c>
      <c r="C28" s="358">
        <f t="shared" ref="C28:V28" si="13">$B$132</f>
        <v>0.24687500000000001</v>
      </c>
      <c r="D28" s="358">
        <f t="shared" si="13"/>
        <v>0.24687500000000001</v>
      </c>
      <c r="E28" s="358">
        <f t="shared" si="13"/>
        <v>0.24687500000000001</v>
      </c>
      <c r="F28" s="358">
        <f t="shared" si="13"/>
        <v>0.24687500000000001</v>
      </c>
      <c r="G28" s="358">
        <f t="shared" si="13"/>
        <v>0.24687500000000001</v>
      </c>
      <c r="H28" s="358">
        <f t="shared" si="13"/>
        <v>0.24687500000000001</v>
      </c>
      <c r="I28" s="358">
        <f t="shared" si="13"/>
        <v>0.24687500000000001</v>
      </c>
      <c r="J28" s="358">
        <f t="shared" si="13"/>
        <v>0.24687500000000001</v>
      </c>
      <c r="K28" s="358">
        <f t="shared" si="13"/>
        <v>0.24687500000000001</v>
      </c>
      <c r="L28" s="358">
        <f t="shared" si="13"/>
        <v>0.24687500000000001</v>
      </c>
      <c r="M28" s="358">
        <f t="shared" si="13"/>
        <v>0.24687500000000001</v>
      </c>
      <c r="N28" s="358">
        <f t="shared" si="13"/>
        <v>0.24687500000000001</v>
      </c>
      <c r="O28" s="358">
        <f t="shared" si="13"/>
        <v>0.24687500000000001</v>
      </c>
      <c r="P28" s="358">
        <f t="shared" si="13"/>
        <v>0.24687500000000001</v>
      </c>
      <c r="Q28" s="358">
        <f t="shared" si="13"/>
        <v>0.24687500000000001</v>
      </c>
      <c r="R28" s="358">
        <f t="shared" si="13"/>
        <v>0.24687500000000001</v>
      </c>
      <c r="S28" s="358">
        <f t="shared" si="13"/>
        <v>0.24687500000000001</v>
      </c>
      <c r="T28" s="358">
        <f t="shared" si="13"/>
        <v>0.24687500000000001</v>
      </c>
      <c r="U28" s="358">
        <f t="shared" si="13"/>
        <v>0.24687500000000001</v>
      </c>
      <c r="V28" s="358">
        <f t="shared" si="13"/>
        <v>0.24687500000000001</v>
      </c>
      <c r="W28" s="441"/>
    </row>
    <row r="29" spans="1:23" s="16" customFormat="1">
      <c r="A29" s="83" t="s">
        <v>266</v>
      </c>
      <c r="B29" s="440">
        <v>0</v>
      </c>
      <c r="C29" s="441">
        <f>C28*C27</f>
        <v>3844.6666666666674</v>
      </c>
      <c r="D29" s="441">
        <f t="shared" ref="D29:V29" si="14">D28*D27</f>
        <v>3844.6666666666674</v>
      </c>
      <c r="E29" s="441">
        <f t="shared" si="14"/>
        <v>3844.6666666666674</v>
      </c>
      <c r="F29" s="441">
        <f t="shared" si="14"/>
        <v>3844.6666666666674</v>
      </c>
      <c r="G29" s="441">
        <f t="shared" si="14"/>
        <v>3844.6666666666674</v>
      </c>
      <c r="H29" s="441">
        <f t="shared" si="14"/>
        <v>3844.6666666666674</v>
      </c>
      <c r="I29" s="441">
        <f t="shared" si="14"/>
        <v>3844.6666666666674</v>
      </c>
      <c r="J29" s="441">
        <f t="shared" si="14"/>
        <v>3844.6666666666674</v>
      </c>
      <c r="K29" s="441">
        <f t="shared" si="14"/>
        <v>3844.6666666666674</v>
      </c>
      <c r="L29" s="441">
        <f t="shared" si="14"/>
        <v>3844.6666666666674</v>
      </c>
      <c r="M29" s="441">
        <f t="shared" si="14"/>
        <v>3844.6666666666674</v>
      </c>
      <c r="N29" s="441">
        <f t="shared" si="14"/>
        <v>3844.6666666666674</v>
      </c>
      <c r="O29" s="441">
        <f t="shared" si="14"/>
        <v>3844.6666666666674</v>
      </c>
      <c r="P29" s="441">
        <f t="shared" si="14"/>
        <v>3844.6666666666674</v>
      </c>
      <c r="Q29" s="441">
        <f t="shared" si="14"/>
        <v>3844.6666666666674</v>
      </c>
      <c r="R29" s="441">
        <f t="shared" si="14"/>
        <v>3844.6666666666674</v>
      </c>
      <c r="S29" s="441">
        <f t="shared" si="14"/>
        <v>3844.6666666666674</v>
      </c>
      <c r="T29" s="441">
        <f t="shared" si="14"/>
        <v>3844.6666666666674</v>
      </c>
      <c r="U29" s="441">
        <f t="shared" si="14"/>
        <v>3844.6666666666674</v>
      </c>
      <c r="V29" s="441">
        <f t="shared" si="14"/>
        <v>3844.6666666666674</v>
      </c>
      <c r="W29" s="441"/>
    </row>
    <row r="30" spans="1:23" s="16" customFormat="1">
      <c r="A30" s="83" t="s">
        <v>262</v>
      </c>
      <c r="B30" s="440">
        <v>0</v>
      </c>
      <c r="C30" s="441">
        <f>C24-C26</f>
        <v>207.33333333333331</v>
      </c>
      <c r="D30" s="441">
        <f t="shared" ref="D30:V30" si="15">D24-D26</f>
        <v>207.33333333333331</v>
      </c>
      <c r="E30" s="441">
        <f t="shared" si="15"/>
        <v>207.33333333333331</v>
      </c>
      <c r="F30" s="441">
        <f t="shared" si="15"/>
        <v>207.33333333333331</v>
      </c>
      <c r="G30" s="441">
        <f t="shared" si="15"/>
        <v>207.33333333333331</v>
      </c>
      <c r="H30" s="441">
        <f t="shared" si="15"/>
        <v>207.33333333333331</v>
      </c>
      <c r="I30" s="441">
        <f t="shared" si="15"/>
        <v>207.33333333333331</v>
      </c>
      <c r="J30" s="441">
        <f t="shared" si="15"/>
        <v>207.33333333333331</v>
      </c>
      <c r="K30" s="441">
        <f t="shared" si="15"/>
        <v>207.33333333333331</v>
      </c>
      <c r="L30" s="441">
        <f t="shared" si="15"/>
        <v>207.33333333333331</v>
      </c>
      <c r="M30" s="441">
        <f t="shared" si="15"/>
        <v>207.33333333333331</v>
      </c>
      <c r="N30" s="441">
        <f t="shared" si="15"/>
        <v>207.33333333333331</v>
      </c>
      <c r="O30" s="441">
        <f t="shared" si="15"/>
        <v>207.33333333333331</v>
      </c>
      <c r="P30" s="441">
        <f t="shared" si="15"/>
        <v>207.33333333333331</v>
      </c>
      <c r="Q30" s="441">
        <f t="shared" si="15"/>
        <v>207.33333333333331</v>
      </c>
      <c r="R30" s="441">
        <f t="shared" si="15"/>
        <v>207.33333333333331</v>
      </c>
      <c r="S30" s="441">
        <f t="shared" si="15"/>
        <v>207.33333333333331</v>
      </c>
      <c r="T30" s="441">
        <f t="shared" si="15"/>
        <v>207.33333333333331</v>
      </c>
      <c r="U30" s="441">
        <f t="shared" si="15"/>
        <v>207.33333333333331</v>
      </c>
      <c r="V30" s="441">
        <f t="shared" si="15"/>
        <v>207.33333333333331</v>
      </c>
      <c r="W30" s="441"/>
    </row>
    <row r="31" spans="1:23" s="16" customFormat="1">
      <c r="A31" s="83" t="s">
        <v>267</v>
      </c>
      <c r="B31" s="440">
        <v>0</v>
      </c>
      <c r="C31" s="441">
        <f>C30*365</f>
        <v>75676.666666666657</v>
      </c>
      <c r="D31" s="441">
        <f t="shared" ref="D31:V31" si="16">D30*365</f>
        <v>75676.666666666657</v>
      </c>
      <c r="E31" s="441">
        <f t="shared" si="16"/>
        <v>75676.666666666657</v>
      </c>
      <c r="F31" s="441">
        <f t="shared" si="16"/>
        <v>75676.666666666657</v>
      </c>
      <c r="G31" s="441">
        <f t="shared" si="16"/>
        <v>75676.666666666657</v>
      </c>
      <c r="H31" s="441">
        <f t="shared" si="16"/>
        <v>75676.666666666657</v>
      </c>
      <c r="I31" s="441">
        <f t="shared" si="16"/>
        <v>75676.666666666657</v>
      </c>
      <c r="J31" s="441">
        <f t="shared" si="16"/>
        <v>75676.666666666657</v>
      </c>
      <c r="K31" s="441">
        <f t="shared" si="16"/>
        <v>75676.666666666657</v>
      </c>
      <c r="L31" s="441">
        <f t="shared" si="16"/>
        <v>75676.666666666657</v>
      </c>
      <c r="M31" s="441">
        <f t="shared" si="16"/>
        <v>75676.666666666657</v>
      </c>
      <c r="N31" s="441">
        <f t="shared" si="16"/>
        <v>75676.666666666657</v>
      </c>
      <c r="O31" s="441">
        <f t="shared" si="16"/>
        <v>75676.666666666657</v>
      </c>
      <c r="P31" s="441">
        <f t="shared" si="16"/>
        <v>75676.666666666657</v>
      </c>
      <c r="Q31" s="441">
        <f t="shared" si="16"/>
        <v>75676.666666666657</v>
      </c>
      <c r="R31" s="441">
        <f t="shared" si="16"/>
        <v>75676.666666666657</v>
      </c>
      <c r="S31" s="441">
        <f t="shared" si="16"/>
        <v>75676.666666666657</v>
      </c>
      <c r="T31" s="441">
        <f t="shared" si="16"/>
        <v>75676.666666666657</v>
      </c>
      <c r="U31" s="441">
        <f t="shared" si="16"/>
        <v>75676.666666666657</v>
      </c>
      <c r="V31" s="441">
        <f t="shared" si="16"/>
        <v>75676.666666666657</v>
      </c>
      <c r="W31" s="441"/>
    </row>
    <row r="32" spans="1:23" s="16" customFormat="1">
      <c r="A32" s="83" t="s">
        <v>271</v>
      </c>
      <c r="B32" s="440">
        <v>0</v>
      </c>
      <c r="C32" s="358">
        <f t="shared" ref="C32:V32" si="17">$B$115</f>
        <v>0.34999999999999992</v>
      </c>
      <c r="D32" s="358">
        <f t="shared" si="17"/>
        <v>0.34999999999999992</v>
      </c>
      <c r="E32" s="358">
        <f t="shared" si="17"/>
        <v>0.34999999999999992</v>
      </c>
      <c r="F32" s="358">
        <f t="shared" si="17"/>
        <v>0.34999999999999992</v>
      </c>
      <c r="G32" s="358">
        <f t="shared" si="17"/>
        <v>0.34999999999999992</v>
      </c>
      <c r="H32" s="358">
        <f t="shared" si="17"/>
        <v>0.34999999999999992</v>
      </c>
      <c r="I32" s="358">
        <f t="shared" si="17"/>
        <v>0.34999999999999992</v>
      </c>
      <c r="J32" s="358">
        <f t="shared" si="17"/>
        <v>0.34999999999999992</v>
      </c>
      <c r="K32" s="358">
        <f t="shared" si="17"/>
        <v>0.34999999999999992</v>
      </c>
      <c r="L32" s="358">
        <f t="shared" si="17"/>
        <v>0.34999999999999992</v>
      </c>
      <c r="M32" s="358">
        <f t="shared" si="17"/>
        <v>0.34999999999999992</v>
      </c>
      <c r="N32" s="358">
        <f t="shared" si="17"/>
        <v>0.34999999999999992</v>
      </c>
      <c r="O32" s="358">
        <f t="shared" si="17"/>
        <v>0.34999999999999992</v>
      </c>
      <c r="P32" s="358">
        <f t="shared" si="17"/>
        <v>0.34999999999999992</v>
      </c>
      <c r="Q32" s="358">
        <f t="shared" si="17"/>
        <v>0.34999999999999992</v>
      </c>
      <c r="R32" s="358">
        <f t="shared" si="17"/>
        <v>0.34999999999999992</v>
      </c>
      <c r="S32" s="358">
        <f t="shared" si="17"/>
        <v>0.34999999999999992</v>
      </c>
      <c r="T32" s="358">
        <f t="shared" si="17"/>
        <v>0.34999999999999992</v>
      </c>
      <c r="U32" s="358">
        <f t="shared" si="17"/>
        <v>0.34999999999999992</v>
      </c>
      <c r="V32" s="358">
        <f t="shared" si="17"/>
        <v>0.34999999999999992</v>
      </c>
      <c r="W32" s="441"/>
    </row>
    <row r="33" spans="1:23" s="16" customFormat="1">
      <c r="A33" s="83" t="s">
        <v>272</v>
      </c>
      <c r="B33" s="440">
        <v>0</v>
      </c>
      <c r="C33" s="441">
        <f>C32*C31</f>
        <v>26486.833333333325</v>
      </c>
      <c r="D33" s="441">
        <f t="shared" ref="D33:V33" si="18">D32*D31</f>
        <v>26486.833333333325</v>
      </c>
      <c r="E33" s="441">
        <f t="shared" si="18"/>
        <v>26486.833333333325</v>
      </c>
      <c r="F33" s="441">
        <f t="shared" si="18"/>
        <v>26486.833333333325</v>
      </c>
      <c r="G33" s="441">
        <f t="shared" si="18"/>
        <v>26486.833333333325</v>
      </c>
      <c r="H33" s="441">
        <f t="shared" si="18"/>
        <v>26486.833333333325</v>
      </c>
      <c r="I33" s="441">
        <f t="shared" si="18"/>
        <v>26486.833333333325</v>
      </c>
      <c r="J33" s="441">
        <f t="shared" si="18"/>
        <v>26486.833333333325</v>
      </c>
      <c r="K33" s="441">
        <f t="shared" si="18"/>
        <v>26486.833333333325</v>
      </c>
      <c r="L33" s="441">
        <f t="shared" si="18"/>
        <v>26486.833333333325</v>
      </c>
      <c r="M33" s="441">
        <f t="shared" si="18"/>
        <v>26486.833333333325</v>
      </c>
      <c r="N33" s="441">
        <f t="shared" si="18"/>
        <v>26486.833333333325</v>
      </c>
      <c r="O33" s="441">
        <f t="shared" si="18"/>
        <v>26486.833333333325</v>
      </c>
      <c r="P33" s="441">
        <f t="shared" si="18"/>
        <v>26486.833333333325</v>
      </c>
      <c r="Q33" s="441">
        <f t="shared" si="18"/>
        <v>26486.833333333325</v>
      </c>
      <c r="R33" s="441">
        <f t="shared" si="18"/>
        <v>26486.833333333325</v>
      </c>
      <c r="S33" s="441">
        <f t="shared" si="18"/>
        <v>26486.833333333325</v>
      </c>
      <c r="T33" s="441">
        <f t="shared" si="18"/>
        <v>26486.833333333325</v>
      </c>
      <c r="U33" s="441">
        <f t="shared" si="18"/>
        <v>26486.833333333325</v>
      </c>
      <c r="V33" s="441">
        <f t="shared" si="18"/>
        <v>26486.833333333325</v>
      </c>
      <c r="W33" s="441"/>
    </row>
    <row r="34" spans="1:23" s="16" customFormat="1">
      <c r="A34" s="83"/>
      <c r="B34" s="440"/>
      <c r="C34" s="441"/>
      <c r="D34" s="441"/>
      <c r="E34" s="441"/>
      <c r="F34" s="441"/>
      <c r="G34" s="441"/>
      <c r="H34" s="441"/>
      <c r="I34" s="441"/>
      <c r="J34" s="441"/>
      <c r="K34" s="441"/>
      <c r="L34" s="441"/>
      <c r="M34" s="441"/>
      <c r="N34" s="441"/>
      <c r="O34" s="441"/>
      <c r="P34" s="441"/>
      <c r="Q34" s="441"/>
      <c r="R34" s="441"/>
      <c r="S34" s="441"/>
      <c r="T34" s="441"/>
      <c r="U34" s="441"/>
      <c r="V34" s="441"/>
      <c r="W34" s="441"/>
    </row>
    <row r="35" spans="1:23">
      <c r="A35" s="475" t="s">
        <v>352</v>
      </c>
      <c r="B35" s="480"/>
      <c r="C35" s="480"/>
      <c r="D35" s="480"/>
      <c r="E35" s="268"/>
      <c r="F35" s="268"/>
      <c r="G35" s="268"/>
      <c r="H35" s="268"/>
      <c r="I35" s="268"/>
      <c r="J35" s="268"/>
      <c r="K35" s="268"/>
      <c r="L35" s="268"/>
      <c r="M35" s="268"/>
      <c r="N35" s="268"/>
      <c r="O35" s="268"/>
      <c r="P35" s="268"/>
      <c r="Q35" s="268"/>
      <c r="R35" s="268"/>
      <c r="S35" s="268"/>
      <c r="T35" s="268"/>
      <c r="U35" s="268"/>
      <c r="V35" s="268"/>
    </row>
    <row r="36" spans="1:23" s="588" customFormat="1" ht="14.25">
      <c r="A36" s="633"/>
      <c r="B36" s="634"/>
      <c r="C36" s="635">
        <f>C37/250</f>
        <v>1</v>
      </c>
      <c r="D36" s="635">
        <f t="shared" ref="D36:L36" si="19">D37/250</f>
        <v>1</v>
      </c>
      <c r="E36" s="635">
        <f t="shared" si="19"/>
        <v>1</v>
      </c>
      <c r="F36" s="635">
        <f t="shared" si="19"/>
        <v>1</v>
      </c>
      <c r="G36" s="635">
        <f t="shared" si="19"/>
        <v>1</v>
      </c>
      <c r="H36" s="635">
        <f t="shared" si="19"/>
        <v>1</v>
      </c>
      <c r="I36" s="635">
        <f t="shared" si="19"/>
        <v>1</v>
      </c>
      <c r="J36" s="635">
        <f t="shared" si="19"/>
        <v>1</v>
      </c>
      <c r="K36" s="635">
        <f t="shared" si="19"/>
        <v>1</v>
      </c>
      <c r="L36" s="635">
        <f t="shared" si="19"/>
        <v>1</v>
      </c>
      <c r="M36" s="637">
        <v>1</v>
      </c>
      <c r="N36" s="637">
        <v>1</v>
      </c>
      <c r="O36" s="637">
        <v>1</v>
      </c>
      <c r="P36" s="637">
        <v>1</v>
      </c>
      <c r="Q36" s="637">
        <v>1</v>
      </c>
      <c r="R36" s="637">
        <v>1</v>
      </c>
      <c r="S36" s="637">
        <v>1</v>
      </c>
      <c r="T36" s="637">
        <v>1</v>
      </c>
      <c r="U36" s="637">
        <v>1</v>
      </c>
      <c r="V36" s="637">
        <v>1</v>
      </c>
    </row>
    <row r="37" spans="1:23">
      <c r="A37" s="85" t="s">
        <v>261</v>
      </c>
      <c r="B37" s="711">
        <v>0</v>
      </c>
      <c r="C37" s="419">
        <f>'Parking by Use'!$B$5</f>
        <v>250</v>
      </c>
      <c r="D37" s="419">
        <f>'Parking by Use'!$B$5</f>
        <v>250</v>
      </c>
      <c r="E37" s="419">
        <f>'Parking by Use'!$B$5</f>
        <v>250</v>
      </c>
      <c r="F37" s="419">
        <f>'Parking by Use'!$B$5</f>
        <v>250</v>
      </c>
      <c r="G37" s="419">
        <f>'Parking by Use'!$B$5</f>
        <v>250</v>
      </c>
      <c r="H37" s="419">
        <f>'Parking by Use'!$B$5</f>
        <v>250</v>
      </c>
      <c r="I37" s="419">
        <f>'Parking by Use'!$B$5</f>
        <v>250</v>
      </c>
      <c r="J37" s="419">
        <f>'Parking by Use'!$B$5</f>
        <v>250</v>
      </c>
      <c r="K37" s="419">
        <f>'Parking by Use'!$B$5</f>
        <v>250</v>
      </c>
      <c r="L37" s="419">
        <f>'Parking by Use'!$B$5</f>
        <v>250</v>
      </c>
      <c r="M37" s="419">
        <f>'Parking by Use'!$B$5</f>
        <v>250</v>
      </c>
      <c r="N37" s="419">
        <f>'Parking by Use'!$B$5</f>
        <v>250</v>
      </c>
      <c r="O37" s="419">
        <f>'Parking by Use'!$B$5</f>
        <v>250</v>
      </c>
      <c r="P37" s="419">
        <f>'Parking by Use'!$B$5</f>
        <v>250</v>
      </c>
      <c r="Q37" s="419">
        <f>'Parking by Use'!$B$5</f>
        <v>250</v>
      </c>
      <c r="R37" s="419">
        <f>'Parking by Use'!$B$5</f>
        <v>250</v>
      </c>
      <c r="S37" s="419">
        <f>'Parking by Use'!$B$5</f>
        <v>250</v>
      </c>
      <c r="T37" s="419">
        <f>'Parking by Use'!$B$5</f>
        <v>250</v>
      </c>
      <c r="U37" s="419">
        <f>'Parking by Use'!$B$5</f>
        <v>250</v>
      </c>
      <c r="V37" s="419">
        <f>'Parking by Use'!$B$5</f>
        <v>250</v>
      </c>
    </row>
    <row r="38" spans="1:23">
      <c r="A38" s="85" t="s">
        <v>274</v>
      </c>
      <c r="B38" s="711">
        <v>0</v>
      </c>
      <c r="C38" s="419">
        <f>SUM(C42,C46)</f>
        <v>30933.749999999996</v>
      </c>
      <c r="D38" s="419">
        <f t="shared" ref="D38:V38" si="20">SUM(D42,D46)</f>
        <v>30933.749999999996</v>
      </c>
      <c r="E38" s="419">
        <f t="shared" si="20"/>
        <v>30933.749999999996</v>
      </c>
      <c r="F38" s="419">
        <f t="shared" si="20"/>
        <v>30933.749999999996</v>
      </c>
      <c r="G38" s="419">
        <f t="shared" si="20"/>
        <v>30933.749999999996</v>
      </c>
      <c r="H38" s="419">
        <f t="shared" si="20"/>
        <v>30933.749999999996</v>
      </c>
      <c r="I38" s="419">
        <f t="shared" si="20"/>
        <v>30933.749999999996</v>
      </c>
      <c r="J38" s="419">
        <f t="shared" si="20"/>
        <v>30933.749999999996</v>
      </c>
      <c r="K38" s="419">
        <f t="shared" si="20"/>
        <v>30933.749999999996</v>
      </c>
      <c r="L38" s="419">
        <f t="shared" si="20"/>
        <v>30933.749999999996</v>
      </c>
      <c r="M38" s="419">
        <f t="shared" si="20"/>
        <v>30933.749999999996</v>
      </c>
      <c r="N38" s="419">
        <f t="shared" si="20"/>
        <v>30933.749999999996</v>
      </c>
      <c r="O38" s="419">
        <f t="shared" si="20"/>
        <v>30933.749999999996</v>
      </c>
      <c r="P38" s="419">
        <f t="shared" si="20"/>
        <v>30933.749999999996</v>
      </c>
      <c r="Q38" s="419">
        <f t="shared" si="20"/>
        <v>30933.749999999996</v>
      </c>
      <c r="R38" s="419">
        <f t="shared" si="20"/>
        <v>30933.749999999996</v>
      </c>
      <c r="S38" s="419">
        <f t="shared" si="20"/>
        <v>30933.749999999996</v>
      </c>
      <c r="T38" s="419">
        <f t="shared" si="20"/>
        <v>30933.749999999996</v>
      </c>
      <c r="U38" s="419">
        <f t="shared" si="20"/>
        <v>30933.749999999996</v>
      </c>
      <c r="V38" s="419">
        <f t="shared" si="20"/>
        <v>30933.749999999996</v>
      </c>
    </row>
    <row r="39" spans="1:23" s="16" customFormat="1">
      <c r="A39" s="83" t="s">
        <v>263</v>
      </c>
      <c r="B39" s="440">
        <v>0</v>
      </c>
      <c r="C39" s="441">
        <f>('Parking by Use'!$I$5-'Parking by Use'!$D$5)+('Marina Projections'!C49/3)</f>
        <v>26.666666666666668</v>
      </c>
      <c r="D39" s="441">
        <f>('Parking by Use'!$I$5-'Parking by Use'!$D$5)+('Marina Projections'!D49/3)</f>
        <v>26.666666666666668</v>
      </c>
      <c r="E39" s="441">
        <f>('Parking by Use'!$I$5-'Parking by Use'!$D$5)+('Marina Projections'!E49/3)</f>
        <v>26.666666666666668</v>
      </c>
      <c r="F39" s="441">
        <f>('Parking by Use'!$I$5-'Parking by Use'!$D$5)+('Marina Projections'!F49/3)</f>
        <v>26.666666666666668</v>
      </c>
      <c r="G39" s="441">
        <f>('Parking by Use'!$I$5-'Parking by Use'!$D$5)+('Marina Projections'!G49/3)</f>
        <v>26.666666666666668</v>
      </c>
      <c r="H39" s="441">
        <f>('Parking by Use'!$I$5-'Parking by Use'!$D$5)+('Marina Projections'!H49/3)</f>
        <v>26.666666666666668</v>
      </c>
      <c r="I39" s="441">
        <f>('Parking by Use'!$I$5-'Parking by Use'!$D$5)+('Marina Projections'!I49/3)</f>
        <v>26.666666666666668</v>
      </c>
      <c r="J39" s="441">
        <f>('Parking by Use'!$I$5-'Parking by Use'!$D$5)+('Marina Projections'!J49/3)</f>
        <v>26.666666666666668</v>
      </c>
      <c r="K39" s="441">
        <f>('Parking by Use'!$I$5-'Parking by Use'!$D$5)+('Marina Projections'!K49/3)</f>
        <v>26.666666666666668</v>
      </c>
      <c r="L39" s="441">
        <f>('Parking by Use'!$I$5-'Parking by Use'!$D$5)+('Marina Projections'!L49/3)</f>
        <v>26.666666666666668</v>
      </c>
      <c r="M39" s="441">
        <f>('Parking by Use'!$I$5-'Parking by Use'!$D$5)+('Marina Projections'!M49/3)</f>
        <v>26.666666666666668</v>
      </c>
      <c r="N39" s="441">
        <f>('Parking by Use'!$I$5-'Parking by Use'!$D$5)+('Marina Projections'!N49/3)</f>
        <v>26.666666666666668</v>
      </c>
      <c r="O39" s="441">
        <f>('Parking by Use'!$I$5-'Parking by Use'!$D$5)+('Marina Projections'!O49/3)</f>
        <v>26.666666666666668</v>
      </c>
      <c r="P39" s="441">
        <f>('Parking by Use'!$I$5-'Parking by Use'!$D$5)+('Marina Projections'!P49/3)</f>
        <v>26.666666666666668</v>
      </c>
      <c r="Q39" s="441">
        <f>('Parking by Use'!$I$5-'Parking by Use'!$D$5)+('Marina Projections'!Q49/3)</f>
        <v>26.666666666666668</v>
      </c>
      <c r="R39" s="441">
        <f>('Parking by Use'!$I$5-'Parking by Use'!$D$5)+('Marina Projections'!R49/3)</f>
        <v>26.666666666666668</v>
      </c>
      <c r="S39" s="441">
        <f>('Parking by Use'!$I$5-'Parking by Use'!$D$5)+('Marina Projections'!S49/3)</f>
        <v>26.666666666666668</v>
      </c>
      <c r="T39" s="441">
        <f>('Parking by Use'!$I$5-'Parking by Use'!$D$5)+('Marina Projections'!T49/3)</f>
        <v>26.666666666666668</v>
      </c>
      <c r="U39" s="441">
        <f>('Parking by Use'!$I$5-'Parking by Use'!$D$5)+('Marina Projections'!U49/3)</f>
        <v>26.666666666666668</v>
      </c>
      <c r="V39" s="441">
        <f>('Parking by Use'!$I$5-'Parking by Use'!$D$5)+('Marina Projections'!V49/3)</f>
        <v>26.666666666666668</v>
      </c>
      <c r="W39" s="441"/>
    </row>
    <row r="40" spans="1:23" s="16" customFormat="1">
      <c r="A40" s="83" t="s">
        <v>264</v>
      </c>
      <c r="B40" s="440">
        <v>0</v>
      </c>
      <c r="C40" s="441">
        <f>C39*365</f>
        <v>9733.3333333333339</v>
      </c>
      <c r="D40" s="441">
        <f t="shared" ref="D40:V40" si="21">D39*365</f>
        <v>9733.3333333333339</v>
      </c>
      <c r="E40" s="441">
        <f t="shared" si="21"/>
        <v>9733.3333333333339</v>
      </c>
      <c r="F40" s="441">
        <f t="shared" si="21"/>
        <v>9733.3333333333339</v>
      </c>
      <c r="G40" s="441">
        <f t="shared" si="21"/>
        <v>9733.3333333333339</v>
      </c>
      <c r="H40" s="441">
        <f t="shared" si="21"/>
        <v>9733.3333333333339</v>
      </c>
      <c r="I40" s="441">
        <f t="shared" si="21"/>
        <v>9733.3333333333339</v>
      </c>
      <c r="J40" s="441">
        <f t="shared" si="21"/>
        <v>9733.3333333333339</v>
      </c>
      <c r="K40" s="441">
        <f t="shared" si="21"/>
        <v>9733.3333333333339</v>
      </c>
      <c r="L40" s="441">
        <f t="shared" si="21"/>
        <v>9733.3333333333339</v>
      </c>
      <c r="M40" s="441">
        <f t="shared" si="21"/>
        <v>9733.3333333333339</v>
      </c>
      <c r="N40" s="441">
        <f t="shared" si="21"/>
        <v>9733.3333333333339</v>
      </c>
      <c r="O40" s="441">
        <f t="shared" si="21"/>
        <v>9733.3333333333339</v>
      </c>
      <c r="P40" s="441">
        <f t="shared" si="21"/>
        <v>9733.3333333333339</v>
      </c>
      <c r="Q40" s="441">
        <f t="shared" si="21"/>
        <v>9733.3333333333339</v>
      </c>
      <c r="R40" s="441">
        <f t="shared" si="21"/>
        <v>9733.3333333333339</v>
      </c>
      <c r="S40" s="441">
        <f t="shared" si="21"/>
        <v>9733.3333333333339</v>
      </c>
      <c r="T40" s="441">
        <f t="shared" si="21"/>
        <v>9733.3333333333339</v>
      </c>
      <c r="U40" s="441">
        <f t="shared" si="21"/>
        <v>9733.3333333333339</v>
      </c>
      <c r="V40" s="441">
        <f t="shared" si="21"/>
        <v>9733.3333333333339</v>
      </c>
      <c r="W40" s="441"/>
    </row>
    <row r="41" spans="1:23" s="16" customFormat="1">
      <c r="A41" s="83" t="s">
        <v>265</v>
      </c>
      <c r="B41" s="440">
        <v>0</v>
      </c>
      <c r="C41" s="358">
        <f t="shared" ref="C41:V41" si="22">$B$132</f>
        <v>0.24687500000000001</v>
      </c>
      <c r="D41" s="358">
        <f t="shared" si="22"/>
        <v>0.24687500000000001</v>
      </c>
      <c r="E41" s="358">
        <f t="shared" si="22"/>
        <v>0.24687500000000001</v>
      </c>
      <c r="F41" s="358">
        <f t="shared" si="22"/>
        <v>0.24687500000000001</v>
      </c>
      <c r="G41" s="358">
        <f t="shared" si="22"/>
        <v>0.24687500000000001</v>
      </c>
      <c r="H41" s="358">
        <f t="shared" si="22"/>
        <v>0.24687500000000001</v>
      </c>
      <c r="I41" s="358">
        <f t="shared" si="22"/>
        <v>0.24687500000000001</v>
      </c>
      <c r="J41" s="358">
        <f t="shared" si="22"/>
        <v>0.24687500000000001</v>
      </c>
      <c r="K41" s="358">
        <f t="shared" si="22"/>
        <v>0.24687500000000001</v>
      </c>
      <c r="L41" s="358">
        <f t="shared" si="22"/>
        <v>0.24687500000000001</v>
      </c>
      <c r="M41" s="358">
        <f t="shared" si="22"/>
        <v>0.24687500000000001</v>
      </c>
      <c r="N41" s="358">
        <f t="shared" si="22"/>
        <v>0.24687500000000001</v>
      </c>
      <c r="O41" s="358">
        <f t="shared" si="22"/>
        <v>0.24687500000000001</v>
      </c>
      <c r="P41" s="358">
        <f t="shared" si="22"/>
        <v>0.24687500000000001</v>
      </c>
      <c r="Q41" s="358">
        <f t="shared" si="22"/>
        <v>0.24687500000000001</v>
      </c>
      <c r="R41" s="358">
        <f t="shared" si="22"/>
        <v>0.24687500000000001</v>
      </c>
      <c r="S41" s="358">
        <f t="shared" si="22"/>
        <v>0.24687500000000001</v>
      </c>
      <c r="T41" s="358">
        <f t="shared" si="22"/>
        <v>0.24687500000000001</v>
      </c>
      <c r="U41" s="358">
        <f t="shared" si="22"/>
        <v>0.24687500000000001</v>
      </c>
      <c r="V41" s="358">
        <f t="shared" si="22"/>
        <v>0.24687500000000001</v>
      </c>
      <c r="W41" s="441"/>
    </row>
    <row r="42" spans="1:23" s="16" customFormat="1">
      <c r="A42" s="83" t="s">
        <v>266</v>
      </c>
      <c r="B42" s="440">
        <v>0</v>
      </c>
      <c r="C42" s="570">
        <f>C41*C40</f>
        <v>2402.916666666667</v>
      </c>
      <c r="D42" s="570">
        <f t="shared" ref="D42:V42" si="23">D41*D40</f>
        <v>2402.916666666667</v>
      </c>
      <c r="E42" s="570">
        <f t="shared" si="23"/>
        <v>2402.916666666667</v>
      </c>
      <c r="F42" s="570">
        <f t="shared" si="23"/>
        <v>2402.916666666667</v>
      </c>
      <c r="G42" s="570">
        <f t="shared" si="23"/>
        <v>2402.916666666667</v>
      </c>
      <c r="H42" s="570">
        <f t="shared" si="23"/>
        <v>2402.916666666667</v>
      </c>
      <c r="I42" s="570">
        <f t="shared" si="23"/>
        <v>2402.916666666667</v>
      </c>
      <c r="J42" s="570">
        <f t="shared" si="23"/>
        <v>2402.916666666667</v>
      </c>
      <c r="K42" s="570">
        <f t="shared" si="23"/>
        <v>2402.916666666667</v>
      </c>
      <c r="L42" s="570">
        <f t="shared" si="23"/>
        <v>2402.916666666667</v>
      </c>
      <c r="M42" s="570">
        <f t="shared" si="23"/>
        <v>2402.916666666667</v>
      </c>
      <c r="N42" s="570">
        <f t="shared" si="23"/>
        <v>2402.916666666667</v>
      </c>
      <c r="O42" s="570">
        <f t="shared" si="23"/>
        <v>2402.916666666667</v>
      </c>
      <c r="P42" s="570">
        <f t="shared" si="23"/>
        <v>2402.916666666667</v>
      </c>
      <c r="Q42" s="570">
        <f t="shared" si="23"/>
        <v>2402.916666666667</v>
      </c>
      <c r="R42" s="570">
        <f t="shared" si="23"/>
        <v>2402.916666666667</v>
      </c>
      <c r="S42" s="570">
        <f t="shared" si="23"/>
        <v>2402.916666666667</v>
      </c>
      <c r="T42" s="570">
        <f t="shared" si="23"/>
        <v>2402.916666666667</v>
      </c>
      <c r="U42" s="570">
        <f t="shared" si="23"/>
        <v>2402.916666666667</v>
      </c>
      <c r="V42" s="570">
        <f t="shared" si="23"/>
        <v>2402.916666666667</v>
      </c>
      <c r="W42" s="441"/>
    </row>
    <row r="43" spans="1:23" s="16" customFormat="1">
      <c r="A43" s="83" t="s">
        <v>262</v>
      </c>
      <c r="B43" s="440">
        <v>0</v>
      </c>
      <c r="C43" s="441">
        <f>C37-C39</f>
        <v>223.33333333333334</v>
      </c>
      <c r="D43" s="441">
        <f t="shared" ref="D43:V43" si="24">D37-D39</f>
        <v>223.33333333333334</v>
      </c>
      <c r="E43" s="441">
        <f t="shared" si="24"/>
        <v>223.33333333333334</v>
      </c>
      <c r="F43" s="441">
        <f t="shared" si="24"/>
        <v>223.33333333333334</v>
      </c>
      <c r="G43" s="441">
        <f t="shared" si="24"/>
        <v>223.33333333333334</v>
      </c>
      <c r="H43" s="441">
        <f t="shared" si="24"/>
        <v>223.33333333333334</v>
      </c>
      <c r="I43" s="441">
        <f t="shared" si="24"/>
        <v>223.33333333333334</v>
      </c>
      <c r="J43" s="441">
        <f t="shared" si="24"/>
        <v>223.33333333333334</v>
      </c>
      <c r="K43" s="441">
        <f t="shared" si="24"/>
        <v>223.33333333333334</v>
      </c>
      <c r="L43" s="441">
        <f t="shared" si="24"/>
        <v>223.33333333333334</v>
      </c>
      <c r="M43" s="441">
        <f t="shared" si="24"/>
        <v>223.33333333333334</v>
      </c>
      <c r="N43" s="441">
        <f t="shared" si="24"/>
        <v>223.33333333333334</v>
      </c>
      <c r="O43" s="441">
        <f t="shared" si="24"/>
        <v>223.33333333333334</v>
      </c>
      <c r="P43" s="441">
        <f t="shared" si="24"/>
        <v>223.33333333333334</v>
      </c>
      <c r="Q43" s="441">
        <f t="shared" si="24"/>
        <v>223.33333333333334</v>
      </c>
      <c r="R43" s="441">
        <f t="shared" si="24"/>
        <v>223.33333333333334</v>
      </c>
      <c r="S43" s="441">
        <f t="shared" si="24"/>
        <v>223.33333333333334</v>
      </c>
      <c r="T43" s="441">
        <f t="shared" si="24"/>
        <v>223.33333333333334</v>
      </c>
      <c r="U43" s="441">
        <f t="shared" si="24"/>
        <v>223.33333333333334</v>
      </c>
      <c r="V43" s="441">
        <f t="shared" si="24"/>
        <v>223.33333333333334</v>
      </c>
      <c r="W43" s="441"/>
    </row>
    <row r="44" spans="1:23" s="16" customFormat="1">
      <c r="A44" s="83" t="s">
        <v>267</v>
      </c>
      <c r="B44" s="440">
        <v>0</v>
      </c>
      <c r="C44" s="441">
        <f>C43*365</f>
        <v>81516.666666666672</v>
      </c>
      <c r="D44" s="441">
        <f t="shared" ref="D44:V44" si="25">D43*365</f>
        <v>81516.666666666672</v>
      </c>
      <c r="E44" s="441">
        <f t="shared" si="25"/>
        <v>81516.666666666672</v>
      </c>
      <c r="F44" s="441">
        <f t="shared" si="25"/>
        <v>81516.666666666672</v>
      </c>
      <c r="G44" s="441">
        <f t="shared" si="25"/>
        <v>81516.666666666672</v>
      </c>
      <c r="H44" s="441">
        <f t="shared" si="25"/>
        <v>81516.666666666672</v>
      </c>
      <c r="I44" s="441">
        <f t="shared" si="25"/>
        <v>81516.666666666672</v>
      </c>
      <c r="J44" s="441">
        <f t="shared" si="25"/>
        <v>81516.666666666672</v>
      </c>
      <c r="K44" s="441">
        <f t="shared" si="25"/>
        <v>81516.666666666672</v>
      </c>
      <c r="L44" s="441">
        <f t="shared" si="25"/>
        <v>81516.666666666672</v>
      </c>
      <c r="M44" s="441">
        <f t="shared" si="25"/>
        <v>81516.666666666672</v>
      </c>
      <c r="N44" s="441">
        <f t="shared" si="25"/>
        <v>81516.666666666672</v>
      </c>
      <c r="O44" s="441">
        <f t="shared" si="25"/>
        <v>81516.666666666672</v>
      </c>
      <c r="P44" s="441">
        <f t="shared" si="25"/>
        <v>81516.666666666672</v>
      </c>
      <c r="Q44" s="441">
        <f t="shared" si="25"/>
        <v>81516.666666666672</v>
      </c>
      <c r="R44" s="441">
        <f t="shared" si="25"/>
        <v>81516.666666666672</v>
      </c>
      <c r="S44" s="441">
        <f t="shared" si="25"/>
        <v>81516.666666666672</v>
      </c>
      <c r="T44" s="441">
        <f t="shared" si="25"/>
        <v>81516.666666666672</v>
      </c>
      <c r="U44" s="441">
        <f t="shared" si="25"/>
        <v>81516.666666666672</v>
      </c>
      <c r="V44" s="441">
        <f t="shared" si="25"/>
        <v>81516.666666666672</v>
      </c>
      <c r="W44" s="441"/>
    </row>
    <row r="45" spans="1:23" s="16" customFormat="1">
      <c r="A45" s="83" t="s">
        <v>271</v>
      </c>
      <c r="B45" s="440">
        <v>0</v>
      </c>
      <c r="C45" s="358">
        <f t="shared" ref="C45:V45" si="26">$B$115</f>
        <v>0.34999999999999992</v>
      </c>
      <c r="D45" s="358">
        <f t="shared" si="26"/>
        <v>0.34999999999999992</v>
      </c>
      <c r="E45" s="358">
        <f t="shared" si="26"/>
        <v>0.34999999999999992</v>
      </c>
      <c r="F45" s="358">
        <f t="shared" si="26"/>
        <v>0.34999999999999992</v>
      </c>
      <c r="G45" s="358">
        <f t="shared" si="26"/>
        <v>0.34999999999999992</v>
      </c>
      <c r="H45" s="358">
        <f t="shared" si="26"/>
        <v>0.34999999999999992</v>
      </c>
      <c r="I45" s="358">
        <f t="shared" si="26"/>
        <v>0.34999999999999992</v>
      </c>
      <c r="J45" s="358">
        <f t="shared" si="26"/>
        <v>0.34999999999999992</v>
      </c>
      <c r="K45" s="358">
        <f t="shared" si="26"/>
        <v>0.34999999999999992</v>
      </c>
      <c r="L45" s="358">
        <f t="shared" si="26"/>
        <v>0.34999999999999992</v>
      </c>
      <c r="M45" s="358">
        <f t="shared" si="26"/>
        <v>0.34999999999999992</v>
      </c>
      <c r="N45" s="358">
        <f t="shared" si="26"/>
        <v>0.34999999999999992</v>
      </c>
      <c r="O45" s="358">
        <f t="shared" si="26"/>
        <v>0.34999999999999992</v>
      </c>
      <c r="P45" s="358">
        <f t="shared" si="26"/>
        <v>0.34999999999999992</v>
      </c>
      <c r="Q45" s="358">
        <f t="shared" si="26"/>
        <v>0.34999999999999992</v>
      </c>
      <c r="R45" s="358">
        <f t="shared" si="26"/>
        <v>0.34999999999999992</v>
      </c>
      <c r="S45" s="358">
        <f t="shared" si="26"/>
        <v>0.34999999999999992</v>
      </c>
      <c r="T45" s="358">
        <f t="shared" si="26"/>
        <v>0.34999999999999992</v>
      </c>
      <c r="U45" s="358">
        <f t="shared" si="26"/>
        <v>0.34999999999999992</v>
      </c>
      <c r="V45" s="358">
        <f t="shared" si="26"/>
        <v>0.34999999999999992</v>
      </c>
      <c r="W45" s="441"/>
    </row>
    <row r="46" spans="1:23" s="16" customFormat="1">
      <c r="A46" s="83" t="s">
        <v>272</v>
      </c>
      <c r="B46" s="440"/>
      <c r="C46" s="441">
        <f>C45*C44</f>
        <v>28530.833333333328</v>
      </c>
      <c r="D46" s="441">
        <f t="shared" ref="D46:V46" si="27">D45*D44</f>
        <v>28530.833333333328</v>
      </c>
      <c r="E46" s="441">
        <f t="shared" si="27"/>
        <v>28530.833333333328</v>
      </c>
      <c r="F46" s="441">
        <f t="shared" si="27"/>
        <v>28530.833333333328</v>
      </c>
      <c r="G46" s="441">
        <f t="shared" si="27"/>
        <v>28530.833333333328</v>
      </c>
      <c r="H46" s="441">
        <f t="shared" si="27"/>
        <v>28530.833333333328</v>
      </c>
      <c r="I46" s="441">
        <f t="shared" si="27"/>
        <v>28530.833333333328</v>
      </c>
      <c r="J46" s="441">
        <f t="shared" si="27"/>
        <v>28530.833333333328</v>
      </c>
      <c r="K46" s="441">
        <f t="shared" si="27"/>
        <v>28530.833333333328</v>
      </c>
      <c r="L46" s="441">
        <f t="shared" si="27"/>
        <v>28530.833333333328</v>
      </c>
      <c r="M46" s="441">
        <f t="shared" si="27"/>
        <v>28530.833333333328</v>
      </c>
      <c r="N46" s="441">
        <f t="shared" si="27"/>
        <v>28530.833333333328</v>
      </c>
      <c r="O46" s="441">
        <f t="shared" si="27"/>
        <v>28530.833333333328</v>
      </c>
      <c r="P46" s="441">
        <f t="shared" si="27"/>
        <v>28530.833333333328</v>
      </c>
      <c r="Q46" s="441">
        <f t="shared" si="27"/>
        <v>28530.833333333328</v>
      </c>
      <c r="R46" s="441">
        <f t="shared" si="27"/>
        <v>28530.833333333328</v>
      </c>
      <c r="S46" s="441">
        <f t="shared" si="27"/>
        <v>28530.833333333328</v>
      </c>
      <c r="T46" s="441">
        <f t="shared" si="27"/>
        <v>28530.833333333328</v>
      </c>
      <c r="U46" s="441">
        <f t="shared" si="27"/>
        <v>28530.833333333328</v>
      </c>
      <c r="V46" s="441">
        <f t="shared" si="27"/>
        <v>28530.833333333328</v>
      </c>
      <c r="W46" s="441"/>
    </row>
    <row r="47" spans="1:23" s="16" customFormat="1">
      <c r="A47" s="83"/>
      <c r="B47" s="440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  <c r="V47" s="441"/>
      <c r="W47" s="441"/>
    </row>
    <row r="48" spans="1:23">
      <c r="A48" s="475" t="s">
        <v>353</v>
      </c>
      <c r="B48" s="480"/>
      <c r="C48" s="480"/>
      <c r="D48" s="480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  <c r="S48" s="268"/>
      <c r="T48" s="268"/>
      <c r="U48" s="268"/>
      <c r="V48" s="268"/>
    </row>
    <row r="49" spans="1:24" s="588" customFormat="1" ht="14.25">
      <c r="A49" s="633"/>
      <c r="B49" s="634"/>
      <c r="C49" s="635">
        <f>C50/250</f>
        <v>1</v>
      </c>
      <c r="D49" s="635">
        <f t="shared" ref="D49:L49" si="28">D50/250</f>
        <v>1</v>
      </c>
      <c r="E49" s="635">
        <f t="shared" si="28"/>
        <v>1</v>
      </c>
      <c r="F49" s="635">
        <f t="shared" si="28"/>
        <v>1</v>
      </c>
      <c r="G49" s="635">
        <f t="shared" si="28"/>
        <v>1</v>
      </c>
      <c r="H49" s="635">
        <f t="shared" si="28"/>
        <v>1</v>
      </c>
      <c r="I49" s="635">
        <f t="shared" si="28"/>
        <v>1</v>
      </c>
      <c r="J49" s="635">
        <f t="shared" si="28"/>
        <v>1</v>
      </c>
      <c r="K49" s="635">
        <f t="shared" si="28"/>
        <v>1</v>
      </c>
      <c r="L49" s="635">
        <f t="shared" si="28"/>
        <v>1</v>
      </c>
      <c r="M49" s="637">
        <v>1</v>
      </c>
      <c r="N49" s="637">
        <v>1</v>
      </c>
      <c r="O49" s="637">
        <v>1</v>
      </c>
      <c r="P49" s="637">
        <v>1</v>
      </c>
      <c r="Q49" s="637">
        <v>1</v>
      </c>
      <c r="R49" s="637">
        <v>1</v>
      </c>
      <c r="S49" s="637">
        <v>1</v>
      </c>
      <c r="T49" s="637">
        <v>1</v>
      </c>
      <c r="U49" s="637">
        <v>1</v>
      </c>
      <c r="V49" s="637">
        <v>1</v>
      </c>
    </row>
    <row r="50" spans="1:24">
      <c r="A50" s="85" t="s">
        <v>261</v>
      </c>
      <c r="B50" s="711">
        <v>0</v>
      </c>
      <c r="C50" s="419">
        <f>'Parking by Use'!$B$6</f>
        <v>250</v>
      </c>
      <c r="D50" s="419">
        <f>'Parking by Use'!$B$6</f>
        <v>250</v>
      </c>
      <c r="E50" s="419">
        <f>'Parking by Use'!$B$6</f>
        <v>250</v>
      </c>
      <c r="F50" s="419">
        <f>'Parking by Use'!$B$6</f>
        <v>250</v>
      </c>
      <c r="G50" s="419">
        <f>'Parking by Use'!$B$6</f>
        <v>250</v>
      </c>
      <c r="H50" s="419">
        <f>'Parking by Use'!$B$6</f>
        <v>250</v>
      </c>
      <c r="I50" s="419">
        <f>'Parking by Use'!$B$6</f>
        <v>250</v>
      </c>
      <c r="J50" s="419">
        <f>'Parking by Use'!$B$6</f>
        <v>250</v>
      </c>
      <c r="K50" s="419">
        <f>'Parking by Use'!$B$6</f>
        <v>250</v>
      </c>
      <c r="L50" s="419">
        <f>'Parking by Use'!$B$6</f>
        <v>250</v>
      </c>
      <c r="M50" s="419">
        <f>'Parking by Use'!$B$6</f>
        <v>250</v>
      </c>
      <c r="N50" s="419">
        <f>'Parking by Use'!$B$6</f>
        <v>250</v>
      </c>
      <c r="O50" s="419">
        <f>'Parking by Use'!$B$6</f>
        <v>250</v>
      </c>
      <c r="P50" s="419">
        <f>'Parking by Use'!$B$6</f>
        <v>250</v>
      </c>
      <c r="Q50" s="419">
        <f>'Parking by Use'!$B$6</f>
        <v>250</v>
      </c>
      <c r="R50" s="419">
        <f>'Parking by Use'!$B$6</f>
        <v>250</v>
      </c>
      <c r="S50" s="419">
        <f>'Parking by Use'!$B$6</f>
        <v>250</v>
      </c>
      <c r="T50" s="419">
        <f>'Parking by Use'!$B$6</f>
        <v>250</v>
      </c>
      <c r="U50" s="419">
        <f>'Parking by Use'!$B$6</f>
        <v>250</v>
      </c>
      <c r="V50" s="419">
        <f>'Parking by Use'!$B$6</f>
        <v>250</v>
      </c>
    </row>
    <row r="51" spans="1:24">
      <c r="A51" s="85" t="s">
        <v>274</v>
      </c>
      <c r="B51" s="711">
        <v>0</v>
      </c>
      <c r="C51" s="419">
        <f>SUM(C55,C59)</f>
        <v>30783.187499999996</v>
      </c>
      <c r="D51" s="419">
        <f t="shared" ref="D51:V51" si="29">SUM(D55,D59)</f>
        <v>30783.187499999996</v>
      </c>
      <c r="E51" s="419">
        <f t="shared" si="29"/>
        <v>30783.187499999996</v>
      </c>
      <c r="F51" s="419">
        <f t="shared" si="29"/>
        <v>30783.187499999996</v>
      </c>
      <c r="G51" s="419">
        <f t="shared" si="29"/>
        <v>30783.187499999996</v>
      </c>
      <c r="H51" s="419">
        <f t="shared" si="29"/>
        <v>30783.187499999996</v>
      </c>
      <c r="I51" s="419">
        <f t="shared" si="29"/>
        <v>30783.187499999996</v>
      </c>
      <c r="J51" s="419">
        <f t="shared" si="29"/>
        <v>30783.187499999996</v>
      </c>
      <c r="K51" s="419">
        <f t="shared" si="29"/>
        <v>30783.187499999996</v>
      </c>
      <c r="L51" s="419">
        <f t="shared" si="29"/>
        <v>30783.187499999996</v>
      </c>
      <c r="M51" s="419">
        <f t="shared" si="29"/>
        <v>30783.187499999996</v>
      </c>
      <c r="N51" s="419">
        <f t="shared" si="29"/>
        <v>30783.187499999996</v>
      </c>
      <c r="O51" s="419">
        <f t="shared" si="29"/>
        <v>30783.187499999996</v>
      </c>
      <c r="P51" s="419">
        <f t="shared" si="29"/>
        <v>30783.187499999996</v>
      </c>
      <c r="Q51" s="419">
        <f t="shared" si="29"/>
        <v>30783.187499999996</v>
      </c>
      <c r="R51" s="419">
        <f t="shared" si="29"/>
        <v>30783.187499999996</v>
      </c>
      <c r="S51" s="419">
        <f t="shared" si="29"/>
        <v>30783.187499999996</v>
      </c>
      <c r="T51" s="419">
        <f t="shared" si="29"/>
        <v>30783.187499999996</v>
      </c>
      <c r="U51" s="419">
        <f t="shared" si="29"/>
        <v>30783.187499999996</v>
      </c>
      <c r="V51" s="419">
        <f t="shared" si="29"/>
        <v>30783.187499999996</v>
      </c>
    </row>
    <row r="52" spans="1:24" s="16" customFormat="1">
      <c r="A52" s="83" t="s">
        <v>263</v>
      </c>
      <c r="B52" s="440">
        <v>0</v>
      </c>
      <c r="C52" s="441">
        <f>('Parking by Use'!$I$6-'Parking by Use'!$D$6)+('Marina Projections'!C67/3)</f>
        <v>30.666666666666668</v>
      </c>
      <c r="D52" s="441">
        <f>('Parking by Use'!$I$6-'Parking by Use'!$D$6)+('Marina Projections'!D67/3)</f>
        <v>30.666666666666668</v>
      </c>
      <c r="E52" s="441">
        <f>('Parking by Use'!$I$6-'Parking by Use'!$D$6)+('Marina Projections'!E67/3)</f>
        <v>30.666666666666668</v>
      </c>
      <c r="F52" s="441">
        <f>('Parking by Use'!$I$6-'Parking by Use'!$D$6)+('Marina Projections'!F67/3)</f>
        <v>30.666666666666668</v>
      </c>
      <c r="G52" s="441">
        <f>('Parking by Use'!$I$6-'Parking by Use'!$D$6)+('Marina Projections'!G67/3)</f>
        <v>30.666666666666668</v>
      </c>
      <c r="H52" s="441">
        <f>('Parking by Use'!$I$6-'Parking by Use'!$D$6)+('Marina Projections'!H67/3)</f>
        <v>30.666666666666668</v>
      </c>
      <c r="I52" s="441">
        <f>('Parking by Use'!$I$6-'Parking by Use'!$D$6)+('Marina Projections'!I67/3)</f>
        <v>30.666666666666668</v>
      </c>
      <c r="J52" s="441">
        <f>('Parking by Use'!$I$6-'Parking by Use'!$D$6)+('Marina Projections'!J67/3)</f>
        <v>30.666666666666668</v>
      </c>
      <c r="K52" s="441">
        <f>('Parking by Use'!$I$6-'Parking by Use'!$D$6)+('Marina Projections'!K67/3)</f>
        <v>30.666666666666668</v>
      </c>
      <c r="L52" s="441">
        <f>('Parking by Use'!$I$6-'Parking by Use'!$D$6)+('Marina Projections'!L67/3)</f>
        <v>30.666666666666668</v>
      </c>
      <c r="M52" s="441">
        <f>('Parking by Use'!$I$6-'Parking by Use'!$D$6)+('Marina Projections'!M67/3)</f>
        <v>30.666666666666668</v>
      </c>
      <c r="N52" s="441">
        <f>('Parking by Use'!$I$6-'Parking by Use'!$D$6)+('Marina Projections'!N67/3)</f>
        <v>30.666666666666668</v>
      </c>
      <c r="O52" s="441">
        <f>('Parking by Use'!$I$6-'Parking by Use'!$D$6)+('Marina Projections'!O67/3)</f>
        <v>30.666666666666668</v>
      </c>
      <c r="P52" s="441">
        <f>('Parking by Use'!$I$6-'Parking by Use'!$D$6)+('Marina Projections'!P67/3)</f>
        <v>30.666666666666668</v>
      </c>
      <c r="Q52" s="441">
        <f>('Parking by Use'!$I$6-'Parking by Use'!$D$6)+('Marina Projections'!Q67/3)</f>
        <v>30.666666666666668</v>
      </c>
      <c r="R52" s="441">
        <f>('Parking by Use'!$I$6-'Parking by Use'!$D$6)+('Marina Projections'!R67/3)</f>
        <v>30.666666666666668</v>
      </c>
      <c r="S52" s="441">
        <f>('Parking by Use'!$I$6-'Parking by Use'!$D$6)+('Marina Projections'!S67/3)</f>
        <v>30.666666666666668</v>
      </c>
      <c r="T52" s="441">
        <f>('Parking by Use'!$I$6-'Parking by Use'!$D$6)+('Marina Projections'!T67/3)</f>
        <v>30.666666666666668</v>
      </c>
      <c r="U52" s="441">
        <f>('Parking by Use'!$I$6-'Parking by Use'!$D$6)+('Marina Projections'!U67/3)</f>
        <v>30.666666666666668</v>
      </c>
      <c r="V52" s="441">
        <f>('Parking by Use'!$I$6-'Parking by Use'!$D$6)+('Marina Projections'!V67/3)</f>
        <v>30.666666666666668</v>
      </c>
      <c r="W52" s="441"/>
    </row>
    <row r="53" spans="1:24" s="16" customFormat="1">
      <c r="A53" s="83" t="s">
        <v>264</v>
      </c>
      <c r="B53" s="440">
        <v>0</v>
      </c>
      <c r="C53" s="441">
        <f>C52*365</f>
        <v>11193.333333333334</v>
      </c>
      <c r="D53" s="441">
        <f t="shared" ref="D53:V53" si="30">D52*365</f>
        <v>11193.333333333334</v>
      </c>
      <c r="E53" s="441">
        <f t="shared" si="30"/>
        <v>11193.333333333334</v>
      </c>
      <c r="F53" s="441">
        <f t="shared" si="30"/>
        <v>11193.333333333334</v>
      </c>
      <c r="G53" s="441">
        <f t="shared" si="30"/>
        <v>11193.333333333334</v>
      </c>
      <c r="H53" s="441">
        <f t="shared" si="30"/>
        <v>11193.333333333334</v>
      </c>
      <c r="I53" s="441">
        <f t="shared" si="30"/>
        <v>11193.333333333334</v>
      </c>
      <c r="J53" s="441">
        <f t="shared" si="30"/>
        <v>11193.333333333334</v>
      </c>
      <c r="K53" s="441">
        <f t="shared" si="30"/>
        <v>11193.333333333334</v>
      </c>
      <c r="L53" s="441">
        <f t="shared" si="30"/>
        <v>11193.333333333334</v>
      </c>
      <c r="M53" s="441">
        <f t="shared" si="30"/>
        <v>11193.333333333334</v>
      </c>
      <c r="N53" s="441">
        <f t="shared" si="30"/>
        <v>11193.333333333334</v>
      </c>
      <c r="O53" s="441">
        <f t="shared" si="30"/>
        <v>11193.333333333334</v>
      </c>
      <c r="P53" s="441">
        <f t="shared" si="30"/>
        <v>11193.333333333334</v>
      </c>
      <c r="Q53" s="441">
        <f t="shared" si="30"/>
        <v>11193.333333333334</v>
      </c>
      <c r="R53" s="441">
        <f t="shared" si="30"/>
        <v>11193.333333333334</v>
      </c>
      <c r="S53" s="441">
        <f t="shared" si="30"/>
        <v>11193.333333333334</v>
      </c>
      <c r="T53" s="441">
        <f t="shared" si="30"/>
        <v>11193.333333333334</v>
      </c>
      <c r="U53" s="441">
        <f t="shared" si="30"/>
        <v>11193.333333333334</v>
      </c>
      <c r="V53" s="441">
        <f t="shared" si="30"/>
        <v>11193.333333333334</v>
      </c>
      <c r="W53" s="441"/>
    </row>
    <row r="54" spans="1:24" s="16" customFormat="1">
      <c r="A54" s="83" t="s">
        <v>265</v>
      </c>
      <c r="B54" s="440">
        <v>0</v>
      </c>
      <c r="C54" s="358">
        <f t="shared" ref="C54:V54" si="31">$B$132</f>
        <v>0.24687500000000001</v>
      </c>
      <c r="D54" s="358">
        <f t="shared" si="31"/>
        <v>0.24687500000000001</v>
      </c>
      <c r="E54" s="358">
        <f t="shared" si="31"/>
        <v>0.24687500000000001</v>
      </c>
      <c r="F54" s="358">
        <f t="shared" si="31"/>
        <v>0.24687500000000001</v>
      </c>
      <c r="G54" s="358">
        <f t="shared" si="31"/>
        <v>0.24687500000000001</v>
      </c>
      <c r="H54" s="358">
        <f t="shared" si="31"/>
        <v>0.24687500000000001</v>
      </c>
      <c r="I54" s="358">
        <f t="shared" si="31"/>
        <v>0.24687500000000001</v>
      </c>
      <c r="J54" s="358">
        <f t="shared" si="31"/>
        <v>0.24687500000000001</v>
      </c>
      <c r="K54" s="358">
        <f t="shared" si="31"/>
        <v>0.24687500000000001</v>
      </c>
      <c r="L54" s="358">
        <f t="shared" si="31"/>
        <v>0.24687500000000001</v>
      </c>
      <c r="M54" s="358">
        <f t="shared" si="31"/>
        <v>0.24687500000000001</v>
      </c>
      <c r="N54" s="358">
        <f t="shared" si="31"/>
        <v>0.24687500000000001</v>
      </c>
      <c r="O54" s="358">
        <f t="shared" si="31"/>
        <v>0.24687500000000001</v>
      </c>
      <c r="P54" s="358">
        <f t="shared" si="31"/>
        <v>0.24687500000000001</v>
      </c>
      <c r="Q54" s="358">
        <f t="shared" si="31"/>
        <v>0.24687500000000001</v>
      </c>
      <c r="R54" s="358">
        <f t="shared" si="31"/>
        <v>0.24687500000000001</v>
      </c>
      <c r="S54" s="358">
        <f t="shared" si="31"/>
        <v>0.24687500000000001</v>
      </c>
      <c r="T54" s="358">
        <f t="shared" si="31"/>
        <v>0.24687500000000001</v>
      </c>
      <c r="U54" s="358">
        <f t="shared" si="31"/>
        <v>0.24687500000000001</v>
      </c>
      <c r="V54" s="358">
        <f t="shared" si="31"/>
        <v>0.24687500000000001</v>
      </c>
      <c r="W54" s="441"/>
    </row>
    <row r="55" spans="1:24" s="16" customFormat="1">
      <c r="A55" s="83" t="s">
        <v>266</v>
      </c>
      <c r="B55" s="440">
        <v>0</v>
      </c>
      <c r="C55" s="570">
        <f>C54*C53</f>
        <v>2763.354166666667</v>
      </c>
      <c r="D55" s="570">
        <f t="shared" ref="D55:V55" si="32">D54*D53</f>
        <v>2763.354166666667</v>
      </c>
      <c r="E55" s="570">
        <f t="shared" si="32"/>
        <v>2763.354166666667</v>
      </c>
      <c r="F55" s="570">
        <f t="shared" si="32"/>
        <v>2763.354166666667</v>
      </c>
      <c r="G55" s="570">
        <f t="shared" si="32"/>
        <v>2763.354166666667</v>
      </c>
      <c r="H55" s="570">
        <f t="shared" si="32"/>
        <v>2763.354166666667</v>
      </c>
      <c r="I55" s="570">
        <f t="shared" si="32"/>
        <v>2763.354166666667</v>
      </c>
      <c r="J55" s="570">
        <f t="shared" si="32"/>
        <v>2763.354166666667</v>
      </c>
      <c r="K55" s="570">
        <f t="shared" si="32"/>
        <v>2763.354166666667</v>
      </c>
      <c r="L55" s="570">
        <f t="shared" si="32"/>
        <v>2763.354166666667</v>
      </c>
      <c r="M55" s="570">
        <f t="shared" si="32"/>
        <v>2763.354166666667</v>
      </c>
      <c r="N55" s="570">
        <f t="shared" si="32"/>
        <v>2763.354166666667</v>
      </c>
      <c r="O55" s="570">
        <f t="shared" si="32"/>
        <v>2763.354166666667</v>
      </c>
      <c r="P55" s="570">
        <f t="shared" si="32"/>
        <v>2763.354166666667</v>
      </c>
      <c r="Q55" s="570">
        <f t="shared" si="32"/>
        <v>2763.354166666667</v>
      </c>
      <c r="R55" s="570">
        <f t="shared" si="32"/>
        <v>2763.354166666667</v>
      </c>
      <c r="S55" s="570">
        <f t="shared" si="32"/>
        <v>2763.354166666667</v>
      </c>
      <c r="T55" s="570">
        <f t="shared" si="32"/>
        <v>2763.354166666667</v>
      </c>
      <c r="U55" s="570">
        <f t="shared" si="32"/>
        <v>2763.354166666667</v>
      </c>
      <c r="V55" s="570">
        <f t="shared" si="32"/>
        <v>2763.354166666667</v>
      </c>
      <c r="W55" s="441"/>
    </row>
    <row r="56" spans="1:24" s="16" customFormat="1">
      <c r="A56" s="83" t="s">
        <v>262</v>
      </c>
      <c r="B56" s="440">
        <v>0</v>
      </c>
      <c r="C56" s="441">
        <f>C50-C52</f>
        <v>219.33333333333334</v>
      </c>
      <c r="D56" s="441">
        <f t="shared" ref="D56:V56" si="33">D50-D52</f>
        <v>219.33333333333334</v>
      </c>
      <c r="E56" s="441">
        <f t="shared" si="33"/>
        <v>219.33333333333334</v>
      </c>
      <c r="F56" s="441">
        <f t="shared" si="33"/>
        <v>219.33333333333334</v>
      </c>
      <c r="G56" s="441">
        <f t="shared" si="33"/>
        <v>219.33333333333334</v>
      </c>
      <c r="H56" s="441">
        <f t="shared" si="33"/>
        <v>219.33333333333334</v>
      </c>
      <c r="I56" s="441">
        <f t="shared" si="33"/>
        <v>219.33333333333334</v>
      </c>
      <c r="J56" s="441">
        <f t="shared" si="33"/>
        <v>219.33333333333334</v>
      </c>
      <c r="K56" s="441">
        <f t="shared" si="33"/>
        <v>219.33333333333334</v>
      </c>
      <c r="L56" s="441">
        <f t="shared" si="33"/>
        <v>219.33333333333334</v>
      </c>
      <c r="M56" s="441">
        <f t="shared" si="33"/>
        <v>219.33333333333334</v>
      </c>
      <c r="N56" s="441">
        <f t="shared" si="33"/>
        <v>219.33333333333334</v>
      </c>
      <c r="O56" s="441">
        <f t="shared" si="33"/>
        <v>219.33333333333334</v>
      </c>
      <c r="P56" s="441">
        <f t="shared" si="33"/>
        <v>219.33333333333334</v>
      </c>
      <c r="Q56" s="441">
        <f t="shared" si="33"/>
        <v>219.33333333333334</v>
      </c>
      <c r="R56" s="441">
        <f t="shared" si="33"/>
        <v>219.33333333333334</v>
      </c>
      <c r="S56" s="441">
        <f t="shared" si="33"/>
        <v>219.33333333333334</v>
      </c>
      <c r="T56" s="441">
        <f t="shared" si="33"/>
        <v>219.33333333333334</v>
      </c>
      <c r="U56" s="441">
        <f t="shared" si="33"/>
        <v>219.33333333333334</v>
      </c>
      <c r="V56" s="441">
        <f t="shared" si="33"/>
        <v>219.33333333333334</v>
      </c>
      <c r="W56" s="441"/>
    </row>
    <row r="57" spans="1:24" s="16" customFormat="1">
      <c r="A57" s="83" t="s">
        <v>267</v>
      </c>
      <c r="B57" s="440">
        <v>0</v>
      </c>
      <c r="C57" s="441">
        <f>C56*365</f>
        <v>80056.666666666672</v>
      </c>
      <c r="D57" s="441">
        <f t="shared" ref="D57:V57" si="34">D56*365</f>
        <v>80056.666666666672</v>
      </c>
      <c r="E57" s="441">
        <f t="shared" si="34"/>
        <v>80056.666666666672</v>
      </c>
      <c r="F57" s="441">
        <f t="shared" si="34"/>
        <v>80056.666666666672</v>
      </c>
      <c r="G57" s="441">
        <f t="shared" si="34"/>
        <v>80056.666666666672</v>
      </c>
      <c r="H57" s="441">
        <f t="shared" si="34"/>
        <v>80056.666666666672</v>
      </c>
      <c r="I57" s="441">
        <f t="shared" si="34"/>
        <v>80056.666666666672</v>
      </c>
      <c r="J57" s="441">
        <f t="shared" si="34"/>
        <v>80056.666666666672</v>
      </c>
      <c r="K57" s="441">
        <f t="shared" si="34"/>
        <v>80056.666666666672</v>
      </c>
      <c r="L57" s="441">
        <f t="shared" si="34"/>
        <v>80056.666666666672</v>
      </c>
      <c r="M57" s="441">
        <f t="shared" si="34"/>
        <v>80056.666666666672</v>
      </c>
      <c r="N57" s="441">
        <f t="shared" si="34"/>
        <v>80056.666666666672</v>
      </c>
      <c r="O57" s="441">
        <f t="shared" si="34"/>
        <v>80056.666666666672</v>
      </c>
      <c r="P57" s="441">
        <f t="shared" si="34"/>
        <v>80056.666666666672</v>
      </c>
      <c r="Q57" s="441">
        <f t="shared" si="34"/>
        <v>80056.666666666672</v>
      </c>
      <c r="R57" s="441">
        <f t="shared" si="34"/>
        <v>80056.666666666672</v>
      </c>
      <c r="S57" s="441">
        <f t="shared" si="34"/>
        <v>80056.666666666672</v>
      </c>
      <c r="T57" s="441">
        <f t="shared" si="34"/>
        <v>80056.666666666672</v>
      </c>
      <c r="U57" s="441">
        <f t="shared" si="34"/>
        <v>80056.666666666672</v>
      </c>
      <c r="V57" s="441">
        <f t="shared" si="34"/>
        <v>80056.666666666672</v>
      </c>
      <c r="W57" s="441"/>
    </row>
    <row r="58" spans="1:24" s="16" customFormat="1">
      <c r="A58" s="83" t="s">
        <v>271</v>
      </c>
      <c r="B58" s="440">
        <v>0</v>
      </c>
      <c r="C58" s="358">
        <f t="shared" ref="C58:V58" si="35">$B$115</f>
        <v>0.34999999999999992</v>
      </c>
      <c r="D58" s="358">
        <f t="shared" si="35"/>
        <v>0.34999999999999992</v>
      </c>
      <c r="E58" s="358">
        <f t="shared" si="35"/>
        <v>0.34999999999999992</v>
      </c>
      <c r="F58" s="358">
        <f t="shared" si="35"/>
        <v>0.34999999999999992</v>
      </c>
      <c r="G58" s="358">
        <f t="shared" si="35"/>
        <v>0.34999999999999992</v>
      </c>
      <c r="H58" s="358">
        <f t="shared" si="35"/>
        <v>0.34999999999999992</v>
      </c>
      <c r="I58" s="358">
        <f t="shared" si="35"/>
        <v>0.34999999999999992</v>
      </c>
      <c r="J58" s="358">
        <f t="shared" si="35"/>
        <v>0.34999999999999992</v>
      </c>
      <c r="K58" s="358">
        <f t="shared" si="35"/>
        <v>0.34999999999999992</v>
      </c>
      <c r="L58" s="358">
        <f t="shared" si="35"/>
        <v>0.34999999999999992</v>
      </c>
      <c r="M58" s="358">
        <f t="shared" si="35"/>
        <v>0.34999999999999992</v>
      </c>
      <c r="N58" s="358">
        <f t="shared" si="35"/>
        <v>0.34999999999999992</v>
      </c>
      <c r="O58" s="358">
        <f t="shared" si="35"/>
        <v>0.34999999999999992</v>
      </c>
      <c r="P58" s="358">
        <f t="shared" si="35"/>
        <v>0.34999999999999992</v>
      </c>
      <c r="Q58" s="358">
        <f t="shared" si="35"/>
        <v>0.34999999999999992</v>
      </c>
      <c r="R58" s="358">
        <f t="shared" si="35"/>
        <v>0.34999999999999992</v>
      </c>
      <c r="S58" s="358">
        <f t="shared" si="35"/>
        <v>0.34999999999999992</v>
      </c>
      <c r="T58" s="358">
        <f t="shared" si="35"/>
        <v>0.34999999999999992</v>
      </c>
      <c r="U58" s="358">
        <f t="shared" si="35"/>
        <v>0.34999999999999992</v>
      </c>
      <c r="V58" s="358">
        <f t="shared" si="35"/>
        <v>0.34999999999999992</v>
      </c>
      <c r="W58" s="441"/>
    </row>
    <row r="59" spans="1:24" s="16" customFormat="1">
      <c r="A59" s="83" t="s">
        <v>272</v>
      </c>
      <c r="B59" s="440"/>
      <c r="C59" s="441">
        <f>C58*C57</f>
        <v>28019.833333333328</v>
      </c>
      <c r="D59" s="441">
        <f t="shared" ref="D59:V59" si="36">D58*D57</f>
        <v>28019.833333333328</v>
      </c>
      <c r="E59" s="441">
        <f t="shared" si="36"/>
        <v>28019.833333333328</v>
      </c>
      <c r="F59" s="441">
        <f t="shared" si="36"/>
        <v>28019.833333333328</v>
      </c>
      <c r="G59" s="441">
        <f t="shared" si="36"/>
        <v>28019.833333333328</v>
      </c>
      <c r="H59" s="441">
        <f t="shared" si="36"/>
        <v>28019.833333333328</v>
      </c>
      <c r="I59" s="441">
        <f t="shared" si="36"/>
        <v>28019.833333333328</v>
      </c>
      <c r="J59" s="441">
        <f t="shared" si="36"/>
        <v>28019.833333333328</v>
      </c>
      <c r="K59" s="441">
        <f t="shared" si="36"/>
        <v>28019.833333333328</v>
      </c>
      <c r="L59" s="441">
        <f t="shared" si="36"/>
        <v>28019.833333333328</v>
      </c>
      <c r="M59" s="441">
        <f t="shared" si="36"/>
        <v>28019.833333333328</v>
      </c>
      <c r="N59" s="441">
        <f t="shared" si="36"/>
        <v>28019.833333333328</v>
      </c>
      <c r="O59" s="441">
        <f t="shared" si="36"/>
        <v>28019.833333333328</v>
      </c>
      <c r="P59" s="441">
        <f t="shared" si="36"/>
        <v>28019.833333333328</v>
      </c>
      <c r="Q59" s="441">
        <f t="shared" si="36"/>
        <v>28019.833333333328</v>
      </c>
      <c r="R59" s="441">
        <f t="shared" si="36"/>
        <v>28019.833333333328</v>
      </c>
      <c r="S59" s="441">
        <f t="shared" si="36"/>
        <v>28019.833333333328</v>
      </c>
      <c r="T59" s="441">
        <f t="shared" si="36"/>
        <v>28019.833333333328</v>
      </c>
      <c r="U59" s="441">
        <f t="shared" si="36"/>
        <v>28019.833333333328</v>
      </c>
      <c r="V59" s="441">
        <f t="shared" si="36"/>
        <v>28019.833333333328</v>
      </c>
      <c r="W59" s="441"/>
    </row>
    <row r="60" spans="1:24" s="16" customFormat="1">
      <c r="A60" s="83"/>
      <c r="B60" s="440"/>
      <c r="C60" s="441"/>
      <c r="D60" s="441"/>
      <c r="E60" s="441"/>
      <c r="F60" s="441"/>
      <c r="G60" s="441"/>
      <c r="H60" s="441"/>
      <c r="I60" s="441"/>
      <c r="J60" s="441"/>
      <c r="K60" s="441"/>
      <c r="L60" s="441"/>
      <c r="M60" s="441"/>
      <c r="N60" s="441"/>
      <c r="O60" s="441"/>
      <c r="P60" s="441"/>
      <c r="Q60" s="441"/>
      <c r="R60" s="441"/>
      <c r="S60" s="441"/>
      <c r="T60" s="441"/>
      <c r="U60" s="441"/>
      <c r="V60" s="441"/>
      <c r="W60" s="441"/>
      <c r="X60" s="569"/>
    </row>
    <row r="61" spans="1:24">
      <c r="A61" s="475" t="s">
        <v>351</v>
      </c>
      <c r="B61" s="480"/>
      <c r="C61" s="480"/>
      <c r="D61" s="480"/>
      <c r="E61" s="268"/>
      <c r="F61" s="268"/>
      <c r="G61" s="268"/>
      <c r="H61" s="268"/>
      <c r="I61" s="268"/>
      <c r="J61" s="268"/>
      <c r="K61" s="268"/>
      <c r="L61" s="268"/>
      <c r="M61" s="268"/>
      <c r="N61" s="268"/>
      <c r="O61" s="268"/>
      <c r="P61" s="268"/>
      <c r="Q61" s="268"/>
      <c r="R61" s="268"/>
      <c r="S61" s="268"/>
      <c r="T61" s="268"/>
      <c r="U61" s="268"/>
      <c r="V61" s="268"/>
    </row>
    <row r="62" spans="1:24" s="588" customFormat="1" ht="14.25">
      <c r="A62" s="633"/>
      <c r="B62" s="634"/>
      <c r="C62" s="635">
        <f>C63/250</f>
        <v>1</v>
      </c>
      <c r="D62" s="635">
        <f t="shared" ref="D62:L62" si="37">D63/250</f>
        <v>1</v>
      </c>
      <c r="E62" s="635">
        <f t="shared" si="37"/>
        <v>1</v>
      </c>
      <c r="F62" s="635">
        <f t="shared" si="37"/>
        <v>1</v>
      </c>
      <c r="G62" s="635">
        <f t="shared" si="37"/>
        <v>1</v>
      </c>
      <c r="H62" s="635">
        <f t="shared" si="37"/>
        <v>1</v>
      </c>
      <c r="I62" s="635">
        <f t="shared" si="37"/>
        <v>1</v>
      </c>
      <c r="J62" s="635">
        <f t="shared" si="37"/>
        <v>1</v>
      </c>
      <c r="K62" s="635">
        <f t="shared" si="37"/>
        <v>1</v>
      </c>
      <c r="L62" s="635">
        <f t="shared" si="37"/>
        <v>1</v>
      </c>
      <c r="M62" s="637">
        <v>1</v>
      </c>
      <c r="N62" s="637">
        <v>1</v>
      </c>
      <c r="O62" s="637">
        <v>1</v>
      </c>
      <c r="P62" s="637">
        <v>1</v>
      </c>
      <c r="Q62" s="637">
        <v>1</v>
      </c>
      <c r="R62" s="637">
        <v>1</v>
      </c>
      <c r="S62" s="637">
        <v>1</v>
      </c>
      <c r="T62" s="637">
        <v>1</v>
      </c>
      <c r="U62" s="637">
        <v>1</v>
      </c>
      <c r="V62" s="637">
        <v>1</v>
      </c>
    </row>
    <row r="63" spans="1:24">
      <c r="A63" s="85" t="s">
        <v>261</v>
      </c>
      <c r="B63" s="711">
        <v>0</v>
      </c>
      <c r="C63" s="419">
        <f>'Parking by Use'!$B$7</f>
        <v>250</v>
      </c>
      <c r="D63" s="419">
        <f>'Parking by Use'!$B$7</f>
        <v>250</v>
      </c>
      <c r="E63" s="419">
        <f>'Parking by Use'!$B$7</f>
        <v>250</v>
      </c>
      <c r="F63" s="419">
        <f>'Parking by Use'!$B$7</f>
        <v>250</v>
      </c>
      <c r="G63" s="419">
        <f>'Parking by Use'!$B$7</f>
        <v>250</v>
      </c>
      <c r="H63" s="419">
        <f>'Parking by Use'!$B$7</f>
        <v>250</v>
      </c>
      <c r="I63" s="419">
        <f>'Parking by Use'!$B$7</f>
        <v>250</v>
      </c>
      <c r="J63" s="419">
        <f>'Parking by Use'!$B$7</f>
        <v>250</v>
      </c>
      <c r="K63" s="419">
        <f>'Parking by Use'!$B$7</f>
        <v>250</v>
      </c>
      <c r="L63" s="419">
        <f>'Parking by Use'!$B$7</f>
        <v>250</v>
      </c>
      <c r="M63" s="419">
        <f>'Parking by Use'!$B$7</f>
        <v>250</v>
      </c>
      <c r="N63" s="419">
        <f>'Parking by Use'!$B$7</f>
        <v>250</v>
      </c>
      <c r="O63" s="419">
        <f>'Parking by Use'!$B$7</f>
        <v>250</v>
      </c>
      <c r="P63" s="419">
        <f>'Parking by Use'!$B$7</f>
        <v>250</v>
      </c>
      <c r="Q63" s="419">
        <f>'Parking by Use'!$B$7</f>
        <v>250</v>
      </c>
      <c r="R63" s="419">
        <f>'Parking by Use'!$B$7</f>
        <v>250</v>
      </c>
      <c r="S63" s="419">
        <f>'Parking by Use'!$B$7</f>
        <v>250</v>
      </c>
      <c r="T63" s="419">
        <f>'Parking by Use'!$B$7</f>
        <v>250</v>
      </c>
      <c r="U63" s="419">
        <f>'Parking by Use'!$B$7</f>
        <v>250</v>
      </c>
      <c r="V63" s="419">
        <f>'Parking by Use'!$B$7</f>
        <v>250</v>
      </c>
    </row>
    <row r="64" spans="1:24">
      <c r="A64" s="85" t="s">
        <v>274</v>
      </c>
      <c r="B64" s="711">
        <v>0</v>
      </c>
      <c r="C64" s="419">
        <f>SUM(C68,C72)</f>
        <v>30406.781249999993</v>
      </c>
      <c r="D64" s="419">
        <f t="shared" ref="D64:V64" si="38">SUM(D68,D72)</f>
        <v>30406.781249999993</v>
      </c>
      <c r="E64" s="419">
        <f t="shared" si="38"/>
        <v>30406.781249999993</v>
      </c>
      <c r="F64" s="419">
        <f t="shared" si="38"/>
        <v>30406.781249999993</v>
      </c>
      <c r="G64" s="419">
        <f t="shared" si="38"/>
        <v>30406.781249999993</v>
      </c>
      <c r="H64" s="419">
        <f t="shared" si="38"/>
        <v>30406.781249999993</v>
      </c>
      <c r="I64" s="419">
        <f t="shared" si="38"/>
        <v>30406.781249999993</v>
      </c>
      <c r="J64" s="419">
        <f t="shared" si="38"/>
        <v>30406.781249999993</v>
      </c>
      <c r="K64" s="419">
        <f t="shared" si="38"/>
        <v>30406.781249999993</v>
      </c>
      <c r="L64" s="419">
        <f t="shared" si="38"/>
        <v>30406.781249999993</v>
      </c>
      <c r="M64" s="419">
        <f t="shared" si="38"/>
        <v>30406.781249999993</v>
      </c>
      <c r="N64" s="419">
        <f t="shared" si="38"/>
        <v>30406.781249999993</v>
      </c>
      <c r="O64" s="419">
        <f t="shared" si="38"/>
        <v>30406.781249999993</v>
      </c>
      <c r="P64" s="419">
        <f t="shared" si="38"/>
        <v>30406.781249999993</v>
      </c>
      <c r="Q64" s="419">
        <f t="shared" si="38"/>
        <v>30406.781249999993</v>
      </c>
      <c r="R64" s="419">
        <f t="shared" si="38"/>
        <v>30406.781249999993</v>
      </c>
      <c r="S64" s="419">
        <f t="shared" si="38"/>
        <v>30406.781249999993</v>
      </c>
      <c r="T64" s="419">
        <f t="shared" si="38"/>
        <v>30406.781249999993</v>
      </c>
      <c r="U64" s="419">
        <f t="shared" si="38"/>
        <v>30406.781249999993</v>
      </c>
      <c r="V64" s="419">
        <f t="shared" si="38"/>
        <v>30406.781249999993</v>
      </c>
    </row>
    <row r="65" spans="1:23" s="16" customFormat="1">
      <c r="A65" s="83" t="s">
        <v>263</v>
      </c>
      <c r="B65" s="440">
        <v>0</v>
      </c>
      <c r="C65" s="441">
        <f>('Parking by Use'!$I$7-'Parking by Use'!$D$7)+('Marina Projections'!C85/3)</f>
        <v>40.666666666666671</v>
      </c>
      <c r="D65" s="441">
        <f>('Parking by Use'!$I$7-'Parking by Use'!$D$7)+('Marina Projections'!D85/3)</f>
        <v>40.666666666666671</v>
      </c>
      <c r="E65" s="441">
        <f>('Parking by Use'!$I$7-'Parking by Use'!$D$7)+('Marina Projections'!E85/3)</f>
        <v>40.666666666666671</v>
      </c>
      <c r="F65" s="441">
        <f>('Parking by Use'!$I$7-'Parking by Use'!$D$7)+('Marina Projections'!F85/3)</f>
        <v>40.666666666666671</v>
      </c>
      <c r="G65" s="441">
        <f>('Parking by Use'!$I$7-'Parking by Use'!$D$7)+('Marina Projections'!G85/3)</f>
        <v>40.666666666666671</v>
      </c>
      <c r="H65" s="441">
        <f>('Parking by Use'!$I$7-'Parking by Use'!$D$7)+('Marina Projections'!H85/3)</f>
        <v>40.666666666666671</v>
      </c>
      <c r="I65" s="441">
        <f>('Parking by Use'!$I$7-'Parking by Use'!$D$7)+('Marina Projections'!I85/3)</f>
        <v>40.666666666666671</v>
      </c>
      <c r="J65" s="441">
        <f>('Parking by Use'!$I$7-'Parking by Use'!$D$7)+('Marina Projections'!J85/3)</f>
        <v>40.666666666666671</v>
      </c>
      <c r="K65" s="441">
        <f>('Parking by Use'!$I$7-'Parking by Use'!$D$7)+('Marina Projections'!K85/3)</f>
        <v>40.666666666666671</v>
      </c>
      <c r="L65" s="441">
        <f>('Parking by Use'!$I$7-'Parking by Use'!$D$7)+('Marina Projections'!L85/3)</f>
        <v>40.666666666666671</v>
      </c>
      <c r="M65" s="441">
        <f>('Parking by Use'!$I$7-'Parking by Use'!$D$7)+('Marina Projections'!M85/3)</f>
        <v>40.666666666666671</v>
      </c>
      <c r="N65" s="441">
        <f>('Parking by Use'!$I$7-'Parking by Use'!$D$7)+('Marina Projections'!N85/3)</f>
        <v>40.666666666666671</v>
      </c>
      <c r="O65" s="441">
        <f>('Parking by Use'!$I$7-'Parking by Use'!$D$7)+('Marina Projections'!O85/3)</f>
        <v>40.666666666666671</v>
      </c>
      <c r="P65" s="441">
        <f>('Parking by Use'!$I$7-'Parking by Use'!$D$7)+('Marina Projections'!P85/3)</f>
        <v>40.666666666666671</v>
      </c>
      <c r="Q65" s="441">
        <f>('Parking by Use'!$I$7-'Parking by Use'!$D$7)+('Marina Projections'!Q85/3)</f>
        <v>40.666666666666671</v>
      </c>
      <c r="R65" s="441">
        <f>('Parking by Use'!$I$7-'Parking by Use'!$D$7)+('Marina Projections'!R85/3)</f>
        <v>40.666666666666671</v>
      </c>
      <c r="S65" s="441">
        <f>('Parking by Use'!$I$7-'Parking by Use'!$D$7)+('Marina Projections'!S85/3)</f>
        <v>40.666666666666671</v>
      </c>
      <c r="T65" s="441">
        <f>('Parking by Use'!$I$7-'Parking by Use'!$D$7)+('Marina Projections'!T85/3)</f>
        <v>40.666666666666671</v>
      </c>
      <c r="U65" s="441">
        <f>('Parking by Use'!$I$7-'Parking by Use'!$D$7)+('Marina Projections'!U85/3)</f>
        <v>40.666666666666671</v>
      </c>
      <c r="V65" s="441">
        <f>('Parking by Use'!$I$7-'Parking by Use'!$D$7)+('Marina Projections'!V85/3)</f>
        <v>40.666666666666671</v>
      </c>
      <c r="W65" s="441"/>
    </row>
    <row r="66" spans="1:23" s="16" customFormat="1">
      <c r="A66" s="83" t="s">
        <v>264</v>
      </c>
      <c r="B66" s="440">
        <v>0</v>
      </c>
      <c r="C66" s="441">
        <f>C65*365</f>
        <v>14843.333333333336</v>
      </c>
      <c r="D66" s="441">
        <f t="shared" ref="D66:V66" si="39">D65*365</f>
        <v>14843.333333333336</v>
      </c>
      <c r="E66" s="441">
        <f t="shared" si="39"/>
        <v>14843.333333333336</v>
      </c>
      <c r="F66" s="441">
        <f t="shared" si="39"/>
        <v>14843.333333333336</v>
      </c>
      <c r="G66" s="441">
        <f t="shared" si="39"/>
        <v>14843.333333333336</v>
      </c>
      <c r="H66" s="441">
        <f t="shared" si="39"/>
        <v>14843.333333333336</v>
      </c>
      <c r="I66" s="441">
        <f t="shared" si="39"/>
        <v>14843.333333333336</v>
      </c>
      <c r="J66" s="441">
        <f t="shared" si="39"/>
        <v>14843.333333333336</v>
      </c>
      <c r="K66" s="441">
        <f t="shared" si="39"/>
        <v>14843.333333333336</v>
      </c>
      <c r="L66" s="441">
        <f t="shared" si="39"/>
        <v>14843.333333333336</v>
      </c>
      <c r="M66" s="441">
        <f t="shared" si="39"/>
        <v>14843.333333333336</v>
      </c>
      <c r="N66" s="441">
        <f t="shared" si="39"/>
        <v>14843.333333333336</v>
      </c>
      <c r="O66" s="441">
        <f t="shared" si="39"/>
        <v>14843.333333333336</v>
      </c>
      <c r="P66" s="441">
        <f t="shared" si="39"/>
        <v>14843.333333333336</v>
      </c>
      <c r="Q66" s="441">
        <f t="shared" si="39"/>
        <v>14843.333333333336</v>
      </c>
      <c r="R66" s="441">
        <f t="shared" si="39"/>
        <v>14843.333333333336</v>
      </c>
      <c r="S66" s="441">
        <f t="shared" si="39"/>
        <v>14843.333333333336</v>
      </c>
      <c r="T66" s="441">
        <f t="shared" si="39"/>
        <v>14843.333333333336</v>
      </c>
      <c r="U66" s="441">
        <f t="shared" si="39"/>
        <v>14843.333333333336</v>
      </c>
      <c r="V66" s="441">
        <f t="shared" si="39"/>
        <v>14843.333333333336</v>
      </c>
      <c r="W66" s="441"/>
    </row>
    <row r="67" spans="1:23" s="16" customFormat="1">
      <c r="A67" s="83" t="s">
        <v>265</v>
      </c>
      <c r="B67" s="440">
        <v>0</v>
      </c>
      <c r="C67" s="358">
        <f t="shared" ref="C67:V67" si="40">$B$132</f>
        <v>0.24687500000000001</v>
      </c>
      <c r="D67" s="358">
        <f t="shared" si="40"/>
        <v>0.24687500000000001</v>
      </c>
      <c r="E67" s="358">
        <f t="shared" si="40"/>
        <v>0.24687500000000001</v>
      </c>
      <c r="F67" s="358">
        <f t="shared" si="40"/>
        <v>0.24687500000000001</v>
      </c>
      <c r="G67" s="358">
        <f t="shared" si="40"/>
        <v>0.24687500000000001</v>
      </c>
      <c r="H67" s="358">
        <f t="shared" si="40"/>
        <v>0.24687500000000001</v>
      </c>
      <c r="I67" s="358">
        <f t="shared" si="40"/>
        <v>0.24687500000000001</v>
      </c>
      <c r="J67" s="358">
        <f t="shared" si="40"/>
        <v>0.24687500000000001</v>
      </c>
      <c r="K67" s="358">
        <f t="shared" si="40"/>
        <v>0.24687500000000001</v>
      </c>
      <c r="L67" s="358">
        <f t="shared" si="40"/>
        <v>0.24687500000000001</v>
      </c>
      <c r="M67" s="358">
        <f t="shared" si="40"/>
        <v>0.24687500000000001</v>
      </c>
      <c r="N67" s="358">
        <f t="shared" si="40"/>
        <v>0.24687500000000001</v>
      </c>
      <c r="O67" s="358">
        <f t="shared" si="40"/>
        <v>0.24687500000000001</v>
      </c>
      <c r="P67" s="358">
        <f t="shared" si="40"/>
        <v>0.24687500000000001</v>
      </c>
      <c r="Q67" s="358">
        <f t="shared" si="40"/>
        <v>0.24687500000000001</v>
      </c>
      <c r="R67" s="358">
        <f t="shared" si="40"/>
        <v>0.24687500000000001</v>
      </c>
      <c r="S67" s="358">
        <f t="shared" si="40"/>
        <v>0.24687500000000001</v>
      </c>
      <c r="T67" s="358">
        <f t="shared" si="40"/>
        <v>0.24687500000000001</v>
      </c>
      <c r="U67" s="358">
        <f t="shared" si="40"/>
        <v>0.24687500000000001</v>
      </c>
      <c r="V67" s="358">
        <f t="shared" si="40"/>
        <v>0.24687500000000001</v>
      </c>
      <c r="W67" s="441"/>
    </row>
    <row r="68" spans="1:23" s="16" customFormat="1">
      <c r="A68" s="83" t="s">
        <v>266</v>
      </c>
      <c r="B68" s="440">
        <v>0</v>
      </c>
      <c r="C68" s="570">
        <f>C67*C66</f>
        <v>3664.4479166666674</v>
      </c>
      <c r="D68" s="570">
        <f t="shared" ref="D68:V68" si="41">D67*D66</f>
        <v>3664.4479166666674</v>
      </c>
      <c r="E68" s="570">
        <f t="shared" si="41"/>
        <v>3664.4479166666674</v>
      </c>
      <c r="F68" s="570">
        <f t="shared" si="41"/>
        <v>3664.4479166666674</v>
      </c>
      <c r="G68" s="570">
        <f t="shared" si="41"/>
        <v>3664.4479166666674</v>
      </c>
      <c r="H68" s="570">
        <f t="shared" si="41"/>
        <v>3664.4479166666674</v>
      </c>
      <c r="I68" s="570">
        <f t="shared" si="41"/>
        <v>3664.4479166666674</v>
      </c>
      <c r="J68" s="570">
        <f t="shared" si="41"/>
        <v>3664.4479166666674</v>
      </c>
      <c r="K68" s="570">
        <f t="shared" si="41"/>
        <v>3664.4479166666674</v>
      </c>
      <c r="L68" s="570">
        <f t="shared" si="41"/>
        <v>3664.4479166666674</v>
      </c>
      <c r="M68" s="570">
        <f t="shared" si="41"/>
        <v>3664.4479166666674</v>
      </c>
      <c r="N68" s="570">
        <f t="shared" si="41"/>
        <v>3664.4479166666674</v>
      </c>
      <c r="O68" s="570">
        <f t="shared" si="41"/>
        <v>3664.4479166666674</v>
      </c>
      <c r="P68" s="570">
        <f t="shared" si="41"/>
        <v>3664.4479166666674</v>
      </c>
      <c r="Q68" s="570">
        <f t="shared" si="41"/>
        <v>3664.4479166666674</v>
      </c>
      <c r="R68" s="570">
        <f t="shared" si="41"/>
        <v>3664.4479166666674</v>
      </c>
      <c r="S68" s="570">
        <f t="shared" si="41"/>
        <v>3664.4479166666674</v>
      </c>
      <c r="T68" s="570">
        <f t="shared" si="41"/>
        <v>3664.4479166666674</v>
      </c>
      <c r="U68" s="570">
        <f t="shared" si="41"/>
        <v>3664.4479166666674</v>
      </c>
      <c r="V68" s="570">
        <f t="shared" si="41"/>
        <v>3664.4479166666674</v>
      </c>
      <c r="W68" s="441"/>
    </row>
    <row r="69" spans="1:23" s="16" customFormat="1">
      <c r="A69" s="83" t="s">
        <v>262</v>
      </c>
      <c r="B69" s="440">
        <v>0</v>
      </c>
      <c r="C69" s="441">
        <f>C63-C65</f>
        <v>209.33333333333331</v>
      </c>
      <c r="D69" s="441">
        <f t="shared" ref="D69:V69" si="42">D63-D65</f>
        <v>209.33333333333331</v>
      </c>
      <c r="E69" s="441">
        <f t="shared" si="42"/>
        <v>209.33333333333331</v>
      </c>
      <c r="F69" s="441">
        <f t="shared" si="42"/>
        <v>209.33333333333331</v>
      </c>
      <c r="G69" s="441">
        <f t="shared" si="42"/>
        <v>209.33333333333331</v>
      </c>
      <c r="H69" s="441">
        <f t="shared" si="42"/>
        <v>209.33333333333331</v>
      </c>
      <c r="I69" s="441">
        <f t="shared" si="42"/>
        <v>209.33333333333331</v>
      </c>
      <c r="J69" s="441">
        <f t="shared" si="42"/>
        <v>209.33333333333331</v>
      </c>
      <c r="K69" s="441">
        <f t="shared" si="42"/>
        <v>209.33333333333331</v>
      </c>
      <c r="L69" s="441">
        <f t="shared" si="42"/>
        <v>209.33333333333331</v>
      </c>
      <c r="M69" s="441">
        <f t="shared" si="42"/>
        <v>209.33333333333331</v>
      </c>
      <c r="N69" s="441">
        <f t="shared" si="42"/>
        <v>209.33333333333331</v>
      </c>
      <c r="O69" s="441">
        <f t="shared" si="42"/>
        <v>209.33333333333331</v>
      </c>
      <c r="P69" s="441">
        <f t="shared" si="42"/>
        <v>209.33333333333331</v>
      </c>
      <c r="Q69" s="441">
        <f t="shared" si="42"/>
        <v>209.33333333333331</v>
      </c>
      <c r="R69" s="441">
        <f t="shared" si="42"/>
        <v>209.33333333333331</v>
      </c>
      <c r="S69" s="441">
        <f t="shared" si="42"/>
        <v>209.33333333333331</v>
      </c>
      <c r="T69" s="441">
        <f t="shared" si="42"/>
        <v>209.33333333333331</v>
      </c>
      <c r="U69" s="441">
        <f t="shared" si="42"/>
        <v>209.33333333333331</v>
      </c>
      <c r="V69" s="441">
        <f t="shared" si="42"/>
        <v>209.33333333333331</v>
      </c>
      <c r="W69" s="441"/>
    </row>
    <row r="70" spans="1:23" s="16" customFormat="1">
      <c r="A70" s="83" t="s">
        <v>267</v>
      </c>
      <c r="B70" s="440">
        <v>0</v>
      </c>
      <c r="C70" s="441">
        <f>C69*365</f>
        <v>76406.666666666657</v>
      </c>
      <c r="D70" s="441">
        <f t="shared" ref="D70:V70" si="43">D69*365</f>
        <v>76406.666666666657</v>
      </c>
      <c r="E70" s="441">
        <f t="shared" si="43"/>
        <v>76406.666666666657</v>
      </c>
      <c r="F70" s="441">
        <f t="shared" si="43"/>
        <v>76406.666666666657</v>
      </c>
      <c r="G70" s="441">
        <f t="shared" si="43"/>
        <v>76406.666666666657</v>
      </c>
      <c r="H70" s="441">
        <f t="shared" si="43"/>
        <v>76406.666666666657</v>
      </c>
      <c r="I70" s="441">
        <f t="shared" si="43"/>
        <v>76406.666666666657</v>
      </c>
      <c r="J70" s="441">
        <f t="shared" si="43"/>
        <v>76406.666666666657</v>
      </c>
      <c r="K70" s="441">
        <f t="shared" si="43"/>
        <v>76406.666666666657</v>
      </c>
      <c r="L70" s="441">
        <f t="shared" si="43"/>
        <v>76406.666666666657</v>
      </c>
      <c r="M70" s="441">
        <f t="shared" si="43"/>
        <v>76406.666666666657</v>
      </c>
      <c r="N70" s="441">
        <f t="shared" si="43"/>
        <v>76406.666666666657</v>
      </c>
      <c r="O70" s="441">
        <f t="shared" si="43"/>
        <v>76406.666666666657</v>
      </c>
      <c r="P70" s="441">
        <f t="shared" si="43"/>
        <v>76406.666666666657</v>
      </c>
      <c r="Q70" s="441">
        <f t="shared" si="43"/>
        <v>76406.666666666657</v>
      </c>
      <c r="R70" s="441">
        <f t="shared" si="43"/>
        <v>76406.666666666657</v>
      </c>
      <c r="S70" s="441">
        <f t="shared" si="43"/>
        <v>76406.666666666657</v>
      </c>
      <c r="T70" s="441">
        <f t="shared" si="43"/>
        <v>76406.666666666657</v>
      </c>
      <c r="U70" s="441">
        <f t="shared" si="43"/>
        <v>76406.666666666657</v>
      </c>
      <c r="V70" s="441">
        <f t="shared" si="43"/>
        <v>76406.666666666657</v>
      </c>
      <c r="W70" s="441"/>
    </row>
    <row r="71" spans="1:23" s="16" customFormat="1">
      <c r="A71" s="83" t="s">
        <v>271</v>
      </c>
      <c r="B71" s="440">
        <v>0</v>
      </c>
      <c r="C71" s="358">
        <f t="shared" ref="C71:V71" si="44">$B$115</f>
        <v>0.34999999999999992</v>
      </c>
      <c r="D71" s="358">
        <f t="shared" si="44"/>
        <v>0.34999999999999992</v>
      </c>
      <c r="E71" s="358">
        <f t="shared" si="44"/>
        <v>0.34999999999999992</v>
      </c>
      <c r="F71" s="358">
        <f t="shared" si="44"/>
        <v>0.34999999999999992</v>
      </c>
      <c r="G71" s="358">
        <f t="shared" si="44"/>
        <v>0.34999999999999992</v>
      </c>
      <c r="H71" s="358">
        <f t="shared" si="44"/>
        <v>0.34999999999999992</v>
      </c>
      <c r="I71" s="358">
        <f t="shared" si="44"/>
        <v>0.34999999999999992</v>
      </c>
      <c r="J71" s="358">
        <f t="shared" si="44"/>
        <v>0.34999999999999992</v>
      </c>
      <c r="K71" s="358">
        <f t="shared" si="44"/>
        <v>0.34999999999999992</v>
      </c>
      <c r="L71" s="358">
        <f t="shared" si="44"/>
        <v>0.34999999999999992</v>
      </c>
      <c r="M71" s="358">
        <f t="shared" si="44"/>
        <v>0.34999999999999992</v>
      </c>
      <c r="N71" s="358">
        <f t="shared" si="44"/>
        <v>0.34999999999999992</v>
      </c>
      <c r="O71" s="358">
        <f t="shared" si="44"/>
        <v>0.34999999999999992</v>
      </c>
      <c r="P71" s="358">
        <f t="shared" si="44"/>
        <v>0.34999999999999992</v>
      </c>
      <c r="Q71" s="358">
        <f t="shared" si="44"/>
        <v>0.34999999999999992</v>
      </c>
      <c r="R71" s="358">
        <f t="shared" si="44"/>
        <v>0.34999999999999992</v>
      </c>
      <c r="S71" s="358">
        <f t="shared" si="44"/>
        <v>0.34999999999999992</v>
      </c>
      <c r="T71" s="358">
        <f t="shared" si="44"/>
        <v>0.34999999999999992</v>
      </c>
      <c r="U71" s="358">
        <f t="shared" si="44"/>
        <v>0.34999999999999992</v>
      </c>
      <c r="V71" s="358">
        <f t="shared" si="44"/>
        <v>0.34999999999999992</v>
      </c>
      <c r="W71" s="441"/>
    </row>
    <row r="72" spans="1:23" s="16" customFormat="1">
      <c r="A72" s="83" t="s">
        <v>272</v>
      </c>
      <c r="B72" s="440"/>
      <c r="C72" s="441">
        <f>C71*C70</f>
        <v>26742.333333333325</v>
      </c>
      <c r="D72" s="441">
        <f t="shared" ref="D72:V72" si="45">D71*D70</f>
        <v>26742.333333333325</v>
      </c>
      <c r="E72" s="441">
        <f t="shared" si="45"/>
        <v>26742.333333333325</v>
      </c>
      <c r="F72" s="441">
        <f t="shared" si="45"/>
        <v>26742.333333333325</v>
      </c>
      <c r="G72" s="441">
        <f t="shared" si="45"/>
        <v>26742.333333333325</v>
      </c>
      <c r="H72" s="441">
        <f t="shared" si="45"/>
        <v>26742.333333333325</v>
      </c>
      <c r="I72" s="441">
        <f t="shared" si="45"/>
        <v>26742.333333333325</v>
      </c>
      <c r="J72" s="441">
        <f t="shared" si="45"/>
        <v>26742.333333333325</v>
      </c>
      <c r="K72" s="441">
        <f t="shared" si="45"/>
        <v>26742.333333333325</v>
      </c>
      <c r="L72" s="441">
        <f t="shared" si="45"/>
        <v>26742.333333333325</v>
      </c>
      <c r="M72" s="441">
        <f t="shared" si="45"/>
        <v>26742.333333333325</v>
      </c>
      <c r="N72" s="441">
        <f t="shared" si="45"/>
        <v>26742.333333333325</v>
      </c>
      <c r="O72" s="441">
        <f t="shared" si="45"/>
        <v>26742.333333333325</v>
      </c>
      <c r="P72" s="441">
        <f t="shared" si="45"/>
        <v>26742.333333333325</v>
      </c>
      <c r="Q72" s="441">
        <f t="shared" si="45"/>
        <v>26742.333333333325</v>
      </c>
      <c r="R72" s="441">
        <f t="shared" si="45"/>
        <v>26742.333333333325</v>
      </c>
      <c r="S72" s="441">
        <f t="shared" si="45"/>
        <v>26742.333333333325</v>
      </c>
      <c r="T72" s="441">
        <f t="shared" si="45"/>
        <v>26742.333333333325</v>
      </c>
      <c r="U72" s="441">
        <f t="shared" si="45"/>
        <v>26742.333333333325</v>
      </c>
      <c r="V72" s="441">
        <f t="shared" si="45"/>
        <v>26742.333333333325</v>
      </c>
      <c r="W72" s="441"/>
    </row>
    <row r="73" spans="1:23">
      <c r="A73"/>
      <c r="B73" s="565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</row>
    <row r="74" spans="1:23">
      <c r="A74" s="475" t="s">
        <v>355</v>
      </c>
      <c r="B74" s="480"/>
      <c r="C74" s="480"/>
      <c r="D74" s="480"/>
      <c r="E74" s="268"/>
      <c r="F74" s="268"/>
      <c r="G74" s="268"/>
      <c r="H74" s="268"/>
      <c r="I74" s="268"/>
      <c r="J74" s="268"/>
      <c r="K74" s="268"/>
      <c r="L74" s="268"/>
      <c r="M74" s="268"/>
      <c r="N74" s="268"/>
      <c r="O74" s="268"/>
      <c r="P74" s="268"/>
      <c r="Q74" s="268"/>
      <c r="R74" s="268"/>
      <c r="S74" s="268"/>
      <c r="T74" s="268"/>
      <c r="U74" s="268"/>
      <c r="V74" s="268"/>
    </row>
    <row r="75" spans="1:23" s="588" customFormat="1" ht="14.25">
      <c r="A75" s="633"/>
      <c r="B75" s="634"/>
      <c r="C75" s="635">
        <f>C76/250</f>
        <v>1</v>
      </c>
      <c r="D75" s="635">
        <f t="shared" ref="D75:L75" si="46">D76/250</f>
        <v>1</v>
      </c>
      <c r="E75" s="635">
        <f t="shared" si="46"/>
        <v>1</v>
      </c>
      <c r="F75" s="635">
        <f t="shared" si="46"/>
        <v>1</v>
      </c>
      <c r="G75" s="635">
        <f t="shared" si="46"/>
        <v>1</v>
      </c>
      <c r="H75" s="635">
        <f t="shared" si="46"/>
        <v>1</v>
      </c>
      <c r="I75" s="635">
        <f t="shared" si="46"/>
        <v>1</v>
      </c>
      <c r="J75" s="635">
        <f t="shared" si="46"/>
        <v>1</v>
      </c>
      <c r="K75" s="635">
        <f t="shared" si="46"/>
        <v>1</v>
      </c>
      <c r="L75" s="635">
        <f t="shared" si="46"/>
        <v>1</v>
      </c>
      <c r="M75" s="636">
        <v>1</v>
      </c>
      <c r="N75" s="636">
        <v>1</v>
      </c>
      <c r="O75" s="636">
        <v>1</v>
      </c>
      <c r="P75" s="636">
        <v>1</v>
      </c>
      <c r="Q75" s="636">
        <v>1</v>
      </c>
      <c r="R75" s="636">
        <v>1</v>
      </c>
      <c r="S75" s="636">
        <v>1</v>
      </c>
      <c r="T75" s="636">
        <v>1</v>
      </c>
      <c r="U75" s="636">
        <v>1</v>
      </c>
      <c r="V75" s="636">
        <v>1</v>
      </c>
    </row>
    <row r="76" spans="1:23">
      <c r="A76" s="85" t="s">
        <v>261</v>
      </c>
      <c r="B76" s="711">
        <v>0</v>
      </c>
      <c r="C76" s="419">
        <f>'Parking by Use'!$B$8</f>
        <v>250</v>
      </c>
      <c r="D76" s="419">
        <f>'Parking by Use'!$B$8</f>
        <v>250</v>
      </c>
      <c r="E76" s="419">
        <f>'Parking by Use'!$B$8</f>
        <v>250</v>
      </c>
      <c r="F76" s="419">
        <f>'Parking by Use'!$B$8</f>
        <v>250</v>
      </c>
      <c r="G76" s="419">
        <f>'Parking by Use'!$B$8</f>
        <v>250</v>
      </c>
      <c r="H76" s="419">
        <f>'Parking by Use'!$B$8</f>
        <v>250</v>
      </c>
      <c r="I76" s="419">
        <f>'Parking by Use'!$B$8</f>
        <v>250</v>
      </c>
      <c r="J76" s="419">
        <f>'Parking by Use'!$B$8</f>
        <v>250</v>
      </c>
      <c r="K76" s="419">
        <f>'Parking by Use'!$B$8</f>
        <v>250</v>
      </c>
      <c r="L76" s="419">
        <f>'Parking by Use'!$B$8</f>
        <v>250</v>
      </c>
      <c r="M76" s="419">
        <f>'Parking by Use'!$B$8</f>
        <v>250</v>
      </c>
      <c r="N76" s="419">
        <f>'Parking by Use'!$B$8</f>
        <v>250</v>
      </c>
      <c r="O76" s="419">
        <f>'Parking by Use'!$B$8</f>
        <v>250</v>
      </c>
      <c r="P76" s="419">
        <f>'Parking by Use'!$B$8</f>
        <v>250</v>
      </c>
      <c r="Q76" s="419">
        <f>'Parking by Use'!$B$8</f>
        <v>250</v>
      </c>
      <c r="R76" s="419">
        <f>'Parking by Use'!$B$8</f>
        <v>250</v>
      </c>
      <c r="S76" s="419">
        <f>'Parking by Use'!$B$8</f>
        <v>250</v>
      </c>
      <c r="T76" s="419">
        <f>'Parking by Use'!$B$8</f>
        <v>250</v>
      </c>
      <c r="U76" s="419">
        <f>'Parking by Use'!$B$8</f>
        <v>250</v>
      </c>
      <c r="V76" s="419">
        <f>'Parking by Use'!$B$8</f>
        <v>250</v>
      </c>
    </row>
    <row r="77" spans="1:23" s="16" customFormat="1">
      <c r="A77" s="85" t="s">
        <v>274</v>
      </c>
      <c r="B77" s="711">
        <v>0</v>
      </c>
      <c r="C77" s="572">
        <f>SUM(C81,C85)</f>
        <v>27257.769097222219</v>
      </c>
      <c r="D77" s="572">
        <f t="shared" ref="D77:V77" si="47">SUM(D81,D85)</f>
        <v>27257.769097222219</v>
      </c>
      <c r="E77" s="572">
        <f t="shared" si="47"/>
        <v>27257.769097222219</v>
      </c>
      <c r="F77" s="572">
        <f t="shared" si="47"/>
        <v>27257.769097222219</v>
      </c>
      <c r="G77" s="572">
        <f t="shared" si="47"/>
        <v>27257.769097222219</v>
      </c>
      <c r="H77" s="572">
        <f t="shared" si="47"/>
        <v>27257.769097222219</v>
      </c>
      <c r="I77" s="572">
        <f t="shared" si="47"/>
        <v>27257.769097222219</v>
      </c>
      <c r="J77" s="572">
        <f t="shared" si="47"/>
        <v>27257.769097222219</v>
      </c>
      <c r="K77" s="572">
        <f t="shared" si="47"/>
        <v>27257.769097222219</v>
      </c>
      <c r="L77" s="572">
        <f t="shared" si="47"/>
        <v>27257.769097222219</v>
      </c>
      <c r="M77" s="572">
        <f t="shared" si="47"/>
        <v>27257.769097222219</v>
      </c>
      <c r="N77" s="572">
        <f t="shared" si="47"/>
        <v>27257.769097222219</v>
      </c>
      <c r="O77" s="572">
        <f t="shared" si="47"/>
        <v>27257.769097222219</v>
      </c>
      <c r="P77" s="572">
        <f t="shared" si="47"/>
        <v>27257.769097222219</v>
      </c>
      <c r="Q77" s="572">
        <f t="shared" si="47"/>
        <v>27257.769097222219</v>
      </c>
      <c r="R77" s="572">
        <f t="shared" si="47"/>
        <v>27257.769097222219</v>
      </c>
      <c r="S77" s="572">
        <f t="shared" si="47"/>
        <v>27257.769097222219</v>
      </c>
      <c r="T77" s="572">
        <f t="shared" si="47"/>
        <v>27257.769097222219</v>
      </c>
      <c r="U77" s="572">
        <f t="shared" si="47"/>
        <v>27257.769097222219</v>
      </c>
      <c r="V77" s="572">
        <f t="shared" si="47"/>
        <v>27257.769097222219</v>
      </c>
      <c r="W77" s="441"/>
    </row>
    <row r="78" spans="1:23" s="16" customFormat="1">
      <c r="A78" s="83" t="s">
        <v>263</v>
      </c>
      <c r="B78" s="440">
        <v>0</v>
      </c>
      <c r="C78" s="441">
        <f>('Parking by Use'!$I$8-'Parking by Use'!$D$8)+('Marina Projections'!C103/3)</f>
        <v>140.66666666666669</v>
      </c>
      <c r="D78" s="441">
        <f>('Parking by Use'!$I$8-'Parking by Use'!$D$8)+('Marina Projections'!D103/3)</f>
        <v>140.66666666666669</v>
      </c>
      <c r="E78" s="441">
        <f>('Parking by Use'!$I$8-'Parking by Use'!$D$8)+('Marina Projections'!E103/3)</f>
        <v>140.66666666666669</v>
      </c>
      <c r="F78" s="441">
        <f>('Parking by Use'!$I$8-'Parking by Use'!$D$8)+('Marina Projections'!F103/3)</f>
        <v>140.66666666666669</v>
      </c>
      <c r="G78" s="441">
        <f>('Parking by Use'!$I$8-'Parking by Use'!$D$8)+('Marina Projections'!G103/3)</f>
        <v>140.66666666666669</v>
      </c>
      <c r="H78" s="441">
        <f>('Parking by Use'!$I$8-'Parking by Use'!$D$8)+('Marina Projections'!H103/3)</f>
        <v>140.66666666666669</v>
      </c>
      <c r="I78" s="441">
        <f>('Parking by Use'!$I$8-'Parking by Use'!$D$8)+('Marina Projections'!I103/3)</f>
        <v>140.66666666666669</v>
      </c>
      <c r="J78" s="441">
        <f>('Parking by Use'!$I$8-'Parking by Use'!$D$8)+('Marina Projections'!J103/3)</f>
        <v>140.66666666666669</v>
      </c>
      <c r="K78" s="441">
        <f>('Parking by Use'!$I$8-'Parking by Use'!$D$8)+('Marina Projections'!K103/3)</f>
        <v>140.66666666666669</v>
      </c>
      <c r="L78" s="441">
        <f>('Parking by Use'!$I$8-'Parking by Use'!$D$8)+('Marina Projections'!L103/3)</f>
        <v>140.66666666666669</v>
      </c>
      <c r="M78" s="441">
        <f>('Parking by Use'!$I$8-'Parking by Use'!$D$8)+('Marina Projections'!M103/3)</f>
        <v>140.66666666666669</v>
      </c>
      <c r="N78" s="441">
        <f>('Parking by Use'!$I$8-'Parking by Use'!$D$8)+('Marina Projections'!N103/3)</f>
        <v>140.66666666666669</v>
      </c>
      <c r="O78" s="441">
        <f>('Parking by Use'!$I$8-'Parking by Use'!$D$8)+('Marina Projections'!O103/3)</f>
        <v>140.66666666666669</v>
      </c>
      <c r="P78" s="441">
        <f>('Parking by Use'!$I$8-'Parking by Use'!$D$8)+('Marina Projections'!P103/3)</f>
        <v>140.66666666666669</v>
      </c>
      <c r="Q78" s="441">
        <f>('Parking by Use'!$I$8-'Parking by Use'!$D$8)+('Marina Projections'!Q103/3)</f>
        <v>140.66666666666669</v>
      </c>
      <c r="R78" s="441">
        <f>('Parking by Use'!$I$8-'Parking by Use'!$D$8)+('Marina Projections'!R103/3)</f>
        <v>140.66666666666669</v>
      </c>
      <c r="S78" s="441">
        <f>('Parking by Use'!$I$8-'Parking by Use'!$D$8)+('Marina Projections'!S103/3)</f>
        <v>140.66666666666669</v>
      </c>
      <c r="T78" s="441">
        <f>('Parking by Use'!$I$8-'Parking by Use'!$D$8)+('Marina Projections'!T103/3)</f>
        <v>140.66666666666669</v>
      </c>
      <c r="U78" s="441">
        <f>('Parking by Use'!$I$8-'Parking by Use'!$D$8)+('Marina Projections'!U103/3)</f>
        <v>140.66666666666669</v>
      </c>
      <c r="V78" s="441">
        <f>('Parking by Use'!$I$8-'Parking by Use'!$D$8)+('Marina Projections'!V103/3)</f>
        <v>140.66666666666669</v>
      </c>
      <c r="W78" s="441"/>
    </row>
    <row r="79" spans="1:23" s="16" customFormat="1">
      <c r="A79" s="83" t="s">
        <v>264</v>
      </c>
      <c r="B79" s="440">
        <v>0</v>
      </c>
      <c r="C79" s="441">
        <f>C78*365</f>
        <v>51343.333333333343</v>
      </c>
      <c r="D79" s="441">
        <f t="shared" ref="D79:V79" si="48">D78*365</f>
        <v>51343.333333333343</v>
      </c>
      <c r="E79" s="441">
        <f t="shared" si="48"/>
        <v>51343.333333333343</v>
      </c>
      <c r="F79" s="441">
        <f t="shared" si="48"/>
        <v>51343.333333333343</v>
      </c>
      <c r="G79" s="441">
        <f t="shared" si="48"/>
        <v>51343.333333333343</v>
      </c>
      <c r="H79" s="441">
        <f t="shared" si="48"/>
        <v>51343.333333333343</v>
      </c>
      <c r="I79" s="441">
        <f t="shared" si="48"/>
        <v>51343.333333333343</v>
      </c>
      <c r="J79" s="441">
        <f t="shared" si="48"/>
        <v>51343.333333333343</v>
      </c>
      <c r="K79" s="441">
        <f t="shared" si="48"/>
        <v>51343.333333333343</v>
      </c>
      <c r="L79" s="441">
        <f t="shared" si="48"/>
        <v>51343.333333333343</v>
      </c>
      <c r="M79" s="441">
        <f t="shared" si="48"/>
        <v>51343.333333333343</v>
      </c>
      <c r="N79" s="441">
        <f t="shared" si="48"/>
        <v>51343.333333333343</v>
      </c>
      <c r="O79" s="441">
        <f t="shared" si="48"/>
        <v>51343.333333333343</v>
      </c>
      <c r="P79" s="441">
        <f t="shared" si="48"/>
        <v>51343.333333333343</v>
      </c>
      <c r="Q79" s="441">
        <f t="shared" si="48"/>
        <v>51343.333333333343</v>
      </c>
      <c r="R79" s="441">
        <f t="shared" si="48"/>
        <v>51343.333333333343</v>
      </c>
      <c r="S79" s="441">
        <f t="shared" si="48"/>
        <v>51343.333333333343</v>
      </c>
      <c r="T79" s="441">
        <f t="shared" si="48"/>
        <v>51343.333333333343</v>
      </c>
      <c r="U79" s="441">
        <f t="shared" si="48"/>
        <v>51343.333333333343</v>
      </c>
      <c r="V79" s="441">
        <f t="shared" si="48"/>
        <v>51343.333333333343</v>
      </c>
      <c r="W79" s="441"/>
    </row>
    <row r="80" spans="1:23" s="16" customFormat="1">
      <c r="A80" s="83" t="s">
        <v>265</v>
      </c>
      <c r="B80" s="440">
        <v>0</v>
      </c>
      <c r="C80" s="358">
        <f>SUM($B$130,$B$132)/2</f>
        <v>0.25885416666666666</v>
      </c>
      <c r="D80" s="358">
        <f t="shared" ref="D80:V80" si="49">SUM($B$130,$B$132)/2</f>
        <v>0.25885416666666666</v>
      </c>
      <c r="E80" s="358">
        <f t="shared" si="49"/>
        <v>0.25885416666666666</v>
      </c>
      <c r="F80" s="358">
        <f t="shared" si="49"/>
        <v>0.25885416666666666</v>
      </c>
      <c r="G80" s="358">
        <f t="shared" si="49"/>
        <v>0.25885416666666666</v>
      </c>
      <c r="H80" s="358">
        <f t="shared" si="49"/>
        <v>0.25885416666666666</v>
      </c>
      <c r="I80" s="358">
        <f t="shared" si="49"/>
        <v>0.25885416666666666</v>
      </c>
      <c r="J80" s="358">
        <f t="shared" si="49"/>
        <v>0.25885416666666666</v>
      </c>
      <c r="K80" s="358">
        <f t="shared" si="49"/>
        <v>0.25885416666666666</v>
      </c>
      <c r="L80" s="358">
        <f t="shared" si="49"/>
        <v>0.25885416666666666</v>
      </c>
      <c r="M80" s="358">
        <f t="shared" si="49"/>
        <v>0.25885416666666666</v>
      </c>
      <c r="N80" s="358">
        <f t="shared" si="49"/>
        <v>0.25885416666666666</v>
      </c>
      <c r="O80" s="358">
        <f t="shared" si="49"/>
        <v>0.25885416666666666</v>
      </c>
      <c r="P80" s="358">
        <f t="shared" si="49"/>
        <v>0.25885416666666666</v>
      </c>
      <c r="Q80" s="358">
        <f t="shared" si="49"/>
        <v>0.25885416666666666</v>
      </c>
      <c r="R80" s="358">
        <f t="shared" si="49"/>
        <v>0.25885416666666666</v>
      </c>
      <c r="S80" s="358">
        <f t="shared" si="49"/>
        <v>0.25885416666666666</v>
      </c>
      <c r="T80" s="358">
        <f t="shared" si="49"/>
        <v>0.25885416666666666</v>
      </c>
      <c r="U80" s="358">
        <f t="shared" si="49"/>
        <v>0.25885416666666666</v>
      </c>
      <c r="V80" s="358">
        <f t="shared" si="49"/>
        <v>0.25885416666666666</v>
      </c>
      <c r="W80" s="441"/>
    </row>
    <row r="81" spans="1:23" s="16" customFormat="1">
      <c r="A81" s="83" t="s">
        <v>266</v>
      </c>
      <c r="B81" s="440">
        <v>0</v>
      </c>
      <c r="C81" s="441">
        <f>C80*C79</f>
        <v>13290.435763888891</v>
      </c>
      <c r="D81" s="441">
        <f t="shared" ref="D81:V81" si="50">D80*D79</f>
        <v>13290.435763888891</v>
      </c>
      <c r="E81" s="441">
        <f t="shared" si="50"/>
        <v>13290.435763888891</v>
      </c>
      <c r="F81" s="441">
        <f t="shared" si="50"/>
        <v>13290.435763888891</v>
      </c>
      <c r="G81" s="441">
        <f t="shared" si="50"/>
        <v>13290.435763888891</v>
      </c>
      <c r="H81" s="441">
        <f t="shared" si="50"/>
        <v>13290.435763888891</v>
      </c>
      <c r="I81" s="441">
        <f t="shared" si="50"/>
        <v>13290.435763888891</v>
      </c>
      <c r="J81" s="441">
        <f t="shared" si="50"/>
        <v>13290.435763888891</v>
      </c>
      <c r="K81" s="441">
        <f t="shared" si="50"/>
        <v>13290.435763888891</v>
      </c>
      <c r="L81" s="441">
        <f t="shared" si="50"/>
        <v>13290.435763888891</v>
      </c>
      <c r="M81" s="441">
        <f t="shared" si="50"/>
        <v>13290.435763888891</v>
      </c>
      <c r="N81" s="441">
        <f t="shared" si="50"/>
        <v>13290.435763888891</v>
      </c>
      <c r="O81" s="441">
        <f t="shared" si="50"/>
        <v>13290.435763888891</v>
      </c>
      <c r="P81" s="441">
        <f t="shared" si="50"/>
        <v>13290.435763888891</v>
      </c>
      <c r="Q81" s="441">
        <f t="shared" si="50"/>
        <v>13290.435763888891</v>
      </c>
      <c r="R81" s="441">
        <f t="shared" si="50"/>
        <v>13290.435763888891</v>
      </c>
      <c r="S81" s="441">
        <f t="shared" si="50"/>
        <v>13290.435763888891</v>
      </c>
      <c r="T81" s="441">
        <f t="shared" si="50"/>
        <v>13290.435763888891</v>
      </c>
      <c r="U81" s="441">
        <f t="shared" si="50"/>
        <v>13290.435763888891</v>
      </c>
      <c r="V81" s="441">
        <f t="shared" si="50"/>
        <v>13290.435763888891</v>
      </c>
      <c r="W81" s="441"/>
    </row>
    <row r="82" spans="1:23" s="16" customFormat="1">
      <c r="A82" s="83" t="s">
        <v>262</v>
      </c>
      <c r="B82" s="440">
        <v>0</v>
      </c>
      <c r="C82" s="441">
        <f>C76-C78</f>
        <v>109.33333333333331</v>
      </c>
      <c r="D82" s="441">
        <f t="shared" ref="D82:V82" si="51">D76-D78</f>
        <v>109.33333333333331</v>
      </c>
      <c r="E82" s="441">
        <f t="shared" si="51"/>
        <v>109.33333333333331</v>
      </c>
      <c r="F82" s="441">
        <f t="shared" si="51"/>
        <v>109.33333333333331</v>
      </c>
      <c r="G82" s="441">
        <f t="shared" si="51"/>
        <v>109.33333333333331</v>
      </c>
      <c r="H82" s="441">
        <f t="shared" si="51"/>
        <v>109.33333333333331</v>
      </c>
      <c r="I82" s="441">
        <f t="shared" si="51"/>
        <v>109.33333333333331</v>
      </c>
      <c r="J82" s="441">
        <f t="shared" si="51"/>
        <v>109.33333333333331</v>
      </c>
      <c r="K82" s="441">
        <f t="shared" si="51"/>
        <v>109.33333333333331</v>
      </c>
      <c r="L82" s="441">
        <f t="shared" si="51"/>
        <v>109.33333333333331</v>
      </c>
      <c r="M82" s="441">
        <f t="shared" si="51"/>
        <v>109.33333333333331</v>
      </c>
      <c r="N82" s="441">
        <f t="shared" si="51"/>
        <v>109.33333333333331</v>
      </c>
      <c r="O82" s="441">
        <f t="shared" si="51"/>
        <v>109.33333333333331</v>
      </c>
      <c r="P82" s="441">
        <f t="shared" si="51"/>
        <v>109.33333333333331</v>
      </c>
      <c r="Q82" s="441">
        <f t="shared" si="51"/>
        <v>109.33333333333331</v>
      </c>
      <c r="R82" s="441">
        <f t="shared" si="51"/>
        <v>109.33333333333331</v>
      </c>
      <c r="S82" s="441">
        <f t="shared" si="51"/>
        <v>109.33333333333331</v>
      </c>
      <c r="T82" s="441">
        <f t="shared" si="51"/>
        <v>109.33333333333331</v>
      </c>
      <c r="U82" s="441">
        <f t="shared" si="51"/>
        <v>109.33333333333331</v>
      </c>
      <c r="V82" s="441">
        <f t="shared" si="51"/>
        <v>109.33333333333331</v>
      </c>
      <c r="W82" s="441"/>
    </row>
    <row r="83" spans="1:23" s="16" customFormat="1">
      <c r="A83" s="83" t="s">
        <v>267</v>
      </c>
      <c r="B83" s="440">
        <v>0</v>
      </c>
      <c r="C83" s="441">
        <f>C82*365</f>
        <v>39906.666666666657</v>
      </c>
      <c r="D83" s="441">
        <f t="shared" ref="D83:V83" si="52">D82*365</f>
        <v>39906.666666666657</v>
      </c>
      <c r="E83" s="441">
        <f t="shared" si="52"/>
        <v>39906.666666666657</v>
      </c>
      <c r="F83" s="441">
        <f t="shared" si="52"/>
        <v>39906.666666666657</v>
      </c>
      <c r="G83" s="441">
        <f t="shared" si="52"/>
        <v>39906.666666666657</v>
      </c>
      <c r="H83" s="441">
        <f t="shared" si="52"/>
        <v>39906.666666666657</v>
      </c>
      <c r="I83" s="441">
        <f t="shared" si="52"/>
        <v>39906.666666666657</v>
      </c>
      <c r="J83" s="441">
        <f t="shared" si="52"/>
        <v>39906.666666666657</v>
      </c>
      <c r="K83" s="441">
        <f t="shared" si="52"/>
        <v>39906.666666666657</v>
      </c>
      <c r="L83" s="441">
        <f t="shared" si="52"/>
        <v>39906.666666666657</v>
      </c>
      <c r="M83" s="441">
        <f t="shared" si="52"/>
        <v>39906.666666666657</v>
      </c>
      <c r="N83" s="441">
        <f t="shared" si="52"/>
        <v>39906.666666666657</v>
      </c>
      <c r="O83" s="441">
        <f t="shared" si="52"/>
        <v>39906.666666666657</v>
      </c>
      <c r="P83" s="441">
        <f t="shared" si="52"/>
        <v>39906.666666666657</v>
      </c>
      <c r="Q83" s="441">
        <f t="shared" si="52"/>
        <v>39906.666666666657</v>
      </c>
      <c r="R83" s="441">
        <f t="shared" si="52"/>
        <v>39906.666666666657</v>
      </c>
      <c r="S83" s="441">
        <f t="shared" si="52"/>
        <v>39906.666666666657</v>
      </c>
      <c r="T83" s="441">
        <f t="shared" si="52"/>
        <v>39906.666666666657</v>
      </c>
      <c r="U83" s="441">
        <f t="shared" si="52"/>
        <v>39906.666666666657</v>
      </c>
      <c r="V83" s="441">
        <f t="shared" si="52"/>
        <v>39906.666666666657</v>
      </c>
      <c r="W83" s="441"/>
    </row>
    <row r="84" spans="1:23" s="16" customFormat="1">
      <c r="A84" s="83" t="s">
        <v>271</v>
      </c>
      <c r="B84" s="440">
        <v>0</v>
      </c>
      <c r="C84" s="571">
        <f>$B$115</f>
        <v>0.34999999999999992</v>
      </c>
      <c r="D84" s="571">
        <f t="shared" ref="D84:V84" si="53">$B$115</f>
        <v>0.34999999999999992</v>
      </c>
      <c r="E84" s="571">
        <f t="shared" si="53"/>
        <v>0.34999999999999992</v>
      </c>
      <c r="F84" s="571">
        <f t="shared" si="53"/>
        <v>0.34999999999999992</v>
      </c>
      <c r="G84" s="571">
        <f t="shared" si="53"/>
        <v>0.34999999999999992</v>
      </c>
      <c r="H84" s="571">
        <f t="shared" si="53"/>
        <v>0.34999999999999992</v>
      </c>
      <c r="I84" s="571">
        <f t="shared" si="53"/>
        <v>0.34999999999999992</v>
      </c>
      <c r="J84" s="571">
        <f t="shared" si="53"/>
        <v>0.34999999999999992</v>
      </c>
      <c r="K84" s="571">
        <f t="shared" si="53"/>
        <v>0.34999999999999992</v>
      </c>
      <c r="L84" s="571">
        <f t="shared" si="53"/>
        <v>0.34999999999999992</v>
      </c>
      <c r="M84" s="571">
        <f t="shared" si="53"/>
        <v>0.34999999999999992</v>
      </c>
      <c r="N84" s="571">
        <f t="shared" si="53"/>
        <v>0.34999999999999992</v>
      </c>
      <c r="O84" s="571">
        <f t="shared" si="53"/>
        <v>0.34999999999999992</v>
      </c>
      <c r="P84" s="571">
        <f t="shared" si="53"/>
        <v>0.34999999999999992</v>
      </c>
      <c r="Q84" s="571">
        <f t="shared" si="53"/>
        <v>0.34999999999999992</v>
      </c>
      <c r="R84" s="571">
        <f t="shared" si="53"/>
        <v>0.34999999999999992</v>
      </c>
      <c r="S84" s="571">
        <f t="shared" si="53"/>
        <v>0.34999999999999992</v>
      </c>
      <c r="T84" s="571">
        <f t="shared" si="53"/>
        <v>0.34999999999999992</v>
      </c>
      <c r="U84" s="571">
        <f t="shared" si="53"/>
        <v>0.34999999999999992</v>
      </c>
      <c r="V84" s="571">
        <f t="shared" si="53"/>
        <v>0.34999999999999992</v>
      </c>
      <c r="W84" s="441"/>
    </row>
    <row r="85" spans="1:23" s="16" customFormat="1">
      <c r="A85" s="83" t="s">
        <v>272</v>
      </c>
      <c r="B85" s="440">
        <v>0</v>
      </c>
      <c r="C85" s="441">
        <f>C84*C83</f>
        <v>13967.333333333327</v>
      </c>
      <c r="D85" s="441">
        <f t="shared" ref="D85:V85" si="54">D84*D83</f>
        <v>13967.333333333327</v>
      </c>
      <c r="E85" s="441">
        <f t="shared" si="54"/>
        <v>13967.333333333327</v>
      </c>
      <c r="F85" s="441">
        <f t="shared" si="54"/>
        <v>13967.333333333327</v>
      </c>
      <c r="G85" s="441">
        <f t="shared" si="54"/>
        <v>13967.333333333327</v>
      </c>
      <c r="H85" s="441">
        <f t="shared" si="54"/>
        <v>13967.333333333327</v>
      </c>
      <c r="I85" s="441">
        <f t="shared" si="54"/>
        <v>13967.333333333327</v>
      </c>
      <c r="J85" s="441">
        <f t="shared" si="54"/>
        <v>13967.333333333327</v>
      </c>
      <c r="K85" s="441">
        <f t="shared" si="54"/>
        <v>13967.333333333327</v>
      </c>
      <c r="L85" s="441">
        <f t="shared" si="54"/>
        <v>13967.333333333327</v>
      </c>
      <c r="M85" s="441">
        <f t="shared" si="54"/>
        <v>13967.333333333327</v>
      </c>
      <c r="N85" s="441">
        <f t="shared" si="54"/>
        <v>13967.333333333327</v>
      </c>
      <c r="O85" s="441">
        <f t="shared" si="54"/>
        <v>13967.333333333327</v>
      </c>
      <c r="P85" s="441">
        <f t="shared" si="54"/>
        <v>13967.333333333327</v>
      </c>
      <c r="Q85" s="441">
        <f t="shared" si="54"/>
        <v>13967.333333333327</v>
      </c>
      <c r="R85" s="441">
        <f t="shared" si="54"/>
        <v>13967.333333333327</v>
      </c>
      <c r="S85" s="441">
        <f t="shared" si="54"/>
        <v>13967.333333333327</v>
      </c>
      <c r="T85" s="441">
        <f t="shared" si="54"/>
        <v>13967.333333333327</v>
      </c>
      <c r="U85" s="441">
        <f t="shared" si="54"/>
        <v>13967.333333333327</v>
      </c>
      <c r="V85" s="441">
        <f t="shared" si="54"/>
        <v>13967.333333333327</v>
      </c>
      <c r="W85" s="441"/>
    </row>
    <row r="86" spans="1:23">
      <c r="A86"/>
      <c r="B86" s="565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</row>
    <row r="87" spans="1:23">
      <c r="A87" s="475" t="s">
        <v>354</v>
      </c>
      <c r="B87" s="480"/>
      <c r="C87" s="480"/>
      <c r="D87" s="480"/>
      <c r="E87" s="268"/>
      <c r="F87" s="268"/>
      <c r="G87" s="268"/>
      <c r="H87" s="268"/>
      <c r="I87" s="268"/>
      <c r="J87" s="268"/>
      <c r="K87" s="268"/>
      <c r="L87" s="268"/>
      <c r="M87" s="268"/>
      <c r="N87" s="268"/>
      <c r="O87" s="268"/>
      <c r="P87" s="268"/>
      <c r="Q87" s="268"/>
      <c r="R87" s="268"/>
      <c r="S87" s="268"/>
      <c r="T87" s="268"/>
      <c r="U87" s="268"/>
      <c r="V87" s="268"/>
    </row>
    <row r="88" spans="1:23" s="588" customFormat="1" ht="14.25">
      <c r="A88" s="633"/>
      <c r="B88" s="634"/>
      <c r="C88" s="635">
        <f>C89/250</f>
        <v>1</v>
      </c>
      <c r="D88" s="635">
        <f t="shared" ref="D88:L88" si="55">D89/250</f>
        <v>1</v>
      </c>
      <c r="E88" s="635">
        <f t="shared" si="55"/>
        <v>1</v>
      </c>
      <c r="F88" s="635">
        <f t="shared" si="55"/>
        <v>1</v>
      </c>
      <c r="G88" s="635">
        <f t="shared" si="55"/>
        <v>1</v>
      </c>
      <c r="H88" s="635">
        <f t="shared" si="55"/>
        <v>1</v>
      </c>
      <c r="I88" s="635">
        <f t="shared" si="55"/>
        <v>1</v>
      </c>
      <c r="J88" s="635">
        <f t="shared" si="55"/>
        <v>1</v>
      </c>
      <c r="K88" s="635">
        <f t="shared" si="55"/>
        <v>1</v>
      </c>
      <c r="L88" s="635">
        <f t="shared" si="55"/>
        <v>1</v>
      </c>
      <c r="M88" s="636">
        <v>1</v>
      </c>
      <c r="N88" s="636">
        <v>1</v>
      </c>
      <c r="O88" s="636">
        <v>1</v>
      </c>
      <c r="P88" s="636">
        <v>1</v>
      </c>
      <c r="Q88" s="636">
        <v>1</v>
      </c>
      <c r="R88" s="636">
        <v>1</v>
      </c>
      <c r="S88" s="636">
        <v>1</v>
      </c>
      <c r="T88" s="636">
        <v>1</v>
      </c>
      <c r="U88" s="636">
        <v>1</v>
      </c>
      <c r="V88" s="636">
        <v>1</v>
      </c>
    </row>
    <row r="89" spans="1:23">
      <c r="A89" s="85" t="s">
        <v>261</v>
      </c>
      <c r="B89" s="711">
        <v>0</v>
      </c>
      <c r="C89" s="419">
        <f>'Parking by Use'!$B$9</f>
        <v>250</v>
      </c>
      <c r="D89" s="419">
        <f>'Parking by Use'!$B$9</f>
        <v>250</v>
      </c>
      <c r="E89" s="419">
        <f>'Parking by Use'!$B$9</f>
        <v>250</v>
      </c>
      <c r="F89" s="419">
        <f>'Parking by Use'!$B$9</f>
        <v>250</v>
      </c>
      <c r="G89" s="419">
        <f>'Parking by Use'!$B$9</f>
        <v>250</v>
      </c>
      <c r="H89" s="419">
        <f>'Parking by Use'!$B$9</f>
        <v>250</v>
      </c>
      <c r="I89" s="419">
        <f>'Parking by Use'!$B$9</f>
        <v>250</v>
      </c>
      <c r="J89" s="419">
        <f>'Parking by Use'!$B$9</f>
        <v>250</v>
      </c>
      <c r="K89" s="419">
        <f>'Parking by Use'!$B$9</f>
        <v>250</v>
      </c>
      <c r="L89" s="419">
        <f>'Parking by Use'!$B$9</f>
        <v>250</v>
      </c>
      <c r="M89" s="419">
        <f>'Parking by Use'!$B$9</f>
        <v>250</v>
      </c>
      <c r="N89" s="419">
        <f>'Parking by Use'!$B$9</f>
        <v>250</v>
      </c>
      <c r="O89" s="419">
        <f>'Parking by Use'!$B$9</f>
        <v>250</v>
      </c>
      <c r="P89" s="419">
        <f>'Parking by Use'!$B$9</f>
        <v>250</v>
      </c>
      <c r="Q89" s="419">
        <f>'Parking by Use'!$B$9</f>
        <v>250</v>
      </c>
      <c r="R89" s="419">
        <f>'Parking by Use'!$B$9</f>
        <v>250</v>
      </c>
      <c r="S89" s="419">
        <f>'Parking by Use'!$B$9</f>
        <v>250</v>
      </c>
      <c r="T89" s="419">
        <f>'Parking by Use'!$B$9</f>
        <v>250</v>
      </c>
      <c r="U89" s="419">
        <f>'Parking by Use'!$B$9</f>
        <v>250</v>
      </c>
      <c r="V89" s="419">
        <f>'Parking by Use'!$B$9</f>
        <v>250</v>
      </c>
    </row>
    <row r="90" spans="1:23" s="16" customFormat="1">
      <c r="A90" s="85" t="s">
        <v>274</v>
      </c>
      <c r="B90" s="711">
        <v>0</v>
      </c>
      <c r="C90" s="572">
        <f>SUM(C94,C98)</f>
        <v>27035.980902777774</v>
      </c>
      <c r="D90" s="572">
        <f t="shared" ref="D90:V90" si="56">SUM(D94,D98)</f>
        <v>27035.980902777774</v>
      </c>
      <c r="E90" s="572">
        <f t="shared" si="56"/>
        <v>27035.980902777774</v>
      </c>
      <c r="F90" s="572">
        <f t="shared" si="56"/>
        <v>27035.980902777774</v>
      </c>
      <c r="G90" s="572">
        <f t="shared" si="56"/>
        <v>27035.980902777774</v>
      </c>
      <c r="H90" s="572">
        <f t="shared" si="56"/>
        <v>27035.980902777774</v>
      </c>
      <c r="I90" s="572">
        <f t="shared" si="56"/>
        <v>27035.980902777774</v>
      </c>
      <c r="J90" s="572">
        <f t="shared" si="56"/>
        <v>27035.980902777774</v>
      </c>
      <c r="K90" s="572">
        <f t="shared" si="56"/>
        <v>27035.980902777774</v>
      </c>
      <c r="L90" s="572">
        <f t="shared" si="56"/>
        <v>27035.980902777774</v>
      </c>
      <c r="M90" s="572">
        <f t="shared" si="56"/>
        <v>27035.980902777774</v>
      </c>
      <c r="N90" s="572">
        <f t="shared" si="56"/>
        <v>27035.980902777774</v>
      </c>
      <c r="O90" s="572">
        <f t="shared" si="56"/>
        <v>27035.980902777774</v>
      </c>
      <c r="P90" s="572">
        <f t="shared" si="56"/>
        <v>27035.980902777774</v>
      </c>
      <c r="Q90" s="572">
        <f t="shared" si="56"/>
        <v>27035.980902777774</v>
      </c>
      <c r="R90" s="572">
        <f t="shared" si="56"/>
        <v>27035.980902777774</v>
      </c>
      <c r="S90" s="572">
        <f t="shared" si="56"/>
        <v>27035.980902777774</v>
      </c>
      <c r="T90" s="572">
        <f t="shared" si="56"/>
        <v>27035.980902777774</v>
      </c>
      <c r="U90" s="572">
        <f t="shared" si="56"/>
        <v>27035.980902777774</v>
      </c>
      <c r="V90" s="572">
        <f t="shared" si="56"/>
        <v>27035.980902777774</v>
      </c>
      <c r="W90" s="441"/>
    </row>
    <row r="91" spans="1:23" s="16" customFormat="1">
      <c r="A91" s="83" t="s">
        <v>263</v>
      </c>
      <c r="B91" s="440">
        <v>0</v>
      </c>
      <c r="C91" s="441">
        <f>('Parking by Use'!$I$9-'Parking by Use'!$D$9)+('Marina Projections'!C121/3)</f>
        <v>147.33333333333334</v>
      </c>
      <c r="D91" s="441">
        <f>('Parking by Use'!$I$9-'Parking by Use'!$D$9)+('Marina Projections'!D121/3)</f>
        <v>147.33333333333334</v>
      </c>
      <c r="E91" s="441">
        <f>('Parking by Use'!$I$9-'Parking by Use'!$D$9)+('Marina Projections'!E121/3)</f>
        <v>147.33333333333334</v>
      </c>
      <c r="F91" s="441">
        <f>('Parking by Use'!$I$9-'Parking by Use'!$D$9)+('Marina Projections'!F121/3)</f>
        <v>147.33333333333334</v>
      </c>
      <c r="G91" s="441">
        <f>('Parking by Use'!$I$9-'Parking by Use'!$D$9)+('Marina Projections'!G121/3)</f>
        <v>147.33333333333334</v>
      </c>
      <c r="H91" s="441">
        <f>('Parking by Use'!$I$9-'Parking by Use'!$D$9)+('Marina Projections'!H121/3)</f>
        <v>147.33333333333334</v>
      </c>
      <c r="I91" s="441">
        <f>('Parking by Use'!$I$9-'Parking by Use'!$D$9)+('Marina Projections'!I121/3)</f>
        <v>147.33333333333334</v>
      </c>
      <c r="J91" s="441">
        <f>('Parking by Use'!$I$9-'Parking by Use'!$D$9)+('Marina Projections'!J121/3)</f>
        <v>147.33333333333334</v>
      </c>
      <c r="K91" s="441">
        <f>('Parking by Use'!$I$9-'Parking by Use'!$D$9)+('Marina Projections'!K121/3)</f>
        <v>147.33333333333334</v>
      </c>
      <c r="L91" s="441">
        <f>('Parking by Use'!$I$9-'Parking by Use'!$D$9)+('Marina Projections'!L121/3)</f>
        <v>147.33333333333334</v>
      </c>
      <c r="M91" s="441">
        <f>('Parking by Use'!$I$9-'Parking by Use'!$D$9)+('Marina Projections'!M121/3)</f>
        <v>147.33333333333334</v>
      </c>
      <c r="N91" s="441">
        <f>('Parking by Use'!$I$9-'Parking by Use'!$D$9)+('Marina Projections'!N121/3)</f>
        <v>147.33333333333334</v>
      </c>
      <c r="O91" s="441">
        <f>('Parking by Use'!$I$9-'Parking by Use'!$D$9)+('Marina Projections'!O121/3)</f>
        <v>147.33333333333334</v>
      </c>
      <c r="P91" s="441">
        <f>('Parking by Use'!$I$9-'Parking by Use'!$D$9)+('Marina Projections'!P121/3)</f>
        <v>147.33333333333334</v>
      </c>
      <c r="Q91" s="441">
        <f>('Parking by Use'!$I$9-'Parking by Use'!$D$9)+('Marina Projections'!Q121/3)</f>
        <v>147.33333333333334</v>
      </c>
      <c r="R91" s="441">
        <f>('Parking by Use'!$I$9-'Parking by Use'!$D$9)+('Marina Projections'!R121/3)</f>
        <v>147.33333333333334</v>
      </c>
      <c r="S91" s="441">
        <f>('Parking by Use'!$I$9-'Parking by Use'!$D$9)+('Marina Projections'!S121/3)</f>
        <v>147.33333333333334</v>
      </c>
      <c r="T91" s="441">
        <f>('Parking by Use'!$I$9-'Parking by Use'!$D$9)+('Marina Projections'!T121/3)</f>
        <v>147.33333333333334</v>
      </c>
      <c r="U91" s="441">
        <f>('Parking by Use'!$I$9-'Parking by Use'!$D$9)+('Marina Projections'!U121/3)</f>
        <v>147.33333333333334</v>
      </c>
      <c r="V91" s="441">
        <f>('Parking by Use'!$I$9-'Parking by Use'!$D$9)+('Marina Projections'!V121/3)</f>
        <v>147.33333333333334</v>
      </c>
      <c r="W91" s="441"/>
    </row>
    <row r="92" spans="1:23" s="16" customFormat="1">
      <c r="A92" s="83" t="s">
        <v>264</v>
      </c>
      <c r="B92" s="440">
        <v>0</v>
      </c>
      <c r="C92" s="441">
        <f>C91*365</f>
        <v>53776.666666666672</v>
      </c>
      <c r="D92" s="441">
        <f t="shared" ref="D92:V92" si="57">D91*365</f>
        <v>53776.666666666672</v>
      </c>
      <c r="E92" s="441">
        <f t="shared" si="57"/>
        <v>53776.666666666672</v>
      </c>
      <c r="F92" s="441">
        <f t="shared" si="57"/>
        <v>53776.666666666672</v>
      </c>
      <c r="G92" s="441">
        <f t="shared" si="57"/>
        <v>53776.666666666672</v>
      </c>
      <c r="H92" s="441">
        <f t="shared" si="57"/>
        <v>53776.666666666672</v>
      </c>
      <c r="I92" s="441">
        <f t="shared" si="57"/>
        <v>53776.666666666672</v>
      </c>
      <c r="J92" s="441">
        <f t="shared" si="57"/>
        <v>53776.666666666672</v>
      </c>
      <c r="K92" s="441">
        <f t="shared" si="57"/>
        <v>53776.666666666672</v>
      </c>
      <c r="L92" s="441">
        <f t="shared" si="57"/>
        <v>53776.666666666672</v>
      </c>
      <c r="M92" s="441">
        <f t="shared" si="57"/>
        <v>53776.666666666672</v>
      </c>
      <c r="N92" s="441">
        <f t="shared" si="57"/>
        <v>53776.666666666672</v>
      </c>
      <c r="O92" s="441">
        <f t="shared" si="57"/>
        <v>53776.666666666672</v>
      </c>
      <c r="P92" s="441">
        <f t="shared" si="57"/>
        <v>53776.666666666672</v>
      </c>
      <c r="Q92" s="441">
        <f t="shared" si="57"/>
        <v>53776.666666666672</v>
      </c>
      <c r="R92" s="441">
        <f t="shared" si="57"/>
        <v>53776.666666666672</v>
      </c>
      <c r="S92" s="441">
        <f t="shared" si="57"/>
        <v>53776.666666666672</v>
      </c>
      <c r="T92" s="441">
        <f t="shared" si="57"/>
        <v>53776.666666666672</v>
      </c>
      <c r="U92" s="441">
        <f t="shared" si="57"/>
        <v>53776.666666666672</v>
      </c>
      <c r="V92" s="441">
        <f t="shared" si="57"/>
        <v>53776.666666666672</v>
      </c>
      <c r="W92" s="441"/>
    </row>
    <row r="93" spans="1:23" s="16" customFormat="1">
      <c r="A93" s="83" t="s">
        <v>265</v>
      </c>
      <c r="B93" s="440">
        <v>0</v>
      </c>
      <c r="C93" s="358">
        <f>SUM($B$130,$B$132)/2</f>
        <v>0.25885416666666666</v>
      </c>
      <c r="D93" s="358">
        <f t="shared" ref="D93:V93" si="58">SUM($B$130,$B$132)/2</f>
        <v>0.25885416666666666</v>
      </c>
      <c r="E93" s="358">
        <f t="shared" si="58"/>
        <v>0.25885416666666666</v>
      </c>
      <c r="F93" s="358">
        <f t="shared" si="58"/>
        <v>0.25885416666666666</v>
      </c>
      <c r="G93" s="358">
        <f t="shared" si="58"/>
        <v>0.25885416666666666</v>
      </c>
      <c r="H93" s="358">
        <f t="shared" si="58"/>
        <v>0.25885416666666666</v>
      </c>
      <c r="I93" s="358">
        <f t="shared" si="58"/>
        <v>0.25885416666666666</v>
      </c>
      <c r="J93" s="358">
        <f t="shared" si="58"/>
        <v>0.25885416666666666</v>
      </c>
      <c r="K93" s="358">
        <f t="shared" si="58"/>
        <v>0.25885416666666666</v>
      </c>
      <c r="L93" s="358">
        <f t="shared" si="58"/>
        <v>0.25885416666666666</v>
      </c>
      <c r="M93" s="358">
        <f t="shared" si="58"/>
        <v>0.25885416666666666</v>
      </c>
      <c r="N93" s="358">
        <f t="shared" si="58"/>
        <v>0.25885416666666666</v>
      </c>
      <c r="O93" s="358">
        <f t="shared" si="58"/>
        <v>0.25885416666666666</v>
      </c>
      <c r="P93" s="358">
        <f t="shared" si="58"/>
        <v>0.25885416666666666</v>
      </c>
      <c r="Q93" s="358">
        <f t="shared" si="58"/>
        <v>0.25885416666666666</v>
      </c>
      <c r="R93" s="358">
        <f t="shared" si="58"/>
        <v>0.25885416666666666</v>
      </c>
      <c r="S93" s="358">
        <f t="shared" si="58"/>
        <v>0.25885416666666666</v>
      </c>
      <c r="T93" s="358">
        <f t="shared" si="58"/>
        <v>0.25885416666666666</v>
      </c>
      <c r="U93" s="358">
        <f t="shared" si="58"/>
        <v>0.25885416666666666</v>
      </c>
      <c r="V93" s="358">
        <f t="shared" si="58"/>
        <v>0.25885416666666666</v>
      </c>
      <c r="W93" s="441"/>
    </row>
    <row r="94" spans="1:23" s="16" customFormat="1">
      <c r="A94" s="83" t="s">
        <v>266</v>
      </c>
      <c r="B94" s="440">
        <v>0</v>
      </c>
      <c r="C94" s="441">
        <f>C93*C92</f>
        <v>13920.314236111111</v>
      </c>
      <c r="D94" s="441">
        <f t="shared" ref="D94:V94" si="59">D93*D92</f>
        <v>13920.314236111111</v>
      </c>
      <c r="E94" s="441">
        <f t="shared" si="59"/>
        <v>13920.314236111111</v>
      </c>
      <c r="F94" s="441">
        <f t="shared" si="59"/>
        <v>13920.314236111111</v>
      </c>
      <c r="G94" s="441">
        <f t="shared" si="59"/>
        <v>13920.314236111111</v>
      </c>
      <c r="H94" s="441">
        <f t="shared" si="59"/>
        <v>13920.314236111111</v>
      </c>
      <c r="I94" s="441">
        <f t="shared" si="59"/>
        <v>13920.314236111111</v>
      </c>
      <c r="J94" s="441">
        <f t="shared" si="59"/>
        <v>13920.314236111111</v>
      </c>
      <c r="K94" s="441">
        <f t="shared" si="59"/>
        <v>13920.314236111111</v>
      </c>
      <c r="L94" s="441">
        <f t="shared" si="59"/>
        <v>13920.314236111111</v>
      </c>
      <c r="M94" s="441">
        <f t="shared" si="59"/>
        <v>13920.314236111111</v>
      </c>
      <c r="N94" s="441">
        <f t="shared" si="59"/>
        <v>13920.314236111111</v>
      </c>
      <c r="O94" s="441">
        <f t="shared" si="59"/>
        <v>13920.314236111111</v>
      </c>
      <c r="P94" s="441">
        <f t="shared" si="59"/>
        <v>13920.314236111111</v>
      </c>
      <c r="Q94" s="441">
        <f t="shared" si="59"/>
        <v>13920.314236111111</v>
      </c>
      <c r="R94" s="441">
        <f t="shared" si="59"/>
        <v>13920.314236111111</v>
      </c>
      <c r="S94" s="441">
        <f t="shared" si="59"/>
        <v>13920.314236111111</v>
      </c>
      <c r="T94" s="441">
        <f t="shared" si="59"/>
        <v>13920.314236111111</v>
      </c>
      <c r="U94" s="441">
        <f t="shared" si="59"/>
        <v>13920.314236111111</v>
      </c>
      <c r="V94" s="441">
        <f t="shared" si="59"/>
        <v>13920.314236111111</v>
      </c>
      <c r="W94" s="441"/>
    </row>
    <row r="95" spans="1:23" s="16" customFormat="1">
      <c r="A95" s="83" t="s">
        <v>262</v>
      </c>
      <c r="B95" s="440">
        <v>0</v>
      </c>
      <c r="C95" s="441">
        <f>C89-C91</f>
        <v>102.66666666666666</v>
      </c>
      <c r="D95" s="441">
        <f t="shared" ref="D95:V95" si="60">D89-D91</f>
        <v>102.66666666666666</v>
      </c>
      <c r="E95" s="441">
        <f t="shared" si="60"/>
        <v>102.66666666666666</v>
      </c>
      <c r="F95" s="441">
        <f t="shared" si="60"/>
        <v>102.66666666666666</v>
      </c>
      <c r="G95" s="441">
        <f t="shared" si="60"/>
        <v>102.66666666666666</v>
      </c>
      <c r="H95" s="441">
        <f t="shared" si="60"/>
        <v>102.66666666666666</v>
      </c>
      <c r="I95" s="441">
        <f t="shared" si="60"/>
        <v>102.66666666666666</v>
      </c>
      <c r="J95" s="441">
        <f t="shared" si="60"/>
        <v>102.66666666666666</v>
      </c>
      <c r="K95" s="441">
        <f t="shared" si="60"/>
        <v>102.66666666666666</v>
      </c>
      <c r="L95" s="441">
        <f t="shared" si="60"/>
        <v>102.66666666666666</v>
      </c>
      <c r="M95" s="441">
        <f t="shared" si="60"/>
        <v>102.66666666666666</v>
      </c>
      <c r="N95" s="441">
        <f t="shared" si="60"/>
        <v>102.66666666666666</v>
      </c>
      <c r="O95" s="441">
        <f t="shared" si="60"/>
        <v>102.66666666666666</v>
      </c>
      <c r="P95" s="441">
        <f t="shared" si="60"/>
        <v>102.66666666666666</v>
      </c>
      <c r="Q95" s="441">
        <f t="shared" si="60"/>
        <v>102.66666666666666</v>
      </c>
      <c r="R95" s="441">
        <f t="shared" si="60"/>
        <v>102.66666666666666</v>
      </c>
      <c r="S95" s="441">
        <f t="shared" si="60"/>
        <v>102.66666666666666</v>
      </c>
      <c r="T95" s="441">
        <f t="shared" si="60"/>
        <v>102.66666666666666</v>
      </c>
      <c r="U95" s="441">
        <f t="shared" si="60"/>
        <v>102.66666666666666</v>
      </c>
      <c r="V95" s="441">
        <f t="shared" si="60"/>
        <v>102.66666666666666</v>
      </c>
      <c r="W95" s="441"/>
    </row>
    <row r="96" spans="1:23" s="16" customFormat="1">
      <c r="A96" s="83" t="s">
        <v>267</v>
      </c>
      <c r="B96" s="440">
        <v>0</v>
      </c>
      <c r="C96" s="441">
        <f>C95*365</f>
        <v>37473.333333333328</v>
      </c>
      <c r="D96" s="441">
        <f t="shared" ref="D96:V96" si="61">D95*365</f>
        <v>37473.333333333328</v>
      </c>
      <c r="E96" s="441">
        <f t="shared" si="61"/>
        <v>37473.333333333328</v>
      </c>
      <c r="F96" s="441">
        <f t="shared" si="61"/>
        <v>37473.333333333328</v>
      </c>
      <c r="G96" s="441">
        <f t="shared" si="61"/>
        <v>37473.333333333328</v>
      </c>
      <c r="H96" s="441">
        <f t="shared" si="61"/>
        <v>37473.333333333328</v>
      </c>
      <c r="I96" s="441">
        <f t="shared" si="61"/>
        <v>37473.333333333328</v>
      </c>
      <c r="J96" s="441">
        <f t="shared" si="61"/>
        <v>37473.333333333328</v>
      </c>
      <c r="K96" s="441">
        <f t="shared" si="61"/>
        <v>37473.333333333328</v>
      </c>
      <c r="L96" s="441">
        <f t="shared" si="61"/>
        <v>37473.333333333328</v>
      </c>
      <c r="M96" s="441">
        <f t="shared" si="61"/>
        <v>37473.333333333328</v>
      </c>
      <c r="N96" s="441">
        <f t="shared" si="61"/>
        <v>37473.333333333328</v>
      </c>
      <c r="O96" s="441">
        <f t="shared" si="61"/>
        <v>37473.333333333328</v>
      </c>
      <c r="P96" s="441">
        <f t="shared" si="61"/>
        <v>37473.333333333328</v>
      </c>
      <c r="Q96" s="441">
        <f t="shared" si="61"/>
        <v>37473.333333333328</v>
      </c>
      <c r="R96" s="441">
        <f t="shared" si="61"/>
        <v>37473.333333333328</v>
      </c>
      <c r="S96" s="441">
        <f t="shared" si="61"/>
        <v>37473.333333333328</v>
      </c>
      <c r="T96" s="441">
        <f t="shared" si="61"/>
        <v>37473.333333333328</v>
      </c>
      <c r="U96" s="441">
        <f t="shared" si="61"/>
        <v>37473.333333333328</v>
      </c>
      <c r="V96" s="441">
        <f t="shared" si="61"/>
        <v>37473.333333333328</v>
      </c>
      <c r="W96" s="441"/>
    </row>
    <row r="97" spans="1:23" s="16" customFormat="1">
      <c r="A97" s="83" t="s">
        <v>271</v>
      </c>
      <c r="B97" s="440">
        <v>0</v>
      </c>
      <c r="C97" s="571">
        <f>$B$115</f>
        <v>0.34999999999999992</v>
      </c>
      <c r="D97" s="571">
        <f t="shared" ref="D97:V97" si="62">$B$115</f>
        <v>0.34999999999999992</v>
      </c>
      <c r="E97" s="571">
        <f t="shared" si="62"/>
        <v>0.34999999999999992</v>
      </c>
      <c r="F97" s="571">
        <f t="shared" si="62"/>
        <v>0.34999999999999992</v>
      </c>
      <c r="G97" s="571">
        <f t="shared" si="62"/>
        <v>0.34999999999999992</v>
      </c>
      <c r="H97" s="571">
        <f t="shared" si="62"/>
        <v>0.34999999999999992</v>
      </c>
      <c r="I97" s="571">
        <f t="shared" si="62"/>
        <v>0.34999999999999992</v>
      </c>
      <c r="J97" s="571">
        <f t="shared" si="62"/>
        <v>0.34999999999999992</v>
      </c>
      <c r="K97" s="571">
        <f t="shared" si="62"/>
        <v>0.34999999999999992</v>
      </c>
      <c r="L97" s="571">
        <f t="shared" si="62"/>
        <v>0.34999999999999992</v>
      </c>
      <c r="M97" s="571">
        <f t="shared" si="62"/>
        <v>0.34999999999999992</v>
      </c>
      <c r="N97" s="571">
        <f t="shared" si="62"/>
        <v>0.34999999999999992</v>
      </c>
      <c r="O97" s="571">
        <f t="shared" si="62"/>
        <v>0.34999999999999992</v>
      </c>
      <c r="P97" s="571">
        <f t="shared" si="62"/>
        <v>0.34999999999999992</v>
      </c>
      <c r="Q97" s="571">
        <f t="shared" si="62"/>
        <v>0.34999999999999992</v>
      </c>
      <c r="R97" s="571">
        <f t="shared" si="62"/>
        <v>0.34999999999999992</v>
      </c>
      <c r="S97" s="571">
        <f t="shared" si="62"/>
        <v>0.34999999999999992</v>
      </c>
      <c r="T97" s="571">
        <f t="shared" si="62"/>
        <v>0.34999999999999992</v>
      </c>
      <c r="U97" s="571">
        <f t="shared" si="62"/>
        <v>0.34999999999999992</v>
      </c>
      <c r="V97" s="571">
        <f t="shared" si="62"/>
        <v>0.34999999999999992</v>
      </c>
      <c r="W97" s="441"/>
    </row>
    <row r="98" spans="1:23" s="16" customFormat="1">
      <c r="A98" s="83" t="s">
        <v>272</v>
      </c>
      <c r="B98" s="440">
        <v>0</v>
      </c>
      <c r="C98" s="441">
        <f>C97*C96</f>
        <v>13115.666666666662</v>
      </c>
      <c r="D98" s="441">
        <f t="shared" ref="D98:V98" si="63">D97*D96</f>
        <v>13115.666666666662</v>
      </c>
      <c r="E98" s="441">
        <f t="shared" si="63"/>
        <v>13115.666666666662</v>
      </c>
      <c r="F98" s="441">
        <f t="shared" si="63"/>
        <v>13115.666666666662</v>
      </c>
      <c r="G98" s="441">
        <f t="shared" si="63"/>
        <v>13115.666666666662</v>
      </c>
      <c r="H98" s="441">
        <f t="shared" si="63"/>
        <v>13115.666666666662</v>
      </c>
      <c r="I98" s="441">
        <f t="shared" si="63"/>
        <v>13115.666666666662</v>
      </c>
      <c r="J98" s="441">
        <f t="shared" si="63"/>
        <v>13115.666666666662</v>
      </c>
      <c r="K98" s="441">
        <f t="shared" si="63"/>
        <v>13115.666666666662</v>
      </c>
      <c r="L98" s="441">
        <f t="shared" si="63"/>
        <v>13115.666666666662</v>
      </c>
      <c r="M98" s="441">
        <f t="shared" si="63"/>
        <v>13115.666666666662</v>
      </c>
      <c r="N98" s="441">
        <f t="shared" si="63"/>
        <v>13115.666666666662</v>
      </c>
      <c r="O98" s="441">
        <f t="shared" si="63"/>
        <v>13115.666666666662</v>
      </c>
      <c r="P98" s="441">
        <f t="shared" si="63"/>
        <v>13115.666666666662</v>
      </c>
      <c r="Q98" s="441">
        <f t="shared" si="63"/>
        <v>13115.666666666662</v>
      </c>
      <c r="R98" s="441">
        <f t="shared" si="63"/>
        <v>13115.666666666662</v>
      </c>
      <c r="S98" s="441">
        <f t="shared" si="63"/>
        <v>13115.666666666662</v>
      </c>
      <c r="T98" s="441">
        <f t="shared" si="63"/>
        <v>13115.666666666662</v>
      </c>
      <c r="U98" s="441">
        <f t="shared" si="63"/>
        <v>13115.666666666662</v>
      </c>
      <c r="V98" s="441">
        <f t="shared" si="63"/>
        <v>13115.666666666662</v>
      </c>
      <c r="W98" s="441"/>
    </row>
    <row r="99" spans="1:23">
      <c r="A99"/>
      <c r="B99" s="565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</row>
    <row r="100" spans="1:23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131"/>
      <c r="T100" s="131"/>
      <c r="U100" s="131"/>
      <c r="V100" s="131"/>
    </row>
    <row r="101" spans="1:23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23">
      <c r="A102" s="16" t="s">
        <v>268</v>
      </c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23">
      <c r="A103" t="s">
        <v>238</v>
      </c>
      <c r="B103" s="439">
        <v>0</v>
      </c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23">
      <c r="A104" t="s">
        <v>239</v>
      </c>
      <c r="B104" s="439">
        <v>0</v>
      </c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23">
      <c r="A105" t="s">
        <v>240</v>
      </c>
      <c r="B105" s="439">
        <v>0</v>
      </c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23">
      <c r="A106" t="s">
        <v>241</v>
      </c>
      <c r="B106" s="439">
        <v>0</v>
      </c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23">
      <c r="A107" t="s">
        <v>242</v>
      </c>
      <c r="B107" s="439">
        <v>0.5</v>
      </c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23">
      <c r="A108" t="s">
        <v>243</v>
      </c>
      <c r="B108" s="439">
        <v>0.75</v>
      </c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23">
      <c r="A109" t="s">
        <v>244</v>
      </c>
      <c r="B109" s="439">
        <v>0.8</v>
      </c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23">
      <c r="A110" t="s">
        <v>245</v>
      </c>
      <c r="B110" s="439">
        <v>0.9</v>
      </c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23">
      <c r="A111" t="s">
        <v>246</v>
      </c>
      <c r="B111" s="439">
        <v>0.75</v>
      </c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23">
      <c r="A112" t="s">
        <v>247</v>
      </c>
      <c r="B112" s="439">
        <v>0.5</v>
      </c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>
      <c r="A113" t="s">
        <v>248</v>
      </c>
      <c r="B113" s="439">
        <v>0</v>
      </c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>
      <c r="A114" t="s">
        <v>249</v>
      </c>
      <c r="B114" s="439">
        <v>0</v>
      </c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s="279" customFormat="1" ht="14.25">
      <c r="A115" s="279" t="s">
        <v>250</v>
      </c>
      <c r="B115" s="568">
        <f>SUM(B103:B114)/12</f>
        <v>0.34999999999999992</v>
      </c>
    </row>
    <row r="116" spans="1:18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>
      <c r="A117" s="16" t="s">
        <v>288</v>
      </c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>
      <c r="A118" t="s">
        <v>238</v>
      </c>
      <c r="B118" s="439">
        <v>0</v>
      </c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>
      <c r="A119" t="s">
        <v>239</v>
      </c>
      <c r="B119" s="439">
        <v>0</v>
      </c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>
      <c r="A120" t="s">
        <v>240</v>
      </c>
      <c r="B120" s="439">
        <v>0</v>
      </c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>
      <c r="A121" t="s">
        <v>241</v>
      </c>
      <c r="B121" s="439">
        <v>0</v>
      </c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>
      <c r="A122" t="s">
        <v>242</v>
      </c>
      <c r="B122" s="439">
        <v>0</v>
      </c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>
      <c r="A123" t="s">
        <v>243</v>
      </c>
      <c r="B123" s="439">
        <v>0.5</v>
      </c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>
      <c r="A124" t="s">
        <v>244</v>
      </c>
      <c r="B124" s="439">
        <v>1</v>
      </c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>
      <c r="A125" t="s">
        <v>245</v>
      </c>
      <c r="B125" s="439">
        <v>1</v>
      </c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>
      <c r="A126" t="s">
        <v>246</v>
      </c>
      <c r="B126" s="439">
        <v>0.5</v>
      </c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>
      <c r="A127" t="s">
        <v>247</v>
      </c>
      <c r="B127" s="439">
        <v>0.25</v>
      </c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>
      <c r="A128" t="s">
        <v>248</v>
      </c>
      <c r="B128" s="439">
        <v>0</v>
      </c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>
      <c r="A129" t="s">
        <v>249</v>
      </c>
      <c r="B129" s="439">
        <v>0</v>
      </c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>
      <c r="A130" s="279" t="s">
        <v>250</v>
      </c>
      <c r="B130" s="568">
        <f>SUM(B118:B129)/12</f>
        <v>0.27083333333333331</v>
      </c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>
      <c r="A132" s="16" t="s">
        <v>287</v>
      </c>
      <c r="B132" s="568">
        <f>'Marina Projections'!B169</f>
        <v>0.24687500000000001</v>
      </c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>
      <c r="A133"/>
      <c r="B133" s="439"/>
    </row>
    <row r="148" spans="1:18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</sheetData>
  <mergeCells count="1">
    <mergeCell ref="A5:D5"/>
  </mergeCells>
  <pageMargins left="0.7" right="0.7" top="0.75" bottom="0.75" header="0.3" footer="0.3"/>
  <pageSetup orientation="portrait" horizontalDpi="1200" verticalDpi="120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3CC"/>
  </sheetPr>
  <dimension ref="A1:W155"/>
  <sheetViews>
    <sheetView zoomScale="70" zoomScaleNormal="70" workbookViewId="0">
      <selection activeCell="C22" sqref="C22"/>
    </sheetView>
  </sheetViews>
  <sheetFormatPr defaultColWidth="9" defaultRowHeight="16.5"/>
  <cols>
    <col min="1" max="1" width="55.25" style="18" bestFit="1" customWidth="1"/>
    <col min="2" max="2" width="9.625" style="18" customWidth="1"/>
    <col min="3" max="3" width="14.75" style="18" bestFit="1" customWidth="1"/>
    <col min="4" max="4" width="14.375" style="18" bestFit="1" customWidth="1"/>
    <col min="5" max="6" width="14.75" style="18" bestFit="1" customWidth="1"/>
    <col min="7" max="7" width="14.375" style="18" bestFit="1" customWidth="1"/>
    <col min="8" max="14" width="14.75" style="18" bestFit="1" customWidth="1"/>
    <col min="15" max="15" width="14.375" style="18" bestFit="1" customWidth="1"/>
    <col min="16" max="17" width="14.75" style="18" bestFit="1" customWidth="1"/>
    <col min="18" max="19" width="14.375" style="18" bestFit="1" customWidth="1"/>
    <col min="20" max="21" width="14.75" style="18" bestFit="1" customWidth="1"/>
    <col min="22" max="22" width="14.375" style="18" bestFit="1" customWidth="1"/>
    <col min="23" max="16384" width="9" style="18"/>
  </cols>
  <sheetData>
    <row r="1" spans="1:23" ht="18.75" thickBot="1">
      <c r="A1" s="11" t="str">
        <f>Intro!A1</f>
        <v>Town of Bar Harbor</v>
      </c>
      <c r="B1" s="14"/>
      <c r="C1" s="14"/>
      <c r="D1" s="1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</row>
    <row r="2" spans="1:23" ht="17.25" thickBot="1">
      <c r="A2" s="380" t="str">
        <f>Intro!A2</f>
        <v>Ferry Property Business Plan</v>
      </c>
      <c r="B2" s="14"/>
      <c r="C2" s="14"/>
      <c r="D2" s="1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</row>
    <row r="3" spans="1:23" s="381" customFormat="1" ht="14.25" thickBot="1">
      <c r="A3" s="384" t="str">
        <f>Intro!A3</f>
        <v>05.23.2018</v>
      </c>
      <c r="B3" s="385"/>
      <c r="C3" s="385"/>
      <c r="D3" s="385"/>
      <c r="E3" s="396"/>
      <c r="F3" s="396"/>
      <c r="G3" s="396"/>
      <c r="H3" s="396"/>
      <c r="I3" s="396"/>
      <c r="J3" s="396"/>
      <c r="K3" s="396"/>
      <c r="L3" s="396"/>
      <c r="M3" s="396"/>
      <c r="N3" s="396"/>
      <c r="O3" s="396"/>
      <c r="P3" s="396"/>
      <c r="Q3" s="396"/>
      <c r="R3" s="396"/>
      <c r="S3" s="396"/>
      <c r="T3" s="396"/>
      <c r="U3" s="396"/>
      <c r="V3" s="396"/>
    </row>
    <row r="4" spans="1:23" s="381" customFormat="1" ht="13.5">
      <c r="A4" s="384" t="str">
        <f ca="1">Intro!A4</f>
        <v>Town of Bar Harbor</v>
      </c>
      <c r="B4" s="385"/>
      <c r="C4" s="385"/>
      <c r="D4" s="385"/>
      <c r="E4" s="385"/>
      <c r="F4" s="385"/>
      <c r="G4" s="385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5"/>
      <c r="U4" s="385"/>
      <c r="V4" s="385"/>
    </row>
    <row r="5" spans="1:23">
      <c r="A5" s="1208" t="s">
        <v>311</v>
      </c>
      <c r="B5" s="1208"/>
      <c r="C5" s="1208"/>
      <c r="D5" s="1208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</row>
    <row r="6" spans="1:23">
      <c r="A6" s="6"/>
      <c r="B6" s="425"/>
      <c r="C6" s="7"/>
      <c r="D6" s="7"/>
    </row>
    <row r="7" spans="1:23">
      <c r="A7" s="8"/>
      <c r="B7" s="444">
        <v>2018</v>
      </c>
      <c r="C7" s="86">
        <v>2019</v>
      </c>
      <c r="D7" s="86">
        <v>2020</v>
      </c>
      <c r="E7" s="86">
        <v>2021</v>
      </c>
      <c r="F7" s="86">
        <v>2022</v>
      </c>
      <c r="G7" s="86">
        <v>2023</v>
      </c>
      <c r="H7" s="86">
        <v>2024</v>
      </c>
      <c r="I7" s="86">
        <v>2025</v>
      </c>
      <c r="J7" s="86">
        <v>2026</v>
      </c>
      <c r="K7" s="86">
        <v>2027</v>
      </c>
      <c r="L7" s="86">
        <v>2028</v>
      </c>
      <c r="M7" s="86">
        <v>2029</v>
      </c>
      <c r="N7" s="86">
        <v>2030</v>
      </c>
      <c r="O7" s="86">
        <v>2031</v>
      </c>
      <c r="P7" s="86">
        <v>2032</v>
      </c>
      <c r="Q7" s="86">
        <v>2033</v>
      </c>
      <c r="R7" s="9">
        <f t="shared" ref="R7:V7" si="0">Q7+1</f>
        <v>2034</v>
      </c>
      <c r="S7" s="9">
        <f t="shared" si="0"/>
        <v>2035</v>
      </c>
      <c r="T7" s="9">
        <f t="shared" si="0"/>
        <v>2036</v>
      </c>
      <c r="U7" s="9">
        <f t="shared" si="0"/>
        <v>2037</v>
      </c>
      <c r="V7" s="9">
        <f t="shared" si="0"/>
        <v>2038</v>
      </c>
    </row>
    <row r="8" spans="1:23">
      <c r="A8" s="82"/>
      <c r="B8" s="373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4"/>
      <c r="T8" s="154"/>
      <c r="U8" s="154"/>
      <c r="V8" s="154"/>
    </row>
    <row r="9" spans="1:23">
      <c r="A9" s="475" t="s">
        <v>403</v>
      </c>
      <c r="B9" s="480"/>
      <c r="C9" s="480"/>
      <c r="D9" s="480"/>
      <c r="E9" s="268"/>
      <c r="F9" s="268"/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/>
      <c r="U9" s="268"/>
      <c r="V9" s="268"/>
    </row>
    <row r="10" spans="1:23" s="32" customFormat="1">
      <c r="A10" s="481"/>
      <c r="B10" s="374"/>
      <c r="C10" s="482"/>
      <c r="D10" s="482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</row>
    <row r="11" spans="1:23" s="16" customFormat="1">
      <c r="A11" s="85" t="s">
        <v>304</v>
      </c>
      <c r="B11" s="440">
        <v>0</v>
      </c>
      <c r="C11" s="419">
        <f>'[4]No Cruise Ships'!$H$25</f>
        <v>5550</v>
      </c>
      <c r="D11" s="419">
        <f>'[4]No Cruise Ships'!$H$25</f>
        <v>5550</v>
      </c>
      <c r="E11" s="419">
        <f>'[4]No Cruise Ships'!$H$25</f>
        <v>5550</v>
      </c>
      <c r="F11" s="419">
        <f>'[4]No Cruise Ships'!$H$25</f>
        <v>5550</v>
      </c>
      <c r="G11" s="419">
        <f>'[4]No Cruise Ships'!$H$25</f>
        <v>5550</v>
      </c>
      <c r="H11" s="419">
        <f>'[4]No Cruise Ships'!$H$25</f>
        <v>5550</v>
      </c>
      <c r="I11" s="419">
        <f>'[4]No Cruise Ships'!$H$25</f>
        <v>5550</v>
      </c>
      <c r="J11" s="419">
        <f>'[4]No Cruise Ships'!$H$25</f>
        <v>5550</v>
      </c>
      <c r="K11" s="419">
        <f>'[4]No Cruise Ships'!$H$25</f>
        <v>5550</v>
      </c>
      <c r="L11" s="419">
        <f>'[4]No Cruise Ships'!$H$25</f>
        <v>5550</v>
      </c>
      <c r="M11" s="419">
        <f>'[4]No Cruise Ships'!$H$25</f>
        <v>5550</v>
      </c>
      <c r="N11" s="419">
        <f>'[4]No Cruise Ships'!$H$25</f>
        <v>5550</v>
      </c>
      <c r="O11" s="419">
        <f>'[4]No Cruise Ships'!$H$25</f>
        <v>5550</v>
      </c>
      <c r="P11" s="419">
        <f>'[4]No Cruise Ships'!$H$25</f>
        <v>5550</v>
      </c>
      <c r="Q11" s="419">
        <f>'[4]No Cruise Ships'!$H$25</f>
        <v>5550</v>
      </c>
      <c r="R11" s="419">
        <f>'[4]No Cruise Ships'!$H$25</f>
        <v>5550</v>
      </c>
      <c r="S11" s="419">
        <f>'[4]No Cruise Ships'!$H$25</f>
        <v>5550</v>
      </c>
      <c r="T11" s="419">
        <f>'[4]No Cruise Ships'!$H$25</f>
        <v>5550</v>
      </c>
      <c r="U11" s="419">
        <f>'[4]No Cruise Ships'!$H$25</f>
        <v>5550</v>
      </c>
      <c r="V11" s="419">
        <f>'[4]No Cruise Ships'!$H$25</f>
        <v>5550</v>
      </c>
    </row>
    <row r="12" spans="1:23" s="16" customFormat="1">
      <c r="A12" s="83" t="s">
        <v>305</v>
      </c>
      <c r="B12" s="440">
        <v>0</v>
      </c>
      <c r="C12" s="441">
        <f>'[4]No Cruise Ships'!$F$25</f>
        <v>5550</v>
      </c>
      <c r="D12" s="441">
        <f>'[4]No Cruise Ships'!$F$25</f>
        <v>5550</v>
      </c>
      <c r="E12" s="441">
        <f>'[4]No Cruise Ships'!$F$25</f>
        <v>5550</v>
      </c>
      <c r="F12" s="441">
        <f>'[4]No Cruise Ships'!$F$25</f>
        <v>5550</v>
      </c>
      <c r="G12" s="441">
        <f>'[4]No Cruise Ships'!$F$25</f>
        <v>5550</v>
      </c>
      <c r="H12" s="441">
        <f>'[4]No Cruise Ships'!$F$25</f>
        <v>5550</v>
      </c>
      <c r="I12" s="441">
        <f>'[4]No Cruise Ships'!$F$25</f>
        <v>5550</v>
      </c>
      <c r="J12" s="441">
        <f>'[4]No Cruise Ships'!$F$25</f>
        <v>5550</v>
      </c>
      <c r="K12" s="441">
        <f>'[4]No Cruise Ships'!$F$25</f>
        <v>5550</v>
      </c>
      <c r="L12" s="441">
        <f>'[4]No Cruise Ships'!$F$25</f>
        <v>5550</v>
      </c>
      <c r="M12" s="441">
        <f>'[4]No Cruise Ships'!$F$25</f>
        <v>5550</v>
      </c>
      <c r="N12" s="441">
        <f>'[4]No Cruise Ships'!$F$25</f>
        <v>5550</v>
      </c>
      <c r="O12" s="441">
        <f>'[4]No Cruise Ships'!$F$25</f>
        <v>5550</v>
      </c>
      <c r="P12" s="441">
        <f>'[4]No Cruise Ships'!$F$25</f>
        <v>5550</v>
      </c>
      <c r="Q12" s="441">
        <f>'[4]No Cruise Ships'!$F$25</f>
        <v>5550</v>
      </c>
      <c r="R12" s="441">
        <f>'[4]No Cruise Ships'!$F$25</f>
        <v>5550</v>
      </c>
      <c r="S12" s="441">
        <f>'[4]No Cruise Ships'!$F$25</f>
        <v>5550</v>
      </c>
      <c r="T12" s="441">
        <f>'[4]No Cruise Ships'!$F$25</f>
        <v>5550</v>
      </c>
      <c r="U12" s="441">
        <f>'[4]No Cruise Ships'!$F$25</f>
        <v>5550</v>
      </c>
      <c r="V12" s="441">
        <f>'[4]No Cruise Ships'!$F$25</f>
        <v>5550</v>
      </c>
    </row>
    <row r="13" spans="1:23" s="16" customFormat="1">
      <c r="A13" s="83" t="s">
        <v>306</v>
      </c>
      <c r="B13" s="440">
        <v>0</v>
      </c>
      <c r="C13" s="441">
        <f>'[4]No Cruise Ships'!$G$25*'Parking Projections'!C23</f>
        <v>0</v>
      </c>
      <c r="D13" s="441">
        <f>'[4]No Cruise Ships'!$G$25*'Parking Projections'!D23</f>
        <v>0</v>
      </c>
      <c r="E13" s="441">
        <f>'[4]No Cruise Ships'!$G$25*'Parking Projections'!E23</f>
        <v>0</v>
      </c>
      <c r="F13" s="441">
        <f>'[4]No Cruise Ships'!$G$25*'Parking Projections'!F23</f>
        <v>0</v>
      </c>
      <c r="G13" s="441">
        <f>'[4]No Cruise Ships'!$G$25*'Parking Projections'!G23</f>
        <v>0</v>
      </c>
      <c r="H13" s="441">
        <f>'[4]No Cruise Ships'!$G$25*'Parking Projections'!H23</f>
        <v>0</v>
      </c>
      <c r="I13" s="441">
        <f>'[4]No Cruise Ships'!$G$25*'Parking Projections'!I23</f>
        <v>0</v>
      </c>
      <c r="J13" s="441">
        <f>'[4]No Cruise Ships'!$G$25*'Parking Projections'!J23</f>
        <v>0</v>
      </c>
      <c r="K13" s="441">
        <f>'[4]No Cruise Ships'!$G$25*'Parking Projections'!K23</f>
        <v>0</v>
      </c>
      <c r="L13" s="441">
        <f>'[4]No Cruise Ships'!$G$25*'Parking Projections'!L23</f>
        <v>0</v>
      </c>
      <c r="M13" s="441">
        <f>'[4]No Cruise Ships'!$G$25*'Parking Projections'!M23</f>
        <v>0</v>
      </c>
      <c r="N13" s="441">
        <f>'[4]No Cruise Ships'!$G$25*'Parking Projections'!N23</f>
        <v>0</v>
      </c>
      <c r="O13" s="441">
        <f>'[4]No Cruise Ships'!$G$25*'Parking Projections'!O23</f>
        <v>0</v>
      </c>
      <c r="P13" s="441">
        <f>'[4]No Cruise Ships'!$G$25*'Parking Projections'!P23</f>
        <v>0</v>
      </c>
      <c r="Q13" s="441">
        <f>'[4]No Cruise Ships'!$G$25*'Parking Projections'!Q23</f>
        <v>0</v>
      </c>
      <c r="R13" s="441">
        <f>'[4]No Cruise Ships'!$G$25*'Parking Projections'!R23</f>
        <v>0</v>
      </c>
      <c r="S13" s="441">
        <f>'[4]No Cruise Ships'!$G$25*'Parking Projections'!S23</f>
        <v>0</v>
      </c>
      <c r="T13" s="441">
        <f>'[4]No Cruise Ships'!$G$25*'Parking Projections'!T23</f>
        <v>0</v>
      </c>
      <c r="U13" s="441">
        <f>'[4]No Cruise Ships'!$G$25*'Parking Projections'!U23</f>
        <v>0</v>
      </c>
      <c r="V13" s="441">
        <f>'[4]No Cruise Ships'!$G$25*'Parking Projections'!V23</f>
        <v>0</v>
      </c>
      <c r="W13" s="441"/>
    </row>
    <row r="14" spans="1:23" s="16" customFormat="1">
      <c r="A14" s="83"/>
      <c r="B14" s="440"/>
      <c r="C14" s="441"/>
      <c r="D14" s="441"/>
      <c r="E14" s="441"/>
      <c r="F14" s="441"/>
      <c r="G14" s="441"/>
      <c r="H14" s="441"/>
      <c r="I14" s="441"/>
      <c r="J14" s="441"/>
      <c r="K14" s="441"/>
      <c r="L14" s="441"/>
      <c r="M14" s="441"/>
      <c r="N14" s="441"/>
      <c r="O14" s="441"/>
      <c r="P14" s="441"/>
      <c r="Q14" s="441"/>
      <c r="R14" s="441"/>
      <c r="S14" s="441"/>
      <c r="T14" s="441"/>
      <c r="U14" s="441"/>
      <c r="V14" s="441"/>
      <c r="W14" s="441"/>
    </row>
    <row r="15" spans="1:23" s="16" customFormat="1">
      <c r="A15" s="18" t="s">
        <v>308</v>
      </c>
      <c r="B15" s="440">
        <v>0</v>
      </c>
      <c r="C15" s="638">
        <v>105000</v>
      </c>
      <c r="D15" s="638">
        <v>105000</v>
      </c>
      <c r="E15" s="638">
        <v>105000</v>
      </c>
      <c r="F15" s="638">
        <v>105000</v>
      </c>
      <c r="G15" s="638">
        <v>105000</v>
      </c>
      <c r="H15" s="638">
        <v>105000</v>
      </c>
      <c r="I15" s="638">
        <v>105000</v>
      </c>
      <c r="J15" s="638">
        <v>105000</v>
      </c>
      <c r="K15" s="638">
        <v>105000</v>
      </c>
      <c r="L15" s="638">
        <v>105000</v>
      </c>
      <c r="M15" s="643">
        <f>C15*1.1</f>
        <v>115500.00000000001</v>
      </c>
      <c r="N15" s="643">
        <f t="shared" ref="N15:V15" si="1">D15*1.1</f>
        <v>115500.00000000001</v>
      </c>
      <c r="O15" s="643">
        <f t="shared" si="1"/>
        <v>115500.00000000001</v>
      </c>
      <c r="P15" s="643">
        <f t="shared" si="1"/>
        <v>115500.00000000001</v>
      </c>
      <c r="Q15" s="643">
        <f t="shared" si="1"/>
        <v>115500.00000000001</v>
      </c>
      <c r="R15" s="643">
        <f t="shared" si="1"/>
        <v>115500.00000000001</v>
      </c>
      <c r="S15" s="643">
        <f t="shared" si="1"/>
        <v>115500.00000000001</v>
      </c>
      <c r="T15" s="643">
        <f t="shared" si="1"/>
        <v>115500.00000000001</v>
      </c>
      <c r="U15" s="643">
        <f t="shared" si="1"/>
        <v>115500.00000000001</v>
      </c>
      <c r="V15" s="643">
        <f t="shared" si="1"/>
        <v>115500.00000000001</v>
      </c>
      <c r="W15" s="441"/>
    </row>
    <row r="16" spans="1:23" s="16" customFormat="1">
      <c r="A16" s="83" t="s">
        <v>307</v>
      </c>
      <c r="B16" s="440">
        <v>0</v>
      </c>
      <c r="C16" s="638">
        <v>65</v>
      </c>
      <c r="D16" s="638">
        <f>$C16*'BH Tariffs'!D51</f>
        <v>66.3</v>
      </c>
      <c r="E16" s="638">
        <f>$C16*'BH Tariffs'!E51</f>
        <v>67.626000000000005</v>
      </c>
      <c r="F16" s="638">
        <f>$C16*'BH Tariffs'!F51</f>
        <v>68.978519999999989</v>
      </c>
      <c r="G16" s="638">
        <f>$C16*'BH Tariffs'!G51</f>
        <v>70.358090399999995</v>
      </c>
      <c r="H16" s="638">
        <f>$C16*'BH Tariffs'!H51</f>
        <v>71.765252208000007</v>
      </c>
      <c r="I16" s="638">
        <f>$C16*'BH Tariffs'!I51</f>
        <v>73.20055725216001</v>
      </c>
      <c r="J16" s="638">
        <f>$C16*'BH Tariffs'!J51</f>
        <v>74.664568397203197</v>
      </c>
      <c r="K16" s="638">
        <f>$C16*'BH Tariffs'!K51</f>
        <v>76.157859765147279</v>
      </c>
      <c r="L16" s="638">
        <f>$C16*'BH Tariffs'!L51</f>
        <v>77.681016960450222</v>
      </c>
      <c r="M16" s="638">
        <f>$C16*'BH Tariffs'!M51</f>
        <v>79.234637299659227</v>
      </c>
      <c r="N16" s="638">
        <f>$C16*'BH Tariffs'!N51</f>
        <v>80.819330045652407</v>
      </c>
      <c r="O16" s="638">
        <f>$C16*'BH Tariffs'!O51</f>
        <v>82.435716646565453</v>
      </c>
      <c r="P16" s="638">
        <f>$C16*'BH Tariffs'!P51</f>
        <v>84.084430979496759</v>
      </c>
      <c r="Q16" s="638">
        <f>$C16*'BH Tariffs'!Q51</f>
        <v>85.766119599086707</v>
      </c>
      <c r="R16" s="638">
        <f>$C16*'BH Tariffs'!R51</f>
        <v>87.481441991068436</v>
      </c>
      <c r="S16" s="638">
        <f>$C16*'BH Tariffs'!S51</f>
        <v>89.231070830889806</v>
      </c>
      <c r="T16" s="638">
        <f>$C16*'BH Tariffs'!T51</f>
        <v>91.015692247507616</v>
      </c>
      <c r="U16" s="638">
        <f>$C16*'BH Tariffs'!U51</f>
        <v>92.836006092457765</v>
      </c>
      <c r="V16" s="638">
        <f>$C16*'BH Tariffs'!V51</f>
        <v>94.692726214306916</v>
      </c>
      <c r="W16" s="441"/>
    </row>
    <row r="17" spans="1:23" s="16" customFormat="1">
      <c r="A17" s="83" t="s">
        <v>314</v>
      </c>
      <c r="B17" s="440"/>
      <c r="C17" s="638">
        <f>C16*C11</f>
        <v>360750</v>
      </c>
      <c r="D17" s="638">
        <f t="shared" ref="D17:V17" si="2">D16*D11</f>
        <v>367965</v>
      </c>
      <c r="E17" s="638">
        <f t="shared" si="2"/>
        <v>375324.30000000005</v>
      </c>
      <c r="F17" s="638">
        <f t="shared" si="2"/>
        <v>382830.78599999996</v>
      </c>
      <c r="G17" s="638">
        <f t="shared" si="2"/>
        <v>390487.40171999997</v>
      </c>
      <c r="H17" s="638">
        <f t="shared" si="2"/>
        <v>398297.14975440002</v>
      </c>
      <c r="I17" s="638">
        <f t="shared" si="2"/>
        <v>406263.09274948807</v>
      </c>
      <c r="J17" s="638">
        <f t="shared" si="2"/>
        <v>414388.35460447776</v>
      </c>
      <c r="K17" s="638">
        <f t="shared" si="2"/>
        <v>422676.1216965674</v>
      </c>
      <c r="L17" s="638">
        <f t="shared" si="2"/>
        <v>431129.64413049875</v>
      </c>
      <c r="M17" s="638">
        <f t="shared" si="2"/>
        <v>439752.23701310868</v>
      </c>
      <c r="N17" s="638">
        <f t="shared" si="2"/>
        <v>448547.28175337089</v>
      </c>
      <c r="O17" s="638">
        <f t="shared" si="2"/>
        <v>457518.22738843824</v>
      </c>
      <c r="P17" s="638">
        <f t="shared" si="2"/>
        <v>466668.59193620703</v>
      </c>
      <c r="Q17" s="638">
        <f t="shared" si="2"/>
        <v>476001.96377493121</v>
      </c>
      <c r="R17" s="638">
        <f t="shared" si="2"/>
        <v>485522.0030504298</v>
      </c>
      <c r="S17" s="638">
        <f t="shared" si="2"/>
        <v>495232.44311143842</v>
      </c>
      <c r="T17" s="638">
        <f t="shared" si="2"/>
        <v>505137.09197366727</v>
      </c>
      <c r="U17" s="638">
        <f t="shared" si="2"/>
        <v>515239.83381314058</v>
      </c>
      <c r="V17" s="638">
        <f t="shared" si="2"/>
        <v>525544.63048940338</v>
      </c>
      <c r="W17" s="441"/>
    </row>
    <row r="18" spans="1:23" s="279" customFormat="1" ht="14.25">
      <c r="A18" s="639" t="s">
        <v>310</v>
      </c>
      <c r="B18" s="640"/>
      <c r="C18" s="641">
        <f>SUM(C15,C17)</f>
        <v>465750</v>
      </c>
      <c r="D18" s="641">
        <f t="shared" ref="D18:V18" si="3">SUM(D15,D17)</f>
        <v>472965</v>
      </c>
      <c r="E18" s="641">
        <f t="shared" si="3"/>
        <v>480324.30000000005</v>
      </c>
      <c r="F18" s="641">
        <f t="shared" si="3"/>
        <v>487830.78599999996</v>
      </c>
      <c r="G18" s="641">
        <f t="shared" si="3"/>
        <v>495487.40171999997</v>
      </c>
      <c r="H18" s="641">
        <f t="shared" si="3"/>
        <v>503297.14975440002</v>
      </c>
      <c r="I18" s="641">
        <f t="shared" si="3"/>
        <v>511263.09274948807</v>
      </c>
      <c r="J18" s="641">
        <f t="shared" si="3"/>
        <v>519388.35460447776</v>
      </c>
      <c r="K18" s="641">
        <f t="shared" si="3"/>
        <v>527676.1216965674</v>
      </c>
      <c r="L18" s="641">
        <f t="shared" si="3"/>
        <v>536129.64413049875</v>
      </c>
      <c r="M18" s="641">
        <f t="shared" si="3"/>
        <v>555252.23701310868</v>
      </c>
      <c r="N18" s="641">
        <f t="shared" si="3"/>
        <v>564047.28175337089</v>
      </c>
      <c r="O18" s="641">
        <f t="shared" si="3"/>
        <v>573018.2273884383</v>
      </c>
      <c r="P18" s="641">
        <f t="shared" si="3"/>
        <v>582168.59193620703</v>
      </c>
      <c r="Q18" s="641">
        <f t="shared" si="3"/>
        <v>591501.96377493127</v>
      </c>
      <c r="R18" s="641">
        <f t="shared" si="3"/>
        <v>601022.00305042986</v>
      </c>
      <c r="S18" s="641">
        <f t="shared" si="3"/>
        <v>610732.44311143842</v>
      </c>
      <c r="T18" s="641">
        <f t="shared" si="3"/>
        <v>620637.09197366727</v>
      </c>
      <c r="U18" s="641">
        <f t="shared" si="3"/>
        <v>630739.83381314063</v>
      </c>
      <c r="V18" s="641">
        <f t="shared" si="3"/>
        <v>641044.63048940338</v>
      </c>
      <c r="W18" s="642"/>
    </row>
    <row r="19" spans="1:23" s="16" customFormat="1">
      <c r="A19" s="83"/>
      <c r="B19" s="440"/>
      <c r="C19" s="441"/>
      <c r="D19" s="441"/>
      <c r="E19" s="441"/>
      <c r="F19" s="441"/>
      <c r="G19" s="441"/>
      <c r="H19" s="441"/>
      <c r="I19" s="441"/>
      <c r="J19" s="441"/>
      <c r="K19" s="441"/>
      <c r="L19" s="441"/>
      <c r="M19" s="441"/>
      <c r="N19" s="441"/>
      <c r="O19" s="441"/>
      <c r="P19" s="441"/>
      <c r="Q19" s="441"/>
      <c r="R19" s="441"/>
      <c r="S19" s="441"/>
      <c r="T19" s="441"/>
      <c r="U19" s="441"/>
      <c r="V19" s="441"/>
      <c r="W19" s="441"/>
    </row>
    <row r="20" spans="1:23">
      <c r="A20" s="475" t="s">
        <v>427</v>
      </c>
      <c r="B20" s="480"/>
      <c r="C20" s="480"/>
      <c r="D20" s="480"/>
      <c r="E20" s="268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</row>
    <row r="21" spans="1:23">
      <c r="A21" s="481"/>
      <c r="B21" s="374"/>
      <c r="C21" s="482"/>
      <c r="D21" s="482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</row>
    <row r="22" spans="1:23">
      <c r="A22" s="85" t="s">
        <v>304</v>
      </c>
      <c r="B22" s="440">
        <v>0</v>
      </c>
      <c r="C22" s="419">
        <f>'[4]More ship visits'!$H$25</f>
        <v>7190</v>
      </c>
      <c r="D22" s="419">
        <f>'[4]More ship visits'!$H$25</f>
        <v>7190</v>
      </c>
      <c r="E22" s="419">
        <f>'[4]More ship visits'!$H$25</f>
        <v>7190</v>
      </c>
      <c r="F22" s="419">
        <f>'[4]More ship visits'!$H$25</f>
        <v>7190</v>
      </c>
      <c r="G22" s="419">
        <f>'[4]More ship visits'!$H$25</f>
        <v>7190</v>
      </c>
      <c r="H22" s="419">
        <f>'[4]More ship visits'!$H$25</f>
        <v>7190</v>
      </c>
      <c r="I22" s="419">
        <f>'[4]More ship visits'!$H$25</f>
        <v>7190</v>
      </c>
      <c r="J22" s="419">
        <f>'[4]More ship visits'!$H$25</f>
        <v>7190</v>
      </c>
      <c r="K22" s="419">
        <f>'[4]More ship visits'!$H$25</f>
        <v>7190</v>
      </c>
      <c r="L22" s="419">
        <f>'[4]More ship visits'!$H$25</f>
        <v>7190</v>
      </c>
      <c r="M22" s="419">
        <f>'[4]More ship visits'!$H$25</f>
        <v>7190</v>
      </c>
      <c r="N22" s="419">
        <f>'[4]More ship visits'!$H$25</f>
        <v>7190</v>
      </c>
      <c r="O22" s="419">
        <f>'[4]More ship visits'!$H$25</f>
        <v>7190</v>
      </c>
      <c r="P22" s="419">
        <f>'[4]More ship visits'!$H$25</f>
        <v>7190</v>
      </c>
      <c r="Q22" s="419">
        <f>'[4]More ship visits'!$H$25</f>
        <v>7190</v>
      </c>
      <c r="R22" s="419">
        <f>'[4]More ship visits'!$H$25</f>
        <v>7190</v>
      </c>
      <c r="S22" s="419">
        <f>'[4]More ship visits'!$H$25</f>
        <v>7190</v>
      </c>
      <c r="T22" s="419">
        <f>'[4]More ship visits'!$H$25</f>
        <v>7190</v>
      </c>
      <c r="U22" s="419">
        <f>'[4]More ship visits'!$H$25</f>
        <v>7190</v>
      </c>
      <c r="V22" s="419">
        <f>'[4]More ship visits'!$H$25</f>
        <v>7190</v>
      </c>
    </row>
    <row r="23" spans="1:23">
      <c r="A23" s="83" t="s">
        <v>305</v>
      </c>
      <c r="B23" s="440">
        <v>0</v>
      </c>
      <c r="C23" s="441">
        <f>'[4]More ship visits'!$F$25</f>
        <v>3070</v>
      </c>
      <c r="D23" s="441">
        <f>'[4]More ship visits'!$F$25</f>
        <v>3070</v>
      </c>
      <c r="E23" s="441">
        <f>'[4]More ship visits'!$F$25</f>
        <v>3070</v>
      </c>
      <c r="F23" s="441">
        <f>'[4]More ship visits'!$F$25</f>
        <v>3070</v>
      </c>
      <c r="G23" s="441">
        <f>'[4]More ship visits'!$F$25</f>
        <v>3070</v>
      </c>
      <c r="H23" s="441">
        <f>'[4]More ship visits'!$F$25</f>
        <v>3070</v>
      </c>
      <c r="I23" s="441">
        <f>'[4]More ship visits'!$F$25</f>
        <v>3070</v>
      </c>
      <c r="J23" s="441">
        <f>'[4]More ship visits'!$F$25</f>
        <v>3070</v>
      </c>
      <c r="K23" s="441">
        <f>'[4]More ship visits'!$F$25</f>
        <v>3070</v>
      </c>
      <c r="L23" s="441">
        <f>'[4]More ship visits'!$F$25</f>
        <v>3070</v>
      </c>
      <c r="M23" s="441">
        <f>'[4]More ship visits'!$F$25</f>
        <v>3070</v>
      </c>
      <c r="N23" s="441">
        <f>'[4]More ship visits'!$F$25</f>
        <v>3070</v>
      </c>
      <c r="O23" s="441">
        <f>'[4]More ship visits'!$F$25</f>
        <v>3070</v>
      </c>
      <c r="P23" s="441">
        <f>'[4]More ship visits'!$F$25</f>
        <v>3070</v>
      </c>
      <c r="Q23" s="441">
        <f>'[4]More ship visits'!$F$25</f>
        <v>3070</v>
      </c>
      <c r="R23" s="441">
        <f>'[4]More ship visits'!$F$25</f>
        <v>3070</v>
      </c>
      <c r="S23" s="441">
        <f>'[4]More ship visits'!$F$25</f>
        <v>3070</v>
      </c>
      <c r="T23" s="441">
        <f>'[4]More ship visits'!$F$25</f>
        <v>3070</v>
      </c>
      <c r="U23" s="441">
        <f>'[4]More ship visits'!$F$25</f>
        <v>3070</v>
      </c>
      <c r="V23" s="441">
        <f>'[4]More ship visits'!$F$25</f>
        <v>3070</v>
      </c>
    </row>
    <row r="24" spans="1:23" s="16" customFormat="1">
      <c r="A24" s="83" t="s">
        <v>306</v>
      </c>
      <c r="B24" s="440">
        <v>0</v>
      </c>
      <c r="C24" s="441">
        <f>'[4]More ship visits'!$G$25</f>
        <v>4120</v>
      </c>
      <c r="D24" s="441">
        <f>'[4]More ship visits'!$G$25</f>
        <v>4120</v>
      </c>
      <c r="E24" s="441">
        <f>'[4]More ship visits'!$G$25</f>
        <v>4120</v>
      </c>
      <c r="F24" s="441">
        <f>'[4]More ship visits'!$G$25</f>
        <v>4120</v>
      </c>
      <c r="G24" s="441">
        <f>'[4]More ship visits'!$G$25</f>
        <v>4120</v>
      </c>
      <c r="H24" s="441">
        <f>'[4]More ship visits'!$G$25</f>
        <v>4120</v>
      </c>
      <c r="I24" s="441">
        <f>'[4]More ship visits'!$G$25</f>
        <v>4120</v>
      </c>
      <c r="J24" s="441">
        <f>'[4]More ship visits'!$G$25</f>
        <v>4120</v>
      </c>
      <c r="K24" s="441">
        <f>'[4]More ship visits'!$G$25</f>
        <v>4120</v>
      </c>
      <c r="L24" s="441">
        <f>'[4]More ship visits'!$G$25</f>
        <v>4120</v>
      </c>
      <c r="M24" s="441">
        <f>'[4]More ship visits'!$G$25</f>
        <v>4120</v>
      </c>
      <c r="N24" s="441">
        <f>'[4]More ship visits'!$G$25</f>
        <v>4120</v>
      </c>
      <c r="O24" s="441">
        <f>'[4]More ship visits'!$G$25</f>
        <v>4120</v>
      </c>
      <c r="P24" s="441">
        <f>'[4]More ship visits'!$G$25</f>
        <v>4120</v>
      </c>
      <c r="Q24" s="441">
        <f>'[4]More ship visits'!$G$25</f>
        <v>4120</v>
      </c>
      <c r="R24" s="441">
        <f>'[4]More ship visits'!$G$25</f>
        <v>4120</v>
      </c>
      <c r="S24" s="441">
        <f>'[4]More ship visits'!$G$25</f>
        <v>4120</v>
      </c>
      <c r="T24" s="441">
        <f>'[4]More ship visits'!$G$25</f>
        <v>4120</v>
      </c>
      <c r="U24" s="441">
        <f>'[4]More ship visits'!$G$25</f>
        <v>4120</v>
      </c>
      <c r="V24" s="441">
        <f>'[4]More ship visits'!$G$25</f>
        <v>4120</v>
      </c>
      <c r="W24" s="441"/>
    </row>
    <row r="25" spans="1:23" s="16" customFormat="1">
      <c r="A25" s="83"/>
      <c r="B25" s="440"/>
      <c r="C25" s="441"/>
      <c r="D25" s="441"/>
      <c r="E25" s="441"/>
      <c r="F25" s="441"/>
      <c r="G25" s="441"/>
      <c r="H25" s="441"/>
      <c r="I25" s="441"/>
      <c r="J25" s="441"/>
      <c r="K25" s="441"/>
      <c r="L25" s="441"/>
      <c r="M25" s="441"/>
      <c r="N25" s="441"/>
      <c r="O25" s="441"/>
      <c r="P25" s="441"/>
      <c r="Q25" s="441"/>
      <c r="R25" s="441"/>
      <c r="S25" s="441"/>
      <c r="T25" s="441"/>
      <c r="U25" s="441"/>
      <c r="V25" s="441"/>
      <c r="W25" s="441"/>
    </row>
    <row r="26" spans="1:23" s="16" customFormat="1">
      <c r="A26" s="18" t="s">
        <v>309</v>
      </c>
      <c r="B26" s="440">
        <v>0</v>
      </c>
      <c r="C26" s="638">
        <v>210000</v>
      </c>
      <c r="D26" s="638">
        <v>210000</v>
      </c>
      <c r="E26" s="638">
        <v>210000</v>
      </c>
      <c r="F26" s="638">
        <v>210000</v>
      </c>
      <c r="G26" s="638">
        <v>210000</v>
      </c>
      <c r="H26" s="638">
        <v>210000</v>
      </c>
      <c r="I26" s="638">
        <v>210000</v>
      </c>
      <c r="J26" s="638">
        <v>210000</v>
      </c>
      <c r="K26" s="638">
        <v>210000</v>
      </c>
      <c r="L26" s="638">
        <v>210000</v>
      </c>
      <c r="M26" s="643">
        <f>C26*1.1</f>
        <v>231000.00000000003</v>
      </c>
      <c r="N26" s="643">
        <f t="shared" ref="N26" si="4">D26*1.1</f>
        <v>231000.00000000003</v>
      </c>
      <c r="O26" s="643">
        <f t="shared" ref="O26" si="5">E26*1.1</f>
        <v>231000.00000000003</v>
      </c>
      <c r="P26" s="643">
        <f t="shared" ref="P26" si="6">F26*1.1</f>
        <v>231000.00000000003</v>
      </c>
      <c r="Q26" s="643">
        <f t="shared" ref="Q26" si="7">G26*1.1</f>
        <v>231000.00000000003</v>
      </c>
      <c r="R26" s="643">
        <f t="shared" ref="R26" si="8">H26*1.1</f>
        <v>231000.00000000003</v>
      </c>
      <c r="S26" s="643">
        <f t="shared" ref="S26" si="9">I26*1.1</f>
        <v>231000.00000000003</v>
      </c>
      <c r="T26" s="643">
        <f t="shared" ref="T26" si="10">J26*1.1</f>
        <v>231000.00000000003</v>
      </c>
      <c r="U26" s="643">
        <f t="shared" ref="U26" si="11">K26*1.1</f>
        <v>231000.00000000003</v>
      </c>
      <c r="V26" s="643">
        <f t="shared" ref="V26" si="12">L26*1.1</f>
        <v>231000.00000000003</v>
      </c>
      <c r="W26" s="441"/>
    </row>
    <row r="27" spans="1:23" s="16" customFormat="1">
      <c r="A27" s="83" t="s">
        <v>307</v>
      </c>
      <c r="B27" s="440">
        <v>0</v>
      </c>
      <c r="C27" s="638">
        <v>65</v>
      </c>
      <c r="D27" s="638">
        <f>$C27*'BH Tariffs'!D51</f>
        <v>66.3</v>
      </c>
      <c r="E27" s="638">
        <f>$C27*'BH Tariffs'!E51</f>
        <v>67.626000000000005</v>
      </c>
      <c r="F27" s="638">
        <f>$C27*'BH Tariffs'!F51</f>
        <v>68.978519999999989</v>
      </c>
      <c r="G27" s="638">
        <f>$C27*'BH Tariffs'!G51</f>
        <v>70.358090399999995</v>
      </c>
      <c r="H27" s="638">
        <f>$C27*'BH Tariffs'!H51</f>
        <v>71.765252208000007</v>
      </c>
      <c r="I27" s="638">
        <f>$C27*'BH Tariffs'!I51</f>
        <v>73.20055725216001</v>
      </c>
      <c r="J27" s="638">
        <f>$C27*'BH Tariffs'!J51</f>
        <v>74.664568397203197</v>
      </c>
      <c r="K27" s="638">
        <f>$C27*'BH Tariffs'!K51</f>
        <v>76.157859765147279</v>
      </c>
      <c r="L27" s="638">
        <f>$C27*'BH Tariffs'!L51</f>
        <v>77.681016960450222</v>
      </c>
      <c r="M27" s="638">
        <f>$C27*'BH Tariffs'!M51</f>
        <v>79.234637299659227</v>
      </c>
      <c r="N27" s="638">
        <f>$C27*'BH Tariffs'!N51</f>
        <v>80.819330045652407</v>
      </c>
      <c r="O27" s="638">
        <f>$C27*'BH Tariffs'!O51</f>
        <v>82.435716646565453</v>
      </c>
      <c r="P27" s="638">
        <f>$C27*'BH Tariffs'!P51</f>
        <v>84.084430979496759</v>
      </c>
      <c r="Q27" s="638">
        <f>$C27*'BH Tariffs'!Q51</f>
        <v>85.766119599086707</v>
      </c>
      <c r="R27" s="638">
        <f>$C27*'BH Tariffs'!R51</f>
        <v>87.481441991068436</v>
      </c>
      <c r="S27" s="638">
        <f>$C27*'BH Tariffs'!S51</f>
        <v>89.231070830889806</v>
      </c>
      <c r="T27" s="638">
        <f>$C27*'BH Tariffs'!T51</f>
        <v>91.015692247507616</v>
      </c>
      <c r="U27" s="638">
        <f>$C27*'BH Tariffs'!U51</f>
        <v>92.836006092457765</v>
      </c>
      <c r="V27" s="638">
        <f>$C27*'BH Tariffs'!V51</f>
        <v>94.692726214306916</v>
      </c>
      <c r="W27" s="441"/>
    </row>
    <row r="28" spans="1:23" s="16" customFormat="1">
      <c r="A28" s="83" t="s">
        <v>314</v>
      </c>
      <c r="B28" s="440"/>
      <c r="C28" s="638">
        <f>C27*C22</f>
        <v>467350</v>
      </c>
      <c r="D28" s="638">
        <f t="shared" ref="D28:V28" si="13">D27*D22</f>
        <v>476697</v>
      </c>
      <c r="E28" s="638">
        <f t="shared" si="13"/>
        <v>486230.94000000006</v>
      </c>
      <c r="F28" s="638">
        <f t="shared" si="13"/>
        <v>495955.55879999994</v>
      </c>
      <c r="G28" s="638">
        <f t="shared" si="13"/>
        <v>505874.66997599998</v>
      </c>
      <c r="H28" s="638">
        <f t="shared" si="13"/>
        <v>515992.16337552003</v>
      </c>
      <c r="I28" s="638">
        <f t="shared" si="13"/>
        <v>526312.00664303044</v>
      </c>
      <c r="J28" s="638">
        <f t="shared" si="13"/>
        <v>536838.24677589093</v>
      </c>
      <c r="K28" s="638">
        <f t="shared" si="13"/>
        <v>547575.01171140897</v>
      </c>
      <c r="L28" s="638">
        <f t="shared" si="13"/>
        <v>558526.51194563706</v>
      </c>
      <c r="M28" s="638">
        <f t="shared" si="13"/>
        <v>569697.04218454985</v>
      </c>
      <c r="N28" s="638">
        <f t="shared" si="13"/>
        <v>581090.98302824085</v>
      </c>
      <c r="O28" s="638">
        <f t="shared" si="13"/>
        <v>592712.80268880562</v>
      </c>
      <c r="P28" s="638">
        <f t="shared" si="13"/>
        <v>604567.05874258175</v>
      </c>
      <c r="Q28" s="638">
        <f t="shared" si="13"/>
        <v>616658.39991743339</v>
      </c>
      <c r="R28" s="638">
        <f t="shared" si="13"/>
        <v>628991.5679157821</v>
      </c>
      <c r="S28" s="638">
        <f t="shared" si="13"/>
        <v>641571.39927409776</v>
      </c>
      <c r="T28" s="638">
        <f t="shared" si="13"/>
        <v>654402.82725957979</v>
      </c>
      <c r="U28" s="638">
        <f t="shared" si="13"/>
        <v>667490.88380477135</v>
      </c>
      <c r="V28" s="638">
        <f t="shared" si="13"/>
        <v>680840.70148086676</v>
      </c>
      <c r="W28" s="441"/>
    </row>
    <row r="29" spans="1:23" s="279" customFormat="1" ht="14.25">
      <c r="A29" s="639" t="s">
        <v>310</v>
      </c>
      <c r="B29" s="640"/>
      <c r="C29" s="641">
        <f>(C27*C22)+C26</f>
        <v>677350</v>
      </c>
      <c r="D29" s="641">
        <f t="shared" ref="D29:V29" si="14">(D27*D22)+D26</f>
        <v>686697</v>
      </c>
      <c r="E29" s="641">
        <f t="shared" si="14"/>
        <v>696230.94000000006</v>
      </c>
      <c r="F29" s="641">
        <f t="shared" si="14"/>
        <v>705955.5588</v>
      </c>
      <c r="G29" s="641">
        <f t="shared" si="14"/>
        <v>715874.66997599998</v>
      </c>
      <c r="H29" s="641">
        <f t="shared" si="14"/>
        <v>725992.16337552003</v>
      </c>
      <c r="I29" s="641">
        <f t="shared" si="14"/>
        <v>736312.00664303044</v>
      </c>
      <c r="J29" s="641">
        <f t="shared" si="14"/>
        <v>746838.24677589093</v>
      </c>
      <c r="K29" s="641">
        <f t="shared" si="14"/>
        <v>757575.01171140897</v>
      </c>
      <c r="L29" s="641">
        <f t="shared" si="14"/>
        <v>768526.51194563706</v>
      </c>
      <c r="M29" s="641">
        <f t="shared" si="14"/>
        <v>800697.04218454985</v>
      </c>
      <c r="N29" s="641">
        <f t="shared" si="14"/>
        <v>812090.98302824085</v>
      </c>
      <c r="O29" s="641">
        <f t="shared" si="14"/>
        <v>823712.80268880562</v>
      </c>
      <c r="P29" s="641">
        <f t="shared" si="14"/>
        <v>835567.05874258175</v>
      </c>
      <c r="Q29" s="641">
        <f t="shared" si="14"/>
        <v>847658.39991743339</v>
      </c>
      <c r="R29" s="641">
        <f t="shared" si="14"/>
        <v>859991.5679157821</v>
      </c>
      <c r="S29" s="641">
        <f t="shared" si="14"/>
        <v>872571.39927409776</v>
      </c>
      <c r="T29" s="641">
        <f t="shared" si="14"/>
        <v>885402.82725957979</v>
      </c>
      <c r="U29" s="641">
        <f t="shared" si="14"/>
        <v>898490.88380477135</v>
      </c>
      <c r="V29" s="641">
        <f t="shared" si="14"/>
        <v>911840.70148086676</v>
      </c>
      <c r="W29" s="642"/>
    </row>
    <row r="30" spans="1:23">
      <c r="A30"/>
      <c r="B30" s="565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</row>
    <row r="31" spans="1:23">
      <c r="A31" s="475" t="s">
        <v>236</v>
      </c>
      <c r="B31" s="480"/>
      <c r="C31" s="480"/>
      <c r="D31" s="480"/>
      <c r="E31" s="268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</row>
    <row r="32" spans="1:23">
      <c r="A32" s="481"/>
      <c r="B32" s="374"/>
      <c r="C32" s="482"/>
      <c r="D32" s="482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</row>
    <row r="33" spans="1:23">
      <c r="A33" s="85" t="s">
        <v>304</v>
      </c>
      <c r="B33" s="440">
        <v>0</v>
      </c>
      <c r="C33" s="419">
        <f>'[4]More ship visits'!$H$25</f>
        <v>7190</v>
      </c>
      <c r="D33" s="419">
        <f>'[4]More ship visits'!$H$25</f>
        <v>7190</v>
      </c>
      <c r="E33" s="419">
        <f>'[4]More ship visits'!$H$25</f>
        <v>7190</v>
      </c>
      <c r="F33" s="419">
        <f>'[4]More ship visits'!$H$25</f>
        <v>7190</v>
      </c>
      <c r="G33" s="419">
        <f>'[4]More ship visits'!$H$25</f>
        <v>7190</v>
      </c>
      <c r="H33" s="419">
        <f>'[4]More ship visits'!$H$25</f>
        <v>7190</v>
      </c>
      <c r="I33" s="419">
        <f>'[4]More ship visits'!$H$25</f>
        <v>7190</v>
      </c>
      <c r="J33" s="419">
        <f>'[4]More ship visits'!$H$25</f>
        <v>7190</v>
      </c>
      <c r="K33" s="419">
        <f>'[4]More ship visits'!$H$25</f>
        <v>7190</v>
      </c>
      <c r="L33" s="419">
        <f>'[4]More ship visits'!$H$25</f>
        <v>7190</v>
      </c>
      <c r="M33" s="419">
        <f>'[4]More ship visits'!$H$25</f>
        <v>7190</v>
      </c>
      <c r="N33" s="419">
        <f>'[4]More ship visits'!$H$25</f>
        <v>7190</v>
      </c>
      <c r="O33" s="419">
        <f>'[4]More ship visits'!$H$25</f>
        <v>7190</v>
      </c>
      <c r="P33" s="419">
        <f>'[4]More ship visits'!$H$25</f>
        <v>7190</v>
      </c>
      <c r="Q33" s="419">
        <f>'[4]More ship visits'!$H$25</f>
        <v>7190</v>
      </c>
      <c r="R33" s="419">
        <f>'[4]More ship visits'!$H$25</f>
        <v>7190</v>
      </c>
      <c r="S33" s="419">
        <f>'[4]More ship visits'!$H$25</f>
        <v>7190</v>
      </c>
      <c r="T33" s="419">
        <f>'[4]More ship visits'!$H$25</f>
        <v>7190</v>
      </c>
      <c r="U33" s="419">
        <f>'[4]More ship visits'!$H$25</f>
        <v>7190</v>
      </c>
      <c r="V33" s="419">
        <f>'[4]More ship visits'!$H$25</f>
        <v>7190</v>
      </c>
    </row>
    <row r="34" spans="1:23" s="16" customFormat="1">
      <c r="A34" s="83" t="s">
        <v>305</v>
      </c>
      <c r="B34" s="440">
        <v>0</v>
      </c>
      <c r="C34" s="441">
        <f>'[4]More ship visits'!$F$25</f>
        <v>3070</v>
      </c>
      <c r="D34" s="441">
        <f>'[4]More ship visits'!$F$25</f>
        <v>3070</v>
      </c>
      <c r="E34" s="441">
        <f>'[4]More ship visits'!$F$25</f>
        <v>3070</v>
      </c>
      <c r="F34" s="441">
        <f>'[4]More ship visits'!$F$25</f>
        <v>3070</v>
      </c>
      <c r="G34" s="441">
        <f>'[4]More ship visits'!$F$25</f>
        <v>3070</v>
      </c>
      <c r="H34" s="441">
        <f>'[4]More ship visits'!$F$25</f>
        <v>3070</v>
      </c>
      <c r="I34" s="441">
        <f>'[4]More ship visits'!$F$25</f>
        <v>3070</v>
      </c>
      <c r="J34" s="441">
        <f>'[4]More ship visits'!$F$25</f>
        <v>3070</v>
      </c>
      <c r="K34" s="441">
        <f>'[4]More ship visits'!$F$25</f>
        <v>3070</v>
      </c>
      <c r="L34" s="441">
        <f>'[4]More ship visits'!$F$25</f>
        <v>3070</v>
      </c>
      <c r="M34" s="441">
        <f>'[4]More ship visits'!$F$25</f>
        <v>3070</v>
      </c>
      <c r="N34" s="441">
        <f>'[4]More ship visits'!$F$25</f>
        <v>3070</v>
      </c>
      <c r="O34" s="441">
        <f>'[4]More ship visits'!$F$25</f>
        <v>3070</v>
      </c>
      <c r="P34" s="441">
        <f>'[4]More ship visits'!$F$25</f>
        <v>3070</v>
      </c>
      <c r="Q34" s="441">
        <f>'[4]More ship visits'!$F$25</f>
        <v>3070</v>
      </c>
      <c r="R34" s="441">
        <f>'[4]More ship visits'!$F$25</f>
        <v>3070</v>
      </c>
      <c r="S34" s="441">
        <f>'[4]More ship visits'!$F$25</f>
        <v>3070</v>
      </c>
      <c r="T34" s="441">
        <f>'[4]More ship visits'!$F$25</f>
        <v>3070</v>
      </c>
      <c r="U34" s="441">
        <f>'[4]More ship visits'!$F$25</f>
        <v>3070</v>
      </c>
      <c r="V34" s="441">
        <f>'[4]More ship visits'!$F$25</f>
        <v>3070</v>
      </c>
      <c r="W34" s="441"/>
    </row>
    <row r="35" spans="1:23" s="16" customFormat="1">
      <c r="A35" s="83" t="s">
        <v>306</v>
      </c>
      <c r="B35" s="440">
        <v>0</v>
      </c>
      <c r="C35" s="441">
        <f>'[4]More ship visits'!$G$25</f>
        <v>4120</v>
      </c>
      <c r="D35" s="441">
        <f>'[4]More ship visits'!$G$25</f>
        <v>4120</v>
      </c>
      <c r="E35" s="441">
        <f>'[4]More ship visits'!$G$25</f>
        <v>4120</v>
      </c>
      <c r="F35" s="441">
        <f>'[4]More ship visits'!$G$25</f>
        <v>4120</v>
      </c>
      <c r="G35" s="441">
        <f>'[4]More ship visits'!$G$25</f>
        <v>4120</v>
      </c>
      <c r="H35" s="441">
        <f>'[4]More ship visits'!$G$25</f>
        <v>4120</v>
      </c>
      <c r="I35" s="441">
        <f>'[4]More ship visits'!$G$25</f>
        <v>4120</v>
      </c>
      <c r="J35" s="441">
        <f>'[4]More ship visits'!$G$25</f>
        <v>4120</v>
      </c>
      <c r="K35" s="441">
        <f>'[4]More ship visits'!$G$25</f>
        <v>4120</v>
      </c>
      <c r="L35" s="441">
        <f>'[4]More ship visits'!$G$25</f>
        <v>4120</v>
      </c>
      <c r="M35" s="441">
        <f>'[4]More ship visits'!$G$25</f>
        <v>4120</v>
      </c>
      <c r="N35" s="441">
        <f>'[4]More ship visits'!$G$25</f>
        <v>4120</v>
      </c>
      <c r="O35" s="441">
        <f>'[4]More ship visits'!$G$25</f>
        <v>4120</v>
      </c>
      <c r="P35" s="441">
        <f>'[4]More ship visits'!$G$25</f>
        <v>4120</v>
      </c>
      <c r="Q35" s="441">
        <f>'[4]More ship visits'!$G$25</f>
        <v>4120</v>
      </c>
      <c r="R35" s="441">
        <f>'[4]More ship visits'!$G$25</f>
        <v>4120</v>
      </c>
      <c r="S35" s="441">
        <f>'[4]More ship visits'!$G$25</f>
        <v>4120</v>
      </c>
      <c r="T35" s="441">
        <f>'[4]More ship visits'!$G$25</f>
        <v>4120</v>
      </c>
      <c r="U35" s="441">
        <f>'[4]More ship visits'!$G$25</f>
        <v>4120</v>
      </c>
      <c r="V35" s="441">
        <f>'[4]More ship visits'!$G$25</f>
        <v>4120</v>
      </c>
      <c r="W35" s="441"/>
    </row>
    <row r="36" spans="1:23" s="16" customFormat="1">
      <c r="A36" s="83"/>
      <c r="B36" s="440"/>
      <c r="C36" s="441"/>
      <c r="D36" s="441"/>
      <c r="E36" s="441"/>
      <c r="F36" s="441"/>
      <c r="G36" s="441"/>
      <c r="H36" s="441"/>
      <c r="I36" s="441"/>
      <c r="J36" s="441"/>
      <c r="K36" s="441"/>
      <c r="L36" s="441"/>
      <c r="M36" s="441"/>
      <c r="N36" s="441"/>
      <c r="O36" s="441"/>
      <c r="P36" s="441"/>
      <c r="Q36" s="441"/>
      <c r="R36" s="441"/>
      <c r="S36" s="441"/>
      <c r="T36" s="441"/>
      <c r="U36" s="441"/>
      <c r="V36" s="441"/>
      <c r="W36" s="441"/>
    </row>
    <row r="37" spans="1:23" s="16" customFormat="1">
      <c r="A37" s="18" t="s">
        <v>309</v>
      </c>
      <c r="B37" s="440">
        <v>0</v>
      </c>
      <c r="C37" s="638">
        <v>210000</v>
      </c>
      <c r="D37" s="638">
        <v>210000</v>
      </c>
      <c r="E37" s="638">
        <v>210000</v>
      </c>
      <c r="F37" s="638">
        <v>210000</v>
      </c>
      <c r="G37" s="638">
        <v>210000</v>
      </c>
      <c r="H37" s="638">
        <v>210000</v>
      </c>
      <c r="I37" s="638">
        <v>210000</v>
      </c>
      <c r="J37" s="638">
        <v>210000</v>
      </c>
      <c r="K37" s="638">
        <v>210000</v>
      </c>
      <c r="L37" s="638">
        <v>210000</v>
      </c>
      <c r="M37" s="643">
        <f>C37*1.1</f>
        <v>231000.00000000003</v>
      </c>
      <c r="N37" s="643">
        <f t="shared" ref="N37" si="15">D37*1.1</f>
        <v>231000.00000000003</v>
      </c>
      <c r="O37" s="643">
        <f t="shared" ref="O37" si="16">E37*1.1</f>
        <v>231000.00000000003</v>
      </c>
      <c r="P37" s="643">
        <f t="shared" ref="P37" si="17">F37*1.1</f>
        <v>231000.00000000003</v>
      </c>
      <c r="Q37" s="643">
        <f t="shared" ref="Q37" si="18">G37*1.1</f>
        <v>231000.00000000003</v>
      </c>
      <c r="R37" s="643">
        <f t="shared" ref="R37" si="19">H37*1.1</f>
        <v>231000.00000000003</v>
      </c>
      <c r="S37" s="643">
        <f t="shared" ref="S37" si="20">I37*1.1</f>
        <v>231000.00000000003</v>
      </c>
      <c r="T37" s="643">
        <f t="shared" ref="T37" si="21">J37*1.1</f>
        <v>231000.00000000003</v>
      </c>
      <c r="U37" s="643">
        <f t="shared" ref="U37" si="22">K37*1.1</f>
        <v>231000.00000000003</v>
      </c>
      <c r="V37" s="643">
        <f t="shared" ref="V37" si="23">L37*1.1</f>
        <v>231000.00000000003</v>
      </c>
      <c r="W37" s="441"/>
    </row>
    <row r="38" spans="1:23" s="16" customFormat="1">
      <c r="A38" s="83" t="s">
        <v>307</v>
      </c>
      <c r="B38" s="440">
        <v>0</v>
      </c>
      <c r="C38" s="638">
        <v>65</v>
      </c>
      <c r="D38" s="638">
        <f>$C38*'BH Tariffs'!D51</f>
        <v>66.3</v>
      </c>
      <c r="E38" s="638">
        <f>$C38*'BH Tariffs'!E51</f>
        <v>67.626000000000005</v>
      </c>
      <c r="F38" s="638">
        <f>$C38*'BH Tariffs'!F51</f>
        <v>68.978519999999989</v>
      </c>
      <c r="G38" s="638">
        <f>$C38*'BH Tariffs'!G51</f>
        <v>70.358090399999995</v>
      </c>
      <c r="H38" s="638">
        <f>$C38*'BH Tariffs'!H51</f>
        <v>71.765252208000007</v>
      </c>
      <c r="I38" s="638">
        <f>$C38*'BH Tariffs'!I51</f>
        <v>73.20055725216001</v>
      </c>
      <c r="J38" s="638">
        <f>$C38*'BH Tariffs'!J51</f>
        <v>74.664568397203197</v>
      </c>
      <c r="K38" s="638">
        <f>$C38*'BH Tariffs'!K51</f>
        <v>76.157859765147279</v>
      </c>
      <c r="L38" s="638">
        <f>$C38*'BH Tariffs'!L51</f>
        <v>77.681016960450222</v>
      </c>
      <c r="M38" s="638">
        <f>$C38*'BH Tariffs'!M51</f>
        <v>79.234637299659227</v>
      </c>
      <c r="N38" s="638">
        <f>$C38*'BH Tariffs'!N51</f>
        <v>80.819330045652407</v>
      </c>
      <c r="O38" s="638">
        <f>$C38*'BH Tariffs'!O51</f>
        <v>82.435716646565453</v>
      </c>
      <c r="P38" s="638">
        <f>$C38*'BH Tariffs'!P51</f>
        <v>84.084430979496759</v>
      </c>
      <c r="Q38" s="638">
        <f>$C38*'BH Tariffs'!Q51</f>
        <v>85.766119599086707</v>
      </c>
      <c r="R38" s="638">
        <f>$C38*'BH Tariffs'!R51</f>
        <v>87.481441991068436</v>
      </c>
      <c r="S38" s="638">
        <f>$C38*'BH Tariffs'!S51</f>
        <v>89.231070830889806</v>
      </c>
      <c r="T38" s="638">
        <f>$C38*'BH Tariffs'!T51</f>
        <v>91.015692247507616</v>
      </c>
      <c r="U38" s="638">
        <f>$C38*'BH Tariffs'!U51</f>
        <v>92.836006092457765</v>
      </c>
      <c r="V38" s="638">
        <f>$C38*'BH Tariffs'!V51</f>
        <v>94.692726214306916</v>
      </c>
      <c r="W38" s="441"/>
    </row>
    <row r="39" spans="1:23" s="16" customFormat="1">
      <c r="A39" s="83" t="s">
        <v>314</v>
      </c>
      <c r="B39" s="440"/>
      <c r="C39" s="638">
        <f>C38*C33</f>
        <v>467350</v>
      </c>
      <c r="D39" s="638">
        <f t="shared" ref="D39:V39" si="24">D38*D33</f>
        <v>476697</v>
      </c>
      <c r="E39" s="638">
        <f t="shared" si="24"/>
        <v>486230.94000000006</v>
      </c>
      <c r="F39" s="638">
        <f t="shared" si="24"/>
        <v>495955.55879999994</v>
      </c>
      <c r="G39" s="638">
        <f t="shared" si="24"/>
        <v>505874.66997599998</v>
      </c>
      <c r="H39" s="638">
        <f t="shared" si="24"/>
        <v>515992.16337552003</v>
      </c>
      <c r="I39" s="638">
        <f t="shared" si="24"/>
        <v>526312.00664303044</v>
      </c>
      <c r="J39" s="638">
        <f t="shared" si="24"/>
        <v>536838.24677589093</v>
      </c>
      <c r="K39" s="638">
        <f t="shared" si="24"/>
        <v>547575.01171140897</v>
      </c>
      <c r="L39" s="638">
        <f t="shared" si="24"/>
        <v>558526.51194563706</v>
      </c>
      <c r="M39" s="638">
        <f t="shared" si="24"/>
        <v>569697.04218454985</v>
      </c>
      <c r="N39" s="638">
        <f t="shared" si="24"/>
        <v>581090.98302824085</v>
      </c>
      <c r="O39" s="638">
        <f t="shared" si="24"/>
        <v>592712.80268880562</v>
      </c>
      <c r="P39" s="638">
        <f t="shared" si="24"/>
        <v>604567.05874258175</v>
      </c>
      <c r="Q39" s="638">
        <f t="shared" si="24"/>
        <v>616658.39991743339</v>
      </c>
      <c r="R39" s="638">
        <f t="shared" si="24"/>
        <v>628991.5679157821</v>
      </c>
      <c r="S39" s="638">
        <f t="shared" si="24"/>
        <v>641571.39927409776</v>
      </c>
      <c r="T39" s="638">
        <f t="shared" si="24"/>
        <v>654402.82725957979</v>
      </c>
      <c r="U39" s="638">
        <f t="shared" si="24"/>
        <v>667490.88380477135</v>
      </c>
      <c r="V39" s="638">
        <f t="shared" si="24"/>
        <v>680840.70148086676</v>
      </c>
      <c r="W39" s="441"/>
    </row>
    <row r="40" spans="1:23" s="16" customFormat="1">
      <c r="A40" s="639" t="s">
        <v>310</v>
      </c>
      <c r="B40" s="640"/>
      <c r="C40" s="641">
        <f>(C38*C33)+C37</f>
        <v>677350</v>
      </c>
      <c r="D40" s="641">
        <f t="shared" ref="D40" si="25">(D38*D33)+D37</f>
        <v>686697</v>
      </c>
      <c r="E40" s="641">
        <f t="shared" ref="E40" si="26">(E38*E33)+E37</f>
        <v>696230.94000000006</v>
      </c>
      <c r="F40" s="641">
        <f t="shared" ref="F40" si="27">(F38*F33)+F37</f>
        <v>705955.5588</v>
      </c>
      <c r="G40" s="641">
        <f t="shared" ref="G40" si="28">(G38*G33)+G37</f>
        <v>715874.66997599998</v>
      </c>
      <c r="H40" s="641">
        <f t="shared" ref="H40" si="29">(H38*H33)+H37</f>
        <v>725992.16337552003</v>
      </c>
      <c r="I40" s="641">
        <f t="shared" ref="I40" si="30">(I38*I33)+I37</f>
        <v>736312.00664303044</v>
      </c>
      <c r="J40" s="641">
        <f t="shared" ref="J40" si="31">(J38*J33)+J37</f>
        <v>746838.24677589093</v>
      </c>
      <c r="K40" s="641">
        <f t="shared" ref="K40" si="32">(K38*K33)+K37</f>
        <v>757575.01171140897</v>
      </c>
      <c r="L40" s="641">
        <f t="shared" ref="L40" si="33">(L38*L33)+L37</f>
        <v>768526.51194563706</v>
      </c>
      <c r="M40" s="641">
        <f t="shared" ref="M40" si="34">(M38*M33)+M37</f>
        <v>800697.04218454985</v>
      </c>
      <c r="N40" s="641">
        <f t="shared" ref="N40" si="35">(N38*N33)+N37</f>
        <v>812090.98302824085</v>
      </c>
      <c r="O40" s="641">
        <f t="shared" ref="O40" si="36">(O38*O33)+O37</f>
        <v>823712.80268880562</v>
      </c>
      <c r="P40" s="641">
        <f t="shared" ref="P40" si="37">(P38*P33)+P37</f>
        <v>835567.05874258175</v>
      </c>
      <c r="Q40" s="641">
        <f t="shared" ref="Q40" si="38">(Q38*Q33)+Q37</f>
        <v>847658.39991743339</v>
      </c>
      <c r="R40" s="641">
        <f t="shared" ref="R40" si="39">(R38*R33)+R37</f>
        <v>859991.5679157821</v>
      </c>
      <c r="S40" s="641">
        <f t="shared" ref="S40" si="40">(S38*S33)+S37</f>
        <v>872571.39927409776</v>
      </c>
      <c r="T40" s="641">
        <f t="shared" ref="T40" si="41">(T38*T33)+T37</f>
        <v>885402.82725957979</v>
      </c>
      <c r="U40" s="641">
        <f t="shared" ref="U40" si="42">(U38*U33)+U37</f>
        <v>898490.88380477135</v>
      </c>
      <c r="V40" s="641">
        <f t="shared" ref="V40" si="43">(V38*V33)+V37</f>
        <v>911840.70148086676</v>
      </c>
      <c r="W40" s="441"/>
    </row>
    <row r="41" spans="1:23">
      <c r="A41"/>
      <c r="B41" s="565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</row>
    <row r="42" spans="1:23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131"/>
      <c r="T42" s="131"/>
      <c r="U42" s="131"/>
      <c r="V42" s="131"/>
    </row>
    <row r="43" spans="1:23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</row>
    <row r="44" spans="1:23">
      <c r="A44" s="16" t="s">
        <v>340</v>
      </c>
      <c r="M44"/>
      <c r="N44"/>
      <c r="O44"/>
      <c r="P44"/>
      <c r="Q44"/>
      <c r="R44"/>
    </row>
    <row r="45" spans="1:23" ht="49.5">
      <c r="A45" s="646"/>
      <c r="B45" s="646" t="s">
        <v>317</v>
      </c>
      <c r="C45" s="646" t="s">
        <v>318</v>
      </c>
      <c r="D45" s="646" t="s">
        <v>319</v>
      </c>
      <c r="E45" s="646"/>
      <c r="F45" s="646"/>
      <c r="G45" s="646"/>
      <c r="H45" s="646"/>
      <c r="I45" s="646"/>
      <c r="J45" s="646"/>
      <c r="K45" s="646"/>
      <c r="L45" s="646"/>
      <c r="M45" s="645"/>
      <c r="N45" s="645"/>
      <c r="O45" s="645"/>
      <c r="P45"/>
      <c r="Q45"/>
      <c r="R45"/>
    </row>
    <row r="46" spans="1:23">
      <c r="A46" s="655" t="s">
        <v>320</v>
      </c>
      <c r="B46" s="655">
        <v>30</v>
      </c>
      <c r="C46" s="655">
        <v>0</v>
      </c>
      <c r="D46" s="655">
        <f>B46+C46</f>
        <v>30</v>
      </c>
      <c r="E46" s="646"/>
      <c r="F46" s="18" t="s">
        <v>321</v>
      </c>
      <c r="G46" s="646"/>
      <c r="M46"/>
      <c r="N46"/>
      <c r="O46"/>
      <c r="P46"/>
      <c r="Q46"/>
      <c r="R46"/>
    </row>
    <row r="47" spans="1:23">
      <c r="A47" s="655" t="s">
        <v>322</v>
      </c>
      <c r="B47" s="655">
        <v>30</v>
      </c>
      <c r="C47" s="655">
        <v>0</v>
      </c>
      <c r="D47" s="655">
        <f>B47+C47</f>
        <v>30</v>
      </c>
      <c r="E47" s="646"/>
      <c r="F47" s="18" t="s">
        <v>321</v>
      </c>
      <c r="G47" s="646"/>
      <c r="M47"/>
      <c r="N47"/>
      <c r="O47"/>
      <c r="P47"/>
      <c r="Q47"/>
      <c r="R47"/>
    </row>
    <row r="48" spans="1:23">
      <c r="A48" s="655" t="s">
        <v>323</v>
      </c>
      <c r="B48" s="655">
        <v>30</v>
      </c>
      <c r="C48" s="655">
        <v>0</v>
      </c>
      <c r="D48" s="655">
        <f>B48+C48</f>
        <v>30</v>
      </c>
      <c r="E48" s="646"/>
      <c r="F48" s="18" t="s">
        <v>321</v>
      </c>
      <c r="G48" s="646"/>
      <c r="M48"/>
      <c r="N48"/>
      <c r="O48"/>
      <c r="P48"/>
      <c r="Q48"/>
      <c r="R48"/>
    </row>
    <row r="49" spans="1:18">
      <c r="E49" s="646"/>
      <c r="G49" s="646"/>
      <c r="M49"/>
      <c r="N49"/>
      <c r="O49"/>
      <c r="P49"/>
      <c r="Q49"/>
      <c r="R49"/>
    </row>
    <row r="50" spans="1:18">
      <c r="A50" s="652" t="s">
        <v>324</v>
      </c>
      <c r="B50" s="652">
        <v>10</v>
      </c>
      <c r="C50" s="652">
        <v>30</v>
      </c>
      <c r="D50" s="652">
        <f t="shared" ref="D50:D55" si="44">B50+C50</f>
        <v>40</v>
      </c>
      <c r="E50" s="646"/>
      <c r="F50" s="18" t="s">
        <v>325</v>
      </c>
      <c r="G50" s="646"/>
      <c r="M50"/>
      <c r="N50"/>
      <c r="O50"/>
      <c r="P50"/>
      <c r="Q50"/>
      <c r="R50"/>
    </row>
    <row r="51" spans="1:18">
      <c r="A51" s="652" t="s">
        <v>326</v>
      </c>
      <c r="B51" s="652">
        <v>10</v>
      </c>
      <c r="C51" s="652">
        <v>30</v>
      </c>
      <c r="D51" s="652">
        <f t="shared" si="44"/>
        <v>40</v>
      </c>
      <c r="E51" s="646"/>
      <c r="F51" s="18" t="s">
        <v>325</v>
      </c>
      <c r="G51" s="646"/>
      <c r="M51"/>
      <c r="N51"/>
      <c r="O51"/>
      <c r="P51"/>
      <c r="Q51"/>
      <c r="R51"/>
    </row>
    <row r="52" spans="1:18">
      <c r="A52" s="652" t="s">
        <v>327</v>
      </c>
      <c r="B52" s="652">
        <v>10</v>
      </c>
      <c r="C52" s="652">
        <v>30</v>
      </c>
      <c r="D52" s="652">
        <f>B52+C52</f>
        <v>40</v>
      </c>
      <c r="E52" s="646"/>
      <c r="F52" s="18" t="s">
        <v>325</v>
      </c>
      <c r="G52" s="646"/>
      <c r="M52"/>
      <c r="N52"/>
      <c r="O52"/>
      <c r="P52"/>
      <c r="Q52"/>
      <c r="R52"/>
    </row>
    <row r="53" spans="1:18">
      <c r="E53" s="646"/>
      <c r="G53" s="646"/>
      <c r="M53"/>
      <c r="N53"/>
      <c r="O53"/>
      <c r="P53"/>
      <c r="Q53"/>
      <c r="R53"/>
    </row>
    <row r="54" spans="1:18">
      <c r="A54" s="651" t="s">
        <v>328</v>
      </c>
      <c r="B54" s="651">
        <v>10</v>
      </c>
      <c r="C54" s="651">
        <v>38</v>
      </c>
      <c r="D54" s="651">
        <f t="shared" si="44"/>
        <v>48</v>
      </c>
      <c r="E54" s="646"/>
      <c r="F54" s="18" t="s">
        <v>329</v>
      </c>
      <c r="G54" s="646"/>
      <c r="M54"/>
      <c r="N54"/>
      <c r="O54"/>
      <c r="P54"/>
      <c r="Q54"/>
      <c r="R54"/>
    </row>
    <row r="55" spans="1:18">
      <c r="A55" s="654" t="s">
        <v>330</v>
      </c>
      <c r="B55" s="654">
        <v>10</v>
      </c>
      <c r="C55" s="654">
        <v>38</v>
      </c>
      <c r="D55" s="654">
        <f t="shared" si="44"/>
        <v>48</v>
      </c>
      <c r="E55" s="646"/>
      <c r="F55" s="18" t="s">
        <v>329</v>
      </c>
      <c r="G55" s="646"/>
      <c r="M55"/>
      <c r="N55"/>
      <c r="O55"/>
      <c r="P55"/>
      <c r="Q55"/>
      <c r="R55"/>
    </row>
    <row r="56" spans="1:18">
      <c r="A56" s="28"/>
      <c r="B56" s="28"/>
      <c r="C56" s="28"/>
      <c r="D56" s="28"/>
      <c r="E56" s="646"/>
      <c r="G56" s="646"/>
      <c r="M56"/>
      <c r="N56"/>
      <c r="O56"/>
      <c r="P56"/>
      <c r="Q56"/>
      <c r="R56"/>
    </row>
    <row r="57" spans="1:18">
      <c r="A57" s="649" t="s">
        <v>341</v>
      </c>
      <c r="B57" s="28"/>
      <c r="C57" s="28"/>
      <c r="D57" s="28"/>
      <c r="E57" s="646"/>
      <c r="G57" s="646"/>
      <c r="M57"/>
      <c r="N57"/>
      <c r="O57"/>
      <c r="P57"/>
      <c r="Q57"/>
      <c r="R57"/>
    </row>
    <row r="58" spans="1:18">
      <c r="A58" s="28"/>
      <c r="B58" s="28"/>
      <c r="C58" s="28"/>
      <c r="D58" s="28"/>
      <c r="E58" s="646"/>
      <c r="G58" s="646"/>
      <c r="M58"/>
      <c r="N58"/>
      <c r="O58"/>
      <c r="P58"/>
      <c r="Q58"/>
      <c r="R58"/>
    </row>
    <row r="59" spans="1:18">
      <c r="A59" s="18" t="s">
        <v>331</v>
      </c>
      <c r="B59" s="18">
        <v>35</v>
      </c>
      <c r="M59"/>
      <c r="N59"/>
      <c r="O59"/>
      <c r="P59"/>
      <c r="Q59"/>
      <c r="R59"/>
    </row>
    <row r="60" spans="1:18">
      <c r="M60"/>
      <c r="N60"/>
      <c r="O60"/>
      <c r="P60"/>
      <c r="Q60"/>
      <c r="R60"/>
    </row>
    <row r="61" spans="1:18" ht="49.5">
      <c r="A61" s="647" t="s">
        <v>203</v>
      </c>
      <c r="B61" s="647" t="s">
        <v>332</v>
      </c>
      <c r="C61" s="647" t="s">
        <v>333</v>
      </c>
      <c r="D61" s="647" t="s">
        <v>334</v>
      </c>
      <c r="E61" s="647" t="s">
        <v>335</v>
      </c>
      <c r="M61"/>
      <c r="N61"/>
      <c r="O61"/>
      <c r="P61"/>
      <c r="Q61"/>
      <c r="R61"/>
    </row>
    <row r="62" spans="1:18">
      <c r="A62" s="648">
        <v>2</v>
      </c>
      <c r="B62" s="650">
        <f t="shared" ref="B62:B64" si="45">A62*2</f>
        <v>4</v>
      </c>
      <c r="C62" s="327">
        <f>B62*$B$18</f>
        <v>0</v>
      </c>
      <c r="D62" s="362">
        <f>C62/4</f>
        <v>0</v>
      </c>
      <c r="E62" s="362">
        <f>60/B62</f>
        <v>15</v>
      </c>
      <c r="M62"/>
      <c r="N62"/>
      <c r="O62"/>
      <c r="P62"/>
      <c r="Q62"/>
      <c r="R62"/>
    </row>
    <row r="63" spans="1:18">
      <c r="A63" s="648">
        <v>3</v>
      </c>
      <c r="B63" s="650">
        <f t="shared" si="45"/>
        <v>6</v>
      </c>
      <c r="C63" s="327">
        <f>B63*$B$18</f>
        <v>0</v>
      </c>
      <c r="D63" s="362">
        <f t="shared" ref="D63:D65" si="46">C63/4</f>
        <v>0</v>
      </c>
      <c r="E63" s="362">
        <f t="shared" ref="E63:E65" si="47">60/B63</f>
        <v>10</v>
      </c>
      <c r="M63"/>
      <c r="N63"/>
      <c r="O63"/>
      <c r="P63"/>
      <c r="Q63"/>
      <c r="R63"/>
    </row>
    <row r="64" spans="1:18">
      <c r="A64" s="648">
        <v>4</v>
      </c>
      <c r="B64" s="650">
        <f t="shared" si="45"/>
        <v>8</v>
      </c>
      <c r="C64" s="327">
        <f>B64*$B$18</f>
        <v>0</v>
      </c>
      <c r="D64" s="362">
        <f t="shared" si="46"/>
        <v>0</v>
      </c>
      <c r="E64" s="362">
        <f t="shared" si="47"/>
        <v>7.5</v>
      </c>
      <c r="M64"/>
      <c r="N64"/>
      <c r="O64"/>
      <c r="P64"/>
      <c r="Q64"/>
      <c r="R64"/>
    </row>
    <row r="65" spans="1:18">
      <c r="A65" s="648">
        <v>5</v>
      </c>
      <c r="B65" s="650">
        <f>A65*2+2</f>
        <v>12</v>
      </c>
      <c r="C65" s="327">
        <f>B65*$B$18</f>
        <v>0</v>
      </c>
      <c r="D65" s="362">
        <f t="shared" si="46"/>
        <v>0</v>
      </c>
      <c r="E65" s="362">
        <f t="shared" si="47"/>
        <v>5</v>
      </c>
      <c r="M65"/>
      <c r="N65"/>
      <c r="O65"/>
      <c r="P65"/>
      <c r="Q65"/>
      <c r="R65"/>
    </row>
    <row r="66" spans="1:18">
      <c r="M66"/>
      <c r="N66"/>
      <c r="O66"/>
      <c r="P66"/>
      <c r="Q66"/>
      <c r="R66"/>
    </row>
    <row r="67" spans="1:18">
      <c r="A67" s="16" t="s">
        <v>336</v>
      </c>
      <c r="M67"/>
      <c r="N67"/>
      <c r="O67"/>
      <c r="P67"/>
      <c r="Q67"/>
      <c r="R67"/>
    </row>
    <row r="68" spans="1:18" ht="49.5">
      <c r="A68" s="646"/>
      <c r="B68" s="646" t="s">
        <v>337</v>
      </c>
      <c r="C68" s="646" t="s">
        <v>338</v>
      </c>
      <c r="D68" s="646" t="s">
        <v>339</v>
      </c>
      <c r="M68"/>
      <c r="N68"/>
      <c r="O68"/>
      <c r="P68"/>
      <c r="Q68"/>
      <c r="R68"/>
    </row>
    <row r="69" spans="1:18">
      <c r="A69" s="655" t="s">
        <v>320</v>
      </c>
      <c r="B69" s="656">
        <v>100</v>
      </c>
      <c r="C69" s="656">
        <v>0</v>
      </c>
      <c r="D69" s="656">
        <f>B69+C69</f>
        <v>100</v>
      </c>
      <c r="M69"/>
      <c r="N69"/>
      <c r="O69"/>
      <c r="P69"/>
      <c r="Q69"/>
      <c r="R69"/>
    </row>
    <row r="70" spans="1:18">
      <c r="A70" s="655" t="s">
        <v>322</v>
      </c>
      <c r="B70" s="656">
        <v>150</v>
      </c>
      <c r="C70" s="656">
        <v>0</v>
      </c>
      <c r="D70" s="656">
        <f>B70+C70</f>
        <v>150</v>
      </c>
      <c r="M70"/>
      <c r="N70"/>
      <c r="O70"/>
      <c r="P70"/>
      <c r="Q70"/>
      <c r="R70"/>
    </row>
    <row r="71" spans="1:18">
      <c r="A71" s="655" t="s">
        <v>323</v>
      </c>
      <c r="B71" s="656">
        <v>100</v>
      </c>
      <c r="C71" s="656">
        <v>0</v>
      </c>
      <c r="D71" s="656">
        <f>B71+C71</f>
        <v>100</v>
      </c>
      <c r="M71"/>
      <c r="N71"/>
      <c r="O71"/>
      <c r="P71"/>
      <c r="Q71"/>
      <c r="R71"/>
    </row>
    <row r="72" spans="1:18">
      <c r="B72" s="21"/>
      <c r="C72" s="21"/>
      <c r="D72" s="21"/>
      <c r="M72"/>
      <c r="N72"/>
      <c r="O72"/>
    </row>
    <row r="73" spans="1:18">
      <c r="A73" s="652" t="s">
        <v>324</v>
      </c>
      <c r="B73" s="653">
        <v>100</v>
      </c>
      <c r="C73" s="653">
        <f>C63*4</f>
        <v>0</v>
      </c>
      <c r="D73" s="653">
        <f t="shared" ref="D73:D74" si="48">B73+C73</f>
        <v>100</v>
      </c>
      <c r="M73"/>
      <c r="N73"/>
      <c r="O73"/>
    </row>
    <row r="74" spans="1:18">
      <c r="A74" s="652" t="s">
        <v>326</v>
      </c>
      <c r="B74" s="653">
        <v>150</v>
      </c>
      <c r="C74" s="653">
        <f>C63*5</f>
        <v>0</v>
      </c>
      <c r="D74" s="653">
        <f t="shared" si="48"/>
        <v>150</v>
      </c>
      <c r="M74"/>
      <c r="N74"/>
      <c r="O74"/>
    </row>
    <row r="75" spans="1:18">
      <c r="A75" s="652" t="s">
        <v>327</v>
      </c>
      <c r="B75" s="653">
        <v>100</v>
      </c>
      <c r="C75" s="653">
        <f>C63*6</f>
        <v>0</v>
      </c>
      <c r="D75" s="653">
        <f>B75+C75</f>
        <v>100</v>
      </c>
      <c r="M75"/>
      <c r="N75"/>
      <c r="O75"/>
    </row>
    <row r="76" spans="1:18">
      <c r="B76" s="21"/>
      <c r="C76" s="21"/>
      <c r="D76" s="21"/>
      <c r="M76"/>
      <c r="N76"/>
      <c r="O76"/>
    </row>
    <row r="77" spans="1:18">
      <c r="A77" s="651" t="s">
        <v>328</v>
      </c>
      <c r="B77" s="657">
        <v>150</v>
      </c>
      <c r="C77" s="657">
        <f>(C65*3)+(C63*3)</f>
        <v>0</v>
      </c>
      <c r="D77" s="657">
        <f t="shared" ref="D77:D78" si="49">B77+C77</f>
        <v>150</v>
      </c>
      <c r="M77"/>
      <c r="N77"/>
      <c r="O77"/>
    </row>
    <row r="78" spans="1:18">
      <c r="A78" s="654" t="s">
        <v>330</v>
      </c>
      <c r="B78" s="658">
        <v>100</v>
      </c>
      <c r="C78" s="658">
        <f>(C65*4)+(C63*4)</f>
        <v>0</v>
      </c>
      <c r="D78" s="658">
        <f t="shared" si="49"/>
        <v>100</v>
      </c>
      <c r="M78"/>
      <c r="N78"/>
      <c r="O78"/>
    </row>
    <row r="87" spans="13:18">
      <c r="M87"/>
      <c r="N87"/>
      <c r="O87"/>
      <c r="P87"/>
      <c r="Q87"/>
      <c r="R87"/>
    </row>
    <row r="88" spans="13:18">
      <c r="M88"/>
      <c r="N88"/>
      <c r="O88"/>
      <c r="P88"/>
      <c r="Q88"/>
      <c r="R88"/>
    </row>
    <row r="89" spans="13:18">
      <c r="M89"/>
      <c r="N89"/>
      <c r="O89"/>
      <c r="P89"/>
      <c r="Q89"/>
      <c r="R89"/>
    </row>
    <row r="90" spans="13:18">
      <c r="M90"/>
      <c r="N90"/>
      <c r="O90"/>
      <c r="P90"/>
      <c r="Q90"/>
      <c r="R90"/>
    </row>
    <row r="91" spans="13:18">
      <c r="M91"/>
      <c r="N91"/>
      <c r="O91"/>
      <c r="P91"/>
      <c r="Q91"/>
      <c r="R91"/>
    </row>
    <row r="92" spans="13:18">
      <c r="M92"/>
      <c r="N92"/>
      <c r="O92"/>
      <c r="P92"/>
      <c r="Q92"/>
      <c r="R92"/>
    </row>
    <row r="93" spans="13:18">
      <c r="M93"/>
      <c r="N93"/>
      <c r="O93"/>
      <c r="P93"/>
      <c r="Q93"/>
      <c r="R93"/>
    </row>
    <row r="94" spans="13:18">
      <c r="M94"/>
      <c r="N94"/>
      <c r="O94"/>
      <c r="P94"/>
      <c r="Q94"/>
      <c r="R94"/>
    </row>
    <row r="95" spans="13:18">
      <c r="M95"/>
      <c r="N95"/>
      <c r="O95"/>
      <c r="P95"/>
      <c r="Q95"/>
      <c r="R95"/>
    </row>
    <row r="96" spans="13:18">
      <c r="M96"/>
      <c r="N96"/>
      <c r="O96"/>
      <c r="P96"/>
      <c r="Q96"/>
      <c r="R96"/>
    </row>
    <row r="97" spans="1:18">
      <c r="M97"/>
      <c r="N97"/>
      <c r="O97"/>
      <c r="P97"/>
      <c r="Q97"/>
      <c r="R97"/>
    </row>
    <row r="98" spans="1:18">
      <c r="M98"/>
      <c r="N98"/>
      <c r="O98"/>
      <c r="P98"/>
      <c r="Q98"/>
      <c r="R98"/>
    </row>
    <row r="99" spans="1:18">
      <c r="M99"/>
      <c r="N99"/>
      <c r="O99"/>
      <c r="P99"/>
      <c r="Q99"/>
      <c r="R99"/>
    </row>
    <row r="100" spans="1:18">
      <c r="M100"/>
      <c r="N100"/>
      <c r="O100"/>
      <c r="P100"/>
      <c r="Q100"/>
      <c r="R100"/>
    </row>
    <row r="101" spans="1:18">
      <c r="M101"/>
      <c r="N101"/>
      <c r="O101"/>
      <c r="P101"/>
      <c r="Q101"/>
      <c r="R101"/>
    </row>
    <row r="102" spans="1:18">
      <c r="M102"/>
      <c r="N102"/>
      <c r="O102"/>
      <c r="P102"/>
      <c r="Q102"/>
      <c r="R102"/>
    </row>
    <row r="103" spans="1:18">
      <c r="M103"/>
      <c r="N103"/>
      <c r="O103"/>
      <c r="P103"/>
      <c r="Q103"/>
      <c r="R103"/>
    </row>
    <row r="104" spans="1:18">
      <c r="M104"/>
      <c r="N104"/>
      <c r="O104"/>
      <c r="P104"/>
      <c r="Q104"/>
      <c r="R104"/>
    </row>
    <row r="105" spans="1:18">
      <c r="M105"/>
      <c r="N105"/>
      <c r="O105"/>
      <c r="P105"/>
      <c r="Q105"/>
      <c r="R105"/>
    </row>
    <row r="106" spans="1:18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</sheetData>
  <mergeCells count="1">
    <mergeCell ref="A5:D5"/>
  </mergeCells>
  <pageMargins left="0.7" right="0.7" top="0.75" bottom="0.75" header="0.3" footer="0.3"/>
  <pageSetup orientation="portrait" horizontalDpi="1200" verticalDpi="120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25"/>
  <sheetViews>
    <sheetView workbookViewId="0">
      <selection activeCell="J30" sqref="J30"/>
    </sheetView>
  </sheetViews>
  <sheetFormatPr defaultColWidth="9.5" defaultRowHeight="16.5"/>
  <cols>
    <col min="1" max="1" width="12.125" bestFit="1" customWidth="1"/>
    <col min="2" max="2" width="4.5" bestFit="1" customWidth="1"/>
    <col min="3" max="3" width="12" bestFit="1" customWidth="1"/>
    <col min="4" max="4" width="4.5" bestFit="1" customWidth="1"/>
  </cols>
  <sheetData>
    <row r="1" spans="1:6">
      <c r="A1" t="s">
        <v>349</v>
      </c>
      <c r="C1" t="s">
        <v>350</v>
      </c>
    </row>
    <row r="2" spans="1:6">
      <c r="A2" s="712" t="s">
        <v>364</v>
      </c>
      <c r="B2" s="712" t="s">
        <v>365</v>
      </c>
      <c r="C2" s="712" t="s">
        <v>364</v>
      </c>
      <c r="D2" s="712" t="s">
        <v>365</v>
      </c>
    </row>
    <row r="3" spans="1:6">
      <c r="A3" t="s">
        <v>366</v>
      </c>
      <c r="B3">
        <v>12</v>
      </c>
      <c r="C3" t="s">
        <v>366</v>
      </c>
      <c r="D3">
        <v>24</v>
      </c>
    </row>
    <row r="4" spans="1:6">
      <c r="A4" t="s">
        <v>367</v>
      </c>
      <c r="B4">
        <v>0</v>
      </c>
      <c r="C4" t="s">
        <v>367</v>
      </c>
      <c r="D4">
        <v>12</v>
      </c>
    </row>
    <row r="5" spans="1:6">
      <c r="A5" t="s">
        <v>368</v>
      </c>
      <c r="B5">
        <v>0</v>
      </c>
      <c r="C5" t="s">
        <v>368</v>
      </c>
      <c r="D5">
        <v>10</v>
      </c>
    </row>
    <row r="6" spans="1:6">
      <c r="A6" t="s">
        <v>369</v>
      </c>
      <c r="B6" s="713">
        <v>0</v>
      </c>
      <c r="C6" t="s">
        <v>369</v>
      </c>
      <c r="D6" s="713">
        <v>2</v>
      </c>
    </row>
    <row r="7" spans="1:6">
      <c r="A7" t="s">
        <v>370</v>
      </c>
      <c r="B7">
        <f>SUM(B3:B6)</f>
        <v>12</v>
      </c>
      <c r="C7" t="s">
        <v>370</v>
      </c>
      <c r="D7">
        <f>SUM(D3:D6)</f>
        <v>48</v>
      </c>
    </row>
    <row r="10" spans="1:6">
      <c r="A10" t="s">
        <v>352</v>
      </c>
      <c r="C10" t="s">
        <v>353</v>
      </c>
      <c r="E10" t="s">
        <v>351</v>
      </c>
    </row>
    <row r="11" spans="1:6">
      <c r="A11" s="712" t="s">
        <v>364</v>
      </c>
      <c r="B11" s="712" t="s">
        <v>365</v>
      </c>
      <c r="C11" s="712" t="s">
        <v>364</v>
      </c>
      <c r="D11" s="712" t="s">
        <v>365</v>
      </c>
      <c r="E11" s="712" t="s">
        <v>364</v>
      </c>
      <c r="F11" s="712" t="s">
        <v>365</v>
      </c>
    </row>
    <row r="12" spans="1:6">
      <c r="A12" t="s">
        <v>366</v>
      </c>
      <c r="B12">
        <v>0</v>
      </c>
      <c r="C12" t="s">
        <v>366</v>
      </c>
      <c r="D12">
        <v>12</v>
      </c>
      <c r="E12" t="s">
        <v>366</v>
      </c>
      <c r="F12">
        <v>22</v>
      </c>
    </row>
    <row r="13" spans="1:6">
      <c r="A13" t="s">
        <v>367</v>
      </c>
      <c r="B13">
        <v>0</v>
      </c>
      <c r="C13" t="s">
        <v>367</v>
      </c>
      <c r="D13">
        <v>0</v>
      </c>
      <c r="E13" t="s">
        <v>367</v>
      </c>
      <c r="F13">
        <v>10</v>
      </c>
    </row>
    <row r="14" spans="1:6">
      <c r="A14" t="s">
        <v>368</v>
      </c>
      <c r="B14">
        <v>0</v>
      </c>
      <c r="C14" t="s">
        <v>368</v>
      </c>
      <c r="D14">
        <v>0</v>
      </c>
      <c r="E14" t="s">
        <v>368</v>
      </c>
      <c r="F14">
        <v>8</v>
      </c>
    </row>
    <row r="15" spans="1:6">
      <c r="A15" t="s">
        <v>369</v>
      </c>
      <c r="B15" s="713">
        <v>0</v>
      </c>
      <c r="C15" t="s">
        <v>369</v>
      </c>
      <c r="D15" s="713">
        <v>0</v>
      </c>
      <c r="E15" t="s">
        <v>369</v>
      </c>
      <c r="F15" s="713">
        <v>2</v>
      </c>
    </row>
    <row r="16" spans="1:6">
      <c r="A16" t="s">
        <v>370</v>
      </c>
      <c r="B16">
        <f>SUM(B12:B15)</f>
        <v>0</v>
      </c>
      <c r="C16" t="s">
        <v>370</v>
      </c>
      <c r="D16">
        <f>SUM(D12:D15)</f>
        <v>12</v>
      </c>
      <c r="E16" t="s">
        <v>370</v>
      </c>
      <c r="F16">
        <f>SUM(F12:F15)</f>
        <v>42</v>
      </c>
    </row>
    <row r="19" spans="1:4">
      <c r="A19" t="s">
        <v>355</v>
      </c>
      <c r="C19" t="s">
        <v>354</v>
      </c>
    </row>
    <row r="20" spans="1:4">
      <c r="A20" s="712" t="s">
        <v>364</v>
      </c>
      <c r="B20" s="712" t="s">
        <v>365</v>
      </c>
      <c r="C20" s="712" t="s">
        <v>364</v>
      </c>
      <c r="D20" s="712" t="s">
        <v>365</v>
      </c>
    </row>
    <row r="21" spans="1:4">
      <c r="A21" t="s">
        <v>366</v>
      </c>
      <c r="B21">
        <v>12</v>
      </c>
      <c r="C21" t="s">
        <v>366</v>
      </c>
      <c r="D21">
        <v>16</v>
      </c>
    </row>
    <row r="22" spans="1:4">
      <c r="A22" t="s">
        <v>367</v>
      </c>
      <c r="B22">
        <v>0</v>
      </c>
      <c r="C22" t="s">
        <v>367</v>
      </c>
      <c r="D22">
        <v>8</v>
      </c>
    </row>
    <row r="23" spans="1:4">
      <c r="A23" t="s">
        <v>368</v>
      </c>
      <c r="B23">
        <v>0</v>
      </c>
      <c r="C23" t="s">
        <v>368</v>
      </c>
      <c r="D23">
        <v>6</v>
      </c>
    </row>
    <row r="24" spans="1:4">
      <c r="A24" t="s">
        <v>369</v>
      </c>
      <c r="B24" s="713">
        <v>0</v>
      </c>
      <c r="C24" t="s">
        <v>369</v>
      </c>
      <c r="D24" s="713">
        <v>2</v>
      </c>
    </row>
    <row r="25" spans="1:4">
      <c r="A25" t="s">
        <v>370</v>
      </c>
      <c r="B25">
        <f>SUM(B21:B24)</f>
        <v>12</v>
      </c>
      <c r="C25" t="s">
        <v>370</v>
      </c>
      <c r="D25">
        <f>SUM(D21:D24)</f>
        <v>32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J15"/>
  <sheetViews>
    <sheetView workbookViewId="0">
      <selection activeCell="C28" sqref="C28"/>
    </sheetView>
  </sheetViews>
  <sheetFormatPr defaultColWidth="7.75" defaultRowHeight="16.5"/>
  <cols>
    <col min="1" max="1" width="10.125" style="18" bestFit="1" customWidth="1"/>
    <col min="2" max="2" width="22.25" style="18" bestFit="1" customWidth="1"/>
    <col min="3" max="3" width="14.875" style="18" bestFit="1" customWidth="1"/>
    <col min="4" max="4" width="22.5" style="18" bestFit="1" customWidth="1"/>
    <col min="5" max="5" width="22.125" style="18" bestFit="1" customWidth="1"/>
    <col min="6" max="6" width="17.5" style="18" bestFit="1" customWidth="1"/>
    <col min="7" max="7" width="11.625" style="18" bestFit="1" customWidth="1"/>
    <col min="8" max="8" width="20.625" style="18" bestFit="1" customWidth="1"/>
    <col min="9" max="9" width="20.625" style="18" customWidth="1"/>
    <col min="10" max="10" width="13.5" style="18" bestFit="1" customWidth="1"/>
    <col min="11" max="16384" width="7.75" style="18"/>
  </cols>
  <sheetData>
    <row r="1" spans="1:10">
      <c r="A1" s="1210" t="s">
        <v>356</v>
      </c>
      <c r="B1" s="1209" t="s">
        <v>357</v>
      </c>
      <c r="C1" s="1209" t="s">
        <v>358</v>
      </c>
      <c r="D1" s="1209" t="s">
        <v>359</v>
      </c>
      <c r="E1" s="1209" t="s">
        <v>360</v>
      </c>
      <c r="F1" s="1209" t="s">
        <v>361</v>
      </c>
      <c r="G1" s="1209" t="s">
        <v>362</v>
      </c>
      <c r="H1" s="1210" t="s">
        <v>378</v>
      </c>
      <c r="I1" s="1210" t="s">
        <v>379</v>
      </c>
      <c r="J1" s="1209" t="s">
        <v>363</v>
      </c>
    </row>
    <row r="2" spans="1:10">
      <c r="A2" s="1211"/>
      <c r="B2" s="1209"/>
      <c r="C2" s="1209"/>
      <c r="D2" s="1209"/>
      <c r="E2" s="1209"/>
      <c r="F2" s="1209"/>
      <c r="G2" s="1209"/>
      <c r="H2" s="1211"/>
      <c r="I2" s="1211"/>
      <c r="J2" s="1209"/>
    </row>
    <row r="3" spans="1:10">
      <c r="A3" s="18" t="s">
        <v>371</v>
      </c>
      <c r="B3" s="18">
        <v>250</v>
      </c>
      <c r="C3" s="18">
        <v>12</v>
      </c>
      <c r="D3" s="18">
        <f>C3/3</f>
        <v>4</v>
      </c>
      <c r="E3" s="18">
        <v>5000</v>
      </c>
      <c r="F3" s="21">
        <f>E3/300</f>
        <v>16.666666666666668</v>
      </c>
      <c r="G3" s="18">
        <v>10</v>
      </c>
      <c r="H3" s="18">
        <v>0</v>
      </c>
      <c r="I3" s="21">
        <f>SUM(D3,F3:H3)</f>
        <v>30.666666666666668</v>
      </c>
      <c r="J3" s="360">
        <f>B3-D3-F3-G3-H3</f>
        <v>219.33333333333334</v>
      </c>
    </row>
    <row r="4" spans="1:10">
      <c r="A4" s="18" t="s">
        <v>372</v>
      </c>
      <c r="B4" s="18">
        <v>250</v>
      </c>
      <c r="C4" s="18">
        <v>48</v>
      </c>
      <c r="D4" s="18">
        <f t="shared" ref="D4:D9" si="0">C4/3</f>
        <v>16</v>
      </c>
      <c r="E4" s="18">
        <v>5000</v>
      </c>
      <c r="F4" s="21">
        <f>E4/300</f>
        <v>16.666666666666668</v>
      </c>
      <c r="G4" s="18">
        <v>10</v>
      </c>
      <c r="H4" s="18">
        <v>0</v>
      </c>
      <c r="I4" s="21">
        <f t="shared" ref="I4:I9" si="1">SUM(D4,F4:H4)</f>
        <v>42.666666666666671</v>
      </c>
      <c r="J4" s="360">
        <f>B4-D4-F4-G4-H4</f>
        <v>207.33333333333334</v>
      </c>
    </row>
    <row r="5" spans="1:10">
      <c r="A5" s="18" t="s">
        <v>373</v>
      </c>
      <c r="B5" s="18">
        <v>250</v>
      </c>
      <c r="C5" s="18">
        <v>0</v>
      </c>
      <c r="D5" s="18">
        <f t="shared" si="0"/>
        <v>0</v>
      </c>
      <c r="E5" s="18">
        <v>5000</v>
      </c>
      <c r="F5" s="21">
        <f t="shared" ref="F5:F9" si="2">E5/300</f>
        <v>16.666666666666668</v>
      </c>
      <c r="G5" s="18">
        <v>10</v>
      </c>
      <c r="H5" s="18">
        <v>0</v>
      </c>
      <c r="I5" s="21">
        <f t="shared" si="1"/>
        <v>26.666666666666668</v>
      </c>
      <c r="J5" s="360">
        <f t="shared" ref="J5:J9" si="3">B5-D5-F5-G5-H5</f>
        <v>223.33333333333334</v>
      </c>
    </row>
    <row r="6" spans="1:10">
      <c r="A6" s="18" t="s">
        <v>374</v>
      </c>
      <c r="B6" s="18">
        <v>250</v>
      </c>
      <c r="C6" s="18">
        <v>12</v>
      </c>
      <c r="D6" s="18">
        <f t="shared" si="0"/>
        <v>4</v>
      </c>
      <c r="E6" s="18">
        <v>5000</v>
      </c>
      <c r="F6" s="21">
        <f t="shared" si="2"/>
        <v>16.666666666666668</v>
      </c>
      <c r="G6" s="18">
        <v>10</v>
      </c>
      <c r="H6" s="18">
        <v>0</v>
      </c>
      <c r="I6" s="21">
        <f t="shared" si="1"/>
        <v>30.666666666666668</v>
      </c>
      <c r="J6" s="360">
        <f t="shared" si="3"/>
        <v>219.33333333333334</v>
      </c>
    </row>
    <row r="7" spans="1:10">
      <c r="A7" s="18" t="s">
        <v>375</v>
      </c>
      <c r="B7" s="18">
        <v>250</v>
      </c>
      <c r="C7" s="18">
        <v>42</v>
      </c>
      <c r="D7" s="18">
        <f t="shared" si="0"/>
        <v>14</v>
      </c>
      <c r="E7" s="18">
        <v>5000</v>
      </c>
      <c r="F7" s="21">
        <f t="shared" si="2"/>
        <v>16.666666666666668</v>
      </c>
      <c r="G7" s="18">
        <v>10</v>
      </c>
      <c r="H7" s="18">
        <v>0</v>
      </c>
      <c r="I7" s="21">
        <f t="shared" si="1"/>
        <v>40.666666666666671</v>
      </c>
      <c r="J7" s="360">
        <f t="shared" si="3"/>
        <v>209.33333333333334</v>
      </c>
    </row>
    <row r="8" spans="1:10">
      <c r="A8" s="18" t="s">
        <v>376</v>
      </c>
      <c r="B8" s="18">
        <v>250</v>
      </c>
      <c r="C8" s="18">
        <v>12</v>
      </c>
      <c r="D8" s="18">
        <f t="shared" si="0"/>
        <v>4</v>
      </c>
      <c r="E8" s="18">
        <v>8000</v>
      </c>
      <c r="F8" s="21">
        <f t="shared" si="2"/>
        <v>26.666666666666668</v>
      </c>
      <c r="G8" s="18">
        <v>10</v>
      </c>
      <c r="H8" s="18">
        <v>100</v>
      </c>
      <c r="I8" s="21">
        <f t="shared" si="1"/>
        <v>140.66666666666669</v>
      </c>
      <c r="J8" s="360">
        <f t="shared" si="3"/>
        <v>109.33333333333334</v>
      </c>
    </row>
    <row r="9" spans="1:10">
      <c r="A9" s="18" t="s">
        <v>377</v>
      </c>
      <c r="B9" s="18">
        <v>250</v>
      </c>
      <c r="C9" s="18">
        <v>32</v>
      </c>
      <c r="D9" s="360">
        <f t="shared" si="0"/>
        <v>10.666666666666666</v>
      </c>
      <c r="E9" s="18">
        <v>8000</v>
      </c>
      <c r="F9" s="21">
        <f t="shared" si="2"/>
        <v>26.666666666666668</v>
      </c>
      <c r="G9" s="18">
        <v>10</v>
      </c>
      <c r="H9" s="18">
        <v>100</v>
      </c>
      <c r="I9" s="21">
        <f t="shared" si="1"/>
        <v>147.33333333333334</v>
      </c>
      <c r="J9" s="360">
        <f t="shared" si="3"/>
        <v>102.66666666666669</v>
      </c>
    </row>
    <row r="15" spans="1:10">
      <c r="H15" s="21"/>
      <c r="I15" s="21"/>
    </row>
  </sheetData>
  <mergeCells count="10">
    <mergeCell ref="J1:J2"/>
    <mergeCell ref="H1:H2"/>
    <mergeCell ref="A1:A2"/>
    <mergeCell ref="I1:I2"/>
    <mergeCell ref="B1:B2"/>
    <mergeCell ref="C1:C2"/>
    <mergeCell ref="D1:D2"/>
    <mergeCell ref="E1:E2"/>
    <mergeCell ref="F1:F2"/>
    <mergeCell ref="G1:G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78"/>
  <sheetViews>
    <sheetView topLeftCell="A58" workbookViewId="0">
      <selection activeCell="C63" sqref="C63"/>
    </sheetView>
  </sheetViews>
  <sheetFormatPr defaultRowHeight="16.5"/>
  <cols>
    <col min="1" max="1" width="32" bestFit="1" customWidth="1"/>
    <col min="2" max="2" width="15" bestFit="1" customWidth="1"/>
    <col min="4" max="5" width="14.75" bestFit="1" customWidth="1"/>
    <col min="6" max="6" width="13.75" bestFit="1" customWidth="1"/>
  </cols>
  <sheetData>
    <row r="1" spans="1:5 16384:16384">
      <c r="A1" s="16" t="s">
        <v>462</v>
      </c>
    </row>
    <row r="3" spans="1:5 16384:16384">
      <c r="A3" s="16" t="s">
        <v>371</v>
      </c>
    </row>
    <row r="4" spans="1:5 16384:16384">
      <c r="A4" t="s">
        <v>451</v>
      </c>
      <c r="B4" s="876">
        <v>2452983</v>
      </c>
    </row>
    <row r="5" spans="1:5 16384:16384" s="167" customFormat="1">
      <c r="A5" t="s">
        <v>452</v>
      </c>
      <c r="B5" s="876">
        <f>4636752</f>
        <v>4636752</v>
      </c>
    </row>
    <row r="6" spans="1:5 16384:16384" s="167" customFormat="1">
      <c r="A6" t="s">
        <v>575</v>
      </c>
      <c r="B6" s="876">
        <f>B5*0.15</f>
        <v>695512.79999999993</v>
      </c>
    </row>
    <row r="7" spans="1:5 16384:16384" s="167" customFormat="1">
      <c r="A7" t="s">
        <v>579</v>
      </c>
      <c r="B7" s="876">
        <f>B6*0.2</f>
        <v>139102.56</v>
      </c>
    </row>
    <row r="8" spans="1:5 16384:16384" s="167" customFormat="1">
      <c r="A8" t="s">
        <v>574</v>
      </c>
      <c r="B8" s="876">
        <f>2100000*0.15*2</f>
        <v>630000</v>
      </c>
    </row>
    <row r="9" spans="1:5 16384:16384" s="16" customFormat="1" ht="14.25">
      <c r="A9" s="16" t="s">
        <v>453</v>
      </c>
      <c r="B9" s="1099">
        <f>SUM(B4:B8)-451759</f>
        <v>8102591.3599999994</v>
      </c>
      <c r="D9" s="1101">
        <f>B9+3500000</f>
        <v>11602591.359999999</v>
      </c>
      <c r="XFD9" s="1101">
        <f>SUM(B9:XFC9)</f>
        <v>19705182.719999999</v>
      </c>
    </row>
    <row r="10" spans="1:5 16384:16384">
      <c r="A10" t="s">
        <v>454</v>
      </c>
      <c r="B10" s="877">
        <v>3.5000000000000003E-2</v>
      </c>
    </row>
    <row r="11" spans="1:5 16384:16384" s="167" customFormat="1">
      <c r="A11" t="s">
        <v>455</v>
      </c>
      <c r="B11" s="876">
        <f>46991.77*12</f>
        <v>563901.24</v>
      </c>
      <c r="D11" s="1019">
        <f>B11+246000</f>
        <v>809901.24</v>
      </c>
    </row>
    <row r="12" spans="1:5 16384:16384">
      <c r="A12" t="s">
        <v>310</v>
      </c>
      <c r="B12" s="875">
        <f>B11*20</f>
        <v>11278024.800000001</v>
      </c>
      <c r="D12" s="876">
        <f>B12+(246000*20)</f>
        <v>16198024.800000001</v>
      </c>
      <c r="E12" s="875"/>
    </row>
    <row r="14" spans="1:5 16384:16384">
      <c r="A14" s="16" t="s">
        <v>372</v>
      </c>
    </row>
    <row r="15" spans="1:5 16384:16384">
      <c r="A15" t="s">
        <v>451</v>
      </c>
      <c r="B15" s="876">
        <v>2452983</v>
      </c>
    </row>
    <row r="16" spans="1:5 16384:16384" s="167" customFormat="1">
      <c r="A16" t="s">
        <v>452</v>
      </c>
      <c r="B16" s="876">
        <f>5886980</f>
        <v>5886980</v>
      </c>
    </row>
    <row r="17" spans="1:5 16384:16384" s="167" customFormat="1">
      <c r="A17" t="s">
        <v>575</v>
      </c>
      <c r="B17" s="876">
        <f>B16*0.15</f>
        <v>883047</v>
      </c>
    </row>
    <row r="18" spans="1:5 16384:16384" s="167" customFormat="1">
      <c r="A18" t="s">
        <v>579</v>
      </c>
      <c r="B18" s="876">
        <f>B17*0.2</f>
        <v>176609.40000000002</v>
      </c>
    </row>
    <row r="19" spans="1:5 16384:16384" s="167" customFormat="1">
      <c r="A19" t="s">
        <v>574</v>
      </c>
      <c r="B19" s="876">
        <f>2100000*0.15*2</f>
        <v>630000</v>
      </c>
    </row>
    <row r="20" spans="1:5 16384:16384" s="16" customFormat="1" ht="14.25">
      <c r="A20" s="16" t="s">
        <v>453</v>
      </c>
      <c r="B20" s="1099">
        <f>SUM(B15:B19)-451759</f>
        <v>9577860.4000000004</v>
      </c>
      <c r="D20" s="1101">
        <f>B20+3500000</f>
        <v>13077860.4</v>
      </c>
      <c r="XFD20" s="1101">
        <f>SUM(B20:XFC20)</f>
        <v>22655720.800000001</v>
      </c>
    </row>
    <row r="21" spans="1:5 16384:16384">
      <c r="A21" t="s">
        <v>454</v>
      </c>
      <c r="B21" s="877">
        <v>3.5000000000000003E-2</v>
      </c>
    </row>
    <row r="22" spans="1:5 16384:16384" s="167" customFormat="1">
      <c r="A22" t="s">
        <v>455</v>
      </c>
      <c r="B22" s="876">
        <f>55547.73*12</f>
        <v>666572.76</v>
      </c>
      <c r="D22" s="1019">
        <f>B22+246000</f>
        <v>912572.76</v>
      </c>
    </row>
    <row r="23" spans="1:5 16384:16384">
      <c r="A23" t="s">
        <v>310</v>
      </c>
      <c r="B23" s="875">
        <f>B22*20</f>
        <v>13331455.199999999</v>
      </c>
      <c r="D23" s="876">
        <f>B23+(246000*20)</f>
        <v>18251455.199999999</v>
      </c>
      <c r="E23" s="875"/>
    </row>
    <row r="25" spans="1:5 16384:16384">
      <c r="A25" s="695" t="s">
        <v>373</v>
      </c>
      <c r="B25" s="341"/>
    </row>
    <row r="26" spans="1:5 16384:16384">
      <c r="A26" s="341" t="s">
        <v>451</v>
      </c>
      <c r="B26" s="878">
        <v>2452983</v>
      </c>
    </row>
    <row r="27" spans="1:5 16384:16384">
      <c r="A27" s="341" t="s">
        <v>452</v>
      </c>
      <c r="B27" s="878">
        <f>5223900</f>
        <v>5223900</v>
      </c>
    </row>
    <row r="28" spans="1:5 16384:16384">
      <c r="A28" s="341" t="s">
        <v>575</v>
      </c>
      <c r="B28" s="878">
        <f>B27*0.15</f>
        <v>783585</v>
      </c>
    </row>
    <row r="29" spans="1:5 16384:16384">
      <c r="A29" s="341" t="s">
        <v>579</v>
      </c>
      <c r="B29" s="878">
        <f>B28*0.2</f>
        <v>156717</v>
      </c>
    </row>
    <row r="30" spans="1:5 16384:16384">
      <c r="A30" s="341" t="s">
        <v>574</v>
      </c>
      <c r="B30" s="878">
        <f>2100000*0.15*2</f>
        <v>630000</v>
      </c>
    </row>
    <row r="31" spans="1:5 16384:16384" s="16" customFormat="1" ht="14.25">
      <c r="A31" s="695" t="s">
        <v>453</v>
      </c>
      <c r="B31" s="1100">
        <f>SUM(B26:B30)-451759</f>
        <v>8795426</v>
      </c>
      <c r="XFD31" s="1101">
        <f>SUM(B31:XFC31)</f>
        <v>8795426</v>
      </c>
    </row>
    <row r="32" spans="1:5 16384:16384">
      <c r="A32" s="341" t="s">
        <v>454</v>
      </c>
      <c r="B32" s="879">
        <v>3.5000000000000003E-2</v>
      </c>
    </row>
    <row r="33" spans="1:5 16384:16384">
      <c r="A33" s="341" t="s">
        <v>455</v>
      </c>
      <c r="B33" s="878">
        <f>51009.93*12</f>
        <v>612119.16</v>
      </c>
    </row>
    <row r="34" spans="1:5 16384:16384">
      <c r="A34" s="341" t="s">
        <v>310</v>
      </c>
      <c r="B34" s="880">
        <f>B33*20</f>
        <v>12242383.200000001</v>
      </c>
    </row>
    <row r="36" spans="1:5 16384:16384">
      <c r="A36" s="16" t="s">
        <v>374</v>
      </c>
    </row>
    <row r="37" spans="1:5 16384:16384">
      <c r="A37" t="s">
        <v>451</v>
      </c>
      <c r="B37" s="876">
        <v>2452983</v>
      </c>
    </row>
    <row r="38" spans="1:5 16384:16384" s="167" customFormat="1">
      <c r="A38" t="s">
        <v>452</v>
      </c>
      <c r="B38" s="876">
        <f>4970328</f>
        <v>4970328</v>
      </c>
    </row>
    <row r="39" spans="1:5 16384:16384" s="167" customFormat="1">
      <c r="A39" t="s">
        <v>575</v>
      </c>
      <c r="B39" s="876">
        <f>B38*0.15</f>
        <v>745549.2</v>
      </c>
    </row>
    <row r="40" spans="1:5 16384:16384" s="167" customFormat="1">
      <c r="A40" t="s">
        <v>579</v>
      </c>
      <c r="B40" s="876">
        <f>B39*0.2</f>
        <v>149109.84</v>
      </c>
    </row>
    <row r="41" spans="1:5 16384:16384" s="167" customFormat="1">
      <c r="A41" t="s">
        <v>574</v>
      </c>
      <c r="B41" s="876">
        <f>2100000*0.15*2</f>
        <v>630000</v>
      </c>
    </row>
    <row r="42" spans="1:5 16384:16384" s="16" customFormat="1" ht="14.25">
      <c r="A42" s="16" t="s">
        <v>453</v>
      </c>
      <c r="B42" s="1099">
        <f>SUM(B37:B41)-451759</f>
        <v>8496211.0399999991</v>
      </c>
      <c r="D42" s="1101">
        <f>B42+3500000</f>
        <v>11996211.039999999</v>
      </c>
      <c r="XFD42" s="1101">
        <f>SUM(B42:XFC42)</f>
        <v>20492422.079999998</v>
      </c>
    </row>
    <row r="43" spans="1:5 16384:16384">
      <c r="A43" t="s">
        <v>454</v>
      </c>
      <c r="B43" s="877">
        <v>3.5000000000000003E-2</v>
      </c>
    </row>
    <row r="44" spans="1:5 16384:16384" s="167" customFormat="1">
      <c r="A44" t="s">
        <v>455</v>
      </c>
      <c r="B44" s="876">
        <f>49274.6*12</f>
        <v>591295.19999999995</v>
      </c>
      <c r="D44" s="1019">
        <f>B44+246000</f>
        <v>837295.2</v>
      </c>
    </row>
    <row r="45" spans="1:5 16384:16384">
      <c r="A45" t="s">
        <v>310</v>
      </c>
      <c r="B45" s="875">
        <f>B44*20</f>
        <v>11825904</v>
      </c>
      <c r="D45" s="876">
        <f>B45+(246000*20)</f>
        <v>16745904</v>
      </c>
      <c r="E45" s="875"/>
    </row>
    <row r="47" spans="1:5 16384:16384">
      <c r="A47" s="16" t="s">
        <v>375</v>
      </c>
    </row>
    <row r="48" spans="1:5 16384:16384">
      <c r="A48" t="s">
        <v>451</v>
      </c>
      <c r="B48" s="876">
        <v>2452983</v>
      </c>
    </row>
    <row r="49" spans="1:6 16384:16384" s="167" customFormat="1">
      <c r="A49" t="s">
        <v>452</v>
      </c>
      <c r="B49" s="876">
        <f>6379212</f>
        <v>6379212</v>
      </c>
    </row>
    <row r="50" spans="1:6 16384:16384" s="167" customFormat="1">
      <c r="A50" t="s">
        <v>575</v>
      </c>
      <c r="B50" s="876">
        <f>B49*0.15</f>
        <v>956881.79999999993</v>
      </c>
    </row>
    <row r="51" spans="1:6 16384:16384" s="167" customFormat="1">
      <c r="A51" t="s">
        <v>579</v>
      </c>
      <c r="B51" s="876">
        <f>B50*0.2</f>
        <v>191376.36</v>
      </c>
    </row>
    <row r="52" spans="1:6 16384:16384" s="167" customFormat="1">
      <c r="A52" t="s">
        <v>574</v>
      </c>
      <c r="B52" s="876">
        <f>2100000*0.15*2</f>
        <v>630000</v>
      </c>
    </row>
    <row r="53" spans="1:6 16384:16384" s="16" customFormat="1" ht="14.25">
      <c r="A53" s="16" t="s">
        <v>453</v>
      </c>
      <c r="B53" s="1099">
        <f>SUM(B48:B52)-451759</f>
        <v>10158694.16</v>
      </c>
      <c r="D53" s="1101">
        <f>B53+3500000</f>
        <v>13658694.16</v>
      </c>
      <c r="XFD53" s="1101">
        <f>SUM(B53:XFC53)</f>
        <v>23817388.32</v>
      </c>
    </row>
    <row r="54" spans="1:6 16384:16384">
      <c r="A54" t="s">
        <v>454</v>
      </c>
      <c r="B54" s="877">
        <v>3.5000000000000003E-2</v>
      </c>
    </row>
    <row r="55" spans="1:6 16384:16384" s="167" customFormat="1">
      <c r="A55" t="s">
        <v>455</v>
      </c>
      <c r="B55" s="876">
        <f>58916.33*12</f>
        <v>706995.96</v>
      </c>
      <c r="D55" s="1019">
        <f>B55+246000</f>
        <v>952995.96</v>
      </c>
    </row>
    <row r="56" spans="1:6 16384:16384">
      <c r="A56" t="s">
        <v>310</v>
      </c>
      <c r="B56" s="875">
        <f>B55*20</f>
        <v>14139919.199999999</v>
      </c>
      <c r="D56" s="876">
        <f>B56+(246000*20)</f>
        <v>19059919.199999999</v>
      </c>
      <c r="E56" s="875"/>
    </row>
    <row r="58" spans="1:6 16384:16384">
      <c r="A58" s="16" t="s">
        <v>376</v>
      </c>
    </row>
    <row r="59" spans="1:6 16384:16384">
      <c r="A59" t="s">
        <v>451</v>
      </c>
      <c r="B59" s="876">
        <v>2452983</v>
      </c>
    </row>
    <row r="60" spans="1:6 16384:16384" s="167" customFormat="1">
      <c r="A60" t="s">
        <v>452</v>
      </c>
      <c r="B60" s="876">
        <f>8052961</f>
        <v>8052961</v>
      </c>
      <c r="F60" s="1019">
        <f>B60-451759</f>
        <v>7601202</v>
      </c>
    </row>
    <row r="61" spans="1:6 16384:16384" s="167" customFormat="1">
      <c r="A61" t="s">
        <v>575</v>
      </c>
      <c r="B61" s="876">
        <f>B60*0.15</f>
        <v>1207944.1499999999</v>
      </c>
    </row>
    <row r="62" spans="1:6 16384:16384" s="167" customFormat="1">
      <c r="A62" t="s">
        <v>579</v>
      </c>
      <c r="B62" s="876">
        <f>B61*0.2</f>
        <v>241588.83</v>
      </c>
      <c r="D62" s="1019">
        <f>SUM(B61:B62)</f>
        <v>1449532.98</v>
      </c>
    </row>
    <row r="63" spans="1:6 16384:16384" s="167" customFormat="1">
      <c r="A63" t="s">
        <v>574</v>
      </c>
      <c r="B63" s="876">
        <f>2100000*0.15*2</f>
        <v>630000</v>
      </c>
    </row>
    <row r="64" spans="1:6 16384:16384" s="16" customFormat="1" ht="14.25">
      <c r="A64" s="16" t="s">
        <v>453</v>
      </c>
      <c r="B64" s="1145">
        <f>SUM(B59:B63)-451759-3000000</f>
        <v>9133717.9800000004</v>
      </c>
      <c r="D64" s="1101">
        <f>B64+3500000</f>
        <v>12633717.98</v>
      </c>
      <c r="XFD64" s="1101">
        <f>SUM(B64:XFC64)</f>
        <v>21767435.960000001</v>
      </c>
    </row>
    <row r="65" spans="1:6 16384:16384">
      <c r="A65" t="s">
        <v>454</v>
      </c>
      <c r="B65" s="877">
        <v>3.5000000000000003E-2</v>
      </c>
    </row>
    <row r="66" spans="1:6 16384:16384" s="167" customFormat="1">
      <c r="A66" t="s">
        <v>455</v>
      </c>
      <c r="B66" s="876">
        <f>52971.89*12</f>
        <v>635662.67999999993</v>
      </c>
      <c r="D66" s="1019">
        <f>B66+246000</f>
        <v>881662.67999999993</v>
      </c>
    </row>
    <row r="67" spans="1:6 16384:16384">
      <c r="A67" t="s">
        <v>310</v>
      </c>
      <c r="B67" s="875">
        <f>B66*20</f>
        <v>12713253.599999998</v>
      </c>
      <c r="D67" s="876">
        <f>B67+(246000*20)</f>
        <v>17633253.599999998</v>
      </c>
      <c r="E67" s="875"/>
    </row>
    <row r="69" spans="1:6 16384:16384">
      <c r="A69" s="16" t="s">
        <v>377</v>
      </c>
    </row>
    <row r="70" spans="1:6 16384:16384">
      <c r="A70" t="s">
        <v>451</v>
      </c>
      <c r="B70" s="876">
        <v>2452983</v>
      </c>
    </row>
    <row r="71" spans="1:6 16384:16384" s="167" customFormat="1">
      <c r="A71" t="s">
        <v>452</v>
      </c>
      <c r="B71" s="876">
        <f>8547630</f>
        <v>8547630</v>
      </c>
      <c r="F71" s="1019">
        <f>B71-451759</f>
        <v>8095871</v>
      </c>
    </row>
    <row r="72" spans="1:6 16384:16384" s="167" customFormat="1">
      <c r="A72" t="s">
        <v>575</v>
      </c>
      <c r="B72" s="876">
        <f>B71*0.15</f>
        <v>1282144.5</v>
      </c>
    </row>
    <row r="73" spans="1:6 16384:16384" s="167" customFormat="1">
      <c r="A73" t="s">
        <v>579</v>
      </c>
      <c r="B73" s="876">
        <f>B72*0.2</f>
        <v>256428.90000000002</v>
      </c>
      <c r="D73" s="1019">
        <f>SUM(B72:B73)</f>
        <v>1538573.4</v>
      </c>
    </row>
    <row r="74" spans="1:6 16384:16384" s="167" customFormat="1">
      <c r="A74" t="s">
        <v>574</v>
      </c>
      <c r="B74" s="876">
        <f>2100000*0.15*2</f>
        <v>630000</v>
      </c>
    </row>
    <row r="75" spans="1:6 16384:16384" s="16" customFormat="1" ht="14.25">
      <c r="A75" s="16" t="s">
        <v>453</v>
      </c>
      <c r="B75" s="1145">
        <f>SUM(B70:B74)-451759-3000000</f>
        <v>9717427.4000000004</v>
      </c>
      <c r="D75" s="1101">
        <f>B75+3500000</f>
        <v>13217427.4</v>
      </c>
      <c r="XFD75" s="1101">
        <f>SUM(B75:XFC75)</f>
        <v>22934854.800000001</v>
      </c>
    </row>
    <row r="76" spans="1:6 16384:16384">
      <c r="A76" t="s">
        <v>454</v>
      </c>
      <c r="B76" s="877">
        <v>3.5000000000000003E-2</v>
      </c>
    </row>
    <row r="77" spans="1:6 16384:16384" s="167" customFormat="1">
      <c r="A77" t="s">
        <v>455</v>
      </c>
      <c r="B77" s="876">
        <f>56357.16*12</f>
        <v>676285.92</v>
      </c>
      <c r="D77" s="1019">
        <f>B77+246000</f>
        <v>922285.92</v>
      </c>
    </row>
    <row r="78" spans="1:6 16384:16384">
      <c r="A78" t="s">
        <v>310</v>
      </c>
      <c r="B78" s="875">
        <f>B77*20</f>
        <v>13525718.4</v>
      </c>
      <c r="D78" s="876">
        <f>B78+(246000*20)</f>
        <v>18445718.399999999</v>
      </c>
      <c r="E78" s="875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Q195"/>
  <sheetViews>
    <sheetView zoomScale="85" zoomScaleNormal="85" workbookViewId="0">
      <pane xSplit="6" topLeftCell="AG1" activePane="topRight" state="frozen"/>
      <selection pane="topRight" activeCell="AJ86" sqref="AJ86"/>
    </sheetView>
  </sheetViews>
  <sheetFormatPr defaultColWidth="8.625" defaultRowHeight="15"/>
  <cols>
    <col min="1" max="1" width="4.625" style="921" customWidth="1"/>
    <col min="2" max="2" width="40.25" style="921" customWidth="1"/>
    <col min="3" max="3" width="22.375" style="921" hidden="1" customWidth="1"/>
    <col min="4" max="4" width="17.875" style="921" hidden="1" customWidth="1"/>
    <col min="5" max="5" width="0.125" style="921" hidden="1" customWidth="1"/>
    <col min="6" max="6" width="11.125" style="921" bestFit="1" customWidth="1"/>
    <col min="7" max="7" width="2.625" style="922" customWidth="1"/>
    <col min="8" max="8" width="4.625" style="921" customWidth="1"/>
    <col min="9" max="10" width="11.625" style="921" customWidth="1"/>
    <col min="11" max="11" width="41.875" style="921" bestFit="1" customWidth="1"/>
    <col min="12" max="12" width="11.375" style="921" bestFit="1" customWidth="1"/>
    <col min="13" max="13" width="11.5" style="921" customWidth="1"/>
    <col min="14" max="14" width="41.875" style="921" bestFit="1" customWidth="1"/>
    <col min="15" max="15" width="10.75" style="946" bestFit="1" customWidth="1"/>
    <col min="16" max="16" width="11" style="1040" bestFit="1" customWidth="1"/>
    <col min="17" max="17" width="11.375" style="1040" bestFit="1" customWidth="1"/>
    <col min="18" max="18" width="11.125" style="1028" bestFit="1" customWidth="1"/>
    <col min="19" max="19" width="11.375" style="1028" bestFit="1" customWidth="1"/>
    <col min="20" max="20" width="11.125" style="1028" bestFit="1" customWidth="1"/>
    <col min="21" max="21" width="11.375" style="1028" bestFit="1" customWidth="1"/>
    <col min="22" max="22" width="41.875" style="946" bestFit="1" customWidth="1"/>
    <col min="23" max="23" width="11.625" style="921" bestFit="1" customWidth="1"/>
    <col min="24" max="24" width="11.625" style="921" customWidth="1"/>
    <col min="25" max="25" width="11.625" style="921" bestFit="1" customWidth="1"/>
    <col min="26" max="26" width="11.625" style="921" customWidth="1"/>
    <col min="27" max="27" width="11.625" style="921" bestFit="1" customWidth="1"/>
    <col min="28" max="28" width="11.625" style="921" customWidth="1"/>
    <col min="29" max="29" width="41.875" style="946" bestFit="1" customWidth="1"/>
    <col min="30" max="30" width="11.5" style="1040" bestFit="1" customWidth="1"/>
    <col min="31" max="31" width="11.5" style="1040" customWidth="1"/>
    <col min="32" max="32" width="11.5" style="1040" bestFit="1" customWidth="1"/>
    <col min="33" max="33" width="11.5" style="1040" customWidth="1"/>
    <col min="34" max="34" width="11.5" style="1040" bestFit="1" customWidth="1"/>
    <col min="35" max="35" width="11.5" style="1040" customWidth="1"/>
    <col min="36" max="36" width="41.875" style="946" bestFit="1" customWidth="1"/>
    <col min="37" max="37" width="11.5" style="921" bestFit="1" customWidth="1"/>
    <col min="38" max="38" width="11.5" style="921" customWidth="1"/>
    <col min="39" max="39" width="11.5" style="921" bestFit="1" customWidth="1"/>
    <col min="40" max="40" width="11.5" style="921" customWidth="1"/>
    <col min="41" max="41" width="11.5" style="921" bestFit="1" customWidth="1"/>
    <col min="42" max="42" width="11.5" style="921" customWidth="1"/>
    <col min="43" max="43" width="41.875" style="946" bestFit="1" customWidth="1"/>
    <col min="44" max="16384" width="8.625" style="921"/>
  </cols>
  <sheetData>
    <row r="1" spans="1:43" s="925" customFormat="1">
      <c r="A1" s="934" t="s">
        <v>584</v>
      </c>
      <c r="F1" s="924"/>
      <c r="G1" s="965"/>
      <c r="H1" s="934" t="s">
        <v>500</v>
      </c>
      <c r="O1" s="946"/>
      <c r="P1" s="1028"/>
      <c r="Q1" s="1028"/>
      <c r="R1" s="1028"/>
      <c r="S1" s="1028"/>
      <c r="T1" s="1028"/>
      <c r="U1" s="1028"/>
      <c r="V1" s="946"/>
      <c r="AC1" s="946"/>
      <c r="AD1" s="1028"/>
      <c r="AE1" s="1028"/>
      <c r="AF1" s="1028"/>
      <c r="AG1" s="1028"/>
      <c r="AH1" s="1028"/>
      <c r="AI1" s="1028"/>
      <c r="AJ1" s="946"/>
      <c r="AQ1" s="946"/>
    </row>
    <row r="2" spans="1:43" s="925" customFormat="1">
      <c r="A2" s="934"/>
      <c r="B2" s="925" t="s">
        <v>585</v>
      </c>
      <c r="F2" s="924"/>
      <c r="G2" s="965"/>
      <c r="H2" s="934"/>
      <c r="I2" s="925" t="s">
        <v>349</v>
      </c>
      <c r="L2" s="925" t="s">
        <v>350</v>
      </c>
      <c r="O2" s="946" t="s">
        <v>352</v>
      </c>
      <c r="P2" s="1031" t="s">
        <v>353</v>
      </c>
      <c r="Q2" s="1031"/>
      <c r="R2" s="1031" t="s">
        <v>353</v>
      </c>
      <c r="S2" s="1031"/>
      <c r="T2" s="1031" t="s">
        <v>353</v>
      </c>
      <c r="U2" s="1031"/>
      <c r="V2" s="946"/>
      <c r="W2" s="925" t="s">
        <v>351</v>
      </c>
      <c r="Y2" s="925" t="s">
        <v>351</v>
      </c>
      <c r="AA2" s="925" t="s">
        <v>351</v>
      </c>
      <c r="AC2" s="946"/>
      <c r="AD2" s="1028" t="s">
        <v>355</v>
      </c>
      <c r="AE2" s="1028"/>
      <c r="AF2" s="1028" t="s">
        <v>355</v>
      </c>
      <c r="AG2" s="1028"/>
      <c r="AH2" s="1028" t="s">
        <v>355</v>
      </c>
      <c r="AI2" s="1028"/>
      <c r="AJ2" s="946"/>
      <c r="AK2" s="925" t="s">
        <v>354</v>
      </c>
      <c r="AM2" s="925" t="s">
        <v>354</v>
      </c>
      <c r="AO2" s="925" t="s">
        <v>354</v>
      </c>
      <c r="AQ2" s="946"/>
    </row>
    <row r="3" spans="1:43" s="925" customFormat="1">
      <c r="A3" s="930"/>
      <c r="B3" s="934" t="s">
        <v>525</v>
      </c>
      <c r="C3" s="970" t="s">
        <v>463</v>
      </c>
      <c r="D3" s="970" t="s">
        <v>464</v>
      </c>
      <c r="E3" s="970" t="s">
        <v>465</v>
      </c>
      <c r="F3" s="930" t="s">
        <v>466</v>
      </c>
      <c r="G3" s="965"/>
      <c r="I3" s="934" t="str">
        <f>B3</f>
        <v>ANNUAL OPERATING REVENUES</v>
      </c>
      <c r="J3" s="934"/>
      <c r="K3" s="930" t="s">
        <v>492</v>
      </c>
      <c r="N3" s="930" t="s">
        <v>492</v>
      </c>
      <c r="O3" s="946"/>
      <c r="P3" s="1008">
        <v>0.2</v>
      </c>
      <c r="Q3" s="1008"/>
      <c r="R3" s="1008">
        <v>0.34</v>
      </c>
      <c r="S3" s="1008"/>
      <c r="T3" s="1008">
        <v>0.4</v>
      </c>
      <c r="U3" s="1008"/>
      <c r="V3" s="930" t="s">
        <v>492</v>
      </c>
      <c r="W3" s="1008">
        <v>0.2</v>
      </c>
      <c r="X3" s="1008"/>
      <c r="Y3" s="979">
        <v>0.34</v>
      </c>
      <c r="Z3" s="979"/>
      <c r="AA3" s="979">
        <v>0.4</v>
      </c>
      <c r="AB3" s="979"/>
      <c r="AC3" s="930" t="s">
        <v>492</v>
      </c>
      <c r="AD3" s="1008">
        <v>0.2</v>
      </c>
      <c r="AE3" s="1008"/>
      <c r="AF3" s="1008">
        <v>0.34</v>
      </c>
      <c r="AG3" s="1008"/>
      <c r="AH3" s="1008">
        <v>0.4</v>
      </c>
      <c r="AI3" s="1008"/>
      <c r="AJ3" s="930" t="s">
        <v>492</v>
      </c>
      <c r="AK3" s="1008">
        <v>0.2</v>
      </c>
      <c r="AL3" s="1008"/>
      <c r="AM3" s="979">
        <v>0.34</v>
      </c>
      <c r="AN3" s="979"/>
      <c r="AO3" s="979">
        <v>0.4</v>
      </c>
      <c r="AP3" s="979"/>
      <c r="AQ3" s="930" t="s">
        <v>492</v>
      </c>
    </row>
    <row r="4" spans="1:43" s="925" customFormat="1" ht="30" customHeight="1">
      <c r="A4" s="939"/>
      <c r="B4" s="939"/>
      <c r="C4" s="940" t="s">
        <v>467</v>
      </c>
      <c r="D4" s="940" t="s">
        <v>468</v>
      </c>
      <c r="E4" s="940" t="s">
        <v>469</v>
      </c>
      <c r="F4" s="971" t="s">
        <v>470</v>
      </c>
      <c r="G4" s="965"/>
      <c r="I4" s="975">
        <v>2024</v>
      </c>
      <c r="J4" s="975"/>
      <c r="L4" s="975">
        <v>2024</v>
      </c>
      <c r="M4" s="975"/>
      <c r="O4" s="976">
        <v>2024</v>
      </c>
      <c r="P4" s="1029">
        <v>2024</v>
      </c>
      <c r="Q4" s="1029"/>
      <c r="R4" s="1029">
        <v>2024</v>
      </c>
      <c r="S4" s="1029"/>
      <c r="T4" s="1029">
        <v>2024</v>
      </c>
      <c r="U4" s="1029"/>
      <c r="V4" s="976"/>
      <c r="W4" s="975">
        <v>2024</v>
      </c>
      <c r="X4" s="975"/>
      <c r="Y4" s="975">
        <v>2024</v>
      </c>
      <c r="Z4" s="975"/>
      <c r="AA4" s="975">
        <v>2024</v>
      </c>
      <c r="AB4" s="975"/>
      <c r="AC4" s="976"/>
      <c r="AD4" s="1029">
        <v>2024</v>
      </c>
      <c r="AE4" s="1029"/>
      <c r="AF4" s="1029">
        <v>2024</v>
      </c>
      <c r="AG4" s="1029"/>
      <c r="AH4" s="1029">
        <v>2024</v>
      </c>
      <c r="AI4" s="1029"/>
      <c r="AJ4" s="976"/>
      <c r="AK4" s="975">
        <v>2024</v>
      </c>
      <c r="AL4" s="975"/>
      <c r="AM4" s="975">
        <v>2024</v>
      </c>
      <c r="AN4" s="975"/>
      <c r="AO4" s="975">
        <v>2024</v>
      </c>
      <c r="AP4" s="975"/>
      <c r="AQ4" s="976"/>
    </row>
    <row r="5" spans="1:43" s="925" customFormat="1">
      <c r="A5" s="930">
        <v>1</v>
      </c>
      <c r="B5" s="925" t="s">
        <v>501</v>
      </c>
      <c r="C5" s="927">
        <f>'[5]O&amp;M revenues &amp; costs'!C7</f>
        <v>121000</v>
      </c>
      <c r="D5" s="927">
        <f>'[5]O&amp;M revenues &amp; costs'!D7</f>
        <v>121000</v>
      </c>
      <c r="E5" s="927">
        <f>'[5]O&amp;M revenues &amp; costs'!E7</f>
        <v>121000</v>
      </c>
      <c r="F5" s="927">
        <f>E5</f>
        <v>121000</v>
      </c>
      <c r="G5" s="965"/>
      <c r="H5" s="930">
        <f t="shared" ref="H5:H18" si="0">A5</f>
        <v>1</v>
      </c>
      <c r="I5" s="927">
        <f>'P&amp;L - Concept A1'!J91</f>
        <v>41629.9187250576</v>
      </c>
      <c r="J5" s="1017">
        <f t="shared" ref="J5:J19" si="1">I5-F5</f>
        <v>-79370.081274942408</v>
      </c>
      <c r="L5" s="927">
        <f>'P&amp;L - Concept A2'!J91</f>
        <v>196585.72731277198</v>
      </c>
      <c r="M5" s="927">
        <f t="shared" ref="M5:M19" si="2">L5-F5</f>
        <v>75585.727312771982</v>
      </c>
      <c r="O5" s="946"/>
      <c r="P5" s="928">
        <f>'P&amp;L - Concept B2 - NCLH'!J91</f>
        <v>41629.9187250576</v>
      </c>
      <c r="Q5" s="1020">
        <f t="shared" ref="Q5:Q19" si="3">P5-F5</f>
        <v>-79370.081274942408</v>
      </c>
      <c r="R5" s="928">
        <f>'P&amp;L - Concept B2 - RCCL'!J91</f>
        <v>41629.9187250576</v>
      </c>
      <c r="S5" s="1020">
        <f t="shared" ref="S5:S19" si="4">R5-F5</f>
        <v>-79370.081274942408</v>
      </c>
      <c r="T5" s="928">
        <f>'P&amp;L - Concept B2 - Carnival'!J91</f>
        <v>41629.9187250576</v>
      </c>
      <c r="U5" s="1020">
        <f t="shared" ref="U5:U19" si="5">T5-F5</f>
        <v>-79370.081274942408</v>
      </c>
      <c r="V5" s="946"/>
      <c r="W5" s="928">
        <f>'P&amp;L - Concept B3 - NCLH'!J91</f>
        <v>171145.22142523681</v>
      </c>
      <c r="X5" s="928">
        <f t="shared" ref="X5:X19" si="6">W5-F5</f>
        <v>50145.221425236814</v>
      </c>
      <c r="Y5" s="928">
        <f>'P&amp;L - Concept B3 - RCCL'!J91</f>
        <v>171145.22142523681</v>
      </c>
      <c r="Z5" s="928">
        <f t="shared" ref="Z5:Z19" si="7">Y5-F5</f>
        <v>50145.221425236814</v>
      </c>
      <c r="AA5" s="928">
        <f>'P&amp;L - Concept B3 - Carnival'!J91</f>
        <v>171145.22142523681</v>
      </c>
      <c r="AB5" s="928">
        <f t="shared" ref="AB5:AB19" si="8">AA5-F5</f>
        <v>50145.221425236814</v>
      </c>
      <c r="AC5" s="946"/>
      <c r="AD5" s="928">
        <f>'P&amp;L - Concept C1 - NCLH'!J92</f>
        <v>41629.9187250576</v>
      </c>
      <c r="AE5" s="1020">
        <f t="shared" ref="AE5:AE19" si="9">AD5-F5</f>
        <v>-79370.081274942408</v>
      </c>
      <c r="AF5" s="928">
        <f>'P&amp;L - Concept C1 - RCCL'!J92</f>
        <v>41629.9187250576</v>
      </c>
      <c r="AG5" s="1020">
        <f t="shared" ref="AG5:AG19" si="10">AF5-F5</f>
        <v>-79370.081274942408</v>
      </c>
      <c r="AH5" s="928">
        <f>'P&amp;L - Concept C1 - Carnival'!J92</f>
        <v>41629.9187250576</v>
      </c>
      <c r="AI5" s="1020">
        <f t="shared" ref="AI5:AI19" si="11">AH5-F5</f>
        <v>-79370.081274942408</v>
      </c>
      <c r="AJ5" s="946"/>
      <c r="AK5" s="928">
        <f>'P&amp;L - Concept C2 - NCLH'!J92</f>
        <v>131828.0759626824</v>
      </c>
      <c r="AL5" s="928">
        <f t="shared" ref="AL5:AL19" si="12">AK5-F5</f>
        <v>10828.0759626824</v>
      </c>
      <c r="AM5" s="927">
        <f>'P&amp;L - Concept C2 - RCCL'!J92</f>
        <v>131828.0759626824</v>
      </c>
      <c r="AN5" s="927">
        <f t="shared" ref="AN5:AN19" si="13">AM5-F5</f>
        <v>10828.0759626824</v>
      </c>
      <c r="AO5" s="927">
        <f>'P&amp;L - Concept C2 - Carnival'!J92</f>
        <v>131828.0759626824</v>
      </c>
      <c r="AP5" s="927">
        <f t="shared" ref="AP5:AP19" si="14">AO5-F5</f>
        <v>10828.0759626824</v>
      </c>
      <c r="AQ5" s="946"/>
    </row>
    <row r="6" spans="1:43" s="925" customFormat="1">
      <c r="A6" s="930">
        <v>2</v>
      </c>
      <c r="B6" s="925" t="s">
        <v>502</v>
      </c>
      <c r="C6" s="927">
        <f>'[5]O&amp;M revenues &amp; costs'!C8</f>
        <v>90000</v>
      </c>
      <c r="D6" s="927">
        <f>'[5]O&amp;M revenues &amp; costs'!D8</f>
        <v>90000</v>
      </c>
      <c r="E6" s="927">
        <f>'[5]O&amp;M revenues &amp; costs'!E8</f>
        <v>90000</v>
      </c>
      <c r="F6" s="927">
        <f t="shared" ref="F6:F18" si="15">E6</f>
        <v>90000</v>
      </c>
      <c r="G6" s="965"/>
      <c r="H6" s="930">
        <f t="shared" si="0"/>
        <v>2</v>
      </c>
      <c r="I6" s="927">
        <f>'P&amp;L - Concept A1'!J90</f>
        <v>26379.728450428636</v>
      </c>
      <c r="J6" s="1017">
        <f t="shared" si="1"/>
        <v>-63620.271549571364</v>
      </c>
      <c r="L6" s="927">
        <f>'P&amp;L - Concept A2'!J90</f>
        <v>124570.9399048019</v>
      </c>
      <c r="M6" s="927">
        <f t="shared" si="2"/>
        <v>34570.939904801897</v>
      </c>
      <c r="O6" s="946"/>
      <c r="P6" s="928">
        <f>'P&amp;L - Concept B2 - NCLH'!J90</f>
        <v>26379.728450428636</v>
      </c>
      <c r="Q6" s="1020">
        <f t="shared" si="3"/>
        <v>-63620.271549571364</v>
      </c>
      <c r="R6" s="928">
        <f>'P&amp;L - Concept B2 - RCCL'!J90</f>
        <v>26379.728450428636</v>
      </c>
      <c r="S6" s="1020">
        <f t="shared" si="4"/>
        <v>-63620.271549571364</v>
      </c>
      <c r="T6" s="928">
        <f>'P&amp;L - Concept B2 - Carnival'!J90</f>
        <v>26379.728450428636</v>
      </c>
      <c r="U6" s="1020">
        <f t="shared" si="5"/>
        <v>-63620.271549571364</v>
      </c>
      <c r="V6" s="946"/>
      <c r="W6" s="928">
        <f>'P&amp;L - Concept B3 - NCLH'!J90</f>
        <v>108449.99474065108</v>
      </c>
      <c r="X6" s="928">
        <f t="shared" si="6"/>
        <v>18449.994740651076</v>
      </c>
      <c r="Y6" s="928">
        <f>'P&amp;L - Concept B3 - RCCL'!J90</f>
        <v>108449.99474065108</v>
      </c>
      <c r="Z6" s="928">
        <f t="shared" si="7"/>
        <v>18449.994740651076</v>
      </c>
      <c r="AA6" s="928">
        <f>'P&amp;L - Concept B3 - Carnival'!J90</f>
        <v>108449.99474065108</v>
      </c>
      <c r="AB6" s="928">
        <f t="shared" si="8"/>
        <v>18449.994740651076</v>
      </c>
      <c r="AC6" s="946"/>
      <c r="AD6" s="928">
        <f>'P&amp;L - Concept C1 - NCLH'!J91</f>
        <v>26379.728450428636</v>
      </c>
      <c r="AE6" s="1020">
        <f t="shared" si="9"/>
        <v>-63620.271549571364</v>
      </c>
      <c r="AF6" s="928">
        <f>'P&amp;L - Concept C1 - RCCL'!J91</f>
        <v>26379.728450428636</v>
      </c>
      <c r="AG6" s="1020">
        <f t="shared" si="10"/>
        <v>-63620.271549571364</v>
      </c>
      <c r="AH6" s="928">
        <f>'P&amp;L - Concept C1 - Carnival'!J91</f>
        <v>26379.728450428636</v>
      </c>
      <c r="AI6" s="1020">
        <f t="shared" si="11"/>
        <v>-63620.271549571364</v>
      </c>
      <c r="AJ6" s="946"/>
      <c r="AK6" s="928">
        <f>'P&amp;L - Concept C2 - NCLH'!J91</f>
        <v>83535.806759690691</v>
      </c>
      <c r="AL6" s="1020">
        <f t="shared" si="12"/>
        <v>-6464.1932403093087</v>
      </c>
      <c r="AM6" s="928">
        <f>'P&amp;L - Concept C2 - RCCL'!J91</f>
        <v>83535.806759690691</v>
      </c>
      <c r="AN6" s="1017">
        <f t="shared" si="13"/>
        <v>-6464.1932403093087</v>
      </c>
      <c r="AO6" s="928">
        <f>'P&amp;L - Concept C2 - Carnival'!J91</f>
        <v>83535.806759690691</v>
      </c>
      <c r="AP6" s="1017">
        <f t="shared" si="14"/>
        <v>-6464.1932403093087</v>
      </c>
      <c r="AQ6" s="946"/>
    </row>
    <row r="7" spans="1:43" s="925" customFormat="1">
      <c r="A7" s="930">
        <v>3</v>
      </c>
      <c r="B7" s="925" t="s">
        <v>503</v>
      </c>
      <c r="C7" s="927">
        <f>'[5]O&amp;M revenues &amp; costs'!C9</f>
        <v>20000</v>
      </c>
      <c r="D7" s="927">
        <f>'[5]O&amp;M revenues &amp; costs'!D9</f>
        <v>20000</v>
      </c>
      <c r="E7" s="927">
        <f>'[5]O&amp;M revenues &amp; costs'!E9</f>
        <v>20000</v>
      </c>
      <c r="F7" s="927">
        <f t="shared" si="15"/>
        <v>20000</v>
      </c>
      <c r="G7" s="965"/>
      <c r="H7" s="930">
        <f t="shared" si="0"/>
        <v>3</v>
      </c>
      <c r="I7" s="927">
        <f>'P&amp;L - Concept A1'!J87</f>
        <v>13248.9696384</v>
      </c>
      <c r="J7" s="1017">
        <f t="shared" si="1"/>
        <v>-6751.0303616000001</v>
      </c>
      <c r="L7" s="927">
        <f>'P&amp;L - Concept A2'!J87</f>
        <v>13248.9696384</v>
      </c>
      <c r="M7" s="1017">
        <f t="shared" si="2"/>
        <v>-6751.0303616000001</v>
      </c>
      <c r="O7" s="946"/>
      <c r="P7" s="928">
        <f>'P&amp;L - Concept B2 - NCLH'!J87</f>
        <v>13248.9696384</v>
      </c>
      <c r="Q7" s="1020">
        <f t="shared" si="3"/>
        <v>-6751.0303616000001</v>
      </c>
      <c r="R7" s="928">
        <f>'P&amp;L - Concept B2 - RCCL'!J87</f>
        <v>13248.9696384</v>
      </c>
      <c r="S7" s="1020">
        <f t="shared" si="4"/>
        <v>-6751.0303616000001</v>
      </c>
      <c r="T7" s="928">
        <f>'P&amp;L - Concept B2 - Carnival'!J87</f>
        <v>13248.9696384</v>
      </c>
      <c r="U7" s="1020">
        <f t="shared" si="5"/>
        <v>-6751.0303616000001</v>
      </c>
      <c r="V7" s="946"/>
      <c r="W7" s="928">
        <f>'P&amp;L - Concept B3 - NCLH'!J87</f>
        <v>13248.9696384</v>
      </c>
      <c r="X7" s="1020">
        <f t="shared" si="6"/>
        <v>-6751.0303616000001</v>
      </c>
      <c r="Y7" s="928">
        <f>'P&amp;L - Concept B3 - RCCL'!J87</f>
        <v>13248.9696384</v>
      </c>
      <c r="Z7" s="1020">
        <f t="shared" si="7"/>
        <v>-6751.0303616000001</v>
      </c>
      <c r="AA7" s="928">
        <f>'P&amp;L - Concept B3 - Carnival'!J87</f>
        <v>13248.9696384</v>
      </c>
      <c r="AB7" s="1020">
        <f t="shared" si="8"/>
        <v>-6751.0303616000001</v>
      </c>
      <c r="AC7" s="946"/>
      <c r="AD7" s="928">
        <f>'P&amp;L - Concept C1 - NCLH'!J88</f>
        <v>13248.9696384</v>
      </c>
      <c r="AE7" s="1020">
        <f t="shared" si="9"/>
        <v>-6751.0303616000001</v>
      </c>
      <c r="AF7" s="928">
        <f>'P&amp;L - Concept C1 - RCCL'!J88</f>
        <v>13248.9696384</v>
      </c>
      <c r="AG7" s="1020">
        <f t="shared" si="10"/>
        <v>-6751.0303616000001</v>
      </c>
      <c r="AH7" s="928">
        <f>'P&amp;L - Concept C1 - Carnival'!J88</f>
        <v>13248.9696384</v>
      </c>
      <c r="AI7" s="1020">
        <f t="shared" si="11"/>
        <v>-6751.0303616000001</v>
      </c>
      <c r="AJ7" s="946"/>
      <c r="AK7" s="928">
        <f>'P&amp;L - Concept C2 - NCLH'!J88</f>
        <v>13248.9696384</v>
      </c>
      <c r="AL7" s="1020">
        <f t="shared" si="12"/>
        <v>-6751.0303616000001</v>
      </c>
      <c r="AM7" s="928">
        <f>'P&amp;L - Concept C2 - RCCL'!J88</f>
        <v>13248.9696384</v>
      </c>
      <c r="AN7" s="1017">
        <f t="shared" si="13"/>
        <v>-6751.0303616000001</v>
      </c>
      <c r="AO7" s="928">
        <f>'P&amp;L - Concept C2 - Carnival'!J88</f>
        <v>13248.9696384</v>
      </c>
      <c r="AP7" s="1017">
        <f t="shared" si="14"/>
        <v>-6751.0303616000001</v>
      </c>
      <c r="AQ7" s="946"/>
    </row>
    <row r="8" spans="1:43" s="925" customFormat="1">
      <c r="A8" s="930">
        <v>4</v>
      </c>
      <c r="B8" s="925" t="s">
        <v>504</v>
      </c>
      <c r="C8" s="927">
        <f>'[5]O&amp;M revenues &amp; costs'!C10</f>
        <v>25000</v>
      </c>
      <c r="D8" s="927">
        <f>'[5]O&amp;M revenues &amp; costs'!D10</f>
        <v>25000</v>
      </c>
      <c r="E8" s="927">
        <f>'[5]O&amp;M revenues &amp; costs'!E10</f>
        <v>25000</v>
      </c>
      <c r="F8" s="927">
        <f t="shared" si="15"/>
        <v>25000</v>
      </c>
      <c r="G8" s="965"/>
      <c r="H8" s="930">
        <f t="shared" si="0"/>
        <v>4</v>
      </c>
      <c r="I8" s="927">
        <f>'P&amp;L - Concept A1'!J94</f>
        <v>8118.2411999999995</v>
      </c>
      <c r="J8" s="1017">
        <f t="shared" si="1"/>
        <v>-16881.7588</v>
      </c>
      <c r="L8" s="927">
        <f>'P&amp;L - Concept A2'!J94</f>
        <v>32472.964799999998</v>
      </c>
      <c r="M8" s="927">
        <f t="shared" si="2"/>
        <v>7472.9647999999979</v>
      </c>
      <c r="O8" s="946"/>
      <c r="P8" s="928">
        <f>'P&amp;L - Concept B2 - NCLH'!J94</f>
        <v>8118.2411999999995</v>
      </c>
      <c r="Q8" s="1020">
        <f t="shared" si="3"/>
        <v>-16881.7588</v>
      </c>
      <c r="R8" s="928">
        <f>'P&amp;L - Concept B2 - RCCL'!J94</f>
        <v>8118.2411999999995</v>
      </c>
      <c r="S8" s="1020">
        <f t="shared" si="4"/>
        <v>-16881.7588</v>
      </c>
      <c r="T8" s="928">
        <f>'P&amp;L - Concept B2 - Carnival'!J94</f>
        <v>8118.2411999999995</v>
      </c>
      <c r="U8" s="1020">
        <f t="shared" si="5"/>
        <v>-16881.7588</v>
      </c>
      <c r="V8" s="946"/>
      <c r="W8" s="928">
        <f>'P&amp;L - Concept B3 - NCLH'!J94</f>
        <v>28413.8442</v>
      </c>
      <c r="X8" s="928">
        <f t="shared" si="6"/>
        <v>3413.8441999999995</v>
      </c>
      <c r="Y8" s="928">
        <f>'P&amp;L - Concept B3 - RCCL'!J94</f>
        <v>28413.8442</v>
      </c>
      <c r="Z8" s="928">
        <f t="shared" si="7"/>
        <v>3413.8441999999995</v>
      </c>
      <c r="AA8" s="928">
        <f>'P&amp;L - Concept B3 - Carnival'!J94</f>
        <v>28413.8442</v>
      </c>
      <c r="AB8" s="928">
        <f t="shared" si="8"/>
        <v>3413.8441999999995</v>
      </c>
      <c r="AC8" s="946"/>
      <c r="AD8" s="928">
        <f>'P&amp;L - Concept C1 - NCLH'!J95</f>
        <v>8118.2411999999995</v>
      </c>
      <c r="AE8" s="1020">
        <f t="shared" si="9"/>
        <v>-16881.7588</v>
      </c>
      <c r="AF8" s="928">
        <f>'P&amp;L - Concept C1 - RCCL'!J95</f>
        <v>8118.2411999999995</v>
      </c>
      <c r="AG8" s="1020">
        <f t="shared" si="10"/>
        <v>-16881.7588</v>
      </c>
      <c r="AH8" s="928">
        <f>'P&amp;L - Concept C1 - Carnival'!J95</f>
        <v>8118.2411999999995</v>
      </c>
      <c r="AI8" s="1020">
        <f t="shared" si="11"/>
        <v>-16881.7588</v>
      </c>
      <c r="AJ8" s="946"/>
      <c r="AK8" s="928">
        <f>'P&amp;L - Concept C2 - NCLH'!J95</f>
        <v>21648.643199999999</v>
      </c>
      <c r="AL8" s="1020">
        <f t="shared" si="12"/>
        <v>-3351.3568000000014</v>
      </c>
      <c r="AM8" s="928">
        <f>'P&amp;L - Concept C2 - RCCL'!J95</f>
        <v>21648.643199999999</v>
      </c>
      <c r="AN8" s="1017">
        <f t="shared" si="13"/>
        <v>-3351.3568000000014</v>
      </c>
      <c r="AO8" s="928">
        <f>'P&amp;L - Concept C2 - Carnival'!J95</f>
        <v>21648.643199999999</v>
      </c>
      <c r="AP8" s="1017">
        <f t="shared" si="14"/>
        <v>-3351.3568000000014</v>
      </c>
      <c r="AQ8" s="946"/>
    </row>
    <row r="9" spans="1:43" s="925" customFormat="1">
      <c r="A9" s="930">
        <v>5</v>
      </c>
      <c r="B9" s="925" t="s">
        <v>505</v>
      </c>
      <c r="C9" s="927">
        <f>'[5]O&amp;M revenues &amp; costs'!C11</f>
        <v>0</v>
      </c>
      <c r="D9" s="927">
        <f>'[5]O&amp;M revenues &amp; costs'!D11</f>
        <v>0</v>
      </c>
      <c r="E9" s="927">
        <f>'[5]O&amp;M revenues &amp; costs'!E11</f>
        <v>0</v>
      </c>
      <c r="F9" s="927">
        <f t="shared" si="15"/>
        <v>0</v>
      </c>
      <c r="G9" s="965"/>
      <c r="H9" s="930">
        <f t="shared" si="0"/>
        <v>5</v>
      </c>
      <c r="I9" s="927">
        <v>0</v>
      </c>
      <c r="J9" s="927">
        <f t="shared" si="1"/>
        <v>0</v>
      </c>
      <c r="L9" s="927">
        <v>0</v>
      </c>
      <c r="M9" s="927">
        <f t="shared" si="2"/>
        <v>0</v>
      </c>
      <c r="O9" s="946"/>
      <c r="P9" s="928">
        <v>0</v>
      </c>
      <c r="Q9" s="928">
        <f t="shared" si="3"/>
        <v>0</v>
      </c>
      <c r="R9" s="928">
        <v>0</v>
      </c>
      <c r="S9" s="928">
        <f t="shared" si="4"/>
        <v>0</v>
      </c>
      <c r="T9" s="928">
        <v>0</v>
      </c>
      <c r="U9" s="928">
        <f t="shared" si="5"/>
        <v>0</v>
      </c>
      <c r="V9" s="946"/>
      <c r="W9" s="928">
        <v>0</v>
      </c>
      <c r="X9" s="928">
        <f t="shared" si="6"/>
        <v>0</v>
      </c>
      <c r="Y9" s="928">
        <v>0</v>
      </c>
      <c r="Z9" s="928">
        <f t="shared" si="7"/>
        <v>0</v>
      </c>
      <c r="AA9" s="928">
        <v>0</v>
      </c>
      <c r="AB9" s="928">
        <f t="shared" si="8"/>
        <v>0</v>
      </c>
      <c r="AC9" s="946"/>
      <c r="AD9" s="928">
        <v>0</v>
      </c>
      <c r="AE9" s="928">
        <f t="shared" si="9"/>
        <v>0</v>
      </c>
      <c r="AF9" s="928">
        <v>0</v>
      </c>
      <c r="AG9" s="928">
        <f t="shared" si="10"/>
        <v>0</v>
      </c>
      <c r="AH9" s="928">
        <v>0</v>
      </c>
      <c r="AI9" s="928">
        <f t="shared" si="11"/>
        <v>0</v>
      </c>
      <c r="AJ9" s="946"/>
      <c r="AK9" s="928">
        <v>0</v>
      </c>
      <c r="AL9" s="928">
        <f t="shared" si="12"/>
        <v>0</v>
      </c>
      <c r="AM9" s="928">
        <v>0</v>
      </c>
      <c r="AN9" s="927">
        <f t="shared" si="13"/>
        <v>0</v>
      </c>
      <c r="AO9" s="928">
        <v>0</v>
      </c>
      <c r="AP9" s="927">
        <f t="shared" si="14"/>
        <v>0</v>
      </c>
      <c r="AQ9" s="946"/>
    </row>
    <row r="10" spans="1:43" s="925" customFormat="1">
      <c r="A10" s="930">
        <v>6</v>
      </c>
      <c r="B10" s="925" t="s">
        <v>506</v>
      </c>
      <c r="C10" s="927">
        <f>'[5]O&amp;M revenues &amp; costs'!C12</f>
        <v>35000</v>
      </c>
      <c r="D10" s="927">
        <f>'[5]O&amp;M revenues &amp; costs'!D12</f>
        <v>35000</v>
      </c>
      <c r="E10" s="927">
        <f>'[5]O&amp;M revenues &amp; costs'!E12</f>
        <v>35000</v>
      </c>
      <c r="F10" s="927">
        <f t="shared" si="15"/>
        <v>35000</v>
      </c>
      <c r="G10" s="965"/>
      <c r="H10" s="930">
        <f t="shared" si="0"/>
        <v>6</v>
      </c>
      <c r="I10" s="927">
        <v>0</v>
      </c>
      <c r="J10" s="1017">
        <f t="shared" si="1"/>
        <v>-35000</v>
      </c>
      <c r="K10" s="925" t="s">
        <v>536</v>
      </c>
      <c r="L10" s="927">
        <v>0</v>
      </c>
      <c r="M10" s="1017">
        <f t="shared" si="2"/>
        <v>-35000</v>
      </c>
      <c r="N10" s="925" t="s">
        <v>536</v>
      </c>
      <c r="O10" s="946"/>
      <c r="P10" s="928">
        <v>0</v>
      </c>
      <c r="Q10" s="1020">
        <f t="shared" si="3"/>
        <v>-35000</v>
      </c>
      <c r="R10" s="928">
        <v>0</v>
      </c>
      <c r="S10" s="1020">
        <f t="shared" si="4"/>
        <v>-35000</v>
      </c>
      <c r="T10" s="928">
        <v>0</v>
      </c>
      <c r="U10" s="1020">
        <f t="shared" si="5"/>
        <v>-35000</v>
      </c>
      <c r="V10" s="925" t="s">
        <v>536</v>
      </c>
      <c r="W10" s="928">
        <v>0</v>
      </c>
      <c r="X10" s="1020">
        <f t="shared" si="6"/>
        <v>-35000</v>
      </c>
      <c r="Y10" s="928">
        <v>0</v>
      </c>
      <c r="Z10" s="1020">
        <f t="shared" si="7"/>
        <v>-35000</v>
      </c>
      <c r="AA10" s="928">
        <v>0</v>
      </c>
      <c r="AB10" s="1020">
        <f t="shared" si="8"/>
        <v>-35000</v>
      </c>
      <c r="AC10" s="925" t="s">
        <v>536</v>
      </c>
      <c r="AD10" s="928">
        <v>0</v>
      </c>
      <c r="AE10" s="1020">
        <f t="shared" si="9"/>
        <v>-35000</v>
      </c>
      <c r="AF10" s="928">
        <v>0</v>
      </c>
      <c r="AG10" s="1020">
        <f t="shared" si="10"/>
        <v>-35000</v>
      </c>
      <c r="AH10" s="928">
        <v>0</v>
      </c>
      <c r="AI10" s="1020">
        <f t="shared" si="11"/>
        <v>-35000</v>
      </c>
      <c r="AJ10" s="925" t="s">
        <v>536</v>
      </c>
      <c r="AK10" s="928">
        <v>0</v>
      </c>
      <c r="AL10" s="1020">
        <f t="shared" si="12"/>
        <v>-35000</v>
      </c>
      <c r="AM10" s="928">
        <v>0</v>
      </c>
      <c r="AN10" s="1017">
        <f t="shared" si="13"/>
        <v>-35000</v>
      </c>
      <c r="AO10" s="928">
        <v>0</v>
      </c>
      <c r="AP10" s="1017">
        <f t="shared" si="14"/>
        <v>-35000</v>
      </c>
      <c r="AQ10" s="925" t="s">
        <v>536</v>
      </c>
    </row>
    <row r="11" spans="1:43" s="925" customFormat="1">
      <c r="A11" s="930">
        <v>7</v>
      </c>
      <c r="B11" s="925" t="s">
        <v>507</v>
      </c>
      <c r="C11" s="927">
        <f>'[5]O&amp;M revenues &amp; costs'!C13</f>
        <v>5000</v>
      </c>
      <c r="D11" s="927">
        <f>'[5]O&amp;M revenues &amp; costs'!D13</f>
        <v>5000</v>
      </c>
      <c r="E11" s="927">
        <f>'[5]O&amp;M revenues &amp; costs'!E13</f>
        <v>5000</v>
      </c>
      <c r="F11" s="927">
        <f t="shared" si="15"/>
        <v>5000</v>
      </c>
      <c r="G11" s="965"/>
      <c r="H11" s="930">
        <f t="shared" si="0"/>
        <v>7</v>
      </c>
      <c r="I11" s="927">
        <v>0</v>
      </c>
      <c r="J11" s="1017">
        <f t="shared" si="1"/>
        <v>-5000</v>
      </c>
      <c r="L11" s="927">
        <v>0</v>
      </c>
      <c r="M11" s="1017">
        <f t="shared" si="2"/>
        <v>-5000</v>
      </c>
      <c r="O11" s="946"/>
      <c r="P11" s="928">
        <v>0</v>
      </c>
      <c r="Q11" s="1020">
        <f t="shared" si="3"/>
        <v>-5000</v>
      </c>
      <c r="R11" s="928">
        <v>0</v>
      </c>
      <c r="S11" s="1020">
        <f t="shared" si="4"/>
        <v>-5000</v>
      </c>
      <c r="T11" s="928">
        <v>0</v>
      </c>
      <c r="U11" s="1020">
        <f t="shared" si="5"/>
        <v>-5000</v>
      </c>
      <c r="V11" s="946"/>
      <c r="W11" s="928">
        <v>0</v>
      </c>
      <c r="X11" s="1020">
        <f t="shared" si="6"/>
        <v>-5000</v>
      </c>
      <c r="Y11" s="928">
        <v>0</v>
      </c>
      <c r="Z11" s="1020">
        <f t="shared" si="7"/>
        <v>-5000</v>
      </c>
      <c r="AA11" s="928">
        <v>0</v>
      </c>
      <c r="AB11" s="1020">
        <f t="shared" si="8"/>
        <v>-5000</v>
      </c>
      <c r="AC11" s="946"/>
      <c r="AD11" s="928">
        <v>0</v>
      </c>
      <c r="AE11" s="1020">
        <f t="shared" si="9"/>
        <v>-5000</v>
      </c>
      <c r="AF11" s="928">
        <v>0</v>
      </c>
      <c r="AG11" s="1020">
        <f t="shared" si="10"/>
        <v>-5000</v>
      </c>
      <c r="AH11" s="928">
        <v>0</v>
      </c>
      <c r="AI11" s="1020">
        <f t="shared" si="11"/>
        <v>-5000</v>
      </c>
      <c r="AJ11" s="946"/>
      <c r="AK11" s="928">
        <v>0</v>
      </c>
      <c r="AL11" s="1020">
        <f t="shared" si="12"/>
        <v>-5000</v>
      </c>
      <c r="AM11" s="928">
        <v>0</v>
      </c>
      <c r="AN11" s="1017">
        <f t="shared" si="13"/>
        <v>-5000</v>
      </c>
      <c r="AO11" s="928">
        <v>0</v>
      </c>
      <c r="AP11" s="1017">
        <f t="shared" si="14"/>
        <v>-5000</v>
      </c>
      <c r="AQ11" s="946"/>
    </row>
    <row r="12" spans="1:43" s="925" customFormat="1">
      <c r="A12" s="930">
        <v>8</v>
      </c>
      <c r="B12" s="925" t="s">
        <v>508</v>
      </c>
      <c r="C12" s="927">
        <f>'[5]O&amp;M revenues &amp; costs'!C14</f>
        <v>125000</v>
      </c>
      <c r="D12" s="927">
        <f>'[5]O&amp;M revenues &amp; costs'!D14</f>
        <v>125000</v>
      </c>
      <c r="E12" s="927">
        <f>'[5]O&amp;M revenues &amp; costs'!E14</f>
        <v>125000</v>
      </c>
      <c r="F12" s="927">
        <f t="shared" si="15"/>
        <v>125000</v>
      </c>
      <c r="G12" s="965"/>
      <c r="H12" s="930">
        <f t="shared" si="0"/>
        <v>8</v>
      </c>
      <c r="I12" s="927">
        <f>100000+'P&amp;L - Concept A1'!J98</f>
        <v>346265.5</v>
      </c>
      <c r="J12" s="927">
        <f t="shared" si="1"/>
        <v>221265.5</v>
      </c>
      <c r="K12" s="925" t="s">
        <v>513</v>
      </c>
      <c r="L12" s="927">
        <f>100000+'P&amp;L - Concept A2'!J98</f>
        <v>342651.99999999994</v>
      </c>
      <c r="M12" s="927">
        <f t="shared" si="2"/>
        <v>217651.99999999994</v>
      </c>
      <c r="N12" s="925" t="s">
        <v>513</v>
      </c>
      <c r="P12" s="928">
        <f>100000+'P&amp;L - Concept B2 - NCLH'!J98</f>
        <v>346265.5</v>
      </c>
      <c r="Q12" s="928">
        <f t="shared" si="3"/>
        <v>221265.5</v>
      </c>
      <c r="R12" s="928">
        <f>100000+'P&amp;L - Concept B2 - RCCL'!J98</f>
        <v>346265.5</v>
      </c>
      <c r="S12" s="928">
        <f t="shared" si="4"/>
        <v>221265.5</v>
      </c>
      <c r="T12" s="928">
        <f>100000+'P&amp;L - Concept B2 - Carnival'!J98</f>
        <v>346265.5</v>
      </c>
      <c r="U12" s="928">
        <f t="shared" si="5"/>
        <v>221265.5</v>
      </c>
      <c r="V12" s="925" t="s">
        <v>513</v>
      </c>
      <c r="W12" s="928">
        <f>100000+'P&amp;L - Concept B3 - NCLH'!J98</f>
        <v>343254.24999999994</v>
      </c>
      <c r="X12" s="928">
        <f t="shared" si="6"/>
        <v>218254.24999999994</v>
      </c>
      <c r="Y12" s="928">
        <f>100000+'P&amp;L - Concept B3 - RCCL'!J98</f>
        <v>343254.24999999994</v>
      </c>
      <c r="Z12" s="928">
        <f t="shared" si="7"/>
        <v>218254.24999999994</v>
      </c>
      <c r="AA12" s="928">
        <f>100000+'P&amp;L - Concept B3 - Carnival'!J98</f>
        <v>343254.24999999994</v>
      </c>
      <c r="AB12" s="928">
        <f t="shared" si="8"/>
        <v>218254.24999999994</v>
      </c>
      <c r="AC12" s="925" t="s">
        <v>513</v>
      </c>
      <c r="AD12" s="928">
        <f>'P&amp;L - Concept C1 - NCLH'!J99+'P&amp;L - Concept C1 - NCLH'!J116</f>
        <v>316287.84722222219</v>
      </c>
      <c r="AE12" s="928">
        <f t="shared" si="9"/>
        <v>191287.84722222219</v>
      </c>
      <c r="AF12" s="928">
        <f>100000+'P&amp;L - Concept C1 - RCCL'!J99</f>
        <v>316287.84722222219</v>
      </c>
      <c r="AG12" s="928">
        <f t="shared" si="10"/>
        <v>191287.84722222219</v>
      </c>
      <c r="AH12" s="928">
        <f>100000+'P&amp;L - Concept C1 - Carnival'!J99</f>
        <v>316287.84722222219</v>
      </c>
      <c r="AI12" s="928">
        <f t="shared" si="11"/>
        <v>191287.84722222219</v>
      </c>
      <c r="AJ12" s="925" t="s">
        <v>513</v>
      </c>
      <c r="AK12" s="928">
        <f>100000+'P&amp;L - Concept C2 - NCLH'!J99</f>
        <v>316287.84722222219</v>
      </c>
      <c r="AL12" s="928">
        <f t="shared" si="12"/>
        <v>191287.84722222219</v>
      </c>
      <c r="AM12" s="928">
        <f>100000+'P&amp;L - Concept C2 - NCLH'!K99</f>
        <v>316287.84722222219</v>
      </c>
      <c r="AN12" s="927">
        <f t="shared" si="13"/>
        <v>191287.84722222219</v>
      </c>
      <c r="AO12" s="928">
        <f>100000+'P&amp;L - Concept C2 - Carnival'!J99</f>
        <v>316287.84722222219</v>
      </c>
      <c r="AP12" s="927">
        <f t="shared" si="14"/>
        <v>191287.84722222219</v>
      </c>
      <c r="AQ12" s="925" t="s">
        <v>513</v>
      </c>
    </row>
    <row r="13" spans="1:43" s="925" customFormat="1">
      <c r="A13" s="930">
        <v>9</v>
      </c>
      <c r="B13" s="925" t="s">
        <v>509</v>
      </c>
      <c r="C13" s="927">
        <f>'[5]O&amp;M revenues &amp; costs'!C15</f>
        <v>64500</v>
      </c>
      <c r="D13" s="927">
        <f>'[5]O&amp;M revenues &amp; costs'!D15</f>
        <v>64500</v>
      </c>
      <c r="E13" s="927">
        <f>'[5]O&amp;M revenues &amp; costs'!E15</f>
        <v>64500</v>
      </c>
      <c r="F13" s="927">
        <f t="shared" si="15"/>
        <v>64500</v>
      </c>
      <c r="G13" s="965"/>
      <c r="H13" s="930">
        <f t="shared" si="0"/>
        <v>9</v>
      </c>
      <c r="I13" s="927">
        <v>0</v>
      </c>
      <c r="J13" s="1017">
        <f t="shared" si="1"/>
        <v>-64500</v>
      </c>
      <c r="L13" s="927">
        <v>0</v>
      </c>
      <c r="M13" s="1017">
        <f t="shared" si="2"/>
        <v>-64500</v>
      </c>
      <c r="O13" s="946"/>
      <c r="P13" s="928">
        <f>'P&amp;L - Concept B2 - NCLH'!J76</f>
        <v>393242.29374391458</v>
      </c>
      <c r="Q13" s="928">
        <f t="shared" si="3"/>
        <v>328742.29374391458</v>
      </c>
      <c r="R13" s="928">
        <f>'P&amp;L - Concept B2 - RCCL'!J76</f>
        <v>675313.82784743607</v>
      </c>
      <c r="S13" s="928">
        <f t="shared" si="4"/>
        <v>610813.82784743607</v>
      </c>
      <c r="T13" s="928">
        <f>'P&amp;L - Concept B2 - Carnival'!J76</f>
        <v>797778.92890004232</v>
      </c>
      <c r="U13" s="928">
        <f t="shared" si="5"/>
        <v>733278.92890004232</v>
      </c>
      <c r="W13" s="928">
        <f>'P&amp;L - Concept B3 - NCLH'!J76</f>
        <v>393242.29374391458</v>
      </c>
      <c r="X13" s="928">
        <f t="shared" si="6"/>
        <v>328742.29374391458</v>
      </c>
      <c r="Y13" s="928">
        <f>'P&amp;L - Concept B3 - RCCL'!J76</f>
        <v>675313.82784743607</v>
      </c>
      <c r="Z13" s="928">
        <f t="shared" si="7"/>
        <v>610813.82784743607</v>
      </c>
      <c r="AA13" s="928">
        <f>'P&amp;L - Concept B3 - Carnival'!J76</f>
        <v>797778.92890004232</v>
      </c>
      <c r="AB13" s="928">
        <f t="shared" si="8"/>
        <v>733278.92890004232</v>
      </c>
      <c r="AD13" s="928">
        <f>'P&amp;L - Concept C1 - NCLH'!J76</f>
        <v>393242.29374391458</v>
      </c>
      <c r="AE13" s="928">
        <f t="shared" si="9"/>
        <v>328742.29374391458</v>
      </c>
      <c r="AF13" s="928">
        <f>'P&amp;L - Concept C1 - RCCL'!J76</f>
        <v>675313.82784743607</v>
      </c>
      <c r="AG13" s="928">
        <f t="shared" si="10"/>
        <v>610813.82784743607</v>
      </c>
      <c r="AH13" s="928">
        <f>'P&amp;L - Concept C1 - Carnival'!J76</f>
        <v>797778.92890004232</v>
      </c>
      <c r="AI13" s="928">
        <f t="shared" si="11"/>
        <v>733278.92890004232</v>
      </c>
      <c r="AK13" s="928">
        <f>'P&amp;L - Concept C2 - NCLH'!J76</f>
        <v>393242.29374391458</v>
      </c>
      <c r="AL13" s="928">
        <f t="shared" si="12"/>
        <v>328742.29374391458</v>
      </c>
      <c r="AM13" s="928">
        <f>'P&amp;L - Concept C2 - RCCL'!J76</f>
        <v>675313.82784743607</v>
      </c>
      <c r="AN13" s="927">
        <f t="shared" si="13"/>
        <v>610813.82784743607</v>
      </c>
      <c r="AO13" s="928">
        <f>'P&amp;L - Concept C2 - Carnival'!J76</f>
        <v>797778.92890004232</v>
      </c>
      <c r="AP13" s="927">
        <f t="shared" si="14"/>
        <v>733278.92890004232</v>
      </c>
    </row>
    <row r="14" spans="1:43" s="925" customFormat="1">
      <c r="A14" s="930">
        <v>10</v>
      </c>
      <c r="B14" s="925" t="s">
        <v>510</v>
      </c>
      <c r="C14" s="927">
        <f>'[5]O&amp;M revenues &amp; costs'!C16</f>
        <v>540000</v>
      </c>
      <c r="D14" s="927">
        <f>'[5]O&amp;M revenues &amp; costs'!D16</f>
        <v>540000</v>
      </c>
      <c r="E14" s="927">
        <f>'[5]O&amp;M revenues &amp; costs'!E16</f>
        <v>540000</v>
      </c>
      <c r="F14" s="927">
        <f t="shared" si="15"/>
        <v>540000</v>
      </c>
      <c r="G14" s="965"/>
      <c r="H14" s="930">
        <f t="shared" si="0"/>
        <v>10</v>
      </c>
      <c r="I14" s="927">
        <f>'P&amp;L - Concept A1'!J78</f>
        <v>566043.54675344983</v>
      </c>
      <c r="J14" s="927">
        <f t="shared" si="1"/>
        <v>26043.546753449831</v>
      </c>
      <c r="K14" s="925" t="s">
        <v>533</v>
      </c>
      <c r="L14" s="927">
        <f>'P&amp;L - Concept A2'!J78</f>
        <v>566043.54675344983</v>
      </c>
      <c r="M14" s="927">
        <f t="shared" si="2"/>
        <v>26043.546753449831</v>
      </c>
      <c r="N14" s="925" t="s">
        <v>533</v>
      </c>
      <c r="O14" s="946"/>
      <c r="P14" s="928">
        <f>'P&amp;L - Concept B2 - NCLH'!J78</f>
        <v>566043.54675344983</v>
      </c>
      <c r="Q14" s="928">
        <f t="shared" si="3"/>
        <v>26043.546753449831</v>
      </c>
      <c r="R14" s="928">
        <f>'P&amp;L - Concept B2 - RCCL'!J78</f>
        <v>566043.54675344983</v>
      </c>
      <c r="S14" s="928">
        <f t="shared" si="4"/>
        <v>26043.546753449831</v>
      </c>
      <c r="T14" s="928">
        <f>'P&amp;L - Concept B2 - Carnival'!J78</f>
        <v>566043.54675344983</v>
      </c>
      <c r="U14" s="928">
        <f t="shared" si="5"/>
        <v>26043.546753449831</v>
      </c>
      <c r="V14" s="925" t="s">
        <v>533</v>
      </c>
      <c r="W14" s="928">
        <f>'P&amp;L - Concept B3 - NCLH'!J78</f>
        <v>566043.54675344983</v>
      </c>
      <c r="X14" s="928">
        <f t="shared" si="6"/>
        <v>26043.546753449831</v>
      </c>
      <c r="Y14" s="928">
        <f>'P&amp;L - Concept B3 - RCCL'!J78</f>
        <v>566043.54675344983</v>
      </c>
      <c r="Z14" s="928">
        <f t="shared" si="7"/>
        <v>26043.546753449831</v>
      </c>
      <c r="AA14" s="928">
        <f>'P&amp;L - Concept B3 - Carnival'!J78</f>
        <v>566043.54675344983</v>
      </c>
      <c r="AB14" s="928">
        <f t="shared" si="8"/>
        <v>26043.546753449831</v>
      </c>
      <c r="AC14" s="925" t="s">
        <v>533</v>
      </c>
      <c r="AD14" s="928">
        <f>'P&amp;L - Concept C1 - NCLH'!J78</f>
        <v>566043.54675344983</v>
      </c>
      <c r="AE14" s="928">
        <f t="shared" si="9"/>
        <v>26043.546753449831</v>
      </c>
      <c r="AF14" s="928">
        <f>'P&amp;L - Concept C1 - RCCL'!J78</f>
        <v>566043.54675344983</v>
      </c>
      <c r="AG14" s="928">
        <f t="shared" si="10"/>
        <v>26043.546753449831</v>
      </c>
      <c r="AH14" s="928">
        <f>'P&amp;L - Concept C1 - Carnival'!J78</f>
        <v>566043.54675344983</v>
      </c>
      <c r="AI14" s="928">
        <f t="shared" si="11"/>
        <v>26043.546753449831</v>
      </c>
      <c r="AJ14" s="925" t="s">
        <v>533</v>
      </c>
      <c r="AK14" s="928">
        <f>'P&amp;L - Concept C2 - NCLH'!J78</f>
        <v>566043.54675344983</v>
      </c>
      <c r="AL14" s="928">
        <f t="shared" si="12"/>
        <v>26043.546753449831</v>
      </c>
      <c r="AM14" s="928">
        <f>'P&amp;L - Concept C2 - RCCL'!J78</f>
        <v>566043.54675344983</v>
      </c>
      <c r="AN14" s="927">
        <f t="shared" si="13"/>
        <v>26043.546753449831</v>
      </c>
      <c r="AO14" s="928">
        <f>'P&amp;L - Concept C2 - Carnival'!J78</f>
        <v>566043.54675344983</v>
      </c>
      <c r="AP14" s="927">
        <f t="shared" si="14"/>
        <v>26043.546753449831</v>
      </c>
      <c r="AQ14" s="925" t="s">
        <v>533</v>
      </c>
    </row>
    <row r="15" spans="1:43" s="925" customFormat="1">
      <c r="A15" s="930">
        <v>11</v>
      </c>
      <c r="B15" s="925" t="s">
        <v>511</v>
      </c>
      <c r="C15" s="927">
        <f>'[5]O&amp;M revenues &amp; costs'!C17</f>
        <v>0</v>
      </c>
      <c r="D15" s="927">
        <f>'[5]O&amp;M revenues &amp; costs'!D17</f>
        <v>0</v>
      </c>
      <c r="E15" s="927">
        <f>'[5]O&amp;M revenues &amp; costs'!E17</f>
        <v>0</v>
      </c>
      <c r="F15" s="927">
        <f t="shared" si="15"/>
        <v>0</v>
      </c>
      <c r="G15" s="965"/>
      <c r="H15" s="930">
        <f t="shared" si="0"/>
        <v>11</v>
      </c>
      <c r="I15" s="927">
        <v>0</v>
      </c>
      <c r="J15" s="927">
        <f t="shared" si="1"/>
        <v>0</v>
      </c>
      <c r="L15" s="927">
        <v>0</v>
      </c>
      <c r="M15" s="927">
        <f t="shared" si="2"/>
        <v>0</v>
      </c>
      <c r="O15" s="946"/>
      <c r="P15" s="928">
        <v>0</v>
      </c>
      <c r="Q15" s="928">
        <f t="shared" si="3"/>
        <v>0</v>
      </c>
      <c r="R15" s="928">
        <v>0</v>
      </c>
      <c r="S15" s="928">
        <f t="shared" si="4"/>
        <v>0</v>
      </c>
      <c r="T15" s="928">
        <v>0</v>
      </c>
      <c r="U15" s="928">
        <f t="shared" si="5"/>
        <v>0</v>
      </c>
      <c r="V15" s="946"/>
      <c r="W15" s="928">
        <v>0</v>
      </c>
      <c r="X15" s="928">
        <f t="shared" si="6"/>
        <v>0</v>
      </c>
      <c r="Y15" s="928">
        <v>0</v>
      </c>
      <c r="Z15" s="928">
        <f t="shared" si="7"/>
        <v>0</v>
      </c>
      <c r="AA15" s="928">
        <v>0</v>
      </c>
      <c r="AB15" s="928">
        <f t="shared" si="8"/>
        <v>0</v>
      </c>
      <c r="AC15" s="946"/>
      <c r="AD15" s="928">
        <v>0</v>
      </c>
      <c r="AE15" s="928">
        <f t="shared" si="9"/>
        <v>0</v>
      </c>
      <c r="AF15" s="928">
        <v>0</v>
      </c>
      <c r="AG15" s="928">
        <f t="shared" si="10"/>
        <v>0</v>
      </c>
      <c r="AH15" s="928">
        <v>0</v>
      </c>
      <c r="AI15" s="928">
        <f t="shared" si="11"/>
        <v>0</v>
      </c>
      <c r="AJ15" s="946"/>
      <c r="AK15" s="928">
        <v>0</v>
      </c>
      <c r="AL15" s="928">
        <f t="shared" si="12"/>
        <v>0</v>
      </c>
      <c r="AM15" s="928">
        <v>0</v>
      </c>
      <c r="AN15" s="927">
        <f t="shared" si="13"/>
        <v>0</v>
      </c>
      <c r="AO15" s="928">
        <v>0</v>
      </c>
      <c r="AP15" s="927">
        <f t="shared" si="14"/>
        <v>0</v>
      </c>
      <c r="AQ15" s="946"/>
    </row>
    <row r="16" spans="1:43" s="925" customFormat="1">
      <c r="A16" s="930">
        <v>12</v>
      </c>
      <c r="B16" s="925" t="s">
        <v>512</v>
      </c>
      <c r="C16" s="927">
        <f>'[5]O&amp;M revenues &amp; costs'!C18</f>
        <v>0</v>
      </c>
      <c r="D16" s="927">
        <f>'[5]O&amp;M revenues &amp; costs'!D18</f>
        <v>0</v>
      </c>
      <c r="E16" s="927">
        <f>'[5]O&amp;M revenues &amp; costs'!E18</f>
        <v>0</v>
      </c>
      <c r="F16" s="927">
        <f t="shared" si="15"/>
        <v>0</v>
      </c>
      <c r="G16" s="965"/>
      <c r="H16" s="930">
        <f t="shared" si="0"/>
        <v>12</v>
      </c>
      <c r="I16" s="927">
        <f>'P&amp;L - Concept A1'!J103</f>
        <v>3312.2424096</v>
      </c>
      <c r="J16" s="927">
        <f t="shared" si="1"/>
        <v>3312.2424096</v>
      </c>
      <c r="L16" s="927">
        <f>'P&amp;L - Concept A2'!J103</f>
        <v>3312.2424096</v>
      </c>
      <c r="M16" s="927">
        <f t="shared" si="2"/>
        <v>3312.2424096</v>
      </c>
      <c r="O16" s="946"/>
      <c r="P16" s="928">
        <f>'P&amp;L - Concept B2 - NCLH'!J103</f>
        <v>3312.2424096</v>
      </c>
      <c r="Q16" s="928">
        <f t="shared" si="3"/>
        <v>3312.2424096</v>
      </c>
      <c r="R16" s="928">
        <f>'P&amp;L - Concept B2 - RCCL'!J103</f>
        <v>3312.2424096</v>
      </c>
      <c r="S16" s="928">
        <f t="shared" si="4"/>
        <v>3312.2424096</v>
      </c>
      <c r="T16" s="928">
        <f>'P&amp;L - Concept B2 - Carnival'!J103</f>
        <v>3312.2424096</v>
      </c>
      <c r="U16" s="928">
        <f t="shared" si="5"/>
        <v>3312.2424096</v>
      </c>
      <c r="V16" s="946"/>
      <c r="W16" s="928">
        <f>'P&amp;L - Concept B3 - NCLH'!J103</f>
        <v>3312.2424096</v>
      </c>
      <c r="X16" s="928">
        <f t="shared" si="6"/>
        <v>3312.2424096</v>
      </c>
      <c r="Y16" s="928">
        <f>'P&amp;L - Concept B3 - RCCL'!J103</f>
        <v>3312.2424096</v>
      </c>
      <c r="Z16" s="928">
        <f t="shared" si="7"/>
        <v>3312.2424096</v>
      </c>
      <c r="AA16" s="928">
        <f>'P&amp;L - Concept B3 - Carnival'!J103</f>
        <v>3312.2424096</v>
      </c>
      <c r="AB16" s="928">
        <f t="shared" si="8"/>
        <v>3312.2424096</v>
      </c>
      <c r="AC16" s="946"/>
      <c r="AD16" s="928">
        <f>'P&amp;L - Concept C1 - NCLH'!J104</f>
        <v>3312.2424096</v>
      </c>
      <c r="AE16" s="928">
        <f t="shared" si="9"/>
        <v>3312.2424096</v>
      </c>
      <c r="AF16" s="928">
        <f>'P&amp;L - Concept C1 - RCCL'!J104</f>
        <v>3312.2424096</v>
      </c>
      <c r="AG16" s="928">
        <f t="shared" si="10"/>
        <v>3312.2424096</v>
      </c>
      <c r="AH16" s="928">
        <f>'P&amp;L - Concept C1 - Carnival'!J104</f>
        <v>3312.2424096</v>
      </c>
      <c r="AI16" s="928">
        <f t="shared" si="11"/>
        <v>3312.2424096</v>
      </c>
      <c r="AJ16" s="946"/>
      <c r="AK16" s="928">
        <f>'P&amp;L - Concept C2 - NCLH'!J104</f>
        <v>3312.2424096</v>
      </c>
      <c r="AL16" s="928">
        <f t="shared" si="12"/>
        <v>3312.2424096</v>
      </c>
      <c r="AM16" s="928">
        <f>'P&amp;L - Concept C2 - RCCL'!J104</f>
        <v>3312.2424096</v>
      </c>
      <c r="AN16" s="927">
        <f t="shared" si="13"/>
        <v>3312.2424096</v>
      </c>
      <c r="AO16" s="928">
        <f>'P&amp;L - Concept C2 - Carnival'!J104</f>
        <v>3312.2424096</v>
      </c>
      <c r="AP16" s="927">
        <f t="shared" si="14"/>
        <v>3312.2424096</v>
      </c>
      <c r="AQ16" s="946"/>
    </row>
    <row r="17" spans="1:43" s="925" customFormat="1">
      <c r="A17" s="930">
        <v>13</v>
      </c>
      <c r="B17" s="925" t="s">
        <v>538</v>
      </c>
      <c r="C17" s="927">
        <f>'[5]O&amp;M revenues &amp; costs'!C19</f>
        <v>0</v>
      </c>
      <c r="D17" s="927">
        <f>'[5]O&amp;M revenues &amp; costs'!D19</f>
        <v>125000</v>
      </c>
      <c r="E17" s="927">
        <f>'[5]O&amp;M revenues &amp; costs'!E19</f>
        <v>125000</v>
      </c>
      <c r="F17" s="927">
        <f t="shared" si="15"/>
        <v>125000</v>
      </c>
      <c r="G17" s="965"/>
      <c r="H17" s="930">
        <f t="shared" si="0"/>
        <v>13</v>
      </c>
      <c r="I17" s="927">
        <v>0</v>
      </c>
      <c r="J17" s="1017">
        <f t="shared" si="1"/>
        <v>-125000</v>
      </c>
      <c r="L17" s="927">
        <v>0</v>
      </c>
      <c r="M17" s="1017">
        <f t="shared" si="2"/>
        <v>-125000</v>
      </c>
      <c r="O17" s="946"/>
      <c r="P17" s="928">
        <v>0</v>
      </c>
      <c r="Q17" s="1020">
        <f t="shared" si="3"/>
        <v>-125000</v>
      </c>
      <c r="R17" s="928">
        <v>0</v>
      </c>
      <c r="S17" s="1020">
        <f t="shared" si="4"/>
        <v>-125000</v>
      </c>
      <c r="T17" s="928">
        <v>0</v>
      </c>
      <c r="U17" s="1020">
        <f t="shared" si="5"/>
        <v>-125000</v>
      </c>
      <c r="V17" s="946"/>
      <c r="W17" s="928">
        <v>0</v>
      </c>
      <c r="X17" s="1020">
        <f t="shared" si="6"/>
        <v>-125000</v>
      </c>
      <c r="Y17" s="928">
        <v>0</v>
      </c>
      <c r="Z17" s="1020">
        <f t="shared" si="7"/>
        <v>-125000</v>
      </c>
      <c r="AA17" s="928">
        <v>0</v>
      </c>
      <c r="AB17" s="1020">
        <f t="shared" si="8"/>
        <v>-125000</v>
      </c>
      <c r="AC17" s="946"/>
      <c r="AD17" s="928">
        <f>SUM('P&amp;L - Concept C1 - NCLH'!J81:J85)</f>
        <v>246166.04959999997</v>
      </c>
      <c r="AE17" s="928">
        <f t="shared" si="9"/>
        <v>121166.04959999997</v>
      </c>
      <c r="AF17" s="928">
        <f>SUM('P&amp;L - Concept C1 - RCCL'!J81:J85)</f>
        <v>246166.04959999997</v>
      </c>
      <c r="AG17" s="928">
        <f t="shared" si="10"/>
        <v>121166.04959999997</v>
      </c>
      <c r="AH17" s="928">
        <f>SUM('P&amp;L - Concept C1 - Carnival'!J81:J85)</f>
        <v>246166.04959999997</v>
      </c>
      <c r="AI17" s="928">
        <f t="shared" si="11"/>
        <v>121166.04959999997</v>
      </c>
      <c r="AJ17" s="946"/>
      <c r="AK17" s="928">
        <f>SUM('P&amp;L - Concept C2 - NCLH'!J81:J85)</f>
        <v>246166.04959999997</v>
      </c>
      <c r="AL17" s="928">
        <f t="shared" si="12"/>
        <v>121166.04959999997</v>
      </c>
      <c r="AM17" s="928">
        <f>SUM('P&amp;L - Concept C2 - RCCL'!J81:J85)</f>
        <v>246166.04959999997</v>
      </c>
      <c r="AN17" s="927">
        <f t="shared" si="13"/>
        <v>121166.04959999997</v>
      </c>
      <c r="AO17" s="928">
        <f>SUM('P&amp;L - Concept C2 - Carnival'!J81:J85)</f>
        <v>246166.04959999997</v>
      </c>
      <c r="AP17" s="927">
        <f t="shared" si="14"/>
        <v>121166.04959999997</v>
      </c>
      <c r="AQ17" s="946"/>
    </row>
    <row r="18" spans="1:43" s="925" customFormat="1">
      <c r="A18" s="943">
        <v>14</v>
      </c>
      <c r="B18" s="944" t="s">
        <v>535</v>
      </c>
      <c r="C18" s="945">
        <f>'[5]O&amp;M revenues &amp; costs'!C20</f>
        <v>0</v>
      </c>
      <c r="D18" s="945">
        <f>'[5]O&amp;M revenues &amp; costs'!D20</f>
        <v>0</v>
      </c>
      <c r="E18" s="945">
        <f>'[5]O&amp;M revenues &amp; costs'!E20</f>
        <v>0</v>
      </c>
      <c r="F18" s="945">
        <f t="shared" si="15"/>
        <v>0</v>
      </c>
      <c r="G18" s="967"/>
      <c r="H18" s="943">
        <f t="shared" si="0"/>
        <v>14</v>
      </c>
      <c r="I18" s="945">
        <f>SUM('P&amp;L - Concept A1'!J101:J102,'P&amp;L - Concept A1'!J104)</f>
        <v>1650</v>
      </c>
      <c r="J18" s="945">
        <f t="shared" si="1"/>
        <v>1650</v>
      </c>
      <c r="K18" s="944"/>
      <c r="L18" s="945">
        <f>SUM('P&amp;L - Concept A2'!J101:J102,'P&amp;L - Concept A2'!J104)</f>
        <v>1650</v>
      </c>
      <c r="M18" s="945">
        <f t="shared" si="2"/>
        <v>1650</v>
      </c>
      <c r="N18" s="944"/>
      <c r="O18" s="947"/>
      <c r="P18" s="945">
        <f>SUM('P&amp;L - Concept B2 - NCLH'!J101:J102,'P&amp;L - Concept B2 - NCLH'!J104)</f>
        <v>18274.484819199999</v>
      </c>
      <c r="Q18" s="1004">
        <f t="shared" si="3"/>
        <v>18274.484819199999</v>
      </c>
      <c r="R18" s="945">
        <f>SUM('P&amp;L - Concept B2 - RCCL'!J101:J102,'P&amp;L - Concept B2 - RCCL'!J104)</f>
        <v>18274.484819199999</v>
      </c>
      <c r="S18" s="1004">
        <f t="shared" si="4"/>
        <v>18274.484819199999</v>
      </c>
      <c r="T18" s="945">
        <f>SUM('P&amp;L - Concept B2 - Carnival'!J101:J102,'P&amp;L - Concept B2 - RCCL'!J104)</f>
        <v>18274.484819199999</v>
      </c>
      <c r="U18" s="1004">
        <f t="shared" si="5"/>
        <v>18274.484819199999</v>
      </c>
      <c r="V18" s="947"/>
      <c r="W18" s="945">
        <f>SUM('P&amp;L - Concept B3 - NCLH'!J101:J102,'P&amp;L - Concept B3 - NCLH'!J104)</f>
        <v>18274.484819199999</v>
      </c>
      <c r="X18" s="1004">
        <f t="shared" si="6"/>
        <v>18274.484819199999</v>
      </c>
      <c r="Y18" s="945">
        <f>SUM('P&amp;L - Concept B3 - RCCL'!J101:J102,'P&amp;L - Concept B3 - RCCL'!J104)</f>
        <v>18274.484819199999</v>
      </c>
      <c r="Z18" s="1004">
        <f t="shared" si="7"/>
        <v>18274.484819199999</v>
      </c>
      <c r="AA18" s="945">
        <f>SUM('P&amp;L - Concept B3 - Carnival'!J101:J102,'P&amp;L - Concept B3 - RCCL'!J104)</f>
        <v>18274.484819199999</v>
      </c>
      <c r="AB18" s="1004">
        <f t="shared" si="8"/>
        <v>18274.484819199999</v>
      </c>
      <c r="AC18" s="947"/>
      <c r="AD18" s="945">
        <f>SUM('P&amp;L - Concept C1 - NCLH'!J102:J103,'P&amp;L - Concept C1 - NCLH'!J105)</f>
        <v>18274.484819199999</v>
      </c>
      <c r="AE18" s="1004">
        <f t="shared" si="9"/>
        <v>18274.484819199999</v>
      </c>
      <c r="AF18" s="945">
        <f>SUM('P&amp;L - Concept C1 - RCCL'!J102:J103,'P&amp;L - Concept C1 - RCCL'!J105)</f>
        <v>18274.484819199999</v>
      </c>
      <c r="AG18" s="1004">
        <f t="shared" si="10"/>
        <v>18274.484819199999</v>
      </c>
      <c r="AH18" s="945">
        <f>SUM('P&amp;L - Concept C1 - Carnival'!J102:J103,'P&amp;L - Concept C1 - RCCL'!J105)</f>
        <v>18274.484819199999</v>
      </c>
      <c r="AI18" s="1004">
        <f t="shared" si="11"/>
        <v>18274.484819199999</v>
      </c>
      <c r="AJ18" s="947"/>
      <c r="AK18" s="945">
        <f>SUM('P&amp;L - Concept C2 - NCLH'!J102:J103,'P&amp;L - Concept C2 - NCLH'!J105)</f>
        <v>18274.484819199999</v>
      </c>
      <c r="AL18" s="1004">
        <f t="shared" si="12"/>
        <v>18274.484819199999</v>
      </c>
      <c r="AM18" s="945">
        <f>SUM('P&amp;L - Concept C2 - RCCL'!J102:J103,'P&amp;L - Concept C2 - RCCL'!J105)</f>
        <v>18274.484819199999</v>
      </c>
      <c r="AN18" s="945">
        <f t="shared" si="13"/>
        <v>18274.484819199999</v>
      </c>
      <c r="AO18" s="945">
        <f>SUM('P&amp;L - Concept C2 - Carnival'!J102:J103,'P&amp;L - Concept C2 - RCCL'!J105)</f>
        <v>18274.484819199999</v>
      </c>
      <c r="AP18" s="945">
        <f t="shared" si="14"/>
        <v>18274.484819199999</v>
      </c>
      <c r="AQ18" s="947"/>
    </row>
    <row r="19" spans="1:43" s="934" customFormat="1">
      <c r="A19" s="933"/>
      <c r="B19" s="950" t="s">
        <v>518</v>
      </c>
      <c r="C19" s="951">
        <f>'[5]O&amp;M revenues &amp; costs'!C23</f>
        <v>1025500</v>
      </c>
      <c r="D19" s="951">
        <f>'[5]O&amp;M revenues &amp; costs'!D23</f>
        <v>1150500</v>
      </c>
      <c r="E19" s="951">
        <f>'[5]O&amp;M revenues &amp; costs'!E23</f>
        <v>1150500</v>
      </c>
      <c r="F19" s="935">
        <f>SUM(F5:F18)</f>
        <v>1150500</v>
      </c>
      <c r="G19" s="969"/>
      <c r="I19" s="935">
        <f>SUM(I5:I18)</f>
        <v>1006648.147176936</v>
      </c>
      <c r="J19" s="1017">
        <f t="shared" si="1"/>
        <v>-143851.85282306396</v>
      </c>
      <c r="L19" s="958">
        <f>SUM(L5:L18)</f>
        <v>1280536.3908190236</v>
      </c>
      <c r="M19" s="927">
        <f t="shared" si="2"/>
        <v>130036.3908190236</v>
      </c>
      <c r="O19" s="952"/>
      <c r="P19" s="1007">
        <f>SUM(P5:P18)</f>
        <v>1416514.9257400506</v>
      </c>
      <c r="Q19" s="928">
        <f t="shared" si="3"/>
        <v>266014.92574005062</v>
      </c>
      <c r="R19" s="1007">
        <f>SUM(R5:R18)</f>
        <v>1698586.459843572</v>
      </c>
      <c r="S19" s="928">
        <f t="shared" si="4"/>
        <v>548086.459843572</v>
      </c>
      <c r="T19" s="1007">
        <f>SUM(T5:T18)</f>
        <v>1821051.5608961782</v>
      </c>
      <c r="U19" s="928">
        <f t="shared" si="5"/>
        <v>670551.56089617824</v>
      </c>
      <c r="V19" s="952"/>
      <c r="W19" s="958">
        <f>SUM(W5:W18)</f>
        <v>1645384.8477304522</v>
      </c>
      <c r="X19" s="928">
        <f t="shared" si="6"/>
        <v>494884.84773045219</v>
      </c>
      <c r="Y19" s="958">
        <f>SUM(Y5:Y18)</f>
        <v>1927456.3818339736</v>
      </c>
      <c r="Z19" s="928">
        <f t="shared" si="7"/>
        <v>776956.38183397357</v>
      </c>
      <c r="AA19" s="958">
        <f>SUM(AA5:AA18)</f>
        <v>2049921.4828865798</v>
      </c>
      <c r="AB19" s="928">
        <f t="shared" si="8"/>
        <v>899421.48288657982</v>
      </c>
      <c r="AC19" s="952"/>
      <c r="AD19" s="1007">
        <f>SUM(AD5:AD18)</f>
        <v>1632703.3225622727</v>
      </c>
      <c r="AE19" s="928">
        <f t="shared" si="9"/>
        <v>482203.32256227266</v>
      </c>
      <c r="AF19" s="1007">
        <f t="shared" ref="AF19:AH19" si="16">SUM(AF5:AF18)</f>
        <v>1914774.8566657943</v>
      </c>
      <c r="AG19" s="928">
        <f t="shared" si="10"/>
        <v>764274.85666579427</v>
      </c>
      <c r="AH19" s="1007">
        <f t="shared" si="16"/>
        <v>2037239.9577184003</v>
      </c>
      <c r="AI19" s="928">
        <f t="shared" si="11"/>
        <v>886739.95771840028</v>
      </c>
      <c r="AJ19" s="952"/>
      <c r="AK19" s="958">
        <f>SUM(AK5:AK18)</f>
        <v>1793587.9601091596</v>
      </c>
      <c r="AL19" s="928">
        <f t="shared" si="12"/>
        <v>643087.96010915958</v>
      </c>
      <c r="AM19" s="935">
        <f t="shared" ref="AM19:AO19" si="17">SUM(AM5:AM18)</f>
        <v>2075659.494212681</v>
      </c>
      <c r="AN19" s="927">
        <f t="shared" si="13"/>
        <v>925159.49421268096</v>
      </c>
      <c r="AO19" s="935">
        <f t="shared" si="17"/>
        <v>2198124.5952652874</v>
      </c>
      <c r="AP19" s="927">
        <f t="shared" si="14"/>
        <v>1047624.5952652874</v>
      </c>
      <c r="AQ19" s="952"/>
    </row>
    <row r="20" spans="1:43" s="1024" customFormat="1">
      <c r="A20" s="1021"/>
      <c r="B20" s="1022"/>
      <c r="C20" s="1023"/>
      <c r="D20" s="1023"/>
      <c r="E20" s="1023"/>
      <c r="G20" s="1025"/>
      <c r="J20" s="1017"/>
      <c r="M20" s="927"/>
      <c r="O20" s="1026"/>
      <c r="P20" s="1030">
        <f>'P&amp;L - Concept B2 - NCLH'!J119</f>
        <v>1416514.9257400504</v>
      </c>
      <c r="Q20" s="928"/>
      <c r="R20" s="1030">
        <f>'P&amp;L - Concept B2 - RCCL'!J119</f>
        <v>1698586.459843572</v>
      </c>
      <c r="S20" s="928"/>
      <c r="T20" s="1030">
        <f>'P&amp;L - Concept B2 - Carnival'!J119</f>
        <v>1821051.5608961782</v>
      </c>
      <c r="U20" s="928"/>
      <c r="V20" s="1026"/>
      <c r="W20" s="1027">
        <f>'P&amp;L - Concept B3 - NCLH'!J119</f>
        <v>1645384.8477304522</v>
      </c>
      <c r="X20" s="928"/>
      <c r="Y20" s="1027">
        <f>'P&amp;L - Concept B3 - RCCL'!J119</f>
        <v>1927456.3818339736</v>
      </c>
      <c r="Z20" s="928"/>
      <c r="AA20" s="1027">
        <f>'P&amp;L - Concept B3 - Carnival'!J119</f>
        <v>2049921.4828865798</v>
      </c>
      <c r="AB20" s="928"/>
      <c r="AC20" s="1026"/>
      <c r="AD20" s="1030">
        <f>'P&amp;L - Concept C1 - NCLH'!J120</f>
        <v>1632703.3225622727</v>
      </c>
      <c r="AE20" s="928"/>
      <c r="AF20" s="1030">
        <f>'P&amp;L - Concept C1 - RCCL'!J120</f>
        <v>1914774.8566657943</v>
      </c>
      <c r="AG20" s="928"/>
      <c r="AH20" s="1030">
        <f>'P&amp;L - Concept C1 - Carnival'!J120</f>
        <v>2037239.9577184003</v>
      </c>
      <c r="AI20" s="928"/>
      <c r="AJ20" s="1026"/>
      <c r="AK20" s="1027">
        <f>'P&amp;L - Concept C2 - NCLH'!J120</f>
        <v>1793587.9601091596</v>
      </c>
      <c r="AL20" s="928"/>
      <c r="AM20" s="1027">
        <f>'P&amp;L - Concept C2 - RCCL'!J120</f>
        <v>2075659.4942126812</v>
      </c>
      <c r="AN20" s="927"/>
      <c r="AO20" s="1027">
        <f>'P&amp;L - Concept C2 - Carnival'!J120</f>
        <v>2198124.595265287</v>
      </c>
      <c r="AP20" s="927"/>
      <c r="AQ20" s="1026"/>
    </row>
    <row r="21" spans="1:43" s="925" customFormat="1">
      <c r="A21" s="934" t="s">
        <v>586</v>
      </c>
      <c r="F21" s="924"/>
      <c r="G21" s="965"/>
      <c r="H21" s="934" t="s">
        <v>497</v>
      </c>
      <c r="J21" s="1017"/>
      <c r="M21" s="927"/>
      <c r="O21" s="946"/>
      <c r="P21" s="1028"/>
      <c r="Q21" s="928"/>
      <c r="R21" s="1028"/>
      <c r="S21" s="928"/>
      <c r="T21" s="1028"/>
      <c r="U21" s="928"/>
      <c r="V21" s="946"/>
      <c r="X21" s="928"/>
      <c r="Z21" s="928"/>
      <c r="AB21" s="928"/>
      <c r="AC21" s="946"/>
      <c r="AD21" s="1028"/>
      <c r="AE21" s="928"/>
      <c r="AF21" s="1028"/>
      <c r="AG21" s="928"/>
      <c r="AH21" s="1028"/>
      <c r="AI21" s="928"/>
      <c r="AJ21" s="946"/>
      <c r="AL21" s="928"/>
      <c r="AN21" s="927"/>
      <c r="AP21" s="927"/>
      <c r="AQ21" s="946"/>
    </row>
    <row r="22" spans="1:43" s="930" customFormat="1">
      <c r="A22" s="933"/>
      <c r="F22" s="972"/>
      <c r="G22" s="1014"/>
      <c r="I22" s="930" t="s">
        <v>349</v>
      </c>
      <c r="J22" s="1017"/>
      <c r="L22" s="930" t="s">
        <v>350</v>
      </c>
      <c r="M22" s="927"/>
      <c r="O22" s="1015" t="s">
        <v>352</v>
      </c>
      <c r="P22" s="1031" t="s">
        <v>353</v>
      </c>
      <c r="Q22" s="928"/>
      <c r="R22" s="1031" t="s">
        <v>353</v>
      </c>
      <c r="S22" s="928"/>
      <c r="T22" s="1031" t="s">
        <v>353</v>
      </c>
      <c r="U22" s="928"/>
      <c r="V22" s="1015"/>
      <c r="W22" s="930" t="s">
        <v>351</v>
      </c>
      <c r="X22" s="928"/>
      <c r="Y22" s="930" t="s">
        <v>351</v>
      </c>
      <c r="Z22" s="928"/>
      <c r="AA22" s="930" t="s">
        <v>351</v>
      </c>
      <c r="AB22" s="928"/>
      <c r="AC22" s="1015"/>
      <c r="AD22" s="1031" t="s">
        <v>355</v>
      </c>
      <c r="AE22" s="928"/>
      <c r="AF22" s="1031" t="s">
        <v>355</v>
      </c>
      <c r="AG22" s="928"/>
      <c r="AH22" s="1031" t="s">
        <v>355</v>
      </c>
      <c r="AI22" s="928"/>
      <c r="AJ22" s="1015"/>
      <c r="AK22" s="930" t="s">
        <v>354</v>
      </c>
      <c r="AL22" s="928"/>
      <c r="AM22" s="930" t="s">
        <v>354</v>
      </c>
      <c r="AN22" s="927"/>
      <c r="AO22" s="930" t="s">
        <v>354</v>
      </c>
      <c r="AP22" s="927"/>
      <c r="AQ22" s="1015"/>
    </row>
    <row r="23" spans="1:43" s="925" customFormat="1">
      <c r="A23" s="930"/>
      <c r="B23" s="934" t="s">
        <v>524</v>
      </c>
      <c r="C23" s="930" t="s">
        <v>463</v>
      </c>
      <c r="D23" s="930" t="s">
        <v>464</v>
      </c>
      <c r="E23" s="930" t="s">
        <v>465</v>
      </c>
      <c r="F23" s="972" t="s">
        <v>466</v>
      </c>
      <c r="G23" s="965"/>
      <c r="I23" s="934" t="s">
        <v>498</v>
      </c>
      <c r="J23" s="1017"/>
      <c r="K23" s="930" t="s">
        <v>492</v>
      </c>
      <c r="M23" s="927"/>
      <c r="N23" s="930" t="s">
        <v>492</v>
      </c>
      <c r="O23" s="946"/>
      <c r="P23" s="1008">
        <v>0.2</v>
      </c>
      <c r="Q23" s="928"/>
      <c r="R23" s="1008">
        <v>0.34</v>
      </c>
      <c r="S23" s="928"/>
      <c r="T23" s="1008">
        <v>0.4</v>
      </c>
      <c r="U23" s="928"/>
      <c r="V23" s="930" t="s">
        <v>492</v>
      </c>
      <c r="W23" s="1008">
        <v>0.2</v>
      </c>
      <c r="X23" s="928"/>
      <c r="Y23" s="979">
        <v>0.34</v>
      </c>
      <c r="Z23" s="928"/>
      <c r="AA23" s="979">
        <v>0.4</v>
      </c>
      <c r="AB23" s="928"/>
      <c r="AC23" s="930" t="s">
        <v>492</v>
      </c>
      <c r="AD23" s="1008">
        <v>0.2</v>
      </c>
      <c r="AE23" s="928"/>
      <c r="AF23" s="1008">
        <v>0.34</v>
      </c>
      <c r="AG23" s="928"/>
      <c r="AH23" s="1008">
        <v>0.4</v>
      </c>
      <c r="AI23" s="928"/>
      <c r="AJ23" s="930" t="s">
        <v>492</v>
      </c>
      <c r="AK23" s="1008">
        <v>0.2</v>
      </c>
      <c r="AL23" s="928"/>
      <c r="AM23" s="979">
        <v>0.34</v>
      </c>
      <c r="AN23" s="927"/>
      <c r="AO23" s="979">
        <v>0.4</v>
      </c>
      <c r="AP23" s="927"/>
      <c r="AQ23" s="930" t="s">
        <v>492</v>
      </c>
    </row>
    <row r="24" spans="1:43" s="925" customFormat="1" ht="30" customHeight="1">
      <c r="A24" s="939"/>
      <c r="B24" s="939"/>
      <c r="C24" s="940" t="s">
        <v>467</v>
      </c>
      <c r="D24" s="940" t="s">
        <v>468</v>
      </c>
      <c r="E24" s="940" t="s">
        <v>469</v>
      </c>
      <c r="F24" s="971" t="s">
        <v>470</v>
      </c>
      <c r="G24" s="965"/>
      <c r="I24" s="975">
        <v>2024</v>
      </c>
      <c r="J24" s="1017"/>
      <c r="K24" s="975"/>
      <c r="L24" s="975">
        <v>2024</v>
      </c>
      <c r="M24" s="927"/>
      <c r="N24" s="975"/>
      <c r="O24" s="976">
        <v>2024</v>
      </c>
      <c r="P24" s="1029">
        <v>2024</v>
      </c>
      <c r="Q24" s="928"/>
      <c r="R24" s="1029">
        <v>2024</v>
      </c>
      <c r="S24" s="928"/>
      <c r="T24" s="1029">
        <v>2024</v>
      </c>
      <c r="U24" s="928"/>
      <c r="V24" s="976"/>
      <c r="W24" s="975">
        <v>2024</v>
      </c>
      <c r="X24" s="928"/>
      <c r="Y24" s="975">
        <v>2024</v>
      </c>
      <c r="Z24" s="928"/>
      <c r="AA24" s="975">
        <v>2024</v>
      </c>
      <c r="AB24" s="928"/>
      <c r="AC24" s="976"/>
      <c r="AD24" s="1029">
        <v>2024</v>
      </c>
      <c r="AE24" s="928"/>
      <c r="AF24" s="1029">
        <v>2024</v>
      </c>
      <c r="AG24" s="928"/>
      <c r="AH24" s="1029">
        <v>2024</v>
      </c>
      <c r="AI24" s="928"/>
      <c r="AJ24" s="976"/>
      <c r="AK24" s="975">
        <v>2024</v>
      </c>
      <c r="AL24" s="928"/>
      <c r="AM24" s="975">
        <v>2024</v>
      </c>
      <c r="AN24" s="927"/>
      <c r="AO24" s="975">
        <v>2024</v>
      </c>
      <c r="AP24" s="927"/>
      <c r="AQ24" s="976"/>
    </row>
    <row r="25" spans="1:43" s="925" customFormat="1">
      <c r="A25" s="930">
        <v>1</v>
      </c>
      <c r="B25" s="925" t="s">
        <v>471</v>
      </c>
      <c r="C25" s="927">
        <v>3500000</v>
      </c>
      <c r="D25" s="927"/>
      <c r="E25" s="927"/>
      <c r="F25" s="927">
        <f>SUM(C25:E25)</f>
        <v>3500000</v>
      </c>
      <c r="G25" s="931"/>
      <c r="H25" s="932">
        <f>A25</f>
        <v>1</v>
      </c>
      <c r="I25" s="927">
        <f>3500000</f>
        <v>3500000</v>
      </c>
      <c r="J25" s="927">
        <f t="shared" ref="J25:J48" si="18">I25-F25</f>
        <v>0</v>
      </c>
      <c r="K25" s="927">
        <f>SUM(I26:I27)</f>
        <v>2452983</v>
      </c>
      <c r="L25" s="961">
        <f>$I$25</f>
        <v>3500000</v>
      </c>
      <c r="M25" s="927">
        <f t="shared" ref="M25:M48" si="19">L25-F25</f>
        <v>0</v>
      </c>
      <c r="N25" s="927"/>
      <c r="O25" s="977">
        <f t="shared" ref="O25:AO25" si="20">$I$25</f>
        <v>3500000</v>
      </c>
      <c r="P25" s="1032">
        <f t="shared" si="20"/>
        <v>3500000</v>
      </c>
      <c r="Q25" s="928">
        <f t="shared" ref="Q25:Q48" si="21">P25-F25</f>
        <v>0</v>
      </c>
      <c r="R25" s="1032">
        <f t="shared" ref="R25:R47" si="22">P25</f>
        <v>3500000</v>
      </c>
      <c r="S25" s="928">
        <f t="shared" ref="S25:S48" si="23">R25-F25</f>
        <v>0</v>
      </c>
      <c r="T25" s="1032">
        <f>R25</f>
        <v>3500000</v>
      </c>
      <c r="U25" s="928">
        <f t="shared" ref="U25:U48" si="24">T25-F25</f>
        <v>0</v>
      </c>
      <c r="V25" s="977"/>
      <c r="W25" s="961">
        <f t="shared" si="20"/>
        <v>3500000</v>
      </c>
      <c r="X25" s="928">
        <f t="shared" ref="X25:X48" si="25">W25-F25</f>
        <v>0</v>
      </c>
      <c r="Y25" s="961">
        <f t="shared" si="20"/>
        <v>3500000</v>
      </c>
      <c r="Z25" s="928">
        <f t="shared" ref="Z25:Z48" si="26">Y25-F25</f>
        <v>0</v>
      </c>
      <c r="AA25" s="961">
        <f t="shared" si="20"/>
        <v>3500000</v>
      </c>
      <c r="AB25" s="928">
        <f t="shared" ref="AB25:AB48" si="27">AA25-F25</f>
        <v>0</v>
      </c>
      <c r="AC25" s="977"/>
      <c r="AD25" s="1032">
        <f t="shared" si="20"/>
        <v>3500000</v>
      </c>
      <c r="AE25" s="928">
        <f t="shared" ref="AE25:AE48" si="28">AD25-F25</f>
        <v>0</v>
      </c>
      <c r="AF25" s="1032">
        <f t="shared" si="20"/>
        <v>3500000</v>
      </c>
      <c r="AG25" s="928">
        <f t="shared" ref="AG25:AG48" si="29">AF25-F25</f>
        <v>0</v>
      </c>
      <c r="AH25" s="1032">
        <f t="shared" si="20"/>
        <v>3500000</v>
      </c>
      <c r="AI25" s="928">
        <f t="shared" ref="AI25:AI48" si="30">AH25-F25</f>
        <v>0</v>
      </c>
      <c r="AJ25" s="977"/>
      <c r="AK25" s="961">
        <f t="shared" si="20"/>
        <v>3500000</v>
      </c>
      <c r="AL25" s="928">
        <f t="shared" ref="AL25:AL48" si="31">AK25-F25</f>
        <v>0</v>
      </c>
      <c r="AM25" s="961">
        <f t="shared" si="20"/>
        <v>3500000</v>
      </c>
      <c r="AN25" s="927">
        <f t="shared" ref="AN25:AN45" si="32">AM25-F25</f>
        <v>0</v>
      </c>
      <c r="AO25" s="961">
        <f t="shared" si="20"/>
        <v>3500000</v>
      </c>
      <c r="AP25" s="927">
        <f t="shared" ref="AP25:AP48" si="33">AO25-F25</f>
        <v>0</v>
      </c>
      <c r="AQ25" s="977"/>
    </row>
    <row r="26" spans="1:43" s="925" customFormat="1">
      <c r="A26" s="930">
        <v>2</v>
      </c>
      <c r="B26" s="925" t="s">
        <v>472</v>
      </c>
      <c r="C26" s="927">
        <v>1000000</v>
      </c>
      <c r="D26" s="927"/>
      <c r="E26" s="927"/>
      <c r="F26" s="927">
        <f>SUM(C26:E26)</f>
        <v>1000000</v>
      </c>
      <c r="G26" s="931"/>
      <c r="H26" s="932">
        <f>A26</f>
        <v>2</v>
      </c>
      <c r="I26" s="927">
        <f>(2001224+451759)-I27</f>
        <v>2035172</v>
      </c>
      <c r="J26" s="927">
        <f t="shared" si="18"/>
        <v>1035172</v>
      </c>
      <c r="K26" s="927"/>
      <c r="L26" s="927">
        <f>$I$26</f>
        <v>2035172</v>
      </c>
      <c r="M26" s="927">
        <f t="shared" si="19"/>
        <v>1035172</v>
      </c>
      <c r="N26" s="927"/>
      <c r="O26" s="948">
        <f>$I$26</f>
        <v>2035172</v>
      </c>
      <c r="P26" s="928">
        <f>$I$26</f>
        <v>2035172</v>
      </c>
      <c r="Q26" s="928">
        <f t="shared" si="21"/>
        <v>1035172</v>
      </c>
      <c r="R26" s="1032">
        <f t="shared" si="22"/>
        <v>2035172</v>
      </c>
      <c r="S26" s="928">
        <f t="shared" si="23"/>
        <v>1035172</v>
      </c>
      <c r="T26" s="1032">
        <f t="shared" ref="T26:T47" si="34">R26</f>
        <v>2035172</v>
      </c>
      <c r="U26" s="928">
        <f t="shared" si="24"/>
        <v>1035172</v>
      </c>
      <c r="V26" s="948"/>
      <c r="W26" s="927">
        <f>$I$26</f>
        <v>2035172</v>
      </c>
      <c r="X26" s="928">
        <f t="shared" si="25"/>
        <v>1035172</v>
      </c>
      <c r="Y26" s="927">
        <f>$I$26</f>
        <v>2035172</v>
      </c>
      <c r="Z26" s="928">
        <f t="shared" si="26"/>
        <v>1035172</v>
      </c>
      <c r="AA26" s="927">
        <f>$I$26</f>
        <v>2035172</v>
      </c>
      <c r="AB26" s="928">
        <f t="shared" si="27"/>
        <v>1035172</v>
      </c>
      <c r="AC26" s="948"/>
      <c r="AD26" s="928">
        <f>$I$26</f>
        <v>2035172</v>
      </c>
      <c r="AE26" s="928">
        <f t="shared" si="28"/>
        <v>1035172</v>
      </c>
      <c r="AF26" s="928">
        <f>$I$26</f>
        <v>2035172</v>
      </c>
      <c r="AG26" s="928">
        <f t="shared" si="29"/>
        <v>1035172</v>
      </c>
      <c r="AH26" s="928">
        <f>$I$26</f>
        <v>2035172</v>
      </c>
      <c r="AI26" s="928">
        <f t="shared" si="30"/>
        <v>1035172</v>
      </c>
      <c r="AJ26" s="948"/>
      <c r="AK26" s="927">
        <f>$I$26</f>
        <v>2035172</v>
      </c>
      <c r="AL26" s="928">
        <f t="shared" si="31"/>
        <v>1035172</v>
      </c>
      <c r="AM26" s="927">
        <f>$I$26</f>
        <v>2035172</v>
      </c>
      <c r="AN26" s="927">
        <f t="shared" si="32"/>
        <v>1035172</v>
      </c>
      <c r="AO26" s="927">
        <f>$I$26</f>
        <v>2035172</v>
      </c>
      <c r="AP26" s="927">
        <f t="shared" si="33"/>
        <v>1035172</v>
      </c>
      <c r="AQ26" s="948"/>
    </row>
    <row r="27" spans="1:43" s="925" customFormat="1">
      <c r="A27" s="930">
        <v>3</v>
      </c>
      <c r="B27" s="925" t="s">
        <v>588</v>
      </c>
      <c r="C27" s="927">
        <v>0</v>
      </c>
      <c r="D27" s="927"/>
      <c r="E27" s="927"/>
      <c r="F27" s="927">
        <f>SUM(C27:E27)</f>
        <v>0</v>
      </c>
      <c r="G27" s="931"/>
      <c r="H27" s="932"/>
      <c r="I27" s="927">
        <f>(25999+20000+195863)+(18275+20000+137674)</f>
        <v>417811</v>
      </c>
      <c r="J27" s="927">
        <f t="shared" si="18"/>
        <v>417811</v>
      </c>
      <c r="K27" s="927" t="s">
        <v>522</v>
      </c>
      <c r="L27" s="927">
        <f>$I$27</f>
        <v>417811</v>
      </c>
      <c r="M27" s="927">
        <f t="shared" si="19"/>
        <v>417811</v>
      </c>
      <c r="N27" s="927" t="s">
        <v>522</v>
      </c>
      <c r="O27" s="948">
        <f t="shared" ref="O27:AO27" si="35">$I$27</f>
        <v>417811</v>
      </c>
      <c r="P27" s="928">
        <f t="shared" si="35"/>
        <v>417811</v>
      </c>
      <c r="Q27" s="928">
        <f t="shared" si="21"/>
        <v>417811</v>
      </c>
      <c r="R27" s="1032">
        <f t="shared" si="22"/>
        <v>417811</v>
      </c>
      <c r="S27" s="928">
        <f t="shared" si="23"/>
        <v>417811</v>
      </c>
      <c r="T27" s="1032">
        <f t="shared" si="34"/>
        <v>417811</v>
      </c>
      <c r="U27" s="928">
        <f t="shared" si="24"/>
        <v>417811</v>
      </c>
      <c r="V27" s="927" t="s">
        <v>522</v>
      </c>
      <c r="W27" s="927">
        <f t="shared" si="35"/>
        <v>417811</v>
      </c>
      <c r="X27" s="928">
        <f t="shared" si="25"/>
        <v>417811</v>
      </c>
      <c r="Y27" s="927">
        <f t="shared" si="35"/>
        <v>417811</v>
      </c>
      <c r="Z27" s="928">
        <f t="shared" si="26"/>
        <v>417811</v>
      </c>
      <c r="AA27" s="927">
        <f t="shared" si="35"/>
        <v>417811</v>
      </c>
      <c r="AB27" s="928">
        <f t="shared" si="27"/>
        <v>417811</v>
      </c>
      <c r="AC27" s="927" t="s">
        <v>522</v>
      </c>
      <c r="AD27" s="928">
        <f t="shared" si="35"/>
        <v>417811</v>
      </c>
      <c r="AE27" s="928">
        <f t="shared" si="28"/>
        <v>417811</v>
      </c>
      <c r="AF27" s="928">
        <f t="shared" si="35"/>
        <v>417811</v>
      </c>
      <c r="AG27" s="928">
        <f t="shared" si="29"/>
        <v>417811</v>
      </c>
      <c r="AH27" s="928">
        <f t="shared" si="35"/>
        <v>417811</v>
      </c>
      <c r="AI27" s="928">
        <f t="shared" si="30"/>
        <v>417811</v>
      </c>
      <c r="AJ27" s="927" t="s">
        <v>522</v>
      </c>
      <c r="AK27" s="927">
        <f t="shared" si="35"/>
        <v>417811</v>
      </c>
      <c r="AL27" s="928">
        <f t="shared" si="31"/>
        <v>417811</v>
      </c>
      <c r="AM27" s="927">
        <f t="shared" si="35"/>
        <v>417811</v>
      </c>
      <c r="AN27" s="927">
        <f t="shared" si="32"/>
        <v>417811</v>
      </c>
      <c r="AO27" s="927">
        <f t="shared" si="35"/>
        <v>417811</v>
      </c>
      <c r="AP27" s="927">
        <f t="shared" si="33"/>
        <v>417811</v>
      </c>
      <c r="AQ27" s="927" t="s">
        <v>522</v>
      </c>
    </row>
    <row r="28" spans="1:43" s="925" customFormat="1">
      <c r="A28" s="930">
        <v>4</v>
      </c>
      <c r="B28" s="925" t="s">
        <v>473</v>
      </c>
      <c r="C28" s="928">
        <v>275000</v>
      </c>
      <c r="D28" s="927"/>
      <c r="E28" s="927"/>
      <c r="F28" s="927">
        <f t="shared" ref="F28:F40" si="36">SUM(C28:E28)</f>
        <v>275000</v>
      </c>
      <c r="G28" s="931"/>
      <c r="H28" s="932">
        <f t="shared" ref="H28:H47" si="37">A28</f>
        <v>4</v>
      </c>
      <c r="I28" s="927">
        <f>125000</f>
        <v>125000</v>
      </c>
      <c r="J28" s="1017">
        <f t="shared" si="18"/>
        <v>-150000</v>
      </c>
      <c r="K28" s="927"/>
      <c r="L28" s="927">
        <f>125000</f>
        <v>125000</v>
      </c>
      <c r="M28" s="1017">
        <f t="shared" si="19"/>
        <v>-150000</v>
      </c>
      <c r="N28" s="927"/>
      <c r="O28" s="948"/>
      <c r="P28" s="928">
        <f>125000</f>
        <v>125000</v>
      </c>
      <c r="Q28" s="1020">
        <f t="shared" si="21"/>
        <v>-150000</v>
      </c>
      <c r="R28" s="1032">
        <f t="shared" si="22"/>
        <v>125000</v>
      </c>
      <c r="S28" s="1020">
        <f t="shared" si="23"/>
        <v>-150000</v>
      </c>
      <c r="T28" s="1032">
        <f t="shared" si="34"/>
        <v>125000</v>
      </c>
      <c r="U28" s="1020">
        <f t="shared" si="24"/>
        <v>-150000</v>
      </c>
      <c r="V28" s="927"/>
      <c r="W28" s="927">
        <f>125000</f>
        <v>125000</v>
      </c>
      <c r="X28" s="1020">
        <f t="shared" si="25"/>
        <v>-150000</v>
      </c>
      <c r="Y28" s="927">
        <f t="shared" ref="Y28:Y44" si="38">W28</f>
        <v>125000</v>
      </c>
      <c r="Z28" s="1020">
        <f t="shared" si="26"/>
        <v>-150000</v>
      </c>
      <c r="AA28" s="927">
        <f>Y28</f>
        <v>125000</v>
      </c>
      <c r="AB28" s="1020">
        <f t="shared" si="27"/>
        <v>-150000</v>
      </c>
      <c r="AC28" s="927"/>
      <c r="AD28" s="928">
        <v>250000</v>
      </c>
      <c r="AE28" s="1020">
        <f t="shared" si="28"/>
        <v>-25000</v>
      </c>
      <c r="AF28" s="928">
        <f t="shared" ref="AF28:AF47" si="39">AD28</f>
        <v>250000</v>
      </c>
      <c r="AG28" s="1020">
        <f t="shared" si="29"/>
        <v>-25000</v>
      </c>
      <c r="AH28" s="928">
        <f>AF28</f>
        <v>250000</v>
      </c>
      <c r="AI28" s="1020">
        <f t="shared" si="30"/>
        <v>-25000</v>
      </c>
      <c r="AJ28" s="927"/>
      <c r="AK28" s="927">
        <v>250000</v>
      </c>
      <c r="AL28" s="1020">
        <f t="shared" si="31"/>
        <v>-25000</v>
      </c>
      <c r="AM28" s="927">
        <v>250000</v>
      </c>
      <c r="AN28" s="1017">
        <f t="shared" si="32"/>
        <v>-25000</v>
      </c>
      <c r="AO28" s="927">
        <v>250000</v>
      </c>
      <c r="AP28" s="1017">
        <f t="shared" si="33"/>
        <v>-25000</v>
      </c>
      <c r="AQ28" s="927"/>
    </row>
    <row r="29" spans="1:43" s="925" customFormat="1">
      <c r="A29" s="930">
        <v>5</v>
      </c>
      <c r="B29" s="925" t="s">
        <v>474</v>
      </c>
      <c r="C29" s="928">
        <v>400000</v>
      </c>
      <c r="D29" s="927"/>
      <c r="E29" s="927"/>
      <c r="F29" s="927">
        <f t="shared" si="36"/>
        <v>400000</v>
      </c>
      <c r="G29" s="931"/>
      <c r="H29" s="932">
        <f t="shared" si="37"/>
        <v>5</v>
      </c>
      <c r="I29" s="927">
        <f>(3000+135000+25000+180000)</f>
        <v>343000</v>
      </c>
      <c r="J29" s="1017">
        <f t="shared" si="18"/>
        <v>-57000</v>
      </c>
      <c r="K29" s="927"/>
      <c r="L29" s="927">
        <f>(3000+567000+25000+90000+180000)</f>
        <v>865000</v>
      </c>
      <c r="M29" s="927">
        <f t="shared" si="19"/>
        <v>465000</v>
      </c>
      <c r="N29" s="927"/>
      <c r="O29" s="948"/>
      <c r="P29" s="928">
        <f>(3000+270000+25000+3000+108000+180000)</f>
        <v>589000</v>
      </c>
      <c r="Q29" s="928">
        <f t="shared" si="21"/>
        <v>189000</v>
      </c>
      <c r="R29" s="1032">
        <f t="shared" si="22"/>
        <v>589000</v>
      </c>
      <c r="S29" s="928">
        <f t="shared" si="23"/>
        <v>189000</v>
      </c>
      <c r="T29" s="1032">
        <f t="shared" si="34"/>
        <v>589000</v>
      </c>
      <c r="U29" s="928">
        <f t="shared" si="24"/>
        <v>189000</v>
      </c>
      <c r="V29" s="927"/>
      <c r="W29" s="927">
        <f>3000+567000+25000+90000+3000+360000+180000</f>
        <v>1228000</v>
      </c>
      <c r="X29" s="928">
        <f t="shared" si="25"/>
        <v>828000</v>
      </c>
      <c r="Y29" s="927">
        <f t="shared" si="38"/>
        <v>1228000</v>
      </c>
      <c r="Z29" s="928">
        <f t="shared" si="26"/>
        <v>828000</v>
      </c>
      <c r="AA29" s="927">
        <f t="shared" ref="AA29:AA45" si="40">Y29</f>
        <v>1228000</v>
      </c>
      <c r="AB29" s="928">
        <f t="shared" si="27"/>
        <v>828000</v>
      </c>
      <c r="AC29" s="927"/>
      <c r="AD29" s="928">
        <f>3000+286200+25000+3000+360000+25000</f>
        <v>702200</v>
      </c>
      <c r="AE29" s="928">
        <f t="shared" si="28"/>
        <v>302200</v>
      </c>
      <c r="AF29" s="928">
        <f t="shared" si="39"/>
        <v>702200</v>
      </c>
      <c r="AG29" s="928">
        <f t="shared" si="29"/>
        <v>302200</v>
      </c>
      <c r="AH29" s="928">
        <f t="shared" ref="AH29:AH46" si="41">AF29</f>
        <v>702200</v>
      </c>
      <c r="AI29" s="928">
        <f t="shared" si="30"/>
        <v>302200</v>
      </c>
      <c r="AJ29" s="927"/>
      <c r="AK29" s="927">
        <f>3000+351000+25000+3000+360000+25000</f>
        <v>767000</v>
      </c>
      <c r="AL29" s="928">
        <f t="shared" si="31"/>
        <v>367000</v>
      </c>
      <c r="AM29" s="927">
        <f t="shared" ref="AM29:AO29" si="42">3000+351000+25000+3000+360000+25000</f>
        <v>767000</v>
      </c>
      <c r="AN29" s="927">
        <f t="shared" si="32"/>
        <v>367000</v>
      </c>
      <c r="AO29" s="927">
        <f t="shared" si="42"/>
        <v>767000</v>
      </c>
      <c r="AP29" s="927">
        <f t="shared" si="33"/>
        <v>367000</v>
      </c>
      <c r="AQ29" s="927"/>
    </row>
    <row r="30" spans="1:43" s="925" customFormat="1">
      <c r="A30" s="930">
        <v>6</v>
      </c>
      <c r="B30" s="925" t="s">
        <v>475</v>
      </c>
      <c r="C30" s="928">
        <v>100000</v>
      </c>
      <c r="D30" s="927"/>
      <c r="E30" s="927"/>
      <c r="F30" s="927">
        <f t="shared" si="36"/>
        <v>100000</v>
      </c>
      <c r="G30" s="931"/>
      <c r="H30" s="932">
        <f t="shared" si="37"/>
        <v>6</v>
      </c>
      <c r="I30" s="927">
        <v>0</v>
      </c>
      <c r="J30" s="1017">
        <f t="shared" si="18"/>
        <v>-100000</v>
      </c>
      <c r="K30" s="927" t="s">
        <v>493</v>
      </c>
      <c r="L30" s="927">
        <v>0</v>
      </c>
      <c r="M30" s="1017">
        <f t="shared" si="19"/>
        <v>-100000</v>
      </c>
      <c r="N30" s="927" t="s">
        <v>493</v>
      </c>
      <c r="O30" s="948"/>
      <c r="P30" s="928">
        <v>0</v>
      </c>
      <c r="Q30" s="1020">
        <f t="shared" si="21"/>
        <v>-100000</v>
      </c>
      <c r="R30" s="1032">
        <f t="shared" si="22"/>
        <v>0</v>
      </c>
      <c r="S30" s="1020">
        <f t="shared" si="23"/>
        <v>-100000</v>
      </c>
      <c r="T30" s="1032">
        <f t="shared" si="34"/>
        <v>0</v>
      </c>
      <c r="U30" s="1020">
        <f t="shared" si="24"/>
        <v>-100000</v>
      </c>
      <c r="V30" s="927" t="s">
        <v>493</v>
      </c>
      <c r="W30" s="927">
        <v>0</v>
      </c>
      <c r="X30" s="1020">
        <f t="shared" si="25"/>
        <v>-100000</v>
      </c>
      <c r="Y30" s="927">
        <f t="shared" si="38"/>
        <v>0</v>
      </c>
      <c r="Z30" s="1020">
        <f t="shared" si="26"/>
        <v>-100000</v>
      </c>
      <c r="AA30" s="927">
        <f t="shared" si="40"/>
        <v>0</v>
      </c>
      <c r="AB30" s="1020">
        <f t="shared" si="27"/>
        <v>-100000</v>
      </c>
      <c r="AC30" s="927" t="s">
        <v>493</v>
      </c>
      <c r="AD30" s="928">
        <v>0</v>
      </c>
      <c r="AE30" s="1020">
        <f t="shared" si="28"/>
        <v>-100000</v>
      </c>
      <c r="AF30" s="928">
        <f t="shared" si="39"/>
        <v>0</v>
      </c>
      <c r="AG30" s="1020">
        <f t="shared" si="29"/>
        <v>-100000</v>
      </c>
      <c r="AH30" s="928">
        <f t="shared" si="41"/>
        <v>0</v>
      </c>
      <c r="AI30" s="1020">
        <f t="shared" si="30"/>
        <v>-100000</v>
      </c>
      <c r="AJ30" s="927" t="s">
        <v>493</v>
      </c>
      <c r="AK30" s="927">
        <v>0</v>
      </c>
      <c r="AL30" s="1020">
        <f t="shared" si="31"/>
        <v>-100000</v>
      </c>
      <c r="AM30" s="927">
        <v>0</v>
      </c>
      <c r="AN30" s="1017">
        <f t="shared" si="32"/>
        <v>-100000</v>
      </c>
      <c r="AO30" s="927">
        <v>0</v>
      </c>
      <c r="AP30" s="1017">
        <f t="shared" si="33"/>
        <v>-100000</v>
      </c>
      <c r="AQ30" s="927" t="s">
        <v>493</v>
      </c>
    </row>
    <row r="31" spans="1:43" s="925" customFormat="1">
      <c r="A31" s="930">
        <v>7</v>
      </c>
      <c r="B31" s="925" t="s">
        <v>476</v>
      </c>
      <c r="C31" s="928">
        <v>325000</v>
      </c>
      <c r="D31" s="927"/>
      <c r="E31" s="927"/>
      <c r="F31" s="927">
        <f t="shared" si="36"/>
        <v>325000</v>
      </c>
      <c r="G31" s="931"/>
      <c r="H31" s="932">
        <f t="shared" si="37"/>
        <v>7</v>
      </c>
      <c r="I31" s="927">
        <f>825000</f>
        <v>825000</v>
      </c>
      <c r="J31" s="927">
        <f t="shared" si="18"/>
        <v>500000</v>
      </c>
      <c r="K31" s="927"/>
      <c r="L31" s="927">
        <f>825000</f>
        <v>825000</v>
      </c>
      <c r="M31" s="927">
        <f t="shared" si="19"/>
        <v>500000</v>
      </c>
      <c r="N31" s="927"/>
      <c r="O31" s="948"/>
      <c r="P31" s="928">
        <f>825000</f>
        <v>825000</v>
      </c>
      <c r="Q31" s="928">
        <f t="shared" si="21"/>
        <v>500000</v>
      </c>
      <c r="R31" s="1032">
        <f t="shared" si="22"/>
        <v>825000</v>
      </c>
      <c r="S31" s="928">
        <f t="shared" si="23"/>
        <v>500000</v>
      </c>
      <c r="T31" s="1032">
        <f t="shared" si="34"/>
        <v>825000</v>
      </c>
      <c r="U31" s="928">
        <f t="shared" si="24"/>
        <v>500000</v>
      </c>
      <c r="V31" s="927"/>
      <c r="W31" s="927">
        <v>825000</v>
      </c>
      <c r="X31" s="928">
        <f t="shared" si="25"/>
        <v>500000</v>
      </c>
      <c r="Y31" s="927">
        <f t="shared" si="38"/>
        <v>825000</v>
      </c>
      <c r="Z31" s="928">
        <f t="shared" si="26"/>
        <v>500000</v>
      </c>
      <c r="AA31" s="927">
        <f t="shared" si="40"/>
        <v>825000</v>
      </c>
      <c r="AB31" s="928">
        <f t="shared" si="27"/>
        <v>500000</v>
      </c>
      <c r="AC31" s="927"/>
      <c r="AD31" s="928">
        <v>412500</v>
      </c>
      <c r="AE31" s="928">
        <f t="shared" si="28"/>
        <v>87500</v>
      </c>
      <c r="AF31" s="928">
        <f t="shared" si="39"/>
        <v>412500</v>
      </c>
      <c r="AG31" s="928">
        <f t="shared" si="29"/>
        <v>87500</v>
      </c>
      <c r="AH31" s="928">
        <f t="shared" si="41"/>
        <v>412500</v>
      </c>
      <c r="AI31" s="928">
        <f t="shared" si="30"/>
        <v>87500</v>
      </c>
      <c r="AJ31" s="927"/>
      <c r="AK31" s="927">
        <v>412500</v>
      </c>
      <c r="AL31" s="928">
        <f t="shared" si="31"/>
        <v>87500</v>
      </c>
      <c r="AM31" s="927">
        <v>412500</v>
      </c>
      <c r="AN31" s="927">
        <f t="shared" si="32"/>
        <v>87500</v>
      </c>
      <c r="AO31" s="927">
        <v>412500</v>
      </c>
      <c r="AP31" s="927">
        <f t="shared" si="33"/>
        <v>87500</v>
      </c>
      <c r="AQ31" s="927"/>
    </row>
    <row r="32" spans="1:43" s="925" customFormat="1">
      <c r="A32" s="930">
        <v>8</v>
      </c>
      <c r="B32" s="925" t="s">
        <v>477</v>
      </c>
      <c r="C32" s="928">
        <v>350000</v>
      </c>
      <c r="D32" s="927"/>
      <c r="E32" s="927"/>
      <c r="F32" s="927">
        <f t="shared" si="36"/>
        <v>350000</v>
      </c>
      <c r="G32" s="931"/>
      <c r="H32" s="932">
        <f t="shared" si="37"/>
        <v>8</v>
      </c>
      <c r="I32" s="927">
        <v>0</v>
      </c>
      <c r="J32" s="1017">
        <f t="shared" si="18"/>
        <v>-350000</v>
      </c>
      <c r="K32" s="927"/>
      <c r="L32" s="927">
        <f>350000</f>
        <v>350000</v>
      </c>
      <c r="M32" s="927">
        <f t="shared" si="19"/>
        <v>0</v>
      </c>
      <c r="N32" s="927"/>
      <c r="O32" s="948"/>
      <c r="P32" s="928">
        <v>0</v>
      </c>
      <c r="Q32" s="1020">
        <f t="shared" si="21"/>
        <v>-350000</v>
      </c>
      <c r="R32" s="1032">
        <f t="shared" si="22"/>
        <v>0</v>
      </c>
      <c r="S32" s="1020">
        <f t="shared" si="23"/>
        <v>-350000</v>
      </c>
      <c r="T32" s="1032">
        <f t="shared" si="34"/>
        <v>0</v>
      </c>
      <c r="U32" s="1020">
        <f t="shared" si="24"/>
        <v>-350000</v>
      </c>
      <c r="V32" s="927"/>
      <c r="W32" s="927">
        <v>350000</v>
      </c>
      <c r="X32" s="928">
        <f t="shared" si="25"/>
        <v>0</v>
      </c>
      <c r="Y32" s="927">
        <f t="shared" si="38"/>
        <v>350000</v>
      </c>
      <c r="Z32" s="928">
        <f t="shared" si="26"/>
        <v>0</v>
      </c>
      <c r="AA32" s="927">
        <f t="shared" si="40"/>
        <v>350000</v>
      </c>
      <c r="AB32" s="928">
        <f t="shared" si="27"/>
        <v>0</v>
      </c>
      <c r="AC32" s="927"/>
      <c r="AD32" s="928">
        <v>0</v>
      </c>
      <c r="AE32" s="1020">
        <f t="shared" si="28"/>
        <v>-350000</v>
      </c>
      <c r="AF32" s="928">
        <f t="shared" si="39"/>
        <v>0</v>
      </c>
      <c r="AG32" s="1020">
        <f t="shared" si="29"/>
        <v>-350000</v>
      </c>
      <c r="AH32" s="928">
        <f t="shared" si="41"/>
        <v>0</v>
      </c>
      <c r="AI32" s="1020">
        <f t="shared" si="30"/>
        <v>-350000</v>
      </c>
      <c r="AJ32" s="927"/>
      <c r="AK32" s="927">
        <f>250000</f>
        <v>250000</v>
      </c>
      <c r="AL32" s="1020">
        <f t="shared" si="31"/>
        <v>-100000</v>
      </c>
      <c r="AM32" s="927">
        <f t="shared" ref="AM32:AO32" si="43">250000</f>
        <v>250000</v>
      </c>
      <c r="AN32" s="1017">
        <f t="shared" si="32"/>
        <v>-100000</v>
      </c>
      <c r="AO32" s="927">
        <f t="shared" si="43"/>
        <v>250000</v>
      </c>
      <c r="AP32" s="1017">
        <f t="shared" si="33"/>
        <v>-100000</v>
      </c>
      <c r="AQ32" s="927"/>
    </row>
    <row r="33" spans="1:43" s="925" customFormat="1">
      <c r="A33" s="930">
        <v>9</v>
      </c>
      <c r="B33" s="925" t="s">
        <v>478</v>
      </c>
      <c r="C33" s="928">
        <v>325000</v>
      </c>
      <c r="D33" s="927"/>
      <c r="E33" s="927"/>
      <c r="F33" s="927">
        <f t="shared" si="36"/>
        <v>325000</v>
      </c>
      <c r="G33" s="931"/>
      <c r="H33" s="932">
        <f t="shared" si="37"/>
        <v>9</v>
      </c>
      <c r="I33" s="927">
        <f>100000</f>
        <v>100000</v>
      </c>
      <c r="J33" s="1017">
        <f t="shared" si="18"/>
        <v>-225000</v>
      </c>
      <c r="K33" s="927"/>
      <c r="L33" s="927">
        <v>150000</v>
      </c>
      <c r="M33" s="1017">
        <f t="shared" si="19"/>
        <v>-175000</v>
      </c>
      <c r="N33" s="927"/>
      <c r="O33" s="948"/>
      <c r="P33" s="928">
        <v>100000</v>
      </c>
      <c r="Q33" s="1020">
        <f t="shared" si="21"/>
        <v>-225000</v>
      </c>
      <c r="R33" s="1032">
        <f t="shared" si="22"/>
        <v>100000</v>
      </c>
      <c r="S33" s="1020">
        <f t="shared" si="23"/>
        <v>-225000</v>
      </c>
      <c r="T33" s="1032">
        <f t="shared" si="34"/>
        <v>100000</v>
      </c>
      <c r="U33" s="1020">
        <f t="shared" si="24"/>
        <v>-225000</v>
      </c>
      <c r="V33" s="927"/>
      <c r="W33" s="927">
        <v>150000</v>
      </c>
      <c r="X33" s="1020">
        <f t="shared" si="25"/>
        <v>-175000</v>
      </c>
      <c r="Y33" s="927">
        <f t="shared" si="38"/>
        <v>150000</v>
      </c>
      <c r="Z33" s="1020">
        <f t="shared" si="26"/>
        <v>-175000</v>
      </c>
      <c r="AA33" s="927">
        <f t="shared" si="40"/>
        <v>150000</v>
      </c>
      <c r="AB33" s="1020">
        <f t="shared" si="27"/>
        <v>-175000</v>
      </c>
      <c r="AC33" s="927"/>
      <c r="AD33" s="928">
        <v>100000</v>
      </c>
      <c r="AE33" s="1020">
        <f t="shared" si="28"/>
        <v>-225000</v>
      </c>
      <c r="AF33" s="928">
        <f t="shared" si="39"/>
        <v>100000</v>
      </c>
      <c r="AG33" s="1020">
        <f t="shared" si="29"/>
        <v>-225000</v>
      </c>
      <c r="AH33" s="928">
        <f t="shared" si="41"/>
        <v>100000</v>
      </c>
      <c r="AI33" s="1020">
        <f t="shared" si="30"/>
        <v>-225000</v>
      </c>
      <c r="AJ33" s="927"/>
      <c r="AK33" s="927">
        <v>150000</v>
      </c>
      <c r="AL33" s="1020">
        <f t="shared" si="31"/>
        <v>-175000</v>
      </c>
      <c r="AM33" s="927">
        <v>150000</v>
      </c>
      <c r="AN33" s="1017">
        <f t="shared" si="32"/>
        <v>-175000</v>
      </c>
      <c r="AO33" s="927">
        <v>150000</v>
      </c>
      <c r="AP33" s="1017">
        <f t="shared" si="33"/>
        <v>-175000</v>
      </c>
      <c r="AQ33" s="927"/>
    </row>
    <row r="34" spans="1:43" s="925" customFormat="1">
      <c r="A34" s="930">
        <v>10</v>
      </c>
      <c r="B34" s="925" t="s">
        <v>479</v>
      </c>
      <c r="C34" s="928">
        <v>75000</v>
      </c>
      <c r="D34" s="927"/>
      <c r="E34" s="927"/>
      <c r="F34" s="927">
        <f t="shared" si="36"/>
        <v>75000</v>
      </c>
      <c r="G34" s="931"/>
      <c r="H34" s="932">
        <f t="shared" si="37"/>
        <v>10</v>
      </c>
      <c r="I34" s="927">
        <v>0</v>
      </c>
      <c r="J34" s="1017">
        <f t="shared" si="18"/>
        <v>-75000</v>
      </c>
      <c r="K34" s="927"/>
      <c r="L34" s="927">
        <v>0</v>
      </c>
      <c r="M34" s="1017">
        <f t="shared" si="19"/>
        <v>-75000</v>
      </c>
      <c r="N34" s="927"/>
      <c r="O34" s="948"/>
      <c r="P34" s="928">
        <v>0</v>
      </c>
      <c r="Q34" s="1020">
        <f t="shared" si="21"/>
        <v>-75000</v>
      </c>
      <c r="R34" s="1032">
        <f t="shared" si="22"/>
        <v>0</v>
      </c>
      <c r="S34" s="1020">
        <f t="shared" si="23"/>
        <v>-75000</v>
      </c>
      <c r="T34" s="1032">
        <f t="shared" si="34"/>
        <v>0</v>
      </c>
      <c r="U34" s="1020">
        <f t="shared" si="24"/>
        <v>-75000</v>
      </c>
      <c r="V34" s="927"/>
      <c r="W34" s="927">
        <v>0</v>
      </c>
      <c r="X34" s="1020">
        <f t="shared" si="25"/>
        <v>-75000</v>
      </c>
      <c r="Y34" s="927">
        <f t="shared" si="38"/>
        <v>0</v>
      </c>
      <c r="Z34" s="1020">
        <f t="shared" si="26"/>
        <v>-75000</v>
      </c>
      <c r="AA34" s="927">
        <f t="shared" si="40"/>
        <v>0</v>
      </c>
      <c r="AB34" s="1020">
        <f t="shared" si="27"/>
        <v>-75000</v>
      </c>
      <c r="AC34" s="927"/>
      <c r="AD34" s="928">
        <f>393000</f>
        <v>393000</v>
      </c>
      <c r="AE34" s="928">
        <f t="shared" si="28"/>
        <v>318000</v>
      </c>
      <c r="AF34" s="928">
        <f t="shared" si="39"/>
        <v>393000</v>
      </c>
      <c r="AG34" s="928">
        <f t="shared" si="29"/>
        <v>318000</v>
      </c>
      <c r="AH34" s="928">
        <f t="shared" si="41"/>
        <v>393000</v>
      </c>
      <c r="AI34" s="928">
        <f t="shared" si="30"/>
        <v>318000</v>
      </c>
      <c r="AJ34" s="927"/>
      <c r="AK34" s="927">
        <v>393000</v>
      </c>
      <c r="AL34" s="928">
        <f t="shared" si="31"/>
        <v>318000</v>
      </c>
      <c r="AM34" s="927">
        <v>393000</v>
      </c>
      <c r="AN34" s="927">
        <f t="shared" si="32"/>
        <v>318000</v>
      </c>
      <c r="AO34" s="927">
        <v>393000</v>
      </c>
      <c r="AP34" s="927">
        <f t="shared" si="33"/>
        <v>318000</v>
      </c>
      <c r="AQ34" s="927"/>
    </row>
    <row r="35" spans="1:43" s="925" customFormat="1">
      <c r="A35" s="930">
        <v>11</v>
      </c>
      <c r="B35" s="925" t="s">
        <v>578</v>
      </c>
      <c r="C35" s="928">
        <v>0</v>
      </c>
      <c r="D35" s="927"/>
      <c r="E35" s="927"/>
      <c r="F35" s="927">
        <f t="shared" si="36"/>
        <v>0</v>
      </c>
      <c r="G35" s="931"/>
      <c r="H35" s="932">
        <f t="shared" si="37"/>
        <v>11</v>
      </c>
      <c r="I35" s="927">
        <f>35000+9000+25000+50000+35000</f>
        <v>154000</v>
      </c>
      <c r="J35" s="927">
        <f t="shared" si="18"/>
        <v>154000</v>
      </c>
      <c r="K35" s="927"/>
      <c r="L35" s="927">
        <f>35000+9000+25000+50000+35000</f>
        <v>154000</v>
      </c>
      <c r="M35" s="927">
        <f t="shared" si="19"/>
        <v>154000</v>
      </c>
      <c r="N35" s="927"/>
      <c r="O35" s="948"/>
      <c r="P35" s="928">
        <f>35000+9000+25000+50000+35000</f>
        <v>154000</v>
      </c>
      <c r="Q35" s="928">
        <f t="shared" si="21"/>
        <v>154000</v>
      </c>
      <c r="R35" s="1032">
        <f t="shared" si="22"/>
        <v>154000</v>
      </c>
      <c r="S35" s="928">
        <f t="shared" si="23"/>
        <v>154000</v>
      </c>
      <c r="T35" s="1032">
        <f t="shared" si="34"/>
        <v>154000</v>
      </c>
      <c r="U35" s="928">
        <f t="shared" si="24"/>
        <v>154000</v>
      </c>
      <c r="V35" s="927"/>
      <c r="W35" s="927">
        <f>35000+9000+25000+50000+35000</f>
        <v>154000</v>
      </c>
      <c r="X35" s="928">
        <f t="shared" si="25"/>
        <v>154000</v>
      </c>
      <c r="Y35" s="927">
        <f t="shared" si="38"/>
        <v>154000</v>
      </c>
      <c r="Z35" s="928">
        <f t="shared" si="26"/>
        <v>154000</v>
      </c>
      <c r="AA35" s="927">
        <f t="shared" si="40"/>
        <v>154000</v>
      </c>
      <c r="AB35" s="928">
        <f t="shared" si="27"/>
        <v>154000</v>
      </c>
      <c r="AC35" s="927"/>
      <c r="AD35" s="928">
        <f>50000+35000</f>
        <v>85000</v>
      </c>
      <c r="AE35" s="928">
        <f t="shared" si="28"/>
        <v>85000</v>
      </c>
      <c r="AF35" s="928">
        <f t="shared" si="39"/>
        <v>85000</v>
      </c>
      <c r="AG35" s="928">
        <f t="shared" si="29"/>
        <v>85000</v>
      </c>
      <c r="AH35" s="928">
        <f t="shared" si="41"/>
        <v>85000</v>
      </c>
      <c r="AI35" s="928">
        <f t="shared" si="30"/>
        <v>85000</v>
      </c>
      <c r="AJ35" s="927"/>
      <c r="AK35" s="927">
        <f>50000+35000</f>
        <v>85000</v>
      </c>
      <c r="AL35" s="928">
        <f t="shared" si="31"/>
        <v>85000</v>
      </c>
      <c r="AM35" s="927">
        <f t="shared" ref="AM35:AO35" si="44">50000+35000</f>
        <v>85000</v>
      </c>
      <c r="AN35" s="927">
        <f t="shared" si="32"/>
        <v>85000</v>
      </c>
      <c r="AO35" s="927">
        <f t="shared" si="44"/>
        <v>85000</v>
      </c>
      <c r="AP35" s="927">
        <f t="shared" si="33"/>
        <v>85000</v>
      </c>
      <c r="AQ35" s="927"/>
    </row>
    <row r="36" spans="1:43" s="925" customFormat="1">
      <c r="A36" s="930">
        <v>12</v>
      </c>
      <c r="B36" s="925" t="s">
        <v>480</v>
      </c>
      <c r="C36" s="928">
        <v>350000</v>
      </c>
      <c r="D36" s="927"/>
      <c r="E36" s="927"/>
      <c r="F36" s="927">
        <f t="shared" si="36"/>
        <v>350000</v>
      </c>
      <c r="G36" s="931"/>
      <c r="H36" s="932">
        <f t="shared" si="37"/>
        <v>12</v>
      </c>
      <c r="I36" s="927">
        <f>174000</f>
        <v>174000</v>
      </c>
      <c r="J36" s="1017">
        <f t="shared" si="18"/>
        <v>-176000</v>
      </c>
      <c r="K36" s="927"/>
      <c r="L36" s="927">
        <f>174000</f>
        <v>174000</v>
      </c>
      <c r="M36" s="1017">
        <f t="shared" si="19"/>
        <v>-176000</v>
      </c>
      <c r="N36" s="927"/>
      <c r="O36" s="948"/>
      <c r="P36" s="928">
        <f>174000</f>
        <v>174000</v>
      </c>
      <c r="Q36" s="1020">
        <f t="shared" si="21"/>
        <v>-176000</v>
      </c>
      <c r="R36" s="1032">
        <f t="shared" si="22"/>
        <v>174000</v>
      </c>
      <c r="S36" s="1020">
        <f t="shared" si="23"/>
        <v>-176000</v>
      </c>
      <c r="T36" s="1032">
        <f t="shared" si="34"/>
        <v>174000</v>
      </c>
      <c r="U36" s="1020">
        <f t="shared" si="24"/>
        <v>-176000</v>
      </c>
      <c r="V36" s="927"/>
      <c r="W36" s="927">
        <f>174000</f>
        <v>174000</v>
      </c>
      <c r="X36" s="1020">
        <f t="shared" si="25"/>
        <v>-176000</v>
      </c>
      <c r="Y36" s="927">
        <f t="shared" si="38"/>
        <v>174000</v>
      </c>
      <c r="Z36" s="1020">
        <f t="shared" si="26"/>
        <v>-176000</v>
      </c>
      <c r="AA36" s="927">
        <f t="shared" si="40"/>
        <v>174000</v>
      </c>
      <c r="AB36" s="1020">
        <f t="shared" si="27"/>
        <v>-176000</v>
      </c>
      <c r="AC36" s="927"/>
      <c r="AD36" s="928">
        <v>410475</v>
      </c>
      <c r="AE36" s="928">
        <f t="shared" si="28"/>
        <v>60475</v>
      </c>
      <c r="AF36" s="928">
        <f t="shared" si="39"/>
        <v>410475</v>
      </c>
      <c r="AG36" s="928">
        <f t="shared" si="29"/>
        <v>60475</v>
      </c>
      <c r="AH36" s="928">
        <f t="shared" si="41"/>
        <v>410475</v>
      </c>
      <c r="AI36" s="928">
        <f t="shared" si="30"/>
        <v>60475</v>
      </c>
      <c r="AJ36" s="927"/>
      <c r="AK36" s="927">
        <f>410475</f>
        <v>410475</v>
      </c>
      <c r="AL36" s="928">
        <f t="shared" si="31"/>
        <v>60475</v>
      </c>
      <c r="AM36" s="927">
        <f t="shared" ref="AM36:AO36" si="45">410475</f>
        <v>410475</v>
      </c>
      <c r="AN36" s="927">
        <f t="shared" si="32"/>
        <v>60475</v>
      </c>
      <c r="AO36" s="927">
        <f t="shared" si="45"/>
        <v>410475</v>
      </c>
      <c r="AP36" s="927">
        <f t="shared" si="33"/>
        <v>60475</v>
      </c>
      <c r="AQ36" s="927"/>
    </row>
    <row r="37" spans="1:43" s="925" customFormat="1">
      <c r="A37" s="930">
        <v>13</v>
      </c>
      <c r="B37" s="925" t="s">
        <v>495</v>
      </c>
      <c r="C37" s="927">
        <v>750000</v>
      </c>
      <c r="D37" s="927"/>
      <c r="E37" s="927"/>
      <c r="F37" s="927">
        <f t="shared" si="36"/>
        <v>750000</v>
      </c>
      <c r="G37" s="931"/>
      <c r="H37" s="932">
        <f t="shared" si="37"/>
        <v>13</v>
      </c>
      <c r="I37" s="927">
        <f>758400+100000+375000</f>
        <v>1233400</v>
      </c>
      <c r="J37" s="927">
        <f t="shared" si="18"/>
        <v>483400</v>
      </c>
      <c r="K37" s="927"/>
      <c r="L37" s="927">
        <f>758400+100000+375000</f>
        <v>1233400</v>
      </c>
      <c r="M37" s="927">
        <f t="shared" si="19"/>
        <v>483400</v>
      </c>
      <c r="N37" s="927"/>
      <c r="O37" s="948"/>
      <c r="P37" s="928">
        <f>758400+100000+375000</f>
        <v>1233400</v>
      </c>
      <c r="Q37" s="928">
        <f t="shared" si="21"/>
        <v>483400</v>
      </c>
      <c r="R37" s="1032">
        <f t="shared" si="22"/>
        <v>1233400</v>
      </c>
      <c r="S37" s="928">
        <f t="shared" si="23"/>
        <v>483400</v>
      </c>
      <c r="T37" s="1032">
        <f t="shared" si="34"/>
        <v>1233400</v>
      </c>
      <c r="U37" s="928">
        <f t="shared" si="24"/>
        <v>483400</v>
      </c>
      <c r="V37" s="927"/>
      <c r="W37" s="927">
        <f>758400+100000+375000</f>
        <v>1233400</v>
      </c>
      <c r="X37" s="928">
        <f t="shared" si="25"/>
        <v>483400</v>
      </c>
      <c r="Y37" s="927">
        <f t="shared" si="38"/>
        <v>1233400</v>
      </c>
      <c r="Z37" s="928">
        <f t="shared" si="26"/>
        <v>483400</v>
      </c>
      <c r="AA37" s="927">
        <f t="shared" si="40"/>
        <v>1233400</v>
      </c>
      <c r="AB37" s="928">
        <f t="shared" si="27"/>
        <v>483400</v>
      </c>
      <c r="AC37" s="927"/>
      <c r="AD37" s="928">
        <f>632280+100000+375000</f>
        <v>1107280</v>
      </c>
      <c r="AE37" s="928">
        <f t="shared" si="28"/>
        <v>357280</v>
      </c>
      <c r="AF37" s="928">
        <f t="shared" si="39"/>
        <v>1107280</v>
      </c>
      <c r="AG37" s="928">
        <f t="shared" si="29"/>
        <v>357280</v>
      </c>
      <c r="AH37" s="928">
        <f t="shared" si="41"/>
        <v>1107280</v>
      </c>
      <c r="AI37" s="928">
        <f t="shared" si="30"/>
        <v>357280</v>
      </c>
      <c r="AJ37" s="927"/>
      <c r="AK37" s="927">
        <f>632280+100000+375000</f>
        <v>1107280</v>
      </c>
      <c r="AL37" s="928">
        <f t="shared" si="31"/>
        <v>357280</v>
      </c>
      <c r="AM37" s="927">
        <f t="shared" ref="AM37:AO37" si="46">632280+100000+375000</f>
        <v>1107280</v>
      </c>
      <c r="AN37" s="927">
        <f t="shared" si="32"/>
        <v>357280</v>
      </c>
      <c r="AO37" s="927">
        <f t="shared" si="46"/>
        <v>1107280</v>
      </c>
      <c r="AP37" s="927">
        <f t="shared" si="33"/>
        <v>357280</v>
      </c>
      <c r="AQ37" s="927"/>
    </row>
    <row r="38" spans="1:43" s="925" customFormat="1">
      <c r="A38" s="930">
        <v>14</v>
      </c>
      <c r="B38" s="925" t="s">
        <v>482</v>
      </c>
      <c r="C38" s="927">
        <v>85000</v>
      </c>
      <c r="D38" s="927"/>
      <c r="E38" s="927"/>
      <c r="F38" s="927">
        <f t="shared" si="36"/>
        <v>85000</v>
      </c>
      <c r="G38" s="931"/>
      <c r="H38" s="932">
        <f t="shared" si="37"/>
        <v>14</v>
      </c>
      <c r="I38" s="927">
        <v>0</v>
      </c>
      <c r="J38" s="1017">
        <f t="shared" si="18"/>
        <v>-85000</v>
      </c>
      <c r="K38" s="927" t="s">
        <v>494</v>
      </c>
      <c r="L38" s="927">
        <v>0</v>
      </c>
      <c r="M38" s="1017">
        <f t="shared" si="19"/>
        <v>-85000</v>
      </c>
      <c r="N38" s="927" t="s">
        <v>494</v>
      </c>
      <c r="O38" s="948"/>
      <c r="P38" s="928">
        <v>0</v>
      </c>
      <c r="Q38" s="1020">
        <f t="shared" si="21"/>
        <v>-85000</v>
      </c>
      <c r="R38" s="1032">
        <f t="shared" si="22"/>
        <v>0</v>
      </c>
      <c r="S38" s="1020">
        <f t="shared" si="23"/>
        <v>-85000</v>
      </c>
      <c r="T38" s="1032">
        <f t="shared" si="34"/>
        <v>0</v>
      </c>
      <c r="U38" s="1020">
        <f t="shared" si="24"/>
        <v>-85000</v>
      </c>
      <c r="V38" s="927" t="s">
        <v>494</v>
      </c>
      <c r="W38" s="927">
        <v>0</v>
      </c>
      <c r="X38" s="1020">
        <f t="shared" si="25"/>
        <v>-85000</v>
      </c>
      <c r="Y38" s="927">
        <f t="shared" si="38"/>
        <v>0</v>
      </c>
      <c r="Z38" s="1020">
        <f t="shared" si="26"/>
        <v>-85000</v>
      </c>
      <c r="AA38" s="927">
        <f t="shared" si="40"/>
        <v>0</v>
      </c>
      <c r="AB38" s="1020">
        <f t="shared" si="27"/>
        <v>-85000</v>
      </c>
      <c r="AC38" s="927" t="s">
        <v>494</v>
      </c>
      <c r="AD38" s="928">
        <v>0</v>
      </c>
      <c r="AE38" s="1020">
        <f t="shared" si="28"/>
        <v>-85000</v>
      </c>
      <c r="AF38" s="928">
        <f t="shared" si="39"/>
        <v>0</v>
      </c>
      <c r="AG38" s="1020">
        <f t="shared" si="29"/>
        <v>-85000</v>
      </c>
      <c r="AH38" s="928">
        <f t="shared" si="41"/>
        <v>0</v>
      </c>
      <c r="AI38" s="1020">
        <f t="shared" si="30"/>
        <v>-85000</v>
      </c>
      <c r="AJ38" s="927" t="s">
        <v>494</v>
      </c>
      <c r="AK38" s="927">
        <v>0</v>
      </c>
      <c r="AL38" s="1020">
        <f t="shared" si="31"/>
        <v>-85000</v>
      </c>
      <c r="AM38" s="927">
        <v>0</v>
      </c>
      <c r="AN38" s="1017">
        <f t="shared" si="32"/>
        <v>-85000</v>
      </c>
      <c r="AO38" s="927">
        <v>0</v>
      </c>
      <c r="AP38" s="1017">
        <f t="shared" si="33"/>
        <v>-85000</v>
      </c>
      <c r="AQ38" s="927" t="s">
        <v>494</v>
      </c>
    </row>
    <row r="39" spans="1:43" s="925" customFormat="1">
      <c r="A39" s="930">
        <v>15</v>
      </c>
      <c r="B39" s="925" t="s">
        <v>483</v>
      </c>
      <c r="C39" s="927">
        <v>45000</v>
      </c>
      <c r="D39" s="927"/>
      <c r="E39" s="927"/>
      <c r="F39" s="927">
        <f t="shared" si="36"/>
        <v>45000</v>
      </c>
      <c r="G39" s="931"/>
      <c r="H39" s="932">
        <f t="shared" si="37"/>
        <v>15</v>
      </c>
      <c r="I39" s="927">
        <v>0</v>
      </c>
      <c r="J39" s="1017">
        <f t="shared" si="18"/>
        <v>-45000</v>
      </c>
      <c r="K39" s="927" t="s">
        <v>494</v>
      </c>
      <c r="L39" s="927">
        <v>0</v>
      </c>
      <c r="M39" s="1017">
        <f t="shared" si="19"/>
        <v>-45000</v>
      </c>
      <c r="N39" s="927" t="s">
        <v>494</v>
      </c>
      <c r="O39" s="948"/>
      <c r="P39" s="928">
        <v>0</v>
      </c>
      <c r="Q39" s="1020">
        <f t="shared" si="21"/>
        <v>-45000</v>
      </c>
      <c r="R39" s="1032">
        <f t="shared" si="22"/>
        <v>0</v>
      </c>
      <c r="S39" s="1020">
        <f t="shared" si="23"/>
        <v>-45000</v>
      </c>
      <c r="T39" s="1032">
        <f t="shared" si="34"/>
        <v>0</v>
      </c>
      <c r="U39" s="1020">
        <f t="shared" si="24"/>
        <v>-45000</v>
      </c>
      <c r="V39" s="927" t="s">
        <v>494</v>
      </c>
      <c r="W39" s="927">
        <v>0</v>
      </c>
      <c r="X39" s="1020">
        <f t="shared" si="25"/>
        <v>-45000</v>
      </c>
      <c r="Y39" s="927">
        <f t="shared" si="38"/>
        <v>0</v>
      </c>
      <c r="Z39" s="1020">
        <f t="shared" si="26"/>
        <v>-45000</v>
      </c>
      <c r="AA39" s="927">
        <f t="shared" si="40"/>
        <v>0</v>
      </c>
      <c r="AB39" s="1020">
        <f t="shared" si="27"/>
        <v>-45000</v>
      </c>
      <c r="AC39" s="927" t="s">
        <v>494</v>
      </c>
      <c r="AD39" s="928">
        <v>0</v>
      </c>
      <c r="AE39" s="1020">
        <f t="shared" si="28"/>
        <v>-45000</v>
      </c>
      <c r="AF39" s="928">
        <f t="shared" si="39"/>
        <v>0</v>
      </c>
      <c r="AG39" s="1020">
        <f t="shared" si="29"/>
        <v>-45000</v>
      </c>
      <c r="AH39" s="928">
        <f t="shared" si="41"/>
        <v>0</v>
      </c>
      <c r="AI39" s="1020">
        <f t="shared" si="30"/>
        <v>-45000</v>
      </c>
      <c r="AJ39" s="927" t="s">
        <v>494</v>
      </c>
      <c r="AK39" s="927">
        <v>0</v>
      </c>
      <c r="AL39" s="1020">
        <f t="shared" si="31"/>
        <v>-45000</v>
      </c>
      <c r="AM39" s="927">
        <v>0</v>
      </c>
      <c r="AN39" s="1017">
        <f t="shared" si="32"/>
        <v>-45000</v>
      </c>
      <c r="AO39" s="927">
        <v>0</v>
      </c>
      <c r="AP39" s="1017">
        <f t="shared" si="33"/>
        <v>-45000</v>
      </c>
      <c r="AQ39" s="927" t="s">
        <v>494</v>
      </c>
    </row>
    <row r="40" spans="1:43" s="925" customFormat="1">
      <c r="A40" s="930">
        <v>16</v>
      </c>
      <c r="B40" s="925" t="s">
        <v>582</v>
      </c>
      <c r="C40" s="927">
        <f>2100000*0.15*2</f>
        <v>630000</v>
      </c>
      <c r="D40" s="927"/>
      <c r="E40" s="927"/>
      <c r="F40" s="927">
        <f t="shared" si="36"/>
        <v>630000</v>
      </c>
      <c r="G40" s="931"/>
      <c r="H40" s="932">
        <f t="shared" si="37"/>
        <v>16</v>
      </c>
      <c r="I40" s="927">
        <f>2100000*0.15*2</f>
        <v>630000</v>
      </c>
      <c r="J40" s="1017">
        <f t="shared" si="18"/>
        <v>0</v>
      </c>
      <c r="K40" s="927" t="s">
        <v>577</v>
      </c>
      <c r="L40" s="927">
        <f>2100000*0.15*2</f>
        <v>630000</v>
      </c>
      <c r="M40" s="1017">
        <f t="shared" si="19"/>
        <v>0</v>
      </c>
      <c r="N40" s="927" t="s">
        <v>577</v>
      </c>
      <c r="O40" s="948"/>
      <c r="P40" s="927">
        <f>2100000*0.15*2</f>
        <v>630000</v>
      </c>
      <c r="Q40" s="1020">
        <f t="shared" si="21"/>
        <v>0</v>
      </c>
      <c r="R40" s="1032">
        <f t="shared" si="22"/>
        <v>630000</v>
      </c>
      <c r="S40" s="1020">
        <f t="shared" si="23"/>
        <v>0</v>
      </c>
      <c r="T40" s="1032">
        <f t="shared" si="34"/>
        <v>630000</v>
      </c>
      <c r="U40" s="1020">
        <f t="shared" si="24"/>
        <v>0</v>
      </c>
      <c r="V40" s="927" t="s">
        <v>577</v>
      </c>
      <c r="W40" s="927">
        <f>2100000*0.15*2</f>
        <v>630000</v>
      </c>
      <c r="X40" s="1020">
        <f t="shared" si="25"/>
        <v>0</v>
      </c>
      <c r="Y40" s="927">
        <f t="shared" si="38"/>
        <v>630000</v>
      </c>
      <c r="Z40" s="1020">
        <f t="shared" si="26"/>
        <v>0</v>
      </c>
      <c r="AA40" s="927">
        <f t="shared" si="40"/>
        <v>630000</v>
      </c>
      <c r="AB40" s="1020">
        <f t="shared" si="27"/>
        <v>0</v>
      </c>
      <c r="AC40" s="927" t="s">
        <v>577</v>
      </c>
      <c r="AD40" s="927">
        <f>2100000*0.15*2</f>
        <v>630000</v>
      </c>
      <c r="AE40" s="1020">
        <f t="shared" si="28"/>
        <v>0</v>
      </c>
      <c r="AF40" s="928">
        <f t="shared" si="39"/>
        <v>630000</v>
      </c>
      <c r="AG40" s="1020">
        <f t="shared" si="29"/>
        <v>0</v>
      </c>
      <c r="AH40" s="928">
        <f t="shared" si="41"/>
        <v>630000</v>
      </c>
      <c r="AI40" s="1020">
        <f t="shared" si="30"/>
        <v>0</v>
      </c>
      <c r="AJ40" s="927" t="s">
        <v>577</v>
      </c>
      <c r="AK40" s="927">
        <f>2100000*0.15*2</f>
        <v>630000</v>
      </c>
      <c r="AL40" s="1020">
        <f t="shared" si="31"/>
        <v>0</v>
      </c>
      <c r="AM40" s="927">
        <f>AK40</f>
        <v>630000</v>
      </c>
      <c r="AN40" s="1017">
        <f t="shared" si="32"/>
        <v>0</v>
      </c>
      <c r="AO40" s="927">
        <f>AM40</f>
        <v>630000</v>
      </c>
      <c r="AP40" s="1017">
        <f t="shared" si="33"/>
        <v>0</v>
      </c>
      <c r="AQ40" s="927" t="s">
        <v>577</v>
      </c>
    </row>
    <row r="41" spans="1:43" s="925" customFormat="1">
      <c r="A41" s="930">
        <v>17</v>
      </c>
      <c r="B41" s="941" t="s">
        <v>485</v>
      </c>
      <c r="C41" s="942">
        <v>0</v>
      </c>
      <c r="D41" s="942"/>
      <c r="E41" s="927">
        <v>2000000</v>
      </c>
      <c r="F41" s="927">
        <v>0</v>
      </c>
      <c r="G41" s="931"/>
      <c r="H41" s="932">
        <f t="shared" si="37"/>
        <v>17</v>
      </c>
      <c r="I41" s="927">
        <v>0</v>
      </c>
      <c r="J41" s="1017">
        <f t="shared" si="18"/>
        <v>0</v>
      </c>
      <c r="K41" s="927" t="s">
        <v>496</v>
      </c>
      <c r="L41" s="927">
        <v>0</v>
      </c>
      <c r="M41" s="1017">
        <f t="shared" si="19"/>
        <v>0</v>
      </c>
      <c r="N41" s="927" t="s">
        <v>496</v>
      </c>
      <c r="O41" s="948"/>
      <c r="P41" s="928">
        <v>0</v>
      </c>
      <c r="Q41" s="1020">
        <f t="shared" si="21"/>
        <v>0</v>
      </c>
      <c r="R41" s="1032">
        <f t="shared" si="22"/>
        <v>0</v>
      </c>
      <c r="S41" s="1020">
        <f t="shared" si="23"/>
        <v>0</v>
      </c>
      <c r="T41" s="1032">
        <f t="shared" si="34"/>
        <v>0</v>
      </c>
      <c r="U41" s="1020">
        <f t="shared" si="24"/>
        <v>0</v>
      </c>
      <c r="V41" s="927" t="s">
        <v>496</v>
      </c>
      <c r="W41" s="927">
        <v>0</v>
      </c>
      <c r="X41" s="1020">
        <f t="shared" si="25"/>
        <v>0</v>
      </c>
      <c r="Y41" s="927">
        <f t="shared" si="38"/>
        <v>0</v>
      </c>
      <c r="Z41" s="1020">
        <f t="shared" si="26"/>
        <v>0</v>
      </c>
      <c r="AA41" s="927">
        <f t="shared" si="40"/>
        <v>0</v>
      </c>
      <c r="AB41" s="1020">
        <f t="shared" si="27"/>
        <v>0</v>
      </c>
      <c r="AC41" s="927" t="s">
        <v>496</v>
      </c>
      <c r="AD41" s="928">
        <v>0</v>
      </c>
      <c r="AE41" s="1020">
        <f t="shared" si="28"/>
        <v>0</v>
      </c>
      <c r="AF41" s="928">
        <f t="shared" si="39"/>
        <v>0</v>
      </c>
      <c r="AG41" s="1020">
        <f t="shared" si="29"/>
        <v>0</v>
      </c>
      <c r="AH41" s="928">
        <f t="shared" si="41"/>
        <v>0</v>
      </c>
      <c r="AI41" s="1020">
        <f t="shared" si="30"/>
        <v>0</v>
      </c>
      <c r="AJ41" s="927" t="s">
        <v>496</v>
      </c>
      <c r="AK41" s="927">
        <v>0</v>
      </c>
      <c r="AL41" s="1020">
        <f t="shared" si="31"/>
        <v>0</v>
      </c>
      <c r="AM41" s="927">
        <v>0</v>
      </c>
      <c r="AN41" s="1017">
        <f t="shared" si="32"/>
        <v>0</v>
      </c>
      <c r="AO41" s="927">
        <v>0</v>
      </c>
      <c r="AP41" s="1017">
        <f t="shared" si="33"/>
        <v>0</v>
      </c>
      <c r="AQ41" s="927" t="s">
        <v>496</v>
      </c>
    </row>
    <row r="42" spans="1:43" s="941" customFormat="1">
      <c r="A42" s="930">
        <v>18</v>
      </c>
      <c r="B42" s="962" t="s">
        <v>486</v>
      </c>
      <c r="C42" s="942">
        <v>0</v>
      </c>
      <c r="D42" s="942"/>
      <c r="E42" s="942"/>
      <c r="F42" s="942">
        <v>0</v>
      </c>
      <c r="G42" s="963"/>
      <c r="H42" s="964">
        <f t="shared" si="37"/>
        <v>18</v>
      </c>
      <c r="I42" s="942">
        <v>0</v>
      </c>
      <c r="J42" s="1017">
        <f t="shared" si="18"/>
        <v>0</v>
      </c>
      <c r="K42" s="942" t="s">
        <v>218</v>
      </c>
      <c r="L42" s="942">
        <v>0</v>
      </c>
      <c r="M42" s="927">
        <f t="shared" si="19"/>
        <v>0</v>
      </c>
      <c r="N42" s="942" t="s">
        <v>218</v>
      </c>
      <c r="O42" s="978"/>
      <c r="P42" s="1033">
        <v>0</v>
      </c>
      <c r="Q42" s="928">
        <f t="shared" si="21"/>
        <v>0</v>
      </c>
      <c r="R42" s="1032">
        <f t="shared" si="22"/>
        <v>0</v>
      </c>
      <c r="S42" s="928">
        <f t="shared" si="23"/>
        <v>0</v>
      </c>
      <c r="T42" s="1032">
        <f t="shared" si="34"/>
        <v>0</v>
      </c>
      <c r="U42" s="928">
        <f t="shared" si="24"/>
        <v>0</v>
      </c>
      <c r="V42" s="942" t="s">
        <v>218</v>
      </c>
      <c r="W42" s="942">
        <v>0</v>
      </c>
      <c r="X42" s="928">
        <f t="shared" si="25"/>
        <v>0</v>
      </c>
      <c r="Y42" s="927">
        <f t="shared" si="38"/>
        <v>0</v>
      </c>
      <c r="Z42" s="928">
        <f t="shared" si="26"/>
        <v>0</v>
      </c>
      <c r="AA42" s="927">
        <f t="shared" si="40"/>
        <v>0</v>
      </c>
      <c r="AB42" s="928">
        <f t="shared" si="27"/>
        <v>0</v>
      </c>
      <c r="AC42" s="942" t="s">
        <v>218</v>
      </c>
      <c r="AD42" s="1033">
        <v>2000000</v>
      </c>
      <c r="AE42" s="928">
        <f t="shared" si="28"/>
        <v>2000000</v>
      </c>
      <c r="AF42" s="928">
        <f t="shared" si="39"/>
        <v>2000000</v>
      </c>
      <c r="AG42" s="928">
        <f t="shared" si="29"/>
        <v>2000000</v>
      </c>
      <c r="AH42" s="928">
        <f t="shared" si="41"/>
        <v>2000000</v>
      </c>
      <c r="AI42" s="928">
        <f t="shared" si="30"/>
        <v>2000000</v>
      </c>
      <c r="AJ42" s="942"/>
      <c r="AK42" s="942">
        <v>2000000</v>
      </c>
      <c r="AL42" s="928">
        <f t="shared" si="31"/>
        <v>2000000</v>
      </c>
      <c r="AM42" s="942">
        <v>2000000</v>
      </c>
      <c r="AN42" s="927">
        <f t="shared" si="32"/>
        <v>2000000</v>
      </c>
      <c r="AO42" s="942">
        <v>2000000</v>
      </c>
      <c r="AP42" s="927">
        <f t="shared" si="33"/>
        <v>2000000</v>
      </c>
      <c r="AQ42" s="942" t="s">
        <v>218</v>
      </c>
    </row>
    <row r="43" spans="1:43" s="941" customFormat="1">
      <c r="A43" s="930">
        <v>19</v>
      </c>
      <c r="B43" s="925" t="s">
        <v>589</v>
      </c>
      <c r="C43" s="942">
        <v>0</v>
      </c>
      <c r="D43" s="942"/>
      <c r="E43" s="942"/>
      <c r="F43" s="942">
        <v>0</v>
      </c>
      <c r="G43" s="963"/>
      <c r="H43" s="964">
        <f t="shared" si="37"/>
        <v>19</v>
      </c>
      <c r="I43" s="942">
        <f>340616+102185+15000</f>
        <v>457801</v>
      </c>
      <c r="J43" s="927">
        <f t="shared" si="18"/>
        <v>457801</v>
      </c>
      <c r="K43" s="942" t="s">
        <v>523</v>
      </c>
      <c r="L43" s="942">
        <f>432816+129845+15000</f>
        <v>577661</v>
      </c>
      <c r="M43" s="927">
        <f t="shared" si="19"/>
        <v>577661</v>
      </c>
      <c r="N43" s="942" t="s">
        <v>523</v>
      </c>
      <c r="O43" s="942"/>
      <c r="P43" s="1033">
        <f>365216+109565+15000</f>
        <v>489781</v>
      </c>
      <c r="Q43" s="928">
        <f t="shared" si="21"/>
        <v>489781</v>
      </c>
      <c r="R43" s="1032">
        <f t="shared" si="22"/>
        <v>489781</v>
      </c>
      <c r="S43" s="928">
        <f t="shared" si="23"/>
        <v>489781</v>
      </c>
      <c r="T43" s="1032">
        <f t="shared" si="34"/>
        <v>489781</v>
      </c>
      <c r="U43" s="928">
        <f t="shared" si="24"/>
        <v>489781</v>
      </c>
      <c r="V43" s="942" t="s">
        <v>523</v>
      </c>
      <c r="W43" s="942">
        <f>469116+140735+15000</f>
        <v>624851</v>
      </c>
      <c r="X43" s="928">
        <f t="shared" si="25"/>
        <v>624851</v>
      </c>
      <c r="Y43" s="927">
        <f t="shared" si="38"/>
        <v>624851</v>
      </c>
      <c r="Z43" s="928">
        <f t="shared" si="26"/>
        <v>624851</v>
      </c>
      <c r="AA43" s="927">
        <f t="shared" si="40"/>
        <v>624851</v>
      </c>
      <c r="AB43" s="928">
        <f t="shared" si="27"/>
        <v>624851</v>
      </c>
      <c r="AC43" s="942" t="s">
        <v>523</v>
      </c>
      <c r="AD43" s="1033">
        <f>591221+177366+30000</f>
        <v>798587</v>
      </c>
      <c r="AE43" s="928">
        <f t="shared" si="28"/>
        <v>798587</v>
      </c>
      <c r="AF43" s="928">
        <f t="shared" si="39"/>
        <v>798587</v>
      </c>
      <c r="AG43" s="928">
        <f t="shared" si="29"/>
        <v>798587</v>
      </c>
      <c r="AH43" s="928">
        <f t="shared" si="41"/>
        <v>798587</v>
      </c>
      <c r="AI43" s="928">
        <f t="shared" si="30"/>
        <v>798587</v>
      </c>
      <c r="AJ43" s="942" t="s">
        <v>523</v>
      </c>
      <c r="AK43" s="942">
        <f>627701+188310+30000</f>
        <v>846011</v>
      </c>
      <c r="AL43" s="928">
        <f t="shared" si="31"/>
        <v>846011</v>
      </c>
      <c r="AM43" s="942">
        <f>AK43</f>
        <v>846011</v>
      </c>
      <c r="AN43" s="927">
        <f t="shared" si="32"/>
        <v>846011</v>
      </c>
      <c r="AO43" s="942">
        <f t="shared" ref="AO43:AO47" si="47">AM43</f>
        <v>846011</v>
      </c>
      <c r="AP43" s="927">
        <f t="shared" si="33"/>
        <v>846011</v>
      </c>
      <c r="AQ43" s="942" t="s">
        <v>523</v>
      </c>
    </row>
    <row r="44" spans="1:43" s="941" customFormat="1">
      <c r="A44" s="956">
        <v>20</v>
      </c>
      <c r="B44" s="962" t="s">
        <v>521</v>
      </c>
      <c r="C44" s="942">
        <v>0</v>
      </c>
      <c r="D44" s="942"/>
      <c r="E44" s="942"/>
      <c r="F44" s="942">
        <v>0</v>
      </c>
      <c r="G44" s="963"/>
      <c r="H44" s="964">
        <f t="shared" si="37"/>
        <v>20</v>
      </c>
      <c r="I44" s="942">
        <v>772792</v>
      </c>
      <c r="J44" s="927">
        <f t="shared" si="18"/>
        <v>772792</v>
      </c>
      <c r="K44" s="942" t="s">
        <v>523</v>
      </c>
      <c r="L44" s="942">
        <f>981160</f>
        <v>981160</v>
      </c>
      <c r="M44" s="927">
        <f t="shared" si="19"/>
        <v>981160</v>
      </c>
      <c r="N44" s="942" t="s">
        <v>523</v>
      </c>
      <c r="O44" s="942"/>
      <c r="P44" s="1033">
        <f>828388</f>
        <v>828388</v>
      </c>
      <c r="Q44" s="928">
        <f t="shared" si="21"/>
        <v>828388</v>
      </c>
      <c r="R44" s="1083">
        <f t="shared" si="22"/>
        <v>828388</v>
      </c>
      <c r="S44" s="928">
        <f t="shared" si="23"/>
        <v>828388</v>
      </c>
      <c r="T44" s="1083">
        <f t="shared" si="34"/>
        <v>828388</v>
      </c>
      <c r="U44" s="928">
        <f t="shared" si="24"/>
        <v>828388</v>
      </c>
      <c r="V44" s="942" t="s">
        <v>523</v>
      </c>
      <c r="W44" s="942">
        <v>1063202</v>
      </c>
      <c r="X44" s="928">
        <f t="shared" si="25"/>
        <v>1063202</v>
      </c>
      <c r="Y44" s="942">
        <f t="shared" si="38"/>
        <v>1063202</v>
      </c>
      <c r="Z44" s="928">
        <f t="shared" si="26"/>
        <v>1063202</v>
      </c>
      <c r="AA44" s="942">
        <f t="shared" si="40"/>
        <v>1063202</v>
      </c>
      <c r="AB44" s="928">
        <f t="shared" si="27"/>
        <v>1063202</v>
      </c>
      <c r="AC44" s="942" t="s">
        <v>523</v>
      </c>
      <c r="AD44" s="1033">
        <v>1342160</v>
      </c>
      <c r="AE44" s="928">
        <f t="shared" si="28"/>
        <v>1342160</v>
      </c>
      <c r="AF44" s="1033">
        <f t="shared" si="39"/>
        <v>1342160</v>
      </c>
      <c r="AG44" s="928">
        <f t="shared" si="29"/>
        <v>1342160</v>
      </c>
      <c r="AH44" s="1033">
        <f t="shared" si="41"/>
        <v>1342160</v>
      </c>
      <c r="AI44" s="928">
        <f t="shared" si="30"/>
        <v>1342160</v>
      </c>
      <c r="AJ44" s="942" t="s">
        <v>523</v>
      </c>
      <c r="AK44" s="942">
        <v>1424605</v>
      </c>
      <c r="AL44" s="928">
        <f t="shared" si="31"/>
        <v>1424605</v>
      </c>
      <c r="AM44" s="942">
        <f>AK44</f>
        <v>1424605</v>
      </c>
      <c r="AN44" s="927">
        <f t="shared" si="32"/>
        <v>1424605</v>
      </c>
      <c r="AO44" s="942">
        <f t="shared" si="47"/>
        <v>1424605</v>
      </c>
      <c r="AP44" s="927">
        <f t="shared" si="33"/>
        <v>1424605</v>
      </c>
      <c r="AQ44" s="942" t="s">
        <v>523</v>
      </c>
    </row>
    <row r="45" spans="1:43" s="941" customFormat="1">
      <c r="A45" s="956">
        <v>21</v>
      </c>
      <c r="B45" s="962" t="s">
        <v>575</v>
      </c>
      <c r="C45" s="942">
        <v>0</v>
      </c>
      <c r="D45" s="942"/>
      <c r="E45" s="942"/>
      <c r="F45" s="942">
        <v>0</v>
      </c>
      <c r="G45" s="963"/>
      <c r="H45" s="964">
        <f t="shared" si="37"/>
        <v>21</v>
      </c>
      <c r="I45" s="942">
        <f>'Capital Financing'!B6</f>
        <v>695512.79999999993</v>
      </c>
      <c r="J45" s="927">
        <f t="shared" si="18"/>
        <v>695512.79999999993</v>
      </c>
      <c r="K45" s="942"/>
      <c r="L45" s="942">
        <f>'Capital Financing'!B17</f>
        <v>883047</v>
      </c>
      <c r="M45" s="927">
        <f t="shared" si="19"/>
        <v>883047</v>
      </c>
      <c r="N45" s="942"/>
      <c r="O45" s="942"/>
      <c r="P45" s="1033">
        <f>'Capital Financing'!B39</f>
        <v>745549.2</v>
      </c>
      <c r="Q45" s="928">
        <f t="shared" si="21"/>
        <v>745549.2</v>
      </c>
      <c r="R45" s="1083">
        <f>P45</f>
        <v>745549.2</v>
      </c>
      <c r="S45" s="928">
        <f t="shared" si="23"/>
        <v>745549.2</v>
      </c>
      <c r="T45" s="1083">
        <f t="shared" si="34"/>
        <v>745549.2</v>
      </c>
      <c r="U45" s="928">
        <f t="shared" si="24"/>
        <v>745549.2</v>
      </c>
      <c r="V45" s="942"/>
      <c r="W45" s="942">
        <f>'Capital Financing'!B50</f>
        <v>956881.79999999993</v>
      </c>
      <c r="X45" s="928">
        <f t="shared" si="25"/>
        <v>956881.79999999993</v>
      </c>
      <c r="Y45" s="942">
        <f>W45</f>
        <v>956881.79999999993</v>
      </c>
      <c r="Z45" s="928">
        <f t="shared" si="26"/>
        <v>956881.79999999993</v>
      </c>
      <c r="AA45" s="942">
        <f t="shared" si="40"/>
        <v>956881.79999999993</v>
      </c>
      <c r="AB45" s="928">
        <f t="shared" si="27"/>
        <v>956881.79999999993</v>
      </c>
      <c r="AC45" s="942"/>
      <c r="AD45" s="1033">
        <f>'Capital Financing'!B61</f>
        <v>1207944.1499999999</v>
      </c>
      <c r="AE45" s="928">
        <f t="shared" si="28"/>
        <v>1207944.1499999999</v>
      </c>
      <c r="AF45" s="1033">
        <f>AD45</f>
        <v>1207944.1499999999</v>
      </c>
      <c r="AG45" s="928">
        <f t="shared" si="29"/>
        <v>1207944.1499999999</v>
      </c>
      <c r="AH45" s="1033">
        <f t="shared" si="41"/>
        <v>1207944.1499999999</v>
      </c>
      <c r="AI45" s="928">
        <f t="shared" si="30"/>
        <v>1207944.1499999999</v>
      </c>
      <c r="AJ45" s="942"/>
      <c r="AK45" s="942">
        <f>'Capital Financing'!B72</f>
        <v>1282144.5</v>
      </c>
      <c r="AL45" s="928">
        <f t="shared" si="31"/>
        <v>1282144.5</v>
      </c>
      <c r="AM45" s="942">
        <f>AK45</f>
        <v>1282144.5</v>
      </c>
      <c r="AN45" s="927">
        <f t="shared" si="32"/>
        <v>1282144.5</v>
      </c>
      <c r="AO45" s="942">
        <f>AM45</f>
        <v>1282144.5</v>
      </c>
      <c r="AP45" s="927">
        <f t="shared" si="33"/>
        <v>1282144.5</v>
      </c>
      <c r="AQ45" s="942"/>
    </row>
    <row r="46" spans="1:43" s="941" customFormat="1">
      <c r="A46" s="956">
        <v>22</v>
      </c>
      <c r="B46" s="962" t="s">
        <v>579</v>
      </c>
      <c r="C46" s="942">
        <v>0</v>
      </c>
      <c r="D46" s="942"/>
      <c r="E46" s="942"/>
      <c r="F46" s="942">
        <v>0</v>
      </c>
      <c r="G46" s="963"/>
      <c r="H46" s="964">
        <f t="shared" si="37"/>
        <v>22</v>
      </c>
      <c r="I46" s="942">
        <f>'Capital Financing'!B7</f>
        <v>139102.56</v>
      </c>
      <c r="J46" s="927">
        <f t="shared" si="18"/>
        <v>139102.56</v>
      </c>
      <c r="K46" s="942" t="s">
        <v>580</v>
      </c>
      <c r="L46" s="942">
        <f>'Capital Financing'!B18</f>
        <v>176609.40000000002</v>
      </c>
      <c r="M46" s="927">
        <f t="shared" si="19"/>
        <v>176609.40000000002</v>
      </c>
      <c r="N46" s="942"/>
      <c r="O46" s="942"/>
      <c r="P46" s="1033">
        <f>'Capital Financing'!B40</f>
        <v>149109.84</v>
      </c>
      <c r="Q46" s="928">
        <f t="shared" si="21"/>
        <v>149109.84</v>
      </c>
      <c r="R46" s="1083">
        <f>P46</f>
        <v>149109.84</v>
      </c>
      <c r="S46" s="928">
        <f t="shared" si="23"/>
        <v>149109.84</v>
      </c>
      <c r="T46" s="1083">
        <f t="shared" si="34"/>
        <v>149109.84</v>
      </c>
      <c r="U46" s="928">
        <f t="shared" si="24"/>
        <v>149109.84</v>
      </c>
      <c r="V46" s="942"/>
      <c r="W46" s="942">
        <f>'Capital Financing'!B51</f>
        <v>191376.36</v>
      </c>
      <c r="X46" s="928">
        <f t="shared" si="25"/>
        <v>191376.36</v>
      </c>
      <c r="Y46" s="942">
        <f>W46</f>
        <v>191376.36</v>
      </c>
      <c r="Z46" s="928">
        <f t="shared" si="26"/>
        <v>191376.36</v>
      </c>
      <c r="AA46" s="942">
        <f>Y46</f>
        <v>191376.36</v>
      </c>
      <c r="AB46" s="928">
        <f t="shared" si="27"/>
        <v>191376.36</v>
      </c>
      <c r="AC46" s="942"/>
      <c r="AD46" s="1033">
        <f>'Capital Financing'!B62</f>
        <v>241588.83</v>
      </c>
      <c r="AE46" s="928">
        <f t="shared" si="28"/>
        <v>241588.83</v>
      </c>
      <c r="AF46" s="1033">
        <f>AD46</f>
        <v>241588.83</v>
      </c>
      <c r="AG46" s="928">
        <f t="shared" si="29"/>
        <v>241588.83</v>
      </c>
      <c r="AH46" s="1033">
        <f t="shared" si="41"/>
        <v>241588.83</v>
      </c>
      <c r="AI46" s="928">
        <f t="shared" si="30"/>
        <v>241588.83</v>
      </c>
      <c r="AJ46" s="942"/>
      <c r="AK46" s="942">
        <f>'Capital Financing'!B73</f>
        <v>256428.90000000002</v>
      </c>
      <c r="AL46" s="928">
        <f t="shared" si="31"/>
        <v>256428.90000000002</v>
      </c>
      <c r="AM46" s="942">
        <f>AK46</f>
        <v>256428.90000000002</v>
      </c>
      <c r="AN46" s="927">
        <f>AM46</f>
        <v>256428.90000000002</v>
      </c>
      <c r="AO46" s="942">
        <f>AM46</f>
        <v>256428.90000000002</v>
      </c>
      <c r="AP46" s="927">
        <f t="shared" si="33"/>
        <v>256428.90000000002</v>
      </c>
      <c r="AQ46" s="942"/>
    </row>
    <row r="47" spans="1:43" s="925" customFormat="1">
      <c r="A47" s="943">
        <v>23</v>
      </c>
      <c r="B47" s="1084" t="s">
        <v>539</v>
      </c>
      <c r="C47" s="945">
        <v>0</v>
      </c>
      <c r="D47" s="945"/>
      <c r="E47" s="945"/>
      <c r="F47" s="945">
        <v>0</v>
      </c>
      <c r="G47" s="974"/>
      <c r="H47" s="968">
        <f t="shared" si="37"/>
        <v>23</v>
      </c>
      <c r="I47" s="945">
        <v>0</v>
      </c>
      <c r="J47" s="945">
        <f t="shared" si="18"/>
        <v>0</v>
      </c>
      <c r="K47" s="945"/>
      <c r="L47" s="945">
        <v>0</v>
      </c>
      <c r="M47" s="945">
        <f t="shared" si="19"/>
        <v>0</v>
      </c>
      <c r="N47" s="945"/>
      <c r="O47" s="945"/>
      <c r="P47" s="1004">
        <v>0</v>
      </c>
      <c r="Q47" s="1004">
        <f t="shared" si="21"/>
        <v>0</v>
      </c>
      <c r="R47" s="1037">
        <f t="shared" si="22"/>
        <v>0</v>
      </c>
      <c r="S47" s="1004">
        <f t="shared" si="23"/>
        <v>0</v>
      </c>
      <c r="T47" s="1037">
        <f t="shared" si="34"/>
        <v>0</v>
      </c>
      <c r="U47" s="1004">
        <f t="shared" si="24"/>
        <v>0</v>
      </c>
      <c r="V47" s="945"/>
      <c r="W47" s="945">
        <v>0</v>
      </c>
      <c r="X47" s="1004">
        <f t="shared" si="25"/>
        <v>0</v>
      </c>
      <c r="Y47" s="945">
        <v>0</v>
      </c>
      <c r="Z47" s="1004">
        <f t="shared" si="26"/>
        <v>0</v>
      </c>
      <c r="AA47" s="945">
        <v>0</v>
      </c>
      <c r="AB47" s="1004">
        <f t="shared" si="27"/>
        <v>0</v>
      </c>
      <c r="AC47" s="945"/>
      <c r="AD47" s="1034">
        <v>-3000000</v>
      </c>
      <c r="AE47" s="1034">
        <f t="shared" si="28"/>
        <v>-3000000</v>
      </c>
      <c r="AF47" s="1034">
        <f t="shared" si="39"/>
        <v>-3000000</v>
      </c>
      <c r="AG47" s="1034">
        <f t="shared" si="29"/>
        <v>-3000000</v>
      </c>
      <c r="AH47" s="1034">
        <f>AF47</f>
        <v>-3000000</v>
      </c>
      <c r="AI47" s="1034">
        <f t="shared" si="30"/>
        <v>-3000000</v>
      </c>
      <c r="AJ47" s="945"/>
      <c r="AK47" s="1016">
        <v>-3000000</v>
      </c>
      <c r="AL47" s="1034">
        <f t="shared" si="31"/>
        <v>-3000000</v>
      </c>
      <c r="AM47" s="1016">
        <f>AK47</f>
        <v>-3000000</v>
      </c>
      <c r="AN47" s="1016">
        <f>AM47-F47</f>
        <v>-3000000</v>
      </c>
      <c r="AO47" s="1016">
        <f t="shared" si="47"/>
        <v>-3000000</v>
      </c>
      <c r="AP47" s="1016">
        <f t="shared" si="33"/>
        <v>-3000000</v>
      </c>
      <c r="AQ47" s="945"/>
    </row>
    <row r="48" spans="1:43" s="934" customFormat="1">
      <c r="A48" s="933"/>
      <c r="B48" s="950" t="s">
        <v>515</v>
      </c>
      <c r="C48" s="951">
        <f>SUM(C25:C47)</f>
        <v>8210000</v>
      </c>
      <c r="D48" s="951">
        <f>SUM(D25:D41)</f>
        <v>0</v>
      </c>
      <c r="E48" s="951">
        <f>SUM(E25:E41)</f>
        <v>2000000</v>
      </c>
      <c r="F48" s="951">
        <f>SUM(F25:F47)</f>
        <v>8210000</v>
      </c>
      <c r="G48" s="936"/>
      <c r="H48" s="937" t="s">
        <v>453</v>
      </c>
      <c r="I48" s="973">
        <f>SUM(I25:I47)</f>
        <v>11602591.360000001</v>
      </c>
      <c r="J48" s="1017">
        <f t="shared" si="18"/>
        <v>3392591.3600000013</v>
      </c>
      <c r="K48" s="935"/>
      <c r="L48" s="935">
        <f>SUM(L25:L47)</f>
        <v>13077860.4</v>
      </c>
      <c r="M48" s="1017">
        <f t="shared" si="19"/>
        <v>4867860.4000000004</v>
      </c>
      <c r="N48" s="935"/>
      <c r="O48" s="935"/>
      <c r="P48" s="973">
        <f>SUM(P25:P47)</f>
        <v>11996211.039999999</v>
      </c>
      <c r="Q48" s="1020">
        <f t="shared" si="21"/>
        <v>3786211.0399999991</v>
      </c>
      <c r="R48" s="973">
        <f>SUM(R25:R47)</f>
        <v>11996211.039999999</v>
      </c>
      <c r="S48" s="1020">
        <f t="shared" si="23"/>
        <v>3786211.0399999991</v>
      </c>
      <c r="T48" s="973">
        <f>SUM(T25:T47)</f>
        <v>11996211.039999999</v>
      </c>
      <c r="U48" s="1020">
        <f t="shared" si="24"/>
        <v>3786211.0399999991</v>
      </c>
      <c r="V48" s="935"/>
      <c r="W48" s="935">
        <f>SUM(W25:W47)</f>
        <v>13658694.16</v>
      </c>
      <c r="X48" s="928">
        <f t="shared" si="25"/>
        <v>5448694.1600000001</v>
      </c>
      <c r="Y48" s="935">
        <f t="shared" ref="Y48:AA48" si="48">SUM(Y25:Y44)</f>
        <v>12510436</v>
      </c>
      <c r="Z48" s="928">
        <f t="shared" si="26"/>
        <v>4300436</v>
      </c>
      <c r="AA48" s="935">
        <f t="shared" si="48"/>
        <v>12510436</v>
      </c>
      <c r="AB48" s="928">
        <f t="shared" si="27"/>
        <v>4300436</v>
      </c>
      <c r="AC48" s="935"/>
      <c r="AD48" s="973">
        <f>SUM(AD25:AD47)</f>
        <v>12633717.98</v>
      </c>
      <c r="AE48" s="1020">
        <f t="shared" si="28"/>
        <v>4423717.9800000004</v>
      </c>
      <c r="AF48" s="973">
        <f>SUM(AF25:AF47)</f>
        <v>12633717.98</v>
      </c>
      <c r="AG48" s="1020">
        <f t="shared" si="29"/>
        <v>4423717.9800000004</v>
      </c>
      <c r="AH48" s="973">
        <f>SUM(AH25:AH47)</f>
        <v>12633717.98</v>
      </c>
      <c r="AI48" s="1020">
        <f t="shared" si="30"/>
        <v>4423717.9800000004</v>
      </c>
      <c r="AJ48" s="935"/>
      <c r="AK48" s="935">
        <f>SUM(AK25:AK47)</f>
        <v>13217427.4</v>
      </c>
      <c r="AL48" s="1020">
        <f t="shared" si="31"/>
        <v>5007427.4000000004</v>
      </c>
      <c r="AM48" s="935">
        <f t="shared" ref="AM48:AO48" si="49">SUM(AM25:AM47)</f>
        <v>13217427.4</v>
      </c>
      <c r="AN48" s="1017">
        <f>AM48-F48</f>
        <v>5007427.4000000004</v>
      </c>
      <c r="AO48" s="935">
        <f t="shared" si="49"/>
        <v>13217427.4</v>
      </c>
      <c r="AP48" s="1017">
        <f t="shared" si="33"/>
        <v>5007427.4000000004</v>
      </c>
      <c r="AQ48" s="935"/>
    </row>
    <row r="49" spans="1:43" s="1026" customFormat="1">
      <c r="A49" s="1048"/>
      <c r="C49" s="1049"/>
      <c r="D49" s="1049"/>
      <c r="E49" s="1049"/>
      <c r="F49" s="1049"/>
      <c r="G49" s="1050"/>
      <c r="H49" s="1051"/>
      <c r="I49" s="1049">
        <f>SUM(I26:I47)</f>
        <v>8102591.3599999994</v>
      </c>
      <c r="J49" s="1017"/>
      <c r="K49" s="1049"/>
      <c r="L49" s="1049">
        <f>SUM(L26:L47)</f>
        <v>9577860.4000000004</v>
      </c>
      <c r="M49" s="927"/>
      <c r="N49" s="1049"/>
      <c r="O49" s="1049"/>
      <c r="P49" s="1052">
        <f>SUM(P26:P47)</f>
        <v>8496211.040000001</v>
      </c>
      <c r="Q49" s="928"/>
      <c r="R49" s="1052">
        <f>P49</f>
        <v>8496211.040000001</v>
      </c>
      <c r="S49" s="928"/>
      <c r="T49" s="1052">
        <f>R49</f>
        <v>8496211.040000001</v>
      </c>
      <c r="U49" s="928"/>
      <c r="V49" s="1049"/>
      <c r="W49" s="1049">
        <f>SUM(W26:W47)</f>
        <v>10158694.16</v>
      </c>
      <c r="X49" s="928"/>
      <c r="Y49" s="1049">
        <f>W49</f>
        <v>10158694.16</v>
      </c>
      <c r="Z49" s="928"/>
      <c r="AA49" s="1049">
        <f>Y49</f>
        <v>10158694.16</v>
      </c>
      <c r="AB49" s="928"/>
      <c r="AC49" s="1049"/>
      <c r="AD49" s="1052">
        <f>SUM(AD26:AD47)</f>
        <v>9133717.9800000004</v>
      </c>
      <c r="AE49" s="1052"/>
      <c r="AF49" s="1052">
        <f>AD49</f>
        <v>9133717.9800000004</v>
      </c>
      <c r="AG49" s="1052"/>
      <c r="AH49" s="1052">
        <f>AF49</f>
        <v>9133717.9800000004</v>
      </c>
      <c r="AI49" s="928"/>
      <c r="AJ49" s="1049"/>
      <c r="AK49" s="1049">
        <f>SUM(AK26:AK47)</f>
        <v>9717427.4000000004</v>
      </c>
      <c r="AL49" s="1049"/>
      <c r="AM49" s="1049">
        <f>SUM(AM26:AM47)</f>
        <v>9717427.4000000004</v>
      </c>
      <c r="AN49" s="1049"/>
      <c r="AO49" s="1049">
        <f>SUM(AO26:AO47)</f>
        <v>9717427.4000000004</v>
      </c>
      <c r="AP49" s="1049"/>
      <c r="AQ49" s="1049"/>
    </row>
    <row r="50" spans="1:43" s="946" customFormat="1">
      <c r="A50" s="1015"/>
      <c r="B50" s="952" t="s">
        <v>516</v>
      </c>
      <c r="C50" s="948"/>
      <c r="D50" s="948"/>
      <c r="E50" s="948"/>
      <c r="F50" s="948"/>
      <c r="G50" s="1104"/>
      <c r="H50" s="952" t="str">
        <f>B50</f>
        <v>CAPITAL GRANTS</v>
      </c>
      <c r="J50" s="948"/>
      <c r="K50" s="948"/>
      <c r="L50" s="948"/>
      <c r="M50" s="948"/>
      <c r="N50" s="948"/>
      <c r="O50" s="948"/>
      <c r="P50" s="1041"/>
      <c r="Q50" s="1041"/>
      <c r="R50" s="1041"/>
      <c r="S50" s="1041"/>
      <c r="T50" s="1041"/>
      <c r="U50" s="1041"/>
      <c r="V50" s="948"/>
      <c r="W50" s="948"/>
      <c r="X50" s="1041"/>
      <c r="Y50" s="948"/>
      <c r="Z50" s="1041"/>
      <c r="AA50" s="948"/>
      <c r="AB50" s="1041"/>
      <c r="AC50" s="948"/>
      <c r="AD50" s="1041"/>
      <c r="AE50" s="1041"/>
      <c r="AF50" s="1041"/>
      <c r="AG50" s="1041"/>
      <c r="AH50" s="1041"/>
      <c r="AI50" s="1041"/>
      <c r="AJ50" s="948"/>
      <c r="AK50" s="948"/>
      <c r="AL50" s="1041"/>
      <c r="AM50" s="948"/>
      <c r="AN50" s="948"/>
      <c r="AO50" s="948"/>
      <c r="AP50" s="948"/>
      <c r="AQ50" s="948"/>
    </row>
    <row r="51" spans="1:43" s="946" customFormat="1">
      <c r="A51" s="1015">
        <v>1</v>
      </c>
      <c r="B51" s="946" t="s">
        <v>581</v>
      </c>
      <c r="C51" s="948">
        <f>2100000*0.85*2</f>
        <v>3570000</v>
      </c>
      <c r="D51" s="948"/>
      <c r="E51" s="948"/>
      <c r="F51" s="948">
        <f>SUM(C51:E51)</f>
        <v>3570000</v>
      </c>
      <c r="G51" s="1104"/>
      <c r="H51" s="1105">
        <f>A51</f>
        <v>1</v>
      </c>
      <c r="I51" s="948">
        <v>0</v>
      </c>
      <c r="J51" s="948">
        <f>I51-F51</f>
        <v>-3570000</v>
      </c>
      <c r="K51" s="948"/>
      <c r="L51" s="948">
        <v>0</v>
      </c>
      <c r="M51" s="948">
        <f>L51-F51</f>
        <v>-3570000</v>
      </c>
      <c r="N51" s="948"/>
      <c r="O51" s="948"/>
      <c r="P51" s="1041">
        <v>0</v>
      </c>
      <c r="Q51" s="1041">
        <f>P51-F51</f>
        <v>-3570000</v>
      </c>
      <c r="R51" s="1041">
        <f>P51</f>
        <v>0</v>
      </c>
      <c r="S51" s="1041">
        <f>R51-F51</f>
        <v>-3570000</v>
      </c>
      <c r="T51" s="1041">
        <f>R51</f>
        <v>0</v>
      </c>
      <c r="U51" s="1041">
        <f>T51-F51</f>
        <v>-3570000</v>
      </c>
      <c r="V51" s="948"/>
      <c r="W51" s="948">
        <f>V51</f>
        <v>0</v>
      </c>
      <c r="X51" s="1041">
        <f>W51-F51</f>
        <v>-3570000</v>
      </c>
      <c r="Y51" s="948">
        <f>W51</f>
        <v>0</v>
      </c>
      <c r="Z51" s="1041">
        <f>Y51-F51</f>
        <v>-3570000</v>
      </c>
      <c r="AA51" s="948">
        <f>Y51</f>
        <v>0</v>
      </c>
      <c r="AB51" s="1041">
        <f>AA51-F51</f>
        <v>-3570000</v>
      </c>
      <c r="AC51" s="948"/>
      <c r="AD51" s="1041">
        <f>AC51</f>
        <v>0</v>
      </c>
      <c r="AE51" s="1041">
        <f>AD51-F51</f>
        <v>-3570000</v>
      </c>
      <c r="AF51" s="1041">
        <f>AD51</f>
        <v>0</v>
      </c>
      <c r="AG51" s="1041">
        <f>AF51-F51</f>
        <v>-3570000</v>
      </c>
      <c r="AH51" s="1041">
        <f>AF51</f>
        <v>0</v>
      </c>
      <c r="AI51" s="1041">
        <f>AH51-F51</f>
        <v>-3570000</v>
      </c>
      <c r="AJ51" s="948"/>
      <c r="AK51" s="1041">
        <f>AJ51</f>
        <v>0</v>
      </c>
      <c r="AL51" s="1041">
        <f>AK51-F51</f>
        <v>-3570000</v>
      </c>
      <c r="AM51" s="1041">
        <f>AK51</f>
        <v>0</v>
      </c>
      <c r="AN51" s="948">
        <f>AM51-F51</f>
        <v>-3570000</v>
      </c>
      <c r="AO51" s="1041">
        <f>AM51</f>
        <v>0</v>
      </c>
      <c r="AP51" s="948">
        <f>AO51-F51</f>
        <v>-3570000</v>
      </c>
      <c r="AQ51" s="948"/>
    </row>
    <row r="52" spans="1:43" s="946" customFormat="1">
      <c r="A52" s="1015">
        <v>2</v>
      </c>
      <c r="B52" s="946" t="s">
        <v>487</v>
      </c>
      <c r="C52" s="948">
        <f>C28*0.5</f>
        <v>137500</v>
      </c>
      <c r="D52" s="948"/>
      <c r="E52" s="948"/>
      <c r="F52" s="948">
        <f t="shared" ref="F52:F54" si="50">SUM(C52:E52)</f>
        <v>137500</v>
      </c>
      <c r="G52" s="1104"/>
      <c r="H52" s="1105">
        <f>A52</f>
        <v>2</v>
      </c>
      <c r="I52" s="948">
        <v>0</v>
      </c>
      <c r="J52" s="948">
        <f>I52-F52</f>
        <v>-137500</v>
      </c>
      <c r="K52" s="948"/>
      <c r="L52" s="948">
        <v>0</v>
      </c>
      <c r="M52" s="948">
        <f>L52-F52</f>
        <v>-137500</v>
      </c>
      <c r="N52" s="948"/>
      <c r="O52" s="948"/>
      <c r="P52" s="1041">
        <v>0</v>
      </c>
      <c r="Q52" s="1041">
        <f>P52-F52</f>
        <v>-137500</v>
      </c>
      <c r="R52" s="1041">
        <f>P52</f>
        <v>0</v>
      </c>
      <c r="S52" s="1041">
        <f>R52-F52</f>
        <v>-137500</v>
      </c>
      <c r="T52" s="1041">
        <f t="shared" ref="T52:T55" si="51">R52</f>
        <v>0</v>
      </c>
      <c r="U52" s="1041">
        <f>T52-F52</f>
        <v>-137500</v>
      </c>
      <c r="V52" s="948"/>
      <c r="W52" s="948">
        <f t="shared" ref="W52" si="52">V52</f>
        <v>0</v>
      </c>
      <c r="X52" s="1041">
        <f>W52-F52</f>
        <v>-137500</v>
      </c>
      <c r="Y52" s="948">
        <f>W52</f>
        <v>0</v>
      </c>
      <c r="Z52" s="1041">
        <f>Y52-F52</f>
        <v>-137500</v>
      </c>
      <c r="AA52" s="948">
        <f>Y52</f>
        <v>0</v>
      </c>
      <c r="AB52" s="1041">
        <f>AA52-F52</f>
        <v>-137500</v>
      </c>
      <c r="AC52" s="948"/>
      <c r="AD52" s="1041">
        <f t="shared" ref="AD52" si="53">AC52</f>
        <v>0</v>
      </c>
      <c r="AE52" s="1041">
        <f>AD52-F52</f>
        <v>-137500</v>
      </c>
      <c r="AF52" s="1041">
        <f>AD52</f>
        <v>0</v>
      </c>
      <c r="AG52" s="1041">
        <f>AF52-F52</f>
        <v>-137500</v>
      </c>
      <c r="AH52" s="1041">
        <f>AF52</f>
        <v>0</v>
      </c>
      <c r="AI52" s="1041">
        <f>AH52-F52</f>
        <v>-137500</v>
      </c>
      <c r="AJ52" s="948"/>
      <c r="AK52" s="1041">
        <f t="shared" ref="AK52:AK55" si="54">AJ52</f>
        <v>0</v>
      </c>
      <c r="AL52" s="1041">
        <f>AK52-F52</f>
        <v>-137500</v>
      </c>
      <c r="AM52" s="1041">
        <f t="shared" ref="AM52:AM55" si="55">AK52</f>
        <v>0</v>
      </c>
      <c r="AN52" s="948">
        <f>AM52-F52</f>
        <v>-137500</v>
      </c>
      <c r="AO52" s="1041">
        <f t="shared" ref="AO52:AO55" si="56">AM52</f>
        <v>0</v>
      </c>
      <c r="AP52" s="948">
        <f>AO52-F52</f>
        <v>-137500</v>
      </c>
      <c r="AQ52" s="948"/>
    </row>
    <row r="53" spans="1:43" s="946" customFormat="1">
      <c r="A53" s="1015">
        <v>3</v>
      </c>
      <c r="B53" s="946" t="s">
        <v>488</v>
      </c>
      <c r="C53" s="948">
        <v>0</v>
      </c>
      <c r="D53" s="948"/>
      <c r="E53" s="948"/>
      <c r="F53" s="948">
        <f t="shared" si="50"/>
        <v>0</v>
      </c>
      <c r="G53" s="1104"/>
      <c r="H53" s="1105">
        <f>A53</f>
        <v>3</v>
      </c>
      <c r="I53" s="948">
        <v>0</v>
      </c>
      <c r="J53" s="948">
        <f>I53-F53</f>
        <v>0</v>
      </c>
      <c r="K53" s="948"/>
      <c r="L53" s="948">
        <v>0</v>
      </c>
      <c r="M53" s="948">
        <f>L53-F53</f>
        <v>0</v>
      </c>
      <c r="N53" s="948"/>
      <c r="O53" s="948"/>
      <c r="P53" s="1041">
        <v>0</v>
      </c>
      <c r="Q53" s="1041">
        <f>P53-F53</f>
        <v>0</v>
      </c>
      <c r="R53" s="1041">
        <f>P53</f>
        <v>0</v>
      </c>
      <c r="S53" s="1041">
        <f>R53-F53</f>
        <v>0</v>
      </c>
      <c r="T53" s="1041">
        <f t="shared" si="51"/>
        <v>0</v>
      </c>
      <c r="U53" s="1041">
        <f>T53-F53</f>
        <v>0</v>
      </c>
      <c r="V53" s="948"/>
      <c r="W53" s="948">
        <f t="shared" ref="W53" si="57">V53</f>
        <v>0</v>
      </c>
      <c r="X53" s="1041">
        <f>W53-F53</f>
        <v>0</v>
      </c>
      <c r="Y53" s="948">
        <f>W53</f>
        <v>0</v>
      </c>
      <c r="Z53" s="1041">
        <f>Y53-F53</f>
        <v>0</v>
      </c>
      <c r="AA53" s="948">
        <f>Y53</f>
        <v>0</v>
      </c>
      <c r="AB53" s="1041">
        <f>AA53-F53</f>
        <v>0</v>
      </c>
      <c r="AC53" s="948"/>
      <c r="AD53" s="1041">
        <f t="shared" ref="AD53" si="58">AC53</f>
        <v>0</v>
      </c>
      <c r="AE53" s="1041">
        <f>AD53-F53</f>
        <v>0</v>
      </c>
      <c r="AF53" s="1041">
        <f>AD53</f>
        <v>0</v>
      </c>
      <c r="AG53" s="1041">
        <f>AF53-F53</f>
        <v>0</v>
      </c>
      <c r="AH53" s="1041">
        <f>AF53</f>
        <v>0</v>
      </c>
      <c r="AI53" s="1041">
        <f>AH53-F53</f>
        <v>0</v>
      </c>
      <c r="AJ53" s="948"/>
      <c r="AK53" s="1041">
        <f t="shared" si="54"/>
        <v>0</v>
      </c>
      <c r="AL53" s="1041">
        <f>AK53-F53</f>
        <v>0</v>
      </c>
      <c r="AM53" s="1041">
        <f t="shared" si="55"/>
        <v>0</v>
      </c>
      <c r="AN53" s="948">
        <f>AM53-F53</f>
        <v>0</v>
      </c>
      <c r="AO53" s="1041">
        <f t="shared" si="56"/>
        <v>0</v>
      </c>
      <c r="AP53" s="948">
        <f>AO53-F53</f>
        <v>0</v>
      </c>
      <c r="AQ53" s="948"/>
    </row>
    <row r="54" spans="1:43" s="946" customFormat="1">
      <c r="A54" s="1106">
        <v>4</v>
      </c>
      <c r="B54" s="947" t="s">
        <v>489</v>
      </c>
      <c r="C54" s="949">
        <v>500000</v>
      </c>
      <c r="D54" s="949"/>
      <c r="E54" s="949"/>
      <c r="F54" s="949">
        <f t="shared" si="50"/>
        <v>500000</v>
      </c>
      <c r="G54" s="1107"/>
      <c r="H54" s="1108">
        <f>A54</f>
        <v>4</v>
      </c>
      <c r="I54" s="949">
        <v>0</v>
      </c>
      <c r="J54" s="949">
        <f>I54-F54</f>
        <v>-500000</v>
      </c>
      <c r="K54" s="949"/>
      <c r="L54" s="949">
        <v>0</v>
      </c>
      <c r="M54" s="949">
        <f>L54-F54</f>
        <v>-500000</v>
      </c>
      <c r="N54" s="949"/>
      <c r="O54" s="949"/>
      <c r="P54" s="1109">
        <v>0</v>
      </c>
      <c r="Q54" s="1109">
        <f>P54-F54</f>
        <v>-500000</v>
      </c>
      <c r="R54" s="1109">
        <f>P54</f>
        <v>0</v>
      </c>
      <c r="S54" s="1109">
        <f>R54-F54</f>
        <v>-500000</v>
      </c>
      <c r="T54" s="1109">
        <f t="shared" si="51"/>
        <v>0</v>
      </c>
      <c r="U54" s="1109">
        <f>T54-F54</f>
        <v>-500000</v>
      </c>
      <c r="V54" s="949"/>
      <c r="W54" s="949">
        <f t="shared" ref="W54" si="59">V54</f>
        <v>0</v>
      </c>
      <c r="X54" s="1109">
        <f>W54-F54</f>
        <v>-500000</v>
      </c>
      <c r="Y54" s="949">
        <f>W54</f>
        <v>0</v>
      </c>
      <c r="Z54" s="1109">
        <f>Y54-F54</f>
        <v>-500000</v>
      </c>
      <c r="AA54" s="949">
        <f>Y54</f>
        <v>0</v>
      </c>
      <c r="AB54" s="1109">
        <f>AA54-F54</f>
        <v>-500000</v>
      </c>
      <c r="AC54" s="949"/>
      <c r="AD54" s="1109">
        <f t="shared" ref="AD54" si="60">AC54</f>
        <v>0</v>
      </c>
      <c r="AE54" s="1109">
        <f>AD54-F54</f>
        <v>-500000</v>
      </c>
      <c r="AF54" s="1109">
        <f>AD54</f>
        <v>0</v>
      </c>
      <c r="AG54" s="1109">
        <f>AF54-F54</f>
        <v>-500000</v>
      </c>
      <c r="AH54" s="1109">
        <f>AF54</f>
        <v>0</v>
      </c>
      <c r="AI54" s="1109">
        <f>AH54-F54</f>
        <v>-500000</v>
      </c>
      <c r="AJ54" s="949"/>
      <c r="AK54" s="1109">
        <f t="shared" si="54"/>
        <v>0</v>
      </c>
      <c r="AL54" s="1109">
        <f>AK54-F54</f>
        <v>-500000</v>
      </c>
      <c r="AM54" s="1109">
        <f t="shared" si="55"/>
        <v>0</v>
      </c>
      <c r="AN54" s="949">
        <f>AM54-F54</f>
        <v>-500000</v>
      </c>
      <c r="AO54" s="1109">
        <f t="shared" si="56"/>
        <v>0</v>
      </c>
      <c r="AP54" s="949">
        <f>AO54-F54</f>
        <v>-500000</v>
      </c>
      <c r="AQ54" s="949"/>
    </row>
    <row r="55" spans="1:43" s="952" customFormat="1">
      <c r="A55" s="1110"/>
      <c r="B55" s="1111" t="s">
        <v>517</v>
      </c>
      <c r="C55" s="1112">
        <f>SUM(C51:C54)</f>
        <v>4207500</v>
      </c>
      <c r="D55" s="1112">
        <f>SUM(D51:D54)</f>
        <v>0</v>
      </c>
      <c r="E55" s="1112">
        <f>SUM(E51:E54)</f>
        <v>0</v>
      </c>
      <c r="F55" s="1112">
        <f>SUM(C55:E55)</f>
        <v>4207500</v>
      </c>
      <c r="G55" s="1113"/>
      <c r="H55" s="1114"/>
      <c r="I55" s="955">
        <f>SUM(I51:I54)</f>
        <v>0</v>
      </c>
      <c r="J55" s="948">
        <f>I55-F55</f>
        <v>-4207500</v>
      </c>
      <c r="K55" s="955"/>
      <c r="L55" s="955">
        <f>SUM(L51:L54)</f>
        <v>0</v>
      </c>
      <c r="M55" s="948">
        <f>L55-F55</f>
        <v>-4207500</v>
      </c>
      <c r="N55" s="955"/>
      <c r="O55" s="955"/>
      <c r="P55" s="1115">
        <f>SUM(P51:P54)</f>
        <v>0</v>
      </c>
      <c r="Q55" s="1041">
        <f>P55-F55</f>
        <v>-4207500</v>
      </c>
      <c r="R55" s="1115">
        <f>P55</f>
        <v>0</v>
      </c>
      <c r="S55" s="1041">
        <f>R55-F55</f>
        <v>-4207500</v>
      </c>
      <c r="T55" s="1115">
        <f t="shared" si="51"/>
        <v>0</v>
      </c>
      <c r="U55" s="1041">
        <f>T55-F55</f>
        <v>-4207500</v>
      </c>
      <c r="V55" s="955"/>
      <c r="W55" s="955">
        <f t="shared" ref="W55" si="61">V55</f>
        <v>0</v>
      </c>
      <c r="X55" s="1041">
        <f>W55-F55</f>
        <v>-4207500</v>
      </c>
      <c r="Y55" s="955">
        <f>W55</f>
        <v>0</v>
      </c>
      <c r="Z55" s="1041">
        <f>Y55-F55</f>
        <v>-4207500</v>
      </c>
      <c r="AA55" s="955">
        <f>Y55</f>
        <v>0</v>
      </c>
      <c r="AB55" s="1041">
        <f>AA55-F55</f>
        <v>-4207500</v>
      </c>
      <c r="AC55" s="955"/>
      <c r="AD55" s="1115">
        <f t="shared" ref="AD55" si="62">AC55</f>
        <v>0</v>
      </c>
      <c r="AE55" s="1041">
        <f>AD55-F55</f>
        <v>-4207500</v>
      </c>
      <c r="AF55" s="1115">
        <f>AD55</f>
        <v>0</v>
      </c>
      <c r="AG55" s="1041">
        <f>AF55-F55</f>
        <v>-4207500</v>
      </c>
      <c r="AH55" s="1115">
        <f>AF55</f>
        <v>0</v>
      </c>
      <c r="AI55" s="1041">
        <f>AH55-F55</f>
        <v>-4207500</v>
      </c>
      <c r="AJ55" s="955"/>
      <c r="AK55" s="1115">
        <f t="shared" si="54"/>
        <v>0</v>
      </c>
      <c r="AL55" s="1041">
        <f>AK55-F55</f>
        <v>-4207500</v>
      </c>
      <c r="AM55" s="1115">
        <f t="shared" si="55"/>
        <v>0</v>
      </c>
      <c r="AN55" s="948">
        <f>AM55-F55</f>
        <v>-4207500</v>
      </c>
      <c r="AO55" s="1115">
        <f t="shared" si="56"/>
        <v>0</v>
      </c>
      <c r="AP55" s="948">
        <f>AO55-F55</f>
        <v>-4207500</v>
      </c>
      <c r="AQ55" s="955"/>
    </row>
    <row r="56" spans="1:43" s="925" customFormat="1">
      <c r="A56" s="939"/>
      <c r="B56" s="939"/>
      <c r="G56" s="965"/>
      <c r="H56" s="932"/>
      <c r="J56" s="1017"/>
      <c r="M56" s="927"/>
      <c r="O56" s="946"/>
      <c r="P56" s="1028"/>
      <c r="Q56" s="928"/>
      <c r="R56" s="1028"/>
      <c r="S56" s="928"/>
      <c r="T56" s="1028"/>
      <c r="U56" s="928"/>
      <c r="V56" s="946"/>
      <c r="X56" s="928"/>
      <c r="Z56" s="928"/>
      <c r="AB56" s="928"/>
      <c r="AC56" s="946"/>
      <c r="AD56" s="1028"/>
      <c r="AE56" s="928"/>
      <c r="AF56" s="1028"/>
      <c r="AG56" s="928"/>
      <c r="AH56" s="1028"/>
      <c r="AI56" s="928"/>
      <c r="AJ56" s="946"/>
      <c r="AL56" s="928"/>
      <c r="AN56" s="927"/>
      <c r="AP56" s="927"/>
      <c r="AQ56" s="946"/>
    </row>
    <row r="57" spans="1:43" s="925" customFormat="1">
      <c r="A57" s="930"/>
      <c r="B57" s="925" t="s">
        <v>490</v>
      </c>
      <c r="C57" s="927">
        <f>C48</f>
        <v>8210000</v>
      </c>
      <c r="D57" s="927">
        <f>D48-D55</f>
        <v>0</v>
      </c>
      <c r="E57" s="927">
        <f>E48-E55</f>
        <v>2000000</v>
      </c>
      <c r="F57" s="927">
        <f>F48</f>
        <v>8210000</v>
      </c>
      <c r="G57" s="931"/>
      <c r="H57" s="932"/>
      <c r="I57" s="927">
        <f>I48-I55</f>
        <v>11602591.360000001</v>
      </c>
      <c r="J57" s="927">
        <f>I57-F57</f>
        <v>3392591.3600000013</v>
      </c>
      <c r="K57" s="927"/>
      <c r="L57" s="927">
        <f t="shared" ref="L57:T57" si="63">L48-L55</f>
        <v>13077860.4</v>
      </c>
      <c r="M57" s="927">
        <f>L57-F57</f>
        <v>4867860.4000000004</v>
      </c>
      <c r="N57" s="927"/>
      <c r="O57" s="927"/>
      <c r="P57" s="928">
        <f t="shared" si="63"/>
        <v>11996211.039999999</v>
      </c>
      <c r="Q57" s="928">
        <f>P57-F57</f>
        <v>3786211.0399999991</v>
      </c>
      <c r="R57" s="928">
        <f t="shared" si="63"/>
        <v>11996211.039999999</v>
      </c>
      <c r="S57" s="928">
        <f>R57-F57</f>
        <v>3786211.0399999991</v>
      </c>
      <c r="T57" s="928">
        <f t="shared" si="63"/>
        <v>11996211.039999999</v>
      </c>
      <c r="U57" s="928">
        <f>T57-F57</f>
        <v>3786211.0399999991</v>
      </c>
      <c r="V57" s="948"/>
      <c r="W57" s="927">
        <f>W48-W55</f>
        <v>13658694.16</v>
      </c>
      <c r="X57" s="928">
        <f>W57-F57</f>
        <v>5448694.1600000001</v>
      </c>
      <c r="Y57" s="927">
        <f t="shared" ref="Y57:AA57" si="64">Y48-Y55</f>
        <v>12510436</v>
      </c>
      <c r="Z57" s="928">
        <f>Y57-F57</f>
        <v>4300436</v>
      </c>
      <c r="AA57" s="927">
        <f t="shared" si="64"/>
        <v>12510436</v>
      </c>
      <c r="AB57" s="928">
        <f>AA57-F57</f>
        <v>4300436</v>
      </c>
      <c r="AC57" s="927"/>
      <c r="AD57" s="928">
        <f>AD49</f>
        <v>9133717.9800000004</v>
      </c>
      <c r="AE57" s="928">
        <f>AD57-F57</f>
        <v>923717.98000000045</v>
      </c>
      <c r="AF57" s="928">
        <f>AF49</f>
        <v>9133717.9800000004</v>
      </c>
      <c r="AG57" s="928">
        <f>AF57-F57</f>
        <v>923717.98000000045</v>
      </c>
      <c r="AH57" s="928">
        <f>AH49</f>
        <v>9133717.9800000004</v>
      </c>
      <c r="AI57" s="928">
        <f>AH57-F57</f>
        <v>923717.98000000045</v>
      </c>
      <c r="AJ57" s="928"/>
      <c r="AK57" s="928">
        <f>AK49</f>
        <v>9717427.4000000004</v>
      </c>
      <c r="AL57" s="928">
        <f>AK57-F57</f>
        <v>1507427.4000000004</v>
      </c>
      <c r="AM57" s="928">
        <f>AM49</f>
        <v>9717427.4000000004</v>
      </c>
      <c r="AN57" s="927">
        <f>AM57-F57</f>
        <v>1507427.4000000004</v>
      </c>
      <c r="AO57" s="928">
        <f>AO49</f>
        <v>9717427.4000000004</v>
      </c>
      <c r="AP57" s="927">
        <f>AO57-F57</f>
        <v>1507427.4000000004</v>
      </c>
      <c r="AQ57" s="948"/>
    </row>
    <row r="58" spans="1:43" s="934" customFormat="1">
      <c r="A58" s="933"/>
      <c r="B58" s="934" t="s">
        <v>491</v>
      </c>
      <c r="C58" s="935">
        <f>47614.69*12</f>
        <v>571376.28</v>
      </c>
      <c r="D58" s="935">
        <v>0</v>
      </c>
      <c r="E58" s="935">
        <v>107771</v>
      </c>
      <c r="F58" s="935">
        <f>C58</f>
        <v>571376.28</v>
      </c>
      <c r="G58" s="936"/>
      <c r="H58" s="937"/>
      <c r="I58" s="935">
        <f>'OPEX - Concept A1'!Q174-'OPEX - Concept A1'!Q169</f>
        <v>809901.24</v>
      </c>
      <c r="J58" s="927">
        <f>I58-F58</f>
        <v>238524.95999999996</v>
      </c>
      <c r="K58" s="938" t="s">
        <v>583</v>
      </c>
      <c r="L58" s="935">
        <f>'OPEX - Concept A2'!Q175-'OPEX - Concept A2'!Q170</f>
        <v>912572.76</v>
      </c>
      <c r="M58" s="927">
        <f>L58-F58</f>
        <v>341196.48</v>
      </c>
      <c r="N58" s="938" t="s">
        <v>583</v>
      </c>
      <c r="O58" s="955"/>
      <c r="P58" s="973">
        <f>'OPEX - Concept B2 - NCLH'!Q174-'OPEX - Concept B2 - NCLH'!Q169</f>
        <v>837295.2</v>
      </c>
      <c r="Q58" s="928">
        <f>P58-F58</f>
        <v>265918.91999999993</v>
      </c>
      <c r="R58" s="973">
        <f>'OPEX - Concept B2 - RCCL'!Q174-'OPEX - Concept B2 - RCCL'!Q169</f>
        <v>837295.2</v>
      </c>
      <c r="S58" s="928">
        <f>R58-F58</f>
        <v>265918.91999999993</v>
      </c>
      <c r="T58" s="973">
        <f>'OPEX - Concept B2 - Carnival'!Q174-'OPEX - Concept B2 - Carnival'!Q169</f>
        <v>837295.2</v>
      </c>
      <c r="U58" s="928">
        <f>T58-F58</f>
        <v>265918.91999999993</v>
      </c>
      <c r="V58" s="938" t="s">
        <v>583</v>
      </c>
      <c r="W58" s="935">
        <f>'OPEX - Concept B3 - NCLH'!Q175-'OPEX - Concept B3 - NCLH'!Q170</f>
        <v>952995.96</v>
      </c>
      <c r="X58" s="928">
        <f>W58-F58</f>
        <v>381619.67999999993</v>
      </c>
      <c r="Y58" s="935">
        <f>'OPEX - Concept B3 - RCCL'!Q175-'OPEX - Concept B3 - RCCL'!Q170</f>
        <v>952995.96</v>
      </c>
      <c r="Z58" s="928">
        <f>Y58-F58</f>
        <v>381619.67999999993</v>
      </c>
      <c r="AA58" s="935">
        <f>'OPEX - Concept B3 - Carnival'!Q175-'OPEX - Concept B3 - Carnival'!Q170</f>
        <v>952995.96</v>
      </c>
      <c r="AB58" s="928">
        <f>AA58-F58</f>
        <v>381619.67999999993</v>
      </c>
      <c r="AC58" s="938" t="s">
        <v>583</v>
      </c>
      <c r="AD58" s="973">
        <f>'OPEX - Concept C1 - NCLH'!Q174-'OPEX - Concept C1 - NCLH'!Q169</f>
        <v>881662.67999999993</v>
      </c>
      <c r="AE58" s="928">
        <f>AD58-F58</f>
        <v>310286.39999999991</v>
      </c>
      <c r="AF58" s="973">
        <f>'OPEX - Concept C1 - RCCL'!Q174-'OPEX - Concept C1 - RCCL'!Q169</f>
        <v>881662.67999999993</v>
      </c>
      <c r="AG58" s="928">
        <f>AF58-F58</f>
        <v>310286.39999999991</v>
      </c>
      <c r="AH58" s="973">
        <f>'OPEX - Concept C1 - Carnival'!Q174-'OPEX - Concept C1 - Carnival'!Q169</f>
        <v>881662.67999999993</v>
      </c>
      <c r="AI58" s="928">
        <f>AH58-F58</f>
        <v>310286.39999999991</v>
      </c>
      <c r="AJ58" s="938" t="s">
        <v>583</v>
      </c>
      <c r="AK58" s="935">
        <f>'OPEX - Concept C2 - NCLH'!Q175-'OPEX - Concept C2 - NCLH'!Q170</f>
        <v>922285.92</v>
      </c>
      <c r="AL58" s="928">
        <f>AK58-F58</f>
        <v>350909.64</v>
      </c>
      <c r="AM58" s="935">
        <f>'OPEX - Concept C2 - RCCL'!Q175-'OPEX - Concept C2 - RCCL'!Q170</f>
        <v>922285.92</v>
      </c>
      <c r="AN58" s="927">
        <f>AM58-F58</f>
        <v>350909.64</v>
      </c>
      <c r="AO58" s="935">
        <f>'OPEX - Concept C2 - Carnival'!Q175-'OPEX - Concept C2 - Carnival'!Q170</f>
        <v>922285.92</v>
      </c>
      <c r="AP58" s="927">
        <f>AO58-F58</f>
        <v>350909.64</v>
      </c>
      <c r="AQ58" s="938" t="s">
        <v>583</v>
      </c>
    </row>
    <row r="59" spans="1:43" s="1024" customFormat="1">
      <c r="A59" s="1095"/>
      <c r="B59" s="1024" t="s">
        <v>573</v>
      </c>
      <c r="C59" s="1027"/>
      <c r="D59" s="1027"/>
      <c r="E59" s="1027"/>
      <c r="F59" s="1027">
        <f>(F58*30)-F57</f>
        <v>8931288.4000000022</v>
      </c>
      <c r="G59" s="1096"/>
      <c r="H59" s="1097"/>
      <c r="I59" s="1027">
        <f>(I58*20)-I57</f>
        <v>4595433.4399999995</v>
      </c>
      <c r="J59" s="1027"/>
      <c r="K59" s="1098"/>
      <c r="L59" s="1027">
        <f>(L58*20)-L57</f>
        <v>5173594.7999999989</v>
      </c>
      <c r="M59" s="1027"/>
      <c r="N59" s="1098"/>
      <c r="O59" s="1049"/>
      <c r="P59" s="1030">
        <f>(P58*20)-P57</f>
        <v>4749692.9600000009</v>
      </c>
      <c r="Q59" s="1030"/>
      <c r="R59" s="1030">
        <f>(R58*20)-R57</f>
        <v>4749692.9600000009</v>
      </c>
      <c r="S59" s="1030"/>
      <c r="T59" s="1030">
        <f>(T58*20)-T57</f>
        <v>4749692.9600000009</v>
      </c>
      <c r="U59" s="1030"/>
      <c r="V59" s="1030"/>
      <c r="W59" s="1030">
        <f>(W58*20)-W57</f>
        <v>5401225.0399999991</v>
      </c>
      <c r="X59" s="1030"/>
      <c r="Y59" s="1030">
        <f>(Y58*20)-Y57</f>
        <v>6549483.1999999993</v>
      </c>
      <c r="Z59" s="1030"/>
      <c r="AA59" s="1030">
        <f>(AA58*20)-AA57</f>
        <v>6549483.1999999993</v>
      </c>
      <c r="AB59" s="1030"/>
      <c r="AC59" s="1030"/>
      <c r="AD59" s="1030">
        <f>(AD58*20)-AD57</f>
        <v>8499535.6199999973</v>
      </c>
      <c r="AE59" s="1030"/>
      <c r="AF59" s="1030">
        <f>(AF58*20)-AF57</f>
        <v>8499535.6199999973</v>
      </c>
      <c r="AG59" s="1030"/>
      <c r="AH59" s="1030">
        <f>(AH58*20)-AH57</f>
        <v>8499535.6199999973</v>
      </c>
      <c r="AI59" s="1030"/>
      <c r="AJ59" s="1030"/>
      <c r="AK59" s="1030">
        <f>(AK58*20)-AK57</f>
        <v>8728291.0000000019</v>
      </c>
      <c r="AL59" s="1030"/>
      <c r="AM59" s="1030">
        <f>(AM58*20)-AM57</f>
        <v>8728291.0000000019</v>
      </c>
      <c r="AN59" s="1030"/>
      <c r="AO59" s="1030">
        <f>(AO58*20)-AO57</f>
        <v>8728291.0000000019</v>
      </c>
      <c r="AP59" s="1027"/>
      <c r="AQ59" s="1098"/>
    </row>
    <row r="60" spans="1:43" s="934" customFormat="1">
      <c r="A60" s="933"/>
      <c r="C60" s="935"/>
      <c r="D60" s="935"/>
      <c r="E60" s="935"/>
      <c r="F60" s="935"/>
      <c r="G60" s="936"/>
      <c r="H60" s="937"/>
      <c r="I60" s="935"/>
      <c r="J60" s="1017"/>
      <c r="K60" s="938"/>
      <c r="L60" s="935"/>
      <c r="M60" s="927"/>
      <c r="N60" s="938"/>
      <c r="O60" s="955"/>
      <c r="P60" s="973"/>
      <c r="Q60" s="928"/>
      <c r="R60" s="973"/>
      <c r="S60" s="928"/>
      <c r="T60" s="973"/>
      <c r="U60" s="928"/>
      <c r="V60" s="938"/>
      <c r="W60" s="935"/>
      <c r="X60" s="928"/>
      <c r="Y60" s="935"/>
      <c r="Z60" s="928"/>
      <c r="AA60" s="935"/>
      <c r="AB60" s="928"/>
      <c r="AC60" s="938"/>
      <c r="AD60" s="973"/>
      <c r="AE60" s="928"/>
      <c r="AF60" s="973"/>
      <c r="AG60" s="928"/>
      <c r="AH60" s="973"/>
      <c r="AI60" s="928"/>
      <c r="AJ60" s="938"/>
      <c r="AK60" s="935"/>
      <c r="AL60" s="928"/>
      <c r="AM60" s="935"/>
      <c r="AN60" s="927"/>
      <c r="AO60" s="935"/>
      <c r="AP60" s="927"/>
      <c r="AQ60" s="938"/>
    </row>
    <row r="61" spans="1:43" s="925" customFormat="1">
      <c r="F61" s="924"/>
      <c r="G61" s="965"/>
      <c r="H61" s="932"/>
      <c r="I61" s="925" t="s">
        <v>349</v>
      </c>
      <c r="J61" s="1017"/>
      <c r="L61" s="925" t="s">
        <v>350</v>
      </c>
      <c r="M61" s="927"/>
      <c r="O61" s="946" t="s">
        <v>352</v>
      </c>
      <c r="P61" s="1031" t="s">
        <v>353</v>
      </c>
      <c r="Q61" s="928"/>
      <c r="R61" s="1031" t="s">
        <v>353</v>
      </c>
      <c r="S61" s="928"/>
      <c r="T61" s="1031" t="s">
        <v>353</v>
      </c>
      <c r="U61" s="928"/>
      <c r="W61" s="925" t="s">
        <v>351</v>
      </c>
      <c r="X61" s="928"/>
      <c r="Y61" s="925" t="s">
        <v>351</v>
      </c>
      <c r="Z61" s="928"/>
      <c r="AA61" s="925" t="s">
        <v>351</v>
      </c>
      <c r="AB61" s="928"/>
      <c r="AD61" s="1028" t="s">
        <v>355</v>
      </c>
      <c r="AE61" s="928"/>
      <c r="AF61" s="1028" t="s">
        <v>355</v>
      </c>
      <c r="AG61" s="928"/>
      <c r="AH61" s="1028" t="s">
        <v>355</v>
      </c>
      <c r="AI61" s="928"/>
      <c r="AK61" s="925" t="s">
        <v>354</v>
      </c>
      <c r="AL61" s="928"/>
      <c r="AM61" s="925" t="s">
        <v>354</v>
      </c>
      <c r="AN61" s="927"/>
      <c r="AO61" s="925" t="s">
        <v>354</v>
      </c>
      <c r="AP61" s="927"/>
    </row>
    <row r="62" spans="1:43" s="925" customFormat="1">
      <c r="A62" s="930"/>
      <c r="B62" s="934" t="s">
        <v>499</v>
      </c>
      <c r="C62" s="930" t="s">
        <v>463</v>
      </c>
      <c r="D62" s="930" t="s">
        <v>464</v>
      </c>
      <c r="E62" s="930" t="s">
        <v>465</v>
      </c>
      <c r="F62" s="972" t="s">
        <v>466</v>
      </c>
      <c r="G62" s="965"/>
      <c r="H62" s="932"/>
      <c r="I62" s="934" t="str">
        <f>B62</f>
        <v>ANNUAL O&amp;M EXPENSES</v>
      </c>
      <c r="J62" s="1017"/>
      <c r="K62" s="930" t="s">
        <v>492</v>
      </c>
      <c r="M62" s="927"/>
      <c r="N62" s="930" t="s">
        <v>492</v>
      </c>
      <c r="O62" s="946"/>
      <c r="P62" s="1008">
        <v>0.2</v>
      </c>
      <c r="Q62" s="928"/>
      <c r="R62" s="1008">
        <v>0.34</v>
      </c>
      <c r="S62" s="928"/>
      <c r="T62" s="1008">
        <v>0.4</v>
      </c>
      <c r="U62" s="928"/>
      <c r="V62" s="930" t="s">
        <v>492</v>
      </c>
      <c r="W62" s="1008">
        <v>0.2</v>
      </c>
      <c r="X62" s="928"/>
      <c r="Y62" s="979">
        <v>0.34</v>
      </c>
      <c r="Z62" s="928"/>
      <c r="AA62" s="979">
        <v>0.4</v>
      </c>
      <c r="AB62" s="928"/>
      <c r="AC62" s="930" t="s">
        <v>492</v>
      </c>
      <c r="AD62" s="1008">
        <v>0.2</v>
      </c>
      <c r="AE62" s="928"/>
      <c r="AF62" s="1008">
        <v>0.34</v>
      </c>
      <c r="AG62" s="928"/>
      <c r="AH62" s="1008">
        <v>0.4</v>
      </c>
      <c r="AI62" s="928"/>
      <c r="AJ62" s="930" t="s">
        <v>492</v>
      </c>
      <c r="AK62" s="1008">
        <v>0.2</v>
      </c>
      <c r="AL62" s="928"/>
      <c r="AM62" s="979">
        <v>0.34</v>
      </c>
      <c r="AN62" s="927"/>
      <c r="AO62" s="979">
        <v>0.4</v>
      </c>
      <c r="AP62" s="927"/>
      <c r="AQ62" s="930" t="s">
        <v>492</v>
      </c>
    </row>
    <row r="63" spans="1:43" s="925" customFormat="1" ht="30.75" customHeight="1">
      <c r="A63" s="939"/>
      <c r="B63" s="939"/>
      <c r="C63" s="940" t="str">
        <f>C24</f>
        <v>Marina plus tour bus staging</v>
      </c>
      <c r="D63" s="940" t="str">
        <f>D24</f>
        <v>Add Nova Scotia ferry</v>
      </c>
      <c r="E63" s="940" t="str">
        <f>E24</f>
        <v>Add parking deck</v>
      </c>
      <c r="F63" s="971" t="s">
        <v>470</v>
      </c>
      <c r="G63" s="965"/>
      <c r="H63" s="932"/>
      <c r="I63" s="975">
        <v>2024</v>
      </c>
      <c r="J63" s="1017"/>
      <c r="K63" s="975"/>
      <c r="L63" s="975">
        <v>2024</v>
      </c>
      <c r="M63" s="927"/>
      <c r="N63" s="975"/>
      <c r="O63" s="976">
        <v>2024</v>
      </c>
      <c r="P63" s="1029">
        <v>2024</v>
      </c>
      <c r="Q63" s="928"/>
      <c r="R63" s="1029">
        <v>2024</v>
      </c>
      <c r="S63" s="928"/>
      <c r="T63" s="1029">
        <v>2024</v>
      </c>
      <c r="U63" s="928"/>
      <c r="V63" s="975"/>
      <c r="W63" s="975">
        <v>2024</v>
      </c>
      <c r="X63" s="928"/>
      <c r="Y63" s="975">
        <v>2024</v>
      </c>
      <c r="Z63" s="928"/>
      <c r="AA63" s="975">
        <v>2024</v>
      </c>
      <c r="AB63" s="928"/>
      <c r="AC63" s="975"/>
      <c r="AD63" s="1029">
        <v>2024</v>
      </c>
      <c r="AE63" s="928"/>
      <c r="AF63" s="1029">
        <v>2024</v>
      </c>
      <c r="AG63" s="928"/>
      <c r="AH63" s="1029">
        <v>2024</v>
      </c>
      <c r="AI63" s="928"/>
      <c r="AJ63" s="975"/>
      <c r="AK63" s="975">
        <v>2024</v>
      </c>
      <c r="AL63" s="928"/>
      <c r="AM63" s="975">
        <v>2024</v>
      </c>
      <c r="AN63" s="927"/>
      <c r="AO63" s="975">
        <v>2024</v>
      </c>
      <c r="AP63" s="927"/>
      <c r="AQ63" s="975"/>
    </row>
    <row r="64" spans="1:43" s="925" customFormat="1">
      <c r="A64" s="930">
        <v>1</v>
      </c>
      <c r="B64" s="925" t="s">
        <v>471</v>
      </c>
      <c r="C64" s="927">
        <v>0</v>
      </c>
      <c r="D64" s="927">
        <f t="shared" ref="D64:E78" si="65">C64</f>
        <v>0</v>
      </c>
      <c r="E64" s="927">
        <f t="shared" si="65"/>
        <v>0</v>
      </c>
      <c r="F64" s="961">
        <f>E64</f>
        <v>0</v>
      </c>
      <c r="G64" s="965"/>
      <c r="H64" s="932">
        <f t="shared" ref="H64:H80" si="66">A64</f>
        <v>1</v>
      </c>
      <c r="I64" s="927">
        <v>0</v>
      </c>
      <c r="J64" s="927">
        <f t="shared" ref="J64:J82" si="67">I64-F64</f>
        <v>0</v>
      </c>
      <c r="L64" s="961">
        <v>0</v>
      </c>
      <c r="M64" s="927">
        <f t="shared" ref="M64:M82" si="68">L64-F64</f>
        <v>0</v>
      </c>
      <c r="O64" s="946"/>
      <c r="P64" s="928">
        <v>0</v>
      </c>
      <c r="Q64" s="928">
        <f t="shared" ref="Q64:Q82" si="69">P64-F64</f>
        <v>0</v>
      </c>
      <c r="R64" s="928">
        <f>P64</f>
        <v>0</v>
      </c>
      <c r="S64" s="928">
        <f t="shared" ref="S64:S82" si="70">R64-F64</f>
        <v>0</v>
      </c>
      <c r="T64" s="1032">
        <f>R64</f>
        <v>0</v>
      </c>
      <c r="U64" s="928">
        <f t="shared" ref="U64:U82" si="71">T64-F64</f>
        <v>0</v>
      </c>
      <c r="W64" s="927">
        <v>0</v>
      </c>
      <c r="X64" s="928">
        <f t="shared" ref="X64:X82" si="72">W64-F64</f>
        <v>0</v>
      </c>
      <c r="Y64" s="961">
        <f t="shared" ref="Y64:Y81" si="73">W64</f>
        <v>0</v>
      </c>
      <c r="Z64" s="928">
        <f t="shared" ref="Z64:Z82" si="74">Y64-F64</f>
        <v>0</v>
      </c>
      <c r="AA64" s="961">
        <f>Y64</f>
        <v>0</v>
      </c>
      <c r="AB64" s="928">
        <f t="shared" ref="AB64:AB82" si="75">AA64-F64</f>
        <v>0</v>
      </c>
      <c r="AD64" s="928">
        <v>0</v>
      </c>
      <c r="AE64" s="928">
        <f t="shared" ref="AE64:AE82" si="76">AD64-F64</f>
        <v>0</v>
      </c>
      <c r="AF64" s="928">
        <v>0</v>
      </c>
      <c r="AG64" s="928">
        <f t="shared" ref="AG64:AG82" si="77">AF64-F64</f>
        <v>0</v>
      </c>
      <c r="AH64" s="928">
        <v>0</v>
      </c>
      <c r="AI64" s="928">
        <f t="shared" ref="AI64:AI82" si="78">AH64-F64</f>
        <v>0</v>
      </c>
      <c r="AK64" s="927">
        <v>0</v>
      </c>
      <c r="AL64" s="928">
        <f t="shared" ref="AL64:AL82" si="79">AK64-F64</f>
        <v>0</v>
      </c>
      <c r="AM64" s="927">
        <v>0</v>
      </c>
      <c r="AN64" s="927">
        <f t="shared" ref="AN64:AN82" si="80">AM64-F64</f>
        <v>0</v>
      </c>
      <c r="AO64" s="927">
        <v>0</v>
      </c>
      <c r="AP64" s="927">
        <f t="shared" ref="AP64:AP82" si="81">AO64-F64</f>
        <v>0</v>
      </c>
    </row>
    <row r="65" spans="1:43" s="925" customFormat="1">
      <c r="A65" s="930">
        <v>2</v>
      </c>
      <c r="B65" s="925" t="s">
        <v>472</v>
      </c>
      <c r="C65" s="927">
        <v>0</v>
      </c>
      <c r="D65" s="927">
        <f t="shared" si="65"/>
        <v>0</v>
      </c>
      <c r="E65" s="927">
        <f t="shared" si="65"/>
        <v>0</v>
      </c>
      <c r="F65" s="961">
        <f t="shared" ref="F65:F81" si="82">E65</f>
        <v>0</v>
      </c>
      <c r="G65" s="965"/>
      <c r="H65" s="932">
        <f t="shared" si="66"/>
        <v>2</v>
      </c>
      <c r="I65" s="927">
        <v>0</v>
      </c>
      <c r="J65" s="927">
        <f t="shared" si="67"/>
        <v>0</v>
      </c>
      <c r="L65" s="961">
        <v>0</v>
      </c>
      <c r="M65" s="927">
        <f t="shared" si="68"/>
        <v>0</v>
      </c>
      <c r="O65" s="946"/>
      <c r="P65" s="928">
        <v>0</v>
      </c>
      <c r="Q65" s="928">
        <f t="shared" si="69"/>
        <v>0</v>
      </c>
      <c r="R65" s="928">
        <f>P65</f>
        <v>0</v>
      </c>
      <c r="S65" s="928">
        <f t="shared" si="70"/>
        <v>0</v>
      </c>
      <c r="T65" s="1032">
        <f t="shared" ref="T65" si="83">R65</f>
        <v>0</v>
      </c>
      <c r="U65" s="928">
        <f t="shared" si="71"/>
        <v>0</v>
      </c>
      <c r="W65" s="927">
        <v>0</v>
      </c>
      <c r="X65" s="928">
        <f t="shared" si="72"/>
        <v>0</v>
      </c>
      <c r="Y65" s="961">
        <f t="shared" si="73"/>
        <v>0</v>
      </c>
      <c r="Z65" s="928">
        <f t="shared" si="74"/>
        <v>0</v>
      </c>
      <c r="AA65" s="961">
        <f t="shared" ref="AA65:AA81" si="84">Y65</f>
        <v>0</v>
      </c>
      <c r="AB65" s="928">
        <f t="shared" si="75"/>
        <v>0</v>
      </c>
      <c r="AD65" s="928">
        <v>0</v>
      </c>
      <c r="AE65" s="928">
        <f t="shared" si="76"/>
        <v>0</v>
      </c>
      <c r="AF65" s="928">
        <v>0</v>
      </c>
      <c r="AG65" s="928">
        <f t="shared" si="77"/>
        <v>0</v>
      </c>
      <c r="AH65" s="928">
        <v>0</v>
      </c>
      <c r="AI65" s="928">
        <f t="shared" si="78"/>
        <v>0</v>
      </c>
      <c r="AK65" s="927">
        <v>0</v>
      </c>
      <c r="AL65" s="928">
        <f t="shared" si="79"/>
        <v>0</v>
      </c>
      <c r="AM65" s="927">
        <v>0</v>
      </c>
      <c r="AN65" s="927">
        <f t="shared" si="80"/>
        <v>0</v>
      </c>
      <c r="AO65" s="927">
        <v>0</v>
      </c>
      <c r="AP65" s="927">
        <f t="shared" si="81"/>
        <v>0</v>
      </c>
    </row>
    <row r="66" spans="1:43" s="925" customFormat="1">
      <c r="A66" s="930">
        <v>3</v>
      </c>
      <c r="B66" s="925" t="s">
        <v>473</v>
      </c>
      <c r="C66" s="927">
        <v>1200</v>
      </c>
      <c r="D66" s="927">
        <f t="shared" si="65"/>
        <v>1200</v>
      </c>
      <c r="E66" s="927">
        <f t="shared" si="65"/>
        <v>1200</v>
      </c>
      <c r="F66" s="961">
        <f t="shared" si="82"/>
        <v>1200</v>
      </c>
      <c r="G66" s="965"/>
      <c r="H66" s="932">
        <f t="shared" si="66"/>
        <v>3</v>
      </c>
      <c r="I66" s="927">
        <f>1250*'BH Tariffs'!G52</f>
        <v>1353.0401999999999</v>
      </c>
      <c r="J66" s="927">
        <f t="shared" si="67"/>
        <v>153.04019999999991</v>
      </c>
      <c r="L66" s="927">
        <f>1250*'BH Tariffs'!G52</f>
        <v>1353.0401999999999</v>
      </c>
      <c r="M66" s="927">
        <f t="shared" si="68"/>
        <v>153.04019999999991</v>
      </c>
      <c r="O66" s="946"/>
      <c r="P66" s="928">
        <f>1250*'BH Tariffs'!G52</f>
        <v>1353.0401999999999</v>
      </c>
      <c r="Q66" s="928">
        <f t="shared" si="69"/>
        <v>153.04019999999991</v>
      </c>
      <c r="R66" s="928">
        <f>1250*'BH Tariffs'!G52</f>
        <v>1353.0401999999999</v>
      </c>
      <c r="S66" s="928">
        <f t="shared" si="70"/>
        <v>153.04019999999991</v>
      </c>
      <c r="T66" s="1032">
        <f t="shared" ref="T66:T81" si="85">R66</f>
        <v>1353.0401999999999</v>
      </c>
      <c r="U66" s="928">
        <f t="shared" si="71"/>
        <v>153.04019999999991</v>
      </c>
      <c r="W66" s="927">
        <f>1250*'BH Tariffs'!G52</f>
        <v>1353.0401999999999</v>
      </c>
      <c r="X66" s="928">
        <f t="shared" si="72"/>
        <v>153.04019999999991</v>
      </c>
      <c r="Y66" s="961">
        <f t="shared" si="73"/>
        <v>1353.0401999999999</v>
      </c>
      <c r="Z66" s="928">
        <f t="shared" si="74"/>
        <v>153.04019999999991</v>
      </c>
      <c r="AA66" s="961">
        <f t="shared" si="84"/>
        <v>1353.0401999999999</v>
      </c>
      <c r="AB66" s="928">
        <f t="shared" si="75"/>
        <v>153.04019999999991</v>
      </c>
      <c r="AD66" s="928">
        <f>1250*'BH Tariffs'!G52</f>
        <v>1353.0401999999999</v>
      </c>
      <c r="AE66" s="928">
        <f t="shared" si="76"/>
        <v>153.04019999999991</v>
      </c>
      <c r="AF66" s="928">
        <f t="shared" ref="AF66:AF81" si="86">AD66</f>
        <v>1353.0401999999999</v>
      </c>
      <c r="AG66" s="928">
        <f t="shared" si="77"/>
        <v>153.04019999999991</v>
      </c>
      <c r="AH66" s="928">
        <f>AF66</f>
        <v>1353.0401999999999</v>
      </c>
      <c r="AI66" s="928">
        <f t="shared" si="78"/>
        <v>153.04019999999991</v>
      </c>
      <c r="AK66" s="927">
        <f>1250*'BH Tariffs'!G52</f>
        <v>1353.0401999999999</v>
      </c>
      <c r="AL66" s="928">
        <f t="shared" si="79"/>
        <v>153.04019999999991</v>
      </c>
      <c r="AM66" s="927">
        <f t="shared" ref="AM66:AM81" si="87">AK66</f>
        <v>1353.0401999999999</v>
      </c>
      <c r="AN66" s="927">
        <f t="shared" si="80"/>
        <v>153.04019999999991</v>
      </c>
      <c r="AO66" s="927">
        <f>AM66</f>
        <v>1353.0401999999999</v>
      </c>
      <c r="AP66" s="927">
        <f t="shared" si="81"/>
        <v>153.04019999999991</v>
      </c>
    </row>
    <row r="67" spans="1:43" s="925" customFormat="1">
      <c r="A67" s="930">
        <v>4</v>
      </c>
      <c r="B67" s="925" t="s">
        <v>474</v>
      </c>
      <c r="C67" s="927">
        <v>75000</v>
      </c>
      <c r="D67" s="927">
        <f t="shared" si="65"/>
        <v>75000</v>
      </c>
      <c r="E67" s="927">
        <f t="shared" si="65"/>
        <v>75000</v>
      </c>
      <c r="F67" s="961">
        <f t="shared" si="82"/>
        <v>75000</v>
      </c>
      <c r="G67" s="965"/>
      <c r="H67" s="932">
        <f t="shared" si="66"/>
        <v>4</v>
      </c>
      <c r="I67" s="927">
        <f>5580*'BH Tariffs'!G52</f>
        <v>6039.9714527999995</v>
      </c>
      <c r="J67" s="1017">
        <f t="shared" si="67"/>
        <v>-68960.028547199996</v>
      </c>
      <c r="L67" s="927">
        <f>18270*'BH Tariffs'!G52</f>
        <v>19776.035563199999</v>
      </c>
      <c r="M67" s="1017">
        <f t="shared" si="68"/>
        <v>-55223.964436800001</v>
      </c>
      <c r="O67" s="946"/>
      <c r="P67" s="928">
        <f>11470*'BH Tariffs'!G52</f>
        <v>12415.4968752</v>
      </c>
      <c r="Q67" s="1020">
        <f t="shared" si="69"/>
        <v>-62584.503124800001</v>
      </c>
      <c r="R67" s="928">
        <f>P67</f>
        <v>12415.4968752</v>
      </c>
      <c r="S67" s="1020">
        <f t="shared" si="70"/>
        <v>-62584.503124800001</v>
      </c>
      <c r="T67" s="1032">
        <f>R67</f>
        <v>12415.4968752</v>
      </c>
      <c r="U67" s="1020">
        <f t="shared" si="71"/>
        <v>-62584.503124800001</v>
      </c>
      <c r="W67" s="927">
        <f>25950*'BH Tariffs'!G52</f>
        <v>28089.114551999999</v>
      </c>
      <c r="X67" s="1020">
        <f t="shared" si="72"/>
        <v>-46910.885448000001</v>
      </c>
      <c r="Y67" s="961">
        <f t="shared" si="73"/>
        <v>28089.114551999999</v>
      </c>
      <c r="Z67" s="1020">
        <f t="shared" si="74"/>
        <v>-46910.885448000001</v>
      </c>
      <c r="AA67" s="961">
        <f t="shared" si="84"/>
        <v>28089.114551999999</v>
      </c>
      <c r="AB67" s="1020">
        <f t="shared" si="75"/>
        <v>-46910.885448000001</v>
      </c>
      <c r="AD67" s="928">
        <f>18270*'BH Tariffs'!G52</f>
        <v>19776.035563199999</v>
      </c>
      <c r="AE67" s="1020">
        <f t="shared" si="76"/>
        <v>-55223.964436800001</v>
      </c>
      <c r="AF67" s="928">
        <f t="shared" si="86"/>
        <v>19776.035563199999</v>
      </c>
      <c r="AG67" s="1020">
        <f t="shared" si="77"/>
        <v>-55223.964436800001</v>
      </c>
      <c r="AH67" s="928">
        <f t="shared" ref="AH67:AH81" si="88">AF67</f>
        <v>19776.035563199999</v>
      </c>
      <c r="AI67" s="1020">
        <f t="shared" si="78"/>
        <v>-55223.964436800001</v>
      </c>
      <c r="AK67" s="927">
        <f>25950*'BH Tariffs'!G52</f>
        <v>28089.114551999999</v>
      </c>
      <c r="AL67" s="1020">
        <f t="shared" si="79"/>
        <v>-46910.885448000001</v>
      </c>
      <c r="AM67" s="927">
        <f t="shared" si="87"/>
        <v>28089.114551999999</v>
      </c>
      <c r="AN67" s="1017">
        <f t="shared" si="80"/>
        <v>-46910.885448000001</v>
      </c>
      <c r="AO67" s="927">
        <f t="shared" ref="AO67:AO81" si="89">AM67</f>
        <v>28089.114551999999</v>
      </c>
      <c r="AP67" s="1017">
        <f t="shared" si="81"/>
        <v>-46910.885448000001</v>
      </c>
    </row>
    <row r="68" spans="1:43" s="925" customFormat="1">
      <c r="A68" s="930">
        <v>5</v>
      </c>
      <c r="B68" s="925" t="s">
        <v>475</v>
      </c>
      <c r="C68" s="927">
        <v>2000</v>
      </c>
      <c r="D68" s="927">
        <f t="shared" si="65"/>
        <v>2000</v>
      </c>
      <c r="E68" s="927">
        <f t="shared" si="65"/>
        <v>2000</v>
      </c>
      <c r="F68" s="961">
        <f t="shared" si="82"/>
        <v>2000</v>
      </c>
      <c r="G68" s="965"/>
      <c r="H68" s="932">
        <f t="shared" si="66"/>
        <v>5</v>
      </c>
      <c r="I68" s="927">
        <v>0</v>
      </c>
      <c r="J68" s="1017">
        <f t="shared" si="67"/>
        <v>-2000</v>
      </c>
      <c r="K68" s="927" t="s">
        <v>493</v>
      </c>
      <c r="L68" s="927">
        <v>0</v>
      </c>
      <c r="M68" s="1017">
        <f t="shared" si="68"/>
        <v>-2000</v>
      </c>
      <c r="N68" s="927" t="s">
        <v>493</v>
      </c>
      <c r="O68" s="946"/>
      <c r="P68" s="928">
        <v>0</v>
      </c>
      <c r="Q68" s="1020">
        <f t="shared" si="69"/>
        <v>-2000</v>
      </c>
      <c r="R68" s="928">
        <v>0</v>
      </c>
      <c r="S68" s="1020">
        <f t="shared" si="70"/>
        <v>-2000</v>
      </c>
      <c r="T68" s="1032">
        <f t="shared" si="85"/>
        <v>0</v>
      </c>
      <c r="U68" s="1020">
        <f t="shared" si="71"/>
        <v>-2000</v>
      </c>
      <c r="V68" s="927" t="s">
        <v>493</v>
      </c>
      <c r="W68" s="927">
        <v>0</v>
      </c>
      <c r="X68" s="1020">
        <f t="shared" si="72"/>
        <v>-2000</v>
      </c>
      <c r="Y68" s="961">
        <f t="shared" si="73"/>
        <v>0</v>
      </c>
      <c r="Z68" s="1020">
        <f t="shared" si="74"/>
        <v>-2000</v>
      </c>
      <c r="AA68" s="961">
        <f t="shared" si="84"/>
        <v>0</v>
      </c>
      <c r="AB68" s="1020">
        <f t="shared" si="75"/>
        <v>-2000</v>
      </c>
      <c r="AC68" s="927" t="s">
        <v>493</v>
      </c>
      <c r="AD68" s="928">
        <v>0</v>
      </c>
      <c r="AE68" s="1020">
        <f t="shared" si="76"/>
        <v>-2000</v>
      </c>
      <c r="AF68" s="928">
        <f t="shared" si="86"/>
        <v>0</v>
      </c>
      <c r="AG68" s="1020">
        <f t="shared" si="77"/>
        <v>-2000</v>
      </c>
      <c r="AH68" s="928">
        <f t="shared" si="88"/>
        <v>0</v>
      </c>
      <c r="AI68" s="1020">
        <f t="shared" si="78"/>
        <v>-2000</v>
      </c>
      <c r="AJ68" s="927" t="s">
        <v>493</v>
      </c>
      <c r="AK68" s="927">
        <v>0</v>
      </c>
      <c r="AL68" s="1020">
        <f t="shared" si="79"/>
        <v>-2000</v>
      </c>
      <c r="AM68" s="927">
        <f t="shared" si="87"/>
        <v>0</v>
      </c>
      <c r="AN68" s="1017">
        <f t="shared" si="80"/>
        <v>-2000</v>
      </c>
      <c r="AO68" s="927">
        <f t="shared" si="89"/>
        <v>0</v>
      </c>
      <c r="AP68" s="1017">
        <f t="shared" si="81"/>
        <v>-2000</v>
      </c>
      <c r="AQ68" s="927" t="s">
        <v>493</v>
      </c>
    </row>
    <row r="69" spans="1:43" s="925" customFormat="1">
      <c r="A69" s="930">
        <v>6</v>
      </c>
      <c r="B69" s="925" t="s">
        <v>476</v>
      </c>
      <c r="C69" s="927">
        <v>2000</v>
      </c>
      <c r="D69" s="927">
        <f t="shared" si="65"/>
        <v>2000</v>
      </c>
      <c r="E69" s="927">
        <v>12000</v>
      </c>
      <c r="F69" s="961">
        <f t="shared" si="82"/>
        <v>12000</v>
      </c>
      <c r="G69" s="965"/>
      <c r="H69" s="932">
        <f t="shared" si="66"/>
        <v>6</v>
      </c>
      <c r="I69" s="927">
        <f>12375*'BH Tariffs'!G52</f>
        <v>13395.09798</v>
      </c>
      <c r="J69" s="927">
        <f t="shared" si="67"/>
        <v>1395.0979800000005</v>
      </c>
      <c r="K69" s="927"/>
      <c r="L69" s="927">
        <f>12375*'BH Tariffs'!G52</f>
        <v>13395.09798</v>
      </c>
      <c r="M69" s="927">
        <f t="shared" si="68"/>
        <v>1395.0979800000005</v>
      </c>
      <c r="N69" s="927"/>
      <c r="O69" s="946"/>
      <c r="P69" s="928">
        <f>12375*'BH Tariffs'!G52</f>
        <v>13395.09798</v>
      </c>
      <c r="Q69" s="928">
        <f t="shared" si="69"/>
        <v>1395.0979800000005</v>
      </c>
      <c r="R69" s="928">
        <f>12375*'BH Tariffs'!G52</f>
        <v>13395.09798</v>
      </c>
      <c r="S69" s="928">
        <f t="shared" si="70"/>
        <v>1395.0979800000005</v>
      </c>
      <c r="T69" s="1032">
        <f t="shared" si="85"/>
        <v>13395.09798</v>
      </c>
      <c r="U69" s="928">
        <f t="shared" si="71"/>
        <v>1395.0979800000005</v>
      </c>
      <c r="V69" s="927"/>
      <c r="W69" s="927">
        <f>12375*'BH Tariffs'!G52</f>
        <v>13395.09798</v>
      </c>
      <c r="X69" s="928">
        <f t="shared" si="72"/>
        <v>1395.0979800000005</v>
      </c>
      <c r="Y69" s="961">
        <f t="shared" si="73"/>
        <v>13395.09798</v>
      </c>
      <c r="Z69" s="928">
        <f t="shared" si="74"/>
        <v>1395.0979800000005</v>
      </c>
      <c r="AA69" s="961">
        <f t="shared" si="84"/>
        <v>13395.09798</v>
      </c>
      <c r="AB69" s="928">
        <f t="shared" si="75"/>
        <v>1395.0979800000005</v>
      </c>
      <c r="AC69" s="927"/>
      <c r="AD69" s="928">
        <f>17708*'BH Tariffs'!G52</f>
        <v>19167.70868928</v>
      </c>
      <c r="AE69" s="928">
        <f t="shared" si="76"/>
        <v>7167.7086892799998</v>
      </c>
      <c r="AF69" s="928">
        <f t="shared" si="86"/>
        <v>19167.70868928</v>
      </c>
      <c r="AG69" s="928">
        <f t="shared" si="77"/>
        <v>7167.7086892799998</v>
      </c>
      <c r="AH69" s="928">
        <f t="shared" si="88"/>
        <v>19167.70868928</v>
      </c>
      <c r="AI69" s="928">
        <f t="shared" si="78"/>
        <v>7167.7086892799998</v>
      </c>
      <c r="AJ69" s="927"/>
      <c r="AK69" s="927">
        <f>17708*'BH Tariffs'!G52</f>
        <v>19167.70868928</v>
      </c>
      <c r="AL69" s="928">
        <f t="shared" si="79"/>
        <v>7167.7086892799998</v>
      </c>
      <c r="AM69" s="927">
        <f t="shared" si="87"/>
        <v>19167.70868928</v>
      </c>
      <c r="AN69" s="927">
        <f t="shared" si="80"/>
        <v>7167.7086892799998</v>
      </c>
      <c r="AO69" s="927">
        <f t="shared" si="89"/>
        <v>19167.70868928</v>
      </c>
      <c r="AP69" s="927">
        <f t="shared" si="81"/>
        <v>7167.7086892799998</v>
      </c>
      <c r="AQ69" s="927"/>
    </row>
    <row r="70" spans="1:43" s="925" customFormat="1">
      <c r="A70" s="930">
        <v>7</v>
      </c>
      <c r="B70" s="925" t="s">
        <v>477</v>
      </c>
      <c r="C70" s="927">
        <v>1000</v>
      </c>
      <c r="D70" s="927">
        <f t="shared" si="65"/>
        <v>1000</v>
      </c>
      <c r="E70" s="927">
        <f t="shared" si="65"/>
        <v>1000</v>
      </c>
      <c r="F70" s="961">
        <f t="shared" si="82"/>
        <v>1000</v>
      </c>
      <c r="G70" s="965"/>
      <c r="H70" s="932">
        <f t="shared" si="66"/>
        <v>7</v>
      </c>
      <c r="I70" s="927">
        <v>0</v>
      </c>
      <c r="J70" s="1017">
        <f t="shared" si="67"/>
        <v>-1000</v>
      </c>
      <c r="K70" s="927"/>
      <c r="L70" s="927">
        <f>1750*'BH Tariffs'!G52</f>
        <v>1894.2562800000001</v>
      </c>
      <c r="M70" s="927">
        <f t="shared" si="68"/>
        <v>894.25628000000006</v>
      </c>
      <c r="N70" s="927"/>
      <c r="O70" s="946"/>
      <c r="P70" s="928">
        <v>0</v>
      </c>
      <c r="Q70" s="1020">
        <f t="shared" si="69"/>
        <v>-1000</v>
      </c>
      <c r="R70" s="928">
        <v>0</v>
      </c>
      <c r="S70" s="1020">
        <f t="shared" si="70"/>
        <v>-1000</v>
      </c>
      <c r="T70" s="1032">
        <f t="shared" si="85"/>
        <v>0</v>
      </c>
      <c r="U70" s="1020">
        <f t="shared" si="71"/>
        <v>-1000</v>
      </c>
      <c r="V70" s="927"/>
      <c r="W70" s="927">
        <f>1750*'BH Tariffs'!G52</f>
        <v>1894.2562800000001</v>
      </c>
      <c r="X70" s="928">
        <f t="shared" si="72"/>
        <v>894.25628000000006</v>
      </c>
      <c r="Y70" s="961">
        <f t="shared" si="73"/>
        <v>1894.2562800000001</v>
      </c>
      <c r="Z70" s="928">
        <f t="shared" si="74"/>
        <v>894.25628000000006</v>
      </c>
      <c r="AA70" s="961">
        <f t="shared" si="84"/>
        <v>1894.2562800000001</v>
      </c>
      <c r="AB70" s="928">
        <f t="shared" si="75"/>
        <v>894.25628000000006</v>
      </c>
      <c r="AC70" s="927"/>
      <c r="AD70" s="928">
        <v>0</v>
      </c>
      <c r="AE70" s="1020">
        <f t="shared" si="76"/>
        <v>-1000</v>
      </c>
      <c r="AF70" s="928">
        <f t="shared" si="86"/>
        <v>0</v>
      </c>
      <c r="AG70" s="1020">
        <f t="shared" si="77"/>
        <v>-1000</v>
      </c>
      <c r="AH70" s="928">
        <f t="shared" si="88"/>
        <v>0</v>
      </c>
      <c r="AI70" s="1020">
        <f t="shared" si="78"/>
        <v>-1000</v>
      </c>
      <c r="AJ70" s="927"/>
      <c r="AK70" s="927">
        <f>1750*'BH Tariffs'!G52</f>
        <v>1894.2562800000001</v>
      </c>
      <c r="AL70" s="928">
        <f t="shared" si="79"/>
        <v>894.25628000000006</v>
      </c>
      <c r="AM70" s="927">
        <f t="shared" si="87"/>
        <v>1894.2562800000001</v>
      </c>
      <c r="AN70" s="927">
        <f t="shared" si="80"/>
        <v>894.25628000000006</v>
      </c>
      <c r="AO70" s="927">
        <f t="shared" si="89"/>
        <v>1894.2562800000001</v>
      </c>
      <c r="AP70" s="927">
        <f t="shared" si="81"/>
        <v>894.25628000000006</v>
      </c>
      <c r="AQ70" s="927"/>
    </row>
    <row r="71" spans="1:43" s="925" customFormat="1">
      <c r="A71" s="930">
        <v>8</v>
      </c>
      <c r="B71" s="925" t="s">
        <v>478</v>
      </c>
      <c r="C71" s="927">
        <v>7000</v>
      </c>
      <c r="D71" s="927">
        <v>7000</v>
      </c>
      <c r="E71" s="927">
        <f t="shared" si="65"/>
        <v>7000</v>
      </c>
      <c r="F71" s="961">
        <f t="shared" si="82"/>
        <v>7000</v>
      </c>
      <c r="G71" s="965"/>
      <c r="H71" s="932">
        <f t="shared" si="66"/>
        <v>8</v>
      </c>
      <c r="I71" s="927">
        <f>2000*'BH Tariffs'!G52</f>
        <v>2164.8643200000001</v>
      </c>
      <c r="J71" s="1017">
        <f t="shared" si="67"/>
        <v>-4835.1356799999994</v>
      </c>
      <c r="K71" s="927"/>
      <c r="L71" s="927">
        <f>3000*'BH Tariffs'!G52</f>
        <v>3247.29648</v>
      </c>
      <c r="M71" s="1017">
        <f t="shared" si="68"/>
        <v>-3752.70352</v>
      </c>
      <c r="N71" s="927"/>
      <c r="O71" s="946"/>
      <c r="P71" s="928">
        <f>2000*'BH Tariffs'!G52</f>
        <v>2164.8643200000001</v>
      </c>
      <c r="Q71" s="1020">
        <f t="shared" si="69"/>
        <v>-4835.1356799999994</v>
      </c>
      <c r="R71" s="928">
        <f>2000*'BH Tariffs'!G52</f>
        <v>2164.8643200000001</v>
      </c>
      <c r="S71" s="1020">
        <f t="shared" si="70"/>
        <v>-4835.1356799999994</v>
      </c>
      <c r="T71" s="1032">
        <f t="shared" si="85"/>
        <v>2164.8643200000001</v>
      </c>
      <c r="U71" s="1020">
        <f t="shared" si="71"/>
        <v>-4835.1356799999994</v>
      </c>
      <c r="V71" s="927"/>
      <c r="W71" s="927">
        <f>3000*'BH Tariffs'!G52</f>
        <v>3247.29648</v>
      </c>
      <c r="X71" s="1020">
        <f t="shared" si="72"/>
        <v>-3752.70352</v>
      </c>
      <c r="Y71" s="961">
        <f t="shared" si="73"/>
        <v>3247.29648</v>
      </c>
      <c r="Z71" s="1020">
        <f t="shared" si="74"/>
        <v>-3752.70352</v>
      </c>
      <c r="AA71" s="961">
        <f t="shared" si="84"/>
        <v>3247.29648</v>
      </c>
      <c r="AB71" s="1020">
        <f t="shared" si="75"/>
        <v>-3752.70352</v>
      </c>
      <c r="AC71" s="927"/>
      <c r="AD71" s="928">
        <f>2000*'BH Tariffs'!G52</f>
        <v>2164.8643200000001</v>
      </c>
      <c r="AE71" s="1020">
        <f t="shared" si="76"/>
        <v>-4835.1356799999994</v>
      </c>
      <c r="AF71" s="928">
        <f t="shared" si="86"/>
        <v>2164.8643200000001</v>
      </c>
      <c r="AG71" s="1020">
        <f t="shared" si="77"/>
        <v>-4835.1356799999994</v>
      </c>
      <c r="AH71" s="928">
        <f t="shared" si="88"/>
        <v>2164.8643200000001</v>
      </c>
      <c r="AI71" s="1020">
        <f t="shared" si="78"/>
        <v>-4835.1356799999994</v>
      </c>
      <c r="AJ71" s="927"/>
      <c r="AK71" s="927">
        <f>3000*'BH Tariffs'!G52</f>
        <v>3247.29648</v>
      </c>
      <c r="AL71" s="1020">
        <f t="shared" si="79"/>
        <v>-3752.70352</v>
      </c>
      <c r="AM71" s="927">
        <f t="shared" si="87"/>
        <v>3247.29648</v>
      </c>
      <c r="AN71" s="1017">
        <f t="shared" si="80"/>
        <v>-3752.70352</v>
      </c>
      <c r="AO71" s="927">
        <f t="shared" si="89"/>
        <v>3247.29648</v>
      </c>
      <c r="AP71" s="1017">
        <f t="shared" si="81"/>
        <v>-3752.70352</v>
      </c>
      <c r="AQ71" s="927"/>
    </row>
    <row r="72" spans="1:43" s="925" customFormat="1">
      <c r="A72" s="930">
        <v>9</v>
      </c>
      <c r="B72" s="925" t="s">
        <v>479</v>
      </c>
      <c r="C72" s="927">
        <v>3000</v>
      </c>
      <c r="D72" s="927">
        <f t="shared" ref="D72:D77" si="90">C72</f>
        <v>3000</v>
      </c>
      <c r="E72" s="927">
        <f t="shared" si="65"/>
        <v>3000</v>
      </c>
      <c r="F72" s="961">
        <f t="shared" si="82"/>
        <v>3000</v>
      </c>
      <c r="G72" s="965"/>
      <c r="H72" s="932">
        <f t="shared" si="66"/>
        <v>9</v>
      </c>
      <c r="I72" s="927">
        <v>0</v>
      </c>
      <c r="J72" s="1017">
        <f t="shared" si="67"/>
        <v>-3000</v>
      </c>
      <c r="K72" s="927"/>
      <c r="L72" s="927">
        <v>0</v>
      </c>
      <c r="M72" s="1017">
        <f t="shared" si="68"/>
        <v>-3000</v>
      </c>
      <c r="N72" s="927"/>
      <c r="O72" s="946"/>
      <c r="P72" s="928">
        <v>0</v>
      </c>
      <c r="Q72" s="1020">
        <f t="shared" si="69"/>
        <v>-3000</v>
      </c>
      <c r="R72" s="928">
        <v>0</v>
      </c>
      <c r="S72" s="1020">
        <f t="shared" si="70"/>
        <v>-3000</v>
      </c>
      <c r="T72" s="1032">
        <f t="shared" si="85"/>
        <v>0</v>
      </c>
      <c r="U72" s="1020">
        <f t="shared" si="71"/>
        <v>-3000</v>
      </c>
      <c r="V72" s="927"/>
      <c r="W72" s="927">
        <v>0</v>
      </c>
      <c r="X72" s="1020">
        <f t="shared" si="72"/>
        <v>-3000</v>
      </c>
      <c r="Y72" s="961">
        <f t="shared" si="73"/>
        <v>0</v>
      </c>
      <c r="Z72" s="1020">
        <f t="shared" si="74"/>
        <v>-3000</v>
      </c>
      <c r="AA72" s="961">
        <f t="shared" si="84"/>
        <v>0</v>
      </c>
      <c r="AB72" s="1020">
        <f t="shared" si="75"/>
        <v>-3000</v>
      </c>
      <c r="AC72" s="927"/>
      <c r="AD72" s="928">
        <v>0</v>
      </c>
      <c r="AE72" s="1020">
        <f t="shared" si="76"/>
        <v>-3000</v>
      </c>
      <c r="AF72" s="928">
        <f t="shared" si="86"/>
        <v>0</v>
      </c>
      <c r="AG72" s="1020">
        <f t="shared" si="77"/>
        <v>-3000</v>
      </c>
      <c r="AH72" s="928">
        <f t="shared" si="88"/>
        <v>0</v>
      </c>
      <c r="AI72" s="1020">
        <f t="shared" si="78"/>
        <v>-3000</v>
      </c>
      <c r="AJ72" s="927" t="s">
        <v>537</v>
      </c>
      <c r="AK72" s="927">
        <v>0</v>
      </c>
      <c r="AL72" s="1020">
        <f t="shared" si="79"/>
        <v>-3000</v>
      </c>
      <c r="AM72" s="927">
        <f t="shared" si="87"/>
        <v>0</v>
      </c>
      <c r="AN72" s="1017">
        <f t="shared" si="80"/>
        <v>-3000</v>
      </c>
      <c r="AO72" s="927">
        <f t="shared" si="89"/>
        <v>0</v>
      </c>
      <c r="AP72" s="1017">
        <f t="shared" si="81"/>
        <v>-3000</v>
      </c>
      <c r="AQ72" s="927" t="s">
        <v>537</v>
      </c>
    </row>
    <row r="73" spans="1:43" s="925" customFormat="1">
      <c r="A73" s="930">
        <v>10</v>
      </c>
      <c r="B73" s="925" t="str">
        <f>B35</f>
        <v>Utilities (water, sewer, etc.)</v>
      </c>
      <c r="C73" s="927">
        <v>0</v>
      </c>
      <c r="D73" s="927">
        <v>0</v>
      </c>
      <c r="E73" s="927">
        <v>0</v>
      </c>
      <c r="F73" s="961">
        <f t="shared" si="82"/>
        <v>0</v>
      </c>
      <c r="G73" s="965"/>
      <c r="H73" s="932">
        <f t="shared" si="66"/>
        <v>10</v>
      </c>
      <c r="I73" s="927">
        <f>(3000*'BH Tariffs'!G52)+'OPEX - Concept A1'!Q108</f>
        <v>29460.01488264</v>
      </c>
      <c r="J73" s="927">
        <f t="shared" si="67"/>
        <v>29460.01488264</v>
      </c>
      <c r="K73" s="927"/>
      <c r="L73" s="927">
        <f>(3000*'BH Tariffs'!G52)+'OPEX - Concept A2'!Q109</f>
        <v>29460.01488264</v>
      </c>
      <c r="M73" s="927">
        <f t="shared" si="68"/>
        <v>29460.01488264</v>
      </c>
      <c r="N73" s="927"/>
      <c r="O73" s="946"/>
      <c r="P73" s="928">
        <f>(3000*'BH Tariffs'!G52)+'OPEX - Concept B2 - NCLH'!Q108</f>
        <v>29460.01488264</v>
      </c>
      <c r="Q73" s="928">
        <f t="shared" si="69"/>
        <v>29460.01488264</v>
      </c>
      <c r="R73" s="928">
        <f>(3000*'BH Tariffs'!G52)+'OPEX - Concept B2 - RCCL'!Q108</f>
        <v>29460.01488264</v>
      </c>
      <c r="S73" s="928">
        <f t="shared" si="70"/>
        <v>29460.01488264</v>
      </c>
      <c r="T73" s="1032">
        <f t="shared" si="85"/>
        <v>29460.01488264</v>
      </c>
      <c r="U73" s="928">
        <f t="shared" si="71"/>
        <v>29460.01488264</v>
      </c>
      <c r="V73" s="927"/>
      <c r="W73" s="927">
        <f>(3000*'BH Tariffs'!G52)+'OPEX - Concept B2 - NCLH'!Q108</f>
        <v>29460.01488264</v>
      </c>
      <c r="X73" s="928">
        <f t="shared" si="72"/>
        <v>29460.01488264</v>
      </c>
      <c r="Y73" s="961">
        <f t="shared" si="73"/>
        <v>29460.01488264</v>
      </c>
      <c r="Z73" s="928">
        <f t="shared" si="74"/>
        <v>29460.01488264</v>
      </c>
      <c r="AA73" s="961">
        <f t="shared" si="84"/>
        <v>29460.01488264</v>
      </c>
      <c r="AB73" s="928">
        <f t="shared" si="75"/>
        <v>29460.01488264</v>
      </c>
      <c r="AC73" s="927"/>
      <c r="AD73" s="928">
        <f>(3000*'BH Tariffs'!G52)+'OPEX - Concept C1 - NCLH'!Q108</f>
        <v>40988.458602719998</v>
      </c>
      <c r="AE73" s="928">
        <f t="shared" si="76"/>
        <v>40988.458602719998</v>
      </c>
      <c r="AF73" s="928">
        <f t="shared" si="86"/>
        <v>40988.458602719998</v>
      </c>
      <c r="AG73" s="928">
        <f t="shared" si="77"/>
        <v>40988.458602719998</v>
      </c>
      <c r="AH73" s="928">
        <f t="shared" si="88"/>
        <v>40988.458602719998</v>
      </c>
      <c r="AI73" s="928">
        <f t="shared" si="78"/>
        <v>40988.458602719998</v>
      </c>
      <c r="AJ73" s="927"/>
      <c r="AK73" s="927">
        <f>(3000*'BH Tariffs'!G52)+'OPEX - Concept C2 - NCLH'!Q109</f>
        <v>40988.458602719998</v>
      </c>
      <c r="AL73" s="928">
        <f t="shared" si="79"/>
        <v>40988.458602719998</v>
      </c>
      <c r="AM73" s="927">
        <f t="shared" si="87"/>
        <v>40988.458602719998</v>
      </c>
      <c r="AN73" s="927">
        <f t="shared" si="80"/>
        <v>40988.458602719998</v>
      </c>
      <c r="AO73" s="927">
        <f t="shared" si="89"/>
        <v>40988.458602719998</v>
      </c>
      <c r="AP73" s="927">
        <f t="shared" si="81"/>
        <v>40988.458602719998</v>
      </c>
      <c r="AQ73" s="927"/>
    </row>
    <row r="74" spans="1:43" s="925" customFormat="1">
      <c r="A74" s="930">
        <v>11</v>
      </c>
      <c r="B74" s="925" t="s">
        <v>480</v>
      </c>
      <c r="C74" s="927">
        <v>3600</v>
      </c>
      <c r="D74" s="927">
        <f t="shared" si="90"/>
        <v>3600</v>
      </c>
      <c r="E74" s="927">
        <f t="shared" si="65"/>
        <v>3600</v>
      </c>
      <c r="F74" s="961">
        <f t="shared" si="82"/>
        <v>3600</v>
      </c>
      <c r="G74" s="965"/>
      <c r="H74" s="932">
        <f t="shared" si="66"/>
        <v>11</v>
      </c>
      <c r="I74" s="927">
        <f>17400*'BH Tariffs'!G52</f>
        <v>18834.319584000001</v>
      </c>
      <c r="J74" s="927">
        <f t="shared" si="67"/>
        <v>15234.319584000001</v>
      </c>
      <c r="K74" s="927"/>
      <c r="L74" s="927">
        <f>I74</f>
        <v>18834.319584000001</v>
      </c>
      <c r="M74" s="927">
        <f t="shared" si="68"/>
        <v>15234.319584000001</v>
      </c>
      <c r="N74" s="927"/>
      <c r="O74" s="946"/>
      <c r="P74" s="928">
        <f>17400*'BH Tariffs'!G52</f>
        <v>18834.319584000001</v>
      </c>
      <c r="Q74" s="928">
        <f t="shared" si="69"/>
        <v>15234.319584000001</v>
      </c>
      <c r="R74" s="928">
        <f>17400*'BH Tariffs'!G52</f>
        <v>18834.319584000001</v>
      </c>
      <c r="S74" s="928">
        <f t="shared" si="70"/>
        <v>15234.319584000001</v>
      </c>
      <c r="T74" s="1032">
        <f t="shared" si="85"/>
        <v>18834.319584000001</v>
      </c>
      <c r="U74" s="928">
        <f t="shared" si="71"/>
        <v>15234.319584000001</v>
      </c>
      <c r="V74" s="927"/>
      <c r="W74" s="927">
        <f>17400*'BH Tariffs'!G52</f>
        <v>18834.319584000001</v>
      </c>
      <c r="X74" s="928">
        <f t="shared" si="72"/>
        <v>15234.319584000001</v>
      </c>
      <c r="Y74" s="961">
        <f t="shared" si="73"/>
        <v>18834.319584000001</v>
      </c>
      <c r="Z74" s="928">
        <f t="shared" si="74"/>
        <v>15234.319584000001</v>
      </c>
      <c r="AA74" s="961">
        <f t="shared" si="84"/>
        <v>18834.319584000001</v>
      </c>
      <c r="AB74" s="928">
        <f t="shared" si="75"/>
        <v>15234.319584000001</v>
      </c>
      <c r="AC74" s="927"/>
      <c r="AD74" s="928">
        <f>41047*'BH Tariffs'!G52</f>
        <v>44430.592871519999</v>
      </c>
      <c r="AE74" s="928">
        <f t="shared" si="76"/>
        <v>40830.592871519999</v>
      </c>
      <c r="AF74" s="928">
        <f t="shared" si="86"/>
        <v>44430.592871519999</v>
      </c>
      <c r="AG74" s="928">
        <f t="shared" si="77"/>
        <v>40830.592871519999</v>
      </c>
      <c r="AH74" s="928">
        <f t="shared" si="88"/>
        <v>44430.592871519999</v>
      </c>
      <c r="AI74" s="928">
        <f t="shared" si="78"/>
        <v>40830.592871519999</v>
      </c>
      <c r="AJ74" s="927"/>
      <c r="AK74" s="927">
        <f>41047*'BH Tariffs'!G52</f>
        <v>44430.592871519999</v>
      </c>
      <c r="AL74" s="928">
        <f t="shared" si="79"/>
        <v>40830.592871519999</v>
      </c>
      <c r="AM74" s="927">
        <f t="shared" si="87"/>
        <v>44430.592871519999</v>
      </c>
      <c r="AN74" s="927">
        <f t="shared" si="80"/>
        <v>40830.592871519999</v>
      </c>
      <c r="AO74" s="927">
        <f t="shared" si="89"/>
        <v>44430.592871519999</v>
      </c>
      <c r="AP74" s="927">
        <f t="shared" si="81"/>
        <v>40830.592871519999</v>
      </c>
      <c r="AQ74" s="927"/>
    </row>
    <row r="75" spans="1:43" s="925" customFormat="1">
      <c r="A75" s="930">
        <v>12</v>
      </c>
      <c r="B75" s="925" t="s">
        <v>481</v>
      </c>
      <c r="C75" s="927">
        <v>2000</v>
      </c>
      <c r="D75" s="927">
        <f t="shared" si="90"/>
        <v>2000</v>
      </c>
      <c r="E75" s="927">
        <f t="shared" si="65"/>
        <v>2000</v>
      </c>
      <c r="F75" s="961">
        <f t="shared" si="82"/>
        <v>2000</v>
      </c>
      <c r="G75" s="965"/>
      <c r="H75" s="932">
        <f t="shared" si="66"/>
        <v>12</v>
      </c>
      <c r="I75" s="927">
        <f>2500*'BH Tariffs'!G52</f>
        <v>2706.0803999999998</v>
      </c>
      <c r="J75" s="927">
        <f t="shared" si="67"/>
        <v>706.08039999999983</v>
      </c>
      <c r="K75" s="927"/>
      <c r="L75" s="927">
        <f>2500*'BH Tariffs'!G52</f>
        <v>2706.0803999999998</v>
      </c>
      <c r="M75" s="927">
        <f t="shared" si="68"/>
        <v>706.08039999999983</v>
      </c>
      <c r="N75" s="927"/>
      <c r="O75" s="977"/>
      <c r="P75" s="928">
        <f>2500*'BH Tariffs'!G52</f>
        <v>2706.0803999999998</v>
      </c>
      <c r="Q75" s="928">
        <f t="shared" si="69"/>
        <v>706.08039999999983</v>
      </c>
      <c r="R75" s="928">
        <f>2500*'BH Tariffs'!G52</f>
        <v>2706.0803999999998</v>
      </c>
      <c r="S75" s="928">
        <f t="shared" si="70"/>
        <v>706.08039999999983</v>
      </c>
      <c r="T75" s="1032">
        <f t="shared" si="85"/>
        <v>2706.0803999999998</v>
      </c>
      <c r="U75" s="928">
        <f t="shared" si="71"/>
        <v>706.08039999999983</v>
      </c>
      <c r="V75" s="927"/>
      <c r="W75" s="927">
        <f>2500*'BH Tariffs'!G52</f>
        <v>2706.0803999999998</v>
      </c>
      <c r="X75" s="928">
        <f t="shared" si="72"/>
        <v>706.08039999999983</v>
      </c>
      <c r="Y75" s="961">
        <f t="shared" si="73"/>
        <v>2706.0803999999998</v>
      </c>
      <c r="Z75" s="928">
        <f t="shared" si="74"/>
        <v>706.08039999999983</v>
      </c>
      <c r="AA75" s="961">
        <f t="shared" si="84"/>
        <v>2706.0803999999998</v>
      </c>
      <c r="AB75" s="928">
        <f t="shared" si="75"/>
        <v>706.08039999999983</v>
      </c>
      <c r="AC75" s="927"/>
      <c r="AD75" s="928">
        <f>2500*'BH Tariffs'!G52</f>
        <v>2706.0803999999998</v>
      </c>
      <c r="AE75" s="928">
        <f t="shared" si="76"/>
        <v>706.08039999999983</v>
      </c>
      <c r="AF75" s="928">
        <f t="shared" si="86"/>
        <v>2706.0803999999998</v>
      </c>
      <c r="AG75" s="928">
        <f t="shared" si="77"/>
        <v>706.08039999999983</v>
      </c>
      <c r="AH75" s="928">
        <f t="shared" si="88"/>
        <v>2706.0803999999998</v>
      </c>
      <c r="AI75" s="928">
        <f t="shared" si="78"/>
        <v>706.08039999999983</v>
      </c>
      <c r="AJ75" s="927"/>
      <c r="AK75" s="927">
        <f>2500*'BH Tariffs'!G52</f>
        <v>2706.0803999999998</v>
      </c>
      <c r="AL75" s="928">
        <f t="shared" si="79"/>
        <v>706.08039999999983</v>
      </c>
      <c r="AM75" s="927">
        <f t="shared" si="87"/>
        <v>2706.0803999999998</v>
      </c>
      <c r="AN75" s="927">
        <f t="shared" si="80"/>
        <v>706.08039999999983</v>
      </c>
      <c r="AO75" s="927">
        <f t="shared" si="89"/>
        <v>2706.0803999999998</v>
      </c>
      <c r="AP75" s="927">
        <f t="shared" si="81"/>
        <v>706.08039999999983</v>
      </c>
      <c r="AQ75" s="927"/>
    </row>
    <row r="76" spans="1:43" s="925" customFormat="1">
      <c r="A76" s="930">
        <v>13</v>
      </c>
      <c r="B76" s="925" t="s">
        <v>482</v>
      </c>
      <c r="C76" s="927">
        <v>1200</v>
      </c>
      <c r="D76" s="927">
        <f t="shared" si="90"/>
        <v>1200</v>
      </c>
      <c r="E76" s="927">
        <f t="shared" si="65"/>
        <v>1200</v>
      </c>
      <c r="F76" s="961">
        <f t="shared" si="82"/>
        <v>1200</v>
      </c>
      <c r="G76" s="965"/>
      <c r="H76" s="932">
        <f t="shared" si="66"/>
        <v>13</v>
      </c>
      <c r="I76" s="927">
        <v>0</v>
      </c>
      <c r="J76" s="1017">
        <f t="shared" si="67"/>
        <v>-1200</v>
      </c>
      <c r="K76" s="927" t="s">
        <v>494</v>
      </c>
      <c r="L76" s="927">
        <v>0</v>
      </c>
      <c r="M76" s="1017">
        <f t="shared" si="68"/>
        <v>-1200</v>
      </c>
      <c r="N76" s="927" t="s">
        <v>494</v>
      </c>
      <c r="O76" s="946"/>
      <c r="P76" s="928">
        <v>0</v>
      </c>
      <c r="Q76" s="1020">
        <f t="shared" si="69"/>
        <v>-1200</v>
      </c>
      <c r="R76" s="928">
        <v>0</v>
      </c>
      <c r="S76" s="1020">
        <f t="shared" si="70"/>
        <v>-1200</v>
      </c>
      <c r="T76" s="1032">
        <f t="shared" si="85"/>
        <v>0</v>
      </c>
      <c r="U76" s="1020">
        <f t="shared" si="71"/>
        <v>-1200</v>
      </c>
      <c r="V76" s="927" t="s">
        <v>494</v>
      </c>
      <c r="W76" s="927">
        <v>0</v>
      </c>
      <c r="X76" s="1020">
        <f t="shared" si="72"/>
        <v>-1200</v>
      </c>
      <c r="Y76" s="961">
        <f t="shared" si="73"/>
        <v>0</v>
      </c>
      <c r="Z76" s="1020">
        <f t="shared" si="74"/>
        <v>-1200</v>
      </c>
      <c r="AA76" s="961">
        <f t="shared" si="84"/>
        <v>0</v>
      </c>
      <c r="AB76" s="1020">
        <f t="shared" si="75"/>
        <v>-1200</v>
      </c>
      <c r="AC76" s="927" t="s">
        <v>494</v>
      </c>
      <c r="AD76" s="928">
        <v>0</v>
      </c>
      <c r="AE76" s="1020">
        <f t="shared" si="76"/>
        <v>-1200</v>
      </c>
      <c r="AF76" s="928">
        <f t="shared" si="86"/>
        <v>0</v>
      </c>
      <c r="AG76" s="1020">
        <f t="shared" si="77"/>
        <v>-1200</v>
      </c>
      <c r="AH76" s="928">
        <f t="shared" si="88"/>
        <v>0</v>
      </c>
      <c r="AI76" s="1020">
        <f t="shared" si="78"/>
        <v>-1200</v>
      </c>
      <c r="AJ76" s="927" t="s">
        <v>494</v>
      </c>
      <c r="AK76" s="927">
        <v>0</v>
      </c>
      <c r="AL76" s="1020">
        <f t="shared" si="79"/>
        <v>-1200</v>
      </c>
      <c r="AM76" s="927">
        <f t="shared" si="87"/>
        <v>0</v>
      </c>
      <c r="AN76" s="1017">
        <f t="shared" si="80"/>
        <v>-1200</v>
      </c>
      <c r="AO76" s="927">
        <f t="shared" si="89"/>
        <v>0</v>
      </c>
      <c r="AP76" s="1017">
        <f t="shared" si="81"/>
        <v>-1200</v>
      </c>
      <c r="AQ76" s="927" t="s">
        <v>494</v>
      </c>
    </row>
    <row r="77" spans="1:43" s="925" customFormat="1">
      <c r="A77" s="930">
        <v>14</v>
      </c>
      <c r="B77" s="925" t="s">
        <v>483</v>
      </c>
      <c r="C77" s="927">
        <v>1200</v>
      </c>
      <c r="D77" s="927">
        <f t="shared" si="90"/>
        <v>1200</v>
      </c>
      <c r="E77" s="927">
        <f t="shared" si="65"/>
        <v>1200</v>
      </c>
      <c r="F77" s="961">
        <f t="shared" si="82"/>
        <v>1200</v>
      </c>
      <c r="G77" s="965"/>
      <c r="H77" s="932">
        <f t="shared" si="66"/>
        <v>14</v>
      </c>
      <c r="I77" s="927">
        <v>0</v>
      </c>
      <c r="J77" s="1017">
        <f t="shared" si="67"/>
        <v>-1200</v>
      </c>
      <c r="K77" s="927" t="s">
        <v>494</v>
      </c>
      <c r="L77" s="927">
        <v>0</v>
      </c>
      <c r="M77" s="1017">
        <f t="shared" si="68"/>
        <v>-1200</v>
      </c>
      <c r="N77" s="927" t="s">
        <v>494</v>
      </c>
      <c r="O77" s="946"/>
      <c r="P77" s="928">
        <v>0</v>
      </c>
      <c r="Q77" s="1020">
        <f t="shared" si="69"/>
        <v>-1200</v>
      </c>
      <c r="R77" s="928">
        <v>0</v>
      </c>
      <c r="S77" s="1020">
        <f t="shared" si="70"/>
        <v>-1200</v>
      </c>
      <c r="T77" s="1032">
        <f t="shared" si="85"/>
        <v>0</v>
      </c>
      <c r="U77" s="1020">
        <f t="shared" si="71"/>
        <v>-1200</v>
      </c>
      <c r="V77" s="927" t="s">
        <v>494</v>
      </c>
      <c r="W77" s="927">
        <v>0</v>
      </c>
      <c r="X77" s="1020">
        <f t="shared" si="72"/>
        <v>-1200</v>
      </c>
      <c r="Y77" s="961">
        <f t="shared" si="73"/>
        <v>0</v>
      </c>
      <c r="Z77" s="1020">
        <f t="shared" si="74"/>
        <v>-1200</v>
      </c>
      <c r="AA77" s="961">
        <f t="shared" si="84"/>
        <v>0</v>
      </c>
      <c r="AB77" s="1020">
        <f t="shared" si="75"/>
        <v>-1200</v>
      </c>
      <c r="AC77" s="927" t="s">
        <v>494</v>
      </c>
      <c r="AD77" s="928">
        <v>0</v>
      </c>
      <c r="AE77" s="1020">
        <f t="shared" si="76"/>
        <v>-1200</v>
      </c>
      <c r="AF77" s="928">
        <f t="shared" si="86"/>
        <v>0</v>
      </c>
      <c r="AG77" s="1020">
        <f t="shared" si="77"/>
        <v>-1200</v>
      </c>
      <c r="AH77" s="928">
        <f t="shared" si="88"/>
        <v>0</v>
      </c>
      <c r="AI77" s="1020">
        <f t="shared" si="78"/>
        <v>-1200</v>
      </c>
      <c r="AJ77" s="927" t="s">
        <v>494</v>
      </c>
      <c r="AK77" s="927">
        <v>0</v>
      </c>
      <c r="AL77" s="1020">
        <f t="shared" si="79"/>
        <v>-1200</v>
      </c>
      <c r="AM77" s="927">
        <f t="shared" si="87"/>
        <v>0</v>
      </c>
      <c r="AN77" s="1017">
        <f t="shared" si="80"/>
        <v>-1200</v>
      </c>
      <c r="AO77" s="927">
        <f t="shared" si="89"/>
        <v>0</v>
      </c>
      <c r="AP77" s="1017">
        <f t="shared" si="81"/>
        <v>-1200</v>
      </c>
      <c r="AQ77" s="927" t="s">
        <v>494</v>
      </c>
    </row>
    <row r="78" spans="1:43" s="925" customFormat="1">
      <c r="A78" s="930">
        <v>15</v>
      </c>
      <c r="B78" s="925" t="s">
        <v>484</v>
      </c>
      <c r="C78" s="927">
        <v>500000</v>
      </c>
      <c r="D78" s="927">
        <f>C78</f>
        <v>500000</v>
      </c>
      <c r="E78" s="927">
        <f t="shared" si="65"/>
        <v>500000</v>
      </c>
      <c r="F78" s="961">
        <f t="shared" si="82"/>
        <v>500000</v>
      </c>
      <c r="G78" s="965"/>
      <c r="H78" s="932">
        <f t="shared" si="66"/>
        <v>15</v>
      </c>
      <c r="I78" s="927">
        <f>'OPEX - Concept A1'!Q97</f>
        <v>515992.16337552003</v>
      </c>
      <c r="J78" s="927">
        <f t="shared" si="67"/>
        <v>15992.163375520031</v>
      </c>
      <c r="K78" s="927"/>
      <c r="L78" s="927">
        <f>'OPEX - Concept A2'!Q98</f>
        <v>515992.16337552003</v>
      </c>
      <c r="M78" s="927">
        <f t="shared" si="68"/>
        <v>15992.163375520031</v>
      </c>
      <c r="N78" s="927"/>
      <c r="O78" s="946"/>
      <c r="P78" s="928">
        <f>'OPEX - Concept B2 - NCLH'!Q97</f>
        <v>515992.16337552003</v>
      </c>
      <c r="Q78" s="928">
        <f t="shared" si="69"/>
        <v>15992.163375520031</v>
      </c>
      <c r="R78" s="928">
        <f>'OPEX - Concept B2 - RCCL'!Q97</f>
        <v>515992.16337552003</v>
      </c>
      <c r="S78" s="928">
        <f t="shared" si="70"/>
        <v>15992.163375520031</v>
      </c>
      <c r="T78" s="1032">
        <f t="shared" si="85"/>
        <v>515992.16337552003</v>
      </c>
      <c r="U78" s="928">
        <f t="shared" si="71"/>
        <v>15992.163375520031</v>
      </c>
      <c r="V78" s="927"/>
      <c r="W78" s="927">
        <f>'OPEX - Concept B3 - NCLH'!Q98</f>
        <v>515992.16337552003</v>
      </c>
      <c r="X78" s="928">
        <f t="shared" si="72"/>
        <v>15992.163375520031</v>
      </c>
      <c r="Y78" s="961">
        <f t="shared" si="73"/>
        <v>515992.16337552003</v>
      </c>
      <c r="Z78" s="928">
        <f t="shared" si="74"/>
        <v>15992.163375520031</v>
      </c>
      <c r="AA78" s="961">
        <f t="shared" si="84"/>
        <v>515992.16337552003</v>
      </c>
      <c r="AB78" s="928">
        <f t="shared" si="75"/>
        <v>15992.163375520031</v>
      </c>
      <c r="AC78" s="927"/>
      <c r="AD78" s="928">
        <f>'OPEX - Concept C1 - NCLH'!Q97</f>
        <v>515992.16337552003</v>
      </c>
      <c r="AE78" s="928">
        <f t="shared" si="76"/>
        <v>15992.163375520031</v>
      </c>
      <c r="AF78" s="928">
        <f t="shared" si="86"/>
        <v>515992.16337552003</v>
      </c>
      <c r="AG78" s="928">
        <f t="shared" si="77"/>
        <v>15992.163375520031</v>
      </c>
      <c r="AH78" s="928">
        <f t="shared" si="88"/>
        <v>515992.16337552003</v>
      </c>
      <c r="AI78" s="928">
        <f t="shared" si="78"/>
        <v>15992.163375520031</v>
      </c>
      <c r="AJ78" s="927"/>
      <c r="AK78" s="927">
        <f>'OPEX - Concept C2 - NCLH'!Q98</f>
        <v>515992.16337552003</v>
      </c>
      <c r="AL78" s="928">
        <f t="shared" si="79"/>
        <v>15992.163375520031</v>
      </c>
      <c r="AM78" s="927">
        <f t="shared" si="87"/>
        <v>515992.16337552003</v>
      </c>
      <c r="AN78" s="927">
        <f t="shared" si="80"/>
        <v>15992.163375520031</v>
      </c>
      <c r="AO78" s="927">
        <f t="shared" si="89"/>
        <v>515992.16337552003</v>
      </c>
      <c r="AP78" s="927">
        <f t="shared" si="81"/>
        <v>15992.163375520031</v>
      </c>
      <c r="AQ78" s="927"/>
    </row>
    <row r="79" spans="1:43" s="925" customFormat="1">
      <c r="A79" s="956">
        <v>16</v>
      </c>
      <c r="B79" s="941" t="s">
        <v>486</v>
      </c>
      <c r="C79" s="942">
        <v>0</v>
      </c>
      <c r="D79" s="942">
        <v>125000</v>
      </c>
      <c r="E79" s="942">
        <f>D79</f>
        <v>125000</v>
      </c>
      <c r="F79" s="961">
        <f t="shared" si="82"/>
        <v>125000</v>
      </c>
      <c r="G79" s="966"/>
      <c r="H79" s="964">
        <f t="shared" si="66"/>
        <v>16</v>
      </c>
      <c r="I79" s="942">
        <v>0</v>
      </c>
      <c r="J79" s="1017">
        <f t="shared" si="67"/>
        <v>-125000</v>
      </c>
      <c r="K79" s="942" t="s">
        <v>218</v>
      </c>
      <c r="L79" s="927">
        <v>0</v>
      </c>
      <c r="M79" s="1017">
        <f t="shared" si="68"/>
        <v>-125000</v>
      </c>
      <c r="N79" s="942" t="s">
        <v>218</v>
      </c>
      <c r="O79" s="957"/>
      <c r="P79" s="1033">
        <v>0</v>
      </c>
      <c r="Q79" s="1020">
        <f t="shared" si="69"/>
        <v>-125000</v>
      </c>
      <c r="R79" s="928">
        <v>0</v>
      </c>
      <c r="S79" s="1020">
        <f t="shared" si="70"/>
        <v>-125000</v>
      </c>
      <c r="T79" s="1032">
        <f t="shared" si="85"/>
        <v>0</v>
      </c>
      <c r="U79" s="1020">
        <f t="shared" si="71"/>
        <v>-125000</v>
      </c>
      <c r="V79" s="942" t="s">
        <v>218</v>
      </c>
      <c r="W79" s="942">
        <v>0</v>
      </c>
      <c r="X79" s="1020">
        <f t="shared" si="72"/>
        <v>-125000</v>
      </c>
      <c r="Y79" s="961">
        <f t="shared" si="73"/>
        <v>0</v>
      </c>
      <c r="Z79" s="1020">
        <f t="shared" si="74"/>
        <v>-125000</v>
      </c>
      <c r="AA79" s="961">
        <f t="shared" si="84"/>
        <v>0</v>
      </c>
      <c r="AB79" s="1020">
        <f t="shared" si="75"/>
        <v>-125000</v>
      </c>
      <c r="AC79" s="942" t="s">
        <v>218</v>
      </c>
      <c r="AD79" s="1033">
        <v>0</v>
      </c>
      <c r="AE79" s="1020">
        <f t="shared" si="76"/>
        <v>-125000</v>
      </c>
      <c r="AF79" s="928">
        <f t="shared" si="86"/>
        <v>0</v>
      </c>
      <c r="AG79" s="1020">
        <f t="shared" si="77"/>
        <v>-125000</v>
      </c>
      <c r="AH79" s="928">
        <f t="shared" si="88"/>
        <v>0</v>
      </c>
      <c r="AI79" s="1020">
        <f t="shared" si="78"/>
        <v>-125000</v>
      </c>
      <c r="AJ79" s="942"/>
      <c r="AK79" s="942">
        <v>0</v>
      </c>
      <c r="AL79" s="1020">
        <f t="shared" si="79"/>
        <v>-125000</v>
      </c>
      <c r="AM79" s="927">
        <f t="shared" si="87"/>
        <v>0</v>
      </c>
      <c r="AN79" s="1017">
        <f t="shared" si="80"/>
        <v>-125000</v>
      </c>
      <c r="AO79" s="927">
        <f t="shared" si="89"/>
        <v>0</v>
      </c>
      <c r="AP79" s="1017">
        <f t="shared" si="81"/>
        <v>-125000</v>
      </c>
      <c r="AQ79" s="942" t="s">
        <v>593</v>
      </c>
    </row>
    <row r="80" spans="1:43" s="925" customFormat="1">
      <c r="A80" s="956">
        <v>17</v>
      </c>
      <c r="B80" s="941" t="s">
        <v>519</v>
      </c>
      <c r="C80" s="942">
        <v>0</v>
      </c>
      <c r="D80" s="942">
        <v>0</v>
      </c>
      <c r="E80" s="942">
        <v>0</v>
      </c>
      <c r="F80" s="961">
        <f t="shared" si="82"/>
        <v>0</v>
      </c>
      <c r="G80" s="966"/>
      <c r="H80" s="964">
        <f t="shared" si="66"/>
        <v>17</v>
      </c>
      <c r="I80" s="942">
        <f>'OPEX - Concept A1'!Q79</f>
        <v>162906.04007999998</v>
      </c>
      <c r="J80" s="927">
        <f t="shared" si="67"/>
        <v>162906.04007999998</v>
      </c>
      <c r="K80" s="942"/>
      <c r="L80" s="942">
        <f>'OPEX - Concept A2'!Q80</f>
        <v>185637.11543999997</v>
      </c>
      <c r="M80" s="927">
        <f t="shared" si="68"/>
        <v>185637.11543999997</v>
      </c>
      <c r="N80" s="942"/>
      <c r="O80" s="957"/>
      <c r="P80" s="1033">
        <f>'OPEX - Concept B2 - NCLH'!Q79</f>
        <v>162906.04007999998</v>
      </c>
      <c r="Q80" s="928">
        <f t="shared" si="69"/>
        <v>162906.04007999998</v>
      </c>
      <c r="R80" s="928">
        <f>'OPEX - Concept B2 - RCCL'!Q79</f>
        <v>162906.04007999998</v>
      </c>
      <c r="S80" s="928">
        <f t="shared" si="70"/>
        <v>162906.04007999998</v>
      </c>
      <c r="T80" s="1032">
        <f t="shared" si="85"/>
        <v>162906.04007999998</v>
      </c>
      <c r="U80" s="928">
        <f t="shared" si="71"/>
        <v>162906.04007999998</v>
      </c>
      <c r="V80" s="957"/>
      <c r="W80" s="942">
        <f>'OPEX - Concept B3 - NCLH'!Q80</f>
        <v>185637.11543999997</v>
      </c>
      <c r="X80" s="928">
        <f t="shared" si="72"/>
        <v>185637.11543999997</v>
      </c>
      <c r="Y80" s="961">
        <f t="shared" si="73"/>
        <v>185637.11543999997</v>
      </c>
      <c r="Z80" s="928">
        <f t="shared" si="74"/>
        <v>185637.11543999997</v>
      </c>
      <c r="AA80" s="961">
        <f t="shared" si="84"/>
        <v>185637.11543999997</v>
      </c>
      <c r="AB80" s="928">
        <f t="shared" si="75"/>
        <v>185637.11543999997</v>
      </c>
      <c r="AC80" s="957"/>
      <c r="AD80" s="1033">
        <f>'OPEX - Concept C1 - NCLH'!Q79</f>
        <v>162906.04007999998</v>
      </c>
      <c r="AE80" s="928">
        <f t="shared" si="76"/>
        <v>162906.04007999998</v>
      </c>
      <c r="AF80" s="928">
        <f t="shared" si="86"/>
        <v>162906.04007999998</v>
      </c>
      <c r="AG80" s="928">
        <f t="shared" si="77"/>
        <v>162906.04007999998</v>
      </c>
      <c r="AH80" s="928">
        <f t="shared" si="88"/>
        <v>162906.04007999998</v>
      </c>
      <c r="AI80" s="928">
        <f t="shared" si="78"/>
        <v>162906.04007999998</v>
      </c>
      <c r="AJ80" s="957"/>
      <c r="AK80" s="942">
        <f>'OPEX - Concept C2 - NCLH'!Q80</f>
        <v>185637.11543999997</v>
      </c>
      <c r="AL80" s="928">
        <f t="shared" si="79"/>
        <v>185637.11543999997</v>
      </c>
      <c r="AM80" s="927">
        <f t="shared" si="87"/>
        <v>185637.11543999997</v>
      </c>
      <c r="AN80" s="927">
        <f t="shared" si="80"/>
        <v>185637.11543999997</v>
      </c>
      <c r="AO80" s="927">
        <f t="shared" si="89"/>
        <v>185637.11543999997</v>
      </c>
      <c r="AP80" s="927">
        <f t="shared" si="81"/>
        <v>185637.11543999997</v>
      </c>
      <c r="AQ80" s="957"/>
    </row>
    <row r="81" spans="1:43" s="925" customFormat="1">
      <c r="A81" s="943">
        <v>18</v>
      </c>
      <c r="B81" s="944" t="s">
        <v>520</v>
      </c>
      <c r="C81" s="945">
        <v>0</v>
      </c>
      <c r="D81" s="945">
        <v>0</v>
      </c>
      <c r="E81" s="945">
        <v>0</v>
      </c>
      <c r="F81" s="1003">
        <f t="shared" si="82"/>
        <v>0</v>
      </c>
      <c r="G81" s="967"/>
      <c r="H81" s="968">
        <v>19</v>
      </c>
      <c r="I81" s="945">
        <f>('OPEX - Concept A1'!Q100+'OPEX - Concept A1'!Q131+'OPEX - Concept A1'!Q154)-I78</f>
        <v>269014.27655875939</v>
      </c>
      <c r="J81" s="945">
        <f t="shared" si="67"/>
        <v>269014.27655875939</v>
      </c>
      <c r="K81" s="945"/>
      <c r="L81" s="945">
        <f>('OPEX - Concept A2'!Q101+'OPEX - Concept A2'!Q132+'OPEX - Concept A2'!Q155)-L78</f>
        <v>269842.33716115938</v>
      </c>
      <c r="M81" s="945">
        <f t="shared" si="68"/>
        <v>269842.33716115938</v>
      </c>
      <c r="N81" s="945"/>
      <c r="O81" s="947"/>
      <c r="P81" s="1004">
        <f>('OPEX - Concept B2 - NCLH'!Q100+'OPEX - Concept B2 - NCLH'!Q131+'OPEX - Concept B2 - NCLH'!Q154)-P78</f>
        <v>269014.27655875939</v>
      </c>
      <c r="Q81" s="1004">
        <f t="shared" si="69"/>
        <v>269014.27655875939</v>
      </c>
      <c r="R81" s="1004">
        <f>('OPEX - Concept B2 - RCCL'!Q100+'OPEX - Concept B2 - RCCL'!Q131+'OPEX - Concept B2 - RCCL'!Q154)-R78</f>
        <v>269014.27655875939</v>
      </c>
      <c r="S81" s="1004">
        <f t="shared" si="70"/>
        <v>269014.27655875939</v>
      </c>
      <c r="T81" s="1037">
        <f t="shared" si="85"/>
        <v>269014.27655875939</v>
      </c>
      <c r="U81" s="1004">
        <f t="shared" si="71"/>
        <v>269014.27655875939</v>
      </c>
      <c r="V81" s="947"/>
      <c r="W81" s="945">
        <f>('OPEX - Concept B3 - NCLH'!Q101+'OPEX - Concept B3 - NCLH'!Q132+'OPEX - Concept B3 - NCLH'!Q155)-W78</f>
        <v>269842.33716115938</v>
      </c>
      <c r="X81" s="1004">
        <f t="shared" si="72"/>
        <v>269842.33716115938</v>
      </c>
      <c r="Y81" s="1003">
        <f t="shared" si="73"/>
        <v>269842.33716115938</v>
      </c>
      <c r="Z81" s="1004">
        <f t="shared" si="74"/>
        <v>269842.33716115938</v>
      </c>
      <c r="AA81" s="1003">
        <f t="shared" si="84"/>
        <v>269842.33716115938</v>
      </c>
      <c r="AB81" s="1004">
        <f t="shared" si="75"/>
        <v>269842.33716115938</v>
      </c>
      <c r="AC81" s="947"/>
      <c r="AD81" s="1004">
        <f>('OPEX - Concept C1 - NCLH'!Q100+'OPEX - Concept C1 - NCLH'!Q131+'OPEX - Concept C1 - NCLH'!Q154)-AD78</f>
        <v>269014.27655875939</v>
      </c>
      <c r="AE81" s="1004">
        <f t="shared" si="76"/>
        <v>269014.27655875939</v>
      </c>
      <c r="AF81" s="1004">
        <f t="shared" si="86"/>
        <v>269014.27655875939</v>
      </c>
      <c r="AG81" s="1004">
        <f t="shared" si="77"/>
        <v>269014.27655875939</v>
      </c>
      <c r="AH81" s="1004">
        <f t="shared" si="88"/>
        <v>269014.27655875939</v>
      </c>
      <c r="AI81" s="1004">
        <f t="shared" si="78"/>
        <v>269014.27655875939</v>
      </c>
      <c r="AJ81" s="947"/>
      <c r="AK81" s="945">
        <f>'OPEX - Concept C2 - NCLH'!Q101+'OPEX - Concept C2 - NCLH'!Q132+'OPEX - Concept C2 - NCLH'!Q155-AK78</f>
        <v>269842.33716115938</v>
      </c>
      <c r="AL81" s="1004">
        <f t="shared" si="79"/>
        <v>269842.33716115938</v>
      </c>
      <c r="AM81" s="945">
        <f t="shared" si="87"/>
        <v>269842.33716115938</v>
      </c>
      <c r="AN81" s="945">
        <f t="shared" si="80"/>
        <v>269842.33716115938</v>
      </c>
      <c r="AO81" s="945">
        <f t="shared" si="89"/>
        <v>269842.33716115938</v>
      </c>
      <c r="AP81" s="945">
        <f t="shared" si="81"/>
        <v>269842.33716115938</v>
      </c>
      <c r="AQ81" s="947"/>
    </row>
    <row r="82" spans="1:43" s="934" customFormat="1">
      <c r="A82" s="933"/>
      <c r="B82" s="950" t="s">
        <v>514</v>
      </c>
      <c r="C82" s="951">
        <f>SUM(C64:C81)</f>
        <v>599200</v>
      </c>
      <c r="D82" s="951">
        <f t="shared" ref="D82:F82" si="91">SUM(D64:D81)</f>
        <v>724200</v>
      </c>
      <c r="E82" s="951">
        <f t="shared" si="91"/>
        <v>734200</v>
      </c>
      <c r="F82" s="951">
        <f t="shared" si="91"/>
        <v>734200</v>
      </c>
      <c r="G82" s="969"/>
      <c r="I82" s="935">
        <f>SUM(I64:I81)</f>
        <v>1021865.8688337194</v>
      </c>
      <c r="J82" s="927">
        <f t="shared" si="67"/>
        <v>287665.8688337194</v>
      </c>
      <c r="L82" s="935">
        <f>SUM(L64:L81)</f>
        <v>1062137.7573465193</v>
      </c>
      <c r="M82" s="927">
        <f t="shared" si="68"/>
        <v>327937.75734651927</v>
      </c>
      <c r="O82" s="952"/>
      <c r="P82" s="973">
        <f>SUM(P64:P81)</f>
        <v>1028241.3942561194</v>
      </c>
      <c r="Q82" s="928">
        <f t="shared" si="69"/>
        <v>294041.39425611938</v>
      </c>
      <c r="R82" s="1038">
        <f>SUM(R64:R81)</f>
        <v>1028241.3942561194</v>
      </c>
      <c r="S82" s="928">
        <f t="shared" si="70"/>
        <v>294041.39425611938</v>
      </c>
      <c r="T82" s="1007">
        <f>SUM(T64:T81)</f>
        <v>1028241.3942561194</v>
      </c>
      <c r="U82" s="928">
        <f t="shared" si="71"/>
        <v>294041.39425611938</v>
      </c>
      <c r="V82" s="952"/>
      <c r="W82" s="935">
        <f>SUM(W64:W81)</f>
        <v>1070450.8363353193</v>
      </c>
      <c r="X82" s="928">
        <f t="shared" si="72"/>
        <v>336250.83633531933</v>
      </c>
      <c r="Y82" s="935">
        <f>SUM(Y64:Y81)</f>
        <v>1070450.8363353193</v>
      </c>
      <c r="Z82" s="928">
        <f t="shared" si="74"/>
        <v>336250.83633531933</v>
      </c>
      <c r="AA82" s="935">
        <f>SUM(AA64:AA81)</f>
        <v>1070450.8363353193</v>
      </c>
      <c r="AB82" s="928">
        <f t="shared" si="75"/>
        <v>336250.83633531933</v>
      </c>
      <c r="AC82" s="952"/>
      <c r="AD82" s="973">
        <f>SUM(AD64:AD81)</f>
        <v>1078499.2606609995</v>
      </c>
      <c r="AE82" s="928">
        <f t="shared" si="76"/>
        <v>344299.26066099945</v>
      </c>
      <c r="AF82" s="973">
        <f>SUM(AF64:AF81)</f>
        <v>1078499.2606609995</v>
      </c>
      <c r="AG82" s="928">
        <f t="shared" si="77"/>
        <v>344299.26066099945</v>
      </c>
      <c r="AH82" s="973">
        <f>SUM(AH64:AH81)</f>
        <v>1078499.2606609995</v>
      </c>
      <c r="AI82" s="928">
        <f t="shared" si="78"/>
        <v>344299.26066099945</v>
      </c>
      <c r="AJ82" s="952"/>
      <c r="AK82" s="935">
        <f>SUM(AK64:AK81)</f>
        <v>1113348.1640521993</v>
      </c>
      <c r="AL82" s="928">
        <f t="shared" si="79"/>
        <v>379148.16405219934</v>
      </c>
      <c r="AM82" s="935">
        <f>SUM(AM64:AM81)</f>
        <v>1113348.1640521993</v>
      </c>
      <c r="AN82" s="927">
        <f t="shared" si="80"/>
        <v>379148.16405219934</v>
      </c>
      <c r="AO82" s="935">
        <f>SUM(AO64:AO81)</f>
        <v>1113348.1640521993</v>
      </c>
      <c r="AP82" s="927">
        <f t="shared" si="81"/>
        <v>379148.16405219934</v>
      </c>
      <c r="AQ82" s="952"/>
    </row>
    <row r="83" spans="1:43" s="925" customFormat="1">
      <c r="G83" s="965"/>
      <c r="J83" s="1017"/>
      <c r="K83" s="961"/>
      <c r="L83" s="927"/>
      <c r="M83" s="927"/>
      <c r="O83" s="946"/>
      <c r="P83" s="928"/>
      <c r="Q83" s="928"/>
      <c r="R83" s="1039"/>
      <c r="S83" s="928"/>
      <c r="T83" s="1032"/>
      <c r="U83" s="928"/>
      <c r="V83" s="946"/>
      <c r="W83" s="927"/>
      <c r="X83" s="928"/>
      <c r="Z83" s="928"/>
      <c r="AB83" s="928"/>
      <c r="AC83" s="946"/>
      <c r="AD83" s="928"/>
      <c r="AE83" s="928"/>
      <c r="AF83" s="928"/>
      <c r="AG83" s="928"/>
      <c r="AH83" s="928"/>
      <c r="AI83" s="928"/>
      <c r="AJ83" s="946"/>
      <c r="AK83" s="927"/>
      <c r="AL83" s="928"/>
      <c r="AM83" s="927"/>
      <c r="AN83" s="927"/>
      <c r="AO83" s="927"/>
      <c r="AP83" s="927"/>
      <c r="AQ83" s="946"/>
    </row>
    <row r="84" spans="1:43" s="923" customFormat="1">
      <c r="A84" s="923" t="s">
        <v>528</v>
      </c>
      <c r="C84" s="959">
        <f>C19-C58-C82</f>
        <v>-145076.28000000003</v>
      </c>
      <c r="D84" s="954">
        <f>D19-D58-D82</f>
        <v>426300</v>
      </c>
      <c r="E84" s="954">
        <f>E19-E58-E82</f>
        <v>308529</v>
      </c>
      <c r="F84" s="959">
        <f>F19-F58-F82</f>
        <v>-155076.28000000003</v>
      </c>
      <c r="G84" s="953"/>
      <c r="I84" s="959">
        <f>I19-I58-I82</f>
        <v>-825118.96165678336</v>
      </c>
      <c r="J84" s="1017">
        <f>I84-F84</f>
        <v>-670042.68165678333</v>
      </c>
      <c r="K84" s="959"/>
      <c r="L84" s="959">
        <f>L19-L58-L82</f>
        <v>-694174.12652749568</v>
      </c>
      <c r="M84" s="1017">
        <f>L84-F84</f>
        <v>-539097.84652749565</v>
      </c>
      <c r="N84" s="961"/>
      <c r="O84" s="959"/>
      <c r="P84" s="1005">
        <f>P19-P58-P82</f>
        <v>-449021.66851606872</v>
      </c>
      <c r="Q84" s="1020">
        <f>P84-F84</f>
        <v>-293945.38851606869</v>
      </c>
      <c r="R84" s="1005">
        <f>R19-R58-R82</f>
        <v>-166950.13441254734</v>
      </c>
      <c r="S84" s="928">
        <f>R84-F84</f>
        <v>-11873.854412547313</v>
      </c>
      <c r="T84" s="1007">
        <f>T19-T58-T82</f>
        <v>-44485.033359941095</v>
      </c>
      <c r="U84" s="928">
        <f>T84-F84</f>
        <v>110591.24664005893</v>
      </c>
      <c r="V84" s="961"/>
      <c r="W84" s="1009">
        <f>W19-W58-W82</f>
        <v>-378061.9486048671</v>
      </c>
      <c r="X84" s="928">
        <f>W84-F84</f>
        <v>-222985.66860486707</v>
      </c>
      <c r="Y84" s="1009">
        <f>Y19-Y58-Y82</f>
        <v>-95990.414501345716</v>
      </c>
      <c r="Z84" s="928">
        <f>Y84-F84</f>
        <v>59085.865498654312</v>
      </c>
      <c r="AA84" s="935">
        <f>AA19-AA58-AA82</f>
        <v>26474.686551260529</v>
      </c>
      <c r="AB84" s="928">
        <f>AA84-F84</f>
        <v>181550.96655126056</v>
      </c>
      <c r="AC84" s="952"/>
      <c r="AD84" s="1018">
        <f>AD19-AD58-AD82</f>
        <v>-327458.61809872673</v>
      </c>
      <c r="AE84" s="1020">
        <f>AD84-F84</f>
        <v>-172382.3380987267</v>
      </c>
      <c r="AF84" s="1018">
        <f>AF19-AF58-AF82</f>
        <v>-45387.083995205117</v>
      </c>
      <c r="AG84" s="928">
        <f>AF84-F84</f>
        <v>109689.19600479491</v>
      </c>
      <c r="AH84" s="973">
        <f>AH19-AH58-AH82</f>
        <v>77078.017057400895</v>
      </c>
      <c r="AI84" s="928">
        <f>AH84-F84</f>
        <v>232154.29705740092</v>
      </c>
      <c r="AJ84" s="952"/>
      <c r="AK84" s="1009">
        <f>AK19-AK58-AK82</f>
        <v>-242046.1239430398</v>
      </c>
      <c r="AL84" s="1020">
        <f>AK84-F84</f>
        <v>-86969.84394303977</v>
      </c>
      <c r="AM84" s="1013">
        <f>AM19-AM58-AM82</f>
        <v>40025.410160481697</v>
      </c>
      <c r="AN84" s="927">
        <f>AM84-F84</f>
        <v>195101.69016048172</v>
      </c>
      <c r="AO84" s="1013">
        <f>AO19-AO58-AO82</f>
        <v>162490.51121308818</v>
      </c>
      <c r="AP84" s="927">
        <f>AO84-F84</f>
        <v>317566.7912130882</v>
      </c>
      <c r="AQ84" s="952"/>
    </row>
    <row r="85" spans="1:43">
      <c r="K85" s="929"/>
      <c r="N85" s="929"/>
      <c r="V85" s="927"/>
      <c r="W85" s="926"/>
      <c r="X85" s="926"/>
      <c r="AD85" s="1043"/>
      <c r="AE85" s="1043"/>
      <c r="AF85" s="1043"/>
      <c r="AG85" s="1043"/>
      <c r="AH85" s="1043"/>
      <c r="AI85" s="1043"/>
      <c r="AK85" s="926"/>
      <c r="AL85" s="926"/>
      <c r="AM85" s="926"/>
      <c r="AN85" s="926"/>
      <c r="AO85" s="926"/>
      <c r="AP85" s="926"/>
    </row>
    <row r="86" spans="1:43" s="946" customFormat="1">
      <c r="B86" s="946" t="s">
        <v>534</v>
      </c>
      <c r="G86" s="1002"/>
      <c r="I86" s="977">
        <f>'P&amp;L - Concept A1'!J174</f>
        <v>-825118.96165678313</v>
      </c>
      <c r="J86" s="977"/>
      <c r="L86" s="977">
        <f>'P&amp;L - Concept A2'!J174</f>
        <v>-694174.12652749592</v>
      </c>
      <c r="M86" s="977"/>
      <c r="N86" s="1010"/>
      <c r="P86" s="1006">
        <f>'P&amp;L - Concept B2 - NCLH'!J174</f>
        <v>-449021.66851606895</v>
      </c>
      <c r="Q86" s="1006"/>
      <c r="R86" s="1006">
        <f>'P&amp;L - Concept B2 - RCCL'!J174</f>
        <v>-166950.13441254734</v>
      </c>
      <c r="S86" s="1006"/>
      <c r="T86" s="1041">
        <f>'P&amp;L - Concept B2 - Carnival'!J174</f>
        <v>-44485.033359941095</v>
      </c>
      <c r="U86" s="1041"/>
      <c r="V86" s="977"/>
      <c r="W86" s="948">
        <f>'P&amp;L - Concept B3 - NCLH'!J174</f>
        <v>-378061.94860486721</v>
      </c>
      <c r="X86" s="948"/>
      <c r="Y86" s="948">
        <f>'P&amp;L - Concept B3 - RCCL'!J174</f>
        <v>-95990.414501345833</v>
      </c>
      <c r="Z86" s="948"/>
      <c r="AA86" s="948">
        <f>'P&amp;L - Concept B3 - Carnival'!J174</f>
        <v>26474.686551260296</v>
      </c>
      <c r="AB86" s="948"/>
      <c r="AD86" s="1041">
        <f>'P&amp;L - Concept C1 - NCLH'!J175</f>
        <v>-327458.61809872673</v>
      </c>
      <c r="AE86" s="1041"/>
      <c r="AF86" s="1041">
        <f>'P&amp;L - Concept C1 - RCCL'!J175</f>
        <v>-45387.083995205117</v>
      </c>
      <c r="AG86" s="1041"/>
      <c r="AH86" s="1041">
        <f>'P&amp;L - Concept C1 - Carnival'!J175</f>
        <v>77078.017057400895</v>
      </c>
      <c r="AI86" s="1041"/>
      <c r="AK86" s="948">
        <f>'P&amp;L - Concept C2 - NCLH'!J175</f>
        <v>-242046.12394303991</v>
      </c>
      <c r="AL86" s="948"/>
      <c r="AM86" s="948">
        <f>'P&amp;L - Concept C2 - RCCL'!J175</f>
        <v>40025.410160481813</v>
      </c>
      <c r="AN86" s="948"/>
      <c r="AO86" s="948">
        <f>'P&amp;L - Concept C2 - Carnival'!J175</f>
        <v>162490.51121308736</v>
      </c>
      <c r="AP86" s="948"/>
    </row>
    <row r="87" spans="1:43">
      <c r="N87" s="1011"/>
      <c r="V87" s="977"/>
      <c r="AD87" s="1043"/>
      <c r="AE87" s="1043"/>
      <c r="AF87" s="1043"/>
      <c r="AG87" s="1043"/>
      <c r="AH87" s="1043"/>
      <c r="AI87" s="1043"/>
      <c r="AK87" s="926"/>
      <c r="AL87" s="926"/>
      <c r="AM87" s="926"/>
      <c r="AN87" s="926"/>
      <c r="AO87" s="926"/>
      <c r="AP87" s="926"/>
    </row>
    <row r="88" spans="1:43">
      <c r="F88" s="1011">
        <f>SUM(F58,F82)</f>
        <v>1305576.28</v>
      </c>
      <c r="G88" s="1085"/>
      <c r="H88" s="1011"/>
      <c r="I88" s="1011">
        <f>SUM(I58,I82)</f>
        <v>1831767.1088337195</v>
      </c>
      <c r="J88" s="1011">
        <f>SUM(J58,J82)</f>
        <v>526190.82883371937</v>
      </c>
      <c r="K88" s="1011"/>
      <c r="L88" s="1011">
        <f>SUM(L58,L82)</f>
        <v>1974710.5173465193</v>
      </c>
      <c r="M88" s="1011">
        <f>SUM(M58,M82)</f>
        <v>669134.23734651925</v>
      </c>
      <c r="N88" s="1011"/>
      <c r="O88" s="1011"/>
      <c r="P88" s="1011">
        <f t="shared" ref="P88:U88" si="92">SUM(P58,P82)</f>
        <v>1865536.5942561193</v>
      </c>
      <c r="Q88" s="1011">
        <f t="shared" si="92"/>
        <v>559960.31425611931</v>
      </c>
      <c r="R88" s="1011">
        <f t="shared" si="92"/>
        <v>1865536.5942561193</v>
      </c>
      <c r="S88" s="1011">
        <f t="shared" si="92"/>
        <v>559960.31425611931</v>
      </c>
      <c r="T88" s="1011">
        <f t="shared" si="92"/>
        <v>1865536.5942561193</v>
      </c>
      <c r="U88" s="1011">
        <f t="shared" si="92"/>
        <v>559960.31425611931</v>
      </c>
      <c r="V88" s="1011"/>
      <c r="W88" s="1011">
        <f t="shared" ref="W88:AB88" si="93">SUM(W58,W82)</f>
        <v>2023446.7963353193</v>
      </c>
      <c r="X88" s="1011">
        <f t="shared" si="93"/>
        <v>717870.51633531926</v>
      </c>
      <c r="Y88" s="1011">
        <f t="shared" si="93"/>
        <v>2023446.7963353193</v>
      </c>
      <c r="Z88" s="1011">
        <f t="shared" si="93"/>
        <v>717870.51633531926</v>
      </c>
      <c r="AA88" s="1011">
        <f t="shared" si="93"/>
        <v>2023446.7963353193</v>
      </c>
      <c r="AB88" s="1011">
        <f t="shared" si="93"/>
        <v>717870.51633531926</v>
      </c>
      <c r="AC88" s="1011"/>
      <c r="AD88" s="1011">
        <f t="shared" ref="AD88:AI88" si="94">SUM(AD58,AD82)</f>
        <v>1960161.9406609994</v>
      </c>
      <c r="AE88" s="1011">
        <f t="shared" si="94"/>
        <v>654585.66066099936</v>
      </c>
      <c r="AF88" s="1011">
        <f t="shared" si="94"/>
        <v>1960161.9406609994</v>
      </c>
      <c r="AG88" s="1011">
        <f t="shared" si="94"/>
        <v>654585.66066099936</v>
      </c>
      <c r="AH88" s="1011">
        <f t="shared" si="94"/>
        <v>1960161.9406609994</v>
      </c>
      <c r="AI88" s="1011">
        <f t="shared" si="94"/>
        <v>654585.66066099936</v>
      </c>
      <c r="AJ88" s="1011"/>
      <c r="AK88" s="1011">
        <f t="shared" ref="AK88:AP88" si="95">SUM(AK58,AK82)</f>
        <v>2035634.0840521995</v>
      </c>
      <c r="AL88" s="1011">
        <f t="shared" si="95"/>
        <v>730057.80405219935</v>
      </c>
      <c r="AM88" s="1011">
        <f t="shared" si="95"/>
        <v>2035634.0840521995</v>
      </c>
      <c r="AN88" s="1011">
        <f t="shared" si="95"/>
        <v>730057.80405219935</v>
      </c>
      <c r="AO88" s="1011">
        <f t="shared" si="95"/>
        <v>2035634.0840521995</v>
      </c>
      <c r="AP88" s="1011">
        <f t="shared" si="95"/>
        <v>730057.80405219935</v>
      </c>
      <c r="AQ88" s="961"/>
    </row>
    <row r="89" spans="1:43">
      <c r="AC89" s="925"/>
      <c r="AJ89" s="1047"/>
      <c r="AQ89" s="925"/>
    </row>
    <row r="90" spans="1:43">
      <c r="P90" s="1042"/>
      <c r="Q90" s="1042"/>
      <c r="V90" s="961"/>
      <c r="AC90" s="925"/>
      <c r="AJ90" s="961"/>
      <c r="AQ90" s="925"/>
    </row>
    <row r="91" spans="1:43">
      <c r="F91" s="1011">
        <f>F19-F82</f>
        <v>416300</v>
      </c>
      <c r="H91" s="1011"/>
      <c r="I91" s="1133">
        <f t="shared" ref="I91:AP91" si="96">I19-I82</f>
        <v>-15217.721656783368</v>
      </c>
      <c r="J91" s="1133">
        <f>I91-F91</f>
        <v>-431517.72165678337</v>
      </c>
      <c r="K91" s="1011"/>
      <c r="L91" s="1011">
        <f t="shared" si="96"/>
        <v>218398.63347250433</v>
      </c>
      <c r="M91" s="1133">
        <f>L91-F91</f>
        <v>-197901.36652749567</v>
      </c>
      <c r="N91" s="1011"/>
      <c r="O91" s="1011"/>
      <c r="P91" s="1011">
        <f t="shared" si="96"/>
        <v>388273.53148393123</v>
      </c>
      <c r="Q91" s="1133">
        <f t="shared" si="96"/>
        <v>-28026.468516068766</v>
      </c>
      <c r="R91" s="1011">
        <f t="shared" si="96"/>
        <v>670345.06558745261</v>
      </c>
      <c r="S91" s="1011">
        <f t="shared" si="96"/>
        <v>254045.06558745261</v>
      </c>
      <c r="T91" s="1011">
        <f t="shared" si="96"/>
        <v>792810.16664005886</v>
      </c>
      <c r="U91" s="1011">
        <f t="shared" si="96"/>
        <v>376510.16664005886</v>
      </c>
      <c r="V91" s="1011"/>
      <c r="W91" s="1011">
        <f t="shared" si="96"/>
        <v>574934.01139513287</v>
      </c>
      <c r="X91" s="1011">
        <f t="shared" si="96"/>
        <v>158634.01139513287</v>
      </c>
      <c r="Y91" s="1011">
        <f t="shared" si="96"/>
        <v>857005.54549865425</v>
      </c>
      <c r="Z91" s="1011">
        <f t="shared" si="96"/>
        <v>440705.54549865425</v>
      </c>
      <c r="AA91" s="1011">
        <f t="shared" si="96"/>
        <v>979470.64655126049</v>
      </c>
      <c r="AB91" s="1011">
        <f t="shared" si="96"/>
        <v>563170.64655126049</v>
      </c>
      <c r="AC91" s="1011"/>
      <c r="AD91" s="1011">
        <f t="shared" si="96"/>
        <v>554204.06190127321</v>
      </c>
      <c r="AE91" s="1011">
        <f t="shared" si="96"/>
        <v>137904.06190127321</v>
      </c>
      <c r="AF91" s="1011">
        <f t="shared" si="96"/>
        <v>836275.59600479482</v>
      </c>
      <c r="AG91" s="1011">
        <f t="shared" si="96"/>
        <v>419975.59600479482</v>
      </c>
      <c r="AH91" s="1011">
        <f t="shared" si="96"/>
        <v>958740.69705740083</v>
      </c>
      <c r="AI91" s="1011">
        <f t="shared" si="96"/>
        <v>542440.69705740083</v>
      </c>
      <c r="AJ91" s="1011"/>
      <c r="AK91" s="1011">
        <f t="shared" si="96"/>
        <v>680239.79605696024</v>
      </c>
      <c r="AL91" s="1011">
        <f t="shared" si="96"/>
        <v>263939.79605696024</v>
      </c>
      <c r="AM91" s="1011">
        <f t="shared" si="96"/>
        <v>962311.33016048162</v>
      </c>
      <c r="AN91" s="1011">
        <f t="shared" si="96"/>
        <v>546011.33016048162</v>
      </c>
      <c r="AO91" s="1011">
        <f t="shared" si="96"/>
        <v>1084776.4312130881</v>
      </c>
      <c r="AP91" s="1011">
        <f t="shared" si="96"/>
        <v>668476.4312130881</v>
      </c>
      <c r="AQ91" s="961"/>
    </row>
    <row r="92" spans="1:43">
      <c r="Q92" s="1042"/>
      <c r="V92" s="977"/>
      <c r="AC92" s="977"/>
      <c r="AJ92" s="977"/>
      <c r="AQ92" s="977"/>
    </row>
    <row r="93" spans="1:43">
      <c r="AJ93" s="1045"/>
    </row>
    <row r="94" spans="1:43">
      <c r="AJ94" s="977"/>
    </row>
    <row r="95" spans="1:43">
      <c r="AJ95" s="977"/>
    </row>
    <row r="101" spans="29:31">
      <c r="AC101" s="1035"/>
    </row>
    <row r="103" spans="29:31">
      <c r="AC103" s="1035"/>
    </row>
    <row r="104" spans="29:31">
      <c r="AC104" s="1035"/>
    </row>
    <row r="105" spans="29:31">
      <c r="AC105" s="1035"/>
    </row>
    <row r="106" spans="29:31">
      <c r="AC106" s="1035"/>
    </row>
    <row r="107" spans="29:31">
      <c r="AC107" s="1035"/>
    </row>
    <row r="108" spans="29:31">
      <c r="AC108" s="1035"/>
    </row>
    <row r="109" spans="29:31">
      <c r="AC109" s="1035"/>
    </row>
    <row r="110" spans="29:31">
      <c r="AC110" s="1035"/>
      <c r="AD110" s="1044"/>
      <c r="AE110" s="1044"/>
    </row>
    <row r="120" spans="22:22">
      <c r="V120" s="1035"/>
    </row>
    <row r="122" spans="22:22">
      <c r="V122" s="1035"/>
    </row>
    <row r="123" spans="22:22">
      <c r="V123" s="1035"/>
    </row>
    <row r="124" spans="22:22">
      <c r="V124" s="1035"/>
    </row>
    <row r="125" spans="22:22">
      <c r="V125" s="1035"/>
    </row>
    <row r="126" spans="22:22">
      <c r="V126" s="1035"/>
    </row>
    <row r="127" spans="22:22">
      <c r="V127" s="1035"/>
    </row>
    <row r="128" spans="22:22">
      <c r="V128" s="1035"/>
    </row>
    <row r="129" spans="22:24">
      <c r="V129" s="1035"/>
      <c r="W129" s="1036"/>
      <c r="X129" s="1036"/>
    </row>
    <row r="131" spans="22:24">
      <c r="V131" s="1035"/>
    </row>
    <row r="132" spans="22:24">
      <c r="V132" s="1035"/>
    </row>
    <row r="133" spans="22:24">
      <c r="V133" s="1035"/>
    </row>
    <row r="134" spans="22:24">
      <c r="V134" s="1035"/>
    </row>
    <row r="135" spans="22:24">
      <c r="V135" s="1035"/>
    </row>
    <row r="136" spans="22:24">
      <c r="V136" s="1035"/>
    </row>
    <row r="137" spans="22:24">
      <c r="V137" s="1035"/>
    </row>
    <row r="138" spans="22:24">
      <c r="V138" s="1035"/>
    </row>
    <row r="139" spans="22:24">
      <c r="V139" s="1035"/>
    </row>
    <row r="140" spans="22:24">
      <c r="V140" s="1035"/>
      <c r="W140" s="1036"/>
      <c r="X140" s="1036"/>
    </row>
    <row r="142" spans="22:24">
      <c r="V142" s="1035"/>
    </row>
    <row r="144" spans="22:24">
      <c r="V144" s="1035"/>
    </row>
    <row r="145" spans="22:24">
      <c r="V145" s="1035"/>
    </row>
    <row r="146" spans="22:24">
      <c r="V146" s="1035"/>
    </row>
    <row r="147" spans="22:24">
      <c r="V147" s="1035"/>
    </row>
    <row r="148" spans="22:24">
      <c r="V148" s="1035"/>
    </row>
    <row r="149" spans="22:24">
      <c r="V149" s="1035"/>
    </row>
    <row r="150" spans="22:24">
      <c r="V150" s="1035"/>
    </row>
    <row r="151" spans="22:24">
      <c r="V151" s="1035"/>
      <c r="W151" s="1036"/>
      <c r="X151" s="1036"/>
    </row>
    <row r="153" spans="22:24">
      <c r="V153" s="1035"/>
    </row>
    <row r="155" spans="22:24">
      <c r="V155" s="1035"/>
    </row>
    <row r="156" spans="22:24">
      <c r="V156" s="1035"/>
    </row>
    <row r="157" spans="22:24">
      <c r="V157" s="1035"/>
    </row>
    <row r="158" spans="22:24">
      <c r="V158" s="1035"/>
    </row>
    <row r="159" spans="22:24">
      <c r="V159" s="1035"/>
    </row>
    <row r="160" spans="22:24">
      <c r="V160" s="1035"/>
    </row>
    <row r="161" spans="22:24">
      <c r="V161" s="1035"/>
    </row>
    <row r="162" spans="22:24">
      <c r="V162" s="1035"/>
      <c r="W162" s="1036"/>
      <c r="X162" s="1036"/>
    </row>
    <row r="164" spans="22:24">
      <c r="V164" s="1035"/>
    </row>
    <row r="165" spans="22:24">
      <c r="V165" s="1035"/>
    </row>
    <row r="166" spans="22:24">
      <c r="V166" s="1035"/>
    </row>
    <row r="167" spans="22:24">
      <c r="V167" s="1035"/>
    </row>
    <row r="168" spans="22:24">
      <c r="V168" s="1035"/>
    </row>
    <row r="169" spans="22:24">
      <c r="V169" s="1035"/>
    </row>
    <row r="170" spans="22:24">
      <c r="V170" s="1035"/>
    </row>
    <row r="171" spans="22:24">
      <c r="V171" s="1035"/>
    </row>
    <row r="172" spans="22:24">
      <c r="V172" s="1035"/>
    </row>
    <row r="173" spans="22:24">
      <c r="V173" s="1035"/>
      <c r="W173" s="1036"/>
      <c r="X173" s="1036"/>
    </row>
    <row r="175" spans="22:24">
      <c r="V175" s="1035"/>
    </row>
    <row r="177" spans="22:24">
      <c r="V177" s="1035"/>
    </row>
    <row r="178" spans="22:24">
      <c r="V178" s="1035"/>
    </row>
    <row r="179" spans="22:24">
      <c r="V179" s="1035"/>
    </row>
    <row r="180" spans="22:24">
      <c r="V180" s="1035"/>
    </row>
    <row r="181" spans="22:24">
      <c r="V181" s="1035"/>
    </row>
    <row r="182" spans="22:24">
      <c r="V182" s="1035"/>
    </row>
    <row r="183" spans="22:24">
      <c r="V183" s="1035"/>
    </row>
    <row r="184" spans="22:24">
      <c r="V184" s="1035"/>
      <c r="W184" s="1036"/>
      <c r="X184" s="1036"/>
    </row>
    <row r="186" spans="22:24">
      <c r="V186" s="1035"/>
    </row>
    <row r="187" spans="22:24">
      <c r="V187" s="1035"/>
    </row>
    <row r="188" spans="22:24">
      <c r="V188" s="1035"/>
    </row>
    <row r="189" spans="22:24">
      <c r="V189" s="1035"/>
    </row>
    <row r="190" spans="22:24">
      <c r="V190" s="1035"/>
    </row>
    <row r="191" spans="22:24">
      <c r="V191" s="1035"/>
    </row>
    <row r="192" spans="22:24">
      <c r="V192" s="1035"/>
    </row>
    <row r="193" spans="22:24">
      <c r="V193" s="1035"/>
    </row>
    <row r="194" spans="22:24">
      <c r="V194" s="1035"/>
    </row>
    <row r="195" spans="22:24">
      <c r="V195" s="1035"/>
      <c r="W195" s="1036"/>
      <c r="X195" s="1036"/>
    </row>
  </sheetData>
  <pageMargins left="0.7" right="0.7" top="0.75" bottom="0.75" header="0.3" footer="0.3"/>
  <pageSetup orientation="portrait" horizontalDpi="1200" verticalDpi="1200" r:id="rId1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8"/>
  <sheetViews>
    <sheetView topLeftCell="A13" workbookViewId="0">
      <pane xSplit="3" topLeftCell="Q1" activePane="topRight" state="frozen"/>
      <selection pane="topRight" activeCell="R9" sqref="R9"/>
    </sheetView>
  </sheetViews>
  <sheetFormatPr defaultColWidth="8.625" defaultRowHeight="15"/>
  <cols>
    <col min="1" max="1" width="4.625" style="921" customWidth="1"/>
    <col min="2" max="2" width="45.5" style="921" bestFit="1" customWidth="1"/>
    <col min="3" max="3" width="11.125" style="1094" customWidth="1"/>
    <col min="4" max="4" width="2.625" style="922" customWidth="1"/>
    <col min="5" max="5" width="4.625" style="921" customWidth="1"/>
    <col min="6" max="6" width="11.625" style="1094" customWidth="1"/>
    <col min="7" max="7" width="41.875" style="921" bestFit="1" customWidth="1"/>
    <col min="8" max="8" width="11.5" style="921" bestFit="1" customWidth="1"/>
    <col min="9" max="10" width="11.5" style="921" customWidth="1"/>
    <col min="11" max="11" width="41.875" style="921" bestFit="1" customWidth="1"/>
    <col min="12" max="12" width="10.75" style="946" bestFit="1" customWidth="1"/>
    <col min="13" max="13" width="11.125" style="1040" bestFit="1" customWidth="1"/>
    <col min="14" max="14" width="11.375" style="1028" customWidth="1"/>
    <col min="15" max="15" width="41.875" style="946" bestFit="1" customWidth="1"/>
    <col min="16" max="16" width="11.625" style="921" customWidth="1"/>
    <col min="17" max="17" width="41.875" style="946" bestFit="1" customWidth="1"/>
    <col min="18" max="18" width="11.5" style="1040" customWidth="1"/>
    <col min="19" max="19" width="41.875" style="946" bestFit="1" customWidth="1"/>
    <col min="20" max="20" width="11.5" style="921" customWidth="1"/>
    <col min="21" max="21" width="41.875" style="946" bestFit="1" customWidth="1"/>
    <col min="22" max="16384" width="8.625" style="921"/>
  </cols>
  <sheetData>
    <row r="1" spans="1:21" s="925" customFormat="1">
      <c r="A1" s="934" t="s">
        <v>590</v>
      </c>
      <c r="C1" s="1086"/>
      <c r="D1" s="965"/>
      <c r="E1" s="934" t="s">
        <v>591</v>
      </c>
      <c r="F1" s="1088"/>
      <c r="I1" s="927"/>
      <c r="J1" s="927"/>
      <c r="L1" s="946"/>
      <c r="M1" s="1028"/>
      <c r="N1" s="928"/>
      <c r="O1" s="946"/>
      <c r="P1" s="928"/>
      <c r="Q1" s="946"/>
      <c r="R1" s="928"/>
      <c r="S1" s="946"/>
      <c r="T1" s="927"/>
      <c r="U1" s="946"/>
    </row>
    <row r="2" spans="1:21" s="930" customFormat="1">
      <c r="A2" s="933"/>
      <c r="B2" s="925" t="s">
        <v>585</v>
      </c>
      <c r="C2" s="1090"/>
      <c r="D2" s="1014"/>
      <c r="F2" s="930" t="s">
        <v>349</v>
      </c>
      <c r="I2" s="927"/>
      <c r="J2" s="930" t="s">
        <v>350</v>
      </c>
      <c r="L2" s="1015"/>
      <c r="M2" s="1031"/>
      <c r="N2" s="930" t="s">
        <v>353</v>
      </c>
      <c r="O2" s="1015"/>
      <c r="P2" s="930" t="s">
        <v>351</v>
      </c>
      <c r="Q2" s="1015"/>
      <c r="R2" s="930" t="s">
        <v>355</v>
      </c>
      <c r="S2" s="1015"/>
      <c r="T2" s="930" t="s">
        <v>354</v>
      </c>
      <c r="U2" s="1015"/>
    </row>
    <row r="3" spans="1:21" s="925" customFormat="1">
      <c r="A3" s="930"/>
      <c r="B3" s="934" t="s">
        <v>524</v>
      </c>
      <c r="C3" s="1090"/>
      <c r="D3" s="965"/>
      <c r="F3" s="1088"/>
      <c r="G3" s="930" t="s">
        <v>492</v>
      </c>
      <c r="I3" s="927"/>
      <c r="J3" s="927"/>
      <c r="K3" s="930" t="s">
        <v>492</v>
      </c>
      <c r="L3" s="946"/>
      <c r="M3" s="1008"/>
      <c r="N3" s="928"/>
      <c r="O3" s="930" t="s">
        <v>492</v>
      </c>
      <c r="P3" s="928"/>
      <c r="Q3" s="930" t="s">
        <v>492</v>
      </c>
      <c r="R3" s="928"/>
      <c r="S3" s="930" t="s">
        <v>492</v>
      </c>
      <c r="T3" s="927"/>
      <c r="U3" s="930" t="s">
        <v>492</v>
      </c>
    </row>
    <row r="4" spans="1:21" s="925" customFormat="1">
      <c r="A4" s="939"/>
      <c r="B4" s="939"/>
      <c r="C4" s="1087"/>
      <c r="D4" s="965"/>
      <c r="F4" s="1088"/>
      <c r="G4" s="975"/>
      <c r="H4" s="975"/>
      <c r="I4" s="927"/>
      <c r="J4" s="927"/>
      <c r="K4" s="975"/>
      <c r="L4" s="976"/>
      <c r="M4" s="1029"/>
      <c r="N4" s="928"/>
      <c r="O4" s="976"/>
      <c r="P4" s="928"/>
      <c r="Q4" s="976"/>
      <c r="R4" s="928"/>
      <c r="S4" s="976"/>
      <c r="T4" s="927"/>
      <c r="U4" s="976"/>
    </row>
    <row r="5" spans="1:21" s="925" customFormat="1">
      <c r="A5" s="930">
        <v>1</v>
      </c>
      <c r="B5" s="925" t="s">
        <v>471</v>
      </c>
      <c r="C5" s="1088">
        <v>3500000</v>
      </c>
      <c r="D5" s="931"/>
      <c r="E5" s="932">
        <f>A5</f>
        <v>1</v>
      </c>
      <c r="F5" s="1088">
        <f>'Comparison Tables'!I25</f>
        <v>3500000</v>
      </c>
      <c r="G5" s="927"/>
      <c r="H5" s="961"/>
      <c r="I5" s="927"/>
      <c r="J5" s="1088">
        <f>'Comparison Tables'!L25</f>
        <v>3500000</v>
      </c>
      <c r="K5" s="927"/>
      <c r="L5" s="977"/>
      <c r="M5" s="1032"/>
      <c r="N5" s="1088">
        <f>'Comparison Tables'!P25</f>
        <v>3500000</v>
      </c>
      <c r="O5" s="977"/>
      <c r="P5" s="1088">
        <v>3500000</v>
      </c>
      <c r="Q5" s="977"/>
      <c r="R5" s="1088">
        <v>3500000</v>
      </c>
      <c r="S5" s="977"/>
      <c r="T5" s="1088">
        <v>3500000</v>
      </c>
      <c r="U5" s="977"/>
    </row>
    <row r="6" spans="1:21" s="925" customFormat="1">
      <c r="A6" s="930">
        <v>2</v>
      </c>
      <c r="B6" s="925" t="s">
        <v>472</v>
      </c>
      <c r="C6" s="1088">
        <v>1000000</v>
      </c>
      <c r="D6" s="931"/>
      <c r="E6" s="932">
        <f>A6</f>
        <v>2</v>
      </c>
      <c r="F6" s="1088">
        <f>'Comparison Tables'!I26+'Comparison Tables'!I27</f>
        <v>2452983</v>
      </c>
      <c r="G6" s="927"/>
      <c r="H6" s="927"/>
      <c r="I6" s="927"/>
      <c r="J6" s="1088">
        <f>SUM('Comparison Tables'!L26:L27)</f>
        <v>2452983</v>
      </c>
      <c r="K6" s="927"/>
      <c r="L6" s="948"/>
      <c r="M6" s="928"/>
      <c r="N6" s="1088">
        <f>SUM('Comparison Tables'!P26:P27)</f>
        <v>2452983</v>
      </c>
      <c r="O6" s="948"/>
      <c r="P6" s="1088">
        <v>2452983</v>
      </c>
      <c r="Q6" s="948"/>
      <c r="R6" s="1088">
        <v>2452983</v>
      </c>
      <c r="S6" s="948"/>
      <c r="T6" s="1088">
        <v>2452983</v>
      </c>
      <c r="U6" s="948"/>
    </row>
    <row r="7" spans="1:21" s="925" customFormat="1">
      <c r="A7" s="930">
        <v>3</v>
      </c>
      <c r="B7" s="925" t="s">
        <v>587</v>
      </c>
      <c r="C7" s="1088">
        <v>0</v>
      </c>
      <c r="D7" s="931"/>
      <c r="E7" s="932"/>
      <c r="F7" s="1088">
        <f>SUM('Comparison Tables'!I43:I46)</f>
        <v>2065208.3599999999</v>
      </c>
      <c r="G7" s="927" t="s">
        <v>522</v>
      </c>
      <c r="H7" s="927"/>
      <c r="I7" s="927"/>
      <c r="J7" s="1088">
        <f>SUM('Comparison Tables'!L43:L46)</f>
        <v>2618477.4</v>
      </c>
      <c r="K7" s="927" t="s">
        <v>522</v>
      </c>
      <c r="L7" s="948"/>
      <c r="M7" s="928"/>
      <c r="N7" s="1088">
        <f>SUM('Comparison Tables'!P43:P46)</f>
        <v>2212828.04</v>
      </c>
      <c r="O7" s="927" t="s">
        <v>522</v>
      </c>
      <c r="P7" s="1088">
        <f>SUM('Comparison Tables'!W43:W46)</f>
        <v>2836311.1599999997</v>
      </c>
      <c r="Q7" s="927" t="s">
        <v>522</v>
      </c>
      <c r="R7" s="1088">
        <f>SUM('Comparison Tables'!AD43:AD46)</f>
        <v>3590279.98</v>
      </c>
      <c r="S7" s="927" t="s">
        <v>522</v>
      </c>
      <c r="T7" s="1088">
        <f>SUM('Comparison Tables'!AK43:AK46)</f>
        <v>3809189.4</v>
      </c>
      <c r="U7" s="927" t="s">
        <v>522</v>
      </c>
    </row>
    <row r="8" spans="1:21" s="925" customFormat="1">
      <c r="A8" s="930">
        <v>4</v>
      </c>
      <c r="B8" s="925" t="s">
        <v>474</v>
      </c>
      <c r="C8" s="1088">
        <v>675000</v>
      </c>
      <c r="D8" s="931"/>
      <c r="E8" s="932">
        <f t="shared" ref="E8:E15" si="0">A8</f>
        <v>4</v>
      </c>
      <c r="F8" s="1088">
        <v>468000</v>
      </c>
      <c r="G8" s="927"/>
      <c r="H8" s="927"/>
      <c r="I8" s="927"/>
      <c r="J8" s="1088">
        <v>990000</v>
      </c>
      <c r="K8" s="927"/>
      <c r="L8" s="948"/>
      <c r="M8" s="928"/>
      <c r="N8" s="1088">
        <v>714000</v>
      </c>
      <c r="O8" s="927"/>
      <c r="P8" s="1088">
        <v>1353000</v>
      </c>
      <c r="Q8" s="927"/>
      <c r="R8" s="1088">
        <v>952200</v>
      </c>
      <c r="S8" s="927"/>
      <c r="T8" s="1088">
        <v>1017000</v>
      </c>
      <c r="U8" s="927"/>
    </row>
    <row r="9" spans="1:21" s="925" customFormat="1">
      <c r="A9" s="930">
        <v>5</v>
      </c>
      <c r="B9" s="925" t="s">
        <v>476</v>
      </c>
      <c r="C9" s="1088">
        <v>400000</v>
      </c>
      <c r="D9" s="931"/>
      <c r="E9" s="932">
        <f t="shared" si="0"/>
        <v>5</v>
      </c>
      <c r="F9" s="1088">
        <v>825000</v>
      </c>
      <c r="G9" s="927"/>
      <c r="H9" s="927"/>
      <c r="I9" s="927"/>
      <c r="J9" s="1088">
        <v>825000</v>
      </c>
      <c r="K9" s="927"/>
      <c r="L9" s="948"/>
      <c r="M9" s="928"/>
      <c r="N9" s="1088">
        <v>825000</v>
      </c>
      <c r="O9" s="927"/>
      <c r="P9" s="1088">
        <v>825000</v>
      </c>
      <c r="Q9" s="927"/>
      <c r="R9" s="1088">
        <v>805500</v>
      </c>
      <c r="S9" s="927"/>
      <c r="T9" s="1088">
        <v>805500</v>
      </c>
      <c r="U9" s="927"/>
    </row>
    <row r="10" spans="1:21" s="925" customFormat="1">
      <c r="A10" s="930">
        <v>6</v>
      </c>
      <c r="B10" s="925" t="s">
        <v>477</v>
      </c>
      <c r="C10" s="1088">
        <v>350000</v>
      </c>
      <c r="D10" s="931"/>
      <c r="E10" s="932">
        <f t="shared" si="0"/>
        <v>6</v>
      </c>
      <c r="F10" s="1088">
        <v>0</v>
      </c>
      <c r="G10" s="927"/>
      <c r="H10" s="927"/>
      <c r="I10" s="927"/>
      <c r="J10" s="1088">
        <v>350000</v>
      </c>
      <c r="K10" s="927"/>
      <c r="L10" s="948"/>
      <c r="M10" s="928"/>
      <c r="N10" s="1088">
        <v>0</v>
      </c>
      <c r="O10" s="927"/>
      <c r="P10" s="1088">
        <v>350000</v>
      </c>
      <c r="Q10" s="927"/>
      <c r="R10" s="1088">
        <v>0</v>
      </c>
      <c r="S10" s="927"/>
      <c r="T10" s="1088">
        <v>250000</v>
      </c>
      <c r="U10" s="927"/>
    </row>
    <row r="11" spans="1:21" s="925" customFormat="1">
      <c r="A11" s="930">
        <v>7</v>
      </c>
      <c r="B11" s="925" t="s">
        <v>478</v>
      </c>
      <c r="C11" s="1088">
        <v>325000</v>
      </c>
      <c r="D11" s="931"/>
      <c r="E11" s="932">
        <f t="shared" si="0"/>
        <v>7</v>
      </c>
      <c r="F11" s="1088">
        <v>100000</v>
      </c>
      <c r="G11" s="927"/>
      <c r="H11" s="927"/>
      <c r="I11" s="1017"/>
      <c r="J11" s="1088">
        <v>150000</v>
      </c>
      <c r="K11" s="927"/>
      <c r="L11" s="948"/>
      <c r="M11" s="928"/>
      <c r="N11" s="1088">
        <v>100000</v>
      </c>
      <c r="O11" s="927"/>
      <c r="P11" s="1088">
        <v>150000</v>
      </c>
      <c r="Q11" s="927"/>
      <c r="R11" s="1088">
        <v>100000</v>
      </c>
      <c r="S11" s="927"/>
      <c r="T11" s="1088">
        <v>150000</v>
      </c>
      <c r="U11" s="927"/>
    </row>
    <row r="12" spans="1:21" s="925" customFormat="1">
      <c r="A12" s="930">
        <v>8</v>
      </c>
      <c r="B12" s="925" t="s">
        <v>480</v>
      </c>
      <c r="C12" s="1088">
        <v>350000</v>
      </c>
      <c r="D12" s="931"/>
      <c r="E12" s="932">
        <f t="shared" si="0"/>
        <v>8</v>
      </c>
      <c r="F12" s="1088">
        <v>328000</v>
      </c>
      <c r="G12" s="927"/>
      <c r="H12" s="927"/>
      <c r="I12" s="1017"/>
      <c r="J12" s="1088">
        <v>328000</v>
      </c>
      <c r="K12" s="927"/>
      <c r="L12" s="948"/>
      <c r="M12" s="928"/>
      <c r="N12" s="1088">
        <v>328000</v>
      </c>
      <c r="O12" s="927"/>
      <c r="P12" s="1088">
        <v>328000</v>
      </c>
      <c r="Q12" s="927"/>
      <c r="R12" s="1088">
        <v>495475</v>
      </c>
      <c r="S12" s="927"/>
      <c r="T12" s="1088">
        <v>495475</v>
      </c>
      <c r="U12" s="927"/>
    </row>
    <row r="13" spans="1:21" s="925" customFormat="1">
      <c r="A13" s="930">
        <v>9</v>
      </c>
      <c r="B13" s="925" t="s">
        <v>495</v>
      </c>
      <c r="C13" s="1088">
        <v>980000</v>
      </c>
      <c r="D13" s="931"/>
      <c r="E13" s="932">
        <f t="shared" si="0"/>
        <v>9</v>
      </c>
      <c r="F13" s="1088">
        <v>1233400</v>
      </c>
      <c r="G13" s="927"/>
      <c r="H13" s="927"/>
      <c r="I13" s="927"/>
      <c r="J13" s="1088">
        <v>1233400</v>
      </c>
      <c r="K13" s="927"/>
      <c r="L13" s="948"/>
      <c r="M13" s="928"/>
      <c r="N13" s="1088">
        <v>1233400</v>
      </c>
      <c r="O13" s="927"/>
      <c r="P13" s="1088">
        <v>1233400</v>
      </c>
      <c r="Q13" s="927"/>
      <c r="R13" s="1088">
        <v>1107280</v>
      </c>
      <c r="S13" s="927"/>
      <c r="T13" s="1088">
        <v>1107280</v>
      </c>
      <c r="U13" s="927"/>
    </row>
    <row r="14" spans="1:21" s="925" customFormat="1">
      <c r="A14" s="930">
        <v>10</v>
      </c>
      <c r="B14" s="925" t="s">
        <v>484</v>
      </c>
      <c r="C14" s="1088">
        <v>630000</v>
      </c>
      <c r="D14" s="931"/>
      <c r="E14" s="932">
        <f t="shared" si="0"/>
        <v>10</v>
      </c>
      <c r="F14" s="1088">
        <v>630000</v>
      </c>
      <c r="G14" s="927" t="s">
        <v>577</v>
      </c>
      <c r="H14" s="927"/>
      <c r="I14" s="1017"/>
      <c r="J14" s="1088">
        <f>F14</f>
        <v>630000</v>
      </c>
      <c r="K14" s="927" t="s">
        <v>577</v>
      </c>
      <c r="L14" s="948"/>
      <c r="M14" s="928"/>
      <c r="N14" s="1088">
        <f>C14</f>
        <v>630000</v>
      </c>
      <c r="O14" s="927" t="s">
        <v>577</v>
      </c>
      <c r="P14" s="1088">
        <f>C14</f>
        <v>630000</v>
      </c>
      <c r="Q14" s="927" t="s">
        <v>577</v>
      </c>
      <c r="R14" s="1088">
        <f>C14</f>
        <v>630000</v>
      </c>
      <c r="S14" s="927" t="s">
        <v>577</v>
      </c>
      <c r="T14" s="1088">
        <f>C14</f>
        <v>630000</v>
      </c>
      <c r="U14" s="927" t="s">
        <v>577</v>
      </c>
    </row>
    <row r="15" spans="1:21" s="941" customFormat="1">
      <c r="A15" s="930">
        <v>11</v>
      </c>
      <c r="B15" s="962" t="s">
        <v>486</v>
      </c>
      <c r="C15" s="1091">
        <v>0</v>
      </c>
      <c r="D15" s="963"/>
      <c r="E15" s="964">
        <f t="shared" si="0"/>
        <v>11</v>
      </c>
      <c r="F15" s="1088">
        <v>0</v>
      </c>
      <c r="G15" s="942" t="s">
        <v>218</v>
      </c>
      <c r="H15" s="942"/>
      <c r="I15" s="927"/>
      <c r="J15" s="1088">
        <v>0</v>
      </c>
      <c r="K15" s="942" t="s">
        <v>218</v>
      </c>
      <c r="L15" s="978"/>
      <c r="M15" s="1033"/>
      <c r="N15" s="1088">
        <v>0</v>
      </c>
      <c r="O15" s="942" t="s">
        <v>218</v>
      </c>
      <c r="P15" s="1088">
        <v>0</v>
      </c>
      <c r="Q15" s="942" t="s">
        <v>218</v>
      </c>
      <c r="R15" s="1088">
        <v>2000000</v>
      </c>
      <c r="S15" s="942"/>
      <c r="T15" s="1088">
        <v>2000000</v>
      </c>
      <c r="U15" s="942" t="s">
        <v>218</v>
      </c>
    </row>
    <row r="16" spans="1:21" s="934" customFormat="1">
      <c r="A16" s="933"/>
      <c r="B16" s="950" t="s">
        <v>515</v>
      </c>
      <c r="C16" s="1092">
        <f>SUM(C5:C15)</f>
        <v>8210000</v>
      </c>
      <c r="D16" s="936"/>
      <c r="E16" s="937" t="s">
        <v>453</v>
      </c>
      <c r="F16" s="1089">
        <f>SUM(F5:F15)</f>
        <v>11602591.359999999</v>
      </c>
      <c r="G16" s="935"/>
      <c r="H16" s="935"/>
      <c r="I16" s="1009"/>
      <c r="J16" s="1089">
        <f>SUM(J5:J15)</f>
        <v>13077860.4</v>
      </c>
      <c r="K16" s="935"/>
      <c r="L16" s="935"/>
      <c r="M16" s="973"/>
      <c r="N16" s="1089">
        <f>SUM(N5:N15)</f>
        <v>11996211.039999999</v>
      </c>
      <c r="O16" s="935"/>
      <c r="P16" s="1089">
        <f>SUM(P5:P15)</f>
        <v>13658694.16</v>
      </c>
      <c r="Q16" s="935"/>
      <c r="R16" s="1089">
        <f>SUM(R5:R15)</f>
        <v>15633717.98</v>
      </c>
      <c r="S16" s="935"/>
      <c r="T16" s="1089">
        <f>SUM(T5:T15)</f>
        <v>16217427.4</v>
      </c>
      <c r="U16" s="935"/>
    </row>
    <row r="17" spans="1:21" s="1026" customFormat="1">
      <c r="A17" s="1048"/>
      <c r="C17" s="1093"/>
      <c r="D17" s="1050"/>
      <c r="E17" s="1051"/>
      <c r="F17" s="1088"/>
      <c r="G17" s="1049"/>
      <c r="H17" s="1049"/>
      <c r="I17" s="927"/>
      <c r="J17" s="927"/>
      <c r="K17" s="1049"/>
      <c r="L17" s="1049"/>
      <c r="M17" s="1052"/>
      <c r="N17" s="928"/>
      <c r="O17" s="1049"/>
      <c r="P17" s="928"/>
      <c r="Q17" s="1049"/>
      <c r="R17" s="928"/>
      <c r="S17" s="1049"/>
      <c r="T17" s="927"/>
      <c r="U17" s="1049"/>
    </row>
    <row r="18" spans="1:21" s="925" customFormat="1">
      <c r="A18" s="939"/>
      <c r="B18" s="939"/>
      <c r="C18" s="1094"/>
      <c r="D18" s="965"/>
      <c r="E18" s="932"/>
      <c r="F18" s="1088"/>
      <c r="I18" s="927"/>
      <c r="J18" s="927"/>
      <c r="L18" s="946"/>
      <c r="M18" s="1028"/>
      <c r="N18" s="928"/>
      <c r="O18" s="946"/>
      <c r="P18" s="1116"/>
      <c r="Q18" s="946"/>
      <c r="R18" s="928"/>
      <c r="S18" s="946"/>
      <c r="T18" s="927"/>
      <c r="U18" s="946"/>
    </row>
    <row r="19" spans="1:21" s="925" customFormat="1">
      <c r="A19" s="930"/>
      <c r="B19" s="925" t="s">
        <v>490</v>
      </c>
      <c r="C19" s="1088">
        <f>'Comparison Tables'!F57</f>
        <v>8210000</v>
      </c>
      <c r="D19" s="931"/>
      <c r="E19" s="932"/>
      <c r="F19" s="1088">
        <f>'Comparison Tables'!I57</f>
        <v>11602591.360000001</v>
      </c>
      <c r="G19" s="927"/>
      <c r="H19" s="927"/>
      <c r="I19" s="927"/>
      <c r="J19" s="1088">
        <f>'Comparison Tables'!L57</f>
        <v>13077860.4</v>
      </c>
      <c r="K19" s="927"/>
      <c r="L19" s="927"/>
      <c r="M19" s="928"/>
      <c r="N19" s="1116">
        <f>'Comparison Tables'!P57</f>
        <v>11996211.039999999</v>
      </c>
      <c r="O19" s="948"/>
      <c r="P19" s="1116">
        <f>'Comparison Tables'!W57</f>
        <v>13658694.16</v>
      </c>
      <c r="Q19" s="927"/>
      <c r="R19" s="1116">
        <f>'Comparison Tables'!AD57</f>
        <v>9133717.9800000004</v>
      </c>
      <c r="S19" s="928"/>
      <c r="T19" s="1088">
        <f>'Comparison Tables'!AK57</f>
        <v>9717427.4000000004</v>
      </c>
      <c r="U19" s="948"/>
    </row>
    <row r="20" spans="1:21" s="934" customFormat="1">
      <c r="A20" s="933"/>
      <c r="B20" s="934" t="s">
        <v>491</v>
      </c>
      <c r="C20" s="1089">
        <f>'Comparison Tables'!F58</f>
        <v>571376.28</v>
      </c>
      <c r="D20" s="936"/>
      <c r="E20" s="937"/>
      <c r="F20" s="1089">
        <f>'Comparison Tables'!I58</f>
        <v>809901.24</v>
      </c>
      <c r="G20" s="1117" t="s">
        <v>583</v>
      </c>
      <c r="H20" s="935"/>
      <c r="I20" s="935"/>
      <c r="J20" s="1089">
        <f>'Comparison Tables'!L58</f>
        <v>912572.76</v>
      </c>
      <c r="K20" s="1117" t="s">
        <v>583</v>
      </c>
      <c r="L20" s="955"/>
      <c r="M20" s="973"/>
      <c r="N20" s="1118">
        <f>'Comparison Tables'!P58</f>
        <v>837295.2</v>
      </c>
      <c r="O20" s="1117" t="s">
        <v>583</v>
      </c>
      <c r="P20" s="1118">
        <f>'Comparison Tables'!W58</f>
        <v>952995.96</v>
      </c>
      <c r="Q20" s="1117" t="s">
        <v>583</v>
      </c>
      <c r="R20" s="1118">
        <f>'Comparison Tables'!AD58</f>
        <v>881662.67999999993</v>
      </c>
      <c r="S20" s="1117" t="s">
        <v>583</v>
      </c>
      <c r="T20" s="1089">
        <f>'Comparison Tables'!AK58</f>
        <v>922285.92</v>
      </c>
      <c r="U20" s="1117" t="s">
        <v>583</v>
      </c>
    </row>
    <row r="21" spans="1:21" s="934" customFormat="1">
      <c r="A21" s="933"/>
      <c r="C21" s="1089"/>
      <c r="D21" s="936"/>
      <c r="E21" s="937"/>
      <c r="F21" s="1088"/>
      <c r="G21" s="938"/>
      <c r="H21" s="935"/>
      <c r="I21" s="927"/>
      <c r="J21" s="927"/>
      <c r="K21" s="938"/>
      <c r="L21" s="955"/>
      <c r="M21" s="973"/>
      <c r="N21" s="928"/>
      <c r="O21" s="938"/>
      <c r="P21" s="928"/>
      <c r="Q21" s="938"/>
      <c r="R21" s="928"/>
      <c r="S21" s="938"/>
      <c r="T21" s="927"/>
      <c r="U21" s="938"/>
    </row>
    <row r="22" spans="1:21">
      <c r="Q22" s="925"/>
      <c r="S22" s="1047"/>
      <c r="U22" s="925"/>
    </row>
    <row r="23" spans="1:21">
      <c r="M23" s="1042"/>
      <c r="O23" s="961"/>
      <c r="Q23" s="925"/>
      <c r="S23" s="961"/>
      <c r="U23" s="925"/>
    </row>
    <row r="24" spans="1:21">
      <c r="N24" s="1032"/>
      <c r="O24" s="961"/>
      <c r="Q24" s="961"/>
      <c r="S24" s="961"/>
      <c r="U24" s="961"/>
    </row>
    <row r="25" spans="1:21">
      <c r="O25" s="977"/>
      <c r="Q25" s="977"/>
      <c r="S25" s="977"/>
      <c r="U25" s="977"/>
    </row>
    <row r="26" spans="1:21">
      <c r="S26" s="1045"/>
    </row>
    <row r="27" spans="1:21">
      <c r="S27" s="977"/>
    </row>
    <row r="28" spans="1:21">
      <c r="S28" s="977"/>
    </row>
    <row r="34" spans="17:17">
      <c r="Q34" s="1035"/>
    </row>
    <row r="36" spans="17:17">
      <c r="Q36" s="1035"/>
    </row>
    <row r="37" spans="17:17">
      <c r="Q37" s="1035"/>
    </row>
    <row r="38" spans="17:17">
      <c r="Q38" s="1035"/>
    </row>
    <row r="39" spans="17:17">
      <c r="Q39" s="1035"/>
    </row>
    <row r="40" spans="17:17">
      <c r="Q40" s="1035"/>
    </row>
    <row r="41" spans="17:17">
      <c r="Q41" s="1035"/>
    </row>
    <row r="42" spans="17:17">
      <c r="Q42" s="1035"/>
    </row>
    <row r="43" spans="17:17">
      <c r="Q43" s="1035"/>
    </row>
    <row r="53" spans="15:15">
      <c r="O53" s="1035"/>
    </row>
    <row r="55" spans="15:15">
      <c r="O55" s="1035"/>
    </row>
    <row r="56" spans="15:15">
      <c r="O56" s="1035"/>
    </row>
    <row r="57" spans="15:15">
      <c r="O57" s="1035"/>
    </row>
    <row r="58" spans="15:15">
      <c r="O58" s="1035"/>
    </row>
    <row r="59" spans="15:15">
      <c r="O59" s="1035"/>
    </row>
    <row r="60" spans="15:15">
      <c r="O60" s="1035"/>
    </row>
    <row r="61" spans="15:15">
      <c r="O61" s="1035"/>
    </row>
    <row r="62" spans="15:15">
      <c r="O62" s="1035"/>
    </row>
    <row r="64" spans="15:15">
      <c r="O64" s="1035"/>
    </row>
    <row r="65" spans="15:15">
      <c r="O65" s="1035"/>
    </row>
    <row r="66" spans="15:15">
      <c r="O66" s="1035"/>
    </row>
    <row r="67" spans="15:15">
      <c r="O67" s="1035"/>
    </row>
    <row r="68" spans="15:15">
      <c r="O68" s="1035"/>
    </row>
    <row r="69" spans="15:15">
      <c r="O69" s="1035"/>
    </row>
    <row r="70" spans="15:15">
      <c r="O70" s="1035"/>
    </row>
    <row r="71" spans="15:15">
      <c r="O71" s="1035"/>
    </row>
    <row r="72" spans="15:15">
      <c r="O72" s="1035"/>
    </row>
    <row r="73" spans="15:15">
      <c r="O73" s="1035"/>
    </row>
    <row r="75" spans="15:15">
      <c r="O75" s="1035"/>
    </row>
    <row r="77" spans="15:15">
      <c r="O77" s="1035"/>
    </row>
    <row r="78" spans="15:15">
      <c r="O78" s="1035"/>
    </row>
    <row r="79" spans="15:15">
      <c r="O79" s="1035"/>
    </row>
    <row r="80" spans="15:15">
      <c r="O80" s="1035"/>
    </row>
    <row r="81" spans="15:15">
      <c r="O81" s="1035"/>
    </row>
    <row r="82" spans="15:15">
      <c r="O82" s="1035"/>
    </row>
    <row r="83" spans="15:15">
      <c r="O83" s="1035"/>
    </row>
    <row r="84" spans="15:15">
      <c r="O84" s="1035"/>
    </row>
    <row r="86" spans="15:15">
      <c r="O86" s="1035"/>
    </row>
    <row r="88" spans="15:15">
      <c r="O88" s="1035"/>
    </row>
    <row r="89" spans="15:15">
      <c r="O89" s="1035"/>
    </row>
    <row r="90" spans="15:15">
      <c r="O90" s="1035"/>
    </row>
    <row r="91" spans="15:15">
      <c r="O91" s="1035"/>
    </row>
    <row r="92" spans="15:15">
      <c r="O92" s="1035"/>
    </row>
    <row r="93" spans="15:15">
      <c r="O93" s="1035"/>
    </row>
    <row r="94" spans="15:15">
      <c r="O94" s="1035"/>
    </row>
    <row r="95" spans="15:15">
      <c r="O95" s="1035"/>
    </row>
    <row r="97" spans="15:15">
      <c r="O97" s="1035"/>
    </row>
    <row r="98" spans="15:15">
      <c r="O98" s="1035"/>
    </row>
    <row r="99" spans="15:15">
      <c r="O99" s="1035"/>
    </row>
    <row r="100" spans="15:15">
      <c r="O100" s="1035"/>
    </row>
    <row r="101" spans="15:15">
      <c r="O101" s="1035"/>
    </row>
    <row r="102" spans="15:15">
      <c r="O102" s="1035"/>
    </row>
    <row r="103" spans="15:15">
      <c r="O103" s="1035"/>
    </row>
    <row r="104" spans="15:15">
      <c r="O104" s="1035"/>
    </row>
    <row r="105" spans="15:15">
      <c r="O105" s="1035"/>
    </row>
    <row r="106" spans="15:15">
      <c r="O106" s="1035"/>
    </row>
    <row r="108" spans="15:15">
      <c r="O108" s="1035"/>
    </row>
    <row r="110" spans="15:15">
      <c r="O110" s="1035"/>
    </row>
    <row r="111" spans="15:15">
      <c r="O111" s="1035"/>
    </row>
    <row r="112" spans="15:15">
      <c r="O112" s="1035"/>
    </row>
    <row r="113" spans="15:15">
      <c r="O113" s="1035"/>
    </row>
    <row r="114" spans="15:15">
      <c r="O114" s="1035"/>
    </row>
    <row r="115" spans="15:15">
      <c r="O115" s="1035"/>
    </row>
    <row r="116" spans="15:15">
      <c r="O116" s="1035"/>
    </row>
    <row r="117" spans="15:15">
      <c r="O117" s="1035"/>
    </row>
    <row r="119" spans="15:15">
      <c r="O119" s="1035"/>
    </row>
    <row r="120" spans="15:15">
      <c r="O120" s="1035"/>
    </row>
    <row r="121" spans="15:15">
      <c r="O121" s="1035"/>
    </row>
    <row r="122" spans="15:15">
      <c r="O122" s="1035"/>
    </row>
    <row r="123" spans="15:15">
      <c r="O123" s="1035"/>
    </row>
    <row r="124" spans="15:15">
      <c r="O124" s="1035"/>
    </row>
    <row r="125" spans="15:15">
      <c r="O125" s="1035"/>
    </row>
    <row r="126" spans="15:15">
      <c r="O126" s="1035"/>
    </row>
    <row r="127" spans="15:15">
      <c r="O127" s="1035"/>
    </row>
    <row r="128" spans="15:15">
      <c r="O128" s="1035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XFD196"/>
  <sheetViews>
    <sheetView topLeftCell="A76" zoomScale="62" zoomScaleNormal="55" workbookViewId="0">
      <selection activeCell="A117" sqref="A117:XFD117"/>
    </sheetView>
  </sheetViews>
  <sheetFormatPr defaultColWidth="9" defaultRowHeight="16.5"/>
  <cols>
    <col min="1" max="1" width="71.875" style="18" customWidth="1"/>
    <col min="2" max="2" width="53.125" style="18" bestFit="1" customWidth="1"/>
    <col min="3" max="3" width="8" style="18" bestFit="1" customWidth="1"/>
    <col min="4" max="4" width="8" style="262" bestFit="1" customWidth="1"/>
    <col min="5" max="5" width="17.625" style="18" bestFit="1" customWidth="1"/>
    <col min="6" max="6" width="16.625" style="18" bestFit="1" customWidth="1"/>
    <col min="7" max="8" width="16.875" style="18" bestFit="1" customWidth="1"/>
    <col min="9" max="9" width="16.625" style="18" bestFit="1" customWidth="1"/>
    <col min="10" max="11" width="17.25" style="18" bestFit="1" customWidth="1"/>
    <col min="12" max="12" width="16.5" style="18" bestFit="1" customWidth="1"/>
    <col min="13" max="14" width="16.875" style="18" bestFit="1" customWidth="1"/>
    <col min="15" max="15" width="17.25" style="18" bestFit="1" customWidth="1"/>
    <col min="16" max="16" width="16.875" style="18" bestFit="1" customWidth="1"/>
    <col min="17" max="23" width="17.625" style="18" bestFit="1" customWidth="1"/>
    <col min="24" max="24" width="16.875" style="18" bestFit="1" customWidth="1"/>
    <col min="25" max="25" width="22.625" style="18" bestFit="1" customWidth="1"/>
    <col min="26" max="16384" width="9" style="18"/>
  </cols>
  <sheetData>
    <row r="1" spans="1:25" ht="18.75" thickBot="1">
      <c r="A1" s="11" t="str">
        <f>Intro!A1</f>
        <v>Town of Bar Harbor</v>
      </c>
      <c r="B1" s="27"/>
      <c r="C1" s="17"/>
      <c r="D1" s="260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</row>
    <row r="2" spans="1:25" ht="17.25" thickBot="1">
      <c r="A2" s="380" t="str">
        <f>Intro!A2</f>
        <v>Ferry Property Business Plan</v>
      </c>
      <c r="B2" s="13"/>
      <c r="C2" s="17"/>
      <c r="D2" s="260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</row>
    <row r="3" spans="1:25" s="381" customFormat="1" ht="14.25" thickBot="1">
      <c r="A3" s="384" t="str">
        <f>Intro!A3</f>
        <v>05.23.2018</v>
      </c>
      <c r="B3" s="304"/>
      <c r="C3" s="387"/>
      <c r="D3" s="388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7"/>
      <c r="X3" s="387"/>
    </row>
    <row r="4" spans="1:25" s="381" customFormat="1" ht="13.5">
      <c r="A4" s="384" t="str">
        <f ca="1">Intro!A4</f>
        <v>Town of Bar Harbor</v>
      </c>
      <c r="B4" s="382"/>
      <c r="C4" s="383">
        <f ca="1">NOW()</f>
        <v>43242.835659143515</v>
      </c>
      <c r="D4" s="388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  <c r="Q4" s="387"/>
      <c r="R4" s="387"/>
      <c r="S4" s="387"/>
      <c r="T4" s="387"/>
      <c r="U4" s="387"/>
      <c r="V4" s="387"/>
      <c r="W4" s="387"/>
      <c r="X4" s="387"/>
    </row>
    <row r="5" spans="1:25">
      <c r="A5" s="244" t="s">
        <v>343</v>
      </c>
      <c r="B5" s="244"/>
      <c r="C5" s="245"/>
      <c r="D5" s="261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</row>
    <row r="6" spans="1:25">
      <c r="D6" s="485"/>
    </row>
    <row r="7" spans="1:25">
      <c r="A7" s="22"/>
      <c r="B7" s="71"/>
      <c r="C7" s="71"/>
      <c r="D7" s="72">
        <f>'Cruise Projections'!T7</f>
        <v>2018</v>
      </c>
      <c r="E7" s="72">
        <f>'Cruise Projections'!U7</f>
        <v>2019</v>
      </c>
      <c r="F7" s="72">
        <f>'Cruise Projections'!V7</f>
        <v>2020</v>
      </c>
      <c r="G7" s="72">
        <f>'Cruise Projections'!W7</f>
        <v>2021</v>
      </c>
      <c r="H7" s="72">
        <f>'Cruise Projections'!X7</f>
        <v>2022</v>
      </c>
      <c r="I7" s="72">
        <f>'Cruise Projections'!Y7</f>
        <v>2023</v>
      </c>
      <c r="J7" s="72">
        <f>'Cruise Projections'!Z7</f>
        <v>2024</v>
      </c>
      <c r="K7" s="72">
        <f>'Cruise Projections'!AA7</f>
        <v>2025</v>
      </c>
      <c r="L7" s="72">
        <f>'Cruise Projections'!AB7</f>
        <v>2026</v>
      </c>
      <c r="M7" s="72">
        <f>'Cruise Projections'!AC7</f>
        <v>2027</v>
      </c>
      <c r="N7" s="72">
        <f>'Cruise Projections'!AD7</f>
        <v>2028</v>
      </c>
      <c r="O7" s="72">
        <f>'Cruise Projections'!AE7</f>
        <v>2029</v>
      </c>
      <c r="P7" s="72">
        <f>'Cruise Projections'!AF7</f>
        <v>2030</v>
      </c>
      <c r="Q7" s="72">
        <f>'Cruise Projections'!AG7</f>
        <v>2031</v>
      </c>
      <c r="R7" s="72">
        <f>'Cruise Projections'!AH7</f>
        <v>2032</v>
      </c>
      <c r="S7" s="72">
        <f>'Cruise Projections'!AI7</f>
        <v>2033</v>
      </c>
      <c r="T7" s="72">
        <f>'Cruise Projections'!AJ7</f>
        <v>2034</v>
      </c>
      <c r="U7" s="72">
        <f>'Cruise Projections'!AK7</f>
        <v>2035</v>
      </c>
      <c r="V7" s="72">
        <f>'Cruise Projections'!AL7</f>
        <v>2036</v>
      </c>
      <c r="W7" s="72">
        <f>'Cruise Projections'!AM7</f>
        <v>2037</v>
      </c>
      <c r="X7" s="72">
        <f>'Cruise Projections'!AN7</f>
        <v>2038</v>
      </c>
    </row>
    <row r="8" spans="1:25" ht="17.25" thickBot="1">
      <c r="D8" s="488"/>
    </row>
    <row r="9" spans="1:25" ht="17.25" thickBot="1">
      <c r="A9" s="117" t="s">
        <v>34</v>
      </c>
      <c r="B9" s="484" t="str">
        <f>'Cruise Projections'!A77</f>
        <v>Scenario 3 - Percent of 2018 Business - Carnival</v>
      </c>
      <c r="D9" s="489"/>
      <c r="E9" s="327"/>
      <c r="F9" s="327"/>
      <c r="G9" s="327"/>
      <c r="H9" s="327"/>
      <c r="I9" s="327"/>
      <c r="J9" s="327"/>
      <c r="K9" s="327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</row>
    <row r="10" spans="1:25">
      <c r="D10" s="489"/>
      <c r="E10" s="327"/>
      <c r="F10" s="327"/>
      <c r="G10" s="327"/>
      <c r="H10" s="327"/>
      <c r="I10" s="327"/>
      <c r="J10" s="327"/>
      <c r="K10" s="327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</row>
    <row r="11" spans="1:25" s="279" customFormat="1" ht="14.25">
      <c r="A11" s="279" t="s">
        <v>83</v>
      </c>
      <c r="D11" s="490"/>
      <c r="E11" s="328"/>
      <c r="F11" s="328"/>
      <c r="G11" s="328"/>
      <c r="H11" s="328"/>
      <c r="I11" s="328"/>
      <c r="J11" s="328"/>
      <c r="K11" s="328"/>
      <c r="L11" s="328"/>
      <c r="M11" s="328"/>
      <c r="N11" s="328"/>
      <c r="O11" s="328"/>
      <c r="P11" s="328"/>
      <c r="Q11" s="328"/>
      <c r="R11" s="328"/>
      <c r="S11" s="328"/>
      <c r="T11" s="328"/>
      <c r="U11" s="328"/>
      <c r="V11" s="328"/>
      <c r="W11" s="328"/>
      <c r="X11" s="328"/>
    </row>
    <row r="12" spans="1:25">
      <c r="A12" s="53" t="str">
        <f>'Cruise Projections'!A67</f>
        <v>Passengers</v>
      </c>
      <c r="B12" s="21"/>
      <c r="C12" s="21"/>
      <c r="D12" s="486">
        <f>'Cruise Projections'!T67</f>
        <v>0</v>
      </c>
      <c r="E12" s="313">
        <v>0</v>
      </c>
      <c r="F12" s="313">
        <f>'Cruise Projections'!V79</f>
        <v>105331.33459735833</v>
      </c>
      <c r="G12" s="313">
        <f>'Cruise Projections'!W79</f>
        <v>105331.33459735833</v>
      </c>
      <c r="H12" s="313">
        <f>'Cruise Projections'!X79</f>
        <v>105331.33459735833</v>
      </c>
      <c r="I12" s="313">
        <f>'Cruise Projections'!Y79</f>
        <v>105331.33459735833</v>
      </c>
      <c r="J12" s="313">
        <f>'Cruise Projections'!Z79</f>
        <v>105331.33459735833</v>
      </c>
      <c r="K12" s="313">
        <f>'Cruise Projections'!AA79</f>
        <v>105331.33459735833</v>
      </c>
      <c r="L12" s="313">
        <f>'Cruise Projections'!AB79</f>
        <v>105331.33459735833</v>
      </c>
      <c r="M12" s="313">
        <f>'Cruise Projections'!AC79</f>
        <v>105331.33459735833</v>
      </c>
      <c r="N12" s="313">
        <f>'Cruise Projections'!AD79</f>
        <v>105331.33459735833</v>
      </c>
      <c r="O12" s="313">
        <f>'Cruise Projections'!AE79</f>
        <v>105331.33459735833</v>
      </c>
      <c r="P12" s="313">
        <f>'Cruise Projections'!AF79</f>
        <v>105331.33459735833</v>
      </c>
      <c r="Q12" s="313">
        <f>'Cruise Projections'!AG79</f>
        <v>105331.33459735833</v>
      </c>
      <c r="R12" s="313">
        <f>'Cruise Projections'!AH79</f>
        <v>105331.33459735833</v>
      </c>
      <c r="S12" s="313">
        <f>'Cruise Projections'!AI79</f>
        <v>105331.33459735833</v>
      </c>
      <c r="T12" s="313">
        <f>'Cruise Projections'!AJ79</f>
        <v>105331.33459735833</v>
      </c>
      <c r="U12" s="313">
        <f>'Cruise Projections'!AK79</f>
        <v>105331.33459735833</v>
      </c>
      <c r="V12" s="313">
        <f>'Cruise Projections'!AL79</f>
        <v>105331.33459735833</v>
      </c>
      <c r="W12" s="313">
        <f>'Cruise Projections'!AM79</f>
        <v>105331.33459735833</v>
      </c>
      <c r="X12" s="313">
        <f>'Cruise Projections'!AN79</f>
        <v>105331.33459735833</v>
      </c>
      <c r="Y12" s="312"/>
    </row>
    <row r="13" spans="1:25">
      <c r="A13" s="53" t="str">
        <f>'Cruise Projections'!A68</f>
        <v>Calls</v>
      </c>
      <c r="B13" s="21"/>
      <c r="C13" s="21"/>
      <c r="D13" s="486">
        <f>'Cruise Projections'!T68</f>
        <v>0</v>
      </c>
      <c r="E13" s="313">
        <v>0</v>
      </c>
      <c r="F13" s="313">
        <f>'Cruise Projections'!V80</f>
        <v>60.199999999999996</v>
      </c>
      <c r="G13" s="313">
        <f>'Cruise Projections'!W80</f>
        <v>60.199999999999996</v>
      </c>
      <c r="H13" s="313">
        <f>'Cruise Projections'!X80</f>
        <v>60.199999999999996</v>
      </c>
      <c r="I13" s="313">
        <f>'Cruise Projections'!Y80</f>
        <v>60.199999999999996</v>
      </c>
      <c r="J13" s="313">
        <f>'Cruise Projections'!Z80</f>
        <v>60.199999999999996</v>
      </c>
      <c r="K13" s="313">
        <f>'Cruise Projections'!AA80</f>
        <v>60.199999999999996</v>
      </c>
      <c r="L13" s="313">
        <f>'Cruise Projections'!AB80</f>
        <v>60.199999999999996</v>
      </c>
      <c r="M13" s="313">
        <f>'Cruise Projections'!AC80</f>
        <v>60.199999999999996</v>
      </c>
      <c r="N13" s="313">
        <f>'Cruise Projections'!AD80</f>
        <v>60.199999999999996</v>
      </c>
      <c r="O13" s="313">
        <f>'Cruise Projections'!AE80</f>
        <v>60.199999999999996</v>
      </c>
      <c r="P13" s="313">
        <f>'Cruise Projections'!AF80</f>
        <v>60.199999999999996</v>
      </c>
      <c r="Q13" s="313">
        <f>'Cruise Projections'!AG80</f>
        <v>60.199999999999996</v>
      </c>
      <c r="R13" s="313">
        <f>'Cruise Projections'!AH80</f>
        <v>60.199999999999996</v>
      </c>
      <c r="S13" s="313">
        <f>'Cruise Projections'!AI80</f>
        <v>60.199999999999996</v>
      </c>
      <c r="T13" s="313">
        <f>'Cruise Projections'!AJ80</f>
        <v>60.199999999999996</v>
      </c>
      <c r="U13" s="313">
        <f>'Cruise Projections'!AK80</f>
        <v>60.199999999999996</v>
      </c>
      <c r="V13" s="313">
        <f>'Cruise Projections'!AL80</f>
        <v>60.199999999999996</v>
      </c>
      <c r="W13" s="313">
        <f>'Cruise Projections'!AM80</f>
        <v>60.199999999999996</v>
      </c>
      <c r="X13" s="313">
        <f>'Cruise Projections'!AN80</f>
        <v>60.199999999999996</v>
      </c>
      <c r="Y13" s="312"/>
    </row>
    <row r="14" spans="1:25">
      <c r="A14" s="53" t="str">
        <f>'Cruise Projections'!A69</f>
        <v>Passengers per Call</v>
      </c>
      <c r="B14" s="21"/>
      <c r="C14" s="21"/>
      <c r="D14" s="486">
        <f>'Cruise Projections'!T69</f>
        <v>0</v>
      </c>
      <c r="E14" s="313">
        <v>0</v>
      </c>
      <c r="F14" s="313">
        <f>'Cruise Projections'!V81</f>
        <v>1749.6899434777133</v>
      </c>
      <c r="G14" s="313">
        <f>'Cruise Projections'!W81</f>
        <v>1749.6899434777133</v>
      </c>
      <c r="H14" s="313">
        <f>'Cruise Projections'!X81</f>
        <v>1749.6899434777133</v>
      </c>
      <c r="I14" s="313">
        <f>'Cruise Projections'!Y81</f>
        <v>1749.6899434777133</v>
      </c>
      <c r="J14" s="313">
        <f>'Cruise Projections'!Z81</f>
        <v>1749.6899434777133</v>
      </c>
      <c r="K14" s="313">
        <f>'Cruise Projections'!AA81</f>
        <v>1749.6899434777133</v>
      </c>
      <c r="L14" s="313">
        <f>'Cruise Projections'!AB81</f>
        <v>1749.6899434777133</v>
      </c>
      <c r="M14" s="313">
        <f>'Cruise Projections'!AC81</f>
        <v>1749.6899434777133</v>
      </c>
      <c r="N14" s="313">
        <f>'Cruise Projections'!AD81</f>
        <v>1749.6899434777133</v>
      </c>
      <c r="O14" s="313">
        <f>'Cruise Projections'!AE81</f>
        <v>1749.6899434777133</v>
      </c>
      <c r="P14" s="313">
        <f>'Cruise Projections'!AF81</f>
        <v>1749.6899434777133</v>
      </c>
      <c r="Q14" s="313">
        <f>'Cruise Projections'!AG81</f>
        <v>1749.6899434777133</v>
      </c>
      <c r="R14" s="313">
        <f>'Cruise Projections'!AH81</f>
        <v>1749.6899434777133</v>
      </c>
      <c r="S14" s="313">
        <f>'Cruise Projections'!AI81</f>
        <v>1749.6899434777133</v>
      </c>
      <c r="T14" s="313">
        <f>'Cruise Projections'!AJ81</f>
        <v>1749.6899434777133</v>
      </c>
      <c r="U14" s="313">
        <f>'Cruise Projections'!AK81</f>
        <v>1749.6899434777133</v>
      </c>
      <c r="V14" s="313">
        <f>'Cruise Projections'!AL81</f>
        <v>1749.6899434777133</v>
      </c>
      <c r="W14" s="313">
        <f>'Cruise Projections'!AM81</f>
        <v>1749.6899434777133</v>
      </c>
      <c r="X14" s="313">
        <f>'Cruise Projections'!AN81</f>
        <v>1749.6899434777133</v>
      </c>
      <c r="Y14" s="312"/>
    </row>
    <row r="15" spans="1:25" s="96" customFormat="1">
      <c r="A15" s="54" t="s">
        <v>313</v>
      </c>
      <c r="B15" s="487"/>
      <c r="C15" s="487"/>
      <c r="D15" s="486">
        <f>'Cruise Projections'!T70</f>
        <v>0</v>
      </c>
      <c r="E15" s="313">
        <v>0</v>
      </c>
      <c r="F15" s="313">
        <f>'Shuttle Projections'!D24</f>
        <v>4120</v>
      </c>
      <c r="G15" s="313">
        <f>'Shuttle Projections'!E24</f>
        <v>4120</v>
      </c>
      <c r="H15" s="313">
        <f>'Shuttle Projections'!F24</f>
        <v>4120</v>
      </c>
      <c r="I15" s="313">
        <f>'Shuttle Projections'!G24</f>
        <v>4120</v>
      </c>
      <c r="J15" s="313">
        <f>'Shuttle Projections'!H24</f>
        <v>4120</v>
      </c>
      <c r="K15" s="313">
        <f>'Shuttle Projections'!I24</f>
        <v>4120</v>
      </c>
      <c r="L15" s="313">
        <f>'Shuttle Projections'!J24</f>
        <v>4120</v>
      </c>
      <c r="M15" s="313">
        <f>'Shuttle Projections'!K24</f>
        <v>4120</v>
      </c>
      <c r="N15" s="313">
        <f>'Shuttle Projections'!L24</f>
        <v>4120</v>
      </c>
      <c r="O15" s="313">
        <f>'Shuttle Projections'!M24</f>
        <v>4120</v>
      </c>
      <c r="P15" s="313">
        <f>'Shuttle Projections'!N24</f>
        <v>4120</v>
      </c>
      <c r="Q15" s="313">
        <f>'Shuttle Projections'!O24</f>
        <v>4120</v>
      </c>
      <c r="R15" s="313">
        <f>'Shuttle Projections'!P24</f>
        <v>4120</v>
      </c>
      <c r="S15" s="313">
        <f>'Shuttle Projections'!Q24</f>
        <v>4120</v>
      </c>
      <c r="T15" s="313">
        <f>'Shuttle Projections'!R24</f>
        <v>4120</v>
      </c>
      <c r="U15" s="313">
        <f>'Shuttle Projections'!S24</f>
        <v>4120</v>
      </c>
      <c r="V15" s="313">
        <f>'Shuttle Projections'!T24</f>
        <v>4120</v>
      </c>
      <c r="W15" s="313">
        <f>'Shuttle Projections'!U24</f>
        <v>4120</v>
      </c>
      <c r="X15" s="313">
        <f>'Shuttle Projections'!V24</f>
        <v>4120</v>
      </c>
      <c r="Y15" s="313"/>
    </row>
    <row r="16" spans="1:25">
      <c r="A16" s="54"/>
      <c r="B16" s="21"/>
      <c r="C16" s="21"/>
      <c r="D16" s="486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</row>
    <row r="17" spans="1:25" s="547" customFormat="1" ht="14.25">
      <c r="A17" s="549" t="s">
        <v>163</v>
      </c>
      <c r="B17" s="550"/>
      <c r="C17" s="550"/>
      <c r="D17" s="610"/>
      <c r="E17" s="551"/>
      <c r="F17" s="551"/>
      <c r="G17" s="551"/>
      <c r="H17" s="551"/>
      <c r="I17" s="551"/>
      <c r="J17" s="551"/>
      <c r="K17" s="551"/>
      <c r="L17" s="551"/>
      <c r="M17" s="551"/>
      <c r="N17" s="551"/>
      <c r="O17" s="551"/>
      <c r="P17" s="551"/>
      <c r="Q17" s="551"/>
      <c r="R17" s="551"/>
      <c r="S17" s="551"/>
      <c r="T17" s="551"/>
      <c r="U17" s="551"/>
      <c r="V17" s="551"/>
      <c r="W17" s="551"/>
      <c r="X17" s="551"/>
    </row>
    <row r="18" spans="1:25" s="341" customFormat="1">
      <c r="A18" s="552" t="str">
        <f>'International Ferry Projections'!A11</f>
        <v>Passengers</v>
      </c>
      <c r="B18" s="553"/>
      <c r="C18" s="553"/>
      <c r="D18" s="554">
        <f>'International Ferry Projections'!B11</f>
        <v>0</v>
      </c>
      <c r="E18" s="555">
        <f>'International Ferry Projections'!C11</f>
        <v>60000</v>
      </c>
      <c r="F18" s="555">
        <f>'International Ferry Projections'!D11</f>
        <v>70000</v>
      </c>
      <c r="G18" s="555">
        <f>'International Ferry Projections'!E11</f>
        <v>80000</v>
      </c>
      <c r="H18" s="555">
        <f>'International Ferry Projections'!F11</f>
        <v>80000</v>
      </c>
      <c r="I18" s="555">
        <f>'International Ferry Projections'!G11</f>
        <v>80000</v>
      </c>
      <c r="J18" s="555">
        <f>'International Ferry Projections'!H11</f>
        <v>80000</v>
      </c>
      <c r="K18" s="555">
        <f>'International Ferry Projections'!I11</f>
        <v>80000</v>
      </c>
      <c r="L18" s="555">
        <f>'International Ferry Projections'!J11</f>
        <v>80000</v>
      </c>
      <c r="M18" s="555">
        <f>'International Ferry Projections'!K11</f>
        <v>80000</v>
      </c>
      <c r="N18" s="555">
        <f>'International Ferry Projections'!L11</f>
        <v>80000</v>
      </c>
      <c r="O18" s="555">
        <f>'International Ferry Projections'!M11</f>
        <v>80000</v>
      </c>
      <c r="P18" s="555">
        <f>'International Ferry Projections'!N11</f>
        <v>80000</v>
      </c>
      <c r="Q18" s="555">
        <f>'International Ferry Projections'!O11</f>
        <v>80000</v>
      </c>
      <c r="R18" s="555">
        <f>'International Ferry Projections'!P11</f>
        <v>80000</v>
      </c>
      <c r="S18" s="555">
        <f>'International Ferry Projections'!Q11</f>
        <v>80000</v>
      </c>
      <c r="T18" s="555">
        <f>'International Ferry Projections'!R11</f>
        <v>80000</v>
      </c>
      <c r="U18" s="555">
        <f>'International Ferry Projections'!S11</f>
        <v>80000</v>
      </c>
      <c r="V18" s="555">
        <f>'International Ferry Projections'!T11</f>
        <v>80000</v>
      </c>
      <c r="W18" s="555">
        <f>'International Ferry Projections'!U11</f>
        <v>80000</v>
      </c>
      <c r="X18" s="555">
        <f>'International Ferry Projections'!V11</f>
        <v>80000</v>
      </c>
    </row>
    <row r="19" spans="1:25" s="341" customFormat="1">
      <c r="A19" s="552" t="str">
        <f>'International Ferry Projections'!A12</f>
        <v>Cars</v>
      </c>
      <c r="B19" s="553"/>
      <c r="C19" s="553"/>
      <c r="D19" s="554">
        <f>'International Ferry Projections'!B12</f>
        <v>0</v>
      </c>
      <c r="E19" s="555">
        <f>'International Ferry Projections'!C12</f>
        <v>24000</v>
      </c>
      <c r="F19" s="555">
        <f>'International Ferry Projections'!D12</f>
        <v>28000</v>
      </c>
      <c r="G19" s="555">
        <f>'International Ferry Projections'!E12</f>
        <v>32000</v>
      </c>
      <c r="H19" s="555">
        <f>'International Ferry Projections'!F12</f>
        <v>32000</v>
      </c>
      <c r="I19" s="555">
        <f>'International Ferry Projections'!G12</f>
        <v>32000</v>
      </c>
      <c r="J19" s="555">
        <f>'International Ferry Projections'!H12</f>
        <v>32000</v>
      </c>
      <c r="K19" s="555">
        <f>'International Ferry Projections'!I12</f>
        <v>32000</v>
      </c>
      <c r="L19" s="555">
        <f>'International Ferry Projections'!J12</f>
        <v>32000</v>
      </c>
      <c r="M19" s="555">
        <f>'International Ferry Projections'!K12</f>
        <v>32000</v>
      </c>
      <c r="N19" s="555">
        <f>'International Ferry Projections'!L12</f>
        <v>32000</v>
      </c>
      <c r="O19" s="555">
        <f>'International Ferry Projections'!M12</f>
        <v>32000</v>
      </c>
      <c r="P19" s="555">
        <f>'International Ferry Projections'!N12</f>
        <v>32000</v>
      </c>
      <c r="Q19" s="555">
        <f>'International Ferry Projections'!O12</f>
        <v>32000</v>
      </c>
      <c r="R19" s="555">
        <f>'International Ferry Projections'!P12</f>
        <v>32000</v>
      </c>
      <c r="S19" s="555">
        <f>'International Ferry Projections'!Q12</f>
        <v>32000</v>
      </c>
      <c r="T19" s="555">
        <f>'International Ferry Projections'!R12</f>
        <v>32000</v>
      </c>
      <c r="U19" s="555">
        <f>'International Ferry Projections'!S12</f>
        <v>32000</v>
      </c>
      <c r="V19" s="555">
        <f>'International Ferry Projections'!T12</f>
        <v>32000</v>
      </c>
      <c r="W19" s="555">
        <f>'International Ferry Projections'!U12</f>
        <v>32000</v>
      </c>
      <c r="X19" s="555">
        <f>'International Ferry Projections'!V12</f>
        <v>32000</v>
      </c>
    </row>
    <row r="20" spans="1:25" s="341" customFormat="1">
      <c r="A20" s="552" t="str">
        <f>'International Ferry Projections'!A13</f>
        <v>Buses</v>
      </c>
      <c r="B20" s="553"/>
      <c r="C20" s="553"/>
      <c r="D20" s="554">
        <f>'International Ferry Projections'!B13</f>
        <v>0</v>
      </c>
      <c r="E20" s="555">
        <f>'International Ferry Projections'!C13</f>
        <v>40</v>
      </c>
      <c r="F20" s="555">
        <f>'International Ferry Projections'!D13</f>
        <v>50</v>
      </c>
      <c r="G20" s="555">
        <f>'International Ferry Projections'!E13</f>
        <v>60</v>
      </c>
      <c r="H20" s="555">
        <f>'International Ferry Projections'!F13</f>
        <v>60</v>
      </c>
      <c r="I20" s="555">
        <f>'International Ferry Projections'!G13</f>
        <v>60</v>
      </c>
      <c r="J20" s="555">
        <f>'International Ferry Projections'!H13</f>
        <v>60</v>
      </c>
      <c r="K20" s="555">
        <f>'International Ferry Projections'!I13</f>
        <v>60</v>
      </c>
      <c r="L20" s="555">
        <f>'International Ferry Projections'!J13</f>
        <v>60</v>
      </c>
      <c r="M20" s="555">
        <f>'International Ferry Projections'!K13</f>
        <v>60</v>
      </c>
      <c r="N20" s="555">
        <f>'International Ferry Projections'!L13</f>
        <v>60</v>
      </c>
      <c r="O20" s="555">
        <f>'International Ferry Projections'!M13</f>
        <v>60</v>
      </c>
      <c r="P20" s="555">
        <f>'International Ferry Projections'!N13</f>
        <v>60</v>
      </c>
      <c r="Q20" s="555">
        <f>'International Ferry Projections'!O13</f>
        <v>60</v>
      </c>
      <c r="R20" s="555">
        <f>'International Ferry Projections'!P13</f>
        <v>60</v>
      </c>
      <c r="S20" s="555">
        <f>'International Ferry Projections'!Q13</f>
        <v>60</v>
      </c>
      <c r="T20" s="555">
        <f>'International Ferry Projections'!R13</f>
        <v>60</v>
      </c>
      <c r="U20" s="555">
        <f>'International Ferry Projections'!S13</f>
        <v>60</v>
      </c>
      <c r="V20" s="555">
        <f>'International Ferry Projections'!T13</f>
        <v>60</v>
      </c>
      <c r="W20" s="555">
        <f>'International Ferry Projections'!U13</f>
        <v>60</v>
      </c>
      <c r="X20" s="555">
        <f>'International Ferry Projections'!V13</f>
        <v>60</v>
      </c>
    </row>
    <row r="21" spans="1:25">
      <c r="A21" s="54"/>
      <c r="B21" s="21"/>
      <c r="C21" s="21"/>
      <c r="D21" s="486"/>
      <c r="E21" s="313"/>
      <c r="F21" s="313"/>
      <c r="G21" s="313"/>
      <c r="H21" s="313"/>
      <c r="I21" s="313"/>
      <c r="J21" s="313"/>
      <c r="K21" s="313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</row>
    <row r="22" spans="1:25" s="582" customFormat="1">
      <c r="A22" s="293" t="str">
        <f>'BH Tariffs'!A30</f>
        <v>Local Ferry</v>
      </c>
      <c r="B22" s="581"/>
      <c r="C22" s="581"/>
      <c r="D22" s="486">
        <v>0</v>
      </c>
      <c r="E22" s="329"/>
      <c r="F22" s="329"/>
      <c r="G22" s="329"/>
      <c r="H22" s="329"/>
      <c r="I22" s="329"/>
      <c r="J22" s="329"/>
      <c r="K22" s="329"/>
      <c r="L22" s="329"/>
      <c r="M22" s="329"/>
      <c r="N22" s="329"/>
      <c r="O22" s="329"/>
      <c r="P22" s="329"/>
      <c r="Q22" s="329"/>
      <c r="R22" s="329"/>
      <c r="S22" s="329"/>
      <c r="T22" s="329"/>
      <c r="U22" s="329"/>
      <c r="V22" s="329"/>
      <c r="W22" s="329"/>
      <c r="X22" s="329"/>
    </row>
    <row r="23" spans="1:25" s="96" customFormat="1">
      <c r="A23" s="54" t="str">
        <f>'BH Tariffs'!A31</f>
        <v>Dock Rent (6 Months Only)</v>
      </c>
      <c r="B23" s="487"/>
      <c r="C23" s="487"/>
      <c r="D23" s="486">
        <v>0</v>
      </c>
      <c r="E23" s="623" t="s">
        <v>286</v>
      </c>
      <c r="F23" s="623" t="s">
        <v>286</v>
      </c>
      <c r="G23" s="623" t="s">
        <v>286</v>
      </c>
      <c r="H23" s="623" t="s">
        <v>286</v>
      </c>
      <c r="I23" s="623" t="s">
        <v>286</v>
      </c>
      <c r="J23" s="623" t="s">
        <v>286</v>
      </c>
      <c r="K23" s="623" t="s">
        <v>286</v>
      </c>
      <c r="L23" s="623" t="s">
        <v>286</v>
      </c>
      <c r="M23" s="623" t="s">
        <v>286</v>
      </c>
      <c r="N23" s="623" t="s">
        <v>286</v>
      </c>
      <c r="O23" s="623" t="s">
        <v>286</v>
      </c>
      <c r="P23" s="623" t="s">
        <v>286</v>
      </c>
      <c r="Q23" s="623" t="s">
        <v>286</v>
      </c>
      <c r="R23" s="623" t="s">
        <v>286</v>
      </c>
      <c r="S23" s="623" t="s">
        <v>286</v>
      </c>
      <c r="T23" s="623" t="s">
        <v>286</v>
      </c>
      <c r="U23" s="623" t="s">
        <v>286</v>
      </c>
      <c r="V23" s="623" t="s">
        <v>286</v>
      </c>
      <c r="W23" s="623" t="s">
        <v>286</v>
      </c>
      <c r="X23" s="623" t="s">
        <v>286</v>
      </c>
    </row>
    <row r="24" spans="1:25" s="341" customFormat="1">
      <c r="A24" s="552"/>
      <c r="B24" s="553"/>
      <c r="C24" s="553"/>
      <c r="D24" s="554"/>
      <c r="E24" s="555"/>
      <c r="F24" s="555"/>
      <c r="G24" s="555"/>
      <c r="H24" s="555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</row>
    <row r="25" spans="1:25" s="96" customFormat="1">
      <c r="A25" s="559" t="s">
        <v>227</v>
      </c>
      <c r="B25" s="487"/>
      <c r="C25" s="487"/>
      <c r="D25" s="486"/>
      <c r="E25" s="313"/>
      <c r="F25" s="313"/>
      <c r="G25" s="313"/>
      <c r="H25" s="313"/>
      <c r="I25" s="313"/>
      <c r="J25" s="313"/>
      <c r="K25" s="313"/>
      <c r="L25" s="313"/>
      <c r="M25" s="313"/>
      <c r="N25" s="313"/>
      <c r="O25" s="313"/>
      <c r="P25" s="313"/>
      <c r="Q25" s="313"/>
      <c r="R25" s="313"/>
      <c r="S25" s="313"/>
      <c r="T25" s="313"/>
      <c r="U25" s="313"/>
      <c r="V25" s="313"/>
      <c r="W25" s="313"/>
      <c r="X25" s="313"/>
    </row>
    <row r="26" spans="1:25">
      <c r="D26" s="486"/>
    </row>
    <row r="27" spans="1:25">
      <c r="A27" s="54" t="s">
        <v>420</v>
      </c>
      <c r="B27" s="21"/>
      <c r="C27" s="21"/>
      <c r="D27" s="486">
        <v>0</v>
      </c>
      <c r="E27" s="313">
        <f>'Marina Projections'!C9</f>
        <v>0</v>
      </c>
      <c r="F27" s="313">
        <f>'Marina Projections'!D9</f>
        <v>214</v>
      </c>
      <c r="G27" s="313">
        <f>'Marina Projections'!E9</f>
        <v>214</v>
      </c>
      <c r="H27" s="313">
        <f>'Marina Projections'!F9</f>
        <v>214</v>
      </c>
      <c r="I27" s="313">
        <f>'Marina Projections'!G9</f>
        <v>214</v>
      </c>
      <c r="J27" s="313">
        <f>'Marina Projections'!H9</f>
        <v>214</v>
      </c>
      <c r="K27" s="313">
        <f>'Marina Projections'!I9</f>
        <v>214</v>
      </c>
      <c r="L27" s="313">
        <f>'Marina Projections'!J9</f>
        <v>214</v>
      </c>
      <c r="M27" s="313">
        <f>'Marina Projections'!K9</f>
        <v>214</v>
      </c>
      <c r="N27" s="313">
        <f>'Marina Projections'!L9</f>
        <v>214</v>
      </c>
      <c r="O27" s="313">
        <f>'Marina Projections'!M9</f>
        <v>214</v>
      </c>
      <c r="P27" s="313">
        <f>'Marina Projections'!N9</f>
        <v>214</v>
      </c>
      <c r="Q27" s="313">
        <f>'Marina Projections'!O9</f>
        <v>214</v>
      </c>
      <c r="R27" s="313">
        <f>'Marina Projections'!P9</f>
        <v>214</v>
      </c>
      <c r="S27" s="313">
        <f>'Marina Projections'!Q9</f>
        <v>214</v>
      </c>
      <c r="T27" s="313">
        <f>'Marina Projections'!R9</f>
        <v>214</v>
      </c>
      <c r="U27" s="313">
        <f>'Marina Projections'!S9</f>
        <v>214</v>
      </c>
      <c r="V27" s="313">
        <f>'Marina Projections'!T9</f>
        <v>214</v>
      </c>
      <c r="W27" s="313">
        <f>'Marina Projections'!U9</f>
        <v>214</v>
      </c>
      <c r="X27" s="313">
        <f>'Marina Projections'!V9</f>
        <v>214</v>
      </c>
    </row>
    <row r="28" spans="1:25">
      <c r="A28" s="54" t="s">
        <v>205</v>
      </c>
      <c r="B28" s="21"/>
      <c r="C28" s="21"/>
      <c r="D28" s="486">
        <v>0</v>
      </c>
      <c r="E28" s="330">
        <v>0</v>
      </c>
      <c r="F28" s="330">
        <f>'Cruise Projections'!V80</f>
        <v>60.199999999999996</v>
      </c>
      <c r="G28" s="330">
        <f>'Cruise Projections'!W80</f>
        <v>60.199999999999996</v>
      </c>
      <c r="H28" s="330">
        <f>'Cruise Projections'!X80</f>
        <v>60.199999999999996</v>
      </c>
      <c r="I28" s="330">
        <f>'Cruise Projections'!Y80</f>
        <v>60.199999999999996</v>
      </c>
      <c r="J28" s="330">
        <f>'Cruise Projections'!Z80</f>
        <v>60.199999999999996</v>
      </c>
      <c r="K28" s="330">
        <f>'Cruise Projections'!AA80</f>
        <v>60.199999999999996</v>
      </c>
      <c r="L28" s="330">
        <f>'Cruise Projections'!AB80</f>
        <v>60.199999999999996</v>
      </c>
      <c r="M28" s="330">
        <f>'Cruise Projections'!AC80</f>
        <v>60.199999999999996</v>
      </c>
      <c r="N28" s="330">
        <f>'Cruise Projections'!AD80</f>
        <v>60.199999999999996</v>
      </c>
      <c r="O28" s="330">
        <f>'Cruise Projections'!AE80</f>
        <v>60.199999999999996</v>
      </c>
      <c r="P28" s="330">
        <f>'Cruise Projections'!AF80</f>
        <v>60.199999999999996</v>
      </c>
      <c r="Q28" s="330">
        <f>'Cruise Projections'!AG80</f>
        <v>60.199999999999996</v>
      </c>
      <c r="R28" s="330">
        <f>'Cruise Projections'!AH80</f>
        <v>60.199999999999996</v>
      </c>
      <c r="S28" s="330">
        <f>'Cruise Projections'!AI80</f>
        <v>60.199999999999996</v>
      </c>
      <c r="T28" s="330">
        <f>'Cruise Projections'!AJ80</f>
        <v>60.199999999999996</v>
      </c>
      <c r="U28" s="330">
        <f>'Cruise Projections'!AK80</f>
        <v>60.199999999999996</v>
      </c>
      <c r="V28" s="330">
        <f>'Cruise Projections'!AL80</f>
        <v>60.199999999999996</v>
      </c>
      <c r="W28" s="330">
        <f>'Cruise Projections'!AM80</f>
        <v>60.199999999999996</v>
      </c>
      <c r="X28" s="330">
        <f>'Cruise Projections'!AN80</f>
        <v>60.199999999999996</v>
      </c>
      <c r="Y28" s="32"/>
    </row>
    <row r="29" spans="1:25" s="341" customFormat="1">
      <c r="A29" s="552" t="s">
        <v>219</v>
      </c>
      <c r="B29" s="553"/>
      <c r="C29" s="553"/>
      <c r="D29" s="554">
        <v>0</v>
      </c>
      <c r="E29" s="560">
        <v>150</v>
      </c>
      <c r="F29" s="560">
        <f>E29</f>
        <v>150</v>
      </c>
      <c r="G29" s="560">
        <f t="shared" ref="G29:X29" si="0">F29</f>
        <v>150</v>
      </c>
      <c r="H29" s="560">
        <f t="shared" si="0"/>
        <v>150</v>
      </c>
      <c r="I29" s="560">
        <f t="shared" si="0"/>
        <v>150</v>
      </c>
      <c r="J29" s="560">
        <f t="shared" si="0"/>
        <v>150</v>
      </c>
      <c r="K29" s="560">
        <f t="shared" si="0"/>
        <v>150</v>
      </c>
      <c r="L29" s="560">
        <f t="shared" si="0"/>
        <v>150</v>
      </c>
      <c r="M29" s="560">
        <f t="shared" si="0"/>
        <v>150</v>
      </c>
      <c r="N29" s="560">
        <f t="shared" si="0"/>
        <v>150</v>
      </c>
      <c r="O29" s="560">
        <f t="shared" si="0"/>
        <v>150</v>
      </c>
      <c r="P29" s="560">
        <f t="shared" si="0"/>
        <v>150</v>
      </c>
      <c r="Q29" s="560">
        <f t="shared" si="0"/>
        <v>150</v>
      </c>
      <c r="R29" s="560">
        <f t="shared" si="0"/>
        <v>150</v>
      </c>
      <c r="S29" s="560">
        <f t="shared" si="0"/>
        <v>150</v>
      </c>
      <c r="T29" s="560">
        <f t="shared" si="0"/>
        <v>150</v>
      </c>
      <c r="U29" s="560">
        <f t="shared" si="0"/>
        <v>150</v>
      </c>
      <c r="V29" s="560">
        <f t="shared" si="0"/>
        <v>150</v>
      </c>
      <c r="W29" s="560">
        <f t="shared" si="0"/>
        <v>150</v>
      </c>
      <c r="X29" s="560">
        <f t="shared" si="0"/>
        <v>150</v>
      </c>
      <c r="Y29" s="561"/>
    </row>
    <row r="30" spans="1:25" s="341" customFormat="1">
      <c r="A30" s="552" t="s">
        <v>220</v>
      </c>
      <c r="B30" s="553"/>
      <c r="C30" s="553"/>
      <c r="D30" s="554">
        <v>0</v>
      </c>
      <c r="E30" s="611">
        <f>E28/E29</f>
        <v>0</v>
      </c>
      <c r="F30" s="611">
        <f t="shared" ref="F30:X30" si="1">F28/F29</f>
        <v>0.40133333333333332</v>
      </c>
      <c r="G30" s="611">
        <f t="shared" si="1"/>
        <v>0.40133333333333332</v>
      </c>
      <c r="H30" s="611">
        <f t="shared" si="1"/>
        <v>0.40133333333333332</v>
      </c>
      <c r="I30" s="611">
        <f t="shared" si="1"/>
        <v>0.40133333333333332</v>
      </c>
      <c r="J30" s="611">
        <f t="shared" si="1"/>
        <v>0.40133333333333332</v>
      </c>
      <c r="K30" s="611">
        <f t="shared" si="1"/>
        <v>0.40133333333333332</v>
      </c>
      <c r="L30" s="611">
        <f t="shared" si="1"/>
        <v>0.40133333333333332</v>
      </c>
      <c r="M30" s="611">
        <f t="shared" si="1"/>
        <v>0.40133333333333332</v>
      </c>
      <c r="N30" s="611">
        <f t="shared" si="1"/>
        <v>0.40133333333333332</v>
      </c>
      <c r="O30" s="611">
        <f t="shared" si="1"/>
        <v>0.40133333333333332</v>
      </c>
      <c r="P30" s="611">
        <f t="shared" si="1"/>
        <v>0.40133333333333332</v>
      </c>
      <c r="Q30" s="611">
        <f t="shared" si="1"/>
        <v>0.40133333333333332</v>
      </c>
      <c r="R30" s="611">
        <f t="shared" si="1"/>
        <v>0.40133333333333332</v>
      </c>
      <c r="S30" s="611">
        <f t="shared" si="1"/>
        <v>0.40133333333333332</v>
      </c>
      <c r="T30" s="611">
        <f t="shared" si="1"/>
        <v>0.40133333333333332</v>
      </c>
      <c r="U30" s="611">
        <f t="shared" si="1"/>
        <v>0.40133333333333332</v>
      </c>
      <c r="V30" s="611">
        <f t="shared" si="1"/>
        <v>0.40133333333333332</v>
      </c>
      <c r="W30" s="611">
        <f t="shared" si="1"/>
        <v>0.40133333333333332</v>
      </c>
      <c r="X30" s="611">
        <f t="shared" si="1"/>
        <v>0.40133333333333332</v>
      </c>
      <c r="Y30" s="561"/>
    </row>
    <row r="31" spans="1:25" s="96" customFormat="1">
      <c r="A31" s="54" t="s">
        <v>226</v>
      </c>
      <c r="B31" s="487"/>
      <c r="C31" s="487"/>
      <c r="D31" s="486">
        <v>0</v>
      </c>
      <c r="E31" s="330">
        <v>0</v>
      </c>
      <c r="F31" s="330">
        <v>125</v>
      </c>
      <c r="G31" s="330">
        <v>125</v>
      </c>
      <c r="H31" s="330">
        <v>125</v>
      </c>
      <c r="I31" s="330">
        <v>125</v>
      </c>
      <c r="J31" s="330">
        <v>125</v>
      </c>
      <c r="K31" s="330">
        <v>125</v>
      </c>
      <c r="L31" s="330">
        <v>125</v>
      </c>
      <c r="M31" s="330">
        <v>125</v>
      </c>
      <c r="N31" s="330">
        <v>125</v>
      </c>
      <c r="O31" s="330">
        <v>125</v>
      </c>
      <c r="P31" s="330">
        <v>125</v>
      </c>
      <c r="Q31" s="330">
        <v>125</v>
      </c>
      <c r="R31" s="330">
        <v>125</v>
      </c>
      <c r="S31" s="330">
        <v>125</v>
      </c>
      <c r="T31" s="330">
        <v>125</v>
      </c>
      <c r="U31" s="330">
        <v>125</v>
      </c>
      <c r="V31" s="330">
        <v>125</v>
      </c>
      <c r="W31" s="330">
        <v>125</v>
      </c>
      <c r="X31" s="330">
        <v>125</v>
      </c>
      <c r="Y31" s="58"/>
    </row>
    <row r="32" spans="1:25">
      <c r="A32" s="54"/>
      <c r="B32" s="21"/>
      <c r="C32" s="21"/>
      <c r="D32" s="486"/>
      <c r="E32" s="495"/>
      <c r="F32" s="495"/>
      <c r="G32" s="495"/>
      <c r="H32" s="495"/>
      <c r="I32" s="495"/>
      <c r="J32" s="495"/>
      <c r="K32" s="495"/>
      <c r="L32" s="495"/>
      <c r="M32" s="495"/>
      <c r="N32" s="495"/>
      <c r="O32" s="495"/>
      <c r="P32" s="495"/>
      <c r="Q32" s="495"/>
      <c r="R32" s="495"/>
      <c r="S32" s="495"/>
      <c r="T32" s="495"/>
      <c r="U32" s="495"/>
      <c r="V32" s="495"/>
      <c r="W32" s="495"/>
      <c r="X32" s="495"/>
      <c r="Y32" s="32"/>
    </row>
    <row r="33" spans="1:25">
      <c r="A33" s="54" t="s">
        <v>206</v>
      </c>
      <c r="B33" s="21"/>
      <c r="C33" s="21"/>
      <c r="D33" s="486">
        <v>0</v>
      </c>
      <c r="E33" s="313">
        <v>0</v>
      </c>
      <c r="F33" s="313">
        <f t="shared" ref="F33:X33" si="2">F12/F28</f>
        <v>1749.6899434777133</v>
      </c>
      <c r="G33" s="313">
        <f t="shared" si="2"/>
        <v>1749.6899434777133</v>
      </c>
      <c r="H33" s="313">
        <f t="shared" si="2"/>
        <v>1749.6899434777133</v>
      </c>
      <c r="I33" s="313">
        <f t="shared" si="2"/>
        <v>1749.6899434777133</v>
      </c>
      <c r="J33" s="313">
        <f t="shared" si="2"/>
        <v>1749.6899434777133</v>
      </c>
      <c r="K33" s="313">
        <f t="shared" si="2"/>
        <v>1749.6899434777133</v>
      </c>
      <c r="L33" s="313">
        <f t="shared" si="2"/>
        <v>1749.6899434777133</v>
      </c>
      <c r="M33" s="313">
        <f t="shared" si="2"/>
        <v>1749.6899434777133</v>
      </c>
      <c r="N33" s="313">
        <f t="shared" si="2"/>
        <v>1749.6899434777133</v>
      </c>
      <c r="O33" s="313">
        <f t="shared" si="2"/>
        <v>1749.6899434777133</v>
      </c>
      <c r="P33" s="313">
        <f t="shared" si="2"/>
        <v>1749.6899434777133</v>
      </c>
      <c r="Q33" s="313">
        <f t="shared" si="2"/>
        <v>1749.6899434777133</v>
      </c>
      <c r="R33" s="313">
        <f t="shared" si="2"/>
        <v>1749.6899434777133</v>
      </c>
      <c r="S33" s="313">
        <f t="shared" si="2"/>
        <v>1749.6899434777133</v>
      </c>
      <c r="T33" s="313">
        <f t="shared" si="2"/>
        <v>1749.6899434777133</v>
      </c>
      <c r="U33" s="313">
        <f t="shared" si="2"/>
        <v>1749.6899434777133</v>
      </c>
      <c r="V33" s="313">
        <f t="shared" si="2"/>
        <v>1749.6899434777133</v>
      </c>
      <c r="W33" s="313">
        <f t="shared" si="2"/>
        <v>1749.6899434777133</v>
      </c>
      <c r="X33" s="313">
        <f t="shared" si="2"/>
        <v>1749.6899434777133</v>
      </c>
    </row>
    <row r="34" spans="1:25">
      <c r="A34" s="54" t="s">
        <v>207</v>
      </c>
      <c r="B34" s="21"/>
      <c r="C34" s="21"/>
      <c r="D34" s="486">
        <v>0</v>
      </c>
      <c r="E34" s="313">
        <v>0</v>
      </c>
      <c r="F34" s="313">
        <v>5500</v>
      </c>
      <c r="G34" s="313">
        <v>5500</v>
      </c>
      <c r="H34" s="313">
        <v>5500</v>
      </c>
      <c r="I34" s="313">
        <v>5500</v>
      </c>
      <c r="J34" s="313">
        <v>5500</v>
      </c>
      <c r="K34" s="313">
        <v>5500</v>
      </c>
      <c r="L34" s="313">
        <v>5500</v>
      </c>
      <c r="M34" s="313">
        <v>5500</v>
      </c>
      <c r="N34" s="313">
        <v>5500</v>
      </c>
      <c r="O34" s="313">
        <v>5500</v>
      </c>
      <c r="P34" s="313">
        <v>5500</v>
      </c>
      <c r="Q34" s="313">
        <v>5500</v>
      </c>
      <c r="R34" s="313">
        <v>5500</v>
      </c>
      <c r="S34" s="313">
        <v>5500</v>
      </c>
      <c r="T34" s="313">
        <v>5500</v>
      </c>
      <c r="U34" s="313">
        <v>5500</v>
      </c>
      <c r="V34" s="313">
        <v>5500</v>
      </c>
      <c r="W34" s="313">
        <v>5500</v>
      </c>
      <c r="X34" s="313">
        <v>5500</v>
      </c>
    </row>
    <row r="35" spans="1:25" s="341" customFormat="1">
      <c r="A35" s="552" t="s">
        <v>221</v>
      </c>
      <c r="B35" s="553"/>
      <c r="C35" s="553"/>
      <c r="D35" s="554">
        <v>0</v>
      </c>
      <c r="E35" s="560">
        <f>E18/E29</f>
        <v>400</v>
      </c>
      <c r="F35" s="560">
        <f t="shared" ref="F35:X35" si="3">F18/F29</f>
        <v>466.66666666666669</v>
      </c>
      <c r="G35" s="560">
        <f t="shared" si="3"/>
        <v>533.33333333333337</v>
      </c>
      <c r="H35" s="560">
        <f t="shared" si="3"/>
        <v>533.33333333333337</v>
      </c>
      <c r="I35" s="560">
        <f t="shared" si="3"/>
        <v>533.33333333333337</v>
      </c>
      <c r="J35" s="560">
        <f t="shared" si="3"/>
        <v>533.33333333333337</v>
      </c>
      <c r="K35" s="560">
        <f t="shared" si="3"/>
        <v>533.33333333333337</v>
      </c>
      <c r="L35" s="560">
        <f t="shared" si="3"/>
        <v>533.33333333333337</v>
      </c>
      <c r="M35" s="560">
        <f t="shared" si="3"/>
        <v>533.33333333333337</v>
      </c>
      <c r="N35" s="560">
        <f t="shared" si="3"/>
        <v>533.33333333333337</v>
      </c>
      <c r="O35" s="560">
        <f t="shared" si="3"/>
        <v>533.33333333333337</v>
      </c>
      <c r="P35" s="560">
        <f t="shared" si="3"/>
        <v>533.33333333333337</v>
      </c>
      <c r="Q35" s="560">
        <f t="shared" si="3"/>
        <v>533.33333333333337</v>
      </c>
      <c r="R35" s="560">
        <f t="shared" si="3"/>
        <v>533.33333333333337</v>
      </c>
      <c r="S35" s="560">
        <f t="shared" si="3"/>
        <v>533.33333333333337</v>
      </c>
      <c r="T35" s="560">
        <f t="shared" si="3"/>
        <v>533.33333333333337</v>
      </c>
      <c r="U35" s="560">
        <f t="shared" si="3"/>
        <v>533.33333333333337</v>
      </c>
      <c r="V35" s="560">
        <f t="shared" si="3"/>
        <v>533.33333333333337</v>
      </c>
      <c r="W35" s="560">
        <f t="shared" si="3"/>
        <v>533.33333333333337</v>
      </c>
      <c r="X35" s="560">
        <f t="shared" si="3"/>
        <v>533.33333333333337</v>
      </c>
    </row>
    <row r="36" spans="1:25" s="341" customFormat="1">
      <c r="A36" s="552" t="s">
        <v>222</v>
      </c>
      <c r="B36" s="553"/>
      <c r="C36" s="553"/>
      <c r="D36" s="554">
        <v>0</v>
      </c>
      <c r="E36" s="560">
        <v>800</v>
      </c>
      <c r="F36" s="560">
        <v>800</v>
      </c>
      <c r="G36" s="560">
        <v>800</v>
      </c>
      <c r="H36" s="560">
        <v>800</v>
      </c>
      <c r="I36" s="560">
        <v>800</v>
      </c>
      <c r="J36" s="560">
        <v>800</v>
      </c>
      <c r="K36" s="560">
        <v>800</v>
      </c>
      <c r="L36" s="560">
        <v>800</v>
      </c>
      <c r="M36" s="560">
        <v>800</v>
      </c>
      <c r="N36" s="560">
        <v>800</v>
      </c>
      <c r="O36" s="560">
        <v>800</v>
      </c>
      <c r="P36" s="560">
        <v>800</v>
      </c>
      <c r="Q36" s="560">
        <v>800</v>
      </c>
      <c r="R36" s="560">
        <v>800</v>
      </c>
      <c r="S36" s="560">
        <v>800</v>
      </c>
      <c r="T36" s="560">
        <v>800</v>
      </c>
      <c r="U36" s="560">
        <v>800</v>
      </c>
      <c r="V36" s="560">
        <v>800</v>
      </c>
      <c r="W36" s="560">
        <v>800</v>
      </c>
      <c r="X36" s="560">
        <v>800</v>
      </c>
    </row>
    <row r="37" spans="1:25" s="341" customFormat="1">
      <c r="A37" s="552" t="s">
        <v>208</v>
      </c>
      <c r="B37" s="553"/>
      <c r="C37" s="553"/>
      <c r="D37" s="554">
        <v>0</v>
      </c>
      <c r="E37" s="560">
        <f>SUM(E34,E36)</f>
        <v>800</v>
      </c>
      <c r="F37" s="560">
        <f t="shared" ref="F37:X37" si="4">SUM(F34,F36)</f>
        <v>6300</v>
      </c>
      <c r="G37" s="560">
        <f t="shared" si="4"/>
        <v>6300</v>
      </c>
      <c r="H37" s="560">
        <f t="shared" si="4"/>
        <v>6300</v>
      </c>
      <c r="I37" s="560">
        <f t="shared" si="4"/>
        <v>6300</v>
      </c>
      <c r="J37" s="560">
        <f t="shared" si="4"/>
        <v>6300</v>
      </c>
      <c r="K37" s="560">
        <f t="shared" si="4"/>
        <v>6300</v>
      </c>
      <c r="L37" s="560">
        <f t="shared" si="4"/>
        <v>6300</v>
      </c>
      <c r="M37" s="560">
        <f t="shared" si="4"/>
        <v>6300</v>
      </c>
      <c r="N37" s="560">
        <f t="shared" si="4"/>
        <v>6300</v>
      </c>
      <c r="O37" s="560">
        <f t="shared" si="4"/>
        <v>6300</v>
      </c>
      <c r="P37" s="560">
        <f t="shared" si="4"/>
        <v>6300</v>
      </c>
      <c r="Q37" s="560">
        <f t="shared" si="4"/>
        <v>6300</v>
      </c>
      <c r="R37" s="560">
        <f t="shared" si="4"/>
        <v>6300</v>
      </c>
      <c r="S37" s="560">
        <f t="shared" si="4"/>
        <v>6300</v>
      </c>
      <c r="T37" s="560">
        <f t="shared" si="4"/>
        <v>6300</v>
      </c>
      <c r="U37" s="560">
        <f t="shared" si="4"/>
        <v>6300</v>
      </c>
      <c r="V37" s="560">
        <f t="shared" si="4"/>
        <v>6300</v>
      </c>
      <c r="W37" s="560">
        <f t="shared" si="4"/>
        <v>6300</v>
      </c>
      <c r="X37" s="560">
        <f t="shared" si="4"/>
        <v>6300</v>
      </c>
    </row>
    <row r="38" spans="1:25">
      <c r="A38" s="54"/>
      <c r="B38" s="21"/>
      <c r="C38" s="21"/>
      <c r="D38" s="486"/>
      <c r="E38" s="330"/>
      <c r="F38" s="330"/>
      <c r="G38" s="330"/>
      <c r="H38" s="330"/>
      <c r="I38" s="330"/>
      <c r="J38" s="330"/>
      <c r="K38" s="330"/>
      <c r="L38" s="330"/>
      <c r="M38" s="330"/>
      <c r="N38" s="330"/>
      <c r="O38" s="330"/>
      <c r="P38" s="330"/>
      <c r="Q38" s="330"/>
      <c r="R38" s="330"/>
      <c r="S38" s="330"/>
      <c r="T38" s="330"/>
      <c r="U38" s="330"/>
      <c r="V38" s="330"/>
      <c r="W38" s="330"/>
      <c r="X38" s="330"/>
    </row>
    <row r="39" spans="1:25" s="341" customFormat="1">
      <c r="A39" s="552" t="s">
        <v>223</v>
      </c>
      <c r="B39" s="557"/>
      <c r="C39" s="557"/>
      <c r="D39" s="554">
        <v>0</v>
      </c>
      <c r="E39" s="555">
        <f>(E19+E20)/E29</f>
        <v>160.26666666666668</v>
      </c>
      <c r="F39" s="555">
        <f t="shared" ref="F39:X39" si="5">(F19+F20)/F29</f>
        <v>187</v>
      </c>
      <c r="G39" s="555">
        <f t="shared" si="5"/>
        <v>213.73333333333332</v>
      </c>
      <c r="H39" s="555">
        <f t="shared" si="5"/>
        <v>213.73333333333332</v>
      </c>
      <c r="I39" s="555">
        <f t="shared" si="5"/>
        <v>213.73333333333332</v>
      </c>
      <c r="J39" s="555">
        <f t="shared" si="5"/>
        <v>213.73333333333332</v>
      </c>
      <c r="K39" s="555">
        <f t="shared" si="5"/>
        <v>213.73333333333332</v>
      </c>
      <c r="L39" s="555">
        <f t="shared" si="5"/>
        <v>213.73333333333332</v>
      </c>
      <c r="M39" s="555">
        <f t="shared" si="5"/>
        <v>213.73333333333332</v>
      </c>
      <c r="N39" s="555">
        <f t="shared" si="5"/>
        <v>213.73333333333332</v>
      </c>
      <c r="O39" s="555">
        <f t="shared" si="5"/>
        <v>213.73333333333332</v>
      </c>
      <c r="P39" s="555">
        <f t="shared" si="5"/>
        <v>213.73333333333332</v>
      </c>
      <c r="Q39" s="555">
        <f t="shared" si="5"/>
        <v>213.73333333333332</v>
      </c>
      <c r="R39" s="555">
        <f t="shared" si="5"/>
        <v>213.73333333333332</v>
      </c>
      <c r="S39" s="555">
        <f t="shared" si="5"/>
        <v>213.73333333333332</v>
      </c>
      <c r="T39" s="555">
        <f t="shared" si="5"/>
        <v>213.73333333333332</v>
      </c>
      <c r="U39" s="555">
        <f t="shared" si="5"/>
        <v>213.73333333333332</v>
      </c>
      <c r="V39" s="555">
        <f t="shared" si="5"/>
        <v>213.73333333333332</v>
      </c>
      <c r="W39" s="555">
        <f t="shared" si="5"/>
        <v>213.73333333333332</v>
      </c>
      <c r="X39" s="555">
        <f t="shared" si="5"/>
        <v>213.73333333333332</v>
      </c>
    </row>
    <row r="40" spans="1:25">
      <c r="A40" s="54"/>
      <c r="B40" s="74"/>
      <c r="C40" s="74"/>
      <c r="D40" s="492"/>
      <c r="E40" s="308"/>
      <c r="F40" s="308"/>
      <c r="G40" s="308"/>
      <c r="H40" s="308"/>
      <c r="I40" s="308"/>
      <c r="J40" s="308"/>
      <c r="K40" s="308"/>
      <c r="L40" s="308"/>
      <c r="M40" s="308"/>
      <c r="N40" s="308"/>
      <c r="O40" s="308"/>
      <c r="P40" s="308"/>
      <c r="Q40" s="308"/>
      <c r="R40" s="308"/>
      <c r="S40" s="308"/>
      <c r="T40" s="308"/>
      <c r="U40" s="308"/>
      <c r="V40" s="308"/>
      <c r="W40" s="308"/>
      <c r="X40" s="308"/>
    </row>
    <row r="41" spans="1:25">
      <c r="A41" s="293" t="s">
        <v>26</v>
      </c>
      <c r="B41" s="74"/>
      <c r="C41" s="74"/>
      <c r="D41" s="492"/>
      <c r="E41" s="308"/>
      <c r="F41" s="308"/>
      <c r="G41" s="308"/>
      <c r="H41" s="308"/>
      <c r="I41" s="308"/>
      <c r="J41" s="308"/>
      <c r="K41" s="308"/>
      <c r="L41" s="308"/>
      <c r="M41" s="308"/>
      <c r="N41" s="308"/>
      <c r="O41" s="308"/>
      <c r="P41" s="308"/>
      <c r="Q41" s="308"/>
      <c r="R41" s="308"/>
      <c r="S41" s="308"/>
      <c r="T41" s="308"/>
      <c r="U41" s="308"/>
      <c r="V41" s="308"/>
      <c r="W41" s="308"/>
      <c r="X41" s="308"/>
    </row>
    <row r="42" spans="1:25">
      <c r="A42" s="54" t="s">
        <v>264</v>
      </c>
      <c r="B42" s="277"/>
      <c r="C42" s="74"/>
      <c r="D42" s="486">
        <v>0</v>
      </c>
      <c r="E42" s="313">
        <f>'Parking Projections'!C42/2</f>
        <v>1201.4583333333335</v>
      </c>
      <c r="F42" s="313">
        <f>'Parking Projections'!D42</f>
        <v>2402.916666666667</v>
      </c>
      <c r="G42" s="313">
        <f>'Parking Projections'!E42</f>
        <v>2402.916666666667</v>
      </c>
      <c r="H42" s="313">
        <f>'Parking Projections'!F42</f>
        <v>2402.916666666667</v>
      </c>
      <c r="I42" s="313">
        <f>'Parking Projections'!G42</f>
        <v>2402.916666666667</v>
      </c>
      <c r="J42" s="313">
        <f>'Parking Projections'!H42</f>
        <v>2402.916666666667</v>
      </c>
      <c r="K42" s="313">
        <f>'Parking Projections'!I42</f>
        <v>2402.916666666667</v>
      </c>
      <c r="L42" s="313">
        <f>'Parking Projections'!J42</f>
        <v>2402.916666666667</v>
      </c>
      <c r="M42" s="313">
        <f>'Parking Projections'!K42</f>
        <v>2402.916666666667</v>
      </c>
      <c r="N42" s="313">
        <f>'Parking Projections'!L42</f>
        <v>2402.916666666667</v>
      </c>
      <c r="O42" s="313">
        <f>'Parking Projections'!M42</f>
        <v>2402.916666666667</v>
      </c>
      <c r="P42" s="313">
        <f>'Parking Projections'!N42</f>
        <v>2402.916666666667</v>
      </c>
      <c r="Q42" s="313">
        <f>'Parking Projections'!O42</f>
        <v>2402.916666666667</v>
      </c>
      <c r="R42" s="313">
        <f>'Parking Projections'!P42</f>
        <v>2402.916666666667</v>
      </c>
      <c r="S42" s="313">
        <f>'Parking Projections'!Q42</f>
        <v>2402.916666666667</v>
      </c>
      <c r="T42" s="313">
        <f>'Parking Projections'!R42</f>
        <v>2402.916666666667</v>
      </c>
      <c r="U42" s="313">
        <f>'Parking Projections'!S42</f>
        <v>2402.916666666667</v>
      </c>
      <c r="V42" s="313">
        <f>'Parking Projections'!T42</f>
        <v>2402.916666666667</v>
      </c>
      <c r="W42" s="313">
        <f>'Parking Projections'!U42</f>
        <v>2402.916666666667</v>
      </c>
      <c r="X42" s="313">
        <f>'Parking Projections'!V42</f>
        <v>2402.916666666667</v>
      </c>
      <c r="Y42" s="313"/>
    </row>
    <row r="43" spans="1:25">
      <c r="A43" s="54" t="s">
        <v>267</v>
      </c>
      <c r="B43" s="277"/>
      <c r="C43" s="74"/>
      <c r="D43" s="486">
        <v>0</v>
      </c>
      <c r="E43" s="313">
        <f>'Parking Projections'!C46/2</f>
        <v>14265.416666666664</v>
      </c>
      <c r="F43" s="313">
        <f>'Parking Projections'!D46</f>
        <v>28530.833333333328</v>
      </c>
      <c r="G43" s="313">
        <f>'Parking Projections'!E46</f>
        <v>28530.833333333328</v>
      </c>
      <c r="H43" s="313">
        <f>'Parking Projections'!F46</f>
        <v>28530.833333333328</v>
      </c>
      <c r="I43" s="313">
        <f>'Parking Projections'!G46</f>
        <v>28530.833333333328</v>
      </c>
      <c r="J43" s="313">
        <f>'Parking Projections'!H46</f>
        <v>28530.833333333328</v>
      </c>
      <c r="K43" s="313">
        <f>'Parking Projections'!I46</f>
        <v>28530.833333333328</v>
      </c>
      <c r="L43" s="313">
        <f>'Parking Projections'!J46</f>
        <v>28530.833333333328</v>
      </c>
      <c r="M43" s="313">
        <f>'Parking Projections'!K46</f>
        <v>28530.833333333328</v>
      </c>
      <c r="N43" s="313">
        <f>'Parking Projections'!L46</f>
        <v>28530.833333333328</v>
      </c>
      <c r="O43" s="313">
        <f>'Parking Projections'!M46</f>
        <v>28530.833333333328</v>
      </c>
      <c r="P43" s="313">
        <f>'Parking Projections'!N46</f>
        <v>28530.833333333328</v>
      </c>
      <c r="Q43" s="313">
        <f>'Parking Projections'!O46</f>
        <v>28530.833333333328</v>
      </c>
      <c r="R43" s="313">
        <f>'Parking Projections'!P46</f>
        <v>28530.833333333328</v>
      </c>
      <c r="S43" s="313">
        <f>'Parking Projections'!Q46</f>
        <v>28530.833333333328</v>
      </c>
      <c r="T43" s="313">
        <f>'Parking Projections'!R46</f>
        <v>28530.833333333328</v>
      </c>
      <c r="U43" s="313">
        <f>'Parking Projections'!S46</f>
        <v>28530.833333333328</v>
      </c>
      <c r="V43" s="313">
        <f>'Parking Projections'!T46</f>
        <v>28530.833333333328</v>
      </c>
      <c r="W43" s="313">
        <f>'Parking Projections'!U46</f>
        <v>28530.833333333328</v>
      </c>
      <c r="X43" s="313">
        <f>'Parking Projections'!V46</f>
        <v>28530.833333333328</v>
      </c>
      <c r="Y43" s="313"/>
    </row>
    <row r="44" spans="1:25" s="96" customFormat="1">
      <c r="A44" s="54" t="s">
        <v>274</v>
      </c>
      <c r="B44" s="435"/>
      <c r="C44" s="583"/>
      <c r="D44" s="486">
        <v>0</v>
      </c>
      <c r="E44" s="313">
        <f>SUM(E42:E43)</f>
        <v>15466.874999999998</v>
      </c>
      <c r="F44" s="313">
        <f>SUM(F42:F43)</f>
        <v>30933.749999999996</v>
      </c>
      <c r="G44" s="313">
        <f t="shared" ref="G44:X44" si="6">SUM(G42:G43)</f>
        <v>30933.749999999996</v>
      </c>
      <c r="H44" s="313">
        <f t="shared" si="6"/>
        <v>30933.749999999996</v>
      </c>
      <c r="I44" s="313">
        <f t="shared" si="6"/>
        <v>30933.749999999996</v>
      </c>
      <c r="J44" s="313">
        <f t="shared" si="6"/>
        <v>30933.749999999996</v>
      </c>
      <c r="K44" s="313">
        <f t="shared" si="6"/>
        <v>30933.749999999996</v>
      </c>
      <c r="L44" s="313">
        <f t="shared" si="6"/>
        <v>30933.749999999996</v>
      </c>
      <c r="M44" s="313">
        <f t="shared" si="6"/>
        <v>30933.749999999996</v>
      </c>
      <c r="N44" s="313">
        <f t="shared" si="6"/>
        <v>30933.749999999996</v>
      </c>
      <c r="O44" s="313">
        <f t="shared" si="6"/>
        <v>30933.749999999996</v>
      </c>
      <c r="P44" s="313">
        <f t="shared" si="6"/>
        <v>30933.749999999996</v>
      </c>
      <c r="Q44" s="313">
        <f t="shared" si="6"/>
        <v>30933.749999999996</v>
      </c>
      <c r="R44" s="313">
        <f t="shared" si="6"/>
        <v>30933.749999999996</v>
      </c>
      <c r="S44" s="313">
        <f t="shared" si="6"/>
        <v>30933.749999999996</v>
      </c>
      <c r="T44" s="313">
        <f t="shared" si="6"/>
        <v>30933.749999999996</v>
      </c>
      <c r="U44" s="313">
        <f t="shared" si="6"/>
        <v>30933.749999999996</v>
      </c>
      <c r="V44" s="313">
        <f t="shared" si="6"/>
        <v>30933.749999999996</v>
      </c>
      <c r="W44" s="313">
        <f t="shared" si="6"/>
        <v>30933.749999999996</v>
      </c>
      <c r="X44" s="313">
        <f t="shared" si="6"/>
        <v>30933.749999999996</v>
      </c>
      <c r="Y44" s="313"/>
    </row>
    <row r="45" spans="1:25">
      <c r="A45" s="54"/>
      <c r="B45" s="277"/>
      <c r="C45" s="74"/>
      <c r="D45" s="499"/>
      <c r="E45" s="308"/>
      <c r="F45" s="308"/>
      <c r="G45" s="308"/>
      <c r="H45" s="308"/>
      <c r="I45" s="308"/>
      <c r="J45" s="308"/>
      <c r="K45" s="308"/>
      <c r="L45" s="308"/>
      <c r="M45" s="308"/>
      <c r="N45" s="308"/>
      <c r="O45" s="308"/>
      <c r="P45" s="308"/>
      <c r="Q45" s="308"/>
      <c r="R45" s="308"/>
      <c r="S45" s="308"/>
      <c r="T45" s="308"/>
      <c r="U45" s="308"/>
      <c r="V45" s="308"/>
      <c r="W45" s="308"/>
      <c r="X45" s="308"/>
    </row>
    <row r="46" spans="1:25" s="341" customFormat="1">
      <c r="A46" s="552" t="s">
        <v>224</v>
      </c>
      <c r="B46" s="556"/>
      <c r="C46" s="557"/>
      <c r="D46" s="554">
        <v>0</v>
      </c>
      <c r="E46" s="558">
        <v>3</v>
      </c>
      <c r="F46" s="558">
        <v>3</v>
      </c>
      <c r="G46" s="558">
        <v>3</v>
      </c>
      <c r="H46" s="558">
        <v>3</v>
      </c>
      <c r="I46" s="558">
        <v>3</v>
      </c>
      <c r="J46" s="558">
        <v>3</v>
      </c>
      <c r="K46" s="558">
        <v>3</v>
      </c>
      <c r="L46" s="558">
        <v>3</v>
      </c>
      <c r="M46" s="558">
        <v>3</v>
      </c>
      <c r="N46" s="558">
        <v>3</v>
      </c>
      <c r="O46" s="558">
        <v>3</v>
      </c>
      <c r="P46" s="558">
        <v>3</v>
      </c>
      <c r="Q46" s="558">
        <v>3</v>
      </c>
      <c r="R46" s="558">
        <v>3</v>
      </c>
      <c r="S46" s="558">
        <v>3</v>
      </c>
      <c r="T46" s="558">
        <v>3</v>
      </c>
      <c r="U46" s="558">
        <v>3</v>
      </c>
      <c r="V46" s="558">
        <v>3</v>
      </c>
      <c r="W46" s="558">
        <v>3</v>
      </c>
      <c r="X46" s="558">
        <v>3</v>
      </c>
    </row>
    <row r="47" spans="1:25" s="96" customFormat="1">
      <c r="A47" s="54" t="s">
        <v>225</v>
      </c>
      <c r="B47" s="435"/>
      <c r="C47" s="583"/>
      <c r="D47" s="486">
        <v>0</v>
      </c>
      <c r="E47" s="496">
        <v>1</v>
      </c>
      <c r="F47" s="496">
        <v>1</v>
      </c>
      <c r="G47" s="496">
        <v>1</v>
      </c>
      <c r="H47" s="496">
        <v>1</v>
      </c>
      <c r="I47" s="496">
        <v>1</v>
      </c>
      <c r="J47" s="496">
        <v>1</v>
      </c>
      <c r="K47" s="496">
        <v>1</v>
      </c>
      <c r="L47" s="496">
        <v>1</v>
      </c>
      <c r="M47" s="496">
        <v>1</v>
      </c>
      <c r="N47" s="496">
        <v>1</v>
      </c>
      <c r="O47" s="496">
        <v>1</v>
      </c>
      <c r="P47" s="496">
        <v>1</v>
      </c>
      <c r="Q47" s="496">
        <v>1</v>
      </c>
      <c r="R47" s="496">
        <v>1</v>
      </c>
      <c r="S47" s="496">
        <v>1</v>
      </c>
      <c r="T47" s="496">
        <v>1</v>
      </c>
      <c r="U47" s="496">
        <v>1</v>
      </c>
      <c r="V47" s="496">
        <v>1</v>
      </c>
      <c r="W47" s="496">
        <v>1</v>
      </c>
      <c r="X47" s="496">
        <v>1</v>
      </c>
    </row>
    <row r="48" spans="1:25">
      <c r="A48" s="54" t="s">
        <v>209</v>
      </c>
      <c r="B48" s="277"/>
      <c r="C48" s="74"/>
      <c r="D48" s="486">
        <v>0</v>
      </c>
      <c r="E48" s="496">
        <v>0.5</v>
      </c>
      <c r="F48" s="496">
        <v>0.5</v>
      </c>
      <c r="G48" s="496">
        <v>0.5</v>
      </c>
      <c r="H48" s="496">
        <v>0.5</v>
      </c>
      <c r="I48" s="496">
        <v>0.5</v>
      </c>
      <c r="J48" s="496">
        <v>0.5</v>
      </c>
      <c r="K48" s="496">
        <v>0.5</v>
      </c>
      <c r="L48" s="496">
        <v>0.5</v>
      </c>
      <c r="M48" s="496">
        <v>0.5</v>
      </c>
      <c r="N48" s="496">
        <v>0.5</v>
      </c>
      <c r="O48" s="496">
        <v>0.5</v>
      </c>
      <c r="P48" s="496">
        <v>0.5</v>
      </c>
      <c r="Q48" s="496">
        <v>0.5</v>
      </c>
      <c r="R48" s="496">
        <v>0.5</v>
      </c>
      <c r="S48" s="496">
        <v>0.5</v>
      </c>
      <c r="T48" s="496">
        <v>0.5</v>
      </c>
      <c r="U48" s="496">
        <v>0.5</v>
      </c>
      <c r="V48" s="496">
        <v>0.5</v>
      </c>
      <c r="W48" s="496">
        <v>0.5</v>
      </c>
      <c r="X48" s="496">
        <v>0.5</v>
      </c>
    </row>
    <row r="49" spans="1:25 16384:16384">
      <c r="A49" s="54" t="s">
        <v>289</v>
      </c>
      <c r="B49" s="277"/>
      <c r="C49" s="74"/>
      <c r="D49" s="486">
        <v>0</v>
      </c>
      <c r="E49" s="496">
        <f>SUM(E47:E48)/2</f>
        <v>0.75</v>
      </c>
      <c r="F49" s="496">
        <f t="shared" ref="F49:X49" si="7">SUM(F47:F48)/2</f>
        <v>0.75</v>
      </c>
      <c r="G49" s="496">
        <f t="shared" si="7"/>
        <v>0.75</v>
      </c>
      <c r="H49" s="496">
        <f t="shared" si="7"/>
        <v>0.75</v>
      </c>
      <c r="I49" s="496">
        <f t="shared" si="7"/>
        <v>0.75</v>
      </c>
      <c r="J49" s="496">
        <f t="shared" si="7"/>
        <v>0.75</v>
      </c>
      <c r="K49" s="496">
        <f t="shared" si="7"/>
        <v>0.75</v>
      </c>
      <c r="L49" s="496">
        <f t="shared" si="7"/>
        <v>0.75</v>
      </c>
      <c r="M49" s="496">
        <f t="shared" si="7"/>
        <v>0.75</v>
      </c>
      <c r="N49" s="496">
        <f t="shared" si="7"/>
        <v>0.75</v>
      </c>
      <c r="O49" s="496">
        <f t="shared" si="7"/>
        <v>0.75</v>
      </c>
      <c r="P49" s="496">
        <f t="shared" si="7"/>
        <v>0.75</v>
      </c>
      <c r="Q49" s="496">
        <f t="shared" si="7"/>
        <v>0.75</v>
      </c>
      <c r="R49" s="496">
        <f t="shared" si="7"/>
        <v>0.75</v>
      </c>
      <c r="S49" s="496">
        <f t="shared" si="7"/>
        <v>0.75</v>
      </c>
      <c r="T49" s="496">
        <f t="shared" si="7"/>
        <v>0.75</v>
      </c>
      <c r="U49" s="496">
        <f t="shared" si="7"/>
        <v>0.75</v>
      </c>
      <c r="V49" s="496">
        <f t="shared" si="7"/>
        <v>0.75</v>
      </c>
      <c r="W49" s="496">
        <f t="shared" si="7"/>
        <v>0.75</v>
      </c>
      <c r="X49" s="496">
        <f t="shared" si="7"/>
        <v>0.75</v>
      </c>
      <c r="XFD49" s="570">
        <f>SUM(D49:XFC49)</f>
        <v>15</v>
      </c>
    </row>
    <row r="50" spans="1:25 16384:16384">
      <c r="A50" s="54"/>
      <c r="B50" s="277"/>
      <c r="C50" s="74"/>
      <c r="D50" s="486"/>
      <c r="E50" s="496"/>
      <c r="F50" s="496"/>
      <c r="G50" s="496"/>
      <c r="H50" s="496"/>
      <c r="I50" s="496"/>
      <c r="J50" s="496"/>
      <c r="K50" s="496"/>
      <c r="L50" s="496"/>
      <c r="M50" s="496"/>
      <c r="N50" s="496"/>
      <c r="O50" s="496"/>
      <c r="P50" s="496"/>
      <c r="Q50" s="496"/>
      <c r="R50" s="496"/>
      <c r="S50" s="496"/>
      <c r="T50" s="496"/>
      <c r="U50" s="496"/>
      <c r="V50" s="496"/>
      <c r="W50" s="496"/>
      <c r="X50" s="496"/>
      <c r="XFD50" s="570"/>
    </row>
    <row r="51" spans="1:25 16384:16384">
      <c r="A51" s="54" t="s">
        <v>312</v>
      </c>
      <c r="B51" s="277"/>
      <c r="C51" s="74"/>
      <c r="D51" s="486">
        <v>0</v>
      </c>
      <c r="E51" s="313">
        <f>'Shuttle Projections'!C22*0.5</f>
        <v>3595</v>
      </c>
      <c r="F51" s="313">
        <f>'Shuttle Projections'!D22</f>
        <v>7190</v>
      </c>
      <c r="G51" s="313">
        <f>'Shuttle Projections'!E22</f>
        <v>7190</v>
      </c>
      <c r="H51" s="313">
        <f>'Shuttle Projections'!F22</f>
        <v>7190</v>
      </c>
      <c r="I51" s="313">
        <f>'Shuttle Projections'!G22</f>
        <v>7190</v>
      </c>
      <c r="J51" s="313">
        <f>'Shuttle Projections'!H22</f>
        <v>7190</v>
      </c>
      <c r="K51" s="313">
        <f>'Shuttle Projections'!I22</f>
        <v>7190</v>
      </c>
      <c r="L51" s="313">
        <f>'Shuttle Projections'!J22</f>
        <v>7190</v>
      </c>
      <c r="M51" s="313">
        <f>'Shuttle Projections'!K22</f>
        <v>7190</v>
      </c>
      <c r="N51" s="313">
        <f>'Shuttle Projections'!L22</f>
        <v>7190</v>
      </c>
      <c r="O51" s="313">
        <f>'Shuttle Projections'!M22</f>
        <v>7190</v>
      </c>
      <c r="P51" s="313">
        <f>'Shuttle Projections'!N22</f>
        <v>7190</v>
      </c>
      <c r="Q51" s="313">
        <f>'Shuttle Projections'!O22</f>
        <v>7190</v>
      </c>
      <c r="R51" s="313">
        <f>'Shuttle Projections'!P22</f>
        <v>7190</v>
      </c>
      <c r="S51" s="313">
        <f>'Shuttle Projections'!Q22</f>
        <v>7190</v>
      </c>
      <c r="T51" s="313">
        <f>'Shuttle Projections'!R22</f>
        <v>7190</v>
      </c>
      <c r="U51" s="313">
        <f>'Shuttle Projections'!S22</f>
        <v>7190</v>
      </c>
      <c r="V51" s="313">
        <f>'Shuttle Projections'!T22</f>
        <v>7190</v>
      </c>
      <c r="W51" s="313">
        <f>'Shuttle Projections'!U22</f>
        <v>7190</v>
      </c>
      <c r="X51" s="313">
        <f>'Shuttle Projections'!V22</f>
        <v>7190</v>
      </c>
      <c r="XFD51" s="570"/>
    </row>
    <row r="52" spans="1:25 16384:16384">
      <c r="A52" s="54"/>
      <c r="B52" s="277"/>
      <c r="C52" s="74"/>
      <c r="D52" s="486"/>
      <c r="E52" s="308"/>
      <c r="F52" s="308"/>
      <c r="G52" s="308"/>
      <c r="H52" s="308"/>
      <c r="I52" s="308"/>
      <c r="J52" s="308"/>
      <c r="K52" s="308"/>
      <c r="L52" s="308"/>
      <c r="M52" s="308"/>
      <c r="N52" s="308"/>
      <c r="O52" s="308"/>
      <c r="P52" s="308"/>
      <c r="Q52" s="308"/>
      <c r="R52" s="308"/>
      <c r="S52" s="308"/>
      <c r="T52" s="308"/>
      <c r="U52" s="308"/>
      <c r="V52" s="308"/>
      <c r="W52" s="308"/>
      <c r="X52" s="308"/>
    </row>
    <row r="53" spans="1:25 16384:16384" s="612" customFormat="1">
      <c r="A53" s="613" t="s">
        <v>292</v>
      </c>
      <c r="B53" s="614"/>
      <c r="C53" s="615"/>
      <c r="D53" s="616">
        <v>0</v>
      </c>
      <c r="E53" s="617">
        <v>0</v>
      </c>
      <c r="F53" s="617">
        <v>0</v>
      </c>
      <c r="G53" s="617">
        <v>100000</v>
      </c>
      <c r="H53" s="617">
        <v>100000</v>
      </c>
      <c r="I53" s="617">
        <v>100000</v>
      </c>
      <c r="J53" s="617">
        <v>100000</v>
      </c>
      <c r="K53" s="617">
        <v>100000</v>
      </c>
      <c r="L53" s="617">
        <v>100000</v>
      </c>
      <c r="M53" s="617">
        <v>100000</v>
      </c>
      <c r="N53" s="617">
        <v>100000</v>
      </c>
      <c r="O53" s="617">
        <v>100000</v>
      </c>
      <c r="P53" s="617">
        <v>100000</v>
      </c>
      <c r="Q53" s="617">
        <v>100000</v>
      </c>
      <c r="R53" s="617">
        <v>100000</v>
      </c>
      <c r="S53" s="617">
        <v>100000</v>
      </c>
      <c r="T53" s="617">
        <v>100000</v>
      </c>
      <c r="U53" s="617">
        <v>100000</v>
      </c>
      <c r="V53" s="617">
        <v>100000</v>
      </c>
      <c r="W53" s="617">
        <v>100000</v>
      </c>
      <c r="X53" s="618">
        <v>100000</v>
      </c>
    </row>
    <row r="54" spans="1:25 16384:16384">
      <c r="A54" s="54"/>
      <c r="B54" s="277"/>
      <c r="C54" s="74"/>
      <c r="D54" s="486"/>
      <c r="E54" s="308"/>
      <c r="F54" s="308"/>
      <c r="G54" s="308"/>
      <c r="H54" s="308"/>
      <c r="I54" s="308"/>
      <c r="J54" s="308"/>
      <c r="K54" s="308"/>
      <c r="L54" s="308"/>
      <c r="M54" s="308"/>
      <c r="N54" s="308"/>
      <c r="O54" s="308"/>
      <c r="P54" s="308"/>
      <c r="Q54" s="308"/>
      <c r="R54" s="308"/>
      <c r="S54" s="308"/>
      <c r="T54" s="308"/>
      <c r="U54" s="308"/>
      <c r="V54" s="308"/>
      <c r="W54" s="308"/>
      <c r="X54" s="308"/>
    </row>
    <row r="55" spans="1:25 16384:16384" s="547" customFormat="1">
      <c r="A55" s="549" t="str">
        <f>'BH Tariffs'!A33</f>
        <v>Recreational/Commercial Marina</v>
      </c>
      <c r="B55" s="714"/>
      <c r="C55" s="715"/>
      <c r="D55" s="554"/>
      <c r="E55" s="716"/>
      <c r="F55" s="716"/>
      <c r="G55" s="716"/>
      <c r="H55" s="716"/>
      <c r="I55" s="716"/>
      <c r="J55" s="716"/>
      <c r="K55" s="716"/>
      <c r="L55" s="716"/>
      <c r="M55" s="716"/>
      <c r="N55" s="716"/>
      <c r="O55" s="716"/>
      <c r="P55" s="716"/>
      <c r="Q55" s="716"/>
      <c r="R55" s="716"/>
      <c r="S55" s="716"/>
      <c r="T55" s="716"/>
      <c r="U55" s="716"/>
      <c r="V55" s="716"/>
      <c r="W55" s="716"/>
      <c r="X55" s="716"/>
    </row>
    <row r="56" spans="1:25 16384:16384" s="341" customFormat="1">
      <c r="A56" s="552" t="s">
        <v>291</v>
      </c>
      <c r="B56" s="556"/>
      <c r="C56" s="557"/>
      <c r="D56" s="554">
        <v>0</v>
      </c>
      <c r="E56" s="555">
        <v>0</v>
      </c>
      <c r="F56" s="555">
        <v>0</v>
      </c>
      <c r="G56" s="555">
        <v>0</v>
      </c>
      <c r="H56" s="555">
        <v>0</v>
      </c>
      <c r="I56" s="555">
        <v>0</v>
      </c>
      <c r="J56" s="555">
        <v>0</v>
      </c>
      <c r="K56" s="555">
        <v>0</v>
      </c>
      <c r="L56" s="555">
        <v>0</v>
      </c>
      <c r="M56" s="555">
        <v>0</v>
      </c>
      <c r="N56" s="555">
        <v>0</v>
      </c>
      <c r="O56" s="555">
        <v>0</v>
      </c>
      <c r="P56" s="555">
        <v>0</v>
      </c>
      <c r="Q56" s="555">
        <v>0</v>
      </c>
      <c r="R56" s="555">
        <v>0</v>
      </c>
      <c r="S56" s="555">
        <v>0</v>
      </c>
      <c r="T56" s="555">
        <v>0</v>
      </c>
      <c r="U56" s="555">
        <v>0</v>
      </c>
      <c r="V56" s="555">
        <v>0</v>
      </c>
      <c r="W56" s="555">
        <v>0</v>
      </c>
      <c r="X56" s="555">
        <v>0</v>
      </c>
    </row>
    <row r="57" spans="1:25 16384:16384" s="341" customFormat="1">
      <c r="A57" s="552" t="s">
        <v>293</v>
      </c>
      <c r="B57" s="556"/>
      <c r="C57" s="557"/>
      <c r="D57" s="554">
        <v>0</v>
      </c>
      <c r="E57" s="555">
        <v>0</v>
      </c>
      <c r="F57" s="555">
        <v>0</v>
      </c>
      <c r="G57" s="555">
        <v>0</v>
      </c>
      <c r="H57" s="555">
        <v>0</v>
      </c>
      <c r="I57" s="555">
        <v>0</v>
      </c>
      <c r="J57" s="555">
        <v>0</v>
      </c>
      <c r="K57" s="555">
        <v>0</v>
      </c>
      <c r="L57" s="555">
        <v>0</v>
      </c>
      <c r="M57" s="555">
        <v>0</v>
      </c>
      <c r="N57" s="555">
        <v>0</v>
      </c>
      <c r="O57" s="555">
        <v>0</v>
      </c>
      <c r="P57" s="555">
        <v>0</v>
      </c>
      <c r="Q57" s="555">
        <v>0</v>
      </c>
      <c r="R57" s="555">
        <v>0</v>
      </c>
      <c r="S57" s="555">
        <v>0</v>
      </c>
      <c r="T57" s="555">
        <v>0</v>
      </c>
      <c r="U57" s="555">
        <v>0</v>
      </c>
      <c r="V57" s="555">
        <v>0</v>
      </c>
      <c r="W57" s="555">
        <v>0</v>
      </c>
      <c r="X57" s="555">
        <v>0</v>
      </c>
    </row>
    <row r="58" spans="1:25 16384:16384" s="341" customFormat="1">
      <c r="A58" s="552" t="s">
        <v>294</v>
      </c>
      <c r="B58" s="556"/>
      <c r="C58" s="557"/>
      <c r="D58" s="554">
        <v>0</v>
      </c>
      <c r="E58" s="555">
        <v>0</v>
      </c>
      <c r="F58" s="555">
        <v>0</v>
      </c>
      <c r="G58" s="555">
        <v>0</v>
      </c>
      <c r="H58" s="555">
        <v>0</v>
      </c>
      <c r="I58" s="555">
        <v>0</v>
      </c>
      <c r="J58" s="555">
        <v>0</v>
      </c>
      <c r="K58" s="555">
        <v>0</v>
      </c>
      <c r="L58" s="555">
        <v>0</v>
      </c>
      <c r="M58" s="555">
        <v>0</v>
      </c>
      <c r="N58" s="555">
        <v>0</v>
      </c>
      <c r="O58" s="555">
        <v>0</v>
      </c>
      <c r="P58" s="555">
        <v>0</v>
      </c>
      <c r="Q58" s="555">
        <v>0</v>
      </c>
      <c r="R58" s="555">
        <v>0</v>
      </c>
      <c r="S58" s="555">
        <v>0</v>
      </c>
      <c r="T58" s="555">
        <v>0</v>
      </c>
      <c r="U58" s="555">
        <v>0</v>
      </c>
      <c r="V58" s="555">
        <v>0</v>
      </c>
      <c r="W58" s="555">
        <v>0</v>
      </c>
      <c r="X58" s="555">
        <v>0</v>
      </c>
    </row>
    <row r="59" spans="1:25 16384:16384" s="167" customFormat="1">
      <c r="A59" s="497" t="s">
        <v>170</v>
      </c>
      <c r="B59" s="450"/>
      <c r="C59" s="498"/>
      <c r="D59" s="486">
        <v>0</v>
      </c>
      <c r="E59" s="587">
        <v>0</v>
      </c>
      <c r="F59" s="587">
        <v>0</v>
      </c>
      <c r="G59" s="587">
        <v>0</v>
      </c>
      <c r="H59" s="587">
        <v>0</v>
      </c>
      <c r="I59" s="587">
        <v>0</v>
      </c>
      <c r="J59" s="587">
        <v>0</v>
      </c>
      <c r="K59" s="587">
        <v>0</v>
      </c>
      <c r="L59" s="587">
        <v>0</v>
      </c>
      <c r="M59" s="587">
        <v>0</v>
      </c>
      <c r="N59" s="587">
        <v>0</v>
      </c>
      <c r="O59" s="587">
        <v>0</v>
      </c>
      <c r="P59" s="587">
        <v>0</v>
      </c>
      <c r="Q59" s="587">
        <v>0</v>
      </c>
      <c r="R59" s="587">
        <v>0</v>
      </c>
      <c r="S59" s="587">
        <v>0</v>
      </c>
      <c r="T59" s="587">
        <v>0</v>
      </c>
      <c r="U59" s="587">
        <v>0</v>
      </c>
      <c r="V59" s="587">
        <v>0</v>
      </c>
      <c r="W59" s="587">
        <v>0</v>
      </c>
      <c r="X59" s="587">
        <v>0</v>
      </c>
      <c r="Y59" s="167" t="s">
        <v>282</v>
      </c>
    </row>
    <row r="60" spans="1:25 16384:16384" s="167" customFormat="1">
      <c r="A60" s="497" t="s">
        <v>16</v>
      </c>
      <c r="B60" s="450"/>
      <c r="C60" s="498"/>
      <c r="D60" s="499">
        <v>0</v>
      </c>
      <c r="E60" s="587">
        <v>0</v>
      </c>
      <c r="F60" s="587">
        <v>0</v>
      </c>
      <c r="G60" s="587">
        <v>0</v>
      </c>
      <c r="H60" s="587">
        <v>0</v>
      </c>
      <c r="I60" s="587">
        <v>0</v>
      </c>
      <c r="J60" s="587">
        <v>0</v>
      </c>
      <c r="K60" s="587">
        <v>0</v>
      </c>
      <c r="L60" s="587">
        <v>0</v>
      </c>
      <c r="M60" s="587">
        <v>0</v>
      </c>
      <c r="N60" s="587">
        <v>0</v>
      </c>
      <c r="O60" s="587">
        <v>0</v>
      </c>
      <c r="P60" s="587">
        <v>0</v>
      </c>
      <c r="Q60" s="587">
        <v>0</v>
      </c>
      <c r="R60" s="587">
        <v>0</v>
      </c>
      <c r="S60" s="587">
        <v>0</v>
      </c>
      <c r="T60" s="587">
        <v>0</v>
      </c>
      <c r="U60" s="587">
        <v>0</v>
      </c>
      <c r="V60" s="587">
        <v>0</v>
      </c>
      <c r="W60" s="587">
        <v>0</v>
      </c>
      <c r="X60" s="587">
        <v>0</v>
      </c>
      <c r="Y60" s="167" t="s">
        <v>282</v>
      </c>
    </row>
    <row r="61" spans="1:25 16384:16384">
      <c r="A61" s="54"/>
      <c r="B61" s="277"/>
      <c r="C61" s="74"/>
      <c r="D61" s="492"/>
      <c r="E61" s="308"/>
      <c r="F61" s="308"/>
      <c r="G61" s="308"/>
      <c r="H61" s="308"/>
      <c r="I61" s="308"/>
      <c r="J61" s="308"/>
      <c r="K61" s="308"/>
      <c r="L61" s="308"/>
      <c r="M61" s="308"/>
      <c r="N61" s="308"/>
      <c r="O61" s="308"/>
      <c r="P61" s="308"/>
      <c r="Q61" s="308"/>
      <c r="R61" s="308"/>
      <c r="S61" s="308"/>
      <c r="T61" s="308"/>
      <c r="U61" s="308"/>
      <c r="V61" s="308"/>
      <c r="W61" s="308"/>
      <c r="X61" s="308"/>
    </row>
    <row r="62" spans="1:25 16384:16384">
      <c r="A62" s="293" t="s">
        <v>2</v>
      </c>
      <c r="B62" s="277"/>
      <c r="C62" s="74"/>
      <c r="D62" s="492"/>
      <c r="E62" s="308"/>
      <c r="F62" s="308"/>
      <c r="G62" s="308"/>
      <c r="H62" s="308"/>
      <c r="I62" s="308"/>
      <c r="J62" s="308"/>
      <c r="K62" s="308"/>
      <c r="L62" s="308"/>
      <c r="M62" s="308"/>
      <c r="N62" s="308"/>
      <c r="O62" s="308"/>
      <c r="P62" s="308"/>
      <c r="Q62" s="308"/>
      <c r="R62" s="308"/>
      <c r="S62" s="308"/>
      <c r="T62" s="308"/>
      <c r="U62" s="308"/>
      <c r="V62" s="308"/>
      <c r="W62" s="308"/>
      <c r="X62" s="308"/>
    </row>
    <row r="63" spans="1:25 16384:16384" s="96" customFormat="1">
      <c r="A63" s="54" t="s">
        <v>290</v>
      </c>
      <c r="B63" s="435">
        <v>500</v>
      </c>
      <c r="C63" s="487"/>
      <c r="D63" s="486">
        <v>0</v>
      </c>
      <c r="E63" s="313">
        <v>0</v>
      </c>
      <c r="F63" s="313">
        <v>0</v>
      </c>
      <c r="G63" s="313">
        <f t="shared" ref="G63:X63" si="8">$B$63</f>
        <v>500</v>
      </c>
      <c r="H63" s="313">
        <f t="shared" si="8"/>
        <v>500</v>
      </c>
      <c r="I63" s="313">
        <f t="shared" si="8"/>
        <v>500</v>
      </c>
      <c r="J63" s="313">
        <f t="shared" si="8"/>
        <v>500</v>
      </c>
      <c r="K63" s="313">
        <f t="shared" si="8"/>
        <v>500</v>
      </c>
      <c r="L63" s="313">
        <f t="shared" si="8"/>
        <v>500</v>
      </c>
      <c r="M63" s="313">
        <f t="shared" si="8"/>
        <v>500</v>
      </c>
      <c r="N63" s="313">
        <f t="shared" si="8"/>
        <v>500</v>
      </c>
      <c r="O63" s="313">
        <f t="shared" si="8"/>
        <v>500</v>
      </c>
      <c r="P63" s="313">
        <f t="shared" si="8"/>
        <v>500</v>
      </c>
      <c r="Q63" s="313">
        <f t="shared" si="8"/>
        <v>500</v>
      </c>
      <c r="R63" s="313">
        <f t="shared" si="8"/>
        <v>500</v>
      </c>
      <c r="S63" s="313">
        <f t="shared" si="8"/>
        <v>500</v>
      </c>
      <c r="T63" s="313">
        <f t="shared" si="8"/>
        <v>500</v>
      </c>
      <c r="U63" s="313">
        <f t="shared" si="8"/>
        <v>500</v>
      </c>
      <c r="V63" s="313">
        <f t="shared" si="8"/>
        <v>500</v>
      </c>
      <c r="W63" s="313">
        <f t="shared" si="8"/>
        <v>500</v>
      </c>
      <c r="X63" s="313">
        <f t="shared" si="8"/>
        <v>500</v>
      </c>
    </row>
    <row r="64" spans="1:25 16384:16384" s="96" customFormat="1">
      <c r="A64" s="54" t="s">
        <v>540</v>
      </c>
      <c r="B64" s="435"/>
      <c r="C64" s="487"/>
      <c r="D64" s="1055">
        <v>0</v>
      </c>
      <c r="E64" s="1056">
        <v>0</v>
      </c>
      <c r="F64" s="1056">
        <v>0</v>
      </c>
      <c r="G64" s="1056">
        <v>200000</v>
      </c>
      <c r="H64" s="1056">
        <f>G64</f>
        <v>200000</v>
      </c>
      <c r="I64" s="1056">
        <f t="shared" ref="I64:X64" si="9">H64</f>
        <v>200000</v>
      </c>
      <c r="J64" s="1056">
        <f t="shared" si="9"/>
        <v>200000</v>
      </c>
      <c r="K64" s="1056">
        <f t="shared" si="9"/>
        <v>200000</v>
      </c>
      <c r="L64" s="1056">
        <f t="shared" si="9"/>
        <v>200000</v>
      </c>
      <c r="M64" s="1056">
        <f t="shared" si="9"/>
        <v>200000</v>
      </c>
      <c r="N64" s="1056">
        <f t="shared" si="9"/>
        <v>200000</v>
      </c>
      <c r="O64" s="1056">
        <f t="shared" si="9"/>
        <v>200000</v>
      </c>
      <c r="P64" s="1056">
        <f t="shared" si="9"/>
        <v>200000</v>
      </c>
      <c r="Q64" s="1056">
        <f t="shared" si="9"/>
        <v>200000</v>
      </c>
      <c r="R64" s="1056">
        <f t="shared" si="9"/>
        <v>200000</v>
      </c>
      <c r="S64" s="1056">
        <f t="shared" si="9"/>
        <v>200000</v>
      </c>
      <c r="T64" s="1056">
        <f t="shared" si="9"/>
        <v>200000</v>
      </c>
      <c r="U64" s="1056">
        <f t="shared" si="9"/>
        <v>200000</v>
      </c>
      <c r="V64" s="1056">
        <f t="shared" si="9"/>
        <v>200000</v>
      </c>
      <c r="W64" s="1056">
        <f t="shared" si="9"/>
        <v>200000</v>
      </c>
      <c r="X64" s="1056">
        <f t="shared" si="9"/>
        <v>200000</v>
      </c>
    </row>
    <row r="65" spans="1:25" s="96" customFormat="1">
      <c r="A65" s="54" t="s">
        <v>210</v>
      </c>
      <c r="B65" s="487"/>
      <c r="C65" s="487"/>
      <c r="D65" s="486">
        <v>0</v>
      </c>
      <c r="E65" s="313">
        <v>0</v>
      </c>
      <c r="F65" s="313">
        <v>1</v>
      </c>
      <c r="G65" s="313">
        <v>2</v>
      </c>
      <c r="H65" s="313">
        <v>2</v>
      </c>
      <c r="I65" s="313">
        <v>2</v>
      </c>
      <c r="J65" s="313">
        <v>3</v>
      </c>
      <c r="K65" s="313">
        <v>3</v>
      </c>
      <c r="L65" s="313">
        <v>3</v>
      </c>
      <c r="M65" s="313">
        <v>3</v>
      </c>
      <c r="N65" s="313">
        <v>3</v>
      </c>
      <c r="O65" s="313">
        <v>4</v>
      </c>
      <c r="P65" s="313">
        <v>4</v>
      </c>
      <c r="Q65" s="313">
        <v>4</v>
      </c>
      <c r="R65" s="313">
        <v>4</v>
      </c>
      <c r="S65" s="313">
        <v>4</v>
      </c>
      <c r="T65" s="313">
        <v>5</v>
      </c>
      <c r="U65" s="313">
        <v>5</v>
      </c>
      <c r="V65" s="313">
        <v>5</v>
      </c>
      <c r="W65" s="313">
        <v>5</v>
      </c>
      <c r="X65" s="313">
        <v>5</v>
      </c>
      <c r="Y65" s="313"/>
    </row>
    <row r="66" spans="1:25" s="96" customFormat="1">
      <c r="A66" s="96" t="s">
        <v>211</v>
      </c>
      <c r="D66" s="486">
        <v>0</v>
      </c>
      <c r="E66" s="435">
        <v>0</v>
      </c>
      <c r="F66" s="435">
        <v>3</v>
      </c>
      <c r="G66" s="435">
        <v>3</v>
      </c>
      <c r="H66" s="435">
        <v>3</v>
      </c>
      <c r="I66" s="435">
        <v>3</v>
      </c>
      <c r="J66" s="435">
        <v>3</v>
      </c>
      <c r="K66" s="435">
        <v>3</v>
      </c>
      <c r="L66" s="435">
        <v>3</v>
      </c>
      <c r="M66" s="435">
        <v>3</v>
      </c>
      <c r="N66" s="435">
        <v>3</v>
      </c>
      <c r="O66" s="435">
        <v>3</v>
      </c>
      <c r="P66" s="435">
        <v>3</v>
      </c>
      <c r="Q66" s="435">
        <v>3</v>
      </c>
      <c r="R66" s="435">
        <v>3</v>
      </c>
      <c r="S66" s="435">
        <v>3</v>
      </c>
      <c r="T66" s="435">
        <v>3</v>
      </c>
      <c r="U66" s="435">
        <v>3</v>
      </c>
      <c r="V66" s="435">
        <v>3</v>
      </c>
      <c r="W66" s="435">
        <v>3</v>
      </c>
      <c r="X66" s="435">
        <v>3</v>
      </c>
    </row>
    <row r="67" spans="1:25" s="167" customFormat="1">
      <c r="A67" s="497"/>
      <c r="B67" s="501"/>
      <c r="C67" s="501"/>
      <c r="D67" s="499"/>
      <c r="E67" s="500"/>
      <c r="F67" s="500"/>
      <c r="G67" s="500"/>
      <c r="H67" s="500"/>
      <c r="I67" s="500"/>
      <c r="J67" s="500"/>
      <c r="K67" s="500"/>
      <c r="L67" s="500"/>
      <c r="M67" s="500"/>
      <c r="N67" s="500"/>
      <c r="O67" s="500"/>
      <c r="P67" s="500"/>
      <c r="Q67" s="500"/>
      <c r="R67" s="500"/>
      <c r="S67" s="500"/>
      <c r="T67" s="500"/>
      <c r="U67" s="500"/>
      <c r="V67" s="500"/>
      <c r="W67" s="500"/>
      <c r="X67" s="500"/>
      <c r="Y67" s="500"/>
    </row>
    <row r="68" spans="1:25">
      <c r="A68" s="28"/>
      <c r="D68" s="486"/>
      <c r="E68" s="331"/>
      <c r="F68" s="333"/>
      <c r="G68" s="331"/>
      <c r="H68" s="331"/>
      <c r="I68" s="331"/>
      <c r="J68" s="331"/>
      <c r="K68" s="331"/>
      <c r="L68" s="331"/>
      <c r="M68" s="331"/>
      <c r="N68" s="331"/>
      <c r="O68" s="331"/>
      <c r="P68" s="331"/>
      <c r="Q68" s="331"/>
      <c r="R68" s="331"/>
      <c r="S68" s="331"/>
      <c r="T68" s="331"/>
      <c r="U68" s="331"/>
      <c r="V68" s="331"/>
      <c r="W68" s="331"/>
      <c r="X68" s="331"/>
    </row>
    <row r="69" spans="1:25">
      <c r="A69" s="266" t="s">
        <v>135</v>
      </c>
      <c r="B69" s="223"/>
      <c r="C69" s="267"/>
      <c r="D69" s="332"/>
      <c r="E69" s="332"/>
      <c r="F69" s="349"/>
      <c r="G69" s="332"/>
      <c r="H69" s="332"/>
      <c r="I69" s="332"/>
      <c r="J69" s="332"/>
      <c r="K69" s="332"/>
      <c r="L69" s="332"/>
      <c r="M69" s="332"/>
      <c r="N69" s="332"/>
      <c r="O69" s="332"/>
      <c r="P69" s="332"/>
      <c r="Q69" s="332"/>
      <c r="R69" s="332"/>
      <c r="S69" s="332"/>
      <c r="T69" s="332"/>
      <c r="U69" s="332"/>
      <c r="V69" s="332"/>
      <c r="W69" s="332"/>
      <c r="X69" s="332"/>
    </row>
    <row r="70" spans="1:25" s="341" customFormat="1">
      <c r="A70" s="353"/>
      <c r="B70" s="355"/>
      <c r="C70" s="355"/>
      <c r="D70" s="502"/>
      <c r="E70" s="503"/>
      <c r="F70" s="503"/>
      <c r="G70" s="503"/>
      <c r="H70" s="503"/>
      <c r="I70" s="503"/>
      <c r="J70" s="503"/>
      <c r="K70" s="503"/>
      <c r="L70" s="503"/>
      <c r="M70" s="503"/>
      <c r="N70" s="503"/>
      <c r="O70" s="503"/>
      <c r="P70" s="503"/>
      <c r="Q70" s="503"/>
      <c r="R70" s="503"/>
      <c r="S70" s="503"/>
      <c r="T70" s="503"/>
      <c r="U70" s="503"/>
      <c r="V70" s="503"/>
      <c r="W70" s="503"/>
      <c r="X70" s="503"/>
    </row>
    <row r="71" spans="1:25" s="341" customFormat="1">
      <c r="A71" s="691" t="s">
        <v>144</v>
      </c>
      <c r="B71" s="355"/>
      <c r="C71" s="355"/>
      <c r="D71" s="548"/>
      <c r="E71" s="503"/>
      <c r="F71" s="503"/>
      <c r="G71" s="503"/>
      <c r="H71" s="503"/>
      <c r="I71" s="503"/>
      <c r="J71" s="503"/>
      <c r="K71" s="503"/>
      <c r="L71" s="503"/>
      <c r="M71" s="503"/>
      <c r="N71" s="503"/>
      <c r="O71" s="503"/>
      <c r="P71" s="503"/>
      <c r="Q71" s="503"/>
      <c r="R71" s="503"/>
      <c r="S71" s="503"/>
      <c r="T71" s="503"/>
      <c r="U71" s="503"/>
      <c r="V71" s="503"/>
      <c r="W71" s="503"/>
      <c r="X71" s="503"/>
    </row>
    <row r="72" spans="1:25" s="561" customFormat="1">
      <c r="A72" s="353" t="str">
        <f>'BH Tariffs'!A11</f>
        <v>Port Fee</v>
      </c>
      <c r="B72" s="355"/>
      <c r="C72" s="355"/>
      <c r="D72" s="548">
        <v>0</v>
      </c>
      <c r="E72" s="503">
        <f>'BH Tariffs'!D11*'P&amp;L - Concept B1 - Carnival'!E12</f>
        <v>0</v>
      </c>
      <c r="F72" s="503">
        <v>0</v>
      </c>
      <c r="G72" s="503">
        <v>0</v>
      </c>
      <c r="H72" s="503">
        <v>0</v>
      </c>
      <c r="I72" s="503">
        <v>0</v>
      </c>
      <c r="J72" s="503">
        <v>0</v>
      </c>
      <c r="K72" s="503">
        <v>0</v>
      </c>
      <c r="L72" s="503">
        <v>0</v>
      </c>
      <c r="M72" s="503">
        <v>0</v>
      </c>
      <c r="N72" s="503">
        <v>0</v>
      </c>
      <c r="O72" s="503">
        <v>0</v>
      </c>
      <c r="P72" s="503">
        <v>0</v>
      </c>
      <c r="Q72" s="503">
        <v>0</v>
      </c>
      <c r="R72" s="503">
        <v>0</v>
      </c>
      <c r="S72" s="503">
        <v>0</v>
      </c>
      <c r="T72" s="503">
        <v>0</v>
      </c>
      <c r="U72" s="503">
        <v>0</v>
      </c>
      <c r="V72" s="503">
        <v>0</v>
      </c>
      <c r="W72" s="503">
        <v>0</v>
      </c>
      <c r="X72" s="503">
        <v>0</v>
      </c>
    </row>
    <row r="73" spans="1:25">
      <c r="A73" s="88"/>
      <c r="B73" s="89"/>
      <c r="C73" s="89"/>
      <c r="D73" s="502"/>
      <c r="E73" s="504"/>
      <c r="F73" s="504"/>
      <c r="G73" s="504"/>
      <c r="H73" s="504"/>
      <c r="I73" s="504"/>
      <c r="J73" s="504"/>
      <c r="K73" s="504"/>
      <c r="L73" s="504"/>
      <c r="M73" s="504"/>
      <c r="N73" s="504"/>
      <c r="O73" s="504"/>
      <c r="P73" s="504"/>
      <c r="Q73" s="504"/>
      <c r="R73" s="504"/>
      <c r="S73" s="504"/>
      <c r="T73" s="504"/>
      <c r="U73" s="504"/>
      <c r="V73" s="504"/>
      <c r="W73" s="504"/>
      <c r="X73" s="504"/>
    </row>
    <row r="74" spans="1:25" s="16" customFormat="1" ht="14.25">
      <c r="A74" s="280" t="s">
        <v>124</v>
      </c>
      <c r="B74" s="533"/>
      <c r="C74" s="533"/>
      <c r="D74" s="534"/>
      <c r="E74" s="535"/>
      <c r="F74" s="535"/>
      <c r="G74" s="535"/>
      <c r="H74" s="535"/>
      <c r="I74" s="535"/>
      <c r="J74" s="535"/>
      <c r="K74" s="535"/>
      <c r="L74" s="535"/>
      <c r="M74" s="535"/>
      <c r="N74" s="535"/>
      <c r="O74" s="535"/>
      <c r="P74" s="535"/>
      <c r="Q74" s="535"/>
      <c r="R74" s="535"/>
      <c r="S74" s="535"/>
      <c r="T74" s="535"/>
      <c r="U74" s="535"/>
      <c r="V74" s="535"/>
      <c r="W74" s="535"/>
      <c r="X74" s="535"/>
    </row>
    <row r="75" spans="1:25" s="279" customFormat="1" ht="14.25">
      <c r="A75" s="91" t="s">
        <v>83</v>
      </c>
      <c r="B75" s="536"/>
      <c r="C75" s="536"/>
      <c r="D75" s="537"/>
      <c r="E75" s="538"/>
      <c r="F75" s="538"/>
      <c r="G75" s="538"/>
      <c r="H75" s="538"/>
      <c r="I75" s="538"/>
      <c r="J75" s="538"/>
      <c r="K75" s="538"/>
      <c r="L75" s="538"/>
      <c r="M75" s="538"/>
      <c r="N75" s="538"/>
      <c r="O75" s="538"/>
      <c r="P75" s="538"/>
      <c r="Q75" s="538"/>
      <c r="R75" s="538"/>
      <c r="S75" s="538"/>
      <c r="T75" s="538"/>
      <c r="U75" s="538"/>
      <c r="V75" s="538"/>
      <c r="W75" s="538"/>
      <c r="X75" s="538"/>
    </row>
    <row r="76" spans="1:25">
      <c r="A76" s="90" t="str">
        <f>'BH Tariffs'!A19</f>
        <v>Town Wharfage (Exclusive Use, Ferry Property Only)</v>
      </c>
      <c r="B76" s="89"/>
      <c r="C76" s="89"/>
      <c r="D76" s="502">
        <v>0</v>
      </c>
      <c r="E76" s="504">
        <f>'BH Tariffs'!D19*'P&amp;L - Concept B1 - Carnival'!E12</f>
        <v>0</v>
      </c>
      <c r="F76" s="504">
        <f>'BH Tariffs'!E19*'P&amp;L - Concept B1 - Carnival'!F12</f>
        <v>737024.41444463574</v>
      </c>
      <c r="G76" s="504">
        <f>'BH Tariffs'!F19*'P&amp;L - Concept B1 - Carnival'!G12</f>
        <v>751764.90273352852</v>
      </c>
      <c r="H76" s="504">
        <f>'BH Tariffs'!G19*'P&amp;L - Concept B1 - Carnival'!H12</f>
        <v>766800.20078819909</v>
      </c>
      <c r="I76" s="504">
        <f>'BH Tariffs'!H19*'P&amp;L - Concept B1 - Carnival'!I12</f>
        <v>782136.20480396308</v>
      </c>
      <c r="J76" s="504">
        <f>'BH Tariffs'!I19*'P&amp;L - Concept B1 - Carnival'!J12</f>
        <v>797778.92890004232</v>
      </c>
      <c r="K76" s="504">
        <f>'BH Tariffs'!J19*'P&amp;L - Concept B1 - Carnival'!K12</f>
        <v>813734.5074780432</v>
      </c>
      <c r="L76" s="504">
        <f>'BH Tariffs'!K19*'P&amp;L - Concept B1 - Carnival'!L12</f>
        <v>830009.19762760401</v>
      </c>
      <c r="M76" s="504">
        <f>'BH Tariffs'!L19*'P&amp;L - Concept B1 - Carnival'!M12</f>
        <v>846609.38158015627</v>
      </c>
      <c r="N76" s="504">
        <f>'BH Tariffs'!M19*'P&amp;L - Concept B1 - Carnival'!N12</f>
        <v>863541.56921175926</v>
      </c>
      <c r="O76" s="504">
        <f>'BH Tariffs'!N19*'P&amp;L - Concept B1 - Carnival'!O12</f>
        <v>880812.40059599455</v>
      </c>
      <c r="P76" s="504">
        <f>'BH Tariffs'!O19*'P&amp;L - Concept B1 - Carnival'!P12</f>
        <v>898428.64860791445</v>
      </c>
      <c r="Q76" s="504">
        <f>'BH Tariffs'!P19*'P&amp;L - Concept B1 - Carnival'!Q12</f>
        <v>916397.22158007277</v>
      </c>
      <c r="R76" s="504">
        <f>'BH Tariffs'!Q19*'P&amp;L - Concept B1 - Carnival'!R12</f>
        <v>934725.1660116741</v>
      </c>
      <c r="S76" s="504">
        <f>'BH Tariffs'!R19*'P&amp;L - Concept B1 - Carnival'!S12</f>
        <v>953419.66933190764</v>
      </c>
      <c r="T76" s="504">
        <f>'BH Tariffs'!S19*'P&amp;L - Concept B1 - Carnival'!T12</f>
        <v>972488.06271854579</v>
      </c>
      <c r="U76" s="504">
        <f>'BH Tariffs'!T19*'P&amp;L - Concept B1 - Carnival'!U12</f>
        <v>991937.82397291681</v>
      </c>
      <c r="V76" s="504">
        <f>'BH Tariffs'!U19*'P&amp;L - Concept B1 - Carnival'!V12</f>
        <v>1011776.5804523751</v>
      </c>
      <c r="W76" s="504">
        <f>'BH Tariffs'!V19*'P&amp;L - Concept B1 - Carnival'!W12</f>
        <v>1032012.1120614228</v>
      </c>
      <c r="X76" s="504">
        <f>'BH Tariffs'!W19*'P&amp;L - Concept B1 - Carnival'!X12</f>
        <v>1052652.3543026512</v>
      </c>
      <c r="Y76" s="413">
        <f>SUM(D76:X76)</f>
        <v>16834049.347203407</v>
      </c>
    </row>
    <row r="77" spans="1:25" s="341" customFormat="1">
      <c r="A77" s="353" t="str">
        <f>'BH Tariffs'!A21</f>
        <v>CBP Infastructure Fee (Ferry Property Only)</v>
      </c>
      <c r="B77" s="355"/>
      <c r="C77" s="355"/>
      <c r="D77" s="548">
        <v>0</v>
      </c>
      <c r="E77" s="503">
        <v>0</v>
      </c>
      <c r="F77" s="503">
        <v>0</v>
      </c>
      <c r="G77" s="503">
        <v>0</v>
      </c>
      <c r="H77" s="503">
        <v>0</v>
      </c>
      <c r="I77" s="503">
        <v>0</v>
      </c>
      <c r="J77" s="503">
        <v>0</v>
      </c>
      <c r="K77" s="503">
        <v>0</v>
      </c>
      <c r="L77" s="503">
        <v>0</v>
      </c>
      <c r="M77" s="503">
        <v>0</v>
      </c>
      <c r="N77" s="503">
        <v>0</v>
      </c>
      <c r="O77" s="503">
        <v>0</v>
      </c>
      <c r="P77" s="503">
        <v>0</v>
      </c>
      <c r="Q77" s="503">
        <v>0</v>
      </c>
      <c r="R77" s="503">
        <v>0</v>
      </c>
      <c r="S77" s="503">
        <v>0</v>
      </c>
      <c r="T77" s="503">
        <v>0</v>
      </c>
      <c r="U77" s="503">
        <v>0</v>
      </c>
      <c r="V77" s="503">
        <v>0</v>
      </c>
      <c r="W77" s="503">
        <v>0</v>
      </c>
      <c r="X77" s="503">
        <v>0</v>
      </c>
    </row>
    <row r="78" spans="1:25" s="96" customFormat="1">
      <c r="A78" s="90" t="str">
        <f>'BH Tariffs'!A22</f>
        <v>Infrastructure Fee</v>
      </c>
      <c r="B78" s="356"/>
      <c r="C78" s="356"/>
      <c r="D78" s="502">
        <v>0</v>
      </c>
      <c r="E78" s="504">
        <v>0</v>
      </c>
      <c r="F78" s="504">
        <f>'BH Tariffs'!E22*'Cruise Projections'!V97</f>
        <v>522936.74160000001</v>
      </c>
      <c r="G78" s="504">
        <f>'BH Tariffs'!F22*'Cruise Projections'!W97</f>
        <v>533395.47643200005</v>
      </c>
      <c r="H78" s="504">
        <f>'BH Tariffs'!G22*'Cruise Projections'!X97</f>
        <v>544063.38596063992</v>
      </c>
      <c r="I78" s="504">
        <f>'BH Tariffs'!H22*'Cruise Projections'!Y97</f>
        <v>554944.65367985272</v>
      </c>
      <c r="J78" s="504">
        <f>'BH Tariffs'!I22*'Cruise Projections'!Z97</f>
        <v>566043.54675344983</v>
      </c>
      <c r="K78" s="504">
        <f>'BH Tariffs'!J22*'Cruise Projections'!AA97</f>
        <v>577364.41768851888</v>
      </c>
      <c r="L78" s="504">
        <f>'BH Tariffs'!K22*'Cruise Projections'!AB97</f>
        <v>588911.70604228915</v>
      </c>
      <c r="M78" s="504">
        <f>'BH Tariffs'!L22*'Cruise Projections'!AC97</f>
        <v>600689.94016313506</v>
      </c>
      <c r="N78" s="504">
        <f>'BH Tariffs'!M22*'Cruise Projections'!AD97</f>
        <v>612703.73896639771</v>
      </c>
      <c r="O78" s="504">
        <f>'BH Tariffs'!N22*'Cruise Projections'!AE97</f>
        <v>624957.81374572578</v>
      </c>
      <c r="P78" s="504">
        <f>'BH Tariffs'!O22*'Cruise Projections'!AF97</f>
        <v>637456.97002064029</v>
      </c>
      <c r="Q78" s="504">
        <f>'BH Tariffs'!P22*'Cruise Projections'!AG97</f>
        <v>650206.10942105309</v>
      </c>
      <c r="R78" s="504">
        <f>'BH Tariffs'!Q22*'Cruise Projections'!AH97</f>
        <v>663210.23160947405</v>
      </c>
      <c r="S78" s="504">
        <f>'BH Tariffs'!R22*'Cruise Projections'!AI97</f>
        <v>676474.43624166364</v>
      </c>
      <c r="T78" s="504">
        <f>'BH Tariffs'!S22*'Cruise Projections'!AJ97</f>
        <v>690003.924966497</v>
      </c>
      <c r="U78" s="504">
        <f>'BH Tariffs'!T22*'Cruise Projections'!AK97</f>
        <v>703804.00346582686</v>
      </c>
      <c r="V78" s="504">
        <f>'BH Tariffs'!U22*'Cruise Projections'!AL97</f>
        <v>717880.08353514341</v>
      </c>
      <c r="W78" s="504">
        <f>'BH Tariffs'!V22*'Cruise Projections'!AM97</f>
        <v>732237.68520584644</v>
      </c>
      <c r="X78" s="504">
        <f>'BH Tariffs'!W22*'Cruise Projections'!AN97</f>
        <v>746882.43890996324</v>
      </c>
      <c r="Y78" s="504">
        <f>'BH Tariffs'!X22*'Cruise Projections'!AO97</f>
        <v>0</v>
      </c>
    </row>
    <row r="79" spans="1:25">
      <c r="A79" s="90"/>
      <c r="B79" s="89"/>
      <c r="C79" s="89"/>
      <c r="D79" s="502"/>
      <c r="E79" s="504"/>
      <c r="F79" s="504"/>
      <c r="G79" s="504"/>
      <c r="H79" s="504"/>
      <c r="I79" s="504"/>
      <c r="J79" s="504"/>
      <c r="K79" s="504"/>
      <c r="L79" s="504"/>
      <c r="M79" s="504"/>
      <c r="N79" s="504"/>
      <c r="O79" s="504"/>
      <c r="P79" s="504"/>
      <c r="Q79" s="504"/>
      <c r="R79" s="504"/>
      <c r="S79" s="504"/>
      <c r="T79" s="504"/>
      <c r="U79" s="504"/>
      <c r="V79" s="504"/>
      <c r="W79" s="504"/>
      <c r="X79" s="504"/>
    </row>
    <row r="80" spans="1:25" s="341" customFormat="1">
      <c r="A80" s="543" t="s">
        <v>163</v>
      </c>
      <c r="B80" s="354"/>
      <c r="C80" s="355"/>
      <c r="D80" s="548"/>
      <c r="E80" s="503"/>
      <c r="F80" s="503"/>
      <c r="G80" s="503"/>
      <c r="H80" s="503"/>
      <c r="I80" s="503"/>
      <c r="J80" s="503"/>
      <c r="K80" s="503"/>
      <c r="L80" s="503"/>
      <c r="M80" s="503"/>
      <c r="N80" s="503"/>
      <c r="O80" s="503"/>
      <c r="P80" s="503"/>
      <c r="Q80" s="503"/>
      <c r="R80" s="503"/>
      <c r="S80" s="503"/>
      <c r="T80" s="503"/>
      <c r="U80" s="503"/>
      <c r="V80" s="503"/>
      <c r="W80" s="503"/>
      <c r="X80" s="503"/>
    </row>
    <row r="81" spans="1:25" s="341" customFormat="1">
      <c r="A81" s="353" t="str">
        <f>'BH Tariffs'!A25</f>
        <v>Dock Rent (12 months)</v>
      </c>
      <c r="B81" s="354"/>
      <c r="C81" s="355"/>
      <c r="D81" s="548">
        <v>0</v>
      </c>
      <c r="E81" s="503">
        <v>0</v>
      </c>
      <c r="F81" s="503">
        <v>0</v>
      </c>
      <c r="G81" s="503">
        <v>0</v>
      </c>
      <c r="H81" s="503">
        <v>0</v>
      </c>
      <c r="I81" s="503">
        <v>0</v>
      </c>
      <c r="J81" s="503">
        <v>0</v>
      </c>
      <c r="K81" s="503">
        <v>0</v>
      </c>
      <c r="L81" s="503">
        <v>0</v>
      </c>
      <c r="M81" s="503">
        <v>0</v>
      </c>
      <c r="N81" s="503">
        <v>0</v>
      </c>
      <c r="O81" s="503">
        <v>0</v>
      </c>
      <c r="P81" s="503">
        <v>0</v>
      </c>
      <c r="Q81" s="503">
        <v>0</v>
      </c>
      <c r="R81" s="503">
        <v>0</v>
      </c>
      <c r="S81" s="503">
        <v>0</v>
      </c>
      <c r="T81" s="503">
        <v>0</v>
      </c>
      <c r="U81" s="503">
        <v>0</v>
      </c>
      <c r="V81" s="503">
        <v>0</v>
      </c>
      <c r="W81" s="503">
        <v>0</v>
      </c>
      <c r="X81" s="503">
        <v>0</v>
      </c>
    </row>
    <row r="82" spans="1:25" s="341" customFormat="1">
      <c r="A82" s="353" t="str">
        <f>'BH Tariffs'!A26</f>
        <v>Ferry Passenger Wharfage</v>
      </c>
      <c r="B82" s="354"/>
      <c r="C82" s="355"/>
      <c r="D82" s="548">
        <v>0</v>
      </c>
      <c r="E82" s="503">
        <v>0</v>
      </c>
      <c r="F82" s="503">
        <v>0</v>
      </c>
      <c r="G82" s="503">
        <v>0</v>
      </c>
      <c r="H82" s="503">
        <v>0</v>
      </c>
      <c r="I82" s="503">
        <v>0</v>
      </c>
      <c r="J82" s="503">
        <v>0</v>
      </c>
      <c r="K82" s="503">
        <v>0</v>
      </c>
      <c r="L82" s="503">
        <v>0</v>
      </c>
      <c r="M82" s="503">
        <v>0</v>
      </c>
      <c r="N82" s="503">
        <v>0</v>
      </c>
      <c r="O82" s="503">
        <v>0</v>
      </c>
      <c r="P82" s="503">
        <v>0</v>
      </c>
      <c r="Q82" s="503">
        <v>0</v>
      </c>
      <c r="R82" s="503">
        <v>0</v>
      </c>
      <c r="S82" s="503">
        <v>0</v>
      </c>
      <c r="T82" s="503">
        <v>0</v>
      </c>
      <c r="U82" s="503">
        <v>0</v>
      </c>
      <c r="V82" s="503">
        <v>0</v>
      </c>
      <c r="W82" s="503">
        <v>0</v>
      </c>
      <c r="X82" s="503">
        <v>0</v>
      </c>
    </row>
    <row r="83" spans="1:25" s="341" customFormat="1">
      <c r="A83" s="353" t="str">
        <f>'BH Tariffs'!A27</f>
        <v>Ferry Passenger Vehicle Wharfage</v>
      </c>
      <c r="B83" s="354"/>
      <c r="C83" s="355"/>
      <c r="D83" s="548">
        <v>0</v>
      </c>
      <c r="E83" s="503">
        <v>0</v>
      </c>
      <c r="F83" s="503">
        <v>0</v>
      </c>
      <c r="G83" s="503">
        <v>0</v>
      </c>
      <c r="H83" s="503">
        <v>0</v>
      </c>
      <c r="I83" s="503">
        <v>0</v>
      </c>
      <c r="J83" s="503">
        <v>0</v>
      </c>
      <c r="K83" s="503">
        <v>0</v>
      </c>
      <c r="L83" s="503">
        <v>0</v>
      </c>
      <c r="M83" s="503">
        <v>0</v>
      </c>
      <c r="N83" s="503">
        <v>0</v>
      </c>
      <c r="O83" s="503">
        <v>0</v>
      </c>
      <c r="P83" s="503">
        <v>0</v>
      </c>
      <c r="Q83" s="503">
        <v>0</v>
      </c>
      <c r="R83" s="503">
        <v>0</v>
      </c>
      <c r="S83" s="503">
        <v>0</v>
      </c>
      <c r="T83" s="503">
        <v>0</v>
      </c>
      <c r="U83" s="503">
        <v>0</v>
      </c>
      <c r="V83" s="503">
        <v>0</v>
      </c>
      <c r="W83" s="503">
        <v>0</v>
      </c>
      <c r="X83" s="503">
        <v>0</v>
      </c>
    </row>
    <row r="84" spans="1:25" s="341" customFormat="1">
      <c r="A84" s="353" t="str">
        <f>'BH Tariffs'!A28</f>
        <v>Ferry Bus Wharfage</v>
      </c>
      <c r="B84" s="354"/>
      <c r="C84" s="355"/>
      <c r="D84" s="548">
        <v>0</v>
      </c>
      <c r="E84" s="503">
        <v>0</v>
      </c>
      <c r="F84" s="503">
        <v>0</v>
      </c>
      <c r="G84" s="503">
        <v>0</v>
      </c>
      <c r="H84" s="503">
        <v>0</v>
      </c>
      <c r="I84" s="503">
        <v>0</v>
      </c>
      <c r="J84" s="503">
        <v>0</v>
      </c>
      <c r="K84" s="503">
        <v>0</v>
      </c>
      <c r="L84" s="503">
        <v>0</v>
      </c>
      <c r="M84" s="503">
        <v>0</v>
      </c>
      <c r="N84" s="503">
        <v>0</v>
      </c>
      <c r="O84" s="503">
        <v>0</v>
      </c>
      <c r="P84" s="503">
        <v>0</v>
      </c>
      <c r="Q84" s="503">
        <v>0</v>
      </c>
      <c r="R84" s="503">
        <v>0</v>
      </c>
      <c r="S84" s="503">
        <v>0</v>
      </c>
      <c r="T84" s="503">
        <v>0</v>
      </c>
      <c r="U84" s="503">
        <v>0</v>
      </c>
      <c r="V84" s="503">
        <v>0</v>
      </c>
      <c r="W84" s="503">
        <v>0</v>
      </c>
      <c r="X84" s="503">
        <v>0</v>
      </c>
    </row>
    <row r="85" spans="1:25">
      <c r="A85" s="88"/>
      <c r="B85" s="30"/>
      <c r="C85" s="89"/>
      <c r="D85" s="502"/>
      <c r="E85" s="504"/>
      <c r="F85" s="504"/>
      <c r="G85" s="504"/>
      <c r="H85" s="504"/>
      <c r="I85" s="504"/>
      <c r="J85" s="504"/>
      <c r="K85" s="504"/>
      <c r="L85" s="504"/>
      <c r="M85" s="504"/>
      <c r="N85" s="504"/>
      <c r="O85" s="504"/>
      <c r="P85" s="504"/>
      <c r="Q85" s="504"/>
      <c r="R85" s="504"/>
      <c r="S85" s="504"/>
      <c r="T85" s="504"/>
      <c r="U85" s="504"/>
      <c r="V85" s="504"/>
      <c r="W85" s="504"/>
      <c r="X85" s="504"/>
    </row>
    <row r="86" spans="1:25" s="96" customFormat="1">
      <c r="A86" s="605" t="s">
        <v>164</v>
      </c>
      <c r="B86" s="606"/>
      <c r="C86" s="356"/>
      <c r="D86" s="502"/>
      <c r="E86" s="504"/>
      <c r="F86" s="504"/>
      <c r="G86" s="504"/>
      <c r="H86" s="504"/>
      <c r="I86" s="504"/>
      <c r="J86" s="504"/>
      <c r="K86" s="504"/>
      <c r="L86" s="504"/>
      <c r="M86" s="504"/>
      <c r="N86" s="504"/>
      <c r="O86" s="504"/>
      <c r="P86" s="504"/>
      <c r="Q86" s="504"/>
      <c r="R86" s="504"/>
      <c r="S86" s="504"/>
      <c r="T86" s="504"/>
      <c r="U86" s="504"/>
      <c r="V86" s="504"/>
      <c r="W86" s="504"/>
      <c r="X86" s="504"/>
    </row>
    <row r="87" spans="1:25" s="96" customFormat="1">
      <c r="A87" s="90" t="str">
        <f>'BH Tariffs'!A31</f>
        <v>Dock Rent (6 Months Only)</v>
      </c>
      <c r="B87" s="606"/>
      <c r="C87" s="356"/>
      <c r="D87" s="502">
        <v>0</v>
      </c>
      <c r="E87" s="504">
        <v>0</v>
      </c>
      <c r="F87" s="504">
        <f>'BH Tariffs'!E31*6</f>
        <v>12240</v>
      </c>
      <c r="G87" s="504">
        <f>'BH Tariffs'!F31*6</f>
        <v>12484.800000000001</v>
      </c>
      <c r="H87" s="504">
        <f>'BH Tariffs'!G31*6</f>
        <v>12734.495999999999</v>
      </c>
      <c r="I87" s="504">
        <f>'BH Tariffs'!H31*6</f>
        <v>12989.18592</v>
      </c>
      <c r="J87" s="504">
        <f>'BH Tariffs'!I31*6</f>
        <v>13248.9696384</v>
      </c>
      <c r="K87" s="504">
        <f>'BH Tariffs'!J31*6</f>
        <v>13513.949031168002</v>
      </c>
      <c r="L87" s="504">
        <f>'BH Tariffs'!K31*6</f>
        <v>13784.228011791361</v>
      </c>
      <c r="M87" s="504">
        <f>'BH Tariffs'!L31*6</f>
        <v>14059.912572027188</v>
      </c>
      <c r="N87" s="504">
        <f>'BH Tariffs'!M31*6</f>
        <v>14341.110823467734</v>
      </c>
      <c r="O87" s="504">
        <f>'BH Tariffs'!N31*6</f>
        <v>14627.933039937088</v>
      </c>
      <c r="P87" s="504">
        <f>'BH Tariffs'!O31*6</f>
        <v>14920.491700735829</v>
      </c>
      <c r="Q87" s="504">
        <f>'BH Tariffs'!P31*6</f>
        <v>15218.901534750545</v>
      </c>
      <c r="R87" s="504">
        <f>'BH Tariffs'!Q31*6</f>
        <v>15523.279565445555</v>
      </c>
      <c r="S87" s="504">
        <f>'BH Tariffs'!R31*6</f>
        <v>15833.745156754467</v>
      </c>
      <c r="T87" s="504">
        <f>'BH Tariffs'!S31*6</f>
        <v>16150.420059889559</v>
      </c>
      <c r="U87" s="504">
        <f>'BH Tariffs'!T31*6</f>
        <v>16473.428461087351</v>
      </c>
      <c r="V87" s="504">
        <f>'BH Tariffs'!U31*6</f>
        <v>16802.897030309097</v>
      </c>
      <c r="W87" s="504">
        <f>'BH Tariffs'!V31*6</f>
        <v>17138.954970915282</v>
      </c>
      <c r="X87" s="504">
        <f>'BH Tariffs'!W31*6</f>
        <v>17481.734070333587</v>
      </c>
    </row>
    <row r="88" spans="1:25" s="96" customFormat="1">
      <c r="A88" s="90"/>
      <c r="B88" s="606"/>
      <c r="C88" s="356"/>
      <c r="D88" s="502"/>
      <c r="E88" s="504"/>
      <c r="F88" s="504"/>
      <c r="G88" s="504"/>
      <c r="H88" s="504"/>
      <c r="I88" s="504"/>
      <c r="J88" s="504"/>
      <c r="K88" s="504"/>
      <c r="L88" s="504"/>
      <c r="M88" s="504"/>
      <c r="N88" s="504"/>
      <c r="O88" s="504"/>
      <c r="P88" s="504"/>
      <c r="Q88" s="504"/>
      <c r="R88" s="504"/>
      <c r="S88" s="504"/>
      <c r="T88" s="504"/>
      <c r="U88" s="504"/>
      <c r="V88" s="504"/>
      <c r="W88" s="504"/>
      <c r="X88" s="504"/>
    </row>
    <row r="89" spans="1:25" s="547" customFormat="1" ht="14.25">
      <c r="A89" s="543" t="str">
        <f>'BH Tariffs'!A33</f>
        <v>Recreational/Commercial Marina</v>
      </c>
      <c r="B89" s="789"/>
      <c r="C89" s="544"/>
      <c r="D89" s="545"/>
      <c r="E89" s="546"/>
      <c r="F89" s="546"/>
      <c r="G89" s="546"/>
      <c r="H89" s="546"/>
      <c r="I89" s="546"/>
      <c r="J89" s="546"/>
      <c r="K89" s="546"/>
      <c r="L89" s="546"/>
      <c r="M89" s="546"/>
      <c r="N89" s="546"/>
      <c r="O89" s="546"/>
      <c r="P89" s="546"/>
      <c r="Q89" s="546"/>
      <c r="R89" s="546"/>
      <c r="S89" s="546"/>
      <c r="T89" s="546"/>
      <c r="U89" s="546"/>
      <c r="V89" s="546"/>
      <c r="W89" s="546"/>
      <c r="X89" s="546"/>
    </row>
    <row r="90" spans="1:25" s="341" customFormat="1">
      <c r="A90" s="353" t="str">
        <f>'BH Tariffs'!A34</f>
        <v>Transient Slip Rent</v>
      </c>
      <c r="B90" s="354"/>
      <c r="C90" s="355"/>
      <c r="D90" s="548">
        <v>0</v>
      </c>
      <c r="E90" s="503">
        <v>0</v>
      </c>
      <c r="F90" s="503">
        <f>'BH Tariffs'!E34*'P&amp;L - Concept B1 - Carnival'!F57</f>
        <v>0</v>
      </c>
      <c r="G90" s="503">
        <f>'BH Tariffs'!F34*'P&amp;L - Concept B1 - Carnival'!G57</f>
        <v>0</v>
      </c>
      <c r="H90" s="503">
        <f>'BH Tariffs'!G34*'P&amp;L - Concept B1 - Carnival'!H57</f>
        <v>0</v>
      </c>
      <c r="I90" s="503">
        <f>'BH Tariffs'!H34*'P&amp;L - Concept B1 - Carnival'!I57</f>
        <v>0</v>
      </c>
      <c r="J90" s="503">
        <f>'BH Tariffs'!I34*'P&amp;L - Concept B1 - Carnival'!J57</f>
        <v>0</v>
      </c>
      <c r="K90" s="503">
        <f>'BH Tariffs'!J34*'P&amp;L - Concept B1 - Carnival'!K57</f>
        <v>0</v>
      </c>
      <c r="L90" s="503">
        <f>'BH Tariffs'!K34*'P&amp;L - Concept B1 - Carnival'!L57</f>
        <v>0</v>
      </c>
      <c r="M90" s="503">
        <f>'BH Tariffs'!L34*'P&amp;L - Concept B1 - Carnival'!M57</f>
        <v>0</v>
      </c>
      <c r="N90" s="503">
        <f>'BH Tariffs'!M34*'P&amp;L - Concept B1 - Carnival'!N57</f>
        <v>0</v>
      </c>
      <c r="O90" s="503">
        <f>'BH Tariffs'!N34*'P&amp;L - Concept B1 - Carnival'!O57</f>
        <v>0</v>
      </c>
      <c r="P90" s="503">
        <f>'BH Tariffs'!O34*'P&amp;L - Concept B1 - Carnival'!P57</f>
        <v>0</v>
      </c>
      <c r="Q90" s="503">
        <f>'BH Tariffs'!P34*'P&amp;L - Concept B1 - Carnival'!Q57</f>
        <v>0</v>
      </c>
      <c r="R90" s="503">
        <f>'BH Tariffs'!Q34*'P&amp;L - Concept B1 - Carnival'!R57</f>
        <v>0</v>
      </c>
      <c r="S90" s="503">
        <f>'BH Tariffs'!R34*'P&amp;L - Concept B1 - Carnival'!S57</f>
        <v>0</v>
      </c>
      <c r="T90" s="503">
        <f>'BH Tariffs'!S34*'P&amp;L - Concept B1 - Carnival'!T57</f>
        <v>0</v>
      </c>
      <c r="U90" s="503">
        <f>'BH Tariffs'!T34*'P&amp;L - Concept B1 - Carnival'!U57</f>
        <v>0</v>
      </c>
      <c r="V90" s="503">
        <f>'BH Tariffs'!U34*'P&amp;L - Concept B1 - Carnival'!V57</f>
        <v>0</v>
      </c>
      <c r="W90" s="503">
        <f>'BH Tariffs'!V34*'P&amp;L - Concept B1 - Carnival'!W57</f>
        <v>0</v>
      </c>
      <c r="X90" s="503">
        <f>'BH Tariffs'!W34*'P&amp;L - Concept B1 - Carnival'!X57</f>
        <v>0</v>
      </c>
    </row>
    <row r="91" spans="1:25" s="341" customFormat="1">
      <c r="A91" s="353" t="s">
        <v>280</v>
      </c>
      <c r="B91" s="354"/>
      <c r="C91" s="355"/>
      <c r="D91" s="548">
        <v>0</v>
      </c>
      <c r="E91" s="503">
        <v>0</v>
      </c>
      <c r="F91" s="503">
        <f>'BH Tariffs'!E35*'P&amp;L - Concept B1 - Carnival'!F58</f>
        <v>0</v>
      </c>
      <c r="G91" s="503">
        <f>'BH Tariffs'!F35*'P&amp;L - Concept B1 - Carnival'!G58</f>
        <v>0</v>
      </c>
      <c r="H91" s="503">
        <f>'BH Tariffs'!G35*'P&amp;L - Concept B1 - Carnival'!H58</f>
        <v>0</v>
      </c>
      <c r="I91" s="503">
        <f>'BH Tariffs'!H35*'P&amp;L - Concept B1 - Carnival'!I58</f>
        <v>0</v>
      </c>
      <c r="J91" s="503">
        <f>'BH Tariffs'!I35*'P&amp;L - Concept B1 - Carnival'!J58</f>
        <v>0</v>
      </c>
      <c r="K91" s="503">
        <f>'BH Tariffs'!J35*'P&amp;L - Concept B1 - Carnival'!K58</f>
        <v>0</v>
      </c>
      <c r="L91" s="503">
        <f>'BH Tariffs'!K35*'P&amp;L - Concept B1 - Carnival'!L58</f>
        <v>0</v>
      </c>
      <c r="M91" s="503">
        <f>'BH Tariffs'!L35*'P&amp;L - Concept B1 - Carnival'!M58</f>
        <v>0</v>
      </c>
      <c r="N91" s="503">
        <f>'BH Tariffs'!M35*'P&amp;L - Concept B1 - Carnival'!N58</f>
        <v>0</v>
      </c>
      <c r="O91" s="503">
        <f>'BH Tariffs'!N35*'P&amp;L - Concept B1 - Carnival'!O58</f>
        <v>0</v>
      </c>
      <c r="P91" s="503">
        <f>'BH Tariffs'!O35*'P&amp;L - Concept B1 - Carnival'!P58</f>
        <v>0</v>
      </c>
      <c r="Q91" s="503">
        <f>'BH Tariffs'!P35*'P&amp;L - Concept B1 - Carnival'!Q58</f>
        <v>0</v>
      </c>
      <c r="R91" s="503">
        <f>'BH Tariffs'!Q35*'P&amp;L - Concept B1 - Carnival'!R58</f>
        <v>0</v>
      </c>
      <c r="S91" s="503">
        <f>'BH Tariffs'!R35*'P&amp;L - Concept B1 - Carnival'!S58</f>
        <v>0</v>
      </c>
      <c r="T91" s="503">
        <f>'BH Tariffs'!S35*'P&amp;L - Concept B1 - Carnival'!T58</f>
        <v>0</v>
      </c>
      <c r="U91" s="503">
        <f>'BH Tariffs'!T35*'P&amp;L - Concept B1 - Carnival'!U58</f>
        <v>0</v>
      </c>
      <c r="V91" s="503">
        <f>'BH Tariffs'!U35*'P&amp;L - Concept B1 - Carnival'!V58</f>
        <v>0</v>
      </c>
      <c r="W91" s="503">
        <f>'BH Tariffs'!V35*'P&amp;L - Concept B1 - Carnival'!W58</f>
        <v>0</v>
      </c>
      <c r="X91" s="503">
        <f>'BH Tariffs'!W35*'P&amp;L - Concept B1 - Carnival'!X58</f>
        <v>0</v>
      </c>
    </row>
    <row r="92" spans="1:25" s="341" customFormat="1">
      <c r="A92" s="353" t="str">
        <f>'BH Tariffs'!A36</f>
        <v>Water/Sewer</v>
      </c>
      <c r="B92" s="354"/>
      <c r="C92" s="355"/>
      <c r="D92" s="548">
        <v>0</v>
      </c>
      <c r="E92" s="503">
        <v>0</v>
      </c>
      <c r="F92" s="503">
        <v>0</v>
      </c>
      <c r="G92" s="503">
        <v>0</v>
      </c>
      <c r="H92" s="503">
        <v>0</v>
      </c>
      <c r="I92" s="503">
        <v>0</v>
      </c>
      <c r="J92" s="503">
        <v>0</v>
      </c>
      <c r="K92" s="503">
        <v>0</v>
      </c>
      <c r="L92" s="503">
        <v>0</v>
      </c>
      <c r="M92" s="503">
        <v>0</v>
      </c>
      <c r="N92" s="503">
        <v>0</v>
      </c>
      <c r="O92" s="503">
        <v>0</v>
      </c>
      <c r="P92" s="503">
        <v>0</v>
      </c>
      <c r="Q92" s="503">
        <v>0</v>
      </c>
      <c r="R92" s="503">
        <v>0</v>
      </c>
      <c r="S92" s="503">
        <v>0</v>
      </c>
      <c r="T92" s="503">
        <v>0</v>
      </c>
      <c r="U92" s="503">
        <v>0</v>
      </c>
      <c r="V92" s="503">
        <v>0</v>
      </c>
      <c r="W92" s="503">
        <v>0</v>
      </c>
      <c r="X92" s="503">
        <v>0</v>
      </c>
      <c r="Y92" s="341" t="s">
        <v>282</v>
      </c>
    </row>
    <row r="93" spans="1:25" s="341" customFormat="1">
      <c r="A93" s="353" t="str">
        <f>'BH Tariffs'!A37</f>
        <v xml:space="preserve">Power (Electricity) </v>
      </c>
      <c r="B93" s="354"/>
      <c r="C93" s="355"/>
      <c r="D93" s="548">
        <v>0</v>
      </c>
      <c r="E93" s="503">
        <v>0</v>
      </c>
      <c r="F93" s="503">
        <v>0</v>
      </c>
      <c r="G93" s="503">
        <v>0</v>
      </c>
      <c r="H93" s="503">
        <v>0</v>
      </c>
      <c r="I93" s="503">
        <v>0</v>
      </c>
      <c r="J93" s="503">
        <v>0</v>
      </c>
      <c r="K93" s="503">
        <v>0</v>
      </c>
      <c r="L93" s="503">
        <v>0</v>
      </c>
      <c r="M93" s="503">
        <v>0</v>
      </c>
      <c r="N93" s="503">
        <v>0</v>
      </c>
      <c r="O93" s="503">
        <v>0</v>
      </c>
      <c r="P93" s="503">
        <v>0</v>
      </c>
      <c r="Q93" s="503">
        <v>0</v>
      </c>
      <c r="R93" s="503">
        <v>0</v>
      </c>
      <c r="S93" s="503">
        <v>0</v>
      </c>
      <c r="T93" s="503">
        <v>0</v>
      </c>
      <c r="U93" s="503">
        <v>0</v>
      </c>
      <c r="V93" s="503">
        <v>0</v>
      </c>
      <c r="W93" s="503">
        <v>0</v>
      </c>
      <c r="X93" s="503">
        <v>0</v>
      </c>
      <c r="Y93" s="341" t="s">
        <v>282</v>
      </c>
    </row>
    <row r="94" spans="1:25" s="341" customFormat="1">
      <c r="A94" s="353" t="s">
        <v>526</v>
      </c>
      <c r="B94" s="354"/>
      <c r="C94" s="355"/>
      <c r="D94" s="548">
        <v>0</v>
      </c>
      <c r="E94" s="503">
        <v>0</v>
      </c>
      <c r="F94" s="503">
        <f>'BH Tariffs'!E38*'P&amp;L - Concept B1 - Carnival'!F56</f>
        <v>0</v>
      </c>
      <c r="G94" s="503">
        <f>'BH Tariffs'!F38*'P&amp;L - Concept B1 - Carnival'!G56</f>
        <v>0</v>
      </c>
      <c r="H94" s="503">
        <f>'BH Tariffs'!G38*'P&amp;L - Concept B1 - Carnival'!H56</f>
        <v>0</v>
      </c>
      <c r="I94" s="503">
        <f>'BH Tariffs'!H38*'P&amp;L - Concept B1 - Carnival'!I56</f>
        <v>0</v>
      </c>
      <c r="J94" s="503">
        <f>'BH Tariffs'!I38*'P&amp;L - Concept B1 - Carnival'!J56</f>
        <v>0</v>
      </c>
      <c r="K94" s="503">
        <f>'BH Tariffs'!J38*'P&amp;L - Concept B1 - Carnival'!K56</f>
        <v>0</v>
      </c>
      <c r="L94" s="503">
        <f>'BH Tariffs'!K38*'P&amp;L - Concept B1 - Carnival'!L56</f>
        <v>0</v>
      </c>
      <c r="M94" s="503">
        <f>'BH Tariffs'!L38*'P&amp;L - Concept B1 - Carnival'!M56</f>
        <v>0</v>
      </c>
      <c r="N94" s="503">
        <f>'BH Tariffs'!M38*'P&amp;L - Concept B1 - Carnival'!N56</f>
        <v>0</v>
      </c>
      <c r="O94" s="503">
        <f>'BH Tariffs'!N38*'P&amp;L - Concept B1 - Carnival'!O56</f>
        <v>0</v>
      </c>
      <c r="P94" s="503">
        <f>'BH Tariffs'!O38*'P&amp;L - Concept B1 - Carnival'!P56</f>
        <v>0</v>
      </c>
      <c r="Q94" s="503">
        <f>'BH Tariffs'!P38*'P&amp;L - Concept B1 - Carnival'!Q56</f>
        <v>0</v>
      </c>
      <c r="R94" s="503">
        <f>'BH Tariffs'!Q38*'P&amp;L - Concept B1 - Carnival'!R56</f>
        <v>0</v>
      </c>
      <c r="S94" s="503">
        <f>'BH Tariffs'!R38*'P&amp;L - Concept B1 - Carnival'!S56</f>
        <v>0</v>
      </c>
      <c r="T94" s="503">
        <f>'BH Tariffs'!S38*'P&amp;L - Concept B1 - Carnival'!T56</f>
        <v>0</v>
      </c>
      <c r="U94" s="503">
        <f>'BH Tariffs'!T38*'P&amp;L - Concept B1 - Carnival'!U56</f>
        <v>0</v>
      </c>
      <c r="V94" s="503">
        <f>'BH Tariffs'!U38*'P&amp;L - Concept B1 - Carnival'!V56</f>
        <v>0</v>
      </c>
      <c r="W94" s="503">
        <f>'BH Tariffs'!V38*'P&amp;L - Concept B1 - Carnival'!W56</f>
        <v>0</v>
      </c>
      <c r="X94" s="503">
        <f>'BH Tariffs'!W38*'P&amp;L - Concept B1 - Carnival'!X56</f>
        <v>0</v>
      </c>
    </row>
    <row r="95" spans="1:25">
      <c r="A95" s="88"/>
      <c r="B95" s="30"/>
      <c r="C95" s="89"/>
      <c r="D95" s="502"/>
      <c r="E95" s="504"/>
      <c r="F95" s="504"/>
      <c r="G95" s="504"/>
      <c r="H95" s="504"/>
      <c r="I95" s="504"/>
      <c r="J95" s="504"/>
      <c r="K95" s="504"/>
      <c r="L95" s="504"/>
      <c r="M95" s="504"/>
      <c r="N95" s="504"/>
      <c r="O95" s="504"/>
      <c r="P95" s="504"/>
      <c r="Q95" s="504"/>
      <c r="R95" s="504"/>
      <c r="S95" s="504"/>
      <c r="T95" s="504"/>
      <c r="U95" s="504"/>
      <c r="V95" s="504"/>
      <c r="W95" s="504"/>
      <c r="X95" s="504"/>
    </row>
    <row r="96" spans="1:25">
      <c r="A96" s="91" t="s">
        <v>26</v>
      </c>
      <c r="B96" s="30"/>
      <c r="C96" s="89"/>
      <c r="D96" s="502"/>
      <c r="E96" s="504"/>
      <c r="F96" s="504"/>
      <c r="G96" s="504"/>
      <c r="H96" s="504"/>
      <c r="I96" s="504"/>
      <c r="J96" s="504"/>
      <c r="K96" s="504"/>
      <c r="L96" s="504"/>
      <c r="M96" s="504"/>
      <c r="N96" s="504"/>
      <c r="O96" s="504"/>
      <c r="P96" s="504"/>
      <c r="Q96" s="504"/>
      <c r="R96" s="504"/>
      <c r="S96" s="504"/>
      <c r="T96" s="504"/>
      <c r="U96" s="504"/>
      <c r="V96" s="504"/>
      <c r="W96" s="504"/>
      <c r="X96" s="504"/>
    </row>
    <row r="97" spans="1:24" s="341" customFormat="1">
      <c r="A97" s="353" t="s">
        <v>214</v>
      </c>
      <c r="B97" s="354"/>
      <c r="C97" s="355"/>
      <c r="D97" s="548">
        <v>0</v>
      </c>
      <c r="E97" s="503">
        <v>0</v>
      </c>
      <c r="F97" s="503">
        <v>0</v>
      </c>
      <c r="G97" s="503">
        <v>0</v>
      </c>
      <c r="H97" s="503">
        <v>0</v>
      </c>
      <c r="I97" s="503">
        <v>0</v>
      </c>
      <c r="J97" s="503">
        <v>0</v>
      </c>
      <c r="K97" s="503">
        <v>0</v>
      </c>
      <c r="L97" s="503">
        <v>0</v>
      </c>
      <c r="M97" s="503">
        <v>0</v>
      </c>
      <c r="N97" s="503">
        <v>0</v>
      </c>
      <c r="O97" s="503">
        <v>0</v>
      </c>
      <c r="P97" s="503">
        <v>0</v>
      </c>
      <c r="Q97" s="503">
        <v>0</v>
      </c>
      <c r="R97" s="503">
        <v>0</v>
      </c>
      <c r="S97" s="503">
        <v>0</v>
      </c>
      <c r="T97" s="503">
        <v>0</v>
      </c>
      <c r="U97" s="503">
        <v>0</v>
      </c>
      <c r="V97" s="503">
        <v>0</v>
      </c>
      <c r="W97" s="503">
        <v>0</v>
      </c>
      <c r="X97" s="503">
        <v>0</v>
      </c>
    </row>
    <row r="98" spans="1:24">
      <c r="A98" s="88" t="s">
        <v>215</v>
      </c>
      <c r="B98" s="30"/>
      <c r="C98" s="89"/>
      <c r="D98" s="502">
        <v>0</v>
      </c>
      <c r="E98" s="504">
        <f>'BH Tariffs'!D43*'P&amp;L - Concept B1 - Carnival'!E44</f>
        <v>0</v>
      </c>
      <c r="F98" s="504">
        <f>'BH Tariffs'!E43*'P&amp;L - Concept B1 - Carnival'!F44</f>
        <v>0</v>
      </c>
      <c r="G98" s="504">
        <f>'BH Tariffs'!F43*'P&amp;L - Concept B1 - Carnival'!G44</f>
        <v>0</v>
      </c>
      <c r="H98" s="504">
        <f>'BH Tariffs'!G43*'P&amp;L - Concept B1 - Carnival'!H44</f>
        <v>0</v>
      </c>
      <c r="I98" s="504">
        <f>'BH Tariffs'!H43*'P&amp;L - Concept B1 - Carnival'!I44</f>
        <v>0</v>
      </c>
      <c r="J98" s="504">
        <f>'BH Tariffs'!I43*'P&amp;L - Concept B1 - Carnival'!J44</f>
        <v>247469.99999999997</v>
      </c>
      <c r="K98" s="504">
        <f>'BH Tariffs'!J43*'P&amp;L - Concept B1 - Carnival'!K44</f>
        <v>247469.99999999997</v>
      </c>
      <c r="L98" s="504">
        <f>'BH Tariffs'!K43*'P&amp;L - Concept B1 - Carnival'!L44</f>
        <v>247469.99999999997</v>
      </c>
      <c r="M98" s="504">
        <f>'BH Tariffs'!L43*'P&amp;L - Concept B1 - Carnival'!M44</f>
        <v>247469.99999999997</v>
      </c>
      <c r="N98" s="504">
        <f>'BH Tariffs'!M43*'P&amp;L - Concept B1 - Carnival'!N44</f>
        <v>247469.99999999997</v>
      </c>
      <c r="O98" s="504">
        <f>'BH Tariffs'!N43*'P&amp;L - Concept B1 - Carnival'!O44</f>
        <v>309337.49999999994</v>
      </c>
      <c r="P98" s="504">
        <f>'BH Tariffs'!O43*'P&amp;L - Concept B1 - Carnival'!P44</f>
        <v>309337.49999999994</v>
      </c>
      <c r="Q98" s="504">
        <f>'BH Tariffs'!P43*'P&amp;L - Concept B1 - Carnival'!Q44</f>
        <v>309337.49999999994</v>
      </c>
      <c r="R98" s="504">
        <f>'BH Tariffs'!Q43*'P&amp;L - Concept B1 - Carnival'!R44</f>
        <v>309337.49999999994</v>
      </c>
      <c r="S98" s="504">
        <f>'BH Tariffs'!R43*'P&amp;L - Concept B1 - Carnival'!S44</f>
        <v>309337.49999999994</v>
      </c>
      <c r="T98" s="504">
        <f>'BH Tariffs'!S43*'P&amp;L - Concept B1 - Carnival'!T44</f>
        <v>371204.99999999994</v>
      </c>
      <c r="U98" s="504">
        <f>'BH Tariffs'!T43*'P&amp;L - Concept B1 - Carnival'!U44</f>
        <v>371204.99999999994</v>
      </c>
      <c r="V98" s="504">
        <f>'BH Tariffs'!U43*'P&amp;L - Concept B1 - Carnival'!V44</f>
        <v>371204.99999999994</v>
      </c>
      <c r="W98" s="504">
        <f>'BH Tariffs'!V43*'P&amp;L - Concept B1 - Carnival'!W44</f>
        <v>371204.99999999994</v>
      </c>
      <c r="X98" s="504">
        <f>'BH Tariffs'!W43*'P&amp;L - Concept B1 - Carnival'!X44</f>
        <v>371204.99999999994</v>
      </c>
    </row>
    <row r="99" spans="1:24">
      <c r="A99" s="91"/>
      <c r="B99" s="30"/>
      <c r="C99" s="89"/>
      <c r="D99" s="502"/>
      <c r="E99" s="504"/>
      <c r="F99" s="504"/>
      <c r="G99" s="504"/>
      <c r="H99" s="504"/>
      <c r="I99" s="504"/>
      <c r="J99" s="504"/>
      <c r="K99" s="504"/>
      <c r="L99" s="504"/>
      <c r="M99" s="504"/>
      <c r="N99" s="504"/>
      <c r="O99" s="504"/>
      <c r="P99" s="504"/>
      <c r="Q99" s="504"/>
      <c r="R99" s="504"/>
      <c r="S99" s="504"/>
      <c r="T99" s="504"/>
      <c r="U99" s="504"/>
      <c r="V99" s="504"/>
      <c r="W99" s="504"/>
      <c r="X99" s="504"/>
    </row>
    <row r="100" spans="1:24">
      <c r="A100" s="91" t="s">
        <v>2</v>
      </c>
      <c r="B100" s="30"/>
      <c r="C100" s="89"/>
      <c r="D100" s="502"/>
      <c r="E100" s="504"/>
      <c r="F100" s="504"/>
      <c r="G100" s="504"/>
      <c r="H100" s="504"/>
      <c r="I100" s="504"/>
      <c r="J100" s="504"/>
      <c r="K100" s="504"/>
      <c r="L100" s="504"/>
      <c r="M100" s="504"/>
      <c r="N100" s="504"/>
      <c r="O100" s="504"/>
      <c r="P100" s="504"/>
      <c r="Q100" s="504"/>
      <c r="R100" s="504"/>
      <c r="S100" s="504"/>
      <c r="T100" s="504"/>
      <c r="U100" s="504"/>
      <c r="V100" s="504"/>
      <c r="W100" s="504"/>
      <c r="X100" s="504"/>
    </row>
    <row r="101" spans="1:24">
      <c r="A101" s="88" t="str">
        <f>'BH Tariffs'!A44</f>
        <v>Commerical Rent (Seasonal Kiosk(s)/Vendor(s))</v>
      </c>
      <c r="B101" s="30"/>
      <c r="C101" s="89"/>
      <c r="D101" s="502">
        <v>0</v>
      </c>
      <c r="E101" s="504">
        <f>'BH Tariffs'!D44*'P&amp;L - Concept B1 - Carnival'!E63</f>
        <v>0</v>
      </c>
      <c r="F101" s="504">
        <f>'BH Tariffs'!E44*'P&amp;L - Concept B1 - Carnival'!F63</f>
        <v>0</v>
      </c>
      <c r="G101" s="504">
        <f>'BH Tariffs'!F44*'P&amp;L - Concept B1 - Carnival'!G63*6</f>
        <v>6242.4000000000005</v>
      </c>
      <c r="H101" s="504">
        <f>'BH Tariffs'!G44*'P&amp;L - Concept B1 - Carnival'!H63*6</f>
        <v>6367.2479999999996</v>
      </c>
      <c r="I101" s="504">
        <f>'BH Tariffs'!H44*'P&amp;L - Concept B1 - Carnival'!I63*6</f>
        <v>6494.5929599999999</v>
      </c>
      <c r="J101" s="504">
        <f>'BH Tariffs'!I44*'P&amp;L - Concept B1 - Carnival'!J63*6</f>
        <v>6624.4848191999999</v>
      </c>
      <c r="K101" s="504">
        <f>'BH Tariffs'!J44*'P&amp;L - Concept B1 - Carnival'!K63*6</f>
        <v>6756.974515584001</v>
      </c>
      <c r="L101" s="504">
        <f>'BH Tariffs'!K44*'P&amp;L - Concept B1 - Carnival'!L63*6</f>
        <v>6892.1140058956807</v>
      </c>
      <c r="M101" s="504">
        <f>'BH Tariffs'!L44*'P&amp;L - Concept B1 - Carnival'!M63*6</f>
        <v>7029.9562860135939</v>
      </c>
      <c r="N101" s="504">
        <f>'BH Tariffs'!M44*'P&amp;L - Concept B1 - Carnival'!N63*6</f>
        <v>7170.555411733867</v>
      </c>
      <c r="O101" s="504">
        <f>'BH Tariffs'!N44*'P&amp;L - Concept B1 - Carnival'!O63*6</f>
        <v>7313.9665199685442</v>
      </c>
      <c r="P101" s="504">
        <f>'BH Tariffs'!O44*'P&amp;L - Concept B1 - Carnival'!P63*6</f>
        <v>7460.2458503679145</v>
      </c>
      <c r="Q101" s="504">
        <f>'BH Tariffs'!P44*'P&amp;L - Concept B1 - Carnival'!Q63*6</f>
        <v>7609.4507673752723</v>
      </c>
      <c r="R101" s="504">
        <f>'BH Tariffs'!Q44*'P&amp;L - Concept B1 - Carnival'!R63*6</f>
        <v>7761.6397827227775</v>
      </c>
      <c r="S101" s="504">
        <f>'BH Tariffs'!R44*'P&amp;L - Concept B1 - Carnival'!S63*6</f>
        <v>7916.8725783772334</v>
      </c>
      <c r="T101" s="504">
        <f>'BH Tariffs'!S44*'P&amp;L - Concept B1 - Carnival'!T63*6</f>
        <v>8075.2100299447793</v>
      </c>
      <c r="U101" s="504">
        <f>'BH Tariffs'!T44*'P&amp;L - Concept B1 - Carnival'!U63*6</f>
        <v>8236.7142305436755</v>
      </c>
      <c r="V101" s="504">
        <f>'BH Tariffs'!U44*'P&amp;L - Concept B1 - Carnival'!V63*6</f>
        <v>8401.4485151545487</v>
      </c>
      <c r="W101" s="504">
        <f>'BH Tariffs'!V44*'P&amp;L - Concept B1 - Carnival'!W63*6</f>
        <v>8569.4774854576408</v>
      </c>
      <c r="X101" s="504">
        <f>'BH Tariffs'!W44*'P&amp;L - Concept B1 - Carnival'!X63*6</f>
        <v>8740.8670351667934</v>
      </c>
    </row>
    <row r="102" spans="1:24" s="96" customFormat="1">
      <c r="A102" s="90" t="s">
        <v>541</v>
      </c>
      <c r="B102" s="606"/>
      <c r="C102" s="356"/>
      <c r="D102" s="502">
        <v>0</v>
      </c>
      <c r="E102" s="504">
        <v>0</v>
      </c>
      <c r="F102" s="504">
        <v>0</v>
      </c>
      <c r="G102" s="504">
        <f>G64*0.05</f>
        <v>10000</v>
      </c>
      <c r="H102" s="504">
        <f t="shared" ref="H102:X102" si="10">H64*0.05</f>
        <v>10000</v>
      </c>
      <c r="I102" s="504">
        <f t="shared" si="10"/>
        <v>10000</v>
      </c>
      <c r="J102" s="504">
        <f t="shared" si="10"/>
        <v>10000</v>
      </c>
      <c r="K102" s="504">
        <f t="shared" si="10"/>
        <v>10000</v>
      </c>
      <c r="L102" s="504">
        <f t="shared" si="10"/>
        <v>10000</v>
      </c>
      <c r="M102" s="504">
        <f t="shared" si="10"/>
        <v>10000</v>
      </c>
      <c r="N102" s="504">
        <f t="shared" si="10"/>
        <v>10000</v>
      </c>
      <c r="O102" s="504">
        <f t="shared" si="10"/>
        <v>10000</v>
      </c>
      <c r="P102" s="504">
        <f t="shared" si="10"/>
        <v>10000</v>
      </c>
      <c r="Q102" s="504">
        <f t="shared" si="10"/>
        <v>10000</v>
      </c>
      <c r="R102" s="504">
        <f t="shared" si="10"/>
        <v>10000</v>
      </c>
      <c r="S102" s="504">
        <f t="shared" si="10"/>
        <v>10000</v>
      </c>
      <c r="T102" s="504">
        <f t="shared" si="10"/>
        <v>10000</v>
      </c>
      <c r="U102" s="504">
        <f t="shared" si="10"/>
        <v>10000</v>
      </c>
      <c r="V102" s="504">
        <f t="shared" si="10"/>
        <v>10000</v>
      </c>
      <c r="W102" s="504">
        <f t="shared" si="10"/>
        <v>10000</v>
      </c>
      <c r="X102" s="504">
        <f t="shared" si="10"/>
        <v>10000</v>
      </c>
    </row>
    <row r="103" spans="1:24">
      <c r="A103" s="88" t="str">
        <f>'BH Tariffs'!A45</f>
        <v>Motorcoach Access/Tour Operator Licenses</v>
      </c>
      <c r="B103" s="30"/>
      <c r="C103" s="89"/>
      <c r="D103" s="502">
        <v>0</v>
      </c>
      <c r="E103" s="504">
        <v>0</v>
      </c>
      <c r="F103" s="504">
        <f>'BH Tariffs'!E45*'P&amp;L - Concept B1 - Carnival'!F66</f>
        <v>3060</v>
      </c>
      <c r="G103" s="504">
        <f>'BH Tariffs'!F45*'P&amp;L - Concept B1 - Carnival'!G66</f>
        <v>3121.2000000000003</v>
      </c>
      <c r="H103" s="504">
        <f>'BH Tariffs'!G45*'P&amp;L - Concept B1 - Carnival'!H66</f>
        <v>3183.6239999999998</v>
      </c>
      <c r="I103" s="504">
        <f>'BH Tariffs'!H45*'P&amp;L - Concept B1 - Carnival'!I66</f>
        <v>3247.29648</v>
      </c>
      <c r="J103" s="504">
        <f>'BH Tariffs'!I45*'P&amp;L - Concept B1 - Carnival'!J66</f>
        <v>3312.2424096</v>
      </c>
      <c r="K103" s="504">
        <f>'BH Tariffs'!J45*'P&amp;L - Concept B1 - Carnival'!K66</f>
        <v>3378.4872577920005</v>
      </c>
      <c r="L103" s="504">
        <f>'BH Tariffs'!K45*'P&amp;L - Concept B1 - Carnival'!L66</f>
        <v>3446.0570029478404</v>
      </c>
      <c r="M103" s="504">
        <f>'BH Tariffs'!L45*'P&amp;L - Concept B1 - Carnival'!M66</f>
        <v>3514.9781430067969</v>
      </c>
      <c r="N103" s="504">
        <f>'BH Tariffs'!M45*'P&amp;L - Concept B1 - Carnival'!N66</f>
        <v>3585.2777058669335</v>
      </c>
      <c r="O103" s="504">
        <f>'BH Tariffs'!N45*'P&amp;L - Concept B1 - Carnival'!O66</f>
        <v>3656.9832599842721</v>
      </c>
      <c r="P103" s="504">
        <f>'BH Tariffs'!O45*'P&amp;L - Concept B1 - Carnival'!P66</f>
        <v>3730.1229251839572</v>
      </c>
      <c r="Q103" s="504">
        <f>'BH Tariffs'!P45*'P&amp;L - Concept B1 - Carnival'!Q66</f>
        <v>3804.7253836876362</v>
      </c>
      <c r="R103" s="504">
        <f>'BH Tariffs'!Q45*'P&amp;L - Concept B1 - Carnival'!R66</f>
        <v>3880.8198913613887</v>
      </c>
      <c r="S103" s="504">
        <f>'BH Tariffs'!R45*'P&amp;L - Concept B1 - Carnival'!S66</f>
        <v>3958.4362891886167</v>
      </c>
      <c r="T103" s="504">
        <f>'BH Tariffs'!S45*'P&amp;L - Concept B1 - Carnival'!T66</f>
        <v>4037.6050149723897</v>
      </c>
      <c r="U103" s="504">
        <f>'BH Tariffs'!T45*'P&amp;L - Concept B1 - Carnival'!U66</f>
        <v>4118.3571152718378</v>
      </c>
      <c r="V103" s="504">
        <f>'BH Tariffs'!U45*'P&amp;L - Concept B1 - Carnival'!V66</f>
        <v>4200.7242575772743</v>
      </c>
      <c r="W103" s="504">
        <f>'BH Tariffs'!V45*'P&amp;L - Concept B1 - Carnival'!W66</f>
        <v>4284.7387427288204</v>
      </c>
      <c r="X103" s="504">
        <f>'BH Tariffs'!W45*'P&amp;L - Concept B1 - Carnival'!X66</f>
        <v>4370.4335175833967</v>
      </c>
    </row>
    <row r="104" spans="1:24">
      <c r="A104" s="299" t="s">
        <v>217</v>
      </c>
      <c r="B104" s="299"/>
      <c r="C104" s="299"/>
      <c r="D104" s="505">
        <v>0</v>
      </c>
      <c r="E104" s="506">
        <v>0</v>
      </c>
      <c r="F104" s="506">
        <f>'BH Tariffs'!E46*'P&amp;L - Concept B1 - Carnival'!F65</f>
        <v>500</v>
      </c>
      <c r="G104" s="506">
        <f>'BH Tariffs'!F46*'P&amp;L - Concept B1 - Carnival'!G65</f>
        <v>1000</v>
      </c>
      <c r="H104" s="506">
        <f>'BH Tariffs'!G46*'P&amp;L - Concept B1 - Carnival'!H65</f>
        <v>1000</v>
      </c>
      <c r="I104" s="506">
        <f>'BH Tariffs'!H46*'P&amp;L - Concept B1 - Carnival'!I65</f>
        <v>1000</v>
      </c>
      <c r="J104" s="506">
        <f>'BH Tariffs'!I46*'P&amp;L - Concept B1 - Carnival'!J65</f>
        <v>1650</v>
      </c>
      <c r="K104" s="506">
        <f>'BH Tariffs'!J46*'P&amp;L - Concept B1 - Carnival'!K65</f>
        <v>1650</v>
      </c>
      <c r="L104" s="506">
        <f>'BH Tariffs'!K46*'P&amp;L - Concept B1 - Carnival'!L65</f>
        <v>1650</v>
      </c>
      <c r="M104" s="506">
        <f>'BH Tariffs'!L46*'P&amp;L - Concept B1 - Carnival'!M65</f>
        <v>1650</v>
      </c>
      <c r="N104" s="506">
        <f>'BH Tariffs'!M46*'P&amp;L - Concept B1 - Carnival'!N65</f>
        <v>1650</v>
      </c>
      <c r="O104" s="506">
        <f>'BH Tariffs'!N46*'P&amp;L - Concept B1 - Carnival'!O65</f>
        <v>2400</v>
      </c>
      <c r="P104" s="506">
        <f>'BH Tariffs'!O46*'P&amp;L - Concept B1 - Carnival'!P65</f>
        <v>2400</v>
      </c>
      <c r="Q104" s="506">
        <f>'BH Tariffs'!P46*'P&amp;L - Concept B1 - Carnival'!Q65</f>
        <v>2400</v>
      </c>
      <c r="R104" s="506">
        <f>'BH Tariffs'!Q46*'P&amp;L - Concept B1 - Carnival'!R65</f>
        <v>2400</v>
      </c>
      <c r="S104" s="506">
        <f>'BH Tariffs'!R46*'P&amp;L - Concept B1 - Carnival'!S65</f>
        <v>2400</v>
      </c>
      <c r="T104" s="506">
        <f>'BH Tariffs'!S46*'P&amp;L - Concept B1 - Carnival'!T65</f>
        <v>3250</v>
      </c>
      <c r="U104" s="506">
        <f>'BH Tariffs'!T46*'P&amp;L - Concept B1 - Carnival'!U65</f>
        <v>3250</v>
      </c>
      <c r="V104" s="506">
        <f>'BH Tariffs'!U46*'P&amp;L - Concept B1 - Carnival'!V65</f>
        <v>3250</v>
      </c>
      <c r="W104" s="506">
        <f>'BH Tariffs'!V46*'P&amp;L - Concept B1 - Carnival'!W65</f>
        <v>3250</v>
      </c>
      <c r="X104" s="506">
        <f>'BH Tariffs'!W46*'P&amp;L - Concept B1 - Carnival'!X65</f>
        <v>3250</v>
      </c>
    </row>
    <row r="105" spans="1:24">
      <c r="A105" s="278" t="s">
        <v>145</v>
      </c>
      <c r="D105" s="507">
        <f>SUM(D71:D104)</f>
        <v>0</v>
      </c>
      <c r="E105" s="508">
        <f>SUM(E70:E104)</f>
        <v>0</v>
      </c>
      <c r="F105" s="508">
        <f t="shared" ref="F105:X105" si="11">SUM(F70:F104)</f>
        <v>1275761.1560446357</v>
      </c>
      <c r="G105" s="508">
        <f t="shared" si="11"/>
        <v>1318008.7791655285</v>
      </c>
      <c r="H105" s="508">
        <f t="shared" si="11"/>
        <v>1344148.9547488389</v>
      </c>
      <c r="I105" s="508">
        <f t="shared" si="11"/>
        <v>1370811.9338438159</v>
      </c>
      <c r="J105" s="508">
        <f t="shared" si="11"/>
        <v>1646128.172520692</v>
      </c>
      <c r="K105" s="508">
        <f t="shared" si="11"/>
        <v>1673868.3359711061</v>
      </c>
      <c r="L105" s="508">
        <f t="shared" si="11"/>
        <v>1702163.3026905281</v>
      </c>
      <c r="M105" s="508">
        <f t="shared" si="11"/>
        <v>1731024.1687443389</v>
      </c>
      <c r="N105" s="508">
        <f t="shared" si="11"/>
        <v>1760462.2521192257</v>
      </c>
      <c r="O105" s="508">
        <f t="shared" si="11"/>
        <v>1853106.5971616104</v>
      </c>
      <c r="P105" s="508">
        <f t="shared" si="11"/>
        <v>1883733.9791048425</v>
      </c>
      <c r="Q105" s="508">
        <f t="shared" si="11"/>
        <v>1914973.9086869392</v>
      </c>
      <c r="R105" s="508">
        <f t="shared" si="11"/>
        <v>1946838.636860678</v>
      </c>
      <c r="S105" s="508">
        <f t="shared" si="11"/>
        <v>1979340.6595978916</v>
      </c>
      <c r="T105" s="508">
        <f t="shared" si="11"/>
        <v>2075210.2227898496</v>
      </c>
      <c r="U105" s="508">
        <f t="shared" si="11"/>
        <v>2109025.3272456466</v>
      </c>
      <c r="V105" s="508">
        <f t="shared" si="11"/>
        <v>2143516.7337905592</v>
      </c>
      <c r="W105" s="508">
        <f t="shared" si="11"/>
        <v>2178697.9684663708</v>
      </c>
      <c r="X105" s="508">
        <f t="shared" si="11"/>
        <v>2214582.8278356981</v>
      </c>
    </row>
    <row r="106" spans="1:24">
      <c r="D106" s="507"/>
      <c r="E106" s="413"/>
      <c r="F106" s="413"/>
      <c r="G106" s="413"/>
      <c r="H106" s="413"/>
      <c r="I106" s="413"/>
      <c r="J106" s="413"/>
      <c r="K106" s="413"/>
      <c r="L106" s="413"/>
      <c r="M106" s="413"/>
      <c r="N106" s="413"/>
      <c r="O106" s="413"/>
      <c r="P106" s="413"/>
      <c r="Q106" s="413"/>
      <c r="R106" s="413"/>
      <c r="S106" s="413"/>
      <c r="T106" s="413"/>
      <c r="U106" s="413"/>
      <c r="V106" s="413"/>
      <c r="W106" s="413"/>
      <c r="X106" s="413"/>
    </row>
    <row r="107" spans="1:24">
      <c r="A107" s="271" t="s">
        <v>146</v>
      </c>
      <c r="B107" s="149"/>
      <c r="C107" s="149"/>
      <c r="D107" s="509"/>
      <c r="E107" s="510"/>
      <c r="F107" s="510"/>
      <c r="G107" s="510"/>
      <c r="H107" s="510"/>
      <c r="I107" s="510"/>
      <c r="J107" s="510"/>
      <c r="K107" s="510"/>
      <c r="L107" s="510"/>
      <c r="M107" s="510"/>
      <c r="N107" s="510"/>
      <c r="O107" s="510"/>
      <c r="P107" s="510"/>
      <c r="Q107" s="510"/>
      <c r="R107" s="510"/>
      <c r="S107" s="510"/>
      <c r="T107" s="510"/>
      <c r="U107" s="510"/>
      <c r="V107" s="510"/>
      <c r="W107" s="510"/>
      <c r="X107" s="510"/>
    </row>
    <row r="108" spans="1:24">
      <c r="D108" s="507"/>
      <c r="E108" s="413"/>
      <c r="F108" s="413"/>
      <c r="G108" s="413"/>
      <c r="H108" s="413"/>
      <c r="I108" s="413"/>
      <c r="J108" s="413"/>
      <c r="K108" s="413"/>
      <c r="L108" s="413"/>
      <c r="M108" s="413"/>
      <c r="N108" s="413"/>
      <c r="O108" s="413"/>
      <c r="P108" s="413"/>
      <c r="Q108" s="413"/>
      <c r="R108" s="413"/>
      <c r="S108" s="413"/>
      <c r="T108" s="413"/>
      <c r="U108" s="413"/>
      <c r="V108" s="413"/>
      <c r="W108" s="413"/>
      <c r="X108" s="413"/>
    </row>
    <row r="109" spans="1:24">
      <c r="A109" s="91" t="s">
        <v>380</v>
      </c>
      <c r="B109" s="89"/>
      <c r="C109" s="89"/>
      <c r="D109" s="502"/>
      <c r="E109" s="504"/>
      <c r="F109" s="504"/>
      <c r="G109" s="504"/>
      <c r="H109" s="504"/>
      <c r="I109" s="504"/>
      <c r="J109" s="504"/>
      <c r="K109" s="504"/>
      <c r="L109" s="504"/>
      <c r="M109" s="504"/>
      <c r="N109" s="504"/>
      <c r="O109" s="504"/>
      <c r="P109" s="504"/>
      <c r="Q109" s="504"/>
      <c r="R109" s="504"/>
      <c r="S109" s="504"/>
      <c r="T109" s="504"/>
      <c r="U109" s="504"/>
      <c r="V109" s="504"/>
      <c r="W109" s="504"/>
      <c r="X109" s="504"/>
    </row>
    <row r="110" spans="1:24">
      <c r="A110" s="88" t="s">
        <v>432</v>
      </c>
      <c r="B110" s="89"/>
      <c r="C110" s="89"/>
      <c r="D110" s="502">
        <v>0</v>
      </c>
      <c r="E110" s="504">
        <v>0</v>
      </c>
      <c r="F110" s="504">
        <v>0</v>
      </c>
      <c r="G110" s="504">
        <v>0</v>
      </c>
      <c r="H110" s="504">
        <v>0</v>
      </c>
      <c r="I110" s="504">
        <v>0</v>
      </c>
      <c r="J110" s="504">
        <v>0</v>
      </c>
      <c r="K110" s="504">
        <v>0</v>
      </c>
      <c r="L110" s="504">
        <v>0</v>
      </c>
      <c r="M110" s="504">
        <v>0</v>
      </c>
      <c r="N110" s="504">
        <v>0</v>
      </c>
      <c r="O110" s="504">
        <v>0</v>
      </c>
      <c r="P110" s="504">
        <v>0</v>
      </c>
      <c r="Q110" s="504">
        <v>0</v>
      </c>
      <c r="R110" s="504">
        <v>0</v>
      </c>
      <c r="S110" s="504">
        <v>0</v>
      </c>
      <c r="T110" s="504">
        <v>0</v>
      </c>
      <c r="U110" s="504">
        <v>0</v>
      </c>
      <c r="V110" s="504">
        <v>0</v>
      </c>
      <c r="W110" s="504">
        <v>0</v>
      </c>
      <c r="X110" s="504">
        <v>0</v>
      </c>
    </row>
    <row r="111" spans="1:24">
      <c r="A111" s="88" t="s">
        <v>433</v>
      </c>
      <c r="B111" s="89"/>
      <c r="C111" s="89"/>
      <c r="D111" s="502">
        <v>0</v>
      </c>
      <c r="E111" s="504">
        <v>0</v>
      </c>
      <c r="F111" s="504">
        <v>0</v>
      </c>
      <c r="G111" s="504">
        <v>0</v>
      </c>
      <c r="H111" s="504">
        <v>0</v>
      </c>
      <c r="I111" s="504">
        <v>0</v>
      </c>
      <c r="J111" s="504">
        <v>0</v>
      </c>
      <c r="K111" s="504">
        <v>0</v>
      </c>
      <c r="L111" s="504">
        <v>0</v>
      </c>
      <c r="M111" s="504">
        <v>0</v>
      </c>
      <c r="N111" s="504">
        <v>0</v>
      </c>
      <c r="O111" s="504">
        <v>0</v>
      </c>
      <c r="P111" s="504">
        <v>0</v>
      </c>
      <c r="Q111" s="504">
        <v>0</v>
      </c>
      <c r="R111" s="504">
        <v>0</v>
      </c>
      <c r="S111" s="504">
        <v>0</v>
      </c>
      <c r="T111" s="504">
        <v>0</v>
      </c>
      <c r="U111" s="504">
        <v>0</v>
      </c>
      <c r="V111" s="504">
        <v>0</v>
      </c>
      <c r="W111" s="504">
        <v>0</v>
      </c>
      <c r="X111" s="504">
        <v>0</v>
      </c>
    </row>
    <row r="112" spans="1:24">
      <c r="A112" s="88" t="s">
        <v>434</v>
      </c>
      <c r="B112" s="89"/>
      <c r="C112" s="89"/>
      <c r="D112" s="502">
        <v>0</v>
      </c>
      <c r="E112" s="504">
        <v>0</v>
      </c>
      <c r="F112" s="504">
        <v>0</v>
      </c>
      <c r="G112" s="504">
        <v>0</v>
      </c>
      <c r="H112" s="504">
        <v>0</v>
      </c>
      <c r="I112" s="504">
        <v>0</v>
      </c>
      <c r="J112" s="504">
        <v>0</v>
      </c>
      <c r="K112" s="504">
        <v>0</v>
      </c>
      <c r="L112" s="504">
        <v>0</v>
      </c>
      <c r="M112" s="504">
        <v>0</v>
      </c>
      <c r="N112" s="504">
        <v>0</v>
      </c>
      <c r="O112" s="504">
        <v>0</v>
      </c>
      <c r="P112" s="504">
        <v>0</v>
      </c>
      <c r="Q112" s="504">
        <v>0</v>
      </c>
      <c r="R112" s="504">
        <v>0</v>
      </c>
      <c r="S112" s="504">
        <v>0</v>
      </c>
      <c r="T112" s="504">
        <v>0</v>
      </c>
      <c r="U112" s="504">
        <v>0</v>
      </c>
      <c r="V112" s="504">
        <v>0</v>
      </c>
      <c r="W112" s="504">
        <v>0</v>
      </c>
      <c r="X112" s="504">
        <v>0</v>
      </c>
    </row>
    <row r="113" spans="1:25">
      <c r="A113" s="88" t="s">
        <v>229</v>
      </c>
      <c r="B113" s="30"/>
      <c r="C113" s="89"/>
      <c r="D113" s="502">
        <v>0</v>
      </c>
      <c r="E113" s="504">
        <v>0</v>
      </c>
      <c r="F113" s="504">
        <v>0</v>
      </c>
      <c r="G113" s="504">
        <v>0</v>
      </c>
      <c r="H113" s="504">
        <v>0</v>
      </c>
      <c r="I113" s="504">
        <v>0</v>
      </c>
      <c r="J113" s="504">
        <v>0</v>
      </c>
      <c r="K113" s="504">
        <v>0</v>
      </c>
      <c r="L113" s="504">
        <v>0</v>
      </c>
      <c r="M113" s="504">
        <v>0</v>
      </c>
      <c r="N113" s="504">
        <v>0</v>
      </c>
      <c r="O113" s="504">
        <v>0</v>
      </c>
      <c r="P113" s="504">
        <v>0</v>
      </c>
      <c r="Q113" s="504">
        <v>0</v>
      </c>
      <c r="R113" s="504">
        <v>0</v>
      </c>
      <c r="S113" s="504">
        <v>0</v>
      </c>
      <c r="T113" s="504">
        <v>0</v>
      </c>
      <c r="U113" s="504">
        <v>0</v>
      </c>
      <c r="V113" s="504">
        <v>0</v>
      </c>
      <c r="W113" s="504">
        <v>0</v>
      </c>
      <c r="X113" s="504">
        <v>0</v>
      </c>
    </row>
    <row r="114" spans="1:25" s="32" customFormat="1">
      <c r="A114" s="299" t="s">
        <v>297</v>
      </c>
      <c r="B114" s="299"/>
      <c r="C114" s="299"/>
      <c r="D114" s="505">
        <v>0</v>
      </c>
      <c r="E114" s="506">
        <v>0</v>
      </c>
      <c r="F114" s="506">
        <v>0</v>
      </c>
      <c r="G114" s="506">
        <f t="shared" ref="G114:X114" si="12">G53</f>
        <v>100000</v>
      </c>
      <c r="H114" s="506">
        <f t="shared" si="12"/>
        <v>100000</v>
      </c>
      <c r="I114" s="506">
        <f t="shared" si="12"/>
        <v>100000</v>
      </c>
      <c r="J114" s="506">
        <f t="shared" si="12"/>
        <v>100000</v>
      </c>
      <c r="K114" s="506">
        <f t="shared" si="12"/>
        <v>100000</v>
      </c>
      <c r="L114" s="506">
        <f t="shared" si="12"/>
        <v>100000</v>
      </c>
      <c r="M114" s="506">
        <f t="shared" si="12"/>
        <v>100000</v>
      </c>
      <c r="N114" s="506">
        <f t="shared" si="12"/>
        <v>100000</v>
      </c>
      <c r="O114" s="506">
        <f t="shared" si="12"/>
        <v>100000</v>
      </c>
      <c r="P114" s="506">
        <f t="shared" si="12"/>
        <v>100000</v>
      </c>
      <c r="Q114" s="506">
        <f t="shared" si="12"/>
        <v>100000</v>
      </c>
      <c r="R114" s="506">
        <f t="shared" si="12"/>
        <v>100000</v>
      </c>
      <c r="S114" s="506">
        <f t="shared" si="12"/>
        <v>100000</v>
      </c>
      <c r="T114" s="506">
        <f t="shared" si="12"/>
        <v>100000</v>
      </c>
      <c r="U114" s="506">
        <f t="shared" si="12"/>
        <v>100000</v>
      </c>
      <c r="V114" s="506">
        <f t="shared" si="12"/>
        <v>100000</v>
      </c>
      <c r="W114" s="506">
        <f t="shared" si="12"/>
        <v>100000</v>
      </c>
      <c r="X114" s="506">
        <f t="shared" si="12"/>
        <v>100000</v>
      </c>
    </row>
    <row r="115" spans="1:25">
      <c r="A115" s="278" t="s">
        <v>147</v>
      </c>
      <c r="D115" s="507">
        <f>SUM(D113:D114)</f>
        <v>0</v>
      </c>
      <c r="E115" s="508">
        <f>SUM(E110:E114)</f>
        <v>0</v>
      </c>
      <c r="F115" s="508">
        <f t="shared" ref="F115:X115" si="13">SUM(F110:F114)</f>
        <v>0</v>
      </c>
      <c r="G115" s="508">
        <f t="shared" si="13"/>
        <v>100000</v>
      </c>
      <c r="H115" s="508">
        <f t="shared" si="13"/>
        <v>100000</v>
      </c>
      <c r="I115" s="508">
        <f t="shared" si="13"/>
        <v>100000</v>
      </c>
      <c r="J115" s="508">
        <f t="shared" si="13"/>
        <v>100000</v>
      </c>
      <c r="K115" s="508">
        <f t="shared" si="13"/>
        <v>100000</v>
      </c>
      <c r="L115" s="508">
        <f t="shared" si="13"/>
        <v>100000</v>
      </c>
      <c r="M115" s="508">
        <f t="shared" si="13"/>
        <v>100000</v>
      </c>
      <c r="N115" s="508">
        <f t="shared" si="13"/>
        <v>100000</v>
      </c>
      <c r="O115" s="508">
        <f t="shared" si="13"/>
        <v>100000</v>
      </c>
      <c r="P115" s="508">
        <f t="shared" si="13"/>
        <v>100000</v>
      </c>
      <c r="Q115" s="508">
        <f t="shared" si="13"/>
        <v>100000</v>
      </c>
      <c r="R115" s="508">
        <f t="shared" si="13"/>
        <v>100000</v>
      </c>
      <c r="S115" s="508">
        <f t="shared" si="13"/>
        <v>100000</v>
      </c>
      <c r="T115" s="508">
        <f t="shared" si="13"/>
        <v>100000</v>
      </c>
      <c r="U115" s="508">
        <f t="shared" si="13"/>
        <v>100000</v>
      </c>
      <c r="V115" s="508">
        <f t="shared" si="13"/>
        <v>100000</v>
      </c>
      <c r="W115" s="508">
        <f t="shared" si="13"/>
        <v>100000</v>
      </c>
      <c r="X115" s="508">
        <f t="shared" si="13"/>
        <v>100000</v>
      </c>
    </row>
    <row r="116" spans="1:25">
      <c r="D116" s="507"/>
      <c r="E116" s="413"/>
      <c r="F116" s="413"/>
      <c r="G116" s="413"/>
      <c r="H116" s="413"/>
      <c r="I116" s="413"/>
      <c r="J116" s="413"/>
      <c r="K116" s="413"/>
      <c r="L116" s="413"/>
      <c r="M116" s="413"/>
      <c r="N116" s="413"/>
      <c r="O116" s="413"/>
      <c r="P116" s="413"/>
      <c r="Q116" s="413"/>
      <c r="R116" s="413"/>
      <c r="S116" s="413"/>
      <c r="T116" s="413"/>
      <c r="U116" s="413"/>
      <c r="V116" s="413"/>
      <c r="W116" s="413"/>
      <c r="X116" s="413"/>
    </row>
    <row r="117" spans="1:25">
      <c r="A117" s="88" t="s">
        <v>608</v>
      </c>
      <c r="D117" s="507">
        <f t="shared" ref="D117" si="14">SUM(D115:D116)</f>
        <v>0</v>
      </c>
      <c r="E117" s="413">
        <v>58025</v>
      </c>
      <c r="F117" s="413">
        <v>0</v>
      </c>
      <c r="G117" s="413">
        <v>0</v>
      </c>
      <c r="H117" s="413">
        <v>0</v>
      </c>
      <c r="I117" s="413">
        <v>0</v>
      </c>
      <c r="J117" s="413">
        <v>0</v>
      </c>
      <c r="K117" s="413">
        <v>0</v>
      </c>
      <c r="L117" s="413">
        <v>0</v>
      </c>
      <c r="M117" s="413">
        <v>0</v>
      </c>
      <c r="N117" s="413">
        <v>0</v>
      </c>
      <c r="O117" s="413">
        <v>0</v>
      </c>
      <c r="P117" s="413">
        <v>0</v>
      </c>
      <c r="Q117" s="413">
        <v>0</v>
      </c>
      <c r="R117" s="413">
        <v>0</v>
      </c>
      <c r="S117" s="413">
        <v>0</v>
      </c>
      <c r="T117" s="413">
        <v>0</v>
      </c>
      <c r="U117" s="413">
        <v>0</v>
      </c>
      <c r="V117" s="413">
        <v>0</v>
      </c>
      <c r="W117" s="413">
        <v>0</v>
      </c>
      <c r="X117" s="413">
        <v>0</v>
      </c>
    </row>
    <row r="118" spans="1:25">
      <c r="D118" s="507"/>
      <c r="E118" s="413"/>
      <c r="F118" s="413"/>
      <c r="G118" s="413"/>
      <c r="H118" s="413"/>
      <c r="I118" s="413"/>
      <c r="J118" s="413"/>
      <c r="K118" s="413"/>
      <c r="L118" s="413"/>
      <c r="M118" s="413"/>
      <c r="N118" s="413"/>
      <c r="O118" s="413"/>
      <c r="P118" s="413"/>
      <c r="Q118" s="413"/>
      <c r="R118" s="413"/>
      <c r="S118" s="413"/>
      <c r="T118" s="413"/>
      <c r="U118" s="413"/>
      <c r="V118" s="413"/>
      <c r="W118" s="413"/>
      <c r="X118" s="413"/>
    </row>
    <row r="119" spans="1:25" s="16" customFormat="1" ht="14.25">
      <c r="A119" s="295" t="s">
        <v>148</v>
      </c>
      <c r="B119" s="295"/>
      <c r="C119" s="295"/>
      <c r="D119" s="511">
        <f>SUM(D105,D115)</f>
        <v>0</v>
      </c>
      <c r="E119" s="511">
        <f>SUM(E105,E115,E117)</f>
        <v>58025</v>
      </c>
      <c r="F119" s="511">
        <f t="shared" ref="F119:X119" si="15">SUM(F105,F115,F117)</f>
        <v>1275761.1560446357</v>
      </c>
      <c r="G119" s="511">
        <f t="shared" si="15"/>
        <v>1418008.7791655285</v>
      </c>
      <c r="H119" s="511">
        <f t="shared" si="15"/>
        <v>1444148.9547488389</v>
      </c>
      <c r="I119" s="511">
        <f t="shared" si="15"/>
        <v>1470811.9338438159</v>
      </c>
      <c r="J119" s="511">
        <f t="shared" si="15"/>
        <v>1746128.172520692</v>
      </c>
      <c r="K119" s="511">
        <f t="shared" si="15"/>
        <v>1773868.3359711061</v>
      </c>
      <c r="L119" s="511">
        <f t="shared" si="15"/>
        <v>1802163.3026905281</v>
      </c>
      <c r="M119" s="511">
        <f t="shared" si="15"/>
        <v>1831024.1687443389</v>
      </c>
      <c r="N119" s="511">
        <f t="shared" si="15"/>
        <v>1860462.2521192257</v>
      </c>
      <c r="O119" s="511">
        <f t="shared" si="15"/>
        <v>1953106.5971616104</v>
      </c>
      <c r="P119" s="511">
        <f t="shared" si="15"/>
        <v>1983733.9791048425</v>
      </c>
      <c r="Q119" s="511">
        <f t="shared" si="15"/>
        <v>2014973.9086869392</v>
      </c>
      <c r="R119" s="511">
        <f t="shared" si="15"/>
        <v>2046838.636860678</v>
      </c>
      <c r="S119" s="511">
        <f t="shared" si="15"/>
        <v>2079340.6595978916</v>
      </c>
      <c r="T119" s="511">
        <f t="shared" si="15"/>
        <v>2175210.2227898496</v>
      </c>
      <c r="U119" s="511">
        <f t="shared" si="15"/>
        <v>2209025.3272456466</v>
      </c>
      <c r="V119" s="511">
        <f t="shared" si="15"/>
        <v>2243516.7337905592</v>
      </c>
      <c r="W119" s="511">
        <f t="shared" si="15"/>
        <v>2278697.9684663708</v>
      </c>
      <c r="X119" s="511">
        <f t="shared" si="15"/>
        <v>2314582.8278356981</v>
      </c>
      <c r="Y119" s="622">
        <f>SUM(D119:X119)</f>
        <v>35979428.917388797</v>
      </c>
    </row>
    <row r="120" spans="1:25">
      <c r="A120" s="30"/>
      <c r="B120" s="30"/>
      <c r="C120" s="30"/>
      <c r="D120" s="502"/>
      <c r="E120" s="512"/>
      <c r="F120" s="512"/>
      <c r="G120" s="512"/>
      <c r="H120" s="512"/>
      <c r="I120" s="512"/>
      <c r="J120" s="512"/>
      <c r="K120" s="512"/>
      <c r="L120" s="512"/>
      <c r="M120" s="512"/>
      <c r="N120" s="512"/>
      <c r="O120" s="512"/>
      <c r="P120" s="512"/>
      <c r="Q120" s="512"/>
      <c r="R120" s="512"/>
      <c r="S120" s="512"/>
      <c r="T120" s="512"/>
      <c r="U120" s="512"/>
      <c r="V120" s="512"/>
      <c r="W120" s="512"/>
      <c r="X120" s="512"/>
    </row>
    <row r="121" spans="1:25" s="33" customFormat="1">
      <c r="A121" s="47" t="s">
        <v>7</v>
      </c>
      <c r="B121" s="47" t="s">
        <v>7</v>
      </c>
      <c r="C121" s="78" t="s">
        <v>7</v>
      </c>
      <c r="D121" s="604" t="s">
        <v>7</v>
      </c>
      <c r="E121" s="78" t="s">
        <v>7</v>
      </c>
      <c r="F121" s="78" t="s">
        <v>7</v>
      </c>
      <c r="G121" s="78" t="s">
        <v>7</v>
      </c>
      <c r="H121" s="78" t="s">
        <v>7</v>
      </c>
      <c r="I121" s="78" t="s">
        <v>7</v>
      </c>
      <c r="J121" s="78" t="s">
        <v>7</v>
      </c>
      <c r="K121" s="78" t="s">
        <v>7</v>
      </c>
      <c r="L121" s="78" t="s">
        <v>7</v>
      </c>
      <c r="M121" s="78" t="s">
        <v>7</v>
      </c>
      <c r="N121" s="78" t="s">
        <v>7</v>
      </c>
      <c r="O121" s="78" t="s">
        <v>7</v>
      </c>
      <c r="P121" s="78" t="s">
        <v>7</v>
      </c>
      <c r="Q121" s="78" t="s">
        <v>7</v>
      </c>
      <c r="R121" s="78" t="s">
        <v>7</v>
      </c>
      <c r="S121" s="78" t="s">
        <v>7</v>
      </c>
      <c r="T121" s="78" t="s">
        <v>7</v>
      </c>
      <c r="U121" s="78" t="s">
        <v>7</v>
      </c>
      <c r="V121" s="78" t="s">
        <v>7</v>
      </c>
      <c r="W121" s="78" t="s">
        <v>7</v>
      </c>
      <c r="X121" s="78" t="s">
        <v>7</v>
      </c>
    </row>
    <row r="122" spans="1:25">
      <c r="A122" s="30"/>
      <c r="B122" s="30"/>
      <c r="C122" s="30"/>
      <c r="D122" s="502"/>
      <c r="E122" s="512"/>
      <c r="F122" s="512"/>
      <c r="G122" s="512"/>
      <c r="H122" s="512"/>
      <c r="I122" s="512"/>
      <c r="J122" s="512"/>
      <c r="K122" s="512"/>
      <c r="L122" s="512"/>
      <c r="M122" s="512"/>
      <c r="N122" s="512"/>
      <c r="O122" s="512"/>
      <c r="P122" s="512"/>
      <c r="Q122" s="512"/>
      <c r="R122" s="512"/>
      <c r="S122" s="512"/>
      <c r="T122" s="512"/>
      <c r="U122" s="512"/>
      <c r="V122" s="512"/>
      <c r="W122" s="512"/>
      <c r="X122" s="512"/>
    </row>
    <row r="123" spans="1:25">
      <c r="A123" s="269" t="s">
        <v>131</v>
      </c>
      <c r="B123" s="269"/>
      <c r="C123" s="270"/>
      <c r="D123" s="513"/>
      <c r="E123" s="513"/>
      <c r="F123" s="513"/>
      <c r="G123" s="513"/>
      <c r="H123" s="513"/>
      <c r="I123" s="513"/>
      <c r="J123" s="513"/>
      <c r="K123" s="513"/>
      <c r="L123" s="513"/>
      <c r="M123" s="513"/>
      <c r="N123" s="513"/>
      <c r="O123" s="513"/>
      <c r="P123" s="513"/>
      <c r="Q123" s="513"/>
      <c r="R123" s="513"/>
      <c r="S123" s="513"/>
      <c r="T123" s="513"/>
      <c r="U123" s="513"/>
      <c r="V123" s="513"/>
      <c r="W123" s="513"/>
      <c r="X123" s="513"/>
    </row>
    <row r="124" spans="1:25">
      <c r="A124" s="69"/>
      <c r="B124" s="69"/>
      <c r="C124" s="69"/>
      <c r="D124" s="502"/>
      <c r="E124" s="504"/>
      <c r="F124" s="504"/>
      <c r="G124" s="504"/>
      <c r="H124" s="504"/>
      <c r="I124" s="504"/>
      <c r="J124" s="504"/>
      <c r="K124" s="504"/>
      <c r="L124" s="504"/>
      <c r="M124" s="504"/>
      <c r="N124" s="504"/>
      <c r="O124" s="504"/>
      <c r="P124" s="504"/>
      <c r="Q124" s="504"/>
      <c r="R124" s="504"/>
      <c r="S124" s="504"/>
      <c r="T124" s="504"/>
      <c r="U124" s="504"/>
      <c r="V124" s="504"/>
      <c r="W124" s="504"/>
      <c r="X124" s="504"/>
    </row>
    <row r="125" spans="1:25" s="96" customFormat="1">
      <c r="A125" s="69" t="s">
        <v>13</v>
      </c>
      <c r="B125" s="69"/>
      <c r="C125" s="69"/>
      <c r="D125" s="514">
        <v>0</v>
      </c>
      <c r="E125" s="515">
        <f>'OPEX - Concept B1 - Carnival'!L78</f>
        <v>12250</v>
      </c>
      <c r="F125" s="515">
        <f>'OPEX - Concept B1 - Carnival'!M78</f>
        <v>129500</v>
      </c>
      <c r="G125" s="515">
        <f>'OPEX - Concept B1 - Carnival'!N78</f>
        <v>132090</v>
      </c>
      <c r="H125" s="515">
        <f>'OPEX - Concept B1 - Carnival'!O78</f>
        <v>134731.79999999999</v>
      </c>
      <c r="I125" s="515">
        <f>'OPEX - Concept B1 - Carnival'!P78</f>
        <v>137426.43599999999</v>
      </c>
      <c r="J125" s="515">
        <f>'OPEX - Concept B1 - Carnival'!Q78</f>
        <v>140174.96471999999</v>
      </c>
      <c r="K125" s="515">
        <f>'OPEX - Concept B1 - Carnival'!R78</f>
        <v>142978.4640144</v>
      </c>
      <c r="L125" s="515">
        <f>'OPEX - Concept B1 - Carnival'!S78</f>
        <v>145838.03329468801</v>
      </c>
      <c r="M125" s="515">
        <f>'OPEX - Concept B1 - Carnival'!T78</f>
        <v>148754.79396058177</v>
      </c>
      <c r="N125" s="515">
        <f>'OPEX - Concept B1 - Carnival'!U78</f>
        <v>151729.88983979341</v>
      </c>
      <c r="O125" s="515">
        <f>'OPEX - Concept B1 - Carnival'!V78</f>
        <v>154764.48763658927</v>
      </c>
      <c r="P125" s="515">
        <f>'OPEX - Concept B1 - Carnival'!W78</f>
        <v>157859.77738932107</v>
      </c>
      <c r="Q125" s="515">
        <f>'OPEX - Concept B1 - Carnival'!X78</f>
        <v>161016.97293710749</v>
      </c>
      <c r="R125" s="515">
        <f>'OPEX - Concept B1 - Carnival'!Y78</f>
        <v>164237.31239584964</v>
      </c>
      <c r="S125" s="515">
        <f>'OPEX - Concept B1 - Carnival'!Z78</f>
        <v>167522.05864376662</v>
      </c>
      <c r="T125" s="515">
        <f>'OPEX - Concept B1 - Carnival'!AA78</f>
        <v>170872.49981664197</v>
      </c>
      <c r="U125" s="515">
        <f>'OPEX - Concept B1 - Carnival'!AB78</f>
        <v>174289.94981297481</v>
      </c>
      <c r="V125" s="515">
        <f>'OPEX - Concept B1 - Carnival'!AC78</f>
        <v>177775.7488092343</v>
      </c>
      <c r="W125" s="515">
        <f>'OPEX - Concept B1 - Carnival'!AD78</f>
        <v>181331.26378541903</v>
      </c>
      <c r="X125" s="515">
        <f>'OPEX - Concept B1 - Carnival'!AE78</f>
        <v>184957.88906112738</v>
      </c>
    </row>
    <row r="126" spans="1:25" s="96" customFormat="1">
      <c r="A126" s="69" t="s">
        <v>41</v>
      </c>
      <c r="B126" s="69"/>
      <c r="C126" s="69"/>
      <c r="D126" s="514">
        <v>0</v>
      </c>
      <c r="E126" s="515">
        <f>'OPEX - Concept B1 - Carnival'!L86</f>
        <v>25000</v>
      </c>
      <c r="F126" s="515">
        <f>'OPEX - Concept B1 - Carnival'!M86</f>
        <v>1000</v>
      </c>
      <c r="G126" s="515">
        <f>'OPEX - Concept B1 - Carnival'!N86</f>
        <v>1020</v>
      </c>
      <c r="H126" s="515">
        <f>'OPEX - Concept B1 - Carnival'!O86</f>
        <v>1040.4000000000001</v>
      </c>
      <c r="I126" s="515">
        <f>'OPEX - Concept B1 - Carnival'!P86</f>
        <v>1061.2079999999999</v>
      </c>
      <c r="J126" s="515">
        <f>'OPEX - Concept B1 - Carnival'!Q86</f>
        <v>1082.4321600000001</v>
      </c>
      <c r="K126" s="515">
        <f>'OPEX - Concept B1 - Carnival'!R86</f>
        <v>1104.0808032</v>
      </c>
      <c r="L126" s="515">
        <f>'OPEX - Concept B1 - Carnival'!S86</f>
        <v>1126.1624192640002</v>
      </c>
      <c r="M126" s="515">
        <f>'OPEX - Concept B1 - Carnival'!T86</f>
        <v>1148.68566764928</v>
      </c>
      <c r="N126" s="515">
        <f>'OPEX - Concept B1 - Carnival'!U86</f>
        <v>1171.6593810022657</v>
      </c>
      <c r="O126" s="515">
        <f>'OPEX - Concept B1 - Carnival'!V86</f>
        <v>25000</v>
      </c>
      <c r="P126" s="515">
        <f>'OPEX - Concept B1 - Carnival'!W86</f>
        <v>1218.9944199947574</v>
      </c>
      <c r="Q126" s="515">
        <f>'OPEX - Concept B1 - Carnival'!X86</f>
        <v>1243.3743083946524</v>
      </c>
      <c r="R126" s="515">
        <f>'OPEX - Concept B1 - Carnival'!Y86</f>
        <v>1268.2417945625455</v>
      </c>
      <c r="S126" s="515">
        <f>'OPEX - Concept B1 - Carnival'!Z86</f>
        <v>1293.6066304537962</v>
      </c>
      <c r="T126" s="515">
        <f>'OPEX - Concept B1 - Carnival'!AA86</f>
        <v>1319.4787630628723</v>
      </c>
      <c r="U126" s="515">
        <f>'OPEX - Concept B1 - Carnival'!AB86</f>
        <v>1345.8683383241298</v>
      </c>
      <c r="V126" s="515">
        <f>'OPEX - Concept B1 - Carnival'!AC86</f>
        <v>1372.7857050906125</v>
      </c>
      <c r="W126" s="515">
        <f>'OPEX - Concept B1 - Carnival'!AD86</f>
        <v>1400.2414191924249</v>
      </c>
      <c r="X126" s="515">
        <f>'OPEX - Concept B1 - Carnival'!AE86</f>
        <v>1428.2462475762734</v>
      </c>
    </row>
    <row r="127" spans="1:25" s="96" customFormat="1">
      <c r="A127" s="69" t="s">
        <v>424</v>
      </c>
      <c r="B127" s="69"/>
      <c r="C127" s="69"/>
      <c r="D127" s="514">
        <v>0</v>
      </c>
      <c r="E127" s="515">
        <f>'OPEX - Concept B1 - Carnival'!L87</f>
        <v>10000</v>
      </c>
      <c r="F127" s="515">
        <f>'OPEX - Concept B1 - Carnival'!M87</f>
        <v>500</v>
      </c>
      <c r="G127" s="515">
        <f>'OPEX - Concept B1 - Carnival'!N87</f>
        <v>520.20000000000005</v>
      </c>
      <c r="H127" s="515">
        <f>'OPEX - Concept B1 - Carnival'!O87</f>
        <v>530.60399999999993</v>
      </c>
      <c r="I127" s="515">
        <f>'OPEX - Concept B1 - Carnival'!P87</f>
        <v>541.21608000000003</v>
      </c>
      <c r="J127" s="515">
        <f>'OPEX - Concept B1 - Carnival'!Q87</f>
        <v>5000</v>
      </c>
      <c r="K127" s="515">
        <f>'OPEX - Concept B1 - Carnival'!R87</f>
        <v>563.08120963200008</v>
      </c>
      <c r="L127" s="515">
        <f>'OPEX - Concept B1 - Carnival'!S87</f>
        <v>574.34283382464002</v>
      </c>
      <c r="M127" s="515">
        <f>'OPEX - Concept B1 - Carnival'!T87</f>
        <v>585.82969050113286</v>
      </c>
      <c r="N127" s="515">
        <f>'OPEX - Concept B1 - Carnival'!U87</f>
        <v>597.54628431115555</v>
      </c>
      <c r="O127" s="515">
        <f>'OPEX - Concept B1 - Carnival'!V87</f>
        <v>5000</v>
      </c>
      <c r="P127" s="515">
        <f>'OPEX - Concept B1 - Carnival'!W87</f>
        <v>621.68715419732621</v>
      </c>
      <c r="Q127" s="515">
        <f>'OPEX - Concept B1 - Carnival'!X87</f>
        <v>634.12089728127273</v>
      </c>
      <c r="R127" s="515">
        <f>'OPEX - Concept B1 - Carnival'!Y87</f>
        <v>646.80331522689812</v>
      </c>
      <c r="S127" s="515">
        <f>'OPEX - Concept B1 - Carnival'!Z87</f>
        <v>659.73938153143615</v>
      </c>
      <c r="T127" s="515">
        <f>'OPEX - Concept B1 - Carnival'!AA87</f>
        <v>5000</v>
      </c>
      <c r="U127" s="515">
        <f>'OPEX - Concept B1 - Carnival'!AB87</f>
        <v>686.39285254530625</v>
      </c>
      <c r="V127" s="515">
        <f>'OPEX - Concept B1 - Carnival'!AC87</f>
        <v>700.12070959621246</v>
      </c>
      <c r="W127" s="515">
        <f>'OPEX - Concept B1 - Carnival'!AD87</f>
        <v>714.1231237881367</v>
      </c>
      <c r="X127" s="515">
        <f>'OPEX - Concept B1 - Carnival'!AE87</f>
        <v>728.40558626389941</v>
      </c>
    </row>
    <row r="128" spans="1:25" s="96" customFormat="1">
      <c r="A128" s="69" t="s">
        <v>42</v>
      </c>
      <c r="B128" s="69"/>
      <c r="C128" s="69"/>
      <c r="D128" s="514">
        <v>0</v>
      </c>
      <c r="E128" s="515">
        <f>'OPEX - Concept B1 - Carnival'!L88</f>
        <v>50000</v>
      </c>
      <c r="F128" s="515">
        <f>'OPEX - Concept B1 - Carnival'!M88</f>
        <v>51000</v>
      </c>
      <c r="G128" s="515">
        <f>'OPEX - Concept B1 - Carnival'!N88</f>
        <v>52020</v>
      </c>
      <c r="H128" s="515">
        <f>'OPEX - Concept B1 - Carnival'!O88</f>
        <v>53060.399999999994</v>
      </c>
      <c r="I128" s="515">
        <f>'OPEX - Concept B1 - Carnival'!P88</f>
        <v>54121.608</v>
      </c>
      <c r="J128" s="515">
        <f>'OPEX - Concept B1 - Carnival'!Q88</f>
        <v>55204.040160000004</v>
      </c>
      <c r="K128" s="515">
        <f>'OPEX - Concept B1 - Carnival'!R88</f>
        <v>56308.120963200003</v>
      </c>
      <c r="L128" s="515">
        <f>'OPEX - Concept B1 - Carnival'!S88</f>
        <v>57434.283382464004</v>
      </c>
      <c r="M128" s="515">
        <f>'OPEX - Concept B1 - Carnival'!T88</f>
        <v>58582.969050113286</v>
      </c>
      <c r="N128" s="515">
        <f>'OPEX - Concept B1 - Carnival'!U88</f>
        <v>59754.628431115554</v>
      </c>
      <c r="O128" s="515">
        <f>'OPEX - Concept B1 - Carnival'!V88</f>
        <v>60949.720999737867</v>
      </c>
      <c r="P128" s="515">
        <f>'OPEX - Concept B1 - Carnival'!W88</f>
        <v>62168.715419732624</v>
      </c>
      <c r="Q128" s="515">
        <f>'OPEX - Concept B1 - Carnival'!X88</f>
        <v>63412.089728127277</v>
      </c>
      <c r="R128" s="515">
        <f>'OPEX - Concept B1 - Carnival'!Y88</f>
        <v>64680.331522689812</v>
      </c>
      <c r="S128" s="515">
        <f>'OPEX - Concept B1 - Carnival'!Z88</f>
        <v>65973.938153143623</v>
      </c>
      <c r="T128" s="515">
        <f>'OPEX - Concept B1 - Carnival'!AA88</f>
        <v>67293.416916206494</v>
      </c>
      <c r="U128" s="515">
        <f>'OPEX - Concept B1 - Carnival'!AB88</f>
        <v>68639.285254530623</v>
      </c>
      <c r="V128" s="515">
        <f>'OPEX - Concept B1 - Carnival'!AC88</f>
        <v>70012.07095962124</v>
      </c>
      <c r="W128" s="515">
        <f>'OPEX - Concept B1 - Carnival'!AD88</f>
        <v>71412.312378813673</v>
      </c>
      <c r="X128" s="515">
        <f>'OPEX - Concept B1 - Carnival'!AE88</f>
        <v>72840.558626389946</v>
      </c>
    </row>
    <row r="129" spans="1:24" s="96" customFormat="1">
      <c r="A129" s="69" t="s">
        <v>43</v>
      </c>
      <c r="B129" s="69"/>
      <c r="C129" s="69"/>
      <c r="D129" s="514">
        <v>0</v>
      </c>
      <c r="E129" s="515">
        <f>'OPEX - Concept B1 - Carnival'!L89</f>
        <v>500</v>
      </c>
      <c r="F129" s="515">
        <f>'OPEX - Concept B1 - Carnival'!M89</f>
        <v>1020</v>
      </c>
      <c r="G129" s="515">
        <f>'OPEX - Concept B1 - Carnival'!N89</f>
        <v>1040.4000000000001</v>
      </c>
      <c r="H129" s="515">
        <f>'OPEX - Concept B1 - Carnival'!O89</f>
        <v>1061.2079999999999</v>
      </c>
      <c r="I129" s="515">
        <f>'OPEX - Concept B1 - Carnival'!P89</f>
        <v>1082.4321600000001</v>
      </c>
      <c r="J129" s="515">
        <f>'OPEX - Concept B1 - Carnival'!Q89</f>
        <v>1104.0808032</v>
      </c>
      <c r="K129" s="515">
        <f>'OPEX - Concept B1 - Carnival'!R89</f>
        <v>1126.1624192640002</v>
      </c>
      <c r="L129" s="515">
        <f>'OPEX - Concept B1 - Carnival'!S89</f>
        <v>1148.68566764928</v>
      </c>
      <c r="M129" s="515">
        <f>'OPEX - Concept B1 - Carnival'!T89</f>
        <v>1171.6593810022657</v>
      </c>
      <c r="N129" s="515">
        <f>'OPEX - Concept B1 - Carnival'!U89</f>
        <v>1195.0925686223111</v>
      </c>
      <c r="O129" s="515">
        <f>'OPEX - Concept B1 - Carnival'!V89</f>
        <v>1218.9944199947574</v>
      </c>
      <c r="P129" s="515">
        <f>'OPEX - Concept B1 - Carnival'!W89</f>
        <v>1243.3743083946524</v>
      </c>
      <c r="Q129" s="515">
        <f>'OPEX - Concept B1 - Carnival'!X89</f>
        <v>1268.2417945625455</v>
      </c>
      <c r="R129" s="515">
        <f>'OPEX - Concept B1 - Carnival'!Y89</f>
        <v>1293.6066304537962</v>
      </c>
      <c r="S129" s="515">
        <f>'OPEX - Concept B1 - Carnival'!Z89</f>
        <v>1319.4787630628723</v>
      </c>
      <c r="T129" s="515">
        <f>'OPEX - Concept B1 - Carnival'!AA89</f>
        <v>1345.8683383241298</v>
      </c>
      <c r="U129" s="515">
        <f>'OPEX - Concept B1 - Carnival'!AB89</f>
        <v>1372.7857050906125</v>
      </c>
      <c r="V129" s="515">
        <f>'OPEX - Concept B1 - Carnival'!AC89</f>
        <v>1400.2414191924249</v>
      </c>
      <c r="W129" s="515">
        <f>'OPEX - Concept B1 - Carnival'!AD89</f>
        <v>1428.2462475762734</v>
      </c>
      <c r="X129" s="515">
        <f>'OPEX - Concept B1 - Carnival'!AE89</f>
        <v>1456.8111725277988</v>
      </c>
    </row>
    <row r="130" spans="1:24" s="96" customFormat="1">
      <c r="A130" s="69" t="s">
        <v>44</v>
      </c>
      <c r="B130" s="69"/>
      <c r="C130" s="69"/>
      <c r="D130" s="514">
        <v>0</v>
      </c>
      <c r="E130" s="515">
        <f>'OPEX - Concept B1 - Carnival'!L90</f>
        <v>250</v>
      </c>
      <c r="F130" s="515">
        <f>'OPEX - Concept B1 - Carnival'!M90</f>
        <v>510</v>
      </c>
      <c r="G130" s="515">
        <f>'OPEX - Concept B1 - Carnival'!N90</f>
        <v>520.20000000000005</v>
      </c>
      <c r="H130" s="515">
        <f>'OPEX - Concept B1 - Carnival'!O90</f>
        <v>530.60399999999993</v>
      </c>
      <c r="I130" s="515">
        <f>'OPEX - Concept B1 - Carnival'!P90</f>
        <v>541.21608000000003</v>
      </c>
      <c r="J130" s="515">
        <f>'OPEX - Concept B1 - Carnival'!Q90</f>
        <v>552.0404016</v>
      </c>
      <c r="K130" s="515">
        <f>'OPEX - Concept B1 - Carnival'!R90</f>
        <v>563.08120963200008</v>
      </c>
      <c r="L130" s="515">
        <f>'OPEX - Concept B1 - Carnival'!S90</f>
        <v>574.34283382464002</v>
      </c>
      <c r="M130" s="515">
        <f>'OPEX - Concept B1 - Carnival'!T90</f>
        <v>585.82969050113286</v>
      </c>
      <c r="N130" s="515">
        <f>'OPEX - Concept B1 - Carnival'!U90</f>
        <v>597.54628431115555</v>
      </c>
      <c r="O130" s="515">
        <f>'OPEX - Concept B1 - Carnival'!V90</f>
        <v>609.49720999737872</v>
      </c>
      <c r="P130" s="515">
        <f>'OPEX - Concept B1 - Carnival'!W90</f>
        <v>621.68715419732621</v>
      </c>
      <c r="Q130" s="515">
        <f>'OPEX - Concept B1 - Carnival'!X90</f>
        <v>634.12089728127273</v>
      </c>
      <c r="R130" s="515">
        <f>'OPEX - Concept B1 - Carnival'!Y90</f>
        <v>646.80331522689812</v>
      </c>
      <c r="S130" s="515">
        <f>'OPEX - Concept B1 - Carnival'!Z90</f>
        <v>659.73938153143615</v>
      </c>
      <c r="T130" s="515">
        <f>'OPEX - Concept B1 - Carnival'!AA90</f>
        <v>672.9341691620649</v>
      </c>
      <c r="U130" s="515">
        <f>'OPEX - Concept B1 - Carnival'!AB90</f>
        <v>686.39285254530625</v>
      </c>
      <c r="V130" s="515">
        <f>'OPEX - Concept B1 - Carnival'!AC90</f>
        <v>700.12070959621246</v>
      </c>
      <c r="W130" s="515">
        <f>'OPEX - Concept B1 - Carnival'!AD90</f>
        <v>714.1231237881367</v>
      </c>
      <c r="X130" s="515">
        <f>'OPEX - Concept B1 - Carnival'!AE90</f>
        <v>728.40558626389941</v>
      </c>
    </row>
    <row r="131" spans="1:24" s="96" customFormat="1">
      <c r="A131" s="69" t="s">
        <v>2</v>
      </c>
      <c r="B131" s="69"/>
      <c r="C131" s="69"/>
      <c r="D131" s="514">
        <v>0</v>
      </c>
      <c r="E131" s="515">
        <f>'OPEX - Concept B1 - Carnival'!L91</f>
        <v>1000</v>
      </c>
      <c r="F131" s="515">
        <f>'OPEX - Concept B1 - Carnival'!M91</f>
        <v>1020</v>
      </c>
      <c r="G131" s="515">
        <f>'OPEX - Concept B1 - Carnival'!N91</f>
        <v>1040.4000000000001</v>
      </c>
      <c r="H131" s="515">
        <f>'OPEX - Concept B1 - Carnival'!O91</f>
        <v>1061.2079999999999</v>
      </c>
      <c r="I131" s="515">
        <f>'OPEX - Concept B1 - Carnival'!P91</f>
        <v>1082.4321600000001</v>
      </c>
      <c r="J131" s="515">
        <f>'OPEX - Concept B1 - Carnival'!Q91</f>
        <v>1104.0808032</v>
      </c>
      <c r="K131" s="515">
        <f>'OPEX - Concept B1 - Carnival'!R91</f>
        <v>1126.1624192640002</v>
      </c>
      <c r="L131" s="515">
        <f>'OPEX - Concept B1 - Carnival'!S91</f>
        <v>1148.68566764928</v>
      </c>
      <c r="M131" s="515">
        <f>'OPEX - Concept B1 - Carnival'!T91</f>
        <v>1171.6593810022657</v>
      </c>
      <c r="N131" s="515">
        <f>'OPEX - Concept B1 - Carnival'!U91</f>
        <v>1195.0925686223111</v>
      </c>
      <c r="O131" s="515">
        <f>'OPEX - Concept B1 - Carnival'!V91</f>
        <v>1218.9944199947574</v>
      </c>
      <c r="P131" s="515">
        <f>'OPEX - Concept B1 - Carnival'!W91</f>
        <v>1243.3743083946524</v>
      </c>
      <c r="Q131" s="515">
        <f>'OPEX - Concept B1 - Carnival'!X91</f>
        <v>1268.2417945625455</v>
      </c>
      <c r="R131" s="515">
        <f>'OPEX - Concept B1 - Carnival'!Y91</f>
        <v>1293.6066304537962</v>
      </c>
      <c r="S131" s="515">
        <f>'OPEX - Concept B1 - Carnival'!Z91</f>
        <v>1319.4787630628723</v>
      </c>
      <c r="T131" s="515">
        <f>'OPEX - Concept B1 - Carnival'!AA91</f>
        <v>1345.8683383241298</v>
      </c>
      <c r="U131" s="515">
        <f>'OPEX - Concept B1 - Carnival'!AB91</f>
        <v>1372.7857050906125</v>
      </c>
      <c r="V131" s="515">
        <f>'OPEX - Concept B1 - Carnival'!AC91</f>
        <v>1400.2414191924249</v>
      </c>
      <c r="W131" s="515">
        <f>'OPEX - Concept B1 - Carnival'!AD91</f>
        <v>1428.2462475762734</v>
      </c>
      <c r="X131" s="515">
        <f>'OPEX - Concept B1 - Carnival'!AE91</f>
        <v>1456.8111725277988</v>
      </c>
    </row>
    <row r="132" spans="1:24" s="167" customFormat="1">
      <c r="A132" s="591"/>
      <c r="B132" s="591"/>
      <c r="C132" s="591"/>
      <c r="D132" s="592"/>
      <c r="E132" s="593"/>
      <c r="F132" s="593"/>
      <c r="G132" s="593"/>
      <c r="H132" s="593"/>
      <c r="I132" s="593"/>
      <c r="J132" s="593"/>
      <c r="K132" s="593"/>
      <c r="L132" s="593"/>
      <c r="M132" s="593"/>
      <c r="N132" s="593"/>
      <c r="O132" s="593"/>
      <c r="P132" s="593"/>
      <c r="Q132" s="593"/>
      <c r="R132" s="593"/>
      <c r="S132" s="593"/>
      <c r="T132" s="593"/>
      <c r="U132" s="593"/>
      <c r="V132" s="593"/>
      <c r="W132" s="593"/>
      <c r="X132" s="593"/>
    </row>
    <row r="133" spans="1:24" s="96" customFormat="1">
      <c r="A133" s="69" t="s">
        <v>25</v>
      </c>
      <c r="B133" s="69"/>
      <c r="C133" s="69"/>
      <c r="D133" s="514">
        <v>0</v>
      </c>
      <c r="E133" s="515">
        <f>'OPEX - Concept B1 - Carnival'!L107</f>
        <v>23741.666666666664</v>
      </c>
      <c r="F133" s="515">
        <f>'OPEX - Concept B1 - Carnival'!M107</f>
        <v>24216.5</v>
      </c>
      <c r="G133" s="515">
        <f>'OPEX - Concept B1 - Carnival'!N107</f>
        <v>24700.83</v>
      </c>
      <c r="H133" s="515">
        <f>'OPEX - Concept B1 - Carnival'!O107</f>
        <v>25194.846599999997</v>
      </c>
      <c r="I133" s="515">
        <f>'OPEX - Concept B1 - Carnival'!P107</f>
        <v>25698.743532</v>
      </c>
      <c r="J133" s="515">
        <f>'OPEX - Concept B1 - Carnival'!Q107</f>
        <v>26212.718402639999</v>
      </c>
      <c r="K133" s="515">
        <f>'OPEX - Concept B1 - Carnival'!R107</f>
        <v>26736.972770692802</v>
      </c>
      <c r="L133" s="515">
        <f>'OPEX - Concept B1 - Carnival'!S107</f>
        <v>27271.712226106654</v>
      </c>
      <c r="M133" s="515">
        <f>'OPEX - Concept B1 - Carnival'!T107</f>
        <v>27817.146470628788</v>
      </c>
      <c r="N133" s="515">
        <f>'OPEX - Concept B1 - Carnival'!U107</f>
        <v>28373.48940004137</v>
      </c>
      <c r="O133" s="515">
        <f>'OPEX - Concept B1 - Carnival'!V107</f>
        <v>28940.959188042198</v>
      </c>
      <c r="P133" s="515">
        <f>'OPEX - Concept B1 - Carnival'!W107</f>
        <v>29519.77837180304</v>
      </c>
      <c r="Q133" s="515">
        <f>'OPEX - Concept B1 - Carnival'!X107</f>
        <v>30110.173939239099</v>
      </c>
      <c r="R133" s="515">
        <f>'OPEX - Concept B1 - Carnival'!Y107</f>
        <v>30712.37741802388</v>
      </c>
      <c r="S133" s="515">
        <f>'OPEX - Concept B1 - Carnival'!Z107</f>
        <v>31326.624966384359</v>
      </c>
      <c r="T133" s="515">
        <f>'OPEX - Concept B1 - Carnival'!AA107</f>
        <v>31953.157465712051</v>
      </c>
      <c r="U133" s="515">
        <f>'OPEX - Concept B1 - Carnival'!AB107</f>
        <v>32592.220615026294</v>
      </c>
      <c r="V133" s="515">
        <f>'OPEX - Concept B1 - Carnival'!AC107</f>
        <v>33244.065027326818</v>
      </c>
      <c r="W133" s="515">
        <f>'OPEX - Concept B1 - Carnival'!AD107</f>
        <v>33908.946327873353</v>
      </c>
      <c r="X133" s="515">
        <f>'OPEX - Concept B1 - Carnival'!AE107</f>
        <v>34587.125254430823</v>
      </c>
    </row>
    <row r="134" spans="1:24" s="96" customFormat="1">
      <c r="A134" s="782" t="s">
        <v>426</v>
      </c>
      <c r="B134" s="69"/>
      <c r="C134" s="69"/>
      <c r="D134" s="514">
        <v>0</v>
      </c>
      <c r="E134" s="515">
        <f>'OPEX - Concept B1 - Carnival'!L95</f>
        <v>1000</v>
      </c>
      <c r="F134" s="515">
        <f>'OPEX - Concept B1 - Carnival'!M95</f>
        <v>1020</v>
      </c>
      <c r="G134" s="515">
        <f>'OPEX - Concept B1 - Carnival'!N95</f>
        <v>1040.4000000000001</v>
      </c>
      <c r="H134" s="515">
        <f>'OPEX - Concept B1 - Carnival'!O95</f>
        <v>1061.2079999999999</v>
      </c>
      <c r="I134" s="515">
        <f>'OPEX - Concept B1 - Carnival'!P95</f>
        <v>1082.4321600000001</v>
      </c>
      <c r="J134" s="515">
        <f>'OPEX - Concept B1 - Carnival'!Q95</f>
        <v>25000</v>
      </c>
      <c r="K134" s="515">
        <f>'OPEX - Concept B1 - Carnival'!R95</f>
        <v>25500</v>
      </c>
      <c r="L134" s="515">
        <f>'OPEX - Concept B1 - Carnival'!S95</f>
        <v>26010</v>
      </c>
      <c r="M134" s="515">
        <f>'OPEX - Concept B1 - Carnival'!T95</f>
        <v>26530.199999999997</v>
      </c>
      <c r="N134" s="515">
        <f>'OPEX - Concept B1 - Carnival'!U95</f>
        <v>27060.804</v>
      </c>
      <c r="O134" s="515">
        <f>'OPEX - Concept B1 - Carnival'!V95</f>
        <v>27602.020080000002</v>
      </c>
      <c r="P134" s="515">
        <f>'OPEX - Concept B1 - Carnival'!W95</f>
        <v>28154.060481600001</v>
      </c>
      <c r="Q134" s="515">
        <f>'OPEX - Concept B1 - Carnival'!X95</f>
        <v>28717.141691232002</v>
      </c>
      <c r="R134" s="515">
        <f>'OPEX - Concept B1 - Carnival'!Y95</f>
        <v>29291.484525056643</v>
      </c>
      <c r="S134" s="515">
        <f>'OPEX - Concept B1 - Carnival'!Z95</f>
        <v>29877.314215557777</v>
      </c>
      <c r="T134" s="515">
        <f>'OPEX - Concept B1 - Carnival'!AA95</f>
        <v>30474.860499868933</v>
      </c>
      <c r="U134" s="515">
        <f>'OPEX - Concept B1 - Carnival'!AB95</f>
        <v>31084.357709866312</v>
      </c>
      <c r="V134" s="515">
        <f>'OPEX - Concept B1 - Carnival'!AC95</f>
        <v>31706.044864063639</v>
      </c>
      <c r="W134" s="515">
        <f>'OPEX - Concept B1 - Carnival'!AD95</f>
        <v>32340.165761344906</v>
      </c>
      <c r="X134" s="515">
        <f>'OPEX - Concept B1 - Carnival'!AE95</f>
        <v>32986.969076571811</v>
      </c>
    </row>
    <row r="135" spans="1:24" s="96" customFormat="1">
      <c r="A135" s="644" t="s">
        <v>302</v>
      </c>
      <c r="B135" s="69"/>
      <c r="C135" s="69"/>
      <c r="D135" s="514">
        <v>0</v>
      </c>
      <c r="E135" s="515">
        <f>'OPEX - Concept B1 - Carnival'!L96</f>
        <v>233675</v>
      </c>
      <c r="F135" s="515">
        <f>'OPEX - Concept B1 - Carnival'!M96</f>
        <v>476697</v>
      </c>
      <c r="G135" s="515">
        <f>'OPEX - Concept B1 - Carnival'!N96</f>
        <v>486230.94000000006</v>
      </c>
      <c r="H135" s="515">
        <f>'OPEX - Concept B1 - Carnival'!O96</f>
        <v>495955.55879999994</v>
      </c>
      <c r="I135" s="515">
        <f>'OPEX - Concept B1 - Carnival'!P96</f>
        <v>505874.66997599998</v>
      </c>
      <c r="J135" s="515">
        <f>'OPEX - Concept B1 - Carnival'!Q96</f>
        <v>515992.16337552003</v>
      </c>
      <c r="K135" s="515">
        <f>'OPEX - Concept B1 - Carnival'!R96</f>
        <v>526312.00664303044</v>
      </c>
      <c r="L135" s="515">
        <f>'OPEX - Concept B1 - Carnival'!S96</f>
        <v>536838.24677589093</v>
      </c>
      <c r="M135" s="515">
        <f>'OPEX - Concept B1 - Carnival'!T96</f>
        <v>547575.01171140897</v>
      </c>
      <c r="N135" s="515">
        <f>'OPEX - Concept B1 - Carnival'!U96</f>
        <v>558526.51194563706</v>
      </c>
      <c r="O135" s="515">
        <f>'OPEX - Concept B1 - Carnival'!V96</f>
        <v>569697.04218454985</v>
      </c>
      <c r="P135" s="515">
        <f>'OPEX - Concept B1 - Carnival'!W96</f>
        <v>581090.98302824085</v>
      </c>
      <c r="Q135" s="515">
        <f>'OPEX - Concept B1 - Carnival'!X96</f>
        <v>592712.80268880562</v>
      </c>
      <c r="R135" s="515">
        <f>'OPEX - Concept B1 - Carnival'!Y96</f>
        <v>604567.05874258175</v>
      </c>
      <c r="S135" s="515">
        <f>'OPEX - Concept B1 - Carnival'!Z96</f>
        <v>616658.39991743339</v>
      </c>
      <c r="T135" s="515">
        <f>'OPEX - Concept B1 - Carnival'!AA96</f>
        <v>628991.5679157821</v>
      </c>
      <c r="U135" s="515">
        <f>'OPEX - Concept B1 - Carnival'!AB96</f>
        <v>641571.39927409776</v>
      </c>
      <c r="V135" s="515">
        <f>'OPEX - Concept B1 - Carnival'!AC96</f>
        <v>654402.82725957979</v>
      </c>
      <c r="W135" s="515">
        <f>'OPEX - Concept B1 - Carnival'!AD96</f>
        <v>667490.88380477135</v>
      </c>
      <c r="X135" s="515">
        <f>'OPEX - Concept B1 - Carnival'!AE96</f>
        <v>680840.70148086676</v>
      </c>
    </row>
    <row r="136" spans="1:24" s="16" customFormat="1" ht="14.25">
      <c r="A136" s="282" t="s">
        <v>132</v>
      </c>
      <c r="B136" s="276"/>
      <c r="C136" s="276"/>
      <c r="D136" s="516">
        <f>SUM(D124:D135)</f>
        <v>0</v>
      </c>
      <c r="E136" s="517">
        <f t="shared" ref="E136:X136" si="16">SUM(E125:E135)</f>
        <v>357416.66666666663</v>
      </c>
      <c r="F136" s="517">
        <f t="shared" si="16"/>
        <v>686483.5</v>
      </c>
      <c r="G136" s="517">
        <f t="shared" si="16"/>
        <v>700223.37000000011</v>
      </c>
      <c r="H136" s="517">
        <f t="shared" si="16"/>
        <v>714227.83739999996</v>
      </c>
      <c r="I136" s="517">
        <f t="shared" si="16"/>
        <v>728512.39414800005</v>
      </c>
      <c r="J136" s="517">
        <f t="shared" si="16"/>
        <v>771426.52082615998</v>
      </c>
      <c r="K136" s="517">
        <f t="shared" si="16"/>
        <v>782318.13245231519</v>
      </c>
      <c r="L136" s="517">
        <f t="shared" si="16"/>
        <v>797964.49510136142</v>
      </c>
      <c r="M136" s="517">
        <f t="shared" si="16"/>
        <v>813923.78500338888</v>
      </c>
      <c r="N136" s="517">
        <f t="shared" si="16"/>
        <v>830202.26070345659</v>
      </c>
      <c r="O136" s="517">
        <f t="shared" si="16"/>
        <v>875001.71613890608</v>
      </c>
      <c r="P136" s="517">
        <f t="shared" si="16"/>
        <v>863742.43203587632</v>
      </c>
      <c r="Q136" s="517">
        <f t="shared" si="16"/>
        <v>881017.28067659377</v>
      </c>
      <c r="R136" s="517">
        <f t="shared" si="16"/>
        <v>898637.62629012566</v>
      </c>
      <c r="S136" s="517">
        <f t="shared" si="16"/>
        <v>916610.37881592824</v>
      </c>
      <c r="T136" s="517">
        <f t="shared" si="16"/>
        <v>939269.65222308482</v>
      </c>
      <c r="U136" s="517">
        <f t="shared" si="16"/>
        <v>953641.4381200918</v>
      </c>
      <c r="V136" s="517">
        <f t="shared" si="16"/>
        <v>972714.26688249363</v>
      </c>
      <c r="W136" s="517">
        <f t="shared" si="16"/>
        <v>992168.55222014361</v>
      </c>
      <c r="X136" s="517">
        <f t="shared" si="16"/>
        <v>1012011.9232645463</v>
      </c>
    </row>
    <row r="137" spans="1:24">
      <c r="A137" s="92"/>
      <c r="B137" s="69"/>
      <c r="C137" s="69"/>
      <c r="D137" s="514"/>
      <c r="E137" s="515"/>
      <c r="F137" s="515"/>
      <c r="G137" s="515"/>
      <c r="H137" s="515"/>
      <c r="I137" s="515"/>
      <c r="J137" s="515"/>
      <c r="K137" s="515"/>
      <c r="L137" s="515"/>
      <c r="M137" s="515"/>
      <c r="N137" s="515"/>
      <c r="O137" s="515"/>
      <c r="P137" s="515"/>
      <c r="Q137" s="515"/>
      <c r="R137" s="515"/>
      <c r="S137" s="515"/>
      <c r="T137" s="515"/>
      <c r="U137" s="515"/>
      <c r="V137" s="515"/>
      <c r="W137" s="515"/>
      <c r="X137" s="515"/>
    </row>
    <row r="138" spans="1:24">
      <c r="A138" s="269" t="s">
        <v>85</v>
      </c>
      <c r="B138" s="269"/>
      <c r="C138" s="270"/>
      <c r="D138" s="513"/>
      <c r="E138" s="513"/>
      <c r="F138" s="513"/>
      <c r="G138" s="513"/>
      <c r="H138" s="513"/>
      <c r="I138" s="513"/>
      <c r="J138" s="513"/>
      <c r="K138" s="513"/>
      <c r="L138" s="513"/>
      <c r="M138" s="513"/>
      <c r="N138" s="513"/>
      <c r="O138" s="513"/>
      <c r="P138" s="513"/>
      <c r="Q138" s="513"/>
      <c r="R138" s="513"/>
      <c r="S138" s="513"/>
      <c r="T138" s="513"/>
      <c r="U138" s="513"/>
      <c r="V138" s="513"/>
      <c r="W138" s="513"/>
      <c r="X138" s="513"/>
    </row>
    <row r="139" spans="1:24" s="368" customFormat="1">
      <c r="A139" s="263"/>
      <c r="B139" s="263"/>
      <c r="C139" s="367"/>
      <c r="D139" s="514"/>
      <c r="E139" s="515"/>
      <c r="F139" s="515"/>
      <c r="G139" s="515"/>
      <c r="H139" s="515"/>
      <c r="I139" s="515"/>
      <c r="J139" s="515"/>
      <c r="K139" s="515"/>
      <c r="L139" s="515"/>
      <c r="M139" s="515"/>
      <c r="N139" s="515"/>
      <c r="O139" s="515"/>
      <c r="P139" s="515"/>
      <c r="Q139" s="515"/>
      <c r="R139" s="515"/>
      <c r="S139" s="515"/>
      <c r="T139" s="515"/>
      <c r="U139" s="515"/>
      <c r="V139" s="515"/>
      <c r="W139" s="515"/>
      <c r="X139" s="515"/>
    </row>
    <row r="140" spans="1:24" s="418" customFormat="1">
      <c r="A140" s="591" t="s">
        <v>0</v>
      </c>
      <c r="B140" s="595"/>
      <c r="C140" s="596"/>
      <c r="D140" s="592">
        <v>0</v>
      </c>
      <c r="E140" s="593">
        <f>'OPEX - Concept B1 - Carnival'!L130</f>
        <v>0</v>
      </c>
      <c r="F140" s="593">
        <f>'OPEX - Concept B1 - Carnival'!M130</f>
        <v>54570</v>
      </c>
      <c r="G140" s="593">
        <f>'OPEX - Concept B1 - Carnival'!N130</f>
        <v>56774.628000000004</v>
      </c>
      <c r="H140" s="593">
        <f>'OPEX - Concept B1 - Carnival'!O130</f>
        <v>57910.120559999996</v>
      </c>
      <c r="I140" s="593">
        <f>'OPEX - Concept B1 - Carnival'!P130</f>
        <v>59068.322971199988</v>
      </c>
      <c r="J140" s="593">
        <f>'OPEX - Concept B1 - Carnival'!Q130</f>
        <v>60249.689430623999</v>
      </c>
      <c r="K140" s="593">
        <f>'OPEX - Concept B1 - Carnival'!R130</f>
        <v>61454.683219236475</v>
      </c>
      <c r="L140" s="593">
        <f>'OPEX - Concept B1 - Carnival'!S130</f>
        <v>62683.776883621205</v>
      </c>
      <c r="M140" s="593">
        <f>'OPEX - Concept B1 - Carnival'!T130</f>
        <v>63937.452421293638</v>
      </c>
      <c r="N140" s="593">
        <f>'OPEX - Concept B1 - Carnival'!U130</f>
        <v>65216.201469719512</v>
      </c>
      <c r="O140" s="593">
        <f>'OPEX - Concept B1 - Carnival'!V130</f>
        <v>66520.525499113894</v>
      </c>
      <c r="P140" s="593">
        <f>'OPEX - Concept B1 - Carnival'!W130</f>
        <v>67850.936009096185</v>
      </c>
      <c r="Q140" s="593">
        <f>'OPEX - Concept B1 - Carnival'!X130</f>
        <v>69207.954729278121</v>
      </c>
      <c r="R140" s="593">
        <f>'OPEX - Concept B1 - Carnival'!Y130</f>
        <v>70592.113823863678</v>
      </c>
      <c r="S140" s="593">
        <f>'OPEX - Concept B1 - Carnival'!Z130</f>
        <v>72003.956100340947</v>
      </c>
      <c r="T140" s="593">
        <f>'OPEX - Concept B1 - Carnival'!AA130</f>
        <v>73444.035222347768</v>
      </c>
      <c r="U140" s="593">
        <f>'OPEX - Concept B1 - Carnival'!AB130</f>
        <v>74912.915926794725</v>
      </c>
      <c r="V140" s="593">
        <f>'OPEX - Concept B1 - Carnival'!AC130</f>
        <v>76411.174245330621</v>
      </c>
      <c r="W140" s="593">
        <f>'OPEX - Concept B1 - Carnival'!AD130</f>
        <v>77939.397730237237</v>
      </c>
      <c r="X140" s="593">
        <f>'OPEX - Concept B1 - Carnival'!AE130</f>
        <v>79498.18568484197</v>
      </c>
    </row>
    <row r="141" spans="1:24" s="418" customFormat="1">
      <c r="A141" s="591" t="s">
        <v>4</v>
      </c>
      <c r="B141" s="595"/>
      <c r="C141" s="596"/>
      <c r="D141" s="592">
        <v>0</v>
      </c>
      <c r="E141" s="593">
        <f>'OPEX - Concept B1 - Carnival'!L153</f>
        <v>0</v>
      </c>
      <c r="F141" s="593">
        <f>'OPEX - Concept B1 - Carnival'!M153</f>
        <v>85335.846153846156</v>
      </c>
      <c r="G141" s="593">
        <f>'OPEX - Concept B1 - Carnival'!N153</f>
        <v>87042.563076923077</v>
      </c>
      <c r="H141" s="593">
        <f>'OPEX - Concept B1 - Carnival'!O153</f>
        <v>88783.41433846156</v>
      </c>
      <c r="I141" s="593">
        <f>'OPEX - Concept B1 - Carnival'!P153</f>
        <v>90559.082625230774</v>
      </c>
      <c r="J141" s="593">
        <f>'OPEX - Concept B1 - Carnival'!Q153</f>
        <v>92370.264277735376</v>
      </c>
      <c r="K141" s="593">
        <f>'OPEX - Concept B1 - Carnival'!R153</f>
        <v>94217.669563290081</v>
      </c>
      <c r="L141" s="593">
        <f>'OPEX - Concept B1 - Carnival'!S153</f>
        <v>96102.022954555898</v>
      </c>
      <c r="M141" s="593">
        <f>'OPEX - Concept B1 - Carnival'!T153</f>
        <v>98024.063413647003</v>
      </c>
      <c r="N141" s="593">
        <f>'OPEX - Concept B1 - Carnival'!U153</f>
        <v>99984.544681919942</v>
      </c>
      <c r="O141" s="593">
        <f>'OPEX - Concept B1 - Carnival'!V153</f>
        <v>101984.23557555837</v>
      </c>
      <c r="P141" s="593">
        <f>'OPEX - Concept B1 - Carnival'!W153</f>
        <v>104023.92028706953</v>
      </c>
      <c r="Q141" s="593">
        <f>'OPEX - Concept B1 - Carnival'!X153</f>
        <v>106104.39869281092</v>
      </c>
      <c r="R141" s="593">
        <f>'OPEX - Concept B1 - Carnival'!Y153</f>
        <v>108226.48666666714</v>
      </c>
      <c r="S141" s="593">
        <f>'OPEX - Concept B1 - Carnival'!Z153</f>
        <v>110391.01640000047</v>
      </c>
      <c r="T141" s="593">
        <f>'OPEX - Concept B1 - Carnival'!AA153</f>
        <v>112598.8367280005</v>
      </c>
      <c r="U141" s="593">
        <f>'OPEX - Concept B1 - Carnival'!AB153</f>
        <v>114850.8134625605</v>
      </c>
      <c r="V141" s="593">
        <f>'OPEX - Concept B1 - Carnival'!AC153</f>
        <v>117147.82973181173</v>
      </c>
      <c r="W141" s="593">
        <f>'OPEX - Concept B1 - Carnival'!AD153</f>
        <v>119490.78632644797</v>
      </c>
      <c r="X141" s="593">
        <f>'OPEX - Concept B1 - Carnival'!AE153</f>
        <v>121880.60205297693</v>
      </c>
    </row>
    <row r="142" spans="1:24" s="16" customFormat="1" ht="14.25">
      <c r="A142" s="282" t="s">
        <v>133</v>
      </c>
      <c r="B142" s="276"/>
      <c r="C142" s="276"/>
      <c r="D142" s="516">
        <f>SUM(D140:D141)</f>
        <v>0</v>
      </c>
      <c r="E142" s="517">
        <f>SUM(E140:E141)</f>
        <v>0</v>
      </c>
      <c r="F142" s="517">
        <f t="shared" ref="F142:X142" si="17">SUM(F140:F141)</f>
        <v>139905.84615384616</v>
      </c>
      <c r="G142" s="517">
        <f t="shared" si="17"/>
        <v>143817.19107692307</v>
      </c>
      <c r="H142" s="517">
        <f t="shared" si="17"/>
        <v>146693.53489846154</v>
      </c>
      <c r="I142" s="517">
        <f t="shared" si="17"/>
        <v>149627.40559643076</v>
      </c>
      <c r="J142" s="517">
        <f t="shared" si="17"/>
        <v>152619.95370835939</v>
      </c>
      <c r="K142" s="517">
        <f t="shared" si="17"/>
        <v>155672.35278252655</v>
      </c>
      <c r="L142" s="517">
        <f t="shared" si="17"/>
        <v>158785.7998381771</v>
      </c>
      <c r="M142" s="517">
        <f t="shared" si="17"/>
        <v>161961.51583494066</v>
      </c>
      <c r="N142" s="517">
        <f t="shared" si="17"/>
        <v>165200.74615163944</v>
      </c>
      <c r="O142" s="517">
        <f t="shared" si="17"/>
        <v>168504.76107467228</v>
      </c>
      <c r="P142" s="517">
        <f t="shared" si="17"/>
        <v>171874.85629616573</v>
      </c>
      <c r="Q142" s="517">
        <f t="shared" si="17"/>
        <v>175312.35342208904</v>
      </c>
      <c r="R142" s="517">
        <f t="shared" si="17"/>
        <v>178818.60049053084</v>
      </c>
      <c r="S142" s="517">
        <f t="shared" si="17"/>
        <v>182394.97250034142</v>
      </c>
      <c r="T142" s="517">
        <f t="shared" si="17"/>
        <v>186042.87195034826</v>
      </c>
      <c r="U142" s="517">
        <f t="shared" si="17"/>
        <v>189763.72938935523</v>
      </c>
      <c r="V142" s="517">
        <f t="shared" si="17"/>
        <v>193559.00397714233</v>
      </c>
      <c r="W142" s="517">
        <f t="shared" si="17"/>
        <v>197430.18405668519</v>
      </c>
      <c r="X142" s="517">
        <f t="shared" si="17"/>
        <v>201378.7877378189</v>
      </c>
    </row>
    <row r="143" spans="1:24">
      <c r="A143" s="92"/>
      <c r="B143" s="92"/>
      <c r="C143" s="69"/>
      <c r="D143" s="514"/>
      <c r="E143" s="515"/>
      <c r="F143" s="515"/>
      <c r="G143" s="515"/>
      <c r="H143" s="515"/>
      <c r="I143" s="515"/>
      <c r="J143" s="515"/>
      <c r="K143" s="515"/>
      <c r="L143" s="515"/>
      <c r="M143" s="515"/>
      <c r="N143" s="515"/>
      <c r="O143" s="515"/>
      <c r="P143" s="515"/>
      <c r="Q143" s="515"/>
      <c r="R143" s="515"/>
      <c r="S143" s="515"/>
      <c r="T143" s="515"/>
      <c r="U143" s="515"/>
      <c r="V143" s="515"/>
      <c r="W143" s="515"/>
      <c r="X143" s="515"/>
    </row>
    <row r="144" spans="1:24" s="16" customFormat="1" ht="14.25">
      <c r="A144" s="350" t="s">
        <v>118</v>
      </c>
      <c r="B144" s="350"/>
      <c r="C144" s="351"/>
      <c r="D144" s="519">
        <f t="shared" ref="D144:X144" si="18">SUM(D136,D142)</f>
        <v>0</v>
      </c>
      <c r="E144" s="519">
        <f t="shared" si="18"/>
        <v>357416.66666666663</v>
      </c>
      <c r="F144" s="519">
        <f t="shared" si="18"/>
        <v>826389.34615384613</v>
      </c>
      <c r="G144" s="519">
        <f t="shared" si="18"/>
        <v>844040.56107692316</v>
      </c>
      <c r="H144" s="519">
        <f t="shared" si="18"/>
        <v>860921.3722984615</v>
      </c>
      <c r="I144" s="519">
        <f t="shared" si="18"/>
        <v>878139.79974443081</v>
      </c>
      <c r="J144" s="519">
        <f t="shared" si="18"/>
        <v>924046.47453451937</v>
      </c>
      <c r="K144" s="519">
        <f t="shared" si="18"/>
        <v>937990.4852348417</v>
      </c>
      <c r="L144" s="519">
        <f t="shared" si="18"/>
        <v>956750.29493953846</v>
      </c>
      <c r="M144" s="519">
        <f t="shared" si="18"/>
        <v>975885.3008383296</v>
      </c>
      <c r="N144" s="519">
        <f t="shared" si="18"/>
        <v>995403.00685509597</v>
      </c>
      <c r="O144" s="519">
        <f t="shared" si="18"/>
        <v>1043506.4772135783</v>
      </c>
      <c r="P144" s="519">
        <f t="shared" si="18"/>
        <v>1035617.2883320421</v>
      </c>
      <c r="Q144" s="519">
        <f t="shared" si="18"/>
        <v>1056329.6340986828</v>
      </c>
      <c r="R144" s="519">
        <f t="shared" si="18"/>
        <v>1077456.2267806565</v>
      </c>
      <c r="S144" s="519">
        <f t="shared" si="18"/>
        <v>1099005.3513162697</v>
      </c>
      <c r="T144" s="519">
        <f t="shared" si="18"/>
        <v>1125312.524173433</v>
      </c>
      <c r="U144" s="519">
        <f t="shared" si="18"/>
        <v>1143405.1675094471</v>
      </c>
      <c r="V144" s="519">
        <f t="shared" si="18"/>
        <v>1166273.2708596359</v>
      </c>
      <c r="W144" s="519">
        <f t="shared" si="18"/>
        <v>1189598.7362768287</v>
      </c>
      <c r="X144" s="519">
        <f t="shared" si="18"/>
        <v>1213390.7110023652</v>
      </c>
    </row>
    <row r="145" spans="1:24" s="222" customFormat="1" ht="14.25">
      <c r="A145" s="280"/>
      <c r="B145" s="280"/>
      <c r="C145" s="263"/>
      <c r="D145" s="518"/>
      <c r="E145" s="520"/>
      <c r="F145" s="520"/>
      <c r="G145" s="520"/>
      <c r="H145" s="520"/>
      <c r="I145" s="520"/>
      <c r="J145" s="520"/>
      <c r="K145" s="520"/>
      <c r="L145" s="520"/>
      <c r="M145" s="520"/>
      <c r="N145" s="520"/>
      <c r="O145" s="520"/>
      <c r="P145" s="520"/>
      <c r="Q145" s="520"/>
      <c r="R145" s="520"/>
      <c r="S145" s="520"/>
      <c r="T145" s="520"/>
      <c r="U145" s="520"/>
      <c r="V145" s="520"/>
      <c r="W145" s="520"/>
      <c r="X145" s="520"/>
    </row>
    <row r="146" spans="1:24" s="222" customFormat="1" ht="14.25">
      <c r="A146" s="271" t="s">
        <v>295</v>
      </c>
      <c r="B146" s="271"/>
      <c r="C146" s="269"/>
      <c r="D146" s="521"/>
      <c r="E146" s="521"/>
      <c r="F146" s="521"/>
      <c r="G146" s="521"/>
      <c r="H146" s="521"/>
      <c r="I146" s="521"/>
      <c r="J146" s="521"/>
      <c r="K146" s="521"/>
      <c r="L146" s="521"/>
      <c r="M146" s="521"/>
      <c r="N146" s="521"/>
      <c r="O146" s="521"/>
      <c r="P146" s="521"/>
      <c r="Q146" s="521"/>
      <c r="R146" s="521"/>
      <c r="S146" s="521"/>
      <c r="T146" s="521"/>
      <c r="U146" s="521"/>
      <c r="V146" s="521"/>
      <c r="W146" s="521"/>
      <c r="X146" s="521"/>
    </row>
    <row r="147" spans="1:24" s="222" customFormat="1" ht="14.25">
      <c r="A147" s="280"/>
      <c r="B147" s="280"/>
      <c r="C147" s="263"/>
      <c r="D147" s="518"/>
      <c r="E147" s="520"/>
      <c r="F147" s="520"/>
      <c r="G147" s="520"/>
      <c r="H147" s="520"/>
      <c r="I147" s="520"/>
      <c r="J147" s="520"/>
      <c r="K147" s="520"/>
      <c r="L147" s="520"/>
      <c r="M147" s="520"/>
      <c r="N147" s="520"/>
      <c r="O147" s="520"/>
      <c r="P147" s="520"/>
      <c r="Q147" s="520"/>
      <c r="R147" s="520"/>
      <c r="S147" s="520"/>
      <c r="T147" s="520"/>
      <c r="U147" s="520"/>
      <c r="V147" s="520"/>
      <c r="W147" s="520"/>
      <c r="X147" s="520"/>
    </row>
    <row r="148" spans="1:24" s="725" customFormat="1">
      <c r="A148" s="353" t="s">
        <v>228</v>
      </c>
      <c r="B148" s="691"/>
      <c r="C148" s="724"/>
      <c r="D148" s="699">
        <v>0</v>
      </c>
      <c r="E148" s="700"/>
      <c r="F148" s="700"/>
      <c r="G148" s="700"/>
      <c r="H148" s="700"/>
      <c r="I148" s="700"/>
      <c r="J148" s="700"/>
      <c r="K148" s="700"/>
      <c r="L148" s="700"/>
      <c r="M148" s="700"/>
      <c r="N148" s="700"/>
      <c r="O148" s="700"/>
      <c r="P148" s="700"/>
      <c r="Q148" s="700"/>
      <c r="R148" s="700"/>
      <c r="S148" s="700"/>
      <c r="T148" s="700"/>
      <c r="U148" s="700"/>
      <c r="V148" s="700"/>
      <c r="W148" s="700"/>
      <c r="X148" s="700"/>
    </row>
    <row r="149" spans="1:24" s="725" customFormat="1">
      <c r="A149" s="726" t="s">
        <v>228</v>
      </c>
      <c r="B149" s="727"/>
      <c r="C149" s="728"/>
      <c r="D149" s="729">
        <v>0</v>
      </c>
      <c r="E149" s="730"/>
      <c r="F149" s="730"/>
      <c r="G149" s="730"/>
      <c r="H149" s="730"/>
      <c r="I149" s="730"/>
      <c r="J149" s="730"/>
      <c r="K149" s="730"/>
      <c r="L149" s="730"/>
      <c r="M149" s="730"/>
      <c r="N149" s="730"/>
      <c r="O149" s="730"/>
      <c r="P149" s="730"/>
      <c r="Q149" s="730"/>
      <c r="R149" s="730"/>
      <c r="S149" s="730"/>
      <c r="T149" s="730"/>
      <c r="U149" s="730"/>
      <c r="V149" s="730"/>
      <c r="W149" s="730"/>
      <c r="X149" s="730"/>
    </row>
    <row r="150" spans="1:24" s="725" customFormat="1" ht="14.25">
      <c r="A150" s="691" t="s">
        <v>296</v>
      </c>
      <c r="B150" s="691"/>
      <c r="C150" s="724"/>
      <c r="D150" s="731">
        <f t="shared" ref="D150:X150" si="19">SUM(D148:D149)</f>
        <v>0</v>
      </c>
      <c r="E150" s="732">
        <f t="shared" si="19"/>
        <v>0</v>
      </c>
      <c r="F150" s="732">
        <f t="shared" si="19"/>
        <v>0</v>
      </c>
      <c r="G150" s="732">
        <f t="shared" si="19"/>
        <v>0</v>
      </c>
      <c r="H150" s="732">
        <f t="shared" si="19"/>
        <v>0</v>
      </c>
      <c r="I150" s="732">
        <f t="shared" si="19"/>
        <v>0</v>
      </c>
      <c r="J150" s="732">
        <f t="shared" si="19"/>
        <v>0</v>
      </c>
      <c r="K150" s="732">
        <f t="shared" si="19"/>
        <v>0</v>
      </c>
      <c r="L150" s="732">
        <f t="shared" si="19"/>
        <v>0</v>
      </c>
      <c r="M150" s="732">
        <f t="shared" si="19"/>
        <v>0</v>
      </c>
      <c r="N150" s="732">
        <f t="shared" si="19"/>
        <v>0</v>
      </c>
      <c r="O150" s="732">
        <f t="shared" si="19"/>
        <v>0</v>
      </c>
      <c r="P150" s="732">
        <f t="shared" si="19"/>
        <v>0</v>
      </c>
      <c r="Q150" s="732">
        <f t="shared" si="19"/>
        <v>0</v>
      </c>
      <c r="R150" s="732">
        <f t="shared" si="19"/>
        <v>0</v>
      </c>
      <c r="S150" s="732">
        <f t="shared" si="19"/>
        <v>0</v>
      </c>
      <c r="T150" s="732">
        <f t="shared" si="19"/>
        <v>0</v>
      </c>
      <c r="U150" s="732">
        <f t="shared" si="19"/>
        <v>0</v>
      </c>
      <c r="V150" s="732">
        <f t="shared" si="19"/>
        <v>0</v>
      </c>
      <c r="W150" s="732">
        <f t="shared" si="19"/>
        <v>0</v>
      </c>
      <c r="X150" s="732">
        <f t="shared" si="19"/>
        <v>0</v>
      </c>
    </row>
    <row r="151" spans="1:24" s="222" customFormat="1">
      <c r="A151" s="280"/>
      <c r="B151" s="280"/>
      <c r="C151" s="263"/>
      <c r="D151" s="514"/>
      <c r="E151" s="515"/>
      <c r="F151" s="520"/>
      <c r="G151" s="520"/>
      <c r="H151" s="520"/>
      <c r="I151" s="520"/>
      <c r="J151" s="520"/>
      <c r="K151" s="520"/>
      <c r="L151" s="520"/>
      <c r="M151" s="520"/>
      <c r="N151" s="520"/>
      <c r="O151" s="520"/>
      <c r="P151" s="520"/>
      <c r="Q151" s="520"/>
      <c r="R151" s="520"/>
      <c r="S151" s="520"/>
      <c r="T151" s="520"/>
      <c r="U151" s="520"/>
      <c r="V151" s="520"/>
      <c r="W151" s="520"/>
      <c r="X151" s="520"/>
    </row>
    <row r="152" spans="1:24" s="222" customFormat="1" ht="14.25">
      <c r="A152" s="296" t="s">
        <v>140</v>
      </c>
      <c r="B152" s="296"/>
      <c r="C152" s="297"/>
      <c r="D152" s="522">
        <f t="shared" ref="D152:X152" si="20">SUM(D144,D150)</f>
        <v>0</v>
      </c>
      <c r="E152" s="522">
        <f t="shared" si="20"/>
        <v>357416.66666666663</v>
      </c>
      <c r="F152" s="522">
        <f t="shared" si="20"/>
        <v>826389.34615384613</v>
      </c>
      <c r="G152" s="522">
        <f t="shared" si="20"/>
        <v>844040.56107692316</v>
      </c>
      <c r="H152" s="522">
        <f t="shared" si="20"/>
        <v>860921.3722984615</v>
      </c>
      <c r="I152" s="522">
        <f t="shared" si="20"/>
        <v>878139.79974443081</v>
      </c>
      <c r="J152" s="522">
        <f t="shared" si="20"/>
        <v>924046.47453451937</v>
      </c>
      <c r="K152" s="522">
        <f t="shared" si="20"/>
        <v>937990.4852348417</v>
      </c>
      <c r="L152" s="522">
        <f t="shared" si="20"/>
        <v>956750.29493953846</v>
      </c>
      <c r="M152" s="522">
        <f t="shared" si="20"/>
        <v>975885.3008383296</v>
      </c>
      <c r="N152" s="522">
        <f t="shared" si="20"/>
        <v>995403.00685509597</v>
      </c>
      <c r="O152" s="522">
        <f t="shared" si="20"/>
        <v>1043506.4772135783</v>
      </c>
      <c r="P152" s="522">
        <f t="shared" si="20"/>
        <v>1035617.2883320421</v>
      </c>
      <c r="Q152" s="522">
        <f t="shared" si="20"/>
        <v>1056329.6340986828</v>
      </c>
      <c r="R152" s="522">
        <f t="shared" si="20"/>
        <v>1077456.2267806565</v>
      </c>
      <c r="S152" s="522">
        <f t="shared" si="20"/>
        <v>1099005.3513162697</v>
      </c>
      <c r="T152" s="522">
        <f t="shared" si="20"/>
        <v>1125312.524173433</v>
      </c>
      <c r="U152" s="522">
        <f t="shared" si="20"/>
        <v>1143405.1675094471</v>
      </c>
      <c r="V152" s="522">
        <f t="shared" si="20"/>
        <v>1166273.2708596359</v>
      </c>
      <c r="W152" s="522">
        <f t="shared" si="20"/>
        <v>1189598.7362768287</v>
      </c>
      <c r="X152" s="522">
        <f t="shared" si="20"/>
        <v>1213390.7110023652</v>
      </c>
    </row>
    <row r="153" spans="1:24">
      <c r="A153" s="92"/>
      <c r="B153" s="92"/>
      <c r="C153" s="69"/>
      <c r="D153" s="514"/>
      <c r="E153" s="515"/>
      <c r="F153" s="515"/>
      <c r="G153" s="515"/>
      <c r="H153" s="515"/>
      <c r="I153" s="515"/>
      <c r="J153" s="515"/>
      <c r="K153" s="515"/>
      <c r="L153" s="515"/>
      <c r="M153" s="515"/>
      <c r="N153" s="515"/>
      <c r="O153" s="515"/>
      <c r="P153" s="515"/>
      <c r="Q153" s="515"/>
      <c r="R153" s="515"/>
      <c r="S153" s="515"/>
      <c r="T153" s="515"/>
      <c r="U153" s="515"/>
      <c r="V153" s="515"/>
      <c r="W153" s="515"/>
      <c r="X153" s="515"/>
    </row>
    <row r="154" spans="1:24" s="33" customFormat="1">
      <c r="A154" s="47" t="s">
        <v>7</v>
      </c>
      <c r="B154" s="47" t="s">
        <v>7</v>
      </c>
      <c r="C154" s="78" t="s">
        <v>7</v>
      </c>
      <c r="D154" s="604" t="s">
        <v>7</v>
      </c>
      <c r="E154" s="78" t="s">
        <v>7</v>
      </c>
      <c r="F154" s="78" t="s">
        <v>7</v>
      </c>
      <c r="G154" s="78" t="s">
        <v>7</v>
      </c>
      <c r="H154" s="78" t="s">
        <v>7</v>
      </c>
      <c r="I154" s="78" t="s">
        <v>7</v>
      </c>
      <c r="J154" s="78" t="s">
        <v>7</v>
      </c>
      <c r="K154" s="78" t="s">
        <v>7</v>
      </c>
      <c r="L154" s="78" t="s">
        <v>7</v>
      </c>
      <c r="M154" s="78" t="s">
        <v>7</v>
      </c>
      <c r="N154" s="78" t="s">
        <v>7</v>
      </c>
      <c r="O154" s="78" t="s">
        <v>7</v>
      </c>
      <c r="P154" s="78" t="s">
        <v>7</v>
      </c>
      <c r="Q154" s="78" t="s">
        <v>7</v>
      </c>
      <c r="R154" s="78" t="s">
        <v>7</v>
      </c>
      <c r="S154" s="78" t="s">
        <v>7</v>
      </c>
      <c r="T154" s="78" t="s">
        <v>7</v>
      </c>
      <c r="U154" s="78" t="s">
        <v>7</v>
      </c>
      <c r="V154" s="78" t="s">
        <v>7</v>
      </c>
      <c r="W154" s="78" t="s">
        <v>7</v>
      </c>
      <c r="X154" s="78" t="s">
        <v>7</v>
      </c>
    </row>
    <row r="155" spans="1:24">
      <c r="A155" s="92"/>
      <c r="B155" s="92"/>
      <c r="C155" s="69"/>
      <c r="D155" s="518"/>
      <c r="E155" s="515"/>
      <c r="F155" s="515"/>
      <c r="G155" s="515"/>
      <c r="H155" s="515"/>
      <c r="I155" s="515"/>
      <c r="J155" s="515"/>
      <c r="K155" s="515"/>
      <c r="L155" s="515"/>
      <c r="M155" s="515"/>
      <c r="N155" s="515"/>
      <c r="O155" s="515"/>
      <c r="P155" s="515"/>
      <c r="Q155" s="515"/>
      <c r="R155" s="515"/>
      <c r="S155" s="515"/>
      <c r="T155" s="515"/>
      <c r="U155" s="515"/>
      <c r="V155" s="515"/>
      <c r="W155" s="515"/>
      <c r="X155" s="515"/>
    </row>
    <row r="156" spans="1:24" s="16" customFormat="1" ht="14.25">
      <c r="A156" s="278" t="s">
        <v>116</v>
      </c>
      <c r="B156" s="263"/>
      <c r="C156" s="263"/>
      <c r="D156" s="518">
        <f>D119-(D136+D142)</f>
        <v>0</v>
      </c>
      <c r="E156" s="520">
        <f>E119-E152</f>
        <v>-299391.66666666663</v>
      </c>
      <c r="F156" s="520">
        <f t="shared" ref="F156:X156" si="21">F119-F152</f>
        <v>449371.80989078956</v>
      </c>
      <c r="G156" s="520">
        <f t="shared" si="21"/>
        <v>573968.21808860532</v>
      </c>
      <c r="H156" s="520">
        <f t="shared" si="21"/>
        <v>583227.58245037741</v>
      </c>
      <c r="I156" s="520">
        <f t="shared" si="21"/>
        <v>592672.13409938512</v>
      </c>
      <c r="J156" s="520">
        <f t="shared" si="21"/>
        <v>822081.69798617263</v>
      </c>
      <c r="K156" s="520">
        <f t="shared" si="21"/>
        <v>835877.85073626437</v>
      </c>
      <c r="L156" s="520">
        <f t="shared" si="21"/>
        <v>845413.00775098964</v>
      </c>
      <c r="M156" s="520">
        <f t="shared" si="21"/>
        <v>855138.86790600931</v>
      </c>
      <c r="N156" s="520">
        <f t="shared" si="21"/>
        <v>865059.24526412971</v>
      </c>
      <c r="O156" s="520">
        <f t="shared" si="21"/>
        <v>909600.11994803208</v>
      </c>
      <c r="P156" s="520">
        <f t="shared" si="21"/>
        <v>948116.69077280047</v>
      </c>
      <c r="Q156" s="520">
        <f t="shared" si="21"/>
        <v>958644.27458825638</v>
      </c>
      <c r="R156" s="520">
        <f t="shared" si="21"/>
        <v>969382.41008002148</v>
      </c>
      <c r="S156" s="520">
        <f t="shared" si="21"/>
        <v>980335.3082816219</v>
      </c>
      <c r="T156" s="520">
        <f t="shared" si="21"/>
        <v>1049897.6986164167</v>
      </c>
      <c r="U156" s="520">
        <f t="shared" si="21"/>
        <v>1065620.1597361995</v>
      </c>
      <c r="V156" s="520">
        <f t="shared" si="21"/>
        <v>1077243.4629309233</v>
      </c>
      <c r="W156" s="520">
        <f t="shared" si="21"/>
        <v>1089099.2321895421</v>
      </c>
      <c r="X156" s="520">
        <f t="shared" si="21"/>
        <v>1101192.1168333329</v>
      </c>
    </row>
    <row r="157" spans="1:24">
      <c r="A157" s="30"/>
      <c r="B157" s="92"/>
      <c r="C157" s="69"/>
      <c r="D157" s="514"/>
      <c r="E157" s="515"/>
      <c r="F157" s="515"/>
      <c r="G157" s="515"/>
      <c r="H157" s="515"/>
      <c r="I157" s="515"/>
      <c r="J157" s="515"/>
      <c r="K157" s="515"/>
      <c r="L157" s="515"/>
      <c r="M157" s="515"/>
      <c r="N157" s="515"/>
      <c r="O157" s="515"/>
      <c r="P157" s="515"/>
      <c r="Q157" s="515"/>
      <c r="R157" s="515"/>
      <c r="S157" s="515"/>
      <c r="T157" s="515"/>
      <c r="U157" s="515"/>
      <c r="V157" s="515"/>
      <c r="W157" s="515"/>
      <c r="X157" s="515"/>
    </row>
    <row r="158" spans="1:24" s="594" customFormat="1">
      <c r="A158" s="589" t="s">
        <v>125</v>
      </c>
      <c r="B158" s="590"/>
      <c r="C158" s="591"/>
      <c r="D158" s="592">
        <v>0</v>
      </c>
      <c r="E158" s="593">
        <v>0</v>
      </c>
      <c r="F158" s="593">
        <v>0</v>
      </c>
      <c r="G158" s="593">
        <v>0</v>
      </c>
      <c r="H158" s="593">
        <v>0</v>
      </c>
      <c r="I158" s="593">
        <v>0</v>
      </c>
      <c r="J158" s="593">
        <v>0</v>
      </c>
      <c r="K158" s="593">
        <v>0</v>
      </c>
      <c r="L158" s="593">
        <v>0</v>
      </c>
      <c r="M158" s="593">
        <v>0</v>
      </c>
      <c r="N158" s="593">
        <v>0</v>
      </c>
      <c r="O158" s="593">
        <v>0</v>
      </c>
      <c r="P158" s="593">
        <v>0</v>
      </c>
      <c r="Q158" s="593">
        <v>0</v>
      </c>
      <c r="R158" s="593">
        <v>0</v>
      </c>
      <c r="S158" s="593">
        <v>0</v>
      </c>
      <c r="T158" s="593">
        <v>0</v>
      </c>
      <c r="U158" s="593">
        <v>0</v>
      </c>
      <c r="V158" s="593">
        <v>0</v>
      </c>
      <c r="W158" s="593">
        <v>0</v>
      </c>
      <c r="X158" s="593">
        <v>0</v>
      </c>
    </row>
    <row r="159" spans="1:24">
      <c r="A159" s="92"/>
      <c r="B159" s="92"/>
      <c r="C159" s="69"/>
      <c r="D159" s="514"/>
      <c r="E159" s="515"/>
      <c r="F159" s="515"/>
      <c r="G159" s="515"/>
      <c r="H159" s="515"/>
      <c r="I159" s="515"/>
      <c r="J159" s="515"/>
      <c r="K159" s="515"/>
      <c r="L159" s="515"/>
      <c r="M159" s="515"/>
      <c r="N159" s="515"/>
      <c r="O159" s="515"/>
      <c r="P159" s="515"/>
      <c r="Q159" s="515"/>
      <c r="R159" s="515"/>
      <c r="S159" s="515"/>
      <c r="T159" s="515"/>
      <c r="U159" s="515"/>
      <c r="V159" s="515"/>
      <c r="W159" s="515"/>
      <c r="X159" s="515"/>
    </row>
    <row r="160" spans="1:24" s="16" customFormat="1" ht="14.25">
      <c r="A160" s="278" t="s">
        <v>117</v>
      </c>
      <c r="B160" s="278"/>
      <c r="C160" s="263"/>
      <c r="D160" s="518">
        <v>0</v>
      </c>
      <c r="E160" s="520">
        <f>E156-E158</f>
        <v>-299391.66666666663</v>
      </c>
      <c r="F160" s="520">
        <f t="shared" ref="F160:X160" si="22">F156-F158</f>
        <v>449371.80989078956</v>
      </c>
      <c r="G160" s="520">
        <f t="shared" si="22"/>
        <v>573968.21808860532</v>
      </c>
      <c r="H160" s="520">
        <f t="shared" si="22"/>
        <v>583227.58245037741</v>
      </c>
      <c r="I160" s="520">
        <f t="shared" si="22"/>
        <v>592672.13409938512</v>
      </c>
      <c r="J160" s="520">
        <f t="shared" si="22"/>
        <v>822081.69798617263</v>
      </c>
      <c r="K160" s="520">
        <f t="shared" si="22"/>
        <v>835877.85073626437</v>
      </c>
      <c r="L160" s="520">
        <f t="shared" si="22"/>
        <v>845413.00775098964</v>
      </c>
      <c r="M160" s="520">
        <f t="shared" si="22"/>
        <v>855138.86790600931</v>
      </c>
      <c r="N160" s="520">
        <f t="shared" si="22"/>
        <v>865059.24526412971</v>
      </c>
      <c r="O160" s="520">
        <f t="shared" si="22"/>
        <v>909600.11994803208</v>
      </c>
      <c r="P160" s="520">
        <f t="shared" si="22"/>
        <v>948116.69077280047</v>
      </c>
      <c r="Q160" s="520">
        <f t="shared" si="22"/>
        <v>958644.27458825638</v>
      </c>
      <c r="R160" s="520">
        <f t="shared" si="22"/>
        <v>969382.41008002148</v>
      </c>
      <c r="S160" s="520">
        <f t="shared" si="22"/>
        <v>980335.3082816219</v>
      </c>
      <c r="T160" s="520">
        <f t="shared" si="22"/>
        <v>1049897.6986164167</v>
      </c>
      <c r="U160" s="520">
        <f t="shared" si="22"/>
        <v>1065620.1597361995</v>
      </c>
      <c r="V160" s="520">
        <f t="shared" si="22"/>
        <v>1077243.4629309233</v>
      </c>
      <c r="W160" s="520">
        <f t="shared" si="22"/>
        <v>1089099.2321895421</v>
      </c>
      <c r="X160" s="520">
        <f t="shared" si="22"/>
        <v>1101192.1168333329</v>
      </c>
    </row>
    <row r="161" spans="1:24">
      <c r="A161" s="92"/>
      <c r="B161" s="92"/>
      <c r="C161" s="69"/>
      <c r="D161" s="514"/>
      <c r="E161" s="515"/>
      <c r="F161" s="515"/>
      <c r="G161" s="515"/>
      <c r="H161" s="515"/>
      <c r="I161" s="515"/>
      <c r="J161" s="515"/>
      <c r="K161" s="515"/>
      <c r="L161" s="515"/>
      <c r="M161" s="515"/>
      <c r="N161" s="515"/>
      <c r="O161" s="515"/>
      <c r="P161" s="515"/>
      <c r="Q161" s="515"/>
      <c r="R161" s="515"/>
      <c r="S161" s="515"/>
      <c r="T161" s="515"/>
      <c r="U161" s="515"/>
      <c r="V161" s="515"/>
      <c r="W161" s="515"/>
      <c r="X161" s="515"/>
    </row>
    <row r="162" spans="1:24">
      <c r="A162" s="271" t="s">
        <v>126</v>
      </c>
      <c r="B162" s="272"/>
      <c r="C162" s="273"/>
      <c r="D162" s="523"/>
      <c r="E162" s="523"/>
      <c r="F162" s="523"/>
      <c r="G162" s="523"/>
      <c r="H162" s="523"/>
      <c r="I162" s="523"/>
      <c r="J162" s="523"/>
      <c r="K162" s="523"/>
      <c r="L162" s="523"/>
      <c r="M162" s="523"/>
      <c r="N162" s="523"/>
      <c r="O162" s="523"/>
      <c r="P162" s="523"/>
      <c r="Q162" s="523"/>
      <c r="R162" s="523"/>
      <c r="S162" s="523"/>
      <c r="T162" s="523"/>
      <c r="U162" s="523"/>
      <c r="V162" s="523"/>
      <c r="W162" s="523"/>
      <c r="X162" s="523"/>
    </row>
    <row r="163" spans="1:24" s="32" customFormat="1">
      <c r="A163" s="280"/>
      <c r="B163" s="91"/>
      <c r="C163" s="69"/>
      <c r="D163" s="514"/>
      <c r="E163" s="515"/>
      <c r="F163" s="515"/>
      <c r="G163" s="515"/>
      <c r="H163" s="515"/>
      <c r="I163" s="515"/>
      <c r="J163" s="515"/>
      <c r="K163" s="515"/>
      <c r="L163" s="515"/>
      <c r="M163" s="515"/>
      <c r="N163" s="515"/>
      <c r="O163" s="515"/>
      <c r="P163" s="515"/>
      <c r="Q163" s="515"/>
      <c r="R163" s="515"/>
      <c r="S163" s="515"/>
      <c r="T163" s="515"/>
      <c r="U163" s="515"/>
      <c r="V163" s="515"/>
      <c r="W163" s="515"/>
      <c r="X163" s="515"/>
    </row>
    <row r="164" spans="1:24" s="96" customFormat="1">
      <c r="A164" s="885" t="s">
        <v>136</v>
      </c>
      <c r="B164" s="719"/>
      <c r="C164" s="69"/>
      <c r="D164" s="514">
        <v>0</v>
      </c>
      <c r="E164" s="515">
        <f>'OPEX - Concept B1 - Carnival'!L168</f>
        <v>0</v>
      </c>
      <c r="F164" s="515">
        <f>'OPEX - Concept B1 - Carnival'!M168</f>
        <v>53485</v>
      </c>
      <c r="G164" s="515">
        <f>'OPEX - Concept B1 - Carnival'!N168</f>
        <v>54554.700000000004</v>
      </c>
      <c r="H164" s="515">
        <f>'OPEX - Concept B1 - Carnival'!O168</f>
        <v>55645.794000000002</v>
      </c>
      <c r="I164" s="515">
        <f>'OPEX - Concept B1 - Carnival'!P168</f>
        <v>56758.709879999995</v>
      </c>
      <c r="J164" s="515">
        <f>'OPEX - Concept B1 - Carnival'!Q168</f>
        <v>57893.8840776</v>
      </c>
      <c r="K164" s="515">
        <f>'OPEX - Concept B1 - Carnival'!R168</f>
        <v>59051.761759152003</v>
      </c>
      <c r="L164" s="515">
        <f>'OPEX - Concept B1 - Carnival'!S168</f>
        <v>60232.796994335047</v>
      </c>
      <c r="M164" s="515">
        <f>'OPEX - Concept B1 - Carnival'!T168</f>
        <v>61437.452934221743</v>
      </c>
      <c r="N164" s="515">
        <f>'OPEX - Concept B1 - Carnival'!U168</f>
        <v>62666.201992906186</v>
      </c>
      <c r="O164" s="515">
        <f>'OPEX - Concept B1 - Carnival'!V168</f>
        <v>63919.526032764305</v>
      </c>
      <c r="P164" s="515">
        <f>'OPEX - Concept B1 - Carnival'!W168</f>
        <v>65197.916553419593</v>
      </c>
      <c r="Q164" s="515">
        <f>'OPEX - Concept B1 - Carnival'!X168</f>
        <v>66501.874884487988</v>
      </c>
      <c r="R164" s="515">
        <f>'OPEX - Concept B1 - Carnival'!Y168</f>
        <v>67831.912382177747</v>
      </c>
      <c r="S164" s="515">
        <f>'OPEX - Concept B1 - Carnival'!Z168</f>
        <v>69188.5506298213</v>
      </c>
      <c r="T164" s="515">
        <f>'OPEX - Concept B1 - Carnival'!AA168</f>
        <v>70572.321642417723</v>
      </c>
      <c r="U164" s="515">
        <f>'OPEX - Concept B1 - Carnival'!AB168</f>
        <v>71983.768075266082</v>
      </c>
      <c r="V164" s="515">
        <f>'OPEX - Concept B1 - Carnival'!AC168</f>
        <v>73423.443436771413</v>
      </c>
      <c r="W164" s="515">
        <f>'OPEX - Concept B1 - Carnival'!AD168</f>
        <v>74891.912305506848</v>
      </c>
      <c r="X164" s="515">
        <f>'OPEX - Concept B1 - Carnival'!AE168</f>
        <v>76389.750551616977</v>
      </c>
    </row>
    <row r="165" spans="1:24" s="96" customFormat="1">
      <c r="A165" s="885" t="s">
        <v>458</v>
      </c>
      <c r="B165" s="719"/>
      <c r="C165" s="69"/>
      <c r="D165" s="514">
        <v>0</v>
      </c>
      <c r="E165" s="515">
        <f>'OPEX - Concept B1 - Carnival'!L170</f>
        <v>612119.16</v>
      </c>
      <c r="F165" s="515">
        <f>'OPEX - Concept B1 - Carnival'!M170</f>
        <v>612119.16</v>
      </c>
      <c r="G165" s="515">
        <f>'OPEX - Concept B1 - Carnival'!N170</f>
        <v>612119.16</v>
      </c>
      <c r="H165" s="515">
        <f>'OPEX - Concept B1 - Carnival'!O170</f>
        <v>612119.16</v>
      </c>
      <c r="I165" s="515">
        <f>'OPEX - Concept B1 - Carnival'!P170</f>
        <v>612119.16</v>
      </c>
      <c r="J165" s="515">
        <f>'OPEX - Concept B1 - Carnival'!Q170</f>
        <v>612119.16</v>
      </c>
      <c r="K165" s="515">
        <f>'OPEX - Concept B1 - Carnival'!R170</f>
        <v>612119.16</v>
      </c>
      <c r="L165" s="515">
        <f>'OPEX - Concept B1 - Carnival'!S170</f>
        <v>612119.16</v>
      </c>
      <c r="M165" s="515">
        <f>'OPEX - Concept B1 - Carnival'!T170</f>
        <v>612119.16</v>
      </c>
      <c r="N165" s="515">
        <f>'OPEX - Concept B1 - Carnival'!U170</f>
        <v>612119.16</v>
      </c>
      <c r="O165" s="515">
        <f>'OPEX - Concept B1 - Carnival'!V170</f>
        <v>612119.16</v>
      </c>
      <c r="P165" s="515">
        <f>'OPEX - Concept B1 - Carnival'!W170</f>
        <v>612119.16</v>
      </c>
      <c r="Q165" s="515">
        <f>'OPEX - Concept B1 - Carnival'!X170</f>
        <v>612119.16</v>
      </c>
      <c r="R165" s="515">
        <f>'OPEX - Concept B1 - Carnival'!Y170</f>
        <v>612119.16</v>
      </c>
      <c r="S165" s="515">
        <f>'OPEX - Concept B1 - Carnival'!Z170</f>
        <v>612119.16</v>
      </c>
      <c r="T165" s="515">
        <f>'OPEX - Concept B1 - Carnival'!AA170</f>
        <v>612119.16</v>
      </c>
      <c r="U165" s="515">
        <f>'OPEX - Concept B1 - Carnival'!AB170</f>
        <v>612119.16</v>
      </c>
      <c r="V165" s="515">
        <f>'OPEX - Concept B1 - Carnival'!AC170</f>
        <v>612119.16</v>
      </c>
      <c r="W165" s="515">
        <f>'OPEX - Concept B1 - Carnival'!AD170</f>
        <v>612119.16</v>
      </c>
      <c r="X165" s="515">
        <f>'OPEX - Concept B1 - Carnival'!AE170</f>
        <v>612119.16</v>
      </c>
    </row>
    <row r="166" spans="1:24" s="341" customFormat="1">
      <c r="A166" s="696" t="s">
        <v>315</v>
      </c>
      <c r="B166" s="697"/>
      <c r="C166" s="698"/>
      <c r="D166" s="699">
        <v>0</v>
      </c>
      <c r="E166" s="700">
        <v>0</v>
      </c>
      <c r="F166" s="700">
        <v>0</v>
      </c>
      <c r="G166" s="700">
        <v>0</v>
      </c>
      <c r="H166" s="700">
        <v>0</v>
      </c>
      <c r="I166" s="700">
        <v>0</v>
      </c>
      <c r="J166" s="700">
        <v>0</v>
      </c>
      <c r="K166" s="700">
        <v>0</v>
      </c>
      <c r="L166" s="700">
        <v>0</v>
      </c>
      <c r="M166" s="700">
        <v>0</v>
      </c>
      <c r="N166" s="700">
        <v>0</v>
      </c>
      <c r="O166" s="700">
        <v>0</v>
      </c>
      <c r="P166" s="700">
        <v>0</v>
      </c>
      <c r="Q166" s="700">
        <v>0</v>
      </c>
      <c r="R166" s="700">
        <v>0</v>
      </c>
      <c r="S166" s="700">
        <v>0</v>
      </c>
      <c r="T166" s="700">
        <v>0</v>
      </c>
      <c r="U166" s="700">
        <v>0</v>
      </c>
      <c r="V166" s="700">
        <v>0</v>
      </c>
      <c r="W166" s="700">
        <v>0</v>
      </c>
      <c r="X166" s="700">
        <v>0</v>
      </c>
    </row>
    <row r="167" spans="1:24" s="32" customFormat="1">
      <c r="A167" s="93" t="s">
        <v>316</v>
      </c>
      <c r="B167" s="298"/>
      <c r="C167" s="298"/>
      <c r="D167" s="505">
        <v>0</v>
      </c>
      <c r="E167" s="506">
        <v>246000</v>
      </c>
      <c r="F167" s="506">
        <v>246000</v>
      </c>
      <c r="G167" s="506">
        <v>246000</v>
      </c>
      <c r="H167" s="506">
        <v>246000</v>
      </c>
      <c r="I167" s="506">
        <v>246000</v>
      </c>
      <c r="J167" s="506">
        <v>246000</v>
      </c>
      <c r="K167" s="506">
        <v>246000</v>
      </c>
      <c r="L167" s="506">
        <v>246000</v>
      </c>
      <c r="M167" s="506">
        <v>246000</v>
      </c>
      <c r="N167" s="506">
        <v>246000</v>
      </c>
      <c r="O167" s="506">
        <v>246000</v>
      </c>
      <c r="P167" s="506">
        <v>246000</v>
      </c>
      <c r="Q167" s="506">
        <v>246000</v>
      </c>
      <c r="R167" s="506">
        <v>246000</v>
      </c>
      <c r="S167" s="506">
        <v>246000</v>
      </c>
      <c r="T167" s="506">
        <v>246000</v>
      </c>
      <c r="U167" s="506">
        <v>246000</v>
      </c>
      <c r="V167" s="506">
        <v>246000</v>
      </c>
      <c r="W167" s="506">
        <v>246000</v>
      </c>
      <c r="X167" s="506">
        <v>246000</v>
      </c>
    </row>
    <row r="168" spans="1:24" s="222" customFormat="1" ht="14.25">
      <c r="A168" s="263" t="s">
        <v>134</v>
      </c>
      <c r="B168" s="264"/>
      <c r="C168" s="264"/>
      <c r="D168" s="524">
        <f>SUM(D164:D167)</f>
        <v>0</v>
      </c>
      <c r="E168" s="525">
        <f t="shared" ref="E168:X168" si="23">SUM(E164:E167)</f>
        <v>858119.16</v>
      </c>
      <c r="F168" s="525">
        <f t="shared" si="23"/>
        <v>911604.16</v>
      </c>
      <c r="G168" s="525">
        <f t="shared" si="23"/>
        <v>912673.86</v>
      </c>
      <c r="H168" s="525">
        <f t="shared" si="23"/>
        <v>913764.95400000003</v>
      </c>
      <c r="I168" s="525">
        <f t="shared" si="23"/>
        <v>914877.86988000001</v>
      </c>
      <c r="J168" s="525">
        <f t="shared" si="23"/>
        <v>916013.0440776</v>
      </c>
      <c r="K168" s="525">
        <f t="shared" si="23"/>
        <v>917170.92175915209</v>
      </c>
      <c r="L168" s="525">
        <f t="shared" si="23"/>
        <v>918351.95699433505</v>
      </c>
      <c r="M168" s="525">
        <f t="shared" si="23"/>
        <v>919556.61293422175</v>
      </c>
      <c r="N168" s="525">
        <f t="shared" si="23"/>
        <v>920785.3619929062</v>
      </c>
      <c r="O168" s="525">
        <f t="shared" si="23"/>
        <v>922038.68603276438</v>
      </c>
      <c r="P168" s="525">
        <f t="shared" si="23"/>
        <v>923317.07655341958</v>
      </c>
      <c r="Q168" s="525">
        <f t="shared" si="23"/>
        <v>924621.03488448798</v>
      </c>
      <c r="R168" s="525">
        <f t="shared" si="23"/>
        <v>925951.07238217781</v>
      </c>
      <c r="S168" s="525">
        <f t="shared" si="23"/>
        <v>927307.71062982129</v>
      </c>
      <c r="T168" s="525">
        <f t="shared" si="23"/>
        <v>928691.48164241773</v>
      </c>
      <c r="U168" s="525">
        <f t="shared" si="23"/>
        <v>930102.92807526607</v>
      </c>
      <c r="V168" s="525">
        <f t="shared" si="23"/>
        <v>931542.60343677143</v>
      </c>
      <c r="W168" s="525">
        <f t="shared" si="23"/>
        <v>933011.07230550691</v>
      </c>
      <c r="X168" s="525">
        <f t="shared" si="23"/>
        <v>934508.91055161704</v>
      </c>
    </row>
    <row r="169" spans="1:24" s="32" customFormat="1">
      <c r="A169" s="69"/>
      <c r="B169" s="90"/>
      <c r="C169" s="90"/>
      <c r="D169" s="526"/>
      <c r="E169" s="527"/>
      <c r="F169" s="527"/>
      <c r="G169" s="527"/>
      <c r="H169" s="527"/>
      <c r="I169" s="527"/>
      <c r="J169" s="527"/>
      <c r="K169" s="527"/>
      <c r="L169" s="527"/>
      <c r="M169" s="527"/>
      <c r="N169" s="527"/>
      <c r="O169" s="527"/>
      <c r="P169" s="527"/>
      <c r="Q169" s="527"/>
      <c r="R169" s="527"/>
      <c r="S169" s="527"/>
      <c r="T169" s="527"/>
      <c r="U169" s="527"/>
      <c r="V169" s="527"/>
      <c r="W169" s="527"/>
      <c r="X169" s="527"/>
    </row>
    <row r="170" spans="1:24" s="32" customFormat="1">
      <c r="A170" s="94" t="s">
        <v>137</v>
      </c>
      <c r="C170" s="69"/>
      <c r="D170" s="514">
        <v>0</v>
      </c>
      <c r="E170" s="515">
        <f>E160-E164</f>
        <v>-299391.66666666663</v>
      </c>
      <c r="F170" s="515">
        <f t="shared" ref="F170:X170" si="24">F156-F164</f>
        <v>395886.80989078956</v>
      </c>
      <c r="G170" s="515">
        <f t="shared" si="24"/>
        <v>519413.51808860531</v>
      </c>
      <c r="H170" s="515">
        <f t="shared" si="24"/>
        <v>527581.78845037741</v>
      </c>
      <c r="I170" s="515">
        <f t="shared" si="24"/>
        <v>535913.42421938514</v>
      </c>
      <c r="J170" s="515">
        <f t="shared" si="24"/>
        <v>764187.81390857266</v>
      </c>
      <c r="K170" s="515">
        <f t="shared" si="24"/>
        <v>776826.08897711232</v>
      </c>
      <c r="L170" s="515">
        <f t="shared" si="24"/>
        <v>785180.21075665462</v>
      </c>
      <c r="M170" s="515">
        <f t="shared" si="24"/>
        <v>793701.4149717876</v>
      </c>
      <c r="N170" s="515">
        <f t="shared" si="24"/>
        <v>802393.04327122355</v>
      </c>
      <c r="O170" s="515">
        <f t="shared" si="24"/>
        <v>845680.59391526773</v>
      </c>
      <c r="P170" s="515">
        <f t="shared" si="24"/>
        <v>882918.77421938092</v>
      </c>
      <c r="Q170" s="515">
        <f t="shared" si="24"/>
        <v>892142.39970376843</v>
      </c>
      <c r="R170" s="515">
        <f t="shared" si="24"/>
        <v>901550.4976978437</v>
      </c>
      <c r="S170" s="515">
        <f t="shared" si="24"/>
        <v>911146.75765180064</v>
      </c>
      <c r="T170" s="515">
        <f t="shared" si="24"/>
        <v>979325.37697399897</v>
      </c>
      <c r="U170" s="515">
        <f t="shared" si="24"/>
        <v>993636.3916609335</v>
      </c>
      <c r="V170" s="515">
        <f t="shared" si="24"/>
        <v>1003820.0194941519</v>
      </c>
      <c r="W170" s="515">
        <f t="shared" si="24"/>
        <v>1014207.3198840353</v>
      </c>
      <c r="X170" s="515">
        <f t="shared" si="24"/>
        <v>1024802.3662817159</v>
      </c>
    </row>
    <row r="171" spans="1:24" ht="16.5" customHeight="1">
      <c r="A171" s="88" t="s">
        <v>128</v>
      </c>
      <c r="B171" s="98"/>
      <c r="C171" s="98"/>
      <c r="D171" s="528">
        <v>0</v>
      </c>
      <c r="E171" s="529">
        <f>E160-E168</f>
        <v>-1157510.8266666667</v>
      </c>
      <c r="F171" s="529">
        <f t="shared" ref="F171:X171" si="25">F160-F168</f>
        <v>-462232.35010921047</v>
      </c>
      <c r="G171" s="529">
        <f t="shared" si="25"/>
        <v>-338705.64191139466</v>
      </c>
      <c r="H171" s="529">
        <f t="shared" si="25"/>
        <v>-330537.37154962262</v>
      </c>
      <c r="I171" s="529">
        <f t="shared" si="25"/>
        <v>-322205.73578061489</v>
      </c>
      <c r="J171" s="529">
        <f t="shared" si="25"/>
        <v>-93931.346091427375</v>
      </c>
      <c r="K171" s="529">
        <f t="shared" si="25"/>
        <v>-81293.071022887714</v>
      </c>
      <c r="L171" s="529">
        <f t="shared" si="25"/>
        <v>-72938.949243345414</v>
      </c>
      <c r="M171" s="529">
        <f t="shared" si="25"/>
        <v>-64417.745028212434</v>
      </c>
      <c r="N171" s="529">
        <f t="shared" si="25"/>
        <v>-55726.116728776484</v>
      </c>
      <c r="O171" s="529">
        <f t="shared" si="25"/>
        <v>-12438.566084732302</v>
      </c>
      <c r="P171" s="529">
        <f t="shared" si="25"/>
        <v>24799.614219380892</v>
      </c>
      <c r="Q171" s="529">
        <f t="shared" si="25"/>
        <v>34023.239703768399</v>
      </c>
      <c r="R171" s="529">
        <f t="shared" si="25"/>
        <v>43431.337697843672</v>
      </c>
      <c r="S171" s="529">
        <f t="shared" si="25"/>
        <v>53027.597651800606</v>
      </c>
      <c r="T171" s="529">
        <f t="shared" si="25"/>
        <v>121206.21697399893</v>
      </c>
      <c r="U171" s="529">
        <f t="shared" si="25"/>
        <v>135517.23166093347</v>
      </c>
      <c r="V171" s="529">
        <f t="shared" si="25"/>
        <v>145700.8594941519</v>
      </c>
      <c r="W171" s="529">
        <f t="shared" si="25"/>
        <v>156088.15988403524</v>
      </c>
      <c r="X171" s="529">
        <f t="shared" si="25"/>
        <v>166683.20628171589</v>
      </c>
    </row>
    <row r="172" spans="1:24" ht="16.5" customHeight="1">
      <c r="A172" s="88"/>
      <c r="B172" s="88"/>
      <c r="C172" s="88"/>
      <c r="D172" s="526"/>
      <c r="E172" s="527"/>
      <c r="F172" s="527"/>
      <c r="G172" s="527"/>
      <c r="H172" s="527"/>
      <c r="I172" s="527"/>
      <c r="J172" s="527"/>
      <c r="K172" s="527"/>
      <c r="L172" s="527"/>
      <c r="M172" s="527"/>
      <c r="N172" s="527"/>
      <c r="O172" s="527"/>
      <c r="P172" s="527"/>
      <c r="Q172" s="527"/>
      <c r="R172" s="527"/>
      <c r="S172" s="527"/>
      <c r="T172" s="527"/>
      <c r="U172" s="527"/>
      <c r="V172" s="527"/>
      <c r="W172" s="527"/>
      <c r="X172" s="527"/>
    </row>
    <row r="173" spans="1:24" ht="16.5" customHeight="1">
      <c r="A173" s="88" t="s">
        <v>129</v>
      </c>
      <c r="B173" s="632">
        <f>NPV(Cost_of_Money__DPC,E160:X160)</f>
        <v>16272550.221483205</v>
      </c>
      <c r="C173" s="88"/>
      <c r="D173" s="526"/>
      <c r="E173" s="527"/>
      <c r="F173" s="527"/>
      <c r="G173" s="527"/>
      <c r="H173" s="527"/>
      <c r="I173" s="527"/>
      <c r="J173" s="527"/>
      <c r="K173" s="527"/>
      <c r="L173" s="527"/>
      <c r="M173" s="527"/>
      <c r="N173" s="527"/>
      <c r="O173" s="527"/>
      <c r="P173" s="527"/>
      <c r="Q173" s="527"/>
      <c r="R173" s="527"/>
      <c r="S173" s="527"/>
      <c r="T173" s="527"/>
      <c r="U173" s="527"/>
      <c r="V173" s="527"/>
      <c r="W173" s="527"/>
      <c r="X173" s="527"/>
    </row>
    <row r="174" spans="1:24" ht="16.5" customHeight="1">
      <c r="A174" s="300" t="s">
        <v>130</v>
      </c>
      <c r="B174" s="733">
        <f>SUM(E171:X171)</f>
        <v>-2111460.2566492623</v>
      </c>
      <c r="C174" s="301"/>
      <c r="D174" s="530">
        <v>0</v>
      </c>
      <c r="E174" s="530">
        <f>E160-E168</f>
        <v>-1157510.8266666667</v>
      </c>
      <c r="F174" s="530">
        <f t="shared" ref="F174:X174" si="26">F160-F168</f>
        <v>-462232.35010921047</v>
      </c>
      <c r="G174" s="530">
        <f t="shared" si="26"/>
        <v>-338705.64191139466</v>
      </c>
      <c r="H174" s="530">
        <f t="shared" si="26"/>
        <v>-330537.37154962262</v>
      </c>
      <c r="I174" s="530">
        <f t="shared" si="26"/>
        <v>-322205.73578061489</v>
      </c>
      <c r="J174" s="530">
        <f t="shared" si="26"/>
        <v>-93931.346091427375</v>
      </c>
      <c r="K174" s="530">
        <f t="shared" si="26"/>
        <v>-81293.071022887714</v>
      </c>
      <c r="L174" s="530">
        <f t="shared" si="26"/>
        <v>-72938.949243345414</v>
      </c>
      <c r="M174" s="530">
        <f t="shared" si="26"/>
        <v>-64417.745028212434</v>
      </c>
      <c r="N174" s="530">
        <f t="shared" si="26"/>
        <v>-55726.116728776484</v>
      </c>
      <c r="O174" s="530">
        <f t="shared" si="26"/>
        <v>-12438.566084732302</v>
      </c>
      <c r="P174" s="530">
        <f t="shared" si="26"/>
        <v>24799.614219380892</v>
      </c>
      <c r="Q174" s="530">
        <f t="shared" si="26"/>
        <v>34023.239703768399</v>
      </c>
      <c r="R174" s="530">
        <f t="shared" si="26"/>
        <v>43431.337697843672</v>
      </c>
      <c r="S174" s="530">
        <f t="shared" si="26"/>
        <v>53027.597651800606</v>
      </c>
      <c r="T174" s="530">
        <f t="shared" si="26"/>
        <v>121206.21697399893</v>
      </c>
      <c r="U174" s="530">
        <f t="shared" si="26"/>
        <v>135517.23166093347</v>
      </c>
      <c r="V174" s="530">
        <f t="shared" si="26"/>
        <v>145700.8594941519</v>
      </c>
      <c r="W174" s="530">
        <f t="shared" si="26"/>
        <v>156088.15988403524</v>
      </c>
      <c r="X174" s="530">
        <f t="shared" si="26"/>
        <v>166683.20628171589</v>
      </c>
    </row>
    <row r="175" spans="1:24" s="58" customFormat="1" ht="16.5" customHeight="1">
      <c r="A175" s="90" t="s">
        <v>32</v>
      </c>
      <c r="B175" s="792">
        <f>IRR(E174:X174)</f>
        <v>-8.1972021378598936E-2</v>
      </c>
      <c r="C175" s="356"/>
      <c r="D175" s="502"/>
      <c r="E175" s="504"/>
      <c r="F175" s="504"/>
      <c r="G175" s="504"/>
      <c r="H175" s="504"/>
      <c r="I175" s="504"/>
      <c r="J175" s="504"/>
      <c r="K175" s="504"/>
      <c r="L175" s="504"/>
      <c r="M175" s="504"/>
      <c r="N175" s="504"/>
      <c r="O175" s="504"/>
      <c r="P175" s="504"/>
      <c r="Q175" s="504"/>
      <c r="R175" s="504"/>
      <c r="S175" s="504"/>
      <c r="T175" s="504"/>
      <c r="U175" s="504"/>
      <c r="V175" s="504"/>
      <c r="W175" s="504"/>
      <c r="X175" s="504"/>
    </row>
    <row r="176" spans="1:24">
      <c r="A176" s="30"/>
      <c r="B176" s="30"/>
      <c r="C176" s="30"/>
      <c r="D176" s="502"/>
      <c r="E176" s="512"/>
      <c r="F176" s="512"/>
      <c r="G176" s="512"/>
      <c r="H176" s="512"/>
      <c r="I176" s="512"/>
      <c r="J176" s="512"/>
      <c r="K176" s="512"/>
      <c r="L176" s="512"/>
      <c r="M176" s="512"/>
      <c r="N176" s="512"/>
      <c r="O176" s="512"/>
      <c r="P176" s="512"/>
      <c r="Q176" s="512"/>
      <c r="R176" s="512"/>
      <c r="S176" s="512"/>
      <c r="T176" s="512"/>
      <c r="U176" s="512"/>
      <c r="V176" s="512"/>
      <c r="W176" s="512"/>
      <c r="X176" s="512"/>
    </row>
    <row r="177" spans="1:24">
      <c r="A177" s="274" t="s">
        <v>28</v>
      </c>
      <c r="B177" s="275"/>
      <c r="C177" s="275"/>
      <c r="D177" s="531"/>
      <c r="E177" s="531"/>
      <c r="F177" s="531"/>
      <c r="G177" s="531"/>
      <c r="H177" s="531"/>
      <c r="I177" s="531"/>
      <c r="J177" s="531"/>
      <c r="K177" s="531"/>
      <c r="L177" s="531"/>
      <c r="M177" s="531"/>
      <c r="N177" s="531"/>
      <c r="O177" s="531"/>
      <c r="P177" s="531"/>
      <c r="Q177" s="531"/>
      <c r="R177" s="531"/>
      <c r="S177" s="531"/>
      <c r="T177" s="531"/>
      <c r="U177" s="531"/>
      <c r="V177" s="531"/>
      <c r="W177" s="531"/>
      <c r="X177" s="531"/>
    </row>
    <row r="178" spans="1:24">
      <c r="A178" s="30"/>
      <c r="B178" s="30"/>
      <c r="C178" s="30"/>
      <c r="D178" s="502"/>
      <c r="E178" s="512"/>
      <c r="F178" s="512"/>
      <c r="G178" s="512"/>
      <c r="H178" s="512"/>
      <c r="I178" s="512"/>
      <c r="J178" s="512"/>
      <c r="K178" s="512"/>
      <c r="L178" s="512"/>
      <c r="M178" s="512"/>
      <c r="N178" s="512"/>
      <c r="O178" s="512"/>
      <c r="P178" s="512"/>
      <c r="Q178" s="512"/>
      <c r="R178" s="512"/>
      <c r="S178" s="512"/>
      <c r="T178" s="512"/>
      <c r="U178" s="512"/>
      <c r="V178" s="512"/>
      <c r="W178" s="512"/>
      <c r="X178" s="512"/>
    </row>
    <row r="179" spans="1:24">
      <c r="A179" s="30" t="s">
        <v>300</v>
      </c>
      <c r="B179" s="30"/>
      <c r="C179" s="87"/>
      <c r="D179" s="502">
        <v>0</v>
      </c>
      <c r="E179" s="512"/>
      <c r="F179" s="512"/>
      <c r="G179" s="512"/>
      <c r="H179" s="512"/>
      <c r="I179" s="512"/>
      <c r="J179" s="512"/>
      <c r="K179" s="512"/>
      <c r="L179" s="512"/>
      <c r="M179" s="512"/>
      <c r="N179" s="512"/>
      <c r="O179" s="512"/>
      <c r="P179" s="512"/>
      <c r="Q179" s="512"/>
      <c r="R179" s="512"/>
      <c r="S179" s="512"/>
      <c r="T179" s="512"/>
      <c r="U179" s="512"/>
      <c r="V179" s="512"/>
      <c r="W179" s="512"/>
      <c r="X179" s="512"/>
    </row>
    <row r="180" spans="1:24">
      <c r="A180" s="30" t="s">
        <v>301</v>
      </c>
      <c r="B180" s="30"/>
      <c r="C180" s="30"/>
      <c r="D180" s="502">
        <v>0</v>
      </c>
      <c r="E180" s="512"/>
      <c r="F180" s="512"/>
      <c r="G180" s="512"/>
      <c r="H180" s="512"/>
      <c r="I180" s="512"/>
      <c r="J180" s="512"/>
      <c r="K180" s="512"/>
      <c r="L180" s="512"/>
      <c r="M180" s="512"/>
      <c r="N180" s="512"/>
      <c r="O180" s="512"/>
      <c r="P180" s="512"/>
      <c r="Q180" s="512"/>
      <c r="R180" s="512"/>
      <c r="S180" s="512"/>
      <c r="T180" s="512"/>
      <c r="U180" s="512"/>
      <c r="V180" s="512"/>
      <c r="W180" s="512"/>
      <c r="X180" s="512"/>
    </row>
    <row r="181" spans="1:24">
      <c r="A181" s="30"/>
      <c r="B181" s="30"/>
      <c r="C181" s="30"/>
      <c r="D181" s="502"/>
      <c r="E181" s="512"/>
      <c r="F181" s="512"/>
      <c r="G181" s="512"/>
      <c r="H181" s="512"/>
      <c r="I181" s="512"/>
      <c r="J181" s="512"/>
      <c r="K181" s="512"/>
      <c r="L181" s="512"/>
      <c r="M181" s="512"/>
      <c r="N181" s="512"/>
      <c r="O181" s="512"/>
      <c r="P181" s="512"/>
      <c r="Q181" s="512"/>
      <c r="R181" s="512"/>
      <c r="S181" s="512"/>
      <c r="T181" s="512"/>
      <c r="U181" s="512"/>
      <c r="V181" s="512"/>
      <c r="W181" s="512"/>
      <c r="X181" s="512"/>
    </row>
    <row r="182" spans="1:24">
      <c r="A182" s="30" t="s">
        <v>298</v>
      </c>
      <c r="B182" s="30"/>
      <c r="C182" s="30"/>
      <c r="D182" s="502">
        <v>0</v>
      </c>
      <c r="E182" s="512"/>
      <c r="F182" s="512"/>
      <c r="G182" s="512"/>
      <c r="H182" s="512"/>
      <c r="I182" s="512"/>
      <c r="J182" s="512"/>
      <c r="K182" s="512"/>
      <c r="L182" s="512"/>
      <c r="M182" s="512"/>
      <c r="N182" s="512"/>
      <c r="O182" s="512"/>
      <c r="P182" s="512"/>
      <c r="Q182" s="512"/>
      <c r="R182" s="512"/>
      <c r="S182" s="512"/>
      <c r="T182" s="512"/>
      <c r="U182" s="512"/>
      <c r="V182" s="512"/>
      <c r="W182" s="512"/>
      <c r="X182" s="512"/>
    </row>
    <row r="183" spans="1:24">
      <c r="A183" s="30" t="s">
        <v>299</v>
      </c>
      <c r="B183" s="30"/>
      <c r="C183" s="30"/>
      <c r="D183" s="502">
        <v>0</v>
      </c>
      <c r="E183" s="512"/>
      <c r="F183" s="512"/>
      <c r="G183" s="512"/>
      <c r="H183" s="512"/>
      <c r="I183" s="512"/>
      <c r="J183" s="512"/>
      <c r="K183" s="512"/>
      <c r="L183" s="512"/>
      <c r="M183" s="512"/>
      <c r="N183" s="512"/>
      <c r="O183" s="512"/>
      <c r="P183" s="512"/>
      <c r="Q183" s="512"/>
      <c r="R183" s="512"/>
      <c r="S183" s="512"/>
      <c r="T183" s="512"/>
      <c r="U183" s="512"/>
      <c r="V183" s="512"/>
      <c r="W183" s="512"/>
      <c r="X183" s="512"/>
    </row>
    <row r="184" spans="1:24">
      <c r="D184" s="502"/>
      <c r="E184" s="532"/>
      <c r="F184" s="532"/>
      <c r="G184" s="532"/>
      <c r="H184" s="532"/>
      <c r="I184" s="532"/>
      <c r="J184" s="532"/>
      <c r="K184" s="532"/>
      <c r="L184" s="532"/>
      <c r="M184" s="532"/>
      <c r="N184" s="532"/>
      <c r="O184" s="532"/>
      <c r="P184" s="532"/>
      <c r="Q184" s="532"/>
      <c r="R184" s="532"/>
      <c r="S184" s="532"/>
      <c r="T184" s="532"/>
      <c r="U184" s="532"/>
      <c r="V184" s="532"/>
      <c r="W184" s="532"/>
      <c r="X184" s="532"/>
    </row>
    <row r="185" spans="1:24">
      <c r="A185" s="131"/>
      <c r="B185" s="131"/>
      <c r="C185" s="131"/>
      <c r="D185" s="493"/>
      <c r="E185" s="334"/>
      <c r="F185" s="334"/>
      <c r="G185" s="334"/>
      <c r="H185" s="334"/>
      <c r="I185" s="334"/>
      <c r="J185" s="334"/>
      <c r="K185" s="334"/>
      <c r="L185" s="334"/>
      <c r="M185" s="334"/>
      <c r="N185" s="334"/>
      <c r="O185" s="334"/>
      <c r="P185" s="334"/>
      <c r="Q185" s="334"/>
      <c r="R185" s="334"/>
      <c r="S185" s="334"/>
      <c r="T185" s="334"/>
      <c r="U185" s="334"/>
      <c r="V185" s="334"/>
      <c r="W185" s="334"/>
      <c r="X185" s="334"/>
    </row>
    <row r="186" spans="1:24">
      <c r="D186" s="494"/>
      <c r="E186" s="327"/>
      <c r="F186" s="327"/>
      <c r="G186" s="327"/>
      <c r="H186" s="327"/>
      <c r="I186" s="327"/>
      <c r="J186" s="327"/>
      <c r="K186" s="327"/>
      <c r="L186" s="327"/>
      <c r="M186" s="327"/>
      <c r="N186" s="327"/>
      <c r="O186" s="327"/>
      <c r="P186" s="327"/>
      <c r="Q186" s="327"/>
      <c r="R186" s="327"/>
      <c r="S186" s="327"/>
      <c r="T186" s="327"/>
      <c r="U186" s="327"/>
      <c r="V186" s="327"/>
      <c r="W186" s="327"/>
      <c r="X186" s="327"/>
    </row>
    <row r="187" spans="1:24">
      <c r="A187"/>
      <c r="D187" s="494"/>
      <c r="E187" s="327"/>
      <c r="F187" s="327"/>
      <c r="G187" s="327"/>
      <c r="H187" s="327"/>
      <c r="I187" s="327"/>
      <c r="J187" s="327"/>
      <c r="K187" s="327"/>
      <c r="L187" s="327"/>
      <c r="M187" s="327"/>
      <c r="N187" s="327"/>
      <c r="O187" s="327"/>
      <c r="P187" s="327"/>
      <c r="Q187" s="327"/>
      <c r="R187" s="327"/>
      <c r="S187" s="327"/>
      <c r="T187" s="327"/>
      <c r="U187" s="327"/>
      <c r="V187" s="327"/>
      <c r="W187" s="327"/>
      <c r="X187" s="327"/>
    </row>
    <row r="188" spans="1:24">
      <c r="A188"/>
      <c r="D188" s="494"/>
      <c r="E188" s="327"/>
      <c r="F188" s="327"/>
      <c r="G188" s="327"/>
      <c r="H188" s="327"/>
      <c r="I188" s="327"/>
      <c r="J188" s="327"/>
      <c r="K188" s="327"/>
      <c r="L188" s="327"/>
      <c r="M188" s="327"/>
      <c r="N188" s="327"/>
      <c r="O188" s="327"/>
      <c r="P188" s="327"/>
      <c r="Q188" s="327"/>
      <c r="R188" s="327"/>
      <c r="S188" s="327"/>
      <c r="T188" s="327"/>
      <c r="U188" s="327"/>
      <c r="V188" s="327"/>
      <c r="W188" s="327"/>
      <c r="X188" s="327"/>
    </row>
    <row r="189" spans="1:24">
      <c r="D189" s="494"/>
      <c r="E189" s="327"/>
      <c r="F189" s="327"/>
      <c r="G189" s="327"/>
      <c r="H189" s="362"/>
      <c r="I189" s="327"/>
      <c r="J189" s="327"/>
      <c r="K189" s="327"/>
      <c r="L189" s="327"/>
      <c r="M189" s="327"/>
      <c r="N189" s="327"/>
      <c r="O189" s="327"/>
      <c r="P189" s="327"/>
      <c r="Q189" s="327"/>
      <c r="R189" s="327"/>
      <c r="S189" s="327"/>
      <c r="T189" s="327"/>
      <c r="U189" s="327"/>
      <c r="V189" s="327"/>
      <c r="W189" s="327"/>
      <c r="X189" s="327"/>
    </row>
    <row r="190" spans="1:24">
      <c r="D190" s="326"/>
      <c r="E190" s="327"/>
      <c r="F190" s="327"/>
      <c r="G190" s="327"/>
      <c r="H190" s="359"/>
      <c r="I190" s="327"/>
      <c r="J190" s="327"/>
      <c r="K190" s="327"/>
      <c r="L190" s="327"/>
      <c r="M190" s="327"/>
      <c r="N190" s="327"/>
      <c r="O190" s="327"/>
      <c r="P190" s="327"/>
      <c r="Q190" s="327"/>
      <c r="R190" s="327"/>
      <c r="S190" s="327"/>
      <c r="T190" s="327"/>
      <c r="U190" s="327"/>
      <c r="V190" s="327"/>
      <c r="W190" s="327"/>
      <c r="X190" s="327"/>
    </row>
    <row r="191" spans="1:24">
      <c r="H191" s="305"/>
    </row>
    <row r="192" spans="1:24">
      <c r="H192" s="30"/>
    </row>
    <row r="193" spans="8:8">
      <c r="H193" s="87"/>
    </row>
    <row r="195" spans="8:8">
      <c r="H195" s="360"/>
    </row>
    <row r="196" spans="8:8">
      <c r="H196" s="361"/>
    </row>
  </sheetData>
  <pageMargins left="0.7" right="0.7" top="0.75" bottom="0.75" header="0.3" footer="0.3"/>
  <pageSetup paperSize="9" scale="20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5"/>
  <sheetViews>
    <sheetView workbookViewId="0">
      <selection activeCell="L85" sqref="L85"/>
    </sheetView>
  </sheetViews>
  <sheetFormatPr defaultRowHeight="16.5"/>
  <cols>
    <col min="1" max="1" width="21.125" bestFit="1" customWidth="1"/>
    <col min="2" max="12" width="9.125" customWidth="1"/>
    <col min="13" max="13" width="12.375" bestFit="1" customWidth="1"/>
    <col min="14" max="15" width="9.125" customWidth="1"/>
    <col min="16" max="16" width="10.5" bestFit="1" customWidth="1"/>
  </cols>
  <sheetData>
    <row r="1" spans="1:15" s="1071" customFormat="1" ht="24.75" thickBot="1">
      <c r="A1" s="1072" t="s">
        <v>542</v>
      </c>
      <c r="B1" s="1072" t="s">
        <v>349</v>
      </c>
      <c r="C1" s="1072" t="s">
        <v>350</v>
      </c>
      <c r="D1" s="1072" t="s">
        <v>543</v>
      </c>
      <c r="E1" s="1072" t="s">
        <v>544</v>
      </c>
      <c r="F1" s="1072" t="s">
        <v>545</v>
      </c>
      <c r="G1" s="1072" t="s">
        <v>546</v>
      </c>
      <c r="H1" s="1072" t="s">
        <v>547</v>
      </c>
      <c r="I1" s="1072" t="s">
        <v>548</v>
      </c>
      <c r="J1" s="1072" t="s">
        <v>549</v>
      </c>
      <c r="K1" s="1072" t="s">
        <v>550</v>
      </c>
      <c r="L1" s="1072" t="s">
        <v>551</v>
      </c>
      <c r="M1" s="1072" t="s">
        <v>552</v>
      </c>
      <c r="N1" s="1072" t="s">
        <v>553</v>
      </c>
      <c r="O1" s="1072" t="s">
        <v>554</v>
      </c>
    </row>
    <row r="2" spans="1:15" ht="18" thickTop="1" thickBot="1">
      <c r="A2" s="1058" t="s">
        <v>555</v>
      </c>
      <c r="B2" s="1059"/>
      <c r="C2" s="1059"/>
      <c r="D2" s="1059"/>
      <c r="E2" s="1059"/>
      <c r="F2" s="1060"/>
      <c r="G2" s="1059"/>
      <c r="H2" s="1060"/>
      <c r="I2" s="1060"/>
      <c r="J2" s="1059"/>
      <c r="K2" s="1060"/>
      <c r="L2" s="1060"/>
      <c r="M2" s="1059"/>
      <c r="N2" s="1060"/>
      <c r="O2" s="1060"/>
    </row>
    <row r="3" spans="1:15" ht="17.25" thickBot="1">
      <c r="A3" s="1068" t="s">
        <v>556</v>
      </c>
      <c r="B3" s="1061">
        <v>8</v>
      </c>
      <c r="C3" s="1061">
        <v>32</v>
      </c>
      <c r="D3" s="1061">
        <v>8</v>
      </c>
      <c r="E3" s="1061">
        <v>8</v>
      </c>
      <c r="F3" s="1062">
        <v>8</v>
      </c>
      <c r="G3" s="1061">
        <v>28</v>
      </c>
      <c r="H3" s="1062">
        <v>28</v>
      </c>
      <c r="I3" s="1062">
        <v>28</v>
      </c>
      <c r="J3" s="1061">
        <v>8</v>
      </c>
      <c r="K3" s="1062">
        <v>8</v>
      </c>
      <c r="L3" s="1062">
        <v>8</v>
      </c>
      <c r="M3" s="1061">
        <v>21</v>
      </c>
      <c r="N3" s="1062">
        <v>21</v>
      </c>
      <c r="O3" s="1062">
        <v>21</v>
      </c>
    </row>
    <row r="4" spans="1:15" ht="17.25" thickBot="1">
      <c r="A4" s="1068" t="s">
        <v>557</v>
      </c>
      <c r="B4" s="1061">
        <v>4</v>
      </c>
      <c r="C4" s="1061">
        <v>16</v>
      </c>
      <c r="D4" s="1061">
        <v>4</v>
      </c>
      <c r="E4" s="1061">
        <v>4</v>
      </c>
      <c r="F4" s="1062">
        <v>4</v>
      </c>
      <c r="G4" s="1061">
        <v>14</v>
      </c>
      <c r="H4" s="1062">
        <v>14</v>
      </c>
      <c r="I4" s="1062">
        <v>14</v>
      </c>
      <c r="J4" s="1061">
        <v>4</v>
      </c>
      <c r="K4" s="1062">
        <v>4</v>
      </c>
      <c r="L4" s="1062">
        <v>4</v>
      </c>
      <c r="M4" s="1061">
        <v>11</v>
      </c>
      <c r="N4" s="1062">
        <v>11</v>
      </c>
      <c r="O4" s="1062">
        <v>11</v>
      </c>
    </row>
    <row r="5" spans="1:15" ht="17.25" thickBot="1">
      <c r="A5" s="1074" t="s">
        <v>466</v>
      </c>
      <c r="B5" s="1063">
        <v>12</v>
      </c>
      <c r="C5" s="1063">
        <v>48</v>
      </c>
      <c r="D5" s="1063">
        <v>12</v>
      </c>
      <c r="E5" s="1063">
        <v>12</v>
      </c>
      <c r="F5" s="1064">
        <v>12</v>
      </c>
      <c r="G5" s="1063">
        <v>42</v>
      </c>
      <c r="H5" s="1064">
        <v>42</v>
      </c>
      <c r="I5" s="1064">
        <v>42</v>
      </c>
      <c r="J5" s="1063">
        <v>12</v>
      </c>
      <c r="K5" s="1064">
        <v>12</v>
      </c>
      <c r="L5" s="1064">
        <v>12</v>
      </c>
      <c r="M5" s="1063">
        <v>32</v>
      </c>
      <c r="N5" s="1064">
        <v>32</v>
      </c>
      <c r="O5" s="1064">
        <v>32</v>
      </c>
    </row>
    <row r="6" spans="1:15" ht="17.25" thickBot="1">
      <c r="A6" s="1074" t="s">
        <v>558</v>
      </c>
      <c r="B6" s="1063"/>
      <c r="C6" s="1063"/>
      <c r="D6" s="1063"/>
      <c r="E6" s="1063"/>
      <c r="F6" s="1064"/>
      <c r="G6" s="1063"/>
      <c r="H6" s="1064"/>
      <c r="I6" s="1064"/>
      <c r="J6" s="1063"/>
      <c r="K6" s="1064"/>
      <c r="L6" s="1064"/>
      <c r="M6" s="1063"/>
      <c r="N6" s="1064"/>
      <c r="O6" s="1064"/>
    </row>
    <row r="7" spans="1:15" ht="17.25" thickBot="1">
      <c r="A7" s="1068" t="s">
        <v>559</v>
      </c>
      <c r="B7" s="1061">
        <v>31</v>
      </c>
      <c r="C7" s="1061">
        <v>43</v>
      </c>
      <c r="D7" s="1061">
        <v>31</v>
      </c>
      <c r="E7" s="1061">
        <v>31</v>
      </c>
      <c r="F7" s="1062">
        <v>31</v>
      </c>
      <c r="G7" s="1061">
        <v>41</v>
      </c>
      <c r="H7" s="1062">
        <v>41</v>
      </c>
      <c r="I7" s="1062">
        <v>41</v>
      </c>
      <c r="J7" s="1061">
        <v>141</v>
      </c>
      <c r="K7" s="1184">
        <v>141</v>
      </c>
      <c r="L7" s="1184">
        <v>141</v>
      </c>
      <c r="M7" s="1061">
        <v>147</v>
      </c>
      <c r="N7" s="1062">
        <v>147</v>
      </c>
      <c r="O7" s="1062">
        <v>147</v>
      </c>
    </row>
    <row r="8" spans="1:15" ht="17.25" thickBot="1">
      <c r="A8" s="1068" t="s">
        <v>560</v>
      </c>
      <c r="B8" s="1061">
        <v>219</v>
      </c>
      <c r="C8" s="1061">
        <v>207</v>
      </c>
      <c r="D8" s="1061">
        <v>219</v>
      </c>
      <c r="E8" s="1061">
        <v>219</v>
      </c>
      <c r="F8" s="1062">
        <v>219</v>
      </c>
      <c r="G8" s="1061">
        <v>209</v>
      </c>
      <c r="H8" s="1062">
        <v>209</v>
      </c>
      <c r="I8" s="1062">
        <v>209</v>
      </c>
      <c r="J8" s="1061">
        <v>109</v>
      </c>
      <c r="K8" s="1184">
        <v>109</v>
      </c>
      <c r="L8" s="1184">
        <v>109</v>
      </c>
      <c r="M8" s="1061">
        <v>103</v>
      </c>
      <c r="N8" s="1062">
        <v>103</v>
      </c>
      <c r="O8" s="1062">
        <v>103</v>
      </c>
    </row>
    <row r="9" spans="1:15" ht="17.25" thickBot="1">
      <c r="A9" s="1068" t="s">
        <v>561</v>
      </c>
      <c r="B9" s="1061">
        <v>50</v>
      </c>
      <c r="C9" s="1061">
        <v>50</v>
      </c>
      <c r="D9" s="1061">
        <v>50</v>
      </c>
      <c r="E9" s="1061">
        <v>50</v>
      </c>
      <c r="F9" s="1062">
        <v>50</v>
      </c>
      <c r="G9" s="1061">
        <v>50</v>
      </c>
      <c r="H9" s="1062">
        <v>50</v>
      </c>
      <c r="I9" s="1062">
        <v>50</v>
      </c>
      <c r="J9" s="1061">
        <v>50</v>
      </c>
      <c r="K9" s="1062">
        <v>50</v>
      </c>
      <c r="L9" s="1062">
        <v>50</v>
      </c>
      <c r="M9" s="1061">
        <v>50</v>
      </c>
      <c r="N9" s="1062">
        <v>50</v>
      </c>
      <c r="O9" s="1062">
        <v>50</v>
      </c>
    </row>
    <row r="10" spans="1:15" ht="17.25" thickBot="1">
      <c r="A10" s="1074" t="s">
        <v>562</v>
      </c>
      <c r="B10" s="1063">
        <v>269</v>
      </c>
      <c r="C10" s="1063">
        <v>257</v>
      </c>
      <c r="D10" s="1063">
        <v>269</v>
      </c>
      <c r="E10" s="1063">
        <v>269</v>
      </c>
      <c r="F10" s="1064">
        <v>269</v>
      </c>
      <c r="G10" s="1063">
        <v>259</v>
      </c>
      <c r="H10" s="1064">
        <v>259</v>
      </c>
      <c r="I10" s="1064">
        <v>259</v>
      </c>
      <c r="J10" s="1063">
        <v>159</v>
      </c>
      <c r="K10" s="1064">
        <v>159</v>
      </c>
      <c r="L10" s="1064">
        <v>159</v>
      </c>
      <c r="M10" s="1063">
        <v>153</v>
      </c>
      <c r="N10" s="1064">
        <v>153</v>
      </c>
      <c r="O10" s="1064">
        <v>153</v>
      </c>
    </row>
    <row r="11" spans="1:15" s="1071" customFormat="1">
      <c r="A11" s="1077" t="s">
        <v>563</v>
      </c>
      <c r="B11" s="1212"/>
      <c r="C11" s="1212"/>
      <c r="D11" s="1212"/>
      <c r="E11" s="1212"/>
      <c r="F11" s="1212"/>
      <c r="G11" s="1212"/>
      <c r="H11" s="1212"/>
      <c r="I11" s="1212"/>
      <c r="J11" s="1212"/>
      <c r="K11" s="1212"/>
      <c r="L11" s="1212"/>
      <c r="M11" s="1212"/>
      <c r="N11" s="1212"/>
      <c r="O11" s="1212"/>
    </row>
    <row r="12" spans="1:15" s="1071" customFormat="1" ht="17.25" thickBot="1">
      <c r="A12" s="1078" t="s">
        <v>564</v>
      </c>
      <c r="B12" s="1213"/>
      <c r="C12" s="1213"/>
      <c r="D12" s="1213"/>
      <c r="E12" s="1213"/>
      <c r="F12" s="1213"/>
      <c r="G12" s="1213"/>
      <c r="H12" s="1213"/>
      <c r="I12" s="1213"/>
      <c r="J12" s="1213"/>
      <c r="K12" s="1213"/>
      <c r="L12" s="1213"/>
      <c r="M12" s="1213"/>
      <c r="N12" s="1213"/>
      <c r="O12" s="1213"/>
    </row>
    <row r="13" spans="1:15" ht="17.25" thickBot="1">
      <c r="A13" s="1068" t="s">
        <v>148</v>
      </c>
      <c r="B13" s="1065">
        <f>'Annual Summaries'!W11</f>
        <v>20415516.634356406</v>
      </c>
      <c r="C13" s="1065">
        <f>'Annual Summaries'!W30</f>
        <v>26203368.210331414</v>
      </c>
      <c r="D13" s="1065">
        <f>'Annual Summaries'!W163</f>
        <v>29027043.755369972</v>
      </c>
      <c r="E13" s="1065">
        <f>'Annual Summaries'!W144</f>
        <v>34979076.270301186</v>
      </c>
      <c r="F13" s="1066">
        <f>'Annual Summaries'!W125</f>
        <v>37563230.200353324</v>
      </c>
      <c r="G13" s="1065">
        <f>'Annual Summaries'!W239</f>
        <v>33863541.193388656</v>
      </c>
      <c r="H13" s="1066">
        <f>'Annual Summaries'!W220</f>
        <v>39815573.708319858</v>
      </c>
      <c r="I13" s="1066">
        <f>'Annual Summaries'!W201</f>
        <v>42399727.638372004</v>
      </c>
      <c r="J13" s="1065">
        <f>'Annual Summaries'!W315</f>
        <v>34005459.063755654</v>
      </c>
      <c r="K13" s="1066">
        <f>'Annual Summaries'!W296</f>
        <v>39957491.578686863</v>
      </c>
      <c r="L13" s="1066">
        <f>'Annual Summaries'!W277</f>
        <v>42541645.508739002</v>
      </c>
      <c r="M13" s="1065">
        <f>'Annual Summaries'!W391</f>
        <v>37400309.227829821</v>
      </c>
      <c r="N13" s="1066">
        <f>'Annual Summaries'!W372</f>
        <v>43352341.742761046</v>
      </c>
      <c r="O13" s="1066">
        <f>'Annual Summaries'!W353</f>
        <v>45936495.67281317</v>
      </c>
    </row>
    <row r="14" spans="1:15" ht="17.25" thickBot="1">
      <c r="A14" s="1075" t="s">
        <v>565</v>
      </c>
      <c r="B14" s="1080"/>
      <c r="C14" s="1080"/>
      <c r="D14" s="1081">
        <f>('Comparison Tables'!P13+'Comparison Tables'!P14)/'Comparison Tables'!P19</f>
        <v>0.67721548362520123</v>
      </c>
      <c r="E14" s="1081">
        <f>('Comparison Tables'!R13+'Comparison Tables'!R14)/'Comparison Tables'!R19</f>
        <v>0.7308178911983122</v>
      </c>
      <c r="F14" s="1082">
        <f>('Comparison Tables'!T13+'Comparison Tables'!T14)/'Comparison Tables'!T19</f>
        <v>0.74892029689830752</v>
      </c>
      <c r="G14" s="1081">
        <f>('Comparison Tables'!W13+'Comparison Tables'!W14)/'Comparison Tables'!W19</f>
        <v>0.58301609001720622</v>
      </c>
      <c r="H14" s="1082">
        <f>('Comparison Tables'!Y13+'Comparison Tables'!Y14)/'Comparison Tables'!Y19</f>
        <v>0.64403915248122767</v>
      </c>
      <c r="I14" s="1067">
        <f>('Comparison Tables'!AA13+'Comparison Tables'!AA14)/'Comparison Tables'!AA19</f>
        <v>0.66530473827370062</v>
      </c>
      <c r="J14" s="1081">
        <f>('Comparison Tables'!AD13+'Comparison Tables'!AD14)/'Comparison Tables'!AD19</f>
        <v>0.58754448970674922</v>
      </c>
      <c r="K14" s="1082">
        <f>('Comparison Tables'!AF13+'Comparison Tables'!AF14)/'Comparison Tables'!AF19</f>
        <v>0.6483046141322677</v>
      </c>
      <c r="L14" s="1082">
        <f>('Comparison Tables'!AH13+'Comparison Tables'!AH14)/'Comparison Tables'!AH19</f>
        <v>0.66944616439827753</v>
      </c>
      <c r="M14" s="1081">
        <f>('Comparison Tables'!AK13+'Comparison Tables'!AK14)/'Comparison Tables'!AK19</f>
        <v>0.53484181530688979</v>
      </c>
      <c r="N14" s="1082">
        <f>('Comparison Tables'!AM13+'Comparison Tables'!AM14)/'Comparison Tables'!AM19</f>
        <v>0.59805443911297484</v>
      </c>
      <c r="O14" s="1082">
        <f>('Comparison Tables'!AO13+'Comparison Tables'!AO14)/'Comparison Tables'!AO19</f>
        <v>0.62044821234935277</v>
      </c>
    </row>
    <row r="15" spans="1:15" ht="17.25" thickBot="1">
      <c r="A15" s="1068" t="s">
        <v>140</v>
      </c>
      <c r="B15" s="1065">
        <f>'Annual Summaries'!W12</f>
        <v>20739792.23332414</v>
      </c>
      <c r="C15" s="1065">
        <f>'Annual Summaries'!W31</f>
        <v>21236916.991827521</v>
      </c>
      <c r="D15" s="1065">
        <f>'Annual Summaries'!W164</f>
        <v>20739792.23332414</v>
      </c>
      <c r="E15" s="1065">
        <f>'Annual Summaries'!W145</f>
        <v>20739792.23332414</v>
      </c>
      <c r="F15" s="1066">
        <f>'Annual Summaries'!W126</f>
        <v>20739792.23332414</v>
      </c>
      <c r="G15" s="1065">
        <f>'Annual Summaries'!W240</f>
        <v>21236916.991827521</v>
      </c>
      <c r="H15" s="1066">
        <f>'Annual Summaries'!W221</f>
        <v>21236916.991827521</v>
      </c>
      <c r="I15" s="1066">
        <f>'Annual Summaries'!W202</f>
        <v>21236916.991827521</v>
      </c>
      <c r="J15" s="1065">
        <f>'Annual Summaries'!W316</f>
        <v>20993497.26964118</v>
      </c>
      <c r="K15" s="1066">
        <f>'Annual Summaries'!W297</f>
        <v>20993497.26964118</v>
      </c>
      <c r="L15" s="1066">
        <f>'Annual Summaries'!W278</f>
        <v>20993497.26964118</v>
      </c>
      <c r="M15" s="1065">
        <f>'Annual Summaries'!W392</f>
        <v>21490622.028144553</v>
      </c>
      <c r="N15" s="1066">
        <f>'Annual Summaries'!W373</f>
        <v>21490622.028144553</v>
      </c>
      <c r="O15" s="1066">
        <f>'Annual Summaries'!W354</f>
        <v>21490622.028144553</v>
      </c>
    </row>
    <row r="16" spans="1:15" ht="17.25" thickBot="1">
      <c r="A16" s="1068" t="s">
        <v>566</v>
      </c>
      <c r="B16" s="1069">
        <f>'Annual Summaries'!W13</f>
        <v>-324275.5989677381</v>
      </c>
      <c r="C16" s="1065">
        <f>'Annual Summaries'!W32</f>
        <v>4966451.2185038924</v>
      </c>
      <c r="D16" s="1065">
        <f>'Annual Summaries'!W165</f>
        <v>8287251.5220458303</v>
      </c>
      <c r="E16" s="1065">
        <f>'Annual Summaries'!W146</f>
        <v>14239284.036977045</v>
      </c>
      <c r="F16" s="1066">
        <f>'Annual Summaries'!W127</f>
        <v>16823437.967029173</v>
      </c>
      <c r="G16" s="1065">
        <f>'Annual Summaries'!W241</f>
        <v>12626624.201561129</v>
      </c>
      <c r="H16" s="1066">
        <f>'Annual Summaries'!W222</f>
        <v>18578656.716492336</v>
      </c>
      <c r="I16" s="1066">
        <f>'Annual Summaries'!W203</f>
        <v>21162810.646544475</v>
      </c>
      <c r="J16" s="1065">
        <f>'Annual Summaries'!W317</f>
        <v>13011961.794114474</v>
      </c>
      <c r="K16" s="1066">
        <f>'Annual Summaries'!W298</f>
        <v>18963994.309045684</v>
      </c>
      <c r="L16" s="1066">
        <f>'Annual Summaries'!W279</f>
        <v>21548148.239097819</v>
      </c>
      <c r="M16" s="1065">
        <f>'Annual Summaries'!W393</f>
        <v>15909687.19968527</v>
      </c>
      <c r="N16" s="1066">
        <f>'Annual Summaries'!W374</f>
        <v>21861719.714616485</v>
      </c>
      <c r="O16" s="1066">
        <f>'Annual Summaries'!W355</f>
        <v>24445873.644668616</v>
      </c>
    </row>
    <row r="17" spans="1:16" ht="17.25" thickBot="1">
      <c r="A17" s="1079" t="s">
        <v>567</v>
      </c>
      <c r="B17" s="1065">
        <f>'Annual Summaries'!X16</f>
        <v>17205407.638216931</v>
      </c>
      <c r="C17" s="1070">
        <f>'Annual Summaries'!X35</f>
        <v>19611496.263408385</v>
      </c>
      <c r="D17" s="1065">
        <f>'Annual Summaries'!X168</f>
        <v>17887817.728526358</v>
      </c>
      <c r="E17" s="1065">
        <f>'Annual Summaries'!X149</f>
        <v>17887817.728526358</v>
      </c>
      <c r="F17" s="1066">
        <f>'Annual Summaries'!X130</f>
        <v>17887817.728526358</v>
      </c>
      <c r="G17" s="1065">
        <f>'Annual Summaries'!X244</f>
        <v>20595375.753659073</v>
      </c>
      <c r="H17" s="1066">
        <f>'Annual Summaries'!X225</f>
        <v>20595375.753659073</v>
      </c>
      <c r="I17" s="1066">
        <f>'Annual Summaries'!X206</f>
        <v>20595375.753659073</v>
      </c>
      <c r="J17" s="1065">
        <f>'Annual Summaries'!X320</f>
        <v>19592402.516178593</v>
      </c>
      <c r="K17" s="1066">
        <f>'Annual Summaries'!X301</f>
        <v>19592402.516178593</v>
      </c>
      <c r="L17" s="1066">
        <f>'Annual Summaries'!X282</f>
        <v>19592402.516178593</v>
      </c>
      <c r="M17" s="1065">
        <f>'Annual Summaries'!X396</f>
        <v>20643094.342651844</v>
      </c>
      <c r="N17" s="1066">
        <f>'Annual Summaries'!X377</f>
        <v>20643094.342651844</v>
      </c>
      <c r="O17" s="1066">
        <f>'Annual Summaries'!X358</f>
        <v>20643094.342651844</v>
      </c>
    </row>
    <row r="18" spans="1:16" s="1071" customFormat="1" ht="17.25" thickBot="1">
      <c r="A18" s="1076" t="s">
        <v>568</v>
      </c>
      <c r="B18" s="1162">
        <f>'Annual Summaries'!W20</f>
        <v>-17529683.237184666</v>
      </c>
      <c r="C18" s="1162">
        <f>'Annual Summaries'!W39</f>
        <v>-14645045.044904495</v>
      </c>
      <c r="D18" s="1162">
        <f>'Annual Summaries'!W172</f>
        <v>-9600566.2064805347</v>
      </c>
      <c r="E18" s="1162">
        <f>'Annual Summaries'!W153</f>
        <v>-3648533.6915493216</v>
      </c>
      <c r="F18" s="1162">
        <f>'Annual Summaries'!W134</f>
        <v>-1064379.7614971877</v>
      </c>
      <c r="G18" s="1162">
        <f>'Annual Summaries'!W248</f>
        <v>-7968751.5520979334</v>
      </c>
      <c r="H18" s="1162">
        <f>'Annual Summaries'!W229</f>
        <v>-2016719.0371667212</v>
      </c>
      <c r="I18" s="1073">
        <f>'Annual Summaries'!W210</f>
        <v>567434.89288541442</v>
      </c>
      <c r="J18" s="1162">
        <f>'Annual Summaries'!W324</f>
        <v>-6580440.7220641226</v>
      </c>
      <c r="K18" s="1162">
        <f>'Annual Summaries'!W305</f>
        <v>-628408.20713290817</v>
      </c>
      <c r="L18" s="1073">
        <f>'Annual Summaries'!W286</f>
        <v>1955745.7229192266</v>
      </c>
      <c r="M18" s="1162">
        <f>'Annual Summaries'!W400</f>
        <v>-4733407.1429665731</v>
      </c>
      <c r="N18" s="1073">
        <f>'Annual Summaries'!W381</f>
        <v>1218625.3719646404</v>
      </c>
      <c r="O18" s="1073">
        <f>'Annual Summaries'!W362</f>
        <v>3802779.3020167742</v>
      </c>
    </row>
    <row r="19" spans="1:16" s="1071" customFormat="1" ht="17.25" thickBot="1">
      <c r="A19" s="1076" t="s">
        <v>569</v>
      </c>
      <c r="B19" s="1162">
        <f t="shared" ref="B19:O19" si="0">B18+3600000</f>
        <v>-13929683.237184666</v>
      </c>
      <c r="C19" s="1162">
        <f t="shared" si="0"/>
        <v>-11045045.044904495</v>
      </c>
      <c r="D19" s="1162">
        <f t="shared" si="0"/>
        <v>-6000566.2064805347</v>
      </c>
      <c r="E19" s="1162">
        <f t="shared" si="0"/>
        <v>-48533.691549321637</v>
      </c>
      <c r="F19" s="1073">
        <f t="shared" si="0"/>
        <v>2535620.2385028126</v>
      </c>
      <c r="G19" s="1162">
        <f t="shared" si="0"/>
        <v>-4368751.5520979334</v>
      </c>
      <c r="H19" s="1073">
        <f t="shared" si="0"/>
        <v>1583280.9628332788</v>
      </c>
      <c r="I19" s="1073">
        <f t="shared" si="0"/>
        <v>4167434.8928854144</v>
      </c>
      <c r="J19" s="1162">
        <f t="shared" si="0"/>
        <v>-2980440.7220641226</v>
      </c>
      <c r="K19" s="1073">
        <f t="shared" si="0"/>
        <v>2971591.792867092</v>
      </c>
      <c r="L19" s="1073">
        <f t="shared" si="0"/>
        <v>5555745.7229192266</v>
      </c>
      <c r="M19" s="1162">
        <f t="shared" si="0"/>
        <v>-1133407.1429665731</v>
      </c>
      <c r="N19" s="1073">
        <f t="shared" si="0"/>
        <v>4818625.3719646409</v>
      </c>
      <c r="O19" s="1073">
        <f t="shared" si="0"/>
        <v>7402779.3020167742</v>
      </c>
    </row>
    <row r="21" spans="1:16">
      <c r="A21" t="s">
        <v>600</v>
      </c>
    </row>
    <row r="22" spans="1:16" ht="24">
      <c r="A22" s="1122"/>
      <c r="B22" s="1123" t="s">
        <v>585</v>
      </c>
      <c r="C22" s="1124"/>
      <c r="D22" s="1123" t="s">
        <v>594</v>
      </c>
      <c r="E22" s="1124"/>
      <c r="F22" s="1123" t="s">
        <v>350</v>
      </c>
      <c r="G22" s="1125"/>
      <c r="N22" s="1164"/>
      <c r="O22" s="1165"/>
      <c r="P22" s="1165"/>
    </row>
    <row r="23" spans="1:16">
      <c r="A23" s="1126"/>
      <c r="B23" s="1119"/>
      <c r="C23" s="1119"/>
      <c r="D23" s="1153">
        <v>2024</v>
      </c>
      <c r="E23" s="1121" t="s">
        <v>595</v>
      </c>
      <c r="F23" s="1153">
        <v>2024</v>
      </c>
      <c r="G23" s="1127" t="s">
        <v>595</v>
      </c>
      <c r="N23" s="1164"/>
      <c r="O23" s="1165"/>
      <c r="P23" s="1165"/>
    </row>
    <row r="24" spans="1:16">
      <c r="A24" s="1128" t="s">
        <v>148</v>
      </c>
      <c r="B24" s="1120">
        <v>1150500</v>
      </c>
      <c r="C24" s="1119"/>
      <c r="D24" s="1150">
        <v>1006648.1471769362</v>
      </c>
      <c r="E24" s="1155">
        <f>D24-B24</f>
        <v>-143851.85282306385</v>
      </c>
      <c r="F24" s="1150">
        <v>1280536.3908190236</v>
      </c>
      <c r="G24" s="1157">
        <f>F24-B24</f>
        <v>130036.3908190236</v>
      </c>
      <c r="J24" s="1139"/>
      <c r="L24" s="1135"/>
      <c r="N24" s="1166"/>
      <c r="O24" s="1165"/>
      <c r="P24" s="1165"/>
    </row>
    <row r="25" spans="1:16">
      <c r="A25" s="1129" t="s">
        <v>140</v>
      </c>
      <c r="B25" s="1132">
        <v>734200</v>
      </c>
      <c r="C25" s="1131"/>
      <c r="D25" s="1154">
        <v>974125.19841691933</v>
      </c>
      <c r="E25" s="1156">
        <f t="shared" ref="E25:E33" si="1">D25-B25</f>
        <v>239925.19841691933</v>
      </c>
      <c r="F25" s="1154">
        <v>997684.33437931945</v>
      </c>
      <c r="G25" s="1158">
        <f t="shared" ref="G25:G33" si="2">F25-B25</f>
        <v>263484.33437931945</v>
      </c>
      <c r="L25" s="1143"/>
      <c r="N25" s="1164"/>
      <c r="O25" s="1165"/>
      <c r="P25" s="1165"/>
    </row>
    <row r="26" spans="1:16">
      <c r="A26" s="1128" t="s">
        <v>116</v>
      </c>
      <c r="B26" s="1120">
        <v>416300</v>
      </c>
      <c r="C26" s="1119"/>
      <c r="D26" s="1150">
        <v>32522.948760016821</v>
      </c>
      <c r="E26" s="1155">
        <f t="shared" si="1"/>
        <v>-383777.05123998318</v>
      </c>
      <c r="F26" s="1150">
        <v>282852.05643970415</v>
      </c>
      <c r="G26" s="1157">
        <f t="shared" si="2"/>
        <v>-133447.94356029585</v>
      </c>
      <c r="L26" s="1143"/>
      <c r="N26" s="1164"/>
      <c r="O26" s="1165"/>
      <c r="P26" s="1165"/>
    </row>
    <row r="27" spans="1:16">
      <c r="A27" s="1126"/>
      <c r="B27" s="1119"/>
      <c r="C27" s="1119"/>
      <c r="D27" s="1150"/>
      <c r="E27" s="1155"/>
      <c r="F27" s="1150"/>
      <c r="G27" s="1157"/>
      <c r="J27" s="1149"/>
      <c r="L27" s="1135"/>
      <c r="N27" s="1164"/>
      <c r="O27" s="1165"/>
      <c r="P27" s="1165"/>
    </row>
    <row r="28" spans="1:16">
      <c r="A28" s="1128" t="s">
        <v>136</v>
      </c>
      <c r="B28" s="1147" t="s">
        <v>598</v>
      </c>
      <c r="C28" s="1119"/>
      <c r="D28" s="1150">
        <v>47740.6704168</v>
      </c>
      <c r="E28" s="1155">
        <f>D28</f>
        <v>47740.6704168</v>
      </c>
      <c r="F28" s="1150">
        <v>64453.4229672</v>
      </c>
      <c r="G28" s="1157">
        <f>F28</f>
        <v>64453.4229672</v>
      </c>
      <c r="J28" s="1139"/>
      <c r="L28" s="1135"/>
      <c r="N28" s="1166"/>
      <c r="O28" s="1165"/>
      <c r="P28" s="1165"/>
    </row>
    <row r="29" spans="1:16">
      <c r="A29" s="1128" t="s">
        <v>127</v>
      </c>
      <c r="B29" s="1120">
        <v>571376</v>
      </c>
      <c r="C29" s="1119"/>
      <c r="D29" s="1150">
        <v>809901.24</v>
      </c>
      <c r="E29" s="1155">
        <f t="shared" si="1"/>
        <v>238525.24</v>
      </c>
      <c r="F29" s="1150">
        <v>912572.76</v>
      </c>
      <c r="G29" s="1157">
        <f t="shared" si="2"/>
        <v>341196.76</v>
      </c>
      <c r="I29" s="1163"/>
      <c r="J29" s="1139"/>
      <c r="L29" s="1135"/>
      <c r="N29" s="1164"/>
      <c r="O29" s="1165"/>
      <c r="P29" s="1165"/>
    </row>
    <row r="30" spans="1:16">
      <c r="A30" s="1126"/>
      <c r="B30" s="1119"/>
      <c r="C30" s="1119"/>
      <c r="D30" s="1150"/>
      <c r="E30" s="1155"/>
      <c r="F30" s="1150"/>
      <c r="G30" s="1157"/>
      <c r="J30" s="1149"/>
      <c r="L30" s="1135"/>
      <c r="N30" s="1164"/>
      <c r="O30" s="1165"/>
      <c r="P30" s="1165"/>
    </row>
    <row r="31" spans="1:16">
      <c r="A31" s="1128" t="s">
        <v>138</v>
      </c>
      <c r="B31" s="1120">
        <v>416300</v>
      </c>
      <c r="C31" s="1119"/>
      <c r="D31" s="1150">
        <v>-15217.721656783178</v>
      </c>
      <c r="E31" s="1155">
        <f t="shared" si="1"/>
        <v>-431517.72165678319</v>
      </c>
      <c r="F31" s="1150">
        <v>218398.63347250415</v>
      </c>
      <c r="G31" s="1157">
        <f t="shared" si="2"/>
        <v>-197901.36652749585</v>
      </c>
      <c r="L31" s="1135"/>
      <c r="N31" s="1164"/>
      <c r="O31" s="1165"/>
      <c r="P31" s="1165"/>
    </row>
    <row r="32" spans="1:16">
      <c r="A32" s="1126"/>
      <c r="B32" s="1119"/>
      <c r="C32" s="1119"/>
      <c r="D32" s="1150"/>
      <c r="E32" s="1155"/>
      <c r="F32" s="1150"/>
      <c r="G32" s="1157"/>
      <c r="J32" s="1149"/>
      <c r="L32" s="1135"/>
      <c r="M32" s="1146"/>
      <c r="N32" s="1166"/>
      <c r="O32" s="1165"/>
      <c r="P32" s="1165"/>
    </row>
    <row r="33" spans="1:16" ht="24">
      <c r="A33" s="1129" t="s">
        <v>596</v>
      </c>
      <c r="B33" s="1130">
        <v>-155076</v>
      </c>
      <c r="C33" s="1131"/>
      <c r="D33" s="1154">
        <v>-825118.96165678313</v>
      </c>
      <c r="E33" s="1156">
        <f t="shared" si="1"/>
        <v>-670042.96165678313</v>
      </c>
      <c r="F33" s="1154">
        <v>-694174.12652749592</v>
      </c>
      <c r="G33" s="1158">
        <f t="shared" si="2"/>
        <v>-539098.12652749592</v>
      </c>
      <c r="K33" s="1163"/>
      <c r="L33" s="1136"/>
      <c r="M33" s="1146"/>
      <c r="N33" s="1166"/>
      <c r="O33" s="1165"/>
      <c r="P33" s="1165"/>
    </row>
    <row r="34" spans="1:16">
      <c r="M34" s="1146"/>
      <c r="N34" s="1164"/>
      <c r="O34" s="1165"/>
      <c r="P34" s="1165"/>
    </row>
    <row r="35" spans="1:16">
      <c r="A35" t="s">
        <v>353</v>
      </c>
      <c r="M35" s="1146"/>
      <c r="N35" s="1166"/>
      <c r="O35" s="1165"/>
      <c r="P35" s="1165"/>
    </row>
    <row r="36" spans="1:16" ht="24">
      <c r="A36" s="1140"/>
      <c r="B36" s="1123" t="s">
        <v>585</v>
      </c>
      <c r="C36" s="1124"/>
      <c r="D36" s="1123" t="s">
        <v>597</v>
      </c>
      <c r="E36" s="1124"/>
      <c r="F36" s="1123" t="s">
        <v>544</v>
      </c>
      <c r="G36" s="1124"/>
      <c r="H36" s="1123" t="s">
        <v>545</v>
      </c>
      <c r="I36" s="1125"/>
      <c r="N36" s="1164"/>
      <c r="O36" s="1165"/>
      <c r="P36" s="1165"/>
    </row>
    <row r="37" spans="1:16">
      <c r="A37" s="1128"/>
      <c r="B37" s="1119"/>
      <c r="C37" s="1119"/>
      <c r="D37" s="1153">
        <v>2024</v>
      </c>
      <c r="E37" s="1121" t="s">
        <v>595</v>
      </c>
      <c r="F37" s="1153">
        <v>2024</v>
      </c>
      <c r="G37" s="1121" t="s">
        <v>595</v>
      </c>
      <c r="H37" s="1153">
        <v>2024</v>
      </c>
      <c r="I37" s="1127" t="s">
        <v>595</v>
      </c>
      <c r="N37" s="1164"/>
      <c r="O37" s="1165"/>
      <c r="P37" s="1167"/>
    </row>
    <row r="38" spans="1:16">
      <c r="A38" s="1128" t="s">
        <v>148</v>
      </c>
      <c r="B38" s="1120">
        <v>1150500</v>
      </c>
      <c r="C38" s="1119"/>
      <c r="D38" s="1152">
        <v>1416514.9257400504</v>
      </c>
      <c r="E38" s="1155">
        <f>D38-B38</f>
        <v>266014.92574005038</v>
      </c>
      <c r="F38" s="1152">
        <v>1698586.459843572</v>
      </c>
      <c r="G38" s="1155">
        <f>F38-B38</f>
        <v>548086.459843572</v>
      </c>
      <c r="H38" s="1150">
        <v>1821051.5608961782</v>
      </c>
      <c r="I38" s="1157">
        <f>H38-B38</f>
        <v>670551.56089617824</v>
      </c>
      <c r="N38" s="1164"/>
      <c r="O38" s="1165"/>
      <c r="P38" s="1165"/>
    </row>
    <row r="39" spans="1:16">
      <c r="A39" s="1129" t="s">
        <v>140</v>
      </c>
      <c r="B39" s="1132">
        <v>734200</v>
      </c>
      <c r="C39" s="1131"/>
      <c r="D39" s="1159">
        <v>974125.19841691933</v>
      </c>
      <c r="E39" s="1156">
        <f t="shared" ref="E39:E47" si="3">D39-B39</f>
        <v>239925.19841691933</v>
      </c>
      <c r="F39" s="1159">
        <v>974125.19841691933</v>
      </c>
      <c r="G39" s="1156">
        <f t="shared" ref="G39:G47" si="4">F39-B39</f>
        <v>239925.19841691933</v>
      </c>
      <c r="H39" s="1154">
        <v>974125.19841691933</v>
      </c>
      <c r="I39" s="1158">
        <f t="shared" ref="I39:I47" si="5">H39-B39</f>
        <v>239925.19841691933</v>
      </c>
      <c r="N39" s="1168"/>
      <c r="O39" s="1165"/>
      <c r="P39" s="1165"/>
    </row>
    <row r="40" spans="1:16">
      <c r="A40" s="1128" t="s">
        <v>116</v>
      </c>
      <c r="B40" s="1120">
        <v>416300</v>
      </c>
      <c r="C40" s="1119"/>
      <c r="D40" s="1152">
        <v>442389.72732313105</v>
      </c>
      <c r="E40" s="1155">
        <f t="shared" si="3"/>
        <v>26089.727323131054</v>
      </c>
      <c r="F40" s="1152">
        <v>724461.26142665267</v>
      </c>
      <c r="G40" s="1155">
        <f t="shared" si="4"/>
        <v>308161.26142665267</v>
      </c>
      <c r="H40" s="1150">
        <v>846926.36247925891</v>
      </c>
      <c r="I40" s="1157">
        <f t="shared" si="5"/>
        <v>430626.36247925891</v>
      </c>
      <c r="N40" s="1165"/>
      <c r="O40" s="1165"/>
      <c r="P40" s="1165"/>
    </row>
    <row r="41" spans="1:16">
      <c r="A41" s="1128"/>
      <c r="B41" s="1119"/>
      <c r="C41" s="1119"/>
      <c r="D41" s="1152"/>
      <c r="E41" s="1155"/>
      <c r="F41" s="1152"/>
      <c r="G41" s="1155"/>
      <c r="H41" s="1150"/>
      <c r="I41" s="1157"/>
      <c r="N41" s="1137"/>
    </row>
    <row r="42" spans="1:16">
      <c r="A42" s="1128" t="s">
        <v>136</v>
      </c>
      <c r="B42" s="1119" t="s">
        <v>598</v>
      </c>
      <c r="C42" s="1119"/>
      <c r="D42" s="1152">
        <v>54116.195839200002</v>
      </c>
      <c r="E42" s="1155">
        <f>D42</f>
        <v>54116.195839200002</v>
      </c>
      <c r="F42" s="1152">
        <v>54116.195839200002</v>
      </c>
      <c r="G42" s="1155">
        <f>F42</f>
        <v>54116.195839200002</v>
      </c>
      <c r="H42" s="1150">
        <v>54116.195839200002</v>
      </c>
      <c r="I42" s="1157">
        <f>H42</f>
        <v>54116.195839200002</v>
      </c>
      <c r="N42" s="1137"/>
    </row>
    <row r="43" spans="1:16">
      <c r="A43" s="1128" t="s">
        <v>127</v>
      </c>
      <c r="B43" s="1120">
        <v>571376</v>
      </c>
      <c r="C43" s="1119"/>
      <c r="D43" s="1152">
        <v>837295.2</v>
      </c>
      <c r="E43" s="1155">
        <f t="shared" si="3"/>
        <v>265919.19999999995</v>
      </c>
      <c r="F43" s="1152">
        <v>837295.2</v>
      </c>
      <c r="G43" s="1155">
        <f t="shared" si="4"/>
        <v>265919.19999999995</v>
      </c>
      <c r="H43" s="1152">
        <v>837295.2</v>
      </c>
      <c r="I43" s="1157">
        <f t="shared" si="5"/>
        <v>265919.19999999995</v>
      </c>
      <c r="N43" s="1137"/>
    </row>
    <row r="44" spans="1:16">
      <c r="A44" s="1128"/>
      <c r="B44" s="1119"/>
      <c r="C44" s="1119"/>
      <c r="D44" s="1152"/>
      <c r="E44" s="1155"/>
      <c r="F44" s="1152"/>
      <c r="G44" s="1155"/>
      <c r="H44" s="1152"/>
      <c r="I44" s="1157"/>
      <c r="N44" s="1137"/>
    </row>
    <row r="45" spans="1:16">
      <c r="A45" s="1128" t="s">
        <v>138</v>
      </c>
      <c r="B45" s="1120">
        <v>416300</v>
      </c>
      <c r="C45" s="1119"/>
      <c r="D45" s="1152">
        <v>388273.53148393106</v>
      </c>
      <c r="E45" s="1155">
        <f t="shared" si="3"/>
        <v>-28026.468516068941</v>
      </c>
      <c r="F45" s="1152">
        <v>670345.06558745261</v>
      </c>
      <c r="G45" s="1155">
        <f t="shared" si="4"/>
        <v>254045.06558745261</v>
      </c>
      <c r="H45" s="1152">
        <v>792810.16664005886</v>
      </c>
      <c r="I45" s="1157">
        <f t="shared" si="5"/>
        <v>376510.16664005886</v>
      </c>
    </row>
    <row r="46" spans="1:16">
      <c r="A46" s="1128"/>
      <c r="B46" s="1119"/>
      <c r="C46" s="1119"/>
      <c r="D46" s="1152"/>
      <c r="E46" s="1155"/>
      <c r="F46" s="1152"/>
      <c r="G46" s="1155"/>
      <c r="H46" s="1152"/>
      <c r="I46" s="1157"/>
      <c r="L46" s="1134"/>
      <c r="M46" s="1139"/>
      <c r="N46" s="1138"/>
    </row>
    <row r="47" spans="1:16" s="16" customFormat="1" ht="24">
      <c r="A47" s="1141" t="s">
        <v>596</v>
      </c>
      <c r="B47" s="1130">
        <v>-155076</v>
      </c>
      <c r="C47" s="1142"/>
      <c r="D47" s="1159">
        <v>-449021.66851606895</v>
      </c>
      <c r="E47" s="1156">
        <f t="shared" si="3"/>
        <v>-293945.66851606895</v>
      </c>
      <c r="F47" s="1159">
        <v>-166950.13441254734</v>
      </c>
      <c r="G47" s="1156">
        <f t="shared" si="4"/>
        <v>-11874.134412547341</v>
      </c>
      <c r="H47" s="1159">
        <v>-44485.033359941095</v>
      </c>
      <c r="I47" s="1158">
        <f t="shared" si="5"/>
        <v>110590.9666400589</v>
      </c>
      <c r="M47" s="1152"/>
    </row>
    <row r="48" spans="1:16">
      <c r="M48" s="1139"/>
      <c r="N48" s="1137"/>
    </row>
    <row r="49" spans="1:14">
      <c r="A49" t="s">
        <v>351</v>
      </c>
      <c r="M49" s="1139"/>
      <c r="N49" s="1137"/>
    </row>
    <row r="50" spans="1:14" ht="24">
      <c r="A50" s="1140"/>
      <c r="B50" s="1123" t="s">
        <v>585</v>
      </c>
      <c r="C50" s="1124"/>
      <c r="D50" s="1123" t="s">
        <v>599</v>
      </c>
      <c r="E50" s="1124"/>
      <c r="F50" s="1123" t="s">
        <v>547</v>
      </c>
      <c r="G50" s="1124"/>
      <c r="H50" s="1123" t="s">
        <v>548</v>
      </c>
      <c r="I50" s="1125"/>
      <c r="N50" s="1137"/>
    </row>
    <row r="51" spans="1:14">
      <c r="A51" s="1128"/>
      <c r="B51" s="1119"/>
      <c r="C51" s="1119"/>
      <c r="D51" s="1153">
        <v>2024</v>
      </c>
      <c r="E51" s="1121" t="s">
        <v>595</v>
      </c>
      <c r="F51" s="1153">
        <v>2024</v>
      </c>
      <c r="G51" s="1121" t="s">
        <v>595</v>
      </c>
      <c r="H51" s="1153">
        <v>2024</v>
      </c>
      <c r="I51" s="1127" t="s">
        <v>595</v>
      </c>
      <c r="N51" s="1137"/>
    </row>
    <row r="52" spans="1:14">
      <c r="A52" s="1128" t="s">
        <v>148</v>
      </c>
      <c r="B52" s="1120">
        <v>1150500</v>
      </c>
      <c r="C52" s="1119"/>
      <c r="D52" s="1150">
        <v>1645384.8477304522</v>
      </c>
      <c r="E52" s="1155">
        <f>D52-B52</f>
        <v>494884.84773045219</v>
      </c>
      <c r="F52" s="1150">
        <v>1927456.3818339736</v>
      </c>
      <c r="G52" s="1155">
        <f>F52-B52</f>
        <v>776956.38183397357</v>
      </c>
      <c r="H52" s="1150">
        <v>2049921.4828865798</v>
      </c>
      <c r="I52" s="1157">
        <f>H52-B52</f>
        <v>899421.48288657982</v>
      </c>
    </row>
    <row r="53" spans="1:14">
      <c r="A53" s="1129" t="s">
        <v>140</v>
      </c>
      <c r="B53" s="1132">
        <v>734200</v>
      </c>
      <c r="C53" s="1131"/>
      <c r="D53" s="1154">
        <v>997684.33437931899</v>
      </c>
      <c r="E53" s="1156">
        <f t="shared" ref="E53:E61" si="6">D53-B53</f>
        <v>263484.33437931899</v>
      </c>
      <c r="F53" s="1154">
        <v>997684.33437931945</v>
      </c>
      <c r="G53" s="1156">
        <f t="shared" ref="G53:G61" si="7">F53-B53</f>
        <v>263484.33437931945</v>
      </c>
      <c r="H53" s="1154">
        <v>997684.33437931945</v>
      </c>
      <c r="I53" s="1158">
        <f t="shared" ref="I53:I61" si="8">H53-B53</f>
        <v>263484.33437931945</v>
      </c>
    </row>
    <row r="54" spans="1:14">
      <c r="A54" s="1128" t="s">
        <v>116</v>
      </c>
      <c r="B54" s="1120">
        <v>416300</v>
      </c>
      <c r="C54" s="1119"/>
      <c r="D54" s="1150">
        <v>647700.51335113274</v>
      </c>
      <c r="E54" s="1155">
        <f t="shared" si="6"/>
        <v>231400.51335113274</v>
      </c>
      <c r="F54" s="1150">
        <v>929772.04745465412</v>
      </c>
      <c r="G54" s="1155">
        <f t="shared" si="7"/>
        <v>513472.04745465412</v>
      </c>
      <c r="H54" s="1150">
        <v>1052237.1485072603</v>
      </c>
      <c r="I54" s="1157">
        <f t="shared" si="8"/>
        <v>635937.14850726025</v>
      </c>
    </row>
    <row r="55" spans="1:14">
      <c r="A55" s="1128"/>
      <c r="B55" s="1119"/>
      <c r="C55" s="1119"/>
      <c r="D55" s="1150"/>
      <c r="E55" s="1155"/>
      <c r="F55" s="1150"/>
      <c r="G55" s="1155"/>
      <c r="H55" s="1150"/>
      <c r="I55" s="1157"/>
    </row>
    <row r="56" spans="1:14">
      <c r="A56" s="1128" t="s">
        <v>136</v>
      </c>
      <c r="B56" s="1119" t="s">
        <v>598</v>
      </c>
      <c r="C56" s="1119"/>
      <c r="D56" s="1150">
        <v>72766.501955999993</v>
      </c>
      <c r="E56" s="1155">
        <f>D56</f>
        <v>72766.501955999993</v>
      </c>
      <c r="F56" s="1150">
        <v>72766.501955999993</v>
      </c>
      <c r="G56" s="1155">
        <f>F56</f>
        <v>72766.501955999993</v>
      </c>
      <c r="H56" s="1150">
        <v>72766.501955999993</v>
      </c>
      <c r="I56" s="1157">
        <f>H56</f>
        <v>72766.501955999993</v>
      </c>
    </row>
    <row r="57" spans="1:14">
      <c r="A57" s="1128" t="s">
        <v>127</v>
      </c>
      <c r="B57" s="1120">
        <v>571376</v>
      </c>
      <c r="C57" s="1119"/>
      <c r="D57" s="1150">
        <v>952995.96</v>
      </c>
      <c r="E57" s="1155">
        <f t="shared" si="6"/>
        <v>381619.95999999996</v>
      </c>
      <c r="F57" s="1150">
        <v>952995.96</v>
      </c>
      <c r="G57" s="1155">
        <f t="shared" si="7"/>
        <v>381619.95999999996</v>
      </c>
      <c r="H57" s="1150">
        <v>952995.96</v>
      </c>
      <c r="I57" s="1157">
        <f t="shared" si="8"/>
        <v>381619.95999999996</v>
      </c>
    </row>
    <row r="58" spans="1:14">
      <c r="A58" s="1128"/>
      <c r="B58" s="1119"/>
      <c r="C58" s="1119"/>
      <c r="D58" s="1150"/>
      <c r="E58" s="1155"/>
      <c r="F58" s="1150"/>
      <c r="G58" s="1155"/>
      <c r="H58" s="1150"/>
      <c r="I58" s="1157"/>
    </row>
    <row r="59" spans="1:14">
      <c r="A59" s="1128" t="s">
        <v>138</v>
      </c>
      <c r="B59" s="1120">
        <v>416300</v>
      </c>
      <c r="C59" s="1119"/>
      <c r="D59" s="1150">
        <v>574934.01139513275</v>
      </c>
      <c r="E59" s="1155">
        <f t="shared" si="6"/>
        <v>158634.01139513275</v>
      </c>
      <c r="F59" s="1150">
        <v>857005.54549865413</v>
      </c>
      <c r="G59" s="1155">
        <f t="shared" si="7"/>
        <v>440705.54549865413</v>
      </c>
      <c r="H59" s="1150">
        <v>979470.64655126026</v>
      </c>
      <c r="I59" s="1157">
        <f t="shared" si="8"/>
        <v>563170.64655126026</v>
      </c>
    </row>
    <row r="60" spans="1:14">
      <c r="A60" s="1128"/>
      <c r="B60" s="1119"/>
      <c r="C60" s="1119"/>
      <c r="D60" s="1150"/>
      <c r="E60" s="1155"/>
      <c r="F60" s="1150"/>
      <c r="G60" s="1155"/>
      <c r="H60" s="1150"/>
      <c r="I60" s="1157"/>
      <c r="M60" s="1151"/>
    </row>
    <row r="61" spans="1:14" ht="24">
      <c r="A61" s="1141" t="s">
        <v>596</v>
      </c>
      <c r="B61" s="1130">
        <v>-155076</v>
      </c>
      <c r="C61" s="1142"/>
      <c r="D61" s="1154">
        <v>-378061.94860486721</v>
      </c>
      <c r="E61" s="1156">
        <f t="shared" si="6"/>
        <v>-222985.94860486721</v>
      </c>
      <c r="F61" s="1154">
        <v>-95990.414501345833</v>
      </c>
      <c r="G61" s="1156">
        <f t="shared" si="7"/>
        <v>59085.585498654167</v>
      </c>
      <c r="H61" s="1154">
        <v>26474.686551260296</v>
      </c>
      <c r="I61" s="1158">
        <f t="shared" si="8"/>
        <v>181550.6865512603</v>
      </c>
      <c r="M61" s="1151"/>
    </row>
    <row r="62" spans="1:14">
      <c r="M62" s="1151"/>
    </row>
    <row r="63" spans="1:14">
      <c r="A63" t="s">
        <v>355</v>
      </c>
      <c r="M63" s="1151"/>
    </row>
    <row r="64" spans="1:14" ht="24">
      <c r="A64" s="1140"/>
      <c r="B64" s="1123" t="s">
        <v>585</v>
      </c>
      <c r="C64" s="1124"/>
      <c r="D64" s="1123" t="s">
        <v>601</v>
      </c>
      <c r="E64" s="1124"/>
      <c r="F64" s="1123" t="s">
        <v>550</v>
      </c>
      <c r="G64" s="1124"/>
      <c r="H64" s="1123" t="s">
        <v>551</v>
      </c>
      <c r="I64" s="1125"/>
      <c r="M64" s="1151"/>
    </row>
    <row r="65" spans="1:14">
      <c r="A65" s="1128"/>
      <c r="B65" s="1119"/>
      <c r="C65" s="1119"/>
      <c r="D65" s="1153">
        <v>2024</v>
      </c>
      <c r="E65" s="1121" t="s">
        <v>595</v>
      </c>
      <c r="F65" s="1153">
        <v>2024</v>
      </c>
      <c r="G65" s="1121" t="s">
        <v>595</v>
      </c>
      <c r="H65" s="1153">
        <v>2024</v>
      </c>
      <c r="I65" s="1127" t="s">
        <v>595</v>
      </c>
      <c r="M65" s="1146"/>
    </row>
    <row r="66" spans="1:14">
      <c r="A66" s="1128" t="s">
        <v>148</v>
      </c>
      <c r="B66" s="1120">
        <v>1150500</v>
      </c>
      <c r="C66" s="1119"/>
      <c r="D66" s="1152">
        <v>1632703.3225622727</v>
      </c>
      <c r="E66" s="1155">
        <f>D66-B66</f>
        <v>482203.32256227266</v>
      </c>
      <c r="F66" s="1152">
        <v>1914774.8566657943</v>
      </c>
      <c r="G66" s="1155">
        <f>F66-B66</f>
        <v>764274.85666579427</v>
      </c>
      <c r="H66" s="1152">
        <v>2037239.9577184003</v>
      </c>
      <c r="I66" s="1157">
        <f>H66-B66</f>
        <v>886739.95771840028</v>
      </c>
    </row>
    <row r="67" spans="1:14">
      <c r="A67" s="1129" t="s">
        <v>140</v>
      </c>
      <c r="B67" s="1132">
        <v>734200</v>
      </c>
      <c r="C67" s="1131"/>
      <c r="D67" s="1159">
        <v>985653.64213699941</v>
      </c>
      <c r="E67" s="1156">
        <f t="shared" ref="E67:E75" si="9">D67-B67</f>
        <v>251453.64213699941</v>
      </c>
      <c r="F67" s="1159">
        <v>985653.64213699941</v>
      </c>
      <c r="G67" s="1156">
        <f t="shared" ref="G67:G75" si="10">F67-B67</f>
        <v>251453.64213699941</v>
      </c>
      <c r="H67" s="1159">
        <v>985653.64213699941</v>
      </c>
      <c r="I67" s="1158">
        <f t="shared" ref="I67:I75" si="11">H67-B67</f>
        <v>251453.64213699941</v>
      </c>
    </row>
    <row r="68" spans="1:14">
      <c r="A68" s="1128" t="s">
        <v>116</v>
      </c>
      <c r="B68" s="1120">
        <v>416300</v>
      </c>
      <c r="C68" s="1119"/>
      <c r="D68" s="1152">
        <v>647049.68042527325</v>
      </c>
      <c r="E68" s="1155">
        <f t="shared" si="9"/>
        <v>230749.68042527325</v>
      </c>
      <c r="F68" s="1152">
        <v>929121.21452879487</v>
      </c>
      <c r="G68" s="1155">
        <f t="shared" si="10"/>
        <v>512821.21452879487</v>
      </c>
      <c r="H68" s="1152">
        <v>1051586.3155814009</v>
      </c>
      <c r="I68" s="1157">
        <f t="shared" si="11"/>
        <v>635286.31558140088</v>
      </c>
    </row>
    <row r="69" spans="1:14">
      <c r="A69" s="1128"/>
      <c r="B69" s="1119"/>
      <c r="C69" s="1119"/>
      <c r="D69" s="1152"/>
      <c r="E69" s="1155"/>
      <c r="F69" s="1152"/>
      <c r="G69" s="1155"/>
      <c r="H69" s="1152"/>
      <c r="I69" s="1157"/>
    </row>
    <row r="70" spans="1:14">
      <c r="A70" s="1128" t="s">
        <v>136</v>
      </c>
      <c r="B70" s="1119" t="s">
        <v>598</v>
      </c>
      <c r="C70" s="1119"/>
      <c r="D70" s="1152">
        <v>92845.618524000005</v>
      </c>
      <c r="E70" s="1155">
        <f>D70</f>
        <v>92845.618524000005</v>
      </c>
      <c r="F70" s="1152">
        <v>92845.618524000005</v>
      </c>
      <c r="G70" s="1155">
        <f>F70</f>
        <v>92845.618524000005</v>
      </c>
      <c r="H70" s="1152">
        <v>92845.618524000005</v>
      </c>
      <c r="I70" s="1157">
        <f>H70</f>
        <v>92845.618524000005</v>
      </c>
    </row>
    <row r="71" spans="1:14">
      <c r="A71" s="1128" t="s">
        <v>127</v>
      </c>
      <c r="B71" s="1120">
        <v>571376</v>
      </c>
      <c r="C71" s="1119"/>
      <c r="D71" s="1152">
        <v>881662.67999999993</v>
      </c>
      <c r="E71" s="1155">
        <f t="shared" si="9"/>
        <v>310286.67999999993</v>
      </c>
      <c r="F71" s="1152">
        <v>881662.67999999993</v>
      </c>
      <c r="G71" s="1155">
        <f t="shared" si="10"/>
        <v>310286.67999999993</v>
      </c>
      <c r="H71" s="1152">
        <v>881662.67999999993</v>
      </c>
      <c r="I71" s="1157">
        <f t="shared" si="11"/>
        <v>310286.67999999993</v>
      </c>
    </row>
    <row r="72" spans="1:14">
      <c r="A72" s="1128"/>
      <c r="B72" s="1119"/>
      <c r="C72" s="1119"/>
      <c r="D72" s="1152"/>
      <c r="E72" s="1155"/>
      <c r="F72" s="1152"/>
      <c r="G72" s="1155"/>
      <c r="H72" s="1152"/>
      <c r="I72" s="1157"/>
    </row>
    <row r="73" spans="1:14">
      <c r="A73" s="1128" t="s">
        <v>138</v>
      </c>
      <c r="B73" s="1120">
        <v>416300</v>
      </c>
      <c r="C73" s="1119"/>
      <c r="D73" s="1152">
        <v>554204.06190127321</v>
      </c>
      <c r="E73" s="1155">
        <f t="shared" si="9"/>
        <v>137904.06190127321</v>
      </c>
      <c r="F73" s="1152">
        <v>836275.59600479482</v>
      </c>
      <c r="G73" s="1155">
        <f t="shared" si="10"/>
        <v>419975.59600479482</v>
      </c>
      <c r="H73" s="1152">
        <v>958740.69705740083</v>
      </c>
      <c r="I73" s="1157">
        <f t="shared" si="11"/>
        <v>542440.69705740083</v>
      </c>
    </row>
    <row r="74" spans="1:14">
      <c r="A74" s="1128"/>
      <c r="B74" s="1119"/>
      <c r="C74" s="1119"/>
      <c r="D74" s="1152"/>
      <c r="E74" s="1155"/>
      <c r="F74" s="1152"/>
      <c r="G74" s="1155"/>
      <c r="H74" s="1152"/>
      <c r="I74" s="1157"/>
      <c r="N74" s="1139"/>
    </row>
    <row r="75" spans="1:14" ht="24">
      <c r="A75" s="1141" t="s">
        <v>596</v>
      </c>
      <c r="B75" s="1130">
        <v>-155076</v>
      </c>
      <c r="C75" s="1142"/>
      <c r="D75" s="1159">
        <v>-327458.61809872673</v>
      </c>
      <c r="E75" s="1156">
        <f t="shared" si="9"/>
        <v>-172382.61809872673</v>
      </c>
      <c r="F75" s="1159">
        <v>-45387.083995205117</v>
      </c>
      <c r="G75" s="1156">
        <f t="shared" si="10"/>
        <v>109688.91600479488</v>
      </c>
      <c r="H75" s="1159">
        <v>77078.017057400895</v>
      </c>
      <c r="I75" s="1158">
        <f t="shared" si="11"/>
        <v>232154.0170574009</v>
      </c>
      <c r="N75" s="1139"/>
    </row>
    <row r="76" spans="1:14">
      <c r="N76" s="1139"/>
    </row>
    <row r="77" spans="1:14">
      <c r="A77" t="s">
        <v>354</v>
      </c>
      <c r="N77" s="1139"/>
    </row>
    <row r="78" spans="1:14" ht="24">
      <c r="A78" s="1140"/>
      <c r="B78" s="1123" t="s">
        <v>585</v>
      </c>
      <c r="C78" s="1124"/>
      <c r="D78" s="1123" t="s">
        <v>604</v>
      </c>
      <c r="E78" s="1124"/>
      <c r="F78" s="1123" t="s">
        <v>553</v>
      </c>
      <c r="G78" s="1124"/>
      <c r="H78" s="1123" t="s">
        <v>554</v>
      </c>
      <c r="I78" s="1125"/>
      <c r="N78" s="1139"/>
    </row>
    <row r="79" spans="1:14">
      <c r="A79" s="1128"/>
      <c r="B79" s="1119"/>
      <c r="C79" s="1119"/>
      <c r="D79" s="1153">
        <v>2024</v>
      </c>
      <c r="E79" s="1121" t="s">
        <v>595</v>
      </c>
      <c r="F79" s="1153">
        <v>2024</v>
      </c>
      <c r="G79" s="1121" t="s">
        <v>595</v>
      </c>
      <c r="H79" s="1153">
        <v>2024</v>
      </c>
      <c r="I79" s="1127" t="s">
        <v>595</v>
      </c>
      <c r="N79" s="1139"/>
    </row>
    <row r="80" spans="1:14">
      <c r="A80" s="1128" t="s">
        <v>148</v>
      </c>
      <c r="B80" s="1120">
        <v>1150500</v>
      </c>
      <c r="C80" s="1119"/>
      <c r="D80" s="1152">
        <v>1793587.9601091596</v>
      </c>
      <c r="E80" s="1155">
        <f>D80-B80</f>
        <v>643087.96010915958</v>
      </c>
      <c r="F80" s="1152">
        <v>2075659.4942126812</v>
      </c>
      <c r="G80" s="1155">
        <f>F80-B80</f>
        <v>925159.49421268119</v>
      </c>
      <c r="H80" s="1152">
        <v>2198124.595265287</v>
      </c>
      <c r="I80" s="1160">
        <f>H80-B80</f>
        <v>1047624.595265287</v>
      </c>
      <c r="N80" s="1139"/>
    </row>
    <row r="81" spans="1:14">
      <c r="A81" s="1129" t="s">
        <v>140</v>
      </c>
      <c r="B81" s="1132">
        <v>734200</v>
      </c>
      <c r="C81" s="1131"/>
      <c r="D81" s="1159">
        <v>1009212.7780993994</v>
      </c>
      <c r="E81" s="1156">
        <f t="shared" ref="E81:E89" si="12">D81-B81</f>
        <v>275012.77809939941</v>
      </c>
      <c r="F81" s="1159">
        <v>1009212.7780993994</v>
      </c>
      <c r="G81" s="1156">
        <f t="shared" ref="G81:G89" si="13">F81-B81</f>
        <v>275012.77809939941</v>
      </c>
      <c r="H81" s="1154">
        <v>1009212.7780993994</v>
      </c>
      <c r="I81" s="1161">
        <f t="shared" ref="I81:I89" si="14">H81-B81</f>
        <v>275012.77809939941</v>
      </c>
      <c r="N81" s="1139"/>
    </row>
    <row r="82" spans="1:14">
      <c r="A82" s="1128" t="s">
        <v>116</v>
      </c>
      <c r="B82" s="1120">
        <v>416300</v>
      </c>
      <c r="C82" s="1119"/>
      <c r="D82" s="1152">
        <v>784375.18200976017</v>
      </c>
      <c r="E82" s="1155">
        <f t="shared" si="12"/>
        <v>368075.18200976017</v>
      </c>
      <c r="F82" s="1152">
        <v>1066446.7161132819</v>
      </c>
      <c r="G82" s="1155">
        <f t="shared" si="13"/>
        <v>650146.7161132819</v>
      </c>
      <c r="H82" s="1150">
        <v>1188911.8171658874</v>
      </c>
      <c r="I82" s="1160">
        <f t="shared" si="14"/>
        <v>772611.81716588745</v>
      </c>
      <c r="N82" s="1139"/>
    </row>
    <row r="83" spans="1:14">
      <c r="A83" s="1128"/>
      <c r="B83" s="1119"/>
      <c r="C83" s="1119"/>
      <c r="D83" s="1152"/>
      <c r="E83" s="1155"/>
      <c r="F83" s="1152"/>
      <c r="G83" s="1155"/>
      <c r="H83" s="1150"/>
      <c r="I83" s="1160"/>
    </row>
    <row r="84" spans="1:14">
      <c r="A84" s="1128" t="s">
        <v>136</v>
      </c>
      <c r="B84" s="1119" t="s">
        <v>598</v>
      </c>
      <c r="C84" s="1119"/>
      <c r="D84" s="1152">
        <v>104135.3859528</v>
      </c>
      <c r="E84" s="1155">
        <f>D84</f>
        <v>104135.3859528</v>
      </c>
      <c r="F84" s="1152">
        <v>104135.3859528</v>
      </c>
      <c r="G84" s="1155">
        <f>F84</f>
        <v>104135.3859528</v>
      </c>
      <c r="H84" s="1150">
        <v>104135.3859528</v>
      </c>
      <c r="I84" s="1160">
        <f>H84</f>
        <v>104135.3859528</v>
      </c>
    </row>
    <row r="85" spans="1:14">
      <c r="A85" s="1128" t="s">
        <v>127</v>
      </c>
      <c r="B85" s="1120">
        <v>571376</v>
      </c>
      <c r="C85" s="1119"/>
      <c r="D85" s="1152">
        <v>922285.92</v>
      </c>
      <c r="E85" s="1155">
        <f t="shared" si="12"/>
        <v>350909.92000000004</v>
      </c>
      <c r="F85" s="1152">
        <v>922285.92</v>
      </c>
      <c r="G85" s="1155">
        <f t="shared" si="13"/>
        <v>350909.92000000004</v>
      </c>
      <c r="H85" s="1150">
        <v>922285.92</v>
      </c>
      <c r="I85" s="1160">
        <f t="shared" si="14"/>
        <v>350909.92000000004</v>
      </c>
    </row>
    <row r="86" spans="1:14">
      <c r="A86" s="1128"/>
      <c r="B86" s="1119"/>
      <c r="C86" s="1119"/>
      <c r="D86" s="1152"/>
      <c r="E86" s="1155"/>
      <c r="F86" s="1152"/>
      <c r="G86" s="1155"/>
      <c r="H86" s="1150"/>
      <c r="I86" s="1160"/>
    </row>
    <row r="87" spans="1:14">
      <c r="A87" s="1128" t="s">
        <v>138</v>
      </c>
      <c r="B87" s="1120">
        <v>416300</v>
      </c>
      <c r="C87" s="1119"/>
      <c r="D87" s="1152">
        <v>680239.79605696013</v>
      </c>
      <c r="E87" s="1155">
        <f t="shared" si="12"/>
        <v>263939.79605696013</v>
      </c>
      <c r="F87" s="1152">
        <v>962311.33016048186</v>
      </c>
      <c r="G87" s="1155">
        <f t="shared" si="13"/>
        <v>546011.33016048186</v>
      </c>
      <c r="H87" s="1150">
        <v>1084776.4312130874</v>
      </c>
      <c r="I87" s="1160">
        <f t="shared" si="14"/>
        <v>668476.4312130874</v>
      </c>
    </row>
    <row r="88" spans="1:14">
      <c r="A88" s="1128"/>
      <c r="B88" s="1119"/>
      <c r="C88" s="1119"/>
      <c r="D88" s="1152"/>
      <c r="E88" s="1155"/>
      <c r="F88" s="1152"/>
      <c r="G88" s="1155"/>
      <c r="H88" s="1150"/>
      <c r="I88" s="1160"/>
    </row>
    <row r="89" spans="1:14" ht="24">
      <c r="A89" s="1141" t="s">
        <v>596</v>
      </c>
      <c r="B89" s="1130">
        <v>-155076</v>
      </c>
      <c r="C89" s="1142"/>
      <c r="D89" s="1159">
        <v>-242046.12394303991</v>
      </c>
      <c r="E89" s="1156">
        <f t="shared" si="12"/>
        <v>-86970.123943039915</v>
      </c>
      <c r="F89" s="1159">
        <v>40025.410160481813</v>
      </c>
      <c r="G89" s="1156">
        <f t="shared" si="13"/>
        <v>195101.41016048181</v>
      </c>
      <c r="H89" s="1154">
        <v>162490.51121308736</v>
      </c>
      <c r="I89" s="1161">
        <f t="shared" si="14"/>
        <v>317566.51121308736</v>
      </c>
    </row>
    <row r="90" spans="1:14">
      <c r="K90" s="1144"/>
      <c r="L90" s="1144"/>
      <c r="M90" s="1137"/>
    </row>
    <row r="91" spans="1:14">
      <c r="M91" s="1137"/>
    </row>
    <row r="92" spans="1:14">
      <c r="M92" s="1137"/>
    </row>
    <row r="93" spans="1:14">
      <c r="M93" s="1137"/>
      <c r="N93" s="1139"/>
    </row>
    <row r="94" spans="1:14">
      <c r="M94" s="1137"/>
      <c r="N94" s="1139"/>
    </row>
    <row r="95" spans="1:14">
      <c r="M95" s="1137"/>
      <c r="N95" s="1139"/>
    </row>
    <row r="96" spans="1:14">
      <c r="M96" s="1137"/>
      <c r="N96" s="1139"/>
    </row>
    <row r="97" spans="13:14">
      <c r="N97" s="1139"/>
    </row>
    <row r="98" spans="13:14">
      <c r="N98" s="1139"/>
    </row>
    <row r="99" spans="13:14">
      <c r="N99" s="1139"/>
    </row>
    <row r="100" spans="13:14">
      <c r="N100" s="1139"/>
    </row>
    <row r="101" spans="13:14">
      <c r="N101" s="1139"/>
    </row>
    <row r="107" spans="13:14">
      <c r="M107" s="1137"/>
    </row>
    <row r="108" spans="13:14">
      <c r="M108" s="1137"/>
    </row>
    <row r="109" spans="13:14">
      <c r="M109" s="1137"/>
    </row>
    <row r="110" spans="13:14">
      <c r="M110" s="1137"/>
    </row>
    <row r="111" spans="13:14">
      <c r="M111" s="1137"/>
    </row>
    <row r="112" spans="13:14">
      <c r="M112" s="1137"/>
    </row>
    <row r="113" spans="13:13">
      <c r="M113" s="1137"/>
    </row>
    <row r="114" spans="13:13">
      <c r="M114" s="1137"/>
    </row>
    <row r="115" spans="13:13">
      <c r="M115" s="1137"/>
    </row>
  </sheetData>
  <mergeCells count="14">
    <mergeCell ref="N11:N12"/>
    <mergeCell ref="O11:O12"/>
    <mergeCell ref="H11:H12"/>
    <mergeCell ref="I11:I12"/>
    <mergeCell ref="J11:J12"/>
    <mergeCell ref="K11:K12"/>
    <mergeCell ref="L11:L12"/>
    <mergeCell ref="M11:M12"/>
    <mergeCell ref="G11:G12"/>
    <mergeCell ref="B11:B12"/>
    <mergeCell ref="C11:C12"/>
    <mergeCell ref="D11:D12"/>
    <mergeCell ref="E11:E12"/>
    <mergeCell ref="F11:F12"/>
  </mergeCells>
  <pageMargins left="0.7" right="0.7" top="0.75" bottom="0.75" header="0.3" footer="0.3"/>
  <pageSetup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XFD196"/>
  <sheetViews>
    <sheetView topLeftCell="A85" zoomScale="62" zoomScaleNormal="55" workbookViewId="0">
      <selection activeCell="A117" sqref="A117:XFD117"/>
    </sheetView>
  </sheetViews>
  <sheetFormatPr defaultColWidth="9" defaultRowHeight="16.5"/>
  <cols>
    <col min="1" max="1" width="71.875" style="18" customWidth="1"/>
    <col min="2" max="2" width="50.5" style="18" bestFit="1" customWidth="1"/>
    <col min="3" max="3" width="8" style="18" bestFit="1" customWidth="1"/>
    <col min="4" max="4" width="8" style="262" bestFit="1" customWidth="1"/>
    <col min="5" max="5" width="17.625" style="18" bestFit="1" customWidth="1"/>
    <col min="6" max="7" width="16.875" style="18" bestFit="1" customWidth="1"/>
    <col min="8" max="8" width="17.25" style="18" bestFit="1" customWidth="1"/>
    <col min="9" max="9" width="16.625" style="18" bestFit="1" customWidth="1"/>
    <col min="10" max="10" width="17.25" style="18" bestFit="1" customWidth="1"/>
    <col min="11" max="12" width="16.5" style="18" bestFit="1" customWidth="1"/>
    <col min="13" max="13" width="16.875" style="18" bestFit="1" customWidth="1"/>
    <col min="14" max="19" width="17.25" style="18" bestFit="1" customWidth="1"/>
    <col min="20" max="21" width="17.625" style="18" bestFit="1" customWidth="1"/>
    <col min="22" max="22" width="16.875" style="18" bestFit="1" customWidth="1"/>
    <col min="23" max="23" width="17.625" style="18" bestFit="1" customWidth="1"/>
    <col min="24" max="24" width="17.25" style="18" bestFit="1" customWidth="1"/>
    <col min="25" max="25" width="22.625" style="18" bestFit="1" customWidth="1"/>
    <col min="26" max="16384" width="9" style="18"/>
  </cols>
  <sheetData>
    <row r="1" spans="1:25" ht="18.75" thickBot="1">
      <c r="A1" s="11" t="str">
        <f>Intro!A1</f>
        <v>Town of Bar Harbor</v>
      </c>
      <c r="B1" s="27"/>
      <c r="C1" s="17"/>
      <c r="D1" s="260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</row>
    <row r="2" spans="1:25" ht="17.25" thickBot="1">
      <c r="A2" s="380" t="str">
        <f>Intro!A2</f>
        <v>Ferry Property Business Plan</v>
      </c>
      <c r="B2" s="13"/>
      <c r="C2" s="17"/>
      <c r="D2" s="260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</row>
    <row r="3" spans="1:25" s="381" customFormat="1" ht="14.25" thickBot="1">
      <c r="A3" s="384" t="str">
        <f>Intro!A3</f>
        <v>05.23.2018</v>
      </c>
      <c r="B3" s="304"/>
      <c r="C3" s="387"/>
      <c r="D3" s="388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7"/>
      <c r="X3" s="387"/>
    </row>
    <row r="4" spans="1:25" s="381" customFormat="1" ht="13.5">
      <c r="A4" s="384" t="str">
        <f ca="1">Intro!A4</f>
        <v>Town of Bar Harbor</v>
      </c>
      <c r="B4" s="382"/>
      <c r="C4" s="383">
        <f ca="1">NOW()</f>
        <v>43242.835659143515</v>
      </c>
      <c r="D4" s="388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  <c r="Q4" s="387"/>
      <c r="R4" s="387"/>
      <c r="S4" s="387"/>
      <c r="T4" s="387"/>
      <c r="U4" s="387"/>
      <c r="V4" s="387"/>
      <c r="W4" s="387"/>
      <c r="X4" s="387"/>
    </row>
    <row r="5" spans="1:25">
      <c r="A5" s="244" t="s">
        <v>343</v>
      </c>
      <c r="B5" s="244"/>
      <c r="C5" s="245"/>
      <c r="D5" s="261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</row>
    <row r="6" spans="1:25">
      <c r="D6" s="485"/>
    </row>
    <row r="7" spans="1:25">
      <c r="A7" s="22"/>
      <c r="B7" s="71"/>
      <c r="C7" s="71"/>
      <c r="D7" s="72">
        <f>'Cruise Projections'!T7</f>
        <v>2018</v>
      </c>
      <c r="E7" s="72">
        <f>'Cruise Projections'!U7</f>
        <v>2019</v>
      </c>
      <c r="F7" s="72">
        <f>'Cruise Projections'!V7</f>
        <v>2020</v>
      </c>
      <c r="G7" s="72">
        <f>'Cruise Projections'!W7</f>
        <v>2021</v>
      </c>
      <c r="H7" s="72">
        <f>'Cruise Projections'!X7</f>
        <v>2022</v>
      </c>
      <c r="I7" s="72">
        <f>'Cruise Projections'!Y7</f>
        <v>2023</v>
      </c>
      <c r="J7" s="72">
        <f>'Cruise Projections'!Z7</f>
        <v>2024</v>
      </c>
      <c r="K7" s="72">
        <f>'Cruise Projections'!AA7</f>
        <v>2025</v>
      </c>
      <c r="L7" s="72">
        <f>'Cruise Projections'!AB7</f>
        <v>2026</v>
      </c>
      <c r="M7" s="72">
        <f>'Cruise Projections'!AC7</f>
        <v>2027</v>
      </c>
      <c r="N7" s="72">
        <f>'Cruise Projections'!AD7</f>
        <v>2028</v>
      </c>
      <c r="O7" s="72">
        <f>'Cruise Projections'!AE7</f>
        <v>2029</v>
      </c>
      <c r="P7" s="72">
        <f>'Cruise Projections'!AF7</f>
        <v>2030</v>
      </c>
      <c r="Q7" s="72">
        <f>'Cruise Projections'!AG7</f>
        <v>2031</v>
      </c>
      <c r="R7" s="72">
        <f>'Cruise Projections'!AH7</f>
        <v>2032</v>
      </c>
      <c r="S7" s="72">
        <f>'Cruise Projections'!AI7</f>
        <v>2033</v>
      </c>
      <c r="T7" s="72">
        <f>'Cruise Projections'!AJ7</f>
        <v>2034</v>
      </c>
      <c r="U7" s="72">
        <f>'Cruise Projections'!AK7</f>
        <v>2035</v>
      </c>
      <c r="V7" s="72">
        <f>'Cruise Projections'!AL7</f>
        <v>2036</v>
      </c>
      <c r="W7" s="72">
        <f>'Cruise Projections'!AM7</f>
        <v>2037</v>
      </c>
      <c r="X7" s="72">
        <f>'Cruise Projections'!AN7</f>
        <v>2038</v>
      </c>
    </row>
    <row r="8" spans="1:25" ht="17.25" thickBot="1">
      <c r="D8" s="488"/>
    </row>
    <row r="9" spans="1:25" ht="17.25" thickBot="1">
      <c r="A9" s="117" t="s">
        <v>34</v>
      </c>
      <c r="B9" s="484" t="str">
        <f>'Cruise Projections'!A83</f>
        <v>Scenario 4 - Percent of 2018 Business - RCCL</v>
      </c>
      <c r="D9" s="489"/>
      <c r="E9" s="327"/>
      <c r="F9" s="327"/>
      <c r="G9" s="327"/>
      <c r="H9" s="327"/>
      <c r="I9" s="327"/>
      <c r="J9" s="327"/>
      <c r="K9" s="327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</row>
    <row r="10" spans="1:25">
      <c r="D10" s="489"/>
      <c r="E10" s="327"/>
      <c r="F10" s="327"/>
      <c r="G10" s="327"/>
      <c r="H10" s="327"/>
      <c r="I10" s="327"/>
      <c r="J10" s="327"/>
      <c r="K10" s="327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</row>
    <row r="11" spans="1:25" s="279" customFormat="1" ht="14.25">
      <c r="A11" s="279" t="s">
        <v>83</v>
      </c>
      <c r="D11" s="490"/>
      <c r="E11" s="328"/>
      <c r="F11" s="328"/>
      <c r="G11" s="328"/>
      <c r="H11" s="328"/>
      <c r="I11" s="328"/>
      <c r="J11" s="328"/>
      <c r="K11" s="328"/>
      <c r="L11" s="328"/>
      <c r="M11" s="328"/>
      <c r="N11" s="328"/>
      <c r="O11" s="328"/>
      <c r="P11" s="328"/>
      <c r="Q11" s="328"/>
      <c r="R11" s="328"/>
      <c r="S11" s="328"/>
      <c r="T11" s="328"/>
      <c r="U11" s="328"/>
      <c r="V11" s="328"/>
      <c r="W11" s="328"/>
      <c r="X11" s="328"/>
    </row>
    <row r="12" spans="1:25">
      <c r="A12" s="53" t="str">
        <f>'Cruise Projections'!A67</f>
        <v>Passengers</v>
      </c>
      <c r="B12" s="21"/>
      <c r="C12" s="21"/>
      <c r="D12" s="486">
        <f>'Cruise Projections'!T67</f>
        <v>0</v>
      </c>
      <c r="E12" s="313">
        <v>0</v>
      </c>
      <c r="F12" s="313">
        <f>'Cruise Projections'!V85</f>
        <v>89162.177869620791</v>
      </c>
      <c r="G12" s="313">
        <f>'Cruise Projections'!W85</f>
        <v>89162.177869620791</v>
      </c>
      <c r="H12" s="313">
        <f>'Cruise Projections'!X85</f>
        <v>89162.177869620791</v>
      </c>
      <c r="I12" s="313">
        <f>'Cruise Projections'!Y85</f>
        <v>89162.177869620791</v>
      </c>
      <c r="J12" s="313">
        <f>'Cruise Projections'!Z85</f>
        <v>89162.177869620791</v>
      </c>
      <c r="K12" s="313">
        <f>'Cruise Projections'!AA85</f>
        <v>89162.177869620791</v>
      </c>
      <c r="L12" s="313">
        <f>'Cruise Projections'!AB85</f>
        <v>89162.177869620791</v>
      </c>
      <c r="M12" s="313">
        <f>'Cruise Projections'!AC85</f>
        <v>89162.177869620791</v>
      </c>
      <c r="N12" s="313">
        <f>'Cruise Projections'!AD85</f>
        <v>89162.177869620791</v>
      </c>
      <c r="O12" s="313">
        <f>'Cruise Projections'!AE85</f>
        <v>89162.177869620791</v>
      </c>
      <c r="P12" s="313">
        <f>'Cruise Projections'!AF85</f>
        <v>89162.177869620791</v>
      </c>
      <c r="Q12" s="313">
        <f>'Cruise Projections'!AG85</f>
        <v>89162.177869620791</v>
      </c>
      <c r="R12" s="313">
        <f>'Cruise Projections'!AH85</f>
        <v>89162.177869620791</v>
      </c>
      <c r="S12" s="313">
        <f>'Cruise Projections'!AI85</f>
        <v>89162.177869620791</v>
      </c>
      <c r="T12" s="313">
        <f>'Cruise Projections'!AJ85</f>
        <v>89162.177869620791</v>
      </c>
      <c r="U12" s="313">
        <f>'Cruise Projections'!AK85</f>
        <v>89162.177869620791</v>
      </c>
      <c r="V12" s="313">
        <f>'Cruise Projections'!AL85</f>
        <v>89162.177869620791</v>
      </c>
      <c r="W12" s="313">
        <f>'Cruise Projections'!AM85</f>
        <v>89162.177869620791</v>
      </c>
      <c r="X12" s="313">
        <f>'Cruise Projections'!AN85</f>
        <v>89162.177869620791</v>
      </c>
      <c r="Y12" s="312"/>
    </row>
    <row r="13" spans="1:25">
      <c r="A13" s="53" t="str">
        <f>'Cruise Projections'!A68</f>
        <v>Calls</v>
      </c>
      <c r="B13" s="21"/>
      <c r="C13" s="21"/>
      <c r="D13" s="486">
        <f>'Cruise Projections'!T68</f>
        <v>0</v>
      </c>
      <c r="E13" s="313">
        <v>0</v>
      </c>
      <c r="F13" s="313">
        <f>'Cruise Projections'!V86</f>
        <v>28.666666666666664</v>
      </c>
      <c r="G13" s="313">
        <f>'Cruise Projections'!W86</f>
        <v>28.666666666666664</v>
      </c>
      <c r="H13" s="313">
        <f>'Cruise Projections'!X86</f>
        <v>28.666666666666664</v>
      </c>
      <c r="I13" s="313">
        <f>'Cruise Projections'!Y86</f>
        <v>28.666666666666664</v>
      </c>
      <c r="J13" s="313">
        <f>'Cruise Projections'!Z86</f>
        <v>28.666666666666664</v>
      </c>
      <c r="K13" s="313">
        <f>'Cruise Projections'!AA86</f>
        <v>28.666666666666664</v>
      </c>
      <c r="L13" s="313">
        <f>'Cruise Projections'!AB86</f>
        <v>28.666666666666664</v>
      </c>
      <c r="M13" s="313">
        <f>'Cruise Projections'!AC86</f>
        <v>28.666666666666664</v>
      </c>
      <c r="N13" s="313">
        <f>'Cruise Projections'!AD86</f>
        <v>28.666666666666664</v>
      </c>
      <c r="O13" s="313">
        <f>'Cruise Projections'!AE86</f>
        <v>28.666666666666664</v>
      </c>
      <c r="P13" s="313">
        <f>'Cruise Projections'!AF86</f>
        <v>28.666666666666664</v>
      </c>
      <c r="Q13" s="313">
        <f>'Cruise Projections'!AG86</f>
        <v>28.666666666666664</v>
      </c>
      <c r="R13" s="313">
        <f>'Cruise Projections'!AH86</f>
        <v>28.666666666666664</v>
      </c>
      <c r="S13" s="313">
        <f>'Cruise Projections'!AI86</f>
        <v>28.666666666666664</v>
      </c>
      <c r="T13" s="313">
        <f>'Cruise Projections'!AJ86</f>
        <v>28.666666666666664</v>
      </c>
      <c r="U13" s="313">
        <f>'Cruise Projections'!AK86</f>
        <v>28.666666666666664</v>
      </c>
      <c r="V13" s="313">
        <f>'Cruise Projections'!AL86</f>
        <v>28.666666666666664</v>
      </c>
      <c r="W13" s="313">
        <f>'Cruise Projections'!AM86</f>
        <v>28.666666666666664</v>
      </c>
      <c r="X13" s="313">
        <f>'Cruise Projections'!AN86</f>
        <v>28.666666666666664</v>
      </c>
      <c r="Y13" s="312"/>
    </row>
    <row r="14" spans="1:25">
      <c r="A14" s="53" t="str">
        <f>'Cruise Projections'!A69</f>
        <v>Passengers per Call</v>
      </c>
      <c r="B14" s="21"/>
      <c r="C14" s="21"/>
      <c r="D14" s="486">
        <f>'Cruise Projections'!T69</f>
        <v>0</v>
      </c>
      <c r="E14" s="313">
        <v>0</v>
      </c>
      <c r="F14" s="313">
        <f>'Cruise Projections'!V87</f>
        <v>3110.3085303356092</v>
      </c>
      <c r="G14" s="313">
        <f>'Cruise Projections'!W87</f>
        <v>3110.3085303356092</v>
      </c>
      <c r="H14" s="313">
        <f>'Cruise Projections'!X87</f>
        <v>3110.3085303356092</v>
      </c>
      <c r="I14" s="313">
        <f>'Cruise Projections'!Y87</f>
        <v>3110.3085303356092</v>
      </c>
      <c r="J14" s="313">
        <f>'Cruise Projections'!Z87</f>
        <v>3110.3085303356092</v>
      </c>
      <c r="K14" s="313">
        <f>'Cruise Projections'!AA87</f>
        <v>3110.3085303356092</v>
      </c>
      <c r="L14" s="313">
        <f>'Cruise Projections'!AB87</f>
        <v>3110.3085303356092</v>
      </c>
      <c r="M14" s="313">
        <f>'Cruise Projections'!AC87</f>
        <v>3110.3085303356092</v>
      </c>
      <c r="N14" s="313">
        <f>'Cruise Projections'!AD87</f>
        <v>3110.3085303356092</v>
      </c>
      <c r="O14" s="313">
        <f>'Cruise Projections'!AE87</f>
        <v>3110.3085303356092</v>
      </c>
      <c r="P14" s="313">
        <f>'Cruise Projections'!AF87</f>
        <v>3110.3085303356092</v>
      </c>
      <c r="Q14" s="313">
        <f>'Cruise Projections'!AG87</f>
        <v>3110.3085303356092</v>
      </c>
      <c r="R14" s="313">
        <f>'Cruise Projections'!AH87</f>
        <v>3110.3085303356092</v>
      </c>
      <c r="S14" s="313">
        <f>'Cruise Projections'!AI87</f>
        <v>3110.3085303356092</v>
      </c>
      <c r="T14" s="313">
        <f>'Cruise Projections'!AJ87</f>
        <v>3110.3085303356092</v>
      </c>
      <c r="U14" s="313">
        <f>'Cruise Projections'!AK87</f>
        <v>3110.3085303356092</v>
      </c>
      <c r="V14" s="313">
        <f>'Cruise Projections'!AL87</f>
        <v>3110.3085303356092</v>
      </c>
      <c r="W14" s="313">
        <f>'Cruise Projections'!AM87</f>
        <v>3110.3085303356092</v>
      </c>
      <c r="X14" s="313">
        <f>'Cruise Projections'!AN87</f>
        <v>3110.3085303356092</v>
      </c>
      <c r="Y14" s="312"/>
    </row>
    <row r="15" spans="1:25" s="96" customFormat="1">
      <c r="A15" s="54" t="s">
        <v>313</v>
      </c>
      <c r="B15" s="487"/>
      <c r="C15" s="487"/>
      <c r="D15" s="486">
        <f>'Cruise Projections'!T70</f>
        <v>0</v>
      </c>
      <c r="E15" s="313">
        <v>0</v>
      </c>
      <c r="F15" s="313">
        <f>'Shuttle Projections'!D24</f>
        <v>4120</v>
      </c>
      <c r="G15" s="313">
        <f>'Shuttle Projections'!E24</f>
        <v>4120</v>
      </c>
      <c r="H15" s="313">
        <f>'Shuttle Projections'!F24</f>
        <v>4120</v>
      </c>
      <c r="I15" s="313">
        <f>'Shuttle Projections'!G24</f>
        <v>4120</v>
      </c>
      <c r="J15" s="313">
        <f>'Shuttle Projections'!H24</f>
        <v>4120</v>
      </c>
      <c r="K15" s="313">
        <f>'Shuttle Projections'!I24</f>
        <v>4120</v>
      </c>
      <c r="L15" s="313">
        <f>'Shuttle Projections'!J24</f>
        <v>4120</v>
      </c>
      <c r="M15" s="313">
        <f>'Shuttle Projections'!K24</f>
        <v>4120</v>
      </c>
      <c r="N15" s="313">
        <f>'Shuttle Projections'!L24</f>
        <v>4120</v>
      </c>
      <c r="O15" s="313">
        <f>'Shuttle Projections'!M24</f>
        <v>4120</v>
      </c>
      <c r="P15" s="313">
        <f>'Shuttle Projections'!N24</f>
        <v>4120</v>
      </c>
      <c r="Q15" s="313">
        <f>'Shuttle Projections'!O24</f>
        <v>4120</v>
      </c>
      <c r="R15" s="313">
        <f>'Shuttle Projections'!P24</f>
        <v>4120</v>
      </c>
      <c r="S15" s="313">
        <f>'Shuttle Projections'!Q24</f>
        <v>4120</v>
      </c>
      <c r="T15" s="313">
        <f>'Shuttle Projections'!R24</f>
        <v>4120</v>
      </c>
      <c r="U15" s="313">
        <f>'Shuttle Projections'!S24</f>
        <v>4120</v>
      </c>
      <c r="V15" s="313">
        <f>'Shuttle Projections'!T24</f>
        <v>4120</v>
      </c>
      <c r="W15" s="313">
        <f>'Shuttle Projections'!U24</f>
        <v>4120</v>
      </c>
      <c r="X15" s="313">
        <f>'Shuttle Projections'!V24</f>
        <v>4120</v>
      </c>
      <c r="Y15" s="313"/>
    </row>
    <row r="16" spans="1:25">
      <c r="A16" s="54"/>
      <c r="B16" s="21"/>
      <c r="C16" s="21"/>
      <c r="D16" s="486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</row>
    <row r="17" spans="1:25" s="547" customFormat="1" ht="14.25">
      <c r="A17" s="549" t="s">
        <v>163</v>
      </c>
      <c r="B17" s="550"/>
      <c r="C17" s="550"/>
      <c r="D17" s="610"/>
      <c r="E17" s="551"/>
      <c r="F17" s="551"/>
      <c r="G17" s="551"/>
      <c r="H17" s="551"/>
      <c r="I17" s="551"/>
      <c r="J17" s="551"/>
      <c r="K17" s="551"/>
      <c r="L17" s="551"/>
      <c r="M17" s="551"/>
      <c r="N17" s="551"/>
      <c r="O17" s="551"/>
      <c r="P17" s="551"/>
      <c r="Q17" s="551"/>
      <c r="R17" s="551"/>
      <c r="S17" s="551"/>
      <c r="T17" s="551"/>
      <c r="U17" s="551"/>
      <c r="V17" s="551"/>
      <c r="W17" s="551"/>
      <c r="X17" s="551"/>
    </row>
    <row r="18" spans="1:25" s="341" customFormat="1">
      <c r="A18" s="552" t="str">
        <f>'International Ferry Projections'!A11</f>
        <v>Passengers</v>
      </c>
      <c r="B18" s="553"/>
      <c r="C18" s="553"/>
      <c r="D18" s="554">
        <f>'International Ferry Projections'!B11</f>
        <v>0</v>
      </c>
      <c r="E18" s="555">
        <f>'International Ferry Projections'!C11</f>
        <v>60000</v>
      </c>
      <c r="F18" s="555">
        <f>'International Ferry Projections'!D11</f>
        <v>70000</v>
      </c>
      <c r="G18" s="555">
        <f>'International Ferry Projections'!E11</f>
        <v>80000</v>
      </c>
      <c r="H18" s="555">
        <f>'International Ferry Projections'!F11</f>
        <v>80000</v>
      </c>
      <c r="I18" s="555">
        <f>'International Ferry Projections'!G11</f>
        <v>80000</v>
      </c>
      <c r="J18" s="555">
        <f>'International Ferry Projections'!H11</f>
        <v>80000</v>
      </c>
      <c r="K18" s="555">
        <f>'International Ferry Projections'!I11</f>
        <v>80000</v>
      </c>
      <c r="L18" s="555">
        <f>'International Ferry Projections'!J11</f>
        <v>80000</v>
      </c>
      <c r="M18" s="555">
        <f>'International Ferry Projections'!K11</f>
        <v>80000</v>
      </c>
      <c r="N18" s="555">
        <f>'International Ferry Projections'!L11</f>
        <v>80000</v>
      </c>
      <c r="O18" s="555">
        <f>'International Ferry Projections'!M11</f>
        <v>80000</v>
      </c>
      <c r="P18" s="555">
        <f>'International Ferry Projections'!N11</f>
        <v>80000</v>
      </c>
      <c r="Q18" s="555">
        <f>'International Ferry Projections'!O11</f>
        <v>80000</v>
      </c>
      <c r="R18" s="555">
        <f>'International Ferry Projections'!P11</f>
        <v>80000</v>
      </c>
      <c r="S18" s="555">
        <f>'International Ferry Projections'!Q11</f>
        <v>80000</v>
      </c>
      <c r="T18" s="555">
        <f>'International Ferry Projections'!R11</f>
        <v>80000</v>
      </c>
      <c r="U18" s="555">
        <f>'International Ferry Projections'!S11</f>
        <v>80000</v>
      </c>
      <c r="V18" s="555">
        <f>'International Ferry Projections'!T11</f>
        <v>80000</v>
      </c>
      <c r="W18" s="555">
        <f>'International Ferry Projections'!U11</f>
        <v>80000</v>
      </c>
      <c r="X18" s="555">
        <f>'International Ferry Projections'!V11</f>
        <v>80000</v>
      </c>
    </row>
    <row r="19" spans="1:25" s="341" customFormat="1">
      <c r="A19" s="552" t="str">
        <f>'International Ferry Projections'!A12</f>
        <v>Cars</v>
      </c>
      <c r="B19" s="553"/>
      <c r="C19" s="553"/>
      <c r="D19" s="554">
        <f>'International Ferry Projections'!B12</f>
        <v>0</v>
      </c>
      <c r="E19" s="555">
        <f>'International Ferry Projections'!C12</f>
        <v>24000</v>
      </c>
      <c r="F19" s="555">
        <f>'International Ferry Projections'!D12</f>
        <v>28000</v>
      </c>
      <c r="G19" s="555">
        <f>'International Ferry Projections'!E12</f>
        <v>32000</v>
      </c>
      <c r="H19" s="555">
        <f>'International Ferry Projections'!F12</f>
        <v>32000</v>
      </c>
      <c r="I19" s="555">
        <f>'International Ferry Projections'!G12</f>
        <v>32000</v>
      </c>
      <c r="J19" s="555">
        <f>'International Ferry Projections'!H12</f>
        <v>32000</v>
      </c>
      <c r="K19" s="555">
        <f>'International Ferry Projections'!I12</f>
        <v>32000</v>
      </c>
      <c r="L19" s="555">
        <f>'International Ferry Projections'!J12</f>
        <v>32000</v>
      </c>
      <c r="M19" s="555">
        <f>'International Ferry Projections'!K12</f>
        <v>32000</v>
      </c>
      <c r="N19" s="555">
        <f>'International Ferry Projections'!L12</f>
        <v>32000</v>
      </c>
      <c r="O19" s="555">
        <f>'International Ferry Projections'!M12</f>
        <v>32000</v>
      </c>
      <c r="P19" s="555">
        <f>'International Ferry Projections'!N12</f>
        <v>32000</v>
      </c>
      <c r="Q19" s="555">
        <f>'International Ferry Projections'!O12</f>
        <v>32000</v>
      </c>
      <c r="R19" s="555">
        <f>'International Ferry Projections'!P12</f>
        <v>32000</v>
      </c>
      <c r="S19" s="555">
        <f>'International Ferry Projections'!Q12</f>
        <v>32000</v>
      </c>
      <c r="T19" s="555">
        <f>'International Ferry Projections'!R12</f>
        <v>32000</v>
      </c>
      <c r="U19" s="555">
        <f>'International Ferry Projections'!S12</f>
        <v>32000</v>
      </c>
      <c r="V19" s="555">
        <f>'International Ferry Projections'!T12</f>
        <v>32000</v>
      </c>
      <c r="W19" s="555">
        <f>'International Ferry Projections'!U12</f>
        <v>32000</v>
      </c>
      <c r="X19" s="555">
        <f>'International Ferry Projections'!V12</f>
        <v>32000</v>
      </c>
    </row>
    <row r="20" spans="1:25" s="341" customFormat="1">
      <c r="A20" s="552" t="str">
        <f>'International Ferry Projections'!A13</f>
        <v>Buses</v>
      </c>
      <c r="B20" s="553"/>
      <c r="C20" s="553"/>
      <c r="D20" s="554">
        <f>'International Ferry Projections'!B13</f>
        <v>0</v>
      </c>
      <c r="E20" s="555">
        <f>'International Ferry Projections'!C13</f>
        <v>40</v>
      </c>
      <c r="F20" s="555">
        <f>'International Ferry Projections'!D13</f>
        <v>50</v>
      </c>
      <c r="G20" s="555">
        <f>'International Ferry Projections'!E13</f>
        <v>60</v>
      </c>
      <c r="H20" s="555">
        <f>'International Ferry Projections'!F13</f>
        <v>60</v>
      </c>
      <c r="I20" s="555">
        <f>'International Ferry Projections'!G13</f>
        <v>60</v>
      </c>
      <c r="J20" s="555">
        <f>'International Ferry Projections'!H13</f>
        <v>60</v>
      </c>
      <c r="K20" s="555">
        <f>'International Ferry Projections'!I13</f>
        <v>60</v>
      </c>
      <c r="L20" s="555">
        <f>'International Ferry Projections'!J13</f>
        <v>60</v>
      </c>
      <c r="M20" s="555">
        <f>'International Ferry Projections'!K13</f>
        <v>60</v>
      </c>
      <c r="N20" s="555">
        <f>'International Ferry Projections'!L13</f>
        <v>60</v>
      </c>
      <c r="O20" s="555">
        <f>'International Ferry Projections'!M13</f>
        <v>60</v>
      </c>
      <c r="P20" s="555">
        <f>'International Ferry Projections'!N13</f>
        <v>60</v>
      </c>
      <c r="Q20" s="555">
        <f>'International Ferry Projections'!O13</f>
        <v>60</v>
      </c>
      <c r="R20" s="555">
        <f>'International Ferry Projections'!P13</f>
        <v>60</v>
      </c>
      <c r="S20" s="555">
        <f>'International Ferry Projections'!Q13</f>
        <v>60</v>
      </c>
      <c r="T20" s="555">
        <f>'International Ferry Projections'!R13</f>
        <v>60</v>
      </c>
      <c r="U20" s="555">
        <f>'International Ferry Projections'!S13</f>
        <v>60</v>
      </c>
      <c r="V20" s="555">
        <f>'International Ferry Projections'!T13</f>
        <v>60</v>
      </c>
      <c r="W20" s="555">
        <f>'International Ferry Projections'!U13</f>
        <v>60</v>
      </c>
      <c r="X20" s="555">
        <f>'International Ferry Projections'!V13</f>
        <v>60</v>
      </c>
    </row>
    <row r="21" spans="1:25">
      <c r="A21" s="54"/>
      <c r="B21" s="21"/>
      <c r="C21" s="21"/>
      <c r="D21" s="486"/>
      <c r="E21" s="313"/>
      <c r="F21" s="313"/>
      <c r="G21" s="313"/>
      <c r="H21" s="313"/>
      <c r="I21" s="313"/>
      <c r="J21" s="313"/>
      <c r="K21" s="313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</row>
    <row r="22" spans="1:25" s="582" customFormat="1">
      <c r="A22" s="293" t="str">
        <f>'BH Tariffs'!A30</f>
        <v>Local Ferry</v>
      </c>
      <c r="B22" s="581"/>
      <c r="C22" s="581"/>
      <c r="D22" s="486">
        <v>0</v>
      </c>
      <c r="E22" s="329"/>
      <c r="F22" s="329"/>
      <c r="G22" s="329"/>
      <c r="H22" s="329"/>
      <c r="I22" s="329"/>
      <c r="J22" s="329"/>
      <c r="K22" s="329"/>
      <c r="L22" s="329"/>
      <c r="M22" s="329"/>
      <c r="N22" s="329"/>
      <c r="O22" s="329"/>
      <c r="P22" s="329"/>
      <c r="Q22" s="329"/>
      <c r="R22" s="329"/>
      <c r="S22" s="329"/>
      <c r="T22" s="329"/>
      <c r="U22" s="329"/>
      <c r="V22" s="329"/>
      <c r="W22" s="329"/>
      <c r="X22" s="329"/>
    </row>
    <row r="23" spans="1:25" s="96" customFormat="1">
      <c r="A23" s="54" t="str">
        <f>'BH Tariffs'!A31</f>
        <v>Dock Rent (6 Months Only)</v>
      </c>
      <c r="B23" s="487"/>
      <c r="C23" s="487"/>
      <c r="D23" s="486">
        <v>0</v>
      </c>
      <c r="E23" s="623" t="s">
        <v>286</v>
      </c>
      <c r="F23" s="623" t="s">
        <v>286</v>
      </c>
      <c r="G23" s="623" t="s">
        <v>286</v>
      </c>
      <c r="H23" s="623" t="s">
        <v>286</v>
      </c>
      <c r="I23" s="623" t="s">
        <v>286</v>
      </c>
      <c r="J23" s="623" t="s">
        <v>286</v>
      </c>
      <c r="K23" s="623" t="s">
        <v>286</v>
      </c>
      <c r="L23" s="623" t="s">
        <v>286</v>
      </c>
      <c r="M23" s="623" t="s">
        <v>286</v>
      </c>
      <c r="N23" s="623" t="s">
        <v>286</v>
      </c>
      <c r="O23" s="623" t="s">
        <v>286</v>
      </c>
      <c r="P23" s="623" t="s">
        <v>286</v>
      </c>
      <c r="Q23" s="623" t="s">
        <v>286</v>
      </c>
      <c r="R23" s="623" t="s">
        <v>286</v>
      </c>
      <c r="S23" s="623" t="s">
        <v>286</v>
      </c>
      <c r="T23" s="623" t="s">
        <v>286</v>
      </c>
      <c r="U23" s="623" t="s">
        <v>286</v>
      </c>
      <c r="V23" s="623" t="s">
        <v>286</v>
      </c>
      <c r="W23" s="623" t="s">
        <v>286</v>
      </c>
      <c r="X23" s="623" t="s">
        <v>286</v>
      </c>
    </row>
    <row r="24" spans="1:25" s="341" customFormat="1">
      <c r="A24" s="552"/>
      <c r="B24" s="553"/>
      <c r="C24" s="553"/>
      <c r="D24" s="554"/>
      <c r="E24" s="555"/>
      <c r="F24" s="555"/>
      <c r="G24" s="555"/>
      <c r="H24" s="555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</row>
    <row r="25" spans="1:25" s="96" customFormat="1">
      <c r="A25" s="559" t="s">
        <v>227</v>
      </c>
      <c r="B25" s="487"/>
      <c r="C25" s="487"/>
      <c r="D25" s="486"/>
      <c r="E25" s="313"/>
      <c r="F25" s="313"/>
      <c r="G25" s="313"/>
      <c r="H25" s="313"/>
      <c r="I25" s="313"/>
      <c r="J25" s="313"/>
      <c r="K25" s="313"/>
      <c r="L25" s="313"/>
      <c r="M25" s="313"/>
      <c r="N25" s="313"/>
      <c r="O25" s="313"/>
      <c r="P25" s="313"/>
      <c r="Q25" s="313"/>
      <c r="R25" s="313"/>
      <c r="S25" s="313"/>
      <c r="T25" s="313"/>
      <c r="U25" s="313"/>
      <c r="V25" s="313"/>
      <c r="W25" s="313"/>
      <c r="X25" s="313"/>
    </row>
    <row r="26" spans="1:25">
      <c r="A26" s="54"/>
      <c r="B26" s="21"/>
      <c r="C26" s="21"/>
      <c r="D26" s="486"/>
      <c r="E26" s="313"/>
      <c r="F26" s="313"/>
      <c r="G26" s="313"/>
      <c r="H26" s="313"/>
      <c r="I26" s="313"/>
      <c r="J26" s="313"/>
      <c r="K26" s="313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</row>
    <row r="27" spans="1:25">
      <c r="A27" s="54" t="s">
        <v>420</v>
      </c>
      <c r="B27" s="21"/>
      <c r="C27" s="21"/>
      <c r="D27" s="486">
        <v>0</v>
      </c>
      <c r="E27" s="313">
        <f>'Marina Projections'!C9</f>
        <v>0</v>
      </c>
      <c r="F27" s="313">
        <f>'Marina Projections'!D9</f>
        <v>214</v>
      </c>
      <c r="G27" s="313">
        <f>'Marina Projections'!E9</f>
        <v>214</v>
      </c>
      <c r="H27" s="313">
        <f>'Marina Projections'!F9</f>
        <v>214</v>
      </c>
      <c r="I27" s="313">
        <f>'Marina Projections'!G9</f>
        <v>214</v>
      </c>
      <c r="J27" s="313">
        <f>'Marina Projections'!H9</f>
        <v>214</v>
      </c>
      <c r="K27" s="313">
        <f>'Marina Projections'!I9</f>
        <v>214</v>
      </c>
      <c r="L27" s="313">
        <f>'Marina Projections'!J9</f>
        <v>214</v>
      </c>
      <c r="M27" s="313">
        <f>'Marina Projections'!K9</f>
        <v>214</v>
      </c>
      <c r="N27" s="313">
        <f>'Marina Projections'!L9</f>
        <v>214</v>
      </c>
      <c r="O27" s="313">
        <f>'Marina Projections'!M9</f>
        <v>214</v>
      </c>
      <c r="P27" s="313">
        <f>'Marina Projections'!N9</f>
        <v>214</v>
      </c>
      <c r="Q27" s="313">
        <f>'Marina Projections'!O9</f>
        <v>214</v>
      </c>
      <c r="R27" s="313">
        <f>'Marina Projections'!P9</f>
        <v>214</v>
      </c>
      <c r="S27" s="313">
        <f>'Marina Projections'!Q9</f>
        <v>214</v>
      </c>
      <c r="T27" s="313">
        <f>'Marina Projections'!R9</f>
        <v>214</v>
      </c>
      <c r="U27" s="313">
        <f>'Marina Projections'!S9</f>
        <v>214</v>
      </c>
      <c r="V27" s="313">
        <f>'Marina Projections'!T9</f>
        <v>214</v>
      </c>
      <c r="W27" s="313">
        <f>'Marina Projections'!U9</f>
        <v>214</v>
      </c>
      <c r="X27" s="313">
        <f>'Marina Projections'!V9</f>
        <v>214</v>
      </c>
    </row>
    <row r="28" spans="1:25">
      <c r="A28" s="54" t="s">
        <v>205</v>
      </c>
      <c r="B28" s="21"/>
      <c r="C28" s="21"/>
      <c r="D28" s="486">
        <v>0</v>
      </c>
      <c r="E28" s="330">
        <v>0</v>
      </c>
      <c r="F28" s="330">
        <f>'Cruise Projections'!V86</f>
        <v>28.666666666666664</v>
      </c>
      <c r="G28" s="330">
        <f>'Cruise Projections'!W86</f>
        <v>28.666666666666664</v>
      </c>
      <c r="H28" s="330">
        <f>'Cruise Projections'!X86</f>
        <v>28.666666666666664</v>
      </c>
      <c r="I28" s="330">
        <f>'Cruise Projections'!Y86</f>
        <v>28.666666666666664</v>
      </c>
      <c r="J28" s="330">
        <f>'Cruise Projections'!Z86</f>
        <v>28.666666666666664</v>
      </c>
      <c r="K28" s="330">
        <f>'Cruise Projections'!AA86</f>
        <v>28.666666666666664</v>
      </c>
      <c r="L28" s="330">
        <f>'Cruise Projections'!AB86</f>
        <v>28.666666666666664</v>
      </c>
      <c r="M28" s="330">
        <f>'Cruise Projections'!AC86</f>
        <v>28.666666666666664</v>
      </c>
      <c r="N28" s="330">
        <f>'Cruise Projections'!AD86</f>
        <v>28.666666666666664</v>
      </c>
      <c r="O28" s="330">
        <f>'Cruise Projections'!AE86</f>
        <v>28.666666666666664</v>
      </c>
      <c r="P28" s="330">
        <f>'Cruise Projections'!AF86</f>
        <v>28.666666666666664</v>
      </c>
      <c r="Q28" s="330">
        <f>'Cruise Projections'!AG86</f>
        <v>28.666666666666664</v>
      </c>
      <c r="R28" s="330">
        <f>'Cruise Projections'!AH86</f>
        <v>28.666666666666664</v>
      </c>
      <c r="S28" s="330">
        <f>'Cruise Projections'!AI86</f>
        <v>28.666666666666664</v>
      </c>
      <c r="T28" s="330">
        <f>'Cruise Projections'!AJ86</f>
        <v>28.666666666666664</v>
      </c>
      <c r="U28" s="330">
        <f>'Cruise Projections'!AK86</f>
        <v>28.666666666666664</v>
      </c>
      <c r="V28" s="330">
        <f>'Cruise Projections'!AL86</f>
        <v>28.666666666666664</v>
      </c>
      <c r="W28" s="330">
        <f>'Cruise Projections'!AM86</f>
        <v>28.666666666666664</v>
      </c>
      <c r="X28" s="330">
        <f>'Cruise Projections'!AN86</f>
        <v>28.666666666666664</v>
      </c>
      <c r="Y28" s="32"/>
    </row>
    <row r="29" spans="1:25" s="341" customFormat="1">
      <c r="A29" s="552" t="s">
        <v>219</v>
      </c>
      <c r="B29" s="553"/>
      <c r="C29" s="553"/>
      <c r="D29" s="554">
        <v>0</v>
      </c>
      <c r="E29" s="560">
        <v>150</v>
      </c>
      <c r="F29" s="560">
        <f>E29</f>
        <v>150</v>
      </c>
      <c r="G29" s="560">
        <f t="shared" ref="G29:X29" si="0">F29</f>
        <v>150</v>
      </c>
      <c r="H29" s="560">
        <f t="shared" si="0"/>
        <v>150</v>
      </c>
      <c r="I29" s="560">
        <f t="shared" si="0"/>
        <v>150</v>
      </c>
      <c r="J29" s="560">
        <f t="shared" si="0"/>
        <v>150</v>
      </c>
      <c r="K29" s="560">
        <f t="shared" si="0"/>
        <v>150</v>
      </c>
      <c r="L29" s="560">
        <f t="shared" si="0"/>
        <v>150</v>
      </c>
      <c r="M29" s="560">
        <f t="shared" si="0"/>
        <v>150</v>
      </c>
      <c r="N29" s="560">
        <f t="shared" si="0"/>
        <v>150</v>
      </c>
      <c r="O29" s="560">
        <f t="shared" si="0"/>
        <v>150</v>
      </c>
      <c r="P29" s="560">
        <f t="shared" si="0"/>
        <v>150</v>
      </c>
      <c r="Q29" s="560">
        <f t="shared" si="0"/>
        <v>150</v>
      </c>
      <c r="R29" s="560">
        <f t="shared" si="0"/>
        <v>150</v>
      </c>
      <c r="S29" s="560">
        <f t="shared" si="0"/>
        <v>150</v>
      </c>
      <c r="T29" s="560">
        <f t="shared" si="0"/>
        <v>150</v>
      </c>
      <c r="U29" s="560">
        <f t="shared" si="0"/>
        <v>150</v>
      </c>
      <c r="V29" s="560">
        <f t="shared" si="0"/>
        <v>150</v>
      </c>
      <c r="W29" s="560">
        <f t="shared" si="0"/>
        <v>150</v>
      </c>
      <c r="X29" s="560">
        <f t="shared" si="0"/>
        <v>150</v>
      </c>
      <c r="Y29" s="561"/>
    </row>
    <row r="30" spans="1:25" s="341" customFormat="1">
      <c r="A30" s="552" t="s">
        <v>220</v>
      </c>
      <c r="B30" s="553"/>
      <c r="C30" s="553"/>
      <c r="D30" s="554">
        <v>0</v>
      </c>
      <c r="E30" s="611">
        <f>E28/E29</f>
        <v>0</v>
      </c>
      <c r="F30" s="611">
        <f t="shared" ref="F30:X30" si="1">F28/F29</f>
        <v>0.19111111111111109</v>
      </c>
      <c r="G30" s="611">
        <f t="shared" si="1"/>
        <v>0.19111111111111109</v>
      </c>
      <c r="H30" s="611">
        <f t="shared" si="1"/>
        <v>0.19111111111111109</v>
      </c>
      <c r="I30" s="611">
        <f t="shared" si="1"/>
        <v>0.19111111111111109</v>
      </c>
      <c r="J30" s="611">
        <f t="shared" si="1"/>
        <v>0.19111111111111109</v>
      </c>
      <c r="K30" s="611">
        <f t="shared" si="1"/>
        <v>0.19111111111111109</v>
      </c>
      <c r="L30" s="611">
        <f t="shared" si="1"/>
        <v>0.19111111111111109</v>
      </c>
      <c r="M30" s="611">
        <f t="shared" si="1"/>
        <v>0.19111111111111109</v>
      </c>
      <c r="N30" s="611">
        <f t="shared" si="1"/>
        <v>0.19111111111111109</v>
      </c>
      <c r="O30" s="611">
        <f t="shared" si="1"/>
        <v>0.19111111111111109</v>
      </c>
      <c r="P30" s="611">
        <f t="shared" si="1"/>
        <v>0.19111111111111109</v>
      </c>
      <c r="Q30" s="611">
        <f t="shared" si="1"/>
        <v>0.19111111111111109</v>
      </c>
      <c r="R30" s="611">
        <f t="shared" si="1"/>
        <v>0.19111111111111109</v>
      </c>
      <c r="S30" s="611">
        <f t="shared" si="1"/>
        <v>0.19111111111111109</v>
      </c>
      <c r="T30" s="611">
        <f t="shared" si="1"/>
        <v>0.19111111111111109</v>
      </c>
      <c r="U30" s="611">
        <f t="shared" si="1"/>
        <v>0.19111111111111109</v>
      </c>
      <c r="V30" s="611">
        <f t="shared" si="1"/>
        <v>0.19111111111111109</v>
      </c>
      <c r="W30" s="611">
        <f t="shared" si="1"/>
        <v>0.19111111111111109</v>
      </c>
      <c r="X30" s="611">
        <f t="shared" si="1"/>
        <v>0.19111111111111109</v>
      </c>
      <c r="Y30" s="561"/>
    </row>
    <row r="31" spans="1:25" s="96" customFormat="1">
      <c r="A31" s="54" t="s">
        <v>226</v>
      </c>
      <c r="B31" s="487"/>
      <c r="C31" s="487"/>
      <c r="D31" s="486">
        <v>0</v>
      </c>
      <c r="E31" s="330">
        <v>0</v>
      </c>
      <c r="F31" s="330">
        <v>125</v>
      </c>
      <c r="G31" s="330">
        <v>125</v>
      </c>
      <c r="H31" s="330">
        <v>125</v>
      </c>
      <c r="I31" s="330">
        <v>125</v>
      </c>
      <c r="J31" s="330">
        <v>125</v>
      </c>
      <c r="K31" s="330">
        <v>125</v>
      </c>
      <c r="L31" s="330">
        <v>125</v>
      </c>
      <c r="M31" s="330">
        <v>125</v>
      </c>
      <c r="N31" s="330">
        <v>125</v>
      </c>
      <c r="O31" s="330">
        <v>125</v>
      </c>
      <c r="P31" s="330">
        <v>125</v>
      </c>
      <c r="Q31" s="330">
        <v>125</v>
      </c>
      <c r="R31" s="330">
        <v>125</v>
      </c>
      <c r="S31" s="330">
        <v>125</v>
      </c>
      <c r="T31" s="330">
        <v>125</v>
      </c>
      <c r="U31" s="330">
        <v>125</v>
      </c>
      <c r="V31" s="330">
        <v>125</v>
      </c>
      <c r="W31" s="330">
        <v>125</v>
      </c>
      <c r="X31" s="330">
        <v>125</v>
      </c>
      <c r="Y31" s="58"/>
    </row>
    <row r="32" spans="1:25">
      <c r="A32" s="54"/>
      <c r="B32" s="21"/>
      <c r="C32" s="21"/>
      <c r="D32" s="486"/>
      <c r="E32" s="495"/>
      <c r="F32" s="495"/>
      <c r="G32" s="495"/>
      <c r="H32" s="495"/>
      <c r="I32" s="495"/>
      <c r="J32" s="495"/>
      <c r="K32" s="495"/>
      <c r="L32" s="495"/>
      <c r="M32" s="495"/>
      <c r="N32" s="495"/>
      <c r="O32" s="495"/>
      <c r="P32" s="495"/>
      <c r="Q32" s="495"/>
      <c r="R32" s="495"/>
      <c r="S32" s="495"/>
      <c r="T32" s="495"/>
      <c r="U32" s="495"/>
      <c r="V32" s="495"/>
      <c r="W32" s="495"/>
      <c r="X32" s="495"/>
      <c r="Y32" s="32"/>
    </row>
    <row r="33" spans="1:24">
      <c r="A33" s="54" t="s">
        <v>206</v>
      </c>
      <c r="B33" s="21"/>
      <c r="C33" s="21"/>
      <c r="D33" s="486">
        <v>0</v>
      </c>
      <c r="E33" s="313">
        <v>0</v>
      </c>
      <c r="F33" s="313">
        <f t="shared" ref="F33:X33" si="2">F12/F28</f>
        <v>3110.3085303356092</v>
      </c>
      <c r="G33" s="313">
        <f t="shared" si="2"/>
        <v>3110.3085303356092</v>
      </c>
      <c r="H33" s="313">
        <f t="shared" si="2"/>
        <v>3110.3085303356092</v>
      </c>
      <c r="I33" s="313">
        <f t="shared" si="2"/>
        <v>3110.3085303356092</v>
      </c>
      <c r="J33" s="313">
        <f t="shared" si="2"/>
        <v>3110.3085303356092</v>
      </c>
      <c r="K33" s="313">
        <f t="shared" si="2"/>
        <v>3110.3085303356092</v>
      </c>
      <c r="L33" s="313">
        <f t="shared" si="2"/>
        <v>3110.3085303356092</v>
      </c>
      <c r="M33" s="313">
        <f t="shared" si="2"/>
        <v>3110.3085303356092</v>
      </c>
      <c r="N33" s="313">
        <f t="shared" si="2"/>
        <v>3110.3085303356092</v>
      </c>
      <c r="O33" s="313">
        <f t="shared" si="2"/>
        <v>3110.3085303356092</v>
      </c>
      <c r="P33" s="313">
        <f t="shared" si="2"/>
        <v>3110.3085303356092</v>
      </c>
      <c r="Q33" s="313">
        <f t="shared" si="2"/>
        <v>3110.3085303356092</v>
      </c>
      <c r="R33" s="313">
        <f t="shared" si="2"/>
        <v>3110.3085303356092</v>
      </c>
      <c r="S33" s="313">
        <f t="shared" si="2"/>
        <v>3110.3085303356092</v>
      </c>
      <c r="T33" s="313">
        <f t="shared" si="2"/>
        <v>3110.3085303356092</v>
      </c>
      <c r="U33" s="313">
        <f t="shared" si="2"/>
        <v>3110.3085303356092</v>
      </c>
      <c r="V33" s="313">
        <f t="shared" si="2"/>
        <v>3110.3085303356092</v>
      </c>
      <c r="W33" s="313">
        <f t="shared" si="2"/>
        <v>3110.3085303356092</v>
      </c>
      <c r="X33" s="313">
        <f t="shared" si="2"/>
        <v>3110.3085303356092</v>
      </c>
    </row>
    <row r="34" spans="1:24">
      <c r="A34" s="54" t="s">
        <v>207</v>
      </c>
      <c r="B34" s="21"/>
      <c r="C34" s="21"/>
      <c r="D34" s="486">
        <v>0</v>
      </c>
      <c r="E34" s="313">
        <v>0</v>
      </c>
      <c r="F34" s="313">
        <v>5500</v>
      </c>
      <c r="G34" s="313">
        <v>5500</v>
      </c>
      <c r="H34" s="313">
        <v>5500</v>
      </c>
      <c r="I34" s="313">
        <v>5500</v>
      </c>
      <c r="J34" s="313">
        <v>5500</v>
      </c>
      <c r="K34" s="313">
        <v>5500</v>
      </c>
      <c r="L34" s="313">
        <v>5500</v>
      </c>
      <c r="M34" s="313">
        <v>5500</v>
      </c>
      <c r="N34" s="313">
        <v>5500</v>
      </c>
      <c r="O34" s="313">
        <v>5500</v>
      </c>
      <c r="P34" s="313">
        <v>5500</v>
      </c>
      <c r="Q34" s="313">
        <v>5500</v>
      </c>
      <c r="R34" s="313">
        <v>5500</v>
      </c>
      <c r="S34" s="313">
        <v>5500</v>
      </c>
      <c r="T34" s="313">
        <v>5500</v>
      </c>
      <c r="U34" s="313">
        <v>5500</v>
      </c>
      <c r="V34" s="313">
        <v>5500</v>
      </c>
      <c r="W34" s="313">
        <v>5500</v>
      </c>
      <c r="X34" s="313">
        <v>5500</v>
      </c>
    </row>
    <row r="35" spans="1:24" s="341" customFormat="1">
      <c r="A35" s="552" t="s">
        <v>221</v>
      </c>
      <c r="B35" s="553"/>
      <c r="C35" s="553"/>
      <c r="D35" s="554">
        <v>0</v>
      </c>
      <c r="E35" s="560">
        <f>E18/E29</f>
        <v>400</v>
      </c>
      <c r="F35" s="560">
        <f t="shared" ref="F35:X35" si="3">F18/F29</f>
        <v>466.66666666666669</v>
      </c>
      <c r="G35" s="560">
        <f t="shared" si="3"/>
        <v>533.33333333333337</v>
      </c>
      <c r="H35" s="560">
        <f t="shared" si="3"/>
        <v>533.33333333333337</v>
      </c>
      <c r="I35" s="560">
        <f t="shared" si="3"/>
        <v>533.33333333333337</v>
      </c>
      <c r="J35" s="560">
        <f t="shared" si="3"/>
        <v>533.33333333333337</v>
      </c>
      <c r="K35" s="560">
        <f t="shared" si="3"/>
        <v>533.33333333333337</v>
      </c>
      <c r="L35" s="560">
        <f t="shared" si="3"/>
        <v>533.33333333333337</v>
      </c>
      <c r="M35" s="560">
        <f t="shared" si="3"/>
        <v>533.33333333333337</v>
      </c>
      <c r="N35" s="560">
        <f t="shared" si="3"/>
        <v>533.33333333333337</v>
      </c>
      <c r="O35" s="560">
        <f t="shared" si="3"/>
        <v>533.33333333333337</v>
      </c>
      <c r="P35" s="560">
        <f t="shared" si="3"/>
        <v>533.33333333333337</v>
      </c>
      <c r="Q35" s="560">
        <f t="shared" si="3"/>
        <v>533.33333333333337</v>
      </c>
      <c r="R35" s="560">
        <f t="shared" si="3"/>
        <v>533.33333333333337</v>
      </c>
      <c r="S35" s="560">
        <f t="shared" si="3"/>
        <v>533.33333333333337</v>
      </c>
      <c r="T35" s="560">
        <f t="shared" si="3"/>
        <v>533.33333333333337</v>
      </c>
      <c r="U35" s="560">
        <f t="shared" si="3"/>
        <v>533.33333333333337</v>
      </c>
      <c r="V35" s="560">
        <f t="shared" si="3"/>
        <v>533.33333333333337</v>
      </c>
      <c r="W35" s="560">
        <f t="shared" si="3"/>
        <v>533.33333333333337</v>
      </c>
      <c r="X35" s="560">
        <f t="shared" si="3"/>
        <v>533.33333333333337</v>
      </c>
    </row>
    <row r="36" spans="1:24" s="341" customFormat="1">
      <c r="A36" s="552" t="s">
        <v>222</v>
      </c>
      <c r="B36" s="553"/>
      <c r="C36" s="553"/>
      <c r="D36" s="554">
        <v>0</v>
      </c>
      <c r="E36" s="560">
        <v>800</v>
      </c>
      <c r="F36" s="560">
        <v>800</v>
      </c>
      <c r="G36" s="560">
        <v>800</v>
      </c>
      <c r="H36" s="560">
        <v>800</v>
      </c>
      <c r="I36" s="560">
        <v>800</v>
      </c>
      <c r="J36" s="560">
        <v>800</v>
      </c>
      <c r="K36" s="560">
        <v>800</v>
      </c>
      <c r="L36" s="560">
        <v>800</v>
      </c>
      <c r="M36" s="560">
        <v>800</v>
      </c>
      <c r="N36" s="560">
        <v>800</v>
      </c>
      <c r="O36" s="560">
        <v>800</v>
      </c>
      <c r="P36" s="560">
        <v>800</v>
      </c>
      <c r="Q36" s="560">
        <v>800</v>
      </c>
      <c r="R36" s="560">
        <v>800</v>
      </c>
      <c r="S36" s="560">
        <v>800</v>
      </c>
      <c r="T36" s="560">
        <v>800</v>
      </c>
      <c r="U36" s="560">
        <v>800</v>
      </c>
      <c r="V36" s="560">
        <v>800</v>
      </c>
      <c r="W36" s="560">
        <v>800</v>
      </c>
      <c r="X36" s="560">
        <v>800</v>
      </c>
    </row>
    <row r="37" spans="1:24" s="341" customFormat="1">
      <c r="A37" s="552" t="s">
        <v>208</v>
      </c>
      <c r="B37" s="553"/>
      <c r="C37" s="553"/>
      <c r="D37" s="554">
        <v>0</v>
      </c>
      <c r="E37" s="560">
        <f>SUM(E34,E36)</f>
        <v>800</v>
      </c>
      <c r="F37" s="560">
        <f t="shared" ref="F37:X37" si="4">SUM(F34,F36)</f>
        <v>6300</v>
      </c>
      <c r="G37" s="560">
        <f t="shared" si="4"/>
        <v>6300</v>
      </c>
      <c r="H37" s="560">
        <f t="shared" si="4"/>
        <v>6300</v>
      </c>
      <c r="I37" s="560">
        <f t="shared" si="4"/>
        <v>6300</v>
      </c>
      <c r="J37" s="560">
        <f t="shared" si="4"/>
        <v>6300</v>
      </c>
      <c r="K37" s="560">
        <f t="shared" si="4"/>
        <v>6300</v>
      </c>
      <c r="L37" s="560">
        <f t="shared" si="4"/>
        <v>6300</v>
      </c>
      <c r="M37" s="560">
        <f t="shared" si="4"/>
        <v>6300</v>
      </c>
      <c r="N37" s="560">
        <f t="shared" si="4"/>
        <v>6300</v>
      </c>
      <c r="O37" s="560">
        <f t="shared" si="4"/>
        <v>6300</v>
      </c>
      <c r="P37" s="560">
        <f t="shared" si="4"/>
        <v>6300</v>
      </c>
      <c r="Q37" s="560">
        <f t="shared" si="4"/>
        <v>6300</v>
      </c>
      <c r="R37" s="560">
        <f t="shared" si="4"/>
        <v>6300</v>
      </c>
      <c r="S37" s="560">
        <f t="shared" si="4"/>
        <v>6300</v>
      </c>
      <c r="T37" s="560">
        <f t="shared" si="4"/>
        <v>6300</v>
      </c>
      <c r="U37" s="560">
        <f t="shared" si="4"/>
        <v>6300</v>
      </c>
      <c r="V37" s="560">
        <f t="shared" si="4"/>
        <v>6300</v>
      </c>
      <c r="W37" s="560">
        <f t="shared" si="4"/>
        <v>6300</v>
      </c>
      <c r="X37" s="560">
        <f t="shared" si="4"/>
        <v>6300</v>
      </c>
    </row>
    <row r="38" spans="1:24">
      <c r="A38" s="54"/>
      <c r="B38" s="21"/>
      <c r="C38" s="21"/>
      <c r="D38" s="486"/>
      <c r="E38" s="330"/>
      <c r="F38" s="330"/>
      <c r="G38" s="330"/>
      <c r="H38" s="330"/>
      <c r="I38" s="330"/>
      <c r="J38" s="330"/>
      <c r="K38" s="330"/>
      <c r="L38" s="330"/>
      <c r="M38" s="330"/>
      <c r="N38" s="330"/>
      <c r="O38" s="330"/>
      <c r="P38" s="330"/>
      <c r="Q38" s="330"/>
      <c r="R38" s="330"/>
      <c r="S38" s="330"/>
      <c r="T38" s="330"/>
      <c r="U38" s="330"/>
      <c r="V38" s="330"/>
      <c r="W38" s="330"/>
      <c r="X38" s="330"/>
    </row>
    <row r="39" spans="1:24" s="341" customFormat="1">
      <c r="A39" s="552" t="s">
        <v>223</v>
      </c>
      <c r="B39" s="557"/>
      <c r="C39" s="557"/>
      <c r="D39" s="554">
        <v>0</v>
      </c>
      <c r="E39" s="555">
        <f>(E19+E20)/E29</f>
        <v>160.26666666666668</v>
      </c>
      <c r="F39" s="555">
        <f t="shared" ref="F39:X39" si="5">(F19+F20)/F29</f>
        <v>187</v>
      </c>
      <c r="G39" s="555">
        <f t="shared" si="5"/>
        <v>213.73333333333332</v>
      </c>
      <c r="H39" s="555">
        <f t="shared" si="5"/>
        <v>213.73333333333332</v>
      </c>
      <c r="I39" s="555">
        <f t="shared" si="5"/>
        <v>213.73333333333332</v>
      </c>
      <c r="J39" s="555">
        <f t="shared" si="5"/>
        <v>213.73333333333332</v>
      </c>
      <c r="K39" s="555">
        <f t="shared" si="5"/>
        <v>213.73333333333332</v>
      </c>
      <c r="L39" s="555">
        <f t="shared" si="5"/>
        <v>213.73333333333332</v>
      </c>
      <c r="M39" s="555">
        <f t="shared" si="5"/>
        <v>213.73333333333332</v>
      </c>
      <c r="N39" s="555">
        <f t="shared" si="5"/>
        <v>213.73333333333332</v>
      </c>
      <c r="O39" s="555">
        <f t="shared" si="5"/>
        <v>213.73333333333332</v>
      </c>
      <c r="P39" s="555">
        <f t="shared" si="5"/>
        <v>213.73333333333332</v>
      </c>
      <c r="Q39" s="555">
        <f t="shared" si="5"/>
        <v>213.73333333333332</v>
      </c>
      <c r="R39" s="555">
        <f t="shared" si="5"/>
        <v>213.73333333333332</v>
      </c>
      <c r="S39" s="555">
        <f t="shared" si="5"/>
        <v>213.73333333333332</v>
      </c>
      <c r="T39" s="555">
        <f t="shared" si="5"/>
        <v>213.73333333333332</v>
      </c>
      <c r="U39" s="555">
        <f t="shared" si="5"/>
        <v>213.73333333333332</v>
      </c>
      <c r="V39" s="555">
        <f t="shared" si="5"/>
        <v>213.73333333333332</v>
      </c>
      <c r="W39" s="555">
        <f t="shared" si="5"/>
        <v>213.73333333333332</v>
      </c>
      <c r="X39" s="555">
        <f t="shared" si="5"/>
        <v>213.73333333333332</v>
      </c>
    </row>
    <row r="40" spans="1:24">
      <c r="A40" s="54"/>
      <c r="B40" s="74"/>
      <c r="C40" s="74"/>
      <c r="D40" s="492"/>
      <c r="E40" s="308"/>
      <c r="F40" s="308"/>
      <c r="G40" s="308"/>
      <c r="H40" s="308"/>
      <c r="I40" s="308"/>
      <c r="J40" s="308"/>
      <c r="K40" s="308"/>
      <c r="L40" s="308"/>
      <c r="M40" s="308"/>
      <c r="N40" s="308"/>
      <c r="O40" s="308"/>
      <c r="P40" s="308"/>
      <c r="Q40" s="308"/>
      <c r="R40" s="308"/>
      <c r="S40" s="308"/>
      <c r="T40" s="308"/>
      <c r="U40" s="308"/>
      <c r="V40" s="308"/>
      <c r="W40" s="308"/>
      <c r="X40" s="308"/>
    </row>
    <row r="41" spans="1:24">
      <c r="A41" s="293" t="s">
        <v>26</v>
      </c>
      <c r="B41" s="74"/>
      <c r="C41" s="74"/>
      <c r="D41" s="492"/>
      <c r="E41" s="308"/>
      <c r="F41" s="308"/>
      <c r="G41" s="308"/>
      <c r="H41" s="308"/>
      <c r="I41" s="308"/>
      <c r="J41" s="308"/>
      <c r="K41" s="308"/>
      <c r="L41" s="308"/>
      <c r="M41" s="308"/>
      <c r="N41" s="308"/>
      <c r="O41" s="308"/>
      <c r="P41" s="308"/>
      <c r="Q41" s="308"/>
      <c r="R41" s="308"/>
      <c r="S41" s="308"/>
      <c r="T41" s="308"/>
      <c r="U41" s="308"/>
      <c r="V41" s="308"/>
      <c r="W41" s="308"/>
      <c r="X41" s="308"/>
    </row>
    <row r="42" spans="1:24">
      <c r="A42" s="54" t="s">
        <v>264</v>
      </c>
      <c r="B42" s="277"/>
      <c r="C42" s="74"/>
      <c r="D42" s="486">
        <v>0</v>
      </c>
      <c r="E42" s="313">
        <f>'Parking Projections'!C42/2</f>
        <v>1201.4583333333335</v>
      </c>
      <c r="F42" s="313">
        <f>'Parking Projections'!D42</f>
        <v>2402.916666666667</v>
      </c>
      <c r="G42" s="313">
        <f>'Parking Projections'!E42</f>
        <v>2402.916666666667</v>
      </c>
      <c r="H42" s="313">
        <f>'Parking Projections'!F42</f>
        <v>2402.916666666667</v>
      </c>
      <c r="I42" s="313">
        <f>'Parking Projections'!G42</f>
        <v>2402.916666666667</v>
      </c>
      <c r="J42" s="313">
        <f>'Parking Projections'!H42</f>
        <v>2402.916666666667</v>
      </c>
      <c r="K42" s="313">
        <f>'Parking Projections'!I42</f>
        <v>2402.916666666667</v>
      </c>
      <c r="L42" s="313">
        <f>'Parking Projections'!J42</f>
        <v>2402.916666666667</v>
      </c>
      <c r="M42" s="313">
        <f>'Parking Projections'!K42</f>
        <v>2402.916666666667</v>
      </c>
      <c r="N42" s="313">
        <f>'Parking Projections'!L42</f>
        <v>2402.916666666667</v>
      </c>
      <c r="O42" s="313">
        <f>'Parking Projections'!M42</f>
        <v>2402.916666666667</v>
      </c>
      <c r="P42" s="313">
        <f>'Parking Projections'!N42</f>
        <v>2402.916666666667</v>
      </c>
      <c r="Q42" s="313">
        <f>'Parking Projections'!O42</f>
        <v>2402.916666666667</v>
      </c>
      <c r="R42" s="313">
        <f>'Parking Projections'!P42</f>
        <v>2402.916666666667</v>
      </c>
      <c r="S42" s="313">
        <f>'Parking Projections'!Q42</f>
        <v>2402.916666666667</v>
      </c>
      <c r="T42" s="313">
        <f>'Parking Projections'!R42</f>
        <v>2402.916666666667</v>
      </c>
      <c r="U42" s="313">
        <f>'Parking Projections'!S42</f>
        <v>2402.916666666667</v>
      </c>
      <c r="V42" s="313">
        <f>'Parking Projections'!T42</f>
        <v>2402.916666666667</v>
      </c>
      <c r="W42" s="313">
        <f>'Parking Projections'!U42</f>
        <v>2402.916666666667</v>
      </c>
      <c r="X42" s="313">
        <f>'Parking Projections'!V42</f>
        <v>2402.916666666667</v>
      </c>
    </row>
    <row r="43" spans="1:24">
      <c r="A43" s="54" t="s">
        <v>267</v>
      </c>
      <c r="B43" s="277"/>
      <c r="C43" s="74"/>
      <c r="D43" s="486">
        <v>0</v>
      </c>
      <c r="E43" s="313">
        <f>'Parking Projections'!C46/2</f>
        <v>14265.416666666664</v>
      </c>
      <c r="F43" s="313">
        <f>'Parking Projections'!D46</f>
        <v>28530.833333333328</v>
      </c>
      <c r="G43" s="313">
        <f>'Parking Projections'!E46</f>
        <v>28530.833333333328</v>
      </c>
      <c r="H43" s="313">
        <f>'Parking Projections'!F46</f>
        <v>28530.833333333328</v>
      </c>
      <c r="I43" s="313">
        <f>'Parking Projections'!G46</f>
        <v>28530.833333333328</v>
      </c>
      <c r="J43" s="313">
        <f>'Parking Projections'!H46</f>
        <v>28530.833333333328</v>
      </c>
      <c r="K43" s="313">
        <f>'Parking Projections'!I46</f>
        <v>28530.833333333328</v>
      </c>
      <c r="L43" s="313">
        <f>'Parking Projections'!J46</f>
        <v>28530.833333333328</v>
      </c>
      <c r="M43" s="313">
        <f>'Parking Projections'!K46</f>
        <v>28530.833333333328</v>
      </c>
      <c r="N43" s="313">
        <f>'Parking Projections'!L46</f>
        <v>28530.833333333328</v>
      </c>
      <c r="O43" s="313">
        <f>'Parking Projections'!M46</f>
        <v>28530.833333333328</v>
      </c>
      <c r="P43" s="313">
        <f>'Parking Projections'!N46</f>
        <v>28530.833333333328</v>
      </c>
      <c r="Q43" s="313">
        <f>'Parking Projections'!O46</f>
        <v>28530.833333333328</v>
      </c>
      <c r="R43" s="313">
        <f>'Parking Projections'!P46</f>
        <v>28530.833333333328</v>
      </c>
      <c r="S43" s="313">
        <f>'Parking Projections'!Q46</f>
        <v>28530.833333333328</v>
      </c>
      <c r="T43" s="313">
        <f>'Parking Projections'!R46</f>
        <v>28530.833333333328</v>
      </c>
      <c r="U43" s="313">
        <f>'Parking Projections'!S46</f>
        <v>28530.833333333328</v>
      </c>
      <c r="V43" s="313">
        <f>'Parking Projections'!T46</f>
        <v>28530.833333333328</v>
      </c>
      <c r="W43" s="313">
        <f>'Parking Projections'!U46</f>
        <v>28530.833333333328</v>
      </c>
      <c r="X43" s="313">
        <f>'Parking Projections'!V46</f>
        <v>28530.833333333328</v>
      </c>
    </row>
    <row r="44" spans="1:24" s="96" customFormat="1">
      <c r="A44" s="54" t="s">
        <v>274</v>
      </c>
      <c r="B44" s="435"/>
      <c r="C44" s="583"/>
      <c r="D44" s="486">
        <v>0</v>
      </c>
      <c r="E44" s="313">
        <f>SUM(E42:E43)</f>
        <v>15466.874999999998</v>
      </c>
      <c r="F44" s="313">
        <f t="shared" ref="F44:X44" si="6">SUM(F42:F43)</f>
        <v>30933.749999999996</v>
      </c>
      <c r="G44" s="313">
        <f t="shared" si="6"/>
        <v>30933.749999999996</v>
      </c>
      <c r="H44" s="313">
        <f t="shared" si="6"/>
        <v>30933.749999999996</v>
      </c>
      <c r="I44" s="313">
        <f t="shared" si="6"/>
        <v>30933.749999999996</v>
      </c>
      <c r="J44" s="313">
        <f t="shared" si="6"/>
        <v>30933.749999999996</v>
      </c>
      <c r="K44" s="313">
        <f t="shared" si="6"/>
        <v>30933.749999999996</v>
      </c>
      <c r="L44" s="313">
        <f t="shared" si="6"/>
        <v>30933.749999999996</v>
      </c>
      <c r="M44" s="313">
        <f t="shared" si="6"/>
        <v>30933.749999999996</v>
      </c>
      <c r="N44" s="313">
        <f t="shared" si="6"/>
        <v>30933.749999999996</v>
      </c>
      <c r="O44" s="313">
        <f t="shared" si="6"/>
        <v>30933.749999999996</v>
      </c>
      <c r="P44" s="313">
        <f t="shared" si="6"/>
        <v>30933.749999999996</v>
      </c>
      <c r="Q44" s="313">
        <f t="shared" si="6"/>
        <v>30933.749999999996</v>
      </c>
      <c r="R44" s="313">
        <f t="shared" si="6"/>
        <v>30933.749999999996</v>
      </c>
      <c r="S44" s="313">
        <f t="shared" si="6"/>
        <v>30933.749999999996</v>
      </c>
      <c r="T44" s="313">
        <f t="shared" si="6"/>
        <v>30933.749999999996</v>
      </c>
      <c r="U44" s="313">
        <f t="shared" si="6"/>
        <v>30933.749999999996</v>
      </c>
      <c r="V44" s="313">
        <f t="shared" si="6"/>
        <v>30933.749999999996</v>
      </c>
      <c r="W44" s="313">
        <f t="shared" si="6"/>
        <v>30933.749999999996</v>
      </c>
      <c r="X44" s="313">
        <f t="shared" si="6"/>
        <v>30933.749999999996</v>
      </c>
    </row>
    <row r="45" spans="1:24">
      <c r="A45" s="54"/>
      <c r="B45" s="277"/>
      <c r="C45" s="74"/>
      <c r="D45" s="499"/>
      <c r="E45" s="308"/>
      <c r="F45" s="308"/>
      <c r="G45" s="308"/>
      <c r="H45" s="308"/>
      <c r="I45" s="308"/>
      <c r="J45" s="308"/>
      <c r="K45" s="308"/>
      <c r="L45" s="308"/>
      <c r="M45" s="308"/>
      <c r="N45" s="308"/>
      <c r="O45" s="308"/>
      <c r="P45" s="308"/>
      <c r="Q45" s="308"/>
      <c r="R45" s="308"/>
      <c r="S45" s="308"/>
      <c r="T45" s="308"/>
      <c r="U45" s="308"/>
      <c r="V45" s="308"/>
      <c r="W45" s="308"/>
      <c r="X45" s="308"/>
    </row>
    <row r="46" spans="1:24" s="341" customFormat="1">
      <c r="A46" s="552" t="s">
        <v>224</v>
      </c>
      <c r="B46" s="556"/>
      <c r="C46" s="557"/>
      <c r="D46" s="554">
        <v>0</v>
      </c>
      <c r="E46" s="558">
        <v>3</v>
      </c>
      <c r="F46" s="558">
        <v>3</v>
      </c>
      <c r="G46" s="558">
        <v>3</v>
      </c>
      <c r="H46" s="558">
        <v>3</v>
      </c>
      <c r="I46" s="558">
        <v>3</v>
      </c>
      <c r="J46" s="558">
        <v>3</v>
      </c>
      <c r="K46" s="558">
        <v>3</v>
      </c>
      <c r="L46" s="558">
        <v>3</v>
      </c>
      <c r="M46" s="558">
        <v>3</v>
      </c>
      <c r="N46" s="558">
        <v>3</v>
      </c>
      <c r="O46" s="558">
        <v>3</v>
      </c>
      <c r="P46" s="558">
        <v>3</v>
      </c>
      <c r="Q46" s="558">
        <v>3</v>
      </c>
      <c r="R46" s="558">
        <v>3</v>
      </c>
      <c r="S46" s="558">
        <v>3</v>
      </c>
      <c r="T46" s="558">
        <v>3</v>
      </c>
      <c r="U46" s="558">
        <v>3</v>
      </c>
      <c r="V46" s="558">
        <v>3</v>
      </c>
      <c r="W46" s="558">
        <v>3</v>
      </c>
      <c r="X46" s="558">
        <v>3</v>
      </c>
    </row>
    <row r="47" spans="1:24" s="96" customFormat="1">
      <c r="A47" s="54" t="s">
        <v>225</v>
      </c>
      <c r="B47" s="435"/>
      <c r="C47" s="583"/>
      <c r="D47" s="486">
        <v>0</v>
      </c>
      <c r="E47" s="496">
        <v>1</v>
      </c>
      <c r="F47" s="496">
        <v>1</v>
      </c>
      <c r="G47" s="496">
        <v>1</v>
      </c>
      <c r="H47" s="496">
        <v>1</v>
      </c>
      <c r="I47" s="496">
        <v>1</v>
      </c>
      <c r="J47" s="496">
        <v>1</v>
      </c>
      <c r="K47" s="496">
        <v>1</v>
      </c>
      <c r="L47" s="496">
        <v>1</v>
      </c>
      <c r="M47" s="496">
        <v>1</v>
      </c>
      <c r="N47" s="496">
        <v>1</v>
      </c>
      <c r="O47" s="496">
        <v>1</v>
      </c>
      <c r="P47" s="496">
        <v>1</v>
      </c>
      <c r="Q47" s="496">
        <v>1</v>
      </c>
      <c r="R47" s="496">
        <v>1</v>
      </c>
      <c r="S47" s="496">
        <v>1</v>
      </c>
      <c r="T47" s="496">
        <v>1</v>
      </c>
      <c r="U47" s="496">
        <v>1</v>
      </c>
      <c r="V47" s="496">
        <v>1</v>
      </c>
      <c r="W47" s="496">
        <v>1</v>
      </c>
      <c r="X47" s="496">
        <v>1</v>
      </c>
    </row>
    <row r="48" spans="1:24">
      <c r="A48" s="54" t="s">
        <v>209</v>
      </c>
      <c r="B48" s="277"/>
      <c r="C48" s="74"/>
      <c r="D48" s="486">
        <v>0</v>
      </c>
      <c r="E48" s="496">
        <v>0.5</v>
      </c>
      <c r="F48" s="496">
        <v>0.5</v>
      </c>
      <c r="G48" s="496">
        <v>0.5</v>
      </c>
      <c r="H48" s="496">
        <v>0.5</v>
      </c>
      <c r="I48" s="496">
        <v>0.5</v>
      </c>
      <c r="J48" s="496">
        <v>0.5</v>
      </c>
      <c r="K48" s="496">
        <v>0.5</v>
      </c>
      <c r="L48" s="496">
        <v>0.5</v>
      </c>
      <c r="M48" s="496">
        <v>0.5</v>
      </c>
      <c r="N48" s="496">
        <v>0.5</v>
      </c>
      <c r="O48" s="496">
        <v>0.5</v>
      </c>
      <c r="P48" s="496">
        <v>0.5</v>
      </c>
      <c r="Q48" s="496">
        <v>0.5</v>
      </c>
      <c r="R48" s="496">
        <v>0.5</v>
      </c>
      <c r="S48" s="496">
        <v>0.5</v>
      </c>
      <c r="T48" s="496">
        <v>0.5</v>
      </c>
      <c r="U48" s="496">
        <v>0.5</v>
      </c>
      <c r="V48" s="496">
        <v>0.5</v>
      </c>
      <c r="W48" s="496">
        <v>0.5</v>
      </c>
      <c r="X48" s="496">
        <v>0.5</v>
      </c>
    </row>
    <row r="49" spans="1:25 16384:16384">
      <c r="A49" s="54" t="s">
        <v>289</v>
      </c>
      <c r="B49" s="277"/>
      <c r="C49" s="74"/>
      <c r="D49" s="486">
        <v>0</v>
      </c>
      <c r="E49" s="496">
        <f>SUM(E47:E48)/2</f>
        <v>0.75</v>
      </c>
      <c r="F49" s="496">
        <f t="shared" ref="F49:X49" si="7">SUM(F47:F48)/2</f>
        <v>0.75</v>
      </c>
      <c r="G49" s="496">
        <f t="shared" si="7"/>
        <v>0.75</v>
      </c>
      <c r="H49" s="496">
        <f t="shared" si="7"/>
        <v>0.75</v>
      </c>
      <c r="I49" s="496">
        <f t="shared" si="7"/>
        <v>0.75</v>
      </c>
      <c r="J49" s="496">
        <f t="shared" si="7"/>
        <v>0.75</v>
      </c>
      <c r="K49" s="496">
        <f t="shared" si="7"/>
        <v>0.75</v>
      </c>
      <c r="L49" s="496">
        <f t="shared" si="7"/>
        <v>0.75</v>
      </c>
      <c r="M49" s="496">
        <f t="shared" si="7"/>
        <v>0.75</v>
      </c>
      <c r="N49" s="496">
        <f t="shared" si="7"/>
        <v>0.75</v>
      </c>
      <c r="O49" s="496">
        <f t="shared" si="7"/>
        <v>0.75</v>
      </c>
      <c r="P49" s="496">
        <f t="shared" si="7"/>
        <v>0.75</v>
      </c>
      <c r="Q49" s="496">
        <f t="shared" si="7"/>
        <v>0.75</v>
      </c>
      <c r="R49" s="496">
        <f t="shared" si="7"/>
        <v>0.75</v>
      </c>
      <c r="S49" s="496">
        <f t="shared" si="7"/>
        <v>0.75</v>
      </c>
      <c r="T49" s="496">
        <f t="shared" si="7"/>
        <v>0.75</v>
      </c>
      <c r="U49" s="496">
        <f t="shared" si="7"/>
        <v>0.75</v>
      </c>
      <c r="V49" s="496">
        <f t="shared" si="7"/>
        <v>0.75</v>
      </c>
      <c r="W49" s="496">
        <f t="shared" si="7"/>
        <v>0.75</v>
      </c>
      <c r="X49" s="496">
        <f t="shared" si="7"/>
        <v>0.75</v>
      </c>
      <c r="XFD49" s="570">
        <f>SUM(D49:XFC49)</f>
        <v>15</v>
      </c>
    </row>
    <row r="50" spans="1:25 16384:16384">
      <c r="A50" s="54"/>
      <c r="B50" s="277"/>
      <c r="C50" s="74"/>
      <c r="D50" s="486"/>
      <c r="E50" s="496"/>
      <c r="F50" s="496"/>
      <c r="G50" s="496"/>
      <c r="H50" s="496"/>
      <c r="I50" s="496"/>
      <c r="J50" s="496"/>
      <c r="K50" s="496"/>
      <c r="L50" s="496"/>
      <c r="M50" s="496"/>
      <c r="N50" s="496"/>
      <c r="O50" s="496"/>
      <c r="P50" s="496"/>
      <c r="Q50" s="496"/>
      <c r="R50" s="496"/>
      <c r="S50" s="496"/>
      <c r="T50" s="496"/>
      <c r="U50" s="496"/>
      <c r="V50" s="496"/>
      <c r="W50" s="496"/>
      <c r="X50" s="496"/>
      <c r="XFD50" s="570"/>
    </row>
    <row r="51" spans="1:25 16384:16384">
      <c r="A51" s="54" t="s">
        <v>312</v>
      </c>
      <c r="B51" s="277"/>
      <c r="C51" s="74"/>
      <c r="D51" s="486">
        <v>0</v>
      </c>
      <c r="E51" s="313">
        <f>'Shuttle Projections'!C22*0.5</f>
        <v>3595</v>
      </c>
      <c r="F51" s="313">
        <f>'Shuttle Projections'!D22</f>
        <v>7190</v>
      </c>
      <c r="G51" s="313">
        <f>'Shuttle Projections'!E22</f>
        <v>7190</v>
      </c>
      <c r="H51" s="313">
        <f>'Shuttle Projections'!F22</f>
        <v>7190</v>
      </c>
      <c r="I51" s="313">
        <f>'Shuttle Projections'!G22</f>
        <v>7190</v>
      </c>
      <c r="J51" s="313">
        <f>'Shuttle Projections'!H22</f>
        <v>7190</v>
      </c>
      <c r="K51" s="313">
        <f>'Shuttle Projections'!I22</f>
        <v>7190</v>
      </c>
      <c r="L51" s="313">
        <f>'Shuttle Projections'!J22</f>
        <v>7190</v>
      </c>
      <c r="M51" s="313">
        <f>'Shuttle Projections'!K22</f>
        <v>7190</v>
      </c>
      <c r="N51" s="313">
        <f>'Shuttle Projections'!L22</f>
        <v>7190</v>
      </c>
      <c r="O51" s="313">
        <f>'Shuttle Projections'!M22</f>
        <v>7190</v>
      </c>
      <c r="P51" s="313">
        <f>'Shuttle Projections'!N22</f>
        <v>7190</v>
      </c>
      <c r="Q51" s="313">
        <f>'Shuttle Projections'!O22</f>
        <v>7190</v>
      </c>
      <c r="R51" s="313">
        <f>'Shuttle Projections'!P22</f>
        <v>7190</v>
      </c>
      <c r="S51" s="313">
        <f>'Shuttle Projections'!Q22</f>
        <v>7190</v>
      </c>
      <c r="T51" s="313">
        <f>'Shuttle Projections'!R22</f>
        <v>7190</v>
      </c>
      <c r="U51" s="313">
        <f>'Shuttle Projections'!S22</f>
        <v>7190</v>
      </c>
      <c r="V51" s="313">
        <f>'Shuttle Projections'!T22</f>
        <v>7190</v>
      </c>
      <c r="W51" s="313">
        <f>'Shuttle Projections'!U22</f>
        <v>7190</v>
      </c>
      <c r="X51" s="313">
        <f>'Shuttle Projections'!V22</f>
        <v>7190</v>
      </c>
      <c r="XFD51" s="570"/>
    </row>
    <row r="52" spans="1:25 16384:16384">
      <c r="A52" s="54"/>
      <c r="B52" s="277"/>
      <c r="C52" s="74"/>
      <c r="D52" s="486"/>
      <c r="E52" s="308"/>
      <c r="F52" s="308"/>
      <c r="G52" s="308"/>
      <c r="H52" s="308"/>
      <c r="I52" s="308"/>
      <c r="J52" s="308"/>
      <c r="K52" s="308"/>
      <c r="L52" s="308"/>
      <c r="M52" s="308"/>
      <c r="N52" s="308"/>
      <c r="O52" s="308"/>
      <c r="P52" s="308"/>
      <c r="Q52" s="308"/>
      <c r="R52" s="308"/>
      <c r="S52" s="308"/>
      <c r="T52" s="308"/>
      <c r="U52" s="308"/>
      <c r="V52" s="308"/>
      <c r="W52" s="308"/>
      <c r="X52" s="308"/>
    </row>
    <row r="53" spans="1:25 16384:16384" s="612" customFormat="1">
      <c r="A53" s="613" t="s">
        <v>292</v>
      </c>
      <c r="B53" s="614"/>
      <c r="C53" s="615"/>
      <c r="D53" s="616">
        <v>0</v>
      </c>
      <c r="E53" s="617">
        <v>0</v>
      </c>
      <c r="F53" s="617">
        <v>0</v>
      </c>
      <c r="G53" s="617">
        <v>100000</v>
      </c>
      <c r="H53" s="617">
        <v>100000</v>
      </c>
      <c r="I53" s="617">
        <v>100000</v>
      </c>
      <c r="J53" s="617">
        <v>100000</v>
      </c>
      <c r="K53" s="617">
        <v>100000</v>
      </c>
      <c r="L53" s="617">
        <v>100000</v>
      </c>
      <c r="M53" s="617">
        <v>100000</v>
      </c>
      <c r="N53" s="617">
        <v>100000</v>
      </c>
      <c r="O53" s="617">
        <v>100000</v>
      </c>
      <c r="P53" s="617">
        <v>100000</v>
      </c>
      <c r="Q53" s="617">
        <v>100000</v>
      </c>
      <c r="R53" s="617">
        <v>100000</v>
      </c>
      <c r="S53" s="617">
        <v>100000</v>
      </c>
      <c r="T53" s="617">
        <v>100000</v>
      </c>
      <c r="U53" s="617">
        <v>100000</v>
      </c>
      <c r="V53" s="617">
        <v>100000</v>
      </c>
      <c r="W53" s="617">
        <v>100000</v>
      </c>
      <c r="X53" s="618">
        <v>100000</v>
      </c>
    </row>
    <row r="54" spans="1:25 16384:16384">
      <c r="A54" s="54"/>
      <c r="B54" s="277"/>
      <c r="C54" s="74"/>
      <c r="D54" s="486"/>
      <c r="E54" s="308"/>
      <c r="F54" s="308"/>
      <c r="G54" s="308"/>
      <c r="H54" s="308"/>
      <c r="I54" s="308"/>
      <c r="J54" s="308"/>
      <c r="K54" s="308"/>
      <c r="L54" s="308"/>
      <c r="M54" s="308"/>
      <c r="N54" s="308"/>
      <c r="O54" s="308"/>
      <c r="P54" s="308"/>
      <c r="Q54" s="308"/>
      <c r="R54" s="308"/>
      <c r="S54" s="308"/>
      <c r="T54" s="308"/>
      <c r="U54" s="308"/>
      <c r="V54" s="308"/>
      <c r="W54" s="308"/>
      <c r="X54" s="308"/>
    </row>
    <row r="55" spans="1:25 16384:16384" s="547" customFormat="1">
      <c r="A55" s="549" t="str">
        <f>'BH Tariffs'!A33</f>
        <v>Recreational/Commercial Marina</v>
      </c>
      <c r="B55" s="714"/>
      <c r="C55" s="715"/>
      <c r="D55" s="554"/>
      <c r="E55" s="716"/>
      <c r="F55" s="716"/>
      <c r="G55" s="716"/>
      <c r="H55" s="716"/>
      <c r="I55" s="716"/>
      <c r="J55" s="716"/>
      <c r="K55" s="716"/>
      <c r="L55" s="716"/>
      <c r="M55" s="716"/>
      <c r="N55" s="716"/>
      <c r="O55" s="716"/>
      <c r="P55" s="716"/>
      <c r="Q55" s="716"/>
      <c r="R55" s="716"/>
      <c r="S55" s="716"/>
      <c r="T55" s="716"/>
      <c r="U55" s="716"/>
      <c r="V55" s="716"/>
      <c r="W55" s="716"/>
      <c r="X55" s="716"/>
    </row>
    <row r="56" spans="1:25 16384:16384" s="341" customFormat="1">
      <c r="A56" s="552" t="s">
        <v>291</v>
      </c>
      <c r="B56" s="556"/>
      <c r="C56" s="557"/>
      <c r="D56" s="554">
        <v>0</v>
      </c>
      <c r="E56" s="555">
        <v>0</v>
      </c>
      <c r="F56" s="555">
        <v>0</v>
      </c>
      <c r="G56" s="555">
        <v>0</v>
      </c>
      <c r="H56" s="555">
        <v>0</v>
      </c>
      <c r="I56" s="555">
        <v>0</v>
      </c>
      <c r="J56" s="555">
        <v>0</v>
      </c>
      <c r="K56" s="555">
        <v>0</v>
      </c>
      <c r="L56" s="555">
        <v>0</v>
      </c>
      <c r="M56" s="555">
        <v>0</v>
      </c>
      <c r="N56" s="555">
        <v>0</v>
      </c>
      <c r="O56" s="555">
        <v>0</v>
      </c>
      <c r="P56" s="555">
        <v>0</v>
      </c>
      <c r="Q56" s="555">
        <v>0</v>
      </c>
      <c r="R56" s="555">
        <v>0</v>
      </c>
      <c r="S56" s="555">
        <v>0</v>
      </c>
      <c r="T56" s="555">
        <v>0</v>
      </c>
      <c r="U56" s="555">
        <v>0</v>
      </c>
      <c r="V56" s="555">
        <v>0</v>
      </c>
      <c r="W56" s="555">
        <v>0</v>
      </c>
      <c r="X56" s="555">
        <v>0</v>
      </c>
    </row>
    <row r="57" spans="1:25 16384:16384" s="341" customFormat="1">
      <c r="A57" s="552" t="s">
        <v>293</v>
      </c>
      <c r="B57" s="556"/>
      <c r="C57" s="557"/>
      <c r="D57" s="554">
        <v>0</v>
      </c>
      <c r="E57" s="555">
        <v>0</v>
      </c>
      <c r="F57" s="555">
        <v>0</v>
      </c>
      <c r="G57" s="555">
        <v>0</v>
      </c>
      <c r="H57" s="555">
        <v>0</v>
      </c>
      <c r="I57" s="555">
        <v>0</v>
      </c>
      <c r="J57" s="555">
        <v>0</v>
      </c>
      <c r="K57" s="555">
        <v>0</v>
      </c>
      <c r="L57" s="555">
        <v>0</v>
      </c>
      <c r="M57" s="555">
        <v>0</v>
      </c>
      <c r="N57" s="555">
        <v>0</v>
      </c>
      <c r="O57" s="555">
        <v>0</v>
      </c>
      <c r="P57" s="555">
        <v>0</v>
      </c>
      <c r="Q57" s="555">
        <v>0</v>
      </c>
      <c r="R57" s="555">
        <v>0</v>
      </c>
      <c r="S57" s="555">
        <v>0</v>
      </c>
      <c r="T57" s="555">
        <v>0</v>
      </c>
      <c r="U57" s="555">
        <v>0</v>
      </c>
      <c r="V57" s="555">
        <v>0</v>
      </c>
      <c r="W57" s="555">
        <v>0</v>
      </c>
      <c r="X57" s="555">
        <v>0</v>
      </c>
    </row>
    <row r="58" spans="1:25 16384:16384" s="341" customFormat="1">
      <c r="A58" s="552" t="s">
        <v>294</v>
      </c>
      <c r="B58" s="556"/>
      <c r="C58" s="557"/>
      <c r="D58" s="554">
        <v>0</v>
      </c>
      <c r="E58" s="555">
        <v>0</v>
      </c>
      <c r="F58" s="555">
        <v>0</v>
      </c>
      <c r="G58" s="555">
        <v>0</v>
      </c>
      <c r="H58" s="555">
        <v>0</v>
      </c>
      <c r="I58" s="555">
        <v>0</v>
      </c>
      <c r="J58" s="555">
        <v>0</v>
      </c>
      <c r="K58" s="555">
        <v>0</v>
      </c>
      <c r="L58" s="555">
        <v>0</v>
      </c>
      <c r="M58" s="555">
        <v>0</v>
      </c>
      <c r="N58" s="555">
        <v>0</v>
      </c>
      <c r="O58" s="555">
        <v>0</v>
      </c>
      <c r="P58" s="555">
        <v>0</v>
      </c>
      <c r="Q58" s="555">
        <v>0</v>
      </c>
      <c r="R58" s="555">
        <v>0</v>
      </c>
      <c r="S58" s="555">
        <v>0</v>
      </c>
      <c r="T58" s="555">
        <v>0</v>
      </c>
      <c r="U58" s="555">
        <v>0</v>
      </c>
      <c r="V58" s="555">
        <v>0</v>
      </c>
      <c r="W58" s="555">
        <v>0</v>
      </c>
      <c r="X58" s="555">
        <v>0</v>
      </c>
    </row>
    <row r="59" spans="1:25 16384:16384" s="167" customFormat="1">
      <c r="A59" s="497" t="s">
        <v>170</v>
      </c>
      <c r="B59" s="450"/>
      <c r="C59" s="498"/>
      <c r="D59" s="486">
        <v>0</v>
      </c>
      <c r="E59" s="587">
        <v>0</v>
      </c>
      <c r="F59" s="587">
        <v>0</v>
      </c>
      <c r="G59" s="587">
        <v>0</v>
      </c>
      <c r="H59" s="587">
        <v>0</v>
      </c>
      <c r="I59" s="587">
        <v>0</v>
      </c>
      <c r="J59" s="587">
        <v>0</v>
      </c>
      <c r="K59" s="587">
        <v>0</v>
      </c>
      <c r="L59" s="587">
        <v>0</v>
      </c>
      <c r="M59" s="587">
        <v>0</v>
      </c>
      <c r="N59" s="587">
        <v>0</v>
      </c>
      <c r="O59" s="587">
        <v>0</v>
      </c>
      <c r="P59" s="587">
        <v>0</v>
      </c>
      <c r="Q59" s="587">
        <v>0</v>
      </c>
      <c r="R59" s="587">
        <v>0</v>
      </c>
      <c r="S59" s="587">
        <v>0</v>
      </c>
      <c r="T59" s="587">
        <v>0</v>
      </c>
      <c r="U59" s="587">
        <v>0</v>
      </c>
      <c r="V59" s="587">
        <v>0</v>
      </c>
      <c r="W59" s="587">
        <v>0</v>
      </c>
      <c r="X59" s="587">
        <v>0</v>
      </c>
      <c r="Y59" s="167" t="s">
        <v>282</v>
      </c>
    </row>
    <row r="60" spans="1:25 16384:16384" s="167" customFormat="1">
      <c r="A60" s="497" t="s">
        <v>16</v>
      </c>
      <c r="B60" s="450"/>
      <c r="C60" s="498"/>
      <c r="D60" s="499">
        <v>0</v>
      </c>
      <c r="E60" s="587">
        <v>0</v>
      </c>
      <c r="F60" s="587">
        <v>0</v>
      </c>
      <c r="G60" s="587">
        <v>0</v>
      </c>
      <c r="H60" s="587">
        <v>0</v>
      </c>
      <c r="I60" s="587">
        <v>0</v>
      </c>
      <c r="J60" s="587">
        <v>0</v>
      </c>
      <c r="K60" s="587">
        <v>0</v>
      </c>
      <c r="L60" s="587">
        <v>0</v>
      </c>
      <c r="M60" s="587">
        <v>0</v>
      </c>
      <c r="N60" s="587">
        <v>0</v>
      </c>
      <c r="O60" s="587">
        <v>0</v>
      </c>
      <c r="P60" s="587">
        <v>0</v>
      </c>
      <c r="Q60" s="587">
        <v>0</v>
      </c>
      <c r="R60" s="587">
        <v>0</v>
      </c>
      <c r="S60" s="587">
        <v>0</v>
      </c>
      <c r="T60" s="587">
        <v>0</v>
      </c>
      <c r="U60" s="587">
        <v>0</v>
      </c>
      <c r="V60" s="587">
        <v>0</v>
      </c>
      <c r="W60" s="587">
        <v>0</v>
      </c>
      <c r="X60" s="587">
        <v>0</v>
      </c>
      <c r="Y60" s="167" t="s">
        <v>282</v>
      </c>
    </row>
    <row r="61" spans="1:25 16384:16384">
      <c r="A61" s="54"/>
      <c r="B61" s="277"/>
      <c r="C61" s="74"/>
      <c r="D61" s="492"/>
      <c r="E61" s="308"/>
      <c r="F61" s="308"/>
      <c r="G61" s="308"/>
      <c r="H61" s="308"/>
      <c r="I61" s="308"/>
      <c r="J61" s="308"/>
      <c r="K61" s="308"/>
      <c r="L61" s="308"/>
      <c r="M61" s="308"/>
      <c r="N61" s="308"/>
      <c r="O61" s="308"/>
      <c r="P61" s="308"/>
      <c r="Q61" s="308"/>
      <c r="R61" s="308"/>
      <c r="S61" s="308"/>
      <c r="T61" s="308"/>
      <c r="U61" s="308"/>
      <c r="V61" s="308"/>
      <c r="W61" s="308"/>
      <c r="X61" s="308"/>
    </row>
    <row r="62" spans="1:25 16384:16384">
      <c r="A62" s="293" t="s">
        <v>2</v>
      </c>
      <c r="B62" s="277"/>
      <c r="C62" s="74"/>
      <c r="D62" s="492"/>
      <c r="E62" s="308"/>
      <c r="F62" s="308"/>
      <c r="G62" s="308"/>
      <c r="H62" s="308"/>
      <c r="I62" s="308"/>
      <c r="J62" s="308"/>
      <c r="K62" s="308"/>
      <c r="L62" s="308"/>
      <c r="M62" s="308"/>
      <c r="N62" s="308"/>
      <c r="O62" s="308"/>
      <c r="P62" s="308"/>
      <c r="Q62" s="308"/>
      <c r="R62" s="308"/>
      <c r="S62" s="308"/>
      <c r="T62" s="308"/>
      <c r="U62" s="308"/>
      <c r="V62" s="308"/>
      <c r="W62" s="308"/>
      <c r="X62" s="308"/>
    </row>
    <row r="63" spans="1:25 16384:16384" s="96" customFormat="1">
      <c r="A63" s="54" t="s">
        <v>290</v>
      </c>
      <c r="B63" s="435">
        <v>500</v>
      </c>
      <c r="C63" s="487"/>
      <c r="D63" s="486">
        <v>0</v>
      </c>
      <c r="E63" s="313">
        <v>0</v>
      </c>
      <c r="F63" s="313">
        <v>0</v>
      </c>
      <c r="G63" s="313">
        <f t="shared" ref="G63:X63" si="8">$B$63</f>
        <v>500</v>
      </c>
      <c r="H63" s="313">
        <f t="shared" si="8"/>
        <v>500</v>
      </c>
      <c r="I63" s="313">
        <f t="shared" si="8"/>
        <v>500</v>
      </c>
      <c r="J63" s="313">
        <f t="shared" si="8"/>
        <v>500</v>
      </c>
      <c r="K63" s="313">
        <f t="shared" si="8"/>
        <v>500</v>
      </c>
      <c r="L63" s="313">
        <f t="shared" si="8"/>
        <v>500</v>
      </c>
      <c r="M63" s="313">
        <f t="shared" si="8"/>
        <v>500</v>
      </c>
      <c r="N63" s="313">
        <f t="shared" si="8"/>
        <v>500</v>
      </c>
      <c r="O63" s="313">
        <f t="shared" si="8"/>
        <v>500</v>
      </c>
      <c r="P63" s="313">
        <f t="shared" si="8"/>
        <v>500</v>
      </c>
      <c r="Q63" s="313">
        <f t="shared" si="8"/>
        <v>500</v>
      </c>
      <c r="R63" s="313">
        <f t="shared" si="8"/>
        <v>500</v>
      </c>
      <c r="S63" s="313">
        <f t="shared" si="8"/>
        <v>500</v>
      </c>
      <c r="T63" s="313">
        <f t="shared" si="8"/>
        <v>500</v>
      </c>
      <c r="U63" s="313">
        <f t="shared" si="8"/>
        <v>500</v>
      </c>
      <c r="V63" s="313">
        <f t="shared" si="8"/>
        <v>500</v>
      </c>
      <c r="W63" s="313">
        <f t="shared" si="8"/>
        <v>500</v>
      </c>
      <c r="X63" s="313">
        <f t="shared" si="8"/>
        <v>500</v>
      </c>
    </row>
    <row r="64" spans="1:25 16384:16384" s="96" customFormat="1">
      <c r="A64" s="54" t="s">
        <v>540</v>
      </c>
      <c r="B64" s="435"/>
      <c r="C64" s="487"/>
      <c r="D64" s="1055">
        <v>0</v>
      </c>
      <c r="E64" s="1056">
        <v>0</v>
      </c>
      <c r="F64" s="1056">
        <v>0</v>
      </c>
      <c r="G64" s="1056">
        <v>200000</v>
      </c>
      <c r="H64" s="1056">
        <f>G64</f>
        <v>200000</v>
      </c>
      <c r="I64" s="1056">
        <f t="shared" ref="I64:X64" si="9">H64</f>
        <v>200000</v>
      </c>
      <c r="J64" s="1056">
        <f t="shared" si="9"/>
        <v>200000</v>
      </c>
      <c r="K64" s="1056">
        <f t="shared" si="9"/>
        <v>200000</v>
      </c>
      <c r="L64" s="1056">
        <f t="shared" si="9"/>
        <v>200000</v>
      </c>
      <c r="M64" s="1056">
        <f t="shared" si="9"/>
        <v>200000</v>
      </c>
      <c r="N64" s="1056">
        <f t="shared" si="9"/>
        <v>200000</v>
      </c>
      <c r="O64" s="1056">
        <f t="shared" si="9"/>
        <v>200000</v>
      </c>
      <c r="P64" s="1056">
        <f t="shared" si="9"/>
        <v>200000</v>
      </c>
      <c r="Q64" s="1056">
        <f t="shared" si="9"/>
        <v>200000</v>
      </c>
      <c r="R64" s="1056">
        <f t="shared" si="9"/>
        <v>200000</v>
      </c>
      <c r="S64" s="1056">
        <f t="shared" si="9"/>
        <v>200000</v>
      </c>
      <c r="T64" s="1056">
        <f t="shared" si="9"/>
        <v>200000</v>
      </c>
      <c r="U64" s="1056">
        <f t="shared" si="9"/>
        <v>200000</v>
      </c>
      <c r="V64" s="1056">
        <f t="shared" si="9"/>
        <v>200000</v>
      </c>
      <c r="W64" s="1056">
        <f t="shared" si="9"/>
        <v>200000</v>
      </c>
      <c r="X64" s="1056">
        <f t="shared" si="9"/>
        <v>200000</v>
      </c>
    </row>
    <row r="65" spans="1:25" s="96" customFormat="1">
      <c r="A65" s="54" t="s">
        <v>210</v>
      </c>
      <c r="B65" s="487"/>
      <c r="C65" s="487"/>
      <c r="D65" s="486">
        <v>0</v>
      </c>
      <c r="E65" s="313">
        <v>0</v>
      </c>
      <c r="F65" s="313">
        <v>1</v>
      </c>
      <c r="G65" s="313">
        <v>2</v>
      </c>
      <c r="H65" s="313">
        <v>2</v>
      </c>
      <c r="I65" s="313">
        <v>2</v>
      </c>
      <c r="J65" s="313">
        <v>3</v>
      </c>
      <c r="K65" s="313">
        <v>3</v>
      </c>
      <c r="L65" s="313">
        <v>3</v>
      </c>
      <c r="M65" s="313">
        <v>3</v>
      </c>
      <c r="N65" s="313">
        <v>3</v>
      </c>
      <c r="O65" s="313">
        <v>4</v>
      </c>
      <c r="P65" s="313">
        <v>4</v>
      </c>
      <c r="Q65" s="313">
        <v>4</v>
      </c>
      <c r="R65" s="313">
        <v>4</v>
      </c>
      <c r="S65" s="313">
        <v>4</v>
      </c>
      <c r="T65" s="313">
        <v>5</v>
      </c>
      <c r="U65" s="313">
        <v>5</v>
      </c>
      <c r="V65" s="313">
        <v>5</v>
      </c>
      <c r="W65" s="313">
        <v>5</v>
      </c>
      <c r="X65" s="313">
        <v>5</v>
      </c>
      <c r="Y65" s="313"/>
    </row>
    <row r="66" spans="1:25" s="96" customFormat="1">
      <c r="A66" s="96" t="s">
        <v>211</v>
      </c>
      <c r="D66" s="486">
        <v>0</v>
      </c>
      <c r="E66" s="435">
        <v>0</v>
      </c>
      <c r="F66" s="435">
        <v>3</v>
      </c>
      <c r="G66" s="435">
        <v>3</v>
      </c>
      <c r="H66" s="435">
        <v>3</v>
      </c>
      <c r="I66" s="435">
        <v>3</v>
      </c>
      <c r="J66" s="435">
        <v>3</v>
      </c>
      <c r="K66" s="435">
        <v>3</v>
      </c>
      <c r="L66" s="435">
        <v>3</v>
      </c>
      <c r="M66" s="435">
        <v>3</v>
      </c>
      <c r="N66" s="435">
        <v>3</v>
      </c>
      <c r="O66" s="435">
        <v>3</v>
      </c>
      <c r="P66" s="435">
        <v>3</v>
      </c>
      <c r="Q66" s="435">
        <v>3</v>
      </c>
      <c r="R66" s="435">
        <v>3</v>
      </c>
      <c r="S66" s="435">
        <v>3</v>
      </c>
      <c r="T66" s="435">
        <v>3</v>
      </c>
      <c r="U66" s="435">
        <v>3</v>
      </c>
      <c r="V66" s="435">
        <v>3</v>
      </c>
      <c r="W66" s="435">
        <v>3</v>
      </c>
      <c r="X66" s="435">
        <v>3</v>
      </c>
    </row>
    <row r="67" spans="1:25" s="167" customFormat="1">
      <c r="A67" s="497"/>
      <c r="B67" s="501"/>
      <c r="C67" s="501"/>
      <c r="D67" s="499"/>
      <c r="E67" s="500"/>
      <c r="F67" s="500"/>
      <c r="G67" s="500"/>
      <c r="H67" s="500"/>
      <c r="I67" s="500"/>
      <c r="J67" s="500"/>
      <c r="K67" s="500"/>
      <c r="L67" s="500"/>
      <c r="M67" s="500"/>
      <c r="N67" s="500"/>
      <c r="O67" s="500"/>
      <c r="P67" s="500"/>
      <c r="Q67" s="500"/>
      <c r="R67" s="500"/>
      <c r="S67" s="500"/>
      <c r="T67" s="500"/>
      <c r="U67" s="500"/>
      <c r="V67" s="500"/>
      <c r="W67" s="500"/>
      <c r="X67" s="500"/>
      <c r="Y67" s="500"/>
    </row>
    <row r="68" spans="1:25">
      <c r="A68" s="28"/>
      <c r="D68" s="486"/>
      <c r="E68" s="331"/>
      <c r="F68" s="333"/>
      <c r="G68" s="331"/>
      <c r="H68" s="331"/>
      <c r="I68" s="331"/>
      <c r="J68" s="331"/>
      <c r="K68" s="331"/>
      <c r="L68" s="331"/>
      <c r="M68" s="331"/>
      <c r="N68" s="331"/>
      <c r="O68" s="331"/>
      <c r="P68" s="331"/>
      <c r="Q68" s="331"/>
      <c r="R68" s="331"/>
      <c r="S68" s="331"/>
      <c r="T68" s="331"/>
      <c r="U68" s="331"/>
      <c r="V68" s="331"/>
      <c r="W68" s="331"/>
      <c r="X68" s="331"/>
    </row>
    <row r="69" spans="1:25">
      <c r="A69" s="266" t="s">
        <v>135</v>
      </c>
      <c r="B69" s="223"/>
      <c r="C69" s="267"/>
      <c r="D69" s="332"/>
      <c r="E69" s="332"/>
      <c r="F69" s="349"/>
      <c r="G69" s="332"/>
      <c r="H69" s="332"/>
      <c r="I69" s="332"/>
      <c r="J69" s="332"/>
      <c r="K69" s="332"/>
      <c r="L69" s="332"/>
      <c r="M69" s="332"/>
      <c r="N69" s="332"/>
      <c r="O69" s="332"/>
      <c r="P69" s="332"/>
      <c r="Q69" s="332"/>
      <c r="R69" s="332"/>
      <c r="S69" s="332"/>
      <c r="T69" s="332"/>
      <c r="U69" s="332"/>
      <c r="V69" s="332"/>
      <c r="W69" s="332"/>
      <c r="X69" s="332"/>
    </row>
    <row r="70" spans="1:25" s="341" customFormat="1">
      <c r="A70" s="353"/>
      <c r="B70" s="355"/>
      <c r="C70" s="355"/>
      <c r="D70" s="502"/>
      <c r="E70" s="503"/>
      <c r="F70" s="503"/>
      <c r="G70" s="503"/>
      <c r="H70" s="503"/>
      <c r="I70" s="503"/>
      <c r="J70" s="503"/>
      <c r="K70" s="503"/>
      <c r="L70" s="503"/>
      <c r="M70" s="503"/>
      <c r="N70" s="503"/>
      <c r="O70" s="503"/>
      <c r="P70" s="503"/>
      <c r="Q70" s="503"/>
      <c r="R70" s="503"/>
      <c r="S70" s="503"/>
      <c r="T70" s="503"/>
      <c r="U70" s="503"/>
      <c r="V70" s="503"/>
      <c r="W70" s="503"/>
      <c r="X70" s="503"/>
    </row>
    <row r="71" spans="1:25" s="341" customFormat="1">
      <c r="A71" s="691" t="s">
        <v>144</v>
      </c>
      <c r="B71" s="355"/>
      <c r="C71" s="355"/>
      <c r="D71" s="548"/>
      <c r="E71" s="503"/>
      <c r="F71" s="503"/>
      <c r="G71" s="503"/>
      <c r="H71" s="503"/>
      <c r="I71" s="503"/>
      <c r="J71" s="503"/>
      <c r="K71" s="503"/>
      <c r="L71" s="503"/>
      <c r="M71" s="503"/>
      <c r="N71" s="503"/>
      <c r="O71" s="503"/>
      <c r="P71" s="503"/>
      <c r="Q71" s="503"/>
      <c r="R71" s="503"/>
      <c r="S71" s="503"/>
      <c r="T71" s="503"/>
      <c r="U71" s="503"/>
      <c r="V71" s="503"/>
      <c r="W71" s="503"/>
      <c r="X71" s="503"/>
    </row>
    <row r="72" spans="1:25" s="561" customFormat="1">
      <c r="A72" s="353" t="str">
        <f>'BH Tariffs'!A11</f>
        <v>Port Fee</v>
      </c>
      <c r="B72" s="355"/>
      <c r="C72" s="355"/>
      <c r="D72" s="548">
        <v>0</v>
      </c>
      <c r="E72" s="503">
        <f>'BH Tariffs'!D11*'P&amp;L - Concept B1 - RCCL'!E12</f>
        <v>0</v>
      </c>
      <c r="F72" s="503">
        <v>0</v>
      </c>
      <c r="G72" s="503">
        <v>0</v>
      </c>
      <c r="H72" s="503">
        <v>0</v>
      </c>
      <c r="I72" s="503">
        <v>0</v>
      </c>
      <c r="J72" s="503">
        <v>0</v>
      </c>
      <c r="K72" s="503">
        <v>0</v>
      </c>
      <c r="L72" s="503">
        <v>0</v>
      </c>
      <c r="M72" s="503">
        <v>0</v>
      </c>
      <c r="N72" s="503">
        <v>0</v>
      </c>
      <c r="O72" s="503">
        <v>0</v>
      </c>
      <c r="P72" s="503">
        <v>0</v>
      </c>
      <c r="Q72" s="503">
        <v>0</v>
      </c>
      <c r="R72" s="503">
        <v>0</v>
      </c>
      <c r="S72" s="503">
        <v>0</v>
      </c>
      <c r="T72" s="503">
        <v>0</v>
      </c>
      <c r="U72" s="503">
        <v>0</v>
      </c>
      <c r="V72" s="503">
        <v>0</v>
      </c>
      <c r="W72" s="503">
        <v>0</v>
      </c>
      <c r="X72" s="503">
        <v>0</v>
      </c>
    </row>
    <row r="73" spans="1:25">
      <c r="A73" s="88"/>
      <c r="B73" s="89"/>
      <c r="C73" s="89"/>
      <c r="D73" s="502"/>
      <c r="E73" s="504"/>
      <c r="F73" s="504"/>
      <c r="G73" s="504"/>
      <c r="H73" s="504"/>
      <c r="I73" s="504"/>
      <c r="J73" s="504"/>
      <c r="K73" s="504"/>
      <c r="L73" s="504"/>
      <c r="M73" s="504"/>
      <c r="N73" s="504"/>
      <c r="O73" s="504"/>
      <c r="P73" s="504"/>
      <c r="Q73" s="504"/>
      <c r="R73" s="504"/>
      <c r="S73" s="504"/>
      <c r="T73" s="504"/>
      <c r="U73" s="504"/>
      <c r="V73" s="504"/>
      <c r="W73" s="504"/>
      <c r="X73" s="504"/>
    </row>
    <row r="74" spans="1:25" s="16" customFormat="1" ht="14.25">
      <c r="A74" s="280" t="s">
        <v>124</v>
      </c>
      <c r="B74" s="533"/>
      <c r="C74" s="533"/>
      <c r="D74" s="534"/>
      <c r="E74" s="535"/>
      <c r="F74" s="535"/>
      <c r="G74" s="535"/>
      <c r="H74" s="535"/>
      <c r="I74" s="535"/>
      <c r="J74" s="535"/>
      <c r="K74" s="535"/>
      <c r="L74" s="535"/>
      <c r="M74" s="535"/>
      <c r="N74" s="535"/>
      <c r="O74" s="535"/>
      <c r="P74" s="535"/>
      <c r="Q74" s="535"/>
      <c r="R74" s="535"/>
      <c r="S74" s="535"/>
      <c r="T74" s="535"/>
      <c r="U74" s="535"/>
      <c r="V74" s="535"/>
      <c r="W74" s="535"/>
      <c r="X74" s="535"/>
    </row>
    <row r="75" spans="1:25" s="279" customFormat="1" ht="14.25">
      <c r="A75" s="91" t="s">
        <v>83</v>
      </c>
      <c r="B75" s="536"/>
      <c r="C75" s="536"/>
      <c r="D75" s="537"/>
      <c r="E75" s="538"/>
      <c r="F75" s="538"/>
      <c r="G75" s="538"/>
      <c r="H75" s="538"/>
      <c r="I75" s="538"/>
      <c r="J75" s="538"/>
      <c r="K75" s="538"/>
      <c r="L75" s="538"/>
      <c r="M75" s="538"/>
      <c r="N75" s="538"/>
      <c r="O75" s="538"/>
      <c r="P75" s="538"/>
      <c r="Q75" s="538"/>
      <c r="R75" s="538"/>
      <c r="S75" s="538"/>
      <c r="T75" s="538"/>
      <c r="U75" s="538"/>
      <c r="V75" s="538"/>
      <c r="W75" s="538"/>
      <c r="X75" s="538"/>
    </row>
    <row r="76" spans="1:25">
      <c r="A76" s="90" t="str">
        <f>'BH Tariffs'!A19</f>
        <v>Town Wharfage (Exclusive Use, Ferry Property Only)</v>
      </c>
      <c r="B76" s="89"/>
      <c r="C76" s="89"/>
      <c r="D76" s="502">
        <v>0</v>
      </c>
      <c r="E76" s="504">
        <f>'BH Tariffs'!D19*'P&amp;L - Concept B1 - RCCL'!E12</f>
        <v>0</v>
      </c>
      <c r="F76" s="504">
        <f>'BH Tariffs'!E19*'P&amp;L - Concept B1 - RCCL'!F12</f>
        <v>623885.59098931064</v>
      </c>
      <c r="G76" s="504">
        <f>'BH Tariffs'!F19*'P&amp;L - Concept B1 - RCCL'!G12</f>
        <v>636363.30280909687</v>
      </c>
      <c r="H76" s="504">
        <f>'BH Tariffs'!G19*'P&amp;L - Concept B1 - RCCL'!H12</f>
        <v>649090.56886527874</v>
      </c>
      <c r="I76" s="504">
        <f>'BH Tariffs'!H19*'P&amp;L - Concept B1 - RCCL'!I12</f>
        <v>662072.38024258439</v>
      </c>
      <c r="J76" s="504">
        <f>'BH Tariffs'!I19*'P&amp;L - Concept B1 - RCCL'!J12</f>
        <v>675313.82784743607</v>
      </c>
      <c r="K76" s="504">
        <f>'BH Tariffs'!J19*'P&amp;L - Concept B1 - RCCL'!K12</f>
        <v>688820.10440438474</v>
      </c>
      <c r="L76" s="504">
        <f>'BH Tariffs'!K19*'P&amp;L - Concept B1 - RCCL'!L12</f>
        <v>702596.50649247249</v>
      </c>
      <c r="M76" s="504">
        <f>'BH Tariffs'!L19*'P&amp;L - Concept B1 - RCCL'!M12</f>
        <v>716648.43662232207</v>
      </c>
      <c r="N76" s="504">
        <f>'BH Tariffs'!M19*'P&amp;L - Concept B1 - RCCL'!N12</f>
        <v>730981.40535476839</v>
      </c>
      <c r="O76" s="504">
        <f>'BH Tariffs'!N19*'P&amp;L - Concept B1 - RCCL'!O12</f>
        <v>745601.03346186387</v>
      </c>
      <c r="P76" s="504">
        <f>'BH Tariffs'!O19*'P&amp;L - Concept B1 - RCCL'!P12</f>
        <v>760513.05413110112</v>
      </c>
      <c r="Q76" s="504">
        <f>'BH Tariffs'!P19*'P&amp;L - Concept B1 - RCCL'!Q12</f>
        <v>775723.31521372311</v>
      </c>
      <c r="R76" s="504">
        <f>'BH Tariffs'!Q19*'P&amp;L - Concept B1 - RCCL'!R12</f>
        <v>791237.7815179975</v>
      </c>
      <c r="S76" s="504">
        <f>'BH Tariffs'!R19*'P&amp;L - Concept B1 - RCCL'!S12</f>
        <v>807062.53714835749</v>
      </c>
      <c r="T76" s="504">
        <f>'BH Tariffs'!S19*'P&amp;L - Concept B1 - RCCL'!T12</f>
        <v>823203.78789132461</v>
      </c>
      <c r="U76" s="504">
        <f>'BH Tariffs'!T19*'P&amp;L - Concept B1 - RCCL'!U12</f>
        <v>839667.86364915129</v>
      </c>
      <c r="V76" s="504">
        <f>'BH Tariffs'!U19*'P&amp;L - Concept B1 - RCCL'!V12</f>
        <v>856461.22092213423</v>
      </c>
      <c r="W76" s="504">
        <f>'BH Tariffs'!V19*'P&amp;L - Concept B1 - RCCL'!W12</f>
        <v>873590.44534057705</v>
      </c>
      <c r="X76" s="504">
        <f>'BH Tariffs'!W19*'P&amp;L - Concept B1 - RCCL'!X12</f>
        <v>891062.25424738857</v>
      </c>
      <c r="Y76" s="413">
        <f>SUM(D76:X76)</f>
        <v>14249895.417151274</v>
      </c>
    </row>
    <row r="77" spans="1:25" s="341" customFormat="1">
      <c r="A77" s="353" t="str">
        <f>'BH Tariffs'!A21</f>
        <v>CBP Infastructure Fee (Ferry Property Only)</v>
      </c>
      <c r="B77" s="355"/>
      <c r="C77" s="355"/>
      <c r="D77" s="548">
        <v>0</v>
      </c>
      <c r="E77" s="503">
        <v>0</v>
      </c>
      <c r="F77" s="503">
        <v>0</v>
      </c>
      <c r="G77" s="503">
        <v>0</v>
      </c>
      <c r="H77" s="503">
        <v>0</v>
      </c>
      <c r="I77" s="503">
        <v>0</v>
      </c>
      <c r="J77" s="503">
        <v>0</v>
      </c>
      <c r="K77" s="503">
        <v>0</v>
      </c>
      <c r="L77" s="503">
        <v>0</v>
      </c>
      <c r="M77" s="503">
        <v>0</v>
      </c>
      <c r="N77" s="503">
        <v>0</v>
      </c>
      <c r="O77" s="503">
        <v>0</v>
      </c>
      <c r="P77" s="503">
        <v>0</v>
      </c>
      <c r="Q77" s="503">
        <v>0</v>
      </c>
      <c r="R77" s="503">
        <v>0</v>
      </c>
      <c r="S77" s="503">
        <v>0</v>
      </c>
      <c r="T77" s="503">
        <v>0</v>
      </c>
      <c r="U77" s="503">
        <v>0</v>
      </c>
      <c r="V77" s="503">
        <v>0</v>
      </c>
      <c r="W77" s="503">
        <v>0</v>
      </c>
      <c r="X77" s="503">
        <v>0</v>
      </c>
    </row>
    <row r="78" spans="1:25" s="96" customFormat="1">
      <c r="A78" s="90" t="str">
        <f>'BH Tariffs'!A22</f>
        <v>Infrastructure Fee</v>
      </c>
      <c r="B78" s="356"/>
      <c r="C78" s="356"/>
      <c r="D78" s="502">
        <v>0</v>
      </c>
      <c r="E78" s="504">
        <v>0</v>
      </c>
      <c r="F78" s="504">
        <f>'BH Tariffs'!E22*'Cruise Projections'!V97</f>
        <v>522936.74160000001</v>
      </c>
      <c r="G78" s="504">
        <f>'BH Tariffs'!F22*'Cruise Projections'!W97</f>
        <v>533395.47643200005</v>
      </c>
      <c r="H78" s="504">
        <f>'BH Tariffs'!G22*'Cruise Projections'!X97</f>
        <v>544063.38596063992</v>
      </c>
      <c r="I78" s="504">
        <f>'BH Tariffs'!H22*'Cruise Projections'!Y97</f>
        <v>554944.65367985272</v>
      </c>
      <c r="J78" s="504">
        <f>'BH Tariffs'!I22*'Cruise Projections'!Z97</f>
        <v>566043.54675344983</v>
      </c>
      <c r="K78" s="504">
        <f>'BH Tariffs'!J22*'Cruise Projections'!AA97</f>
        <v>577364.41768851888</v>
      </c>
      <c r="L78" s="504">
        <f>'BH Tariffs'!K22*'Cruise Projections'!AB97</f>
        <v>588911.70604228915</v>
      </c>
      <c r="M78" s="504">
        <f>'BH Tariffs'!L22*'Cruise Projections'!AC97</f>
        <v>600689.94016313506</v>
      </c>
      <c r="N78" s="504">
        <f>'BH Tariffs'!M22*'Cruise Projections'!AD97</f>
        <v>612703.73896639771</v>
      </c>
      <c r="O78" s="504">
        <f>'BH Tariffs'!N22*'Cruise Projections'!AE97</f>
        <v>624957.81374572578</v>
      </c>
      <c r="P78" s="504">
        <f>'BH Tariffs'!O22*'Cruise Projections'!AF97</f>
        <v>637456.97002064029</v>
      </c>
      <c r="Q78" s="504">
        <f>'BH Tariffs'!P22*'Cruise Projections'!AG97</f>
        <v>650206.10942105309</v>
      </c>
      <c r="R78" s="504">
        <f>'BH Tariffs'!Q22*'Cruise Projections'!AH97</f>
        <v>663210.23160947405</v>
      </c>
      <c r="S78" s="504">
        <f>'BH Tariffs'!R22*'Cruise Projections'!AI97</f>
        <v>676474.43624166364</v>
      </c>
      <c r="T78" s="504">
        <f>'BH Tariffs'!S22*'Cruise Projections'!AJ97</f>
        <v>690003.924966497</v>
      </c>
      <c r="U78" s="504">
        <f>'BH Tariffs'!T22*'Cruise Projections'!AK97</f>
        <v>703804.00346582686</v>
      </c>
      <c r="V78" s="504">
        <f>'BH Tariffs'!U22*'Cruise Projections'!AL97</f>
        <v>717880.08353514341</v>
      </c>
      <c r="W78" s="504">
        <f>'BH Tariffs'!V22*'Cruise Projections'!AM97</f>
        <v>732237.68520584644</v>
      </c>
      <c r="X78" s="504">
        <f>'BH Tariffs'!W22*'Cruise Projections'!AN97</f>
        <v>746882.43890996324</v>
      </c>
    </row>
    <row r="79" spans="1:25">
      <c r="A79" s="90"/>
      <c r="B79" s="89"/>
      <c r="C79" s="89"/>
      <c r="D79" s="502"/>
      <c r="E79" s="504"/>
      <c r="F79" s="504"/>
      <c r="G79" s="504"/>
      <c r="H79" s="504"/>
      <c r="I79" s="504"/>
      <c r="J79" s="504"/>
      <c r="K79" s="504"/>
      <c r="L79" s="504"/>
      <c r="M79" s="504"/>
      <c r="N79" s="504"/>
      <c r="O79" s="504"/>
      <c r="P79" s="504"/>
      <c r="Q79" s="504"/>
      <c r="R79" s="504"/>
      <c r="S79" s="504"/>
      <c r="T79" s="504"/>
      <c r="U79" s="504"/>
      <c r="V79" s="504"/>
      <c r="W79" s="504"/>
      <c r="X79" s="504"/>
    </row>
    <row r="80" spans="1:25" s="341" customFormat="1">
      <c r="A80" s="543" t="s">
        <v>163</v>
      </c>
      <c r="B80" s="354"/>
      <c r="C80" s="355"/>
      <c r="D80" s="548"/>
      <c r="E80" s="503"/>
      <c r="F80" s="503"/>
      <c r="G80" s="503"/>
      <c r="H80" s="503"/>
      <c r="I80" s="503"/>
      <c r="J80" s="503"/>
      <c r="K80" s="503"/>
      <c r="L80" s="503"/>
      <c r="M80" s="503"/>
      <c r="N80" s="503"/>
      <c r="O80" s="503"/>
      <c r="P80" s="503"/>
      <c r="Q80" s="503"/>
      <c r="R80" s="503"/>
      <c r="S80" s="503"/>
      <c r="T80" s="503"/>
      <c r="U80" s="503"/>
      <c r="V80" s="503"/>
      <c r="W80" s="503"/>
      <c r="X80" s="503"/>
    </row>
    <row r="81" spans="1:25" s="341" customFormat="1">
      <c r="A81" s="353" t="str">
        <f>'BH Tariffs'!A25</f>
        <v>Dock Rent (12 months)</v>
      </c>
      <c r="B81" s="354"/>
      <c r="C81" s="355"/>
      <c r="D81" s="548">
        <v>0</v>
      </c>
      <c r="E81" s="503">
        <v>0</v>
      </c>
      <c r="F81" s="503">
        <v>0</v>
      </c>
      <c r="G81" s="503">
        <v>0</v>
      </c>
      <c r="H81" s="503">
        <v>0</v>
      </c>
      <c r="I81" s="503">
        <v>0</v>
      </c>
      <c r="J81" s="503">
        <v>0</v>
      </c>
      <c r="K81" s="503">
        <v>0</v>
      </c>
      <c r="L81" s="503">
        <v>0</v>
      </c>
      <c r="M81" s="503">
        <v>0</v>
      </c>
      <c r="N81" s="503">
        <v>0</v>
      </c>
      <c r="O81" s="503">
        <v>0</v>
      </c>
      <c r="P81" s="503">
        <v>0</v>
      </c>
      <c r="Q81" s="503">
        <v>0</v>
      </c>
      <c r="R81" s="503">
        <v>0</v>
      </c>
      <c r="S81" s="503">
        <v>0</v>
      </c>
      <c r="T81" s="503">
        <v>0</v>
      </c>
      <c r="U81" s="503">
        <v>0</v>
      </c>
      <c r="V81" s="503">
        <v>0</v>
      </c>
      <c r="W81" s="503">
        <v>0</v>
      </c>
      <c r="X81" s="503">
        <v>0</v>
      </c>
    </row>
    <row r="82" spans="1:25" s="341" customFormat="1">
      <c r="A82" s="353" t="str">
        <f>'BH Tariffs'!A26</f>
        <v>Ferry Passenger Wharfage</v>
      </c>
      <c r="B82" s="354"/>
      <c r="C82" s="355"/>
      <c r="D82" s="548">
        <v>0</v>
      </c>
      <c r="E82" s="503">
        <v>0</v>
      </c>
      <c r="F82" s="503">
        <v>0</v>
      </c>
      <c r="G82" s="503">
        <v>0</v>
      </c>
      <c r="H82" s="503">
        <v>0</v>
      </c>
      <c r="I82" s="503">
        <v>0</v>
      </c>
      <c r="J82" s="503">
        <v>0</v>
      </c>
      <c r="K82" s="503">
        <v>0</v>
      </c>
      <c r="L82" s="503">
        <v>0</v>
      </c>
      <c r="M82" s="503">
        <v>0</v>
      </c>
      <c r="N82" s="503">
        <v>0</v>
      </c>
      <c r="O82" s="503">
        <v>0</v>
      </c>
      <c r="P82" s="503">
        <v>0</v>
      </c>
      <c r="Q82" s="503">
        <v>0</v>
      </c>
      <c r="R82" s="503">
        <v>0</v>
      </c>
      <c r="S82" s="503">
        <v>0</v>
      </c>
      <c r="T82" s="503">
        <v>0</v>
      </c>
      <c r="U82" s="503">
        <v>0</v>
      </c>
      <c r="V82" s="503">
        <v>0</v>
      </c>
      <c r="W82" s="503">
        <v>0</v>
      </c>
      <c r="X82" s="503">
        <v>0</v>
      </c>
    </row>
    <row r="83" spans="1:25" s="341" customFormat="1">
      <c r="A83" s="353" t="str">
        <f>'BH Tariffs'!A27</f>
        <v>Ferry Passenger Vehicle Wharfage</v>
      </c>
      <c r="B83" s="354"/>
      <c r="C83" s="355"/>
      <c r="D83" s="548">
        <v>0</v>
      </c>
      <c r="E83" s="503">
        <v>0</v>
      </c>
      <c r="F83" s="503">
        <v>0</v>
      </c>
      <c r="G83" s="503">
        <v>0</v>
      </c>
      <c r="H83" s="503">
        <v>0</v>
      </c>
      <c r="I83" s="503">
        <v>0</v>
      </c>
      <c r="J83" s="503">
        <v>0</v>
      </c>
      <c r="K83" s="503">
        <v>0</v>
      </c>
      <c r="L83" s="503">
        <v>0</v>
      </c>
      <c r="M83" s="503">
        <v>0</v>
      </c>
      <c r="N83" s="503">
        <v>0</v>
      </c>
      <c r="O83" s="503">
        <v>0</v>
      </c>
      <c r="P83" s="503">
        <v>0</v>
      </c>
      <c r="Q83" s="503">
        <v>0</v>
      </c>
      <c r="R83" s="503">
        <v>0</v>
      </c>
      <c r="S83" s="503">
        <v>0</v>
      </c>
      <c r="T83" s="503">
        <v>0</v>
      </c>
      <c r="U83" s="503">
        <v>0</v>
      </c>
      <c r="V83" s="503">
        <v>0</v>
      </c>
      <c r="W83" s="503">
        <v>0</v>
      </c>
      <c r="X83" s="503">
        <v>0</v>
      </c>
    </row>
    <row r="84" spans="1:25" s="341" customFormat="1">
      <c r="A84" s="353" t="str">
        <f>'BH Tariffs'!A28</f>
        <v>Ferry Bus Wharfage</v>
      </c>
      <c r="B84" s="354"/>
      <c r="C84" s="355"/>
      <c r="D84" s="548">
        <v>0</v>
      </c>
      <c r="E84" s="503">
        <v>0</v>
      </c>
      <c r="F84" s="503">
        <v>0</v>
      </c>
      <c r="G84" s="503">
        <v>0</v>
      </c>
      <c r="H84" s="503">
        <v>0</v>
      </c>
      <c r="I84" s="503">
        <v>0</v>
      </c>
      <c r="J84" s="503">
        <v>0</v>
      </c>
      <c r="K84" s="503">
        <v>0</v>
      </c>
      <c r="L84" s="503">
        <v>0</v>
      </c>
      <c r="M84" s="503">
        <v>0</v>
      </c>
      <c r="N84" s="503">
        <v>0</v>
      </c>
      <c r="O84" s="503">
        <v>0</v>
      </c>
      <c r="P84" s="503">
        <v>0</v>
      </c>
      <c r="Q84" s="503">
        <v>0</v>
      </c>
      <c r="R84" s="503">
        <v>0</v>
      </c>
      <c r="S84" s="503">
        <v>0</v>
      </c>
      <c r="T84" s="503">
        <v>0</v>
      </c>
      <c r="U84" s="503">
        <v>0</v>
      </c>
      <c r="V84" s="503">
        <v>0</v>
      </c>
      <c r="W84" s="503">
        <v>0</v>
      </c>
      <c r="X84" s="503">
        <v>0</v>
      </c>
    </row>
    <row r="85" spans="1:25">
      <c r="A85" s="88"/>
      <c r="B85" s="30"/>
      <c r="C85" s="89"/>
      <c r="D85" s="502"/>
      <c r="E85" s="504"/>
      <c r="F85" s="504"/>
      <c r="G85" s="504"/>
      <c r="H85" s="504"/>
      <c r="I85" s="504"/>
      <c r="J85" s="504"/>
      <c r="K85" s="504"/>
      <c r="L85" s="504"/>
      <c r="M85" s="504"/>
      <c r="N85" s="504"/>
      <c r="O85" s="504"/>
      <c r="P85" s="504"/>
      <c r="Q85" s="504"/>
      <c r="R85" s="504"/>
      <c r="S85" s="504"/>
      <c r="T85" s="504"/>
      <c r="U85" s="504"/>
      <c r="V85" s="504"/>
      <c r="W85" s="504"/>
      <c r="X85" s="504"/>
    </row>
    <row r="86" spans="1:25" s="96" customFormat="1">
      <c r="A86" s="605" t="s">
        <v>164</v>
      </c>
      <c r="B86" s="606"/>
      <c r="C86" s="356"/>
      <c r="D86" s="502"/>
      <c r="E86" s="504"/>
      <c r="F86" s="504"/>
      <c r="G86" s="504"/>
      <c r="H86" s="504"/>
      <c r="I86" s="504"/>
      <c r="J86" s="504"/>
      <c r="K86" s="504"/>
      <c r="L86" s="504"/>
      <c r="M86" s="504"/>
      <c r="N86" s="504"/>
      <c r="O86" s="504"/>
      <c r="P86" s="504"/>
      <c r="Q86" s="504"/>
      <c r="R86" s="504"/>
      <c r="S86" s="504"/>
      <c r="T86" s="504"/>
      <c r="U86" s="504"/>
      <c r="V86" s="504"/>
      <c r="W86" s="504"/>
      <c r="X86" s="504"/>
    </row>
    <row r="87" spans="1:25" s="96" customFormat="1">
      <c r="A87" s="90" t="str">
        <f>'BH Tariffs'!A31</f>
        <v>Dock Rent (6 Months Only)</v>
      </c>
      <c r="B87" s="606"/>
      <c r="C87" s="356"/>
      <c r="D87" s="502">
        <v>0</v>
      </c>
      <c r="E87" s="504">
        <v>0</v>
      </c>
      <c r="F87" s="504">
        <f>'BH Tariffs'!E31*6</f>
        <v>12240</v>
      </c>
      <c r="G87" s="504">
        <f>'BH Tariffs'!F31*6</f>
        <v>12484.800000000001</v>
      </c>
      <c r="H87" s="504">
        <f>'BH Tariffs'!G31*6</f>
        <v>12734.495999999999</v>
      </c>
      <c r="I87" s="504">
        <f>'BH Tariffs'!H31*6</f>
        <v>12989.18592</v>
      </c>
      <c r="J87" s="504">
        <f>'BH Tariffs'!I31*6</f>
        <v>13248.9696384</v>
      </c>
      <c r="K87" s="504">
        <f>'BH Tariffs'!J31*6</f>
        <v>13513.949031168002</v>
      </c>
      <c r="L87" s="504">
        <f>'BH Tariffs'!K31*6</f>
        <v>13784.228011791361</v>
      </c>
      <c r="M87" s="504">
        <f>'BH Tariffs'!L31*6</f>
        <v>14059.912572027188</v>
      </c>
      <c r="N87" s="504">
        <f>'BH Tariffs'!M31*6</f>
        <v>14341.110823467734</v>
      </c>
      <c r="O87" s="504">
        <f>'BH Tariffs'!N31*6</f>
        <v>14627.933039937088</v>
      </c>
      <c r="P87" s="504">
        <f>'BH Tariffs'!O31*6</f>
        <v>14920.491700735829</v>
      </c>
      <c r="Q87" s="504">
        <f>'BH Tariffs'!P31*6</f>
        <v>15218.901534750545</v>
      </c>
      <c r="R87" s="504">
        <f>'BH Tariffs'!Q31*6</f>
        <v>15523.279565445555</v>
      </c>
      <c r="S87" s="504">
        <f>'BH Tariffs'!R31*6</f>
        <v>15833.745156754467</v>
      </c>
      <c r="T87" s="504">
        <f>'BH Tariffs'!S31*6</f>
        <v>16150.420059889559</v>
      </c>
      <c r="U87" s="504">
        <f>'BH Tariffs'!T31*6</f>
        <v>16473.428461087351</v>
      </c>
      <c r="V87" s="504">
        <f>'BH Tariffs'!U31*6</f>
        <v>16802.897030309097</v>
      </c>
      <c r="W87" s="504">
        <f>'BH Tariffs'!V31*6</f>
        <v>17138.954970915282</v>
      </c>
      <c r="X87" s="504">
        <f>'BH Tariffs'!W31*6</f>
        <v>17481.734070333587</v>
      </c>
    </row>
    <row r="88" spans="1:25" s="96" customFormat="1">
      <c r="A88" s="90"/>
      <c r="B88" s="606"/>
      <c r="C88" s="356"/>
      <c r="D88" s="502"/>
      <c r="E88" s="504"/>
      <c r="F88" s="504"/>
      <c r="G88" s="504"/>
      <c r="H88" s="504"/>
      <c r="I88" s="504"/>
      <c r="J88" s="504"/>
      <c r="K88" s="504"/>
      <c r="L88" s="504"/>
      <c r="M88" s="504"/>
      <c r="N88" s="504"/>
      <c r="O88" s="504"/>
      <c r="P88" s="504"/>
      <c r="Q88" s="504"/>
      <c r="R88" s="504"/>
      <c r="S88" s="504"/>
      <c r="T88" s="504"/>
      <c r="U88" s="504"/>
      <c r="V88" s="504"/>
      <c r="W88" s="504"/>
      <c r="X88" s="504"/>
    </row>
    <row r="89" spans="1:25" s="547" customFormat="1" ht="14.25">
      <c r="A89" s="543" t="str">
        <f>'BH Tariffs'!A33</f>
        <v>Recreational/Commercial Marina</v>
      </c>
      <c r="B89" s="789"/>
      <c r="C89" s="544"/>
      <c r="D89" s="545"/>
      <c r="E89" s="546"/>
      <c r="F89" s="546"/>
      <c r="G89" s="546"/>
      <c r="H89" s="546"/>
      <c r="I89" s="546"/>
      <c r="J89" s="546"/>
      <c r="K89" s="546"/>
      <c r="L89" s="546"/>
      <c r="M89" s="546"/>
      <c r="N89" s="546"/>
      <c r="O89" s="546"/>
      <c r="P89" s="546"/>
      <c r="Q89" s="546"/>
      <c r="R89" s="546"/>
      <c r="S89" s="546"/>
      <c r="T89" s="546"/>
      <c r="U89" s="546"/>
      <c r="V89" s="546"/>
      <c r="W89" s="546"/>
      <c r="X89" s="546"/>
    </row>
    <row r="90" spans="1:25" s="341" customFormat="1">
      <c r="A90" s="353" t="str">
        <f>'BH Tariffs'!A34</f>
        <v>Transient Slip Rent</v>
      </c>
      <c r="B90" s="354"/>
      <c r="C90" s="355"/>
      <c r="D90" s="548">
        <v>0</v>
      </c>
      <c r="E90" s="503">
        <v>0</v>
      </c>
      <c r="F90" s="503">
        <f>'BH Tariffs'!E34*'P&amp;L - Concept B1 - RCCL'!F57</f>
        <v>0</v>
      </c>
      <c r="G90" s="503">
        <f>'BH Tariffs'!F34*'P&amp;L - Concept B1 - RCCL'!G57</f>
        <v>0</v>
      </c>
      <c r="H90" s="503">
        <f>'BH Tariffs'!G34*'P&amp;L - Concept B1 - RCCL'!H57</f>
        <v>0</v>
      </c>
      <c r="I90" s="503">
        <f>'BH Tariffs'!H34*'P&amp;L - Concept B1 - RCCL'!I57</f>
        <v>0</v>
      </c>
      <c r="J90" s="503">
        <f>'BH Tariffs'!I34*'P&amp;L - Concept B1 - RCCL'!J57</f>
        <v>0</v>
      </c>
      <c r="K90" s="503">
        <f>'BH Tariffs'!J34*'P&amp;L - Concept B1 - RCCL'!K57</f>
        <v>0</v>
      </c>
      <c r="L90" s="503">
        <f>'BH Tariffs'!K34*'P&amp;L - Concept B1 - RCCL'!L57</f>
        <v>0</v>
      </c>
      <c r="M90" s="503">
        <f>'BH Tariffs'!L34*'P&amp;L - Concept B1 - RCCL'!M57</f>
        <v>0</v>
      </c>
      <c r="N90" s="503">
        <f>'BH Tariffs'!M34*'P&amp;L - Concept B1 - RCCL'!N57</f>
        <v>0</v>
      </c>
      <c r="O90" s="503">
        <f>'BH Tariffs'!N34*'P&amp;L - Concept B1 - RCCL'!O57</f>
        <v>0</v>
      </c>
      <c r="P90" s="503">
        <f>'BH Tariffs'!O34*'P&amp;L - Concept B1 - RCCL'!P57</f>
        <v>0</v>
      </c>
      <c r="Q90" s="503">
        <f>'BH Tariffs'!P34*'P&amp;L - Concept B1 - RCCL'!Q57</f>
        <v>0</v>
      </c>
      <c r="R90" s="503">
        <f>'BH Tariffs'!Q34*'P&amp;L - Concept B1 - RCCL'!R57</f>
        <v>0</v>
      </c>
      <c r="S90" s="503">
        <f>'BH Tariffs'!R34*'P&amp;L - Concept B1 - RCCL'!S57</f>
        <v>0</v>
      </c>
      <c r="T90" s="503">
        <f>'BH Tariffs'!S34*'P&amp;L - Concept B1 - RCCL'!T57</f>
        <v>0</v>
      </c>
      <c r="U90" s="503">
        <f>'BH Tariffs'!T34*'P&amp;L - Concept B1 - RCCL'!U57</f>
        <v>0</v>
      </c>
      <c r="V90" s="503">
        <f>'BH Tariffs'!U34*'P&amp;L - Concept B1 - RCCL'!V57</f>
        <v>0</v>
      </c>
      <c r="W90" s="503">
        <f>'BH Tariffs'!V34*'P&amp;L - Concept B1 - RCCL'!W57</f>
        <v>0</v>
      </c>
      <c r="X90" s="503">
        <f>'BH Tariffs'!W34*'P&amp;L - Concept B1 - RCCL'!X57</f>
        <v>0</v>
      </c>
    </row>
    <row r="91" spans="1:25" s="341" customFormat="1">
      <c r="A91" s="353" t="s">
        <v>280</v>
      </c>
      <c r="B91" s="354"/>
      <c r="C91" s="355"/>
      <c r="D91" s="548">
        <v>0</v>
      </c>
      <c r="E91" s="503">
        <v>0</v>
      </c>
      <c r="F91" s="503">
        <f>'BH Tariffs'!E35*'P&amp;L - Concept B1 - RCCL'!F58</f>
        <v>0</v>
      </c>
      <c r="G91" s="503">
        <f>'BH Tariffs'!F35*'P&amp;L - Concept B1 - RCCL'!G58</f>
        <v>0</v>
      </c>
      <c r="H91" s="503">
        <f>'BH Tariffs'!G35*'P&amp;L - Concept B1 - RCCL'!H58</f>
        <v>0</v>
      </c>
      <c r="I91" s="503">
        <f>'BH Tariffs'!H35*'P&amp;L - Concept B1 - RCCL'!I58</f>
        <v>0</v>
      </c>
      <c r="J91" s="503">
        <f>'BH Tariffs'!I35*'P&amp;L - Concept B1 - RCCL'!J58</f>
        <v>0</v>
      </c>
      <c r="K91" s="503">
        <f>'BH Tariffs'!J35*'P&amp;L - Concept B1 - RCCL'!K58</f>
        <v>0</v>
      </c>
      <c r="L91" s="503">
        <f>'BH Tariffs'!K35*'P&amp;L - Concept B1 - RCCL'!L58</f>
        <v>0</v>
      </c>
      <c r="M91" s="503">
        <f>'BH Tariffs'!L35*'P&amp;L - Concept B1 - RCCL'!M58</f>
        <v>0</v>
      </c>
      <c r="N91" s="503">
        <f>'BH Tariffs'!M35*'P&amp;L - Concept B1 - RCCL'!N58</f>
        <v>0</v>
      </c>
      <c r="O91" s="503">
        <f>'BH Tariffs'!N35*'P&amp;L - Concept B1 - RCCL'!O58</f>
        <v>0</v>
      </c>
      <c r="P91" s="503">
        <f>'BH Tariffs'!O35*'P&amp;L - Concept B1 - RCCL'!P58</f>
        <v>0</v>
      </c>
      <c r="Q91" s="503">
        <f>'BH Tariffs'!P35*'P&amp;L - Concept B1 - RCCL'!Q58</f>
        <v>0</v>
      </c>
      <c r="R91" s="503">
        <f>'BH Tariffs'!Q35*'P&amp;L - Concept B1 - RCCL'!R58</f>
        <v>0</v>
      </c>
      <c r="S91" s="503">
        <f>'BH Tariffs'!R35*'P&amp;L - Concept B1 - RCCL'!S58</f>
        <v>0</v>
      </c>
      <c r="T91" s="503">
        <f>'BH Tariffs'!S35*'P&amp;L - Concept B1 - RCCL'!T58</f>
        <v>0</v>
      </c>
      <c r="U91" s="503">
        <f>'BH Tariffs'!T35*'P&amp;L - Concept B1 - RCCL'!U58</f>
        <v>0</v>
      </c>
      <c r="V91" s="503">
        <f>'BH Tariffs'!U35*'P&amp;L - Concept B1 - RCCL'!V58</f>
        <v>0</v>
      </c>
      <c r="W91" s="503">
        <f>'BH Tariffs'!V35*'P&amp;L - Concept B1 - RCCL'!W58</f>
        <v>0</v>
      </c>
      <c r="X91" s="503">
        <f>'BH Tariffs'!W35*'P&amp;L - Concept B1 - RCCL'!X58</f>
        <v>0</v>
      </c>
    </row>
    <row r="92" spans="1:25" s="341" customFormat="1">
      <c r="A92" s="353" t="str">
        <f>'BH Tariffs'!A36</f>
        <v>Water/Sewer</v>
      </c>
      <c r="B92" s="354"/>
      <c r="C92" s="355"/>
      <c r="D92" s="548">
        <v>0</v>
      </c>
      <c r="E92" s="503">
        <v>0</v>
      </c>
      <c r="F92" s="503">
        <v>0</v>
      </c>
      <c r="G92" s="503">
        <v>0</v>
      </c>
      <c r="H92" s="503">
        <v>0</v>
      </c>
      <c r="I92" s="503">
        <v>0</v>
      </c>
      <c r="J92" s="503">
        <v>0</v>
      </c>
      <c r="K92" s="503">
        <v>0</v>
      </c>
      <c r="L92" s="503">
        <v>0</v>
      </c>
      <c r="M92" s="503">
        <v>0</v>
      </c>
      <c r="N92" s="503">
        <v>0</v>
      </c>
      <c r="O92" s="503">
        <v>0</v>
      </c>
      <c r="P92" s="503">
        <v>0</v>
      </c>
      <c r="Q92" s="503">
        <v>0</v>
      </c>
      <c r="R92" s="503">
        <v>0</v>
      </c>
      <c r="S92" s="503">
        <v>0</v>
      </c>
      <c r="T92" s="503">
        <v>0</v>
      </c>
      <c r="U92" s="503">
        <v>0</v>
      </c>
      <c r="V92" s="503">
        <v>0</v>
      </c>
      <c r="W92" s="503">
        <v>0</v>
      </c>
      <c r="X92" s="503">
        <v>0</v>
      </c>
      <c r="Y92" s="341" t="s">
        <v>282</v>
      </c>
    </row>
    <row r="93" spans="1:25" s="341" customFormat="1">
      <c r="A93" s="353" t="str">
        <f>'BH Tariffs'!A37</f>
        <v xml:space="preserve">Power (Electricity) </v>
      </c>
      <c r="B93" s="354"/>
      <c r="C93" s="355"/>
      <c r="D93" s="548">
        <v>0</v>
      </c>
      <c r="E93" s="503">
        <v>0</v>
      </c>
      <c r="F93" s="503">
        <v>0</v>
      </c>
      <c r="G93" s="503">
        <v>0</v>
      </c>
      <c r="H93" s="503">
        <v>0</v>
      </c>
      <c r="I93" s="503">
        <v>0</v>
      </c>
      <c r="J93" s="503">
        <v>0</v>
      </c>
      <c r="K93" s="503">
        <v>0</v>
      </c>
      <c r="L93" s="503">
        <v>0</v>
      </c>
      <c r="M93" s="503">
        <v>0</v>
      </c>
      <c r="N93" s="503">
        <v>0</v>
      </c>
      <c r="O93" s="503">
        <v>0</v>
      </c>
      <c r="P93" s="503">
        <v>0</v>
      </c>
      <c r="Q93" s="503">
        <v>0</v>
      </c>
      <c r="R93" s="503">
        <v>0</v>
      </c>
      <c r="S93" s="503">
        <v>0</v>
      </c>
      <c r="T93" s="503">
        <v>0</v>
      </c>
      <c r="U93" s="503">
        <v>0</v>
      </c>
      <c r="V93" s="503">
        <v>0</v>
      </c>
      <c r="W93" s="503">
        <v>0</v>
      </c>
      <c r="X93" s="503">
        <v>0</v>
      </c>
      <c r="Y93" s="341" t="s">
        <v>282</v>
      </c>
    </row>
    <row r="94" spans="1:25" s="341" customFormat="1">
      <c r="A94" s="353" t="s">
        <v>526</v>
      </c>
      <c r="B94" s="354"/>
      <c r="C94" s="355"/>
      <c r="D94" s="548">
        <v>0</v>
      </c>
      <c r="E94" s="503">
        <v>0</v>
      </c>
      <c r="F94" s="503">
        <f>'BH Tariffs'!E38*'P&amp;L - Concept B1 - RCCL'!F56</f>
        <v>0</v>
      </c>
      <c r="G94" s="503">
        <f>'BH Tariffs'!F38*'P&amp;L - Concept B1 - RCCL'!G56</f>
        <v>0</v>
      </c>
      <c r="H94" s="503">
        <f>'BH Tariffs'!G38*'P&amp;L - Concept B1 - RCCL'!H56</f>
        <v>0</v>
      </c>
      <c r="I94" s="503">
        <f>'BH Tariffs'!H38*'P&amp;L - Concept B1 - RCCL'!I56</f>
        <v>0</v>
      </c>
      <c r="J94" s="503">
        <f>'BH Tariffs'!I38*'P&amp;L - Concept B1 - RCCL'!J56</f>
        <v>0</v>
      </c>
      <c r="K94" s="503">
        <f>'BH Tariffs'!J38*'P&amp;L - Concept B1 - RCCL'!K56</f>
        <v>0</v>
      </c>
      <c r="L94" s="503">
        <f>'BH Tariffs'!K38*'P&amp;L - Concept B1 - RCCL'!L56</f>
        <v>0</v>
      </c>
      <c r="M94" s="503">
        <f>'BH Tariffs'!L38*'P&amp;L - Concept B1 - RCCL'!M56</f>
        <v>0</v>
      </c>
      <c r="N94" s="503">
        <f>'BH Tariffs'!M38*'P&amp;L - Concept B1 - RCCL'!N56</f>
        <v>0</v>
      </c>
      <c r="O94" s="503">
        <f>'BH Tariffs'!N38*'P&amp;L - Concept B1 - RCCL'!O56</f>
        <v>0</v>
      </c>
      <c r="P94" s="503">
        <f>'BH Tariffs'!O38*'P&amp;L - Concept B1 - RCCL'!P56</f>
        <v>0</v>
      </c>
      <c r="Q94" s="503">
        <f>'BH Tariffs'!P38*'P&amp;L - Concept B1 - RCCL'!Q56</f>
        <v>0</v>
      </c>
      <c r="R94" s="503">
        <f>'BH Tariffs'!Q38*'P&amp;L - Concept B1 - RCCL'!R56</f>
        <v>0</v>
      </c>
      <c r="S94" s="503">
        <f>'BH Tariffs'!R38*'P&amp;L - Concept B1 - RCCL'!S56</f>
        <v>0</v>
      </c>
      <c r="T94" s="503">
        <f>'BH Tariffs'!S38*'P&amp;L - Concept B1 - RCCL'!T56</f>
        <v>0</v>
      </c>
      <c r="U94" s="503">
        <f>'BH Tariffs'!T38*'P&amp;L - Concept B1 - RCCL'!U56</f>
        <v>0</v>
      </c>
      <c r="V94" s="503">
        <f>'BH Tariffs'!U38*'P&amp;L - Concept B1 - RCCL'!V56</f>
        <v>0</v>
      </c>
      <c r="W94" s="503">
        <f>'BH Tariffs'!V38*'P&amp;L - Concept B1 - RCCL'!W56</f>
        <v>0</v>
      </c>
      <c r="X94" s="503">
        <f>'BH Tariffs'!W38*'P&amp;L - Concept B1 - RCCL'!X56</f>
        <v>0</v>
      </c>
    </row>
    <row r="95" spans="1:25">
      <c r="A95" s="88"/>
      <c r="B95" s="30"/>
      <c r="C95" s="89"/>
      <c r="D95" s="502"/>
      <c r="E95" s="504"/>
      <c r="F95" s="504"/>
      <c r="G95" s="504"/>
      <c r="H95" s="504"/>
      <c r="I95" s="504"/>
      <c r="J95" s="504"/>
      <c r="K95" s="504"/>
      <c r="L95" s="504"/>
      <c r="M95" s="504"/>
      <c r="N95" s="504"/>
      <c r="O95" s="504"/>
      <c r="P95" s="504"/>
      <c r="Q95" s="504"/>
      <c r="R95" s="504"/>
      <c r="S95" s="504"/>
      <c r="T95" s="504"/>
      <c r="U95" s="504"/>
      <c r="V95" s="504"/>
      <c r="W95" s="504"/>
      <c r="X95" s="504"/>
    </row>
    <row r="96" spans="1:25">
      <c r="A96" s="91" t="s">
        <v>26</v>
      </c>
      <c r="B96" s="30"/>
      <c r="C96" s="89"/>
      <c r="D96" s="502"/>
      <c r="E96" s="504"/>
      <c r="F96" s="504"/>
      <c r="G96" s="504"/>
      <c r="H96" s="504"/>
      <c r="I96" s="504"/>
      <c r="J96" s="504"/>
      <c r="K96" s="504"/>
      <c r="L96" s="504"/>
      <c r="M96" s="504"/>
      <c r="N96" s="504"/>
      <c r="O96" s="504"/>
      <c r="P96" s="504"/>
      <c r="Q96" s="504"/>
      <c r="R96" s="504"/>
      <c r="S96" s="504"/>
      <c r="T96" s="504"/>
      <c r="U96" s="504"/>
      <c r="V96" s="504"/>
      <c r="W96" s="504"/>
      <c r="X96" s="504"/>
    </row>
    <row r="97" spans="1:24" s="341" customFormat="1">
      <c r="A97" s="353" t="s">
        <v>214</v>
      </c>
      <c r="B97" s="354"/>
      <c r="C97" s="355"/>
      <c r="D97" s="548">
        <v>0</v>
      </c>
      <c r="E97" s="503">
        <v>0</v>
      </c>
      <c r="F97" s="503">
        <v>0</v>
      </c>
      <c r="G97" s="503">
        <v>0</v>
      </c>
      <c r="H97" s="503">
        <v>0</v>
      </c>
      <c r="I97" s="503">
        <v>0</v>
      </c>
      <c r="J97" s="503">
        <v>0</v>
      </c>
      <c r="K97" s="503">
        <v>0</v>
      </c>
      <c r="L97" s="503">
        <v>0</v>
      </c>
      <c r="M97" s="503">
        <v>0</v>
      </c>
      <c r="N97" s="503">
        <v>0</v>
      </c>
      <c r="O97" s="503">
        <v>0</v>
      </c>
      <c r="P97" s="503">
        <v>0</v>
      </c>
      <c r="Q97" s="503">
        <v>0</v>
      </c>
      <c r="R97" s="503">
        <v>0</v>
      </c>
      <c r="S97" s="503">
        <v>0</v>
      </c>
      <c r="T97" s="503">
        <v>0</v>
      </c>
      <c r="U97" s="503">
        <v>0</v>
      </c>
      <c r="V97" s="503">
        <v>0</v>
      </c>
      <c r="W97" s="503">
        <v>0</v>
      </c>
      <c r="X97" s="503">
        <v>0</v>
      </c>
    </row>
    <row r="98" spans="1:24">
      <c r="A98" s="88" t="s">
        <v>215</v>
      </c>
      <c r="B98" s="30"/>
      <c r="C98" s="89"/>
      <c r="D98" s="502">
        <v>0</v>
      </c>
      <c r="E98" s="504">
        <f>'BH Tariffs'!D43*'P&amp;L - Concept B1 - RCCL'!E44</f>
        <v>0</v>
      </c>
      <c r="F98" s="504">
        <f>'BH Tariffs'!E43*'P&amp;L - Concept B1 - RCCL'!F44</f>
        <v>0</v>
      </c>
      <c r="G98" s="504">
        <f>'BH Tariffs'!F43*'P&amp;L - Concept B1 - RCCL'!G44</f>
        <v>0</v>
      </c>
      <c r="H98" s="504">
        <f>'BH Tariffs'!G43*'P&amp;L - Concept B1 - RCCL'!H44</f>
        <v>0</v>
      </c>
      <c r="I98" s="504">
        <f>'BH Tariffs'!H43*'P&amp;L - Concept B1 - RCCL'!I44</f>
        <v>0</v>
      </c>
      <c r="J98" s="504">
        <f>'BH Tariffs'!I43*'P&amp;L - Concept B1 - RCCL'!J44</f>
        <v>247469.99999999997</v>
      </c>
      <c r="K98" s="504">
        <f>'BH Tariffs'!J43*'P&amp;L - Concept B1 - RCCL'!K44</f>
        <v>247469.99999999997</v>
      </c>
      <c r="L98" s="504">
        <f>'BH Tariffs'!K43*'P&amp;L - Concept B1 - RCCL'!L44</f>
        <v>247469.99999999997</v>
      </c>
      <c r="M98" s="504">
        <f>'BH Tariffs'!L43*'P&amp;L - Concept B1 - RCCL'!M44</f>
        <v>247469.99999999997</v>
      </c>
      <c r="N98" s="504">
        <f>'BH Tariffs'!M43*'P&amp;L - Concept B1 - RCCL'!N44</f>
        <v>247469.99999999997</v>
      </c>
      <c r="O98" s="504">
        <f>'BH Tariffs'!N43*'P&amp;L - Concept B1 - RCCL'!O44</f>
        <v>309337.49999999994</v>
      </c>
      <c r="P98" s="504">
        <f>'BH Tariffs'!O43*'P&amp;L - Concept B1 - RCCL'!P44</f>
        <v>309337.49999999994</v>
      </c>
      <c r="Q98" s="504">
        <f>'BH Tariffs'!P43*'P&amp;L - Concept B1 - RCCL'!Q44</f>
        <v>309337.49999999994</v>
      </c>
      <c r="R98" s="504">
        <f>'BH Tariffs'!Q43*'P&amp;L - Concept B1 - RCCL'!R44</f>
        <v>309337.49999999994</v>
      </c>
      <c r="S98" s="504">
        <f>'BH Tariffs'!R43*'P&amp;L - Concept B1 - RCCL'!S44</f>
        <v>309337.49999999994</v>
      </c>
      <c r="T98" s="504">
        <f>'BH Tariffs'!S43*'P&amp;L - Concept B1 - RCCL'!T44</f>
        <v>371204.99999999994</v>
      </c>
      <c r="U98" s="504">
        <f>'BH Tariffs'!T43*'P&amp;L - Concept B1 - RCCL'!U44</f>
        <v>371204.99999999994</v>
      </c>
      <c r="V98" s="504">
        <f>'BH Tariffs'!U43*'P&amp;L - Concept B1 - RCCL'!V44</f>
        <v>371204.99999999994</v>
      </c>
      <c r="W98" s="504">
        <f>'BH Tariffs'!V43*'P&amp;L - Concept B1 - RCCL'!W44</f>
        <v>371204.99999999994</v>
      </c>
      <c r="X98" s="504">
        <f>'BH Tariffs'!W43*'P&amp;L - Concept B1 - RCCL'!X44</f>
        <v>371204.99999999994</v>
      </c>
    </row>
    <row r="99" spans="1:24">
      <c r="A99" s="91"/>
      <c r="B99" s="30"/>
      <c r="C99" s="89"/>
      <c r="D99" s="502"/>
      <c r="E99" s="504"/>
      <c r="F99" s="504"/>
      <c r="G99" s="504"/>
      <c r="H99" s="504"/>
      <c r="I99" s="504"/>
      <c r="J99" s="504"/>
      <c r="K99" s="504"/>
      <c r="L99" s="504"/>
      <c r="M99" s="504"/>
      <c r="N99" s="504"/>
      <c r="O99" s="504"/>
      <c r="P99" s="504"/>
      <c r="Q99" s="504"/>
      <c r="R99" s="504"/>
      <c r="S99" s="504"/>
      <c r="T99" s="504"/>
      <c r="U99" s="504"/>
      <c r="V99" s="504"/>
      <c r="W99" s="504"/>
      <c r="X99" s="504"/>
    </row>
    <row r="100" spans="1:24">
      <c r="A100" s="91" t="s">
        <v>2</v>
      </c>
      <c r="B100" s="30"/>
      <c r="C100" s="89"/>
      <c r="D100" s="502"/>
      <c r="E100" s="504"/>
      <c r="F100" s="504"/>
      <c r="G100" s="504"/>
      <c r="H100" s="504"/>
      <c r="I100" s="504"/>
      <c r="J100" s="504"/>
      <c r="K100" s="504"/>
      <c r="L100" s="504"/>
      <c r="M100" s="504"/>
      <c r="N100" s="504"/>
      <c r="O100" s="504"/>
      <c r="P100" s="504"/>
      <c r="Q100" s="504"/>
      <c r="R100" s="504"/>
      <c r="S100" s="504"/>
      <c r="T100" s="504"/>
      <c r="U100" s="504"/>
      <c r="V100" s="504"/>
      <c r="W100" s="504"/>
      <c r="X100" s="504"/>
    </row>
    <row r="101" spans="1:24">
      <c r="A101" s="88" t="str">
        <f>'BH Tariffs'!A44</f>
        <v>Commerical Rent (Seasonal Kiosk(s)/Vendor(s))</v>
      </c>
      <c r="B101" s="30"/>
      <c r="C101" s="89"/>
      <c r="D101" s="502">
        <v>0</v>
      </c>
      <c r="E101" s="504">
        <f>'BH Tariffs'!D44*'P&amp;L - Concept B1 - RCCL'!E63</f>
        <v>0</v>
      </c>
      <c r="F101" s="504">
        <f>'BH Tariffs'!E44*'P&amp;L - Concept B1 - RCCL'!F63</f>
        <v>0</v>
      </c>
      <c r="G101" s="504">
        <f>'BH Tariffs'!F44*'P&amp;L - Concept B1 - RCCL'!G63*6</f>
        <v>6242.4000000000005</v>
      </c>
      <c r="H101" s="504">
        <f>'BH Tariffs'!G44*'P&amp;L - Concept B1 - RCCL'!H63*6</f>
        <v>6367.2479999999996</v>
      </c>
      <c r="I101" s="504">
        <f>'BH Tariffs'!H44*'P&amp;L - Concept B1 - RCCL'!I63*6</f>
        <v>6494.5929599999999</v>
      </c>
      <c r="J101" s="504">
        <f>'BH Tariffs'!I44*'P&amp;L - Concept B1 - RCCL'!J63*6</f>
        <v>6624.4848191999999</v>
      </c>
      <c r="K101" s="504">
        <f>'BH Tariffs'!J44*'P&amp;L - Concept B1 - RCCL'!K63*6</f>
        <v>6756.974515584001</v>
      </c>
      <c r="L101" s="504">
        <f>'BH Tariffs'!K44*'P&amp;L - Concept B1 - RCCL'!L63*6</f>
        <v>6892.1140058956807</v>
      </c>
      <c r="M101" s="504">
        <f>'BH Tariffs'!L44*'P&amp;L - Concept B1 - RCCL'!M63*6</f>
        <v>7029.9562860135939</v>
      </c>
      <c r="N101" s="504">
        <f>'BH Tariffs'!M44*'P&amp;L - Concept B1 - RCCL'!N63*6</f>
        <v>7170.555411733867</v>
      </c>
      <c r="O101" s="504">
        <f>'BH Tariffs'!N44*'P&amp;L - Concept B1 - RCCL'!O63*6</f>
        <v>7313.9665199685442</v>
      </c>
      <c r="P101" s="504">
        <f>'BH Tariffs'!O44*'P&amp;L - Concept B1 - RCCL'!P63*6</f>
        <v>7460.2458503679145</v>
      </c>
      <c r="Q101" s="504">
        <f>'BH Tariffs'!P44*'P&amp;L - Concept B1 - RCCL'!Q63*6</f>
        <v>7609.4507673752723</v>
      </c>
      <c r="R101" s="504">
        <f>'BH Tariffs'!Q44*'P&amp;L - Concept B1 - RCCL'!R63*6</f>
        <v>7761.6397827227775</v>
      </c>
      <c r="S101" s="504">
        <f>'BH Tariffs'!R44*'P&amp;L - Concept B1 - RCCL'!S63*6</f>
        <v>7916.8725783772334</v>
      </c>
      <c r="T101" s="504">
        <f>'BH Tariffs'!S44*'P&amp;L - Concept B1 - RCCL'!T63*6</f>
        <v>8075.2100299447793</v>
      </c>
      <c r="U101" s="504">
        <f>'BH Tariffs'!T44*'P&amp;L - Concept B1 - RCCL'!U63*6</f>
        <v>8236.7142305436755</v>
      </c>
      <c r="V101" s="504">
        <f>'BH Tariffs'!U44*'P&amp;L - Concept B1 - RCCL'!V63*6</f>
        <v>8401.4485151545487</v>
      </c>
      <c r="W101" s="504">
        <f>'BH Tariffs'!V44*'P&amp;L - Concept B1 - RCCL'!W63*6</f>
        <v>8569.4774854576408</v>
      </c>
      <c r="X101" s="504">
        <f>'BH Tariffs'!W44*'P&amp;L - Concept B1 - RCCL'!X63*6</f>
        <v>8740.8670351667934</v>
      </c>
    </row>
    <row r="102" spans="1:24" s="96" customFormat="1">
      <c r="A102" s="90" t="s">
        <v>541</v>
      </c>
      <c r="B102" s="606"/>
      <c r="C102" s="356"/>
      <c r="D102" s="502">
        <v>0</v>
      </c>
      <c r="E102" s="504">
        <v>0</v>
      </c>
      <c r="F102" s="504">
        <v>0</v>
      </c>
      <c r="G102" s="504">
        <f>G64*0.05</f>
        <v>10000</v>
      </c>
      <c r="H102" s="504">
        <f t="shared" ref="H102:X102" si="10">H64*0.05</f>
        <v>10000</v>
      </c>
      <c r="I102" s="504">
        <f t="shared" si="10"/>
        <v>10000</v>
      </c>
      <c r="J102" s="504">
        <f t="shared" si="10"/>
        <v>10000</v>
      </c>
      <c r="K102" s="504">
        <f t="shared" si="10"/>
        <v>10000</v>
      </c>
      <c r="L102" s="504">
        <f t="shared" si="10"/>
        <v>10000</v>
      </c>
      <c r="M102" s="504">
        <f t="shared" si="10"/>
        <v>10000</v>
      </c>
      <c r="N102" s="504">
        <f t="shared" si="10"/>
        <v>10000</v>
      </c>
      <c r="O102" s="504">
        <f t="shared" si="10"/>
        <v>10000</v>
      </c>
      <c r="P102" s="504">
        <f t="shared" si="10"/>
        <v>10000</v>
      </c>
      <c r="Q102" s="504">
        <f t="shared" si="10"/>
        <v>10000</v>
      </c>
      <c r="R102" s="504">
        <f t="shared" si="10"/>
        <v>10000</v>
      </c>
      <c r="S102" s="504">
        <f t="shared" si="10"/>
        <v>10000</v>
      </c>
      <c r="T102" s="504">
        <f t="shared" si="10"/>
        <v>10000</v>
      </c>
      <c r="U102" s="504">
        <f t="shared" si="10"/>
        <v>10000</v>
      </c>
      <c r="V102" s="504">
        <f t="shared" si="10"/>
        <v>10000</v>
      </c>
      <c r="W102" s="504">
        <f t="shared" si="10"/>
        <v>10000</v>
      </c>
      <c r="X102" s="504">
        <f t="shared" si="10"/>
        <v>10000</v>
      </c>
    </row>
    <row r="103" spans="1:24">
      <c r="A103" s="88" t="str">
        <f>'BH Tariffs'!A45</f>
        <v>Motorcoach Access/Tour Operator Licenses</v>
      </c>
      <c r="B103" s="30"/>
      <c r="C103" s="89"/>
      <c r="D103" s="502">
        <v>0</v>
      </c>
      <c r="E103" s="504">
        <v>0</v>
      </c>
      <c r="F103" s="504">
        <f>'BH Tariffs'!E45*'P&amp;L - Concept B1 - RCCL'!F66</f>
        <v>3060</v>
      </c>
      <c r="G103" s="504">
        <f>'BH Tariffs'!F45*'P&amp;L - Concept B1 - RCCL'!G66</f>
        <v>3121.2000000000003</v>
      </c>
      <c r="H103" s="504">
        <f>'BH Tariffs'!G45*'P&amp;L - Concept B1 - RCCL'!H66</f>
        <v>3183.6239999999998</v>
      </c>
      <c r="I103" s="504">
        <f>'BH Tariffs'!H45*'P&amp;L - Concept B1 - RCCL'!I66</f>
        <v>3247.29648</v>
      </c>
      <c r="J103" s="504">
        <f>'BH Tariffs'!I45*'P&amp;L - Concept B1 - RCCL'!J66</f>
        <v>3312.2424096</v>
      </c>
      <c r="K103" s="504">
        <f>'BH Tariffs'!J45*'P&amp;L - Concept B1 - RCCL'!K66</f>
        <v>3378.4872577920005</v>
      </c>
      <c r="L103" s="504">
        <f>'BH Tariffs'!K45*'P&amp;L - Concept B1 - RCCL'!L66</f>
        <v>3446.0570029478404</v>
      </c>
      <c r="M103" s="504">
        <f>'BH Tariffs'!L45*'P&amp;L - Concept B1 - RCCL'!M66</f>
        <v>3514.9781430067969</v>
      </c>
      <c r="N103" s="504">
        <f>'BH Tariffs'!M45*'P&amp;L - Concept B1 - RCCL'!N66</f>
        <v>3585.2777058669335</v>
      </c>
      <c r="O103" s="504">
        <f>'BH Tariffs'!N45*'P&amp;L - Concept B1 - RCCL'!O66</f>
        <v>3656.9832599842721</v>
      </c>
      <c r="P103" s="504">
        <f>'BH Tariffs'!O45*'P&amp;L - Concept B1 - RCCL'!P66</f>
        <v>3730.1229251839572</v>
      </c>
      <c r="Q103" s="504">
        <f>'BH Tariffs'!P45*'P&amp;L - Concept B1 - RCCL'!Q66</f>
        <v>3804.7253836876362</v>
      </c>
      <c r="R103" s="504">
        <f>'BH Tariffs'!Q45*'P&amp;L - Concept B1 - RCCL'!R66</f>
        <v>3880.8198913613887</v>
      </c>
      <c r="S103" s="504">
        <f>'BH Tariffs'!R45*'P&amp;L - Concept B1 - RCCL'!S66</f>
        <v>3958.4362891886167</v>
      </c>
      <c r="T103" s="504">
        <f>'BH Tariffs'!S45*'P&amp;L - Concept B1 - RCCL'!T66</f>
        <v>4037.6050149723897</v>
      </c>
      <c r="U103" s="504">
        <f>'BH Tariffs'!T45*'P&amp;L - Concept B1 - RCCL'!U66</f>
        <v>4118.3571152718378</v>
      </c>
      <c r="V103" s="504">
        <f>'BH Tariffs'!U45*'P&amp;L - Concept B1 - RCCL'!V66</f>
        <v>4200.7242575772743</v>
      </c>
      <c r="W103" s="504">
        <f>'BH Tariffs'!V45*'P&amp;L - Concept B1 - RCCL'!W66</f>
        <v>4284.7387427288204</v>
      </c>
      <c r="X103" s="504">
        <f>'BH Tariffs'!W45*'P&amp;L - Concept B1 - RCCL'!X66</f>
        <v>4370.4335175833967</v>
      </c>
    </row>
    <row r="104" spans="1:24">
      <c r="A104" s="299" t="s">
        <v>217</v>
      </c>
      <c r="B104" s="299"/>
      <c r="C104" s="299"/>
      <c r="D104" s="505">
        <v>0</v>
      </c>
      <c r="E104" s="506">
        <v>0</v>
      </c>
      <c r="F104" s="506">
        <f>'BH Tariffs'!E46*'P&amp;L - Concept B1 - RCCL'!F65</f>
        <v>500</v>
      </c>
      <c r="G104" s="506">
        <f>'BH Tariffs'!F46*'P&amp;L - Concept B1 - RCCL'!G65</f>
        <v>1000</v>
      </c>
      <c r="H104" s="506">
        <f>'BH Tariffs'!G46*'P&amp;L - Concept B1 - RCCL'!H65</f>
        <v>1000</v>
      </c>
      <c r="I104" s="506">
        <f>'BH Tariffs'!H46*'P&amp;L - Concept B1 - RCCL'!I65</f>
        <v>1000</v>
      </c>
      <c r="J104" s="506">
        <f>'BH Tariffs'!I46*'P&amp;L - Concept B1 - RCCL'!J65</f>
        <v>1650</v>
      </c>
      <c r="K104" s="506">
        <f>'BH Tariffs'!J46*'P&amp;L - Concept B1 - RCCL'!K65</f>
        <v>1650</v>
      </c>
      <c r="L104" s="506">
        <f>'BH Tariffs'!K46*'P&amp;L - Concept B1 - RCCL'!L65</f>
        <v>1650</v>
      </c>
      <c r="M104" s="506">
        <f>'BH Tariffs'!L46*'P&amp;L - Concept B1 - RCCL'!M65</f>
        <v>1650</v>
      </c>
      <c r="N104" s="506">
        <f>'BH Tariffs'!M46*'P&amp;L - Concept B1 - RCCL'!N65</f>
        <v>1650</v>
      </c>
      <c r="O104" s="506">
        <f>'BH Tariffs'!N46*'P&amp;L - Concept B1 - RCCL'!O65</f>
        <v>2400</v>
      </c>
      <c r="P104" s="506">
        <f>'BH Tariffs'!O46*'P&amp;L - Concept B1 - RCCL'!P65</f>
        <v>2400</v>
      </c>
      <c r="Q104" s="506">
        <f>'BH Tariffs'!P46*'P&amp;L - Concept B1 - RCCL'!Q65</f>
        <v>2400</v>
      </c>
      <c r="R104" s="506">
        <f>'BH Tariffs'!Q46*'P&amp;L - Concept B1 - RCCL'!R65</f>
        <v>2400</v>
      </c>
      <c r="S104" s="506">
        <f>'BH Tariffs'!R46*'P&amp;L - Concept B1 - RCCL'!S65</f>
        <v>2400</v>
      </c>
      <c r="T104" s="506">
        <f>'BH Tariffs'!S46*'P&amp;L - Concept B1 - RCCL'!T65</f>
        <v>3250</v>
      </c>
      <c r="U104" s="506">
        <f>'BH Tariffs'!T46*'P&amp;L - Concept B1 - RCCL'!U65</f>
        <v>3250</v>
      </c>
      <c r="V104" s="506">
        <f>'BH Tariffs'!U46*'P&amp;L - Concept B1 - RCCL'!V65</f>
        <v>3250</v>
      </c>
      <c r="W104" s="506">
        <f>'BH Tariffs'!V46*'P&amp;L - Concept B1 - RCCL'!W65</f>
        <v>3250</v>
      </c>
      <c r="X104" s="506">
        <f>'BH Tariffs'!W46*'P&amp;L - Concept B1 - RCCL'!X65</f>
        <v>3250</v>
      </c>
    </row>
    <row r="105" spans="1:24">
      <c r="A105" s="278" t="s">
        <v>145</v>
      </c>
      <c r="D105" s="507">
        <f>SUM(D71:D104)</f>
        <v>0</v>
      </c>
      <c r="E105" s="508">
        <f>SUM(E70:E104)</f>
        <v>0</v>
      </c>
      <c r="F105" s="508">
        <f t="shared" ref="F105:X105" si="11">SUM(F70:F104)</f>
        <v>1162622.3325893106</v>
      </c>
      <c r="G105" s="508">
        <f t="shared" si="11"/>
        <v>1202607.1792410968</v>
      </c>
      <c r="H105" s="508">
        <f t="shared" si="11"/>
        <v>1226439.3228259187</v>
      </c>
      <c r="I105" s="508">
        <f t="shared" si="11"/>
        <v>1250748.1092824372</v>
      </c>
      <c r="J105" s="508">
        <f t="shared" si="11"/>
        <v>1523663.0714680857</v>
      </c>
      <c r="K105" s="508">
        <f t="shared" si="11"/>
        <v>1548953.9328974474</v>
      </c>
      <c r="L105" s="508">
        <f t="shared" si="11"/>
        <v>1574750.6115553963</v>
      </c>
      <c r="M105" s="508">
        <f t="shared" si="11"/>
        <v>1601063.2237865047</v>
      </c>
      <c r="N105" s="508">
        <f t="shared" si="11"/>
        <v>1627902.0882622346</v>
      </c>
      <c r="O105" s="508">
        <f t="shared" si="11"/>
        <v>1717895.2300274796</v>
      </c>
      <c r="P105" s="508">
        <f t="shared" si="11"/>
        <v>1745818.3846280293</v>
      </c>
      <c r="Q105" s="508">
        <f t="shared" si="11"/>
        <v>1774300.0023205895</v>
      </c>
      <c r="R105" s="508">
        <f t="shared" si="11"/>
        <v>1803351.2523670013</v>
      </c>
      <c r="S105" s="508">
        <f t="shared" si="11"/>
        <v>1832983.5274143415</v>
      </c>
      <c r="T105" s="508">
        <f t="shared" si="11"/>
        <v>1925925.9479626282</v>
      </c>
      <c r="U105" s="508">
        <f t="shared" si="11"/>
        <v>1956755.366921881</v>
      </c>
      <c r="V105" s="508">
        <f t="shared" si="11"/>
        <v>1988201.3742603185</v>
      </c>
      <c r="W105" s="508">
        <f t="shared" si="11"/>
        <v>2020276.3017455253</v>
      </c>
      <c r="X105" s="508">
        <f t="shared" si="11"/>
        <v>2052992.7277804357</v>
      </c>
    </row>
    <row r="106" spans="1:24">
      <c r="D106" s="507"/>
      <c r="E106" s="413"/>
      <c r="F106" s="413"/>
      <c r="G106" s="413"/>
      <c r="H106" s="413"/>
      <c r="I106" s="413"/>
      <c r="J106" s="413"/>
      <c r="K106" s="413"/>
      <c r="L106" s="413"/>
      <c r="M106" s="413"/>
      <c r="N106" s="413"/>
      <c r="O106" s="413"/>
      <c r="P106" s="413"/>
      <c r="Q106" s="413"/>
      <c r="R106" s="413"/>
      <c r="S106" s="413"/>
      <c r="T106" s="413"/>
      <c r="U106" s="413"/>
      <c r="V106" s="413"/>
      <c r="W106" s="413"/>
      <c r="X106" s="413"/>
    </row>
    <row r="107" spans="1:24">
      <c r="A107" s="271" t="s">
        <v>146</v>
      </c>
      <c r="B107" s="149"/>
      <c r="C107" s="149"/>
      <c r="D107" s="509"/>
      <c r="E107" s="510"/>
      <c r="F107" s="510"/>
      <c r="G107" s="510"/>
      <c r="H107" s="510"/>
      <c r="I107" s="510"/>
      <c r="J107" s="510"/>
      <c r="K107" s="510"/>
      <c r="L107" s="510"/>
      <c r="M107" s="510"/>
      <c r="N107" s="510"/>
      <c r="O107" s="510"/>
      <c r="P107" s="510"/>
      <c r="Q107" s="510"/>
      <c r="R107" s="510"/>
      <c r="S107" s="510"/>
      <c r="T107" s="510"/>
      <c r="U107" s="510"/>
      <c r="V107" s="510"/>
      <c r="W107" s="510"/>
      <c r="X107" s="510"/>
    </row>
    <row r="108" spans="1:24">
      <c r="D108" s="507"/>
      <c r="E108" s="413"/>
      <c r="F108" s="413"/>
      <c r="G108" s="413"/>
      <c r="H108" s="413"/>
      <c r="I108" s="413"/>
      <c r="J108" s="413"/>
      <c r="K108" s="413"/>
      <c r="L108" s="413"/>
      <c r="M108" s="413"/>
      <c r="N108" s="413"/>
      <c r="O108" s="413"/>
      <c r="P108" s="413"/>
      <c r="Q108" s="413"/>
      <c r="R108" s="413"/>
      <c r="S108" s="413"/>
      <c r="T108" s="413"/>
      <c r="U108" s="413"/>
      <c r="V108" s="413"/>
      <c r="W108" s="413"/>
      <c r="X108" s="413"/>
    </row>
    <row r="109" spans="1:24">
      <c r="A109" s="91" t="s">
        <v>380</v>
      </c>
      <c r="B109" s="89"/>
      <c r="C109" s="89"/>
      <c r="D109" s="502"/>
      <c r="E109" s="504"/>
      <c r="F109" s="504"/>
      <c r="G109" s="504"/>
      <c r="H109" s="504"/>
      <c r="I109" s="504"/>
      <c r="J109" s="504"/>
      <c r="K109" s="504"/>
      <c r="L109" s="504"/>
      <c r="M109" s="504"/>
      <c r="N109" s="504"/>
      <c r="O109" s="504"/>
      <c r="P109" s="504"/>
      <c r="Q109" s="504"/>
      <c r="R109" s="504"/>
      <c r="S109" s="504"/>
      <c r="T109" s="504"/>
      <c r="U109" s="504"/>
      <c r="V109" s="504"/>
      <c r="W109" s="504"/>
      <c r="X109" s="504"/>
    </row>
    <row r="110" spans="1:24">
      <c r="A110" s="88" t="s">
        <v>432</v>
      </c>
      <c r="B110" s="89"/>
      <c r="C110" s="89"/>
      <c r="D110" s="502">
        <v>0</v>
      </c>
      <c r="E110" s="504">
        <v>0</v>
      </c>
      <c r="F110" s="504">
        <v>0</v>
      </c>
      <c r="G110" s="504">
        <v>0</v>
      </c>
      <c r="H110" s="504">
        <v>0</v>
      </c>
      <c r="I110" s="504">
        <v>0</v>
      </c>
      <c r="J110" s="504">
        <v>0</v>
      </c>
      <c r="K110" s="504">
        <v>0</v>
      </c>
      <c r="L110" s="504">
        <v>0</v>
      </c>
      <c r="M110" s="504">
        <v>0</v>
      </c>
      <c r="N110" s="504">
        <v>0</v>
      </c>
      <c r="O110" s="504">
        <v>0</v>
      </c>
      <c r="P110" s="504">
        <v>0</v>
      </c>
      <c r="Q110" s="504">
        <v>0</v>
      </c>
      <c r="R110" s="504">
        <v>0</v>
      </c>
      <c r="S110" s="504">
        <v>0</v>
      </c>
      <c r="T110" s="504">
        <v>0</v>
      </c>
      <c r="U110" s="504">
        <v>0</v>
      </c>
      <c r="V110" s="504">
        <v>0</v>
      </c>
      <c r="W110" s="504">
        <v>0</v>
      </c>
      <c r="X110" s="504">
        <v>0</v>
      </c>
    </row>
    <row r="111" spans="1:24">
      <c r="A111" s="88" t="s">
        <v>433</v>
      </c>
      <c r="B111" s="89"/>
      <c r="C111" s="89"/>
      <c r="D111" s="502">
        <v>0</v>
      </c>
      <c r="E111" s="504">
        <v>0</v>
      </c>
      <c r="F111" s="504">
        <v>0</v>
      </c>
      <c r="G111" s="504">
        <v>0</v>
      </c>
      <c r="H111" s="504">
        <v>0</v>
      </c>
      <c r="I111" s="504">
        <v>0</v>
      </c>
      <c r="J111" s="504">
        <v>0</v>
      </c>
      <c r="K111" s="504">
        <v>0</v>
      </c>
      <c r="L111" s="504">
        <v>0</v>
      </c>
      <c r="M111" s="504">
        <v>0</v>
      </c>
      <c r="N111" s="504">
        <v>0</v>
      </c>
      <c r="O111" s="504">
        <v>0</v>
      </c>
      <c r="P111" s="504">
        <v>0</v>
      </c>
      <c r="Q111" s="504">
        <v>0</v>
      </c>
      <c r="R111" s="504">
        <v>0</v>
      </c>
      <c r="S111" s="504">
        <v>0</v>
      </c>
      <c r="T111" s="504">
        <v>0</v>
      </c>
      <c r="U111" s="504">
        <v>0</v>
      </c>
      <c r="V111" s="504">
        <v>0</v>
      </c>
      <c r="W111" s="504">
        <v>0</v>
      </c>
      <c r="X111" s="504">
        <v>0</v>
      </c>
    </row>
    <row r="112" spans="1:24">
      <c r="A112" s="88" t="s">
        <v>434</v>
      </c>
      <c r="B112" s="89"/>
      <c r="C112" s="89"/>
      <c r="D112" s="502">
        <v>0</v>
      </c>
      <c r="E112" s="504">
        <v>0</v>
      </c>
      <c r="F112" s="504">
        <v>0</v>
      </c>
      <c r="G112" s="504">
        <v>0</v>
      </c>
      <c r="H112" s="504">
        <v>0</v>
      </c>
      <c r="I112" s="504">
        <v>0</v>
      </c>
      <c r="J112" s="504">
        <v>0</v>
      </c>
      <c r="K112" s="504">
        <v>0</v>
      </c>
      <c r="L112" s="504">
        <v>0</v>
      </c>
      <c r="M112" s="504">
        <v>0</v>
      </c>
      <c r="N112" s="504">
        <v>0</v>
      </c>
      <c r="O112" s="504">
        <v>0</v>
      </c>
      <c r="P112" s="504">
        <v>0</v>
      </c>
      <c r="Q112" s="504">
        <v>0</v>
      </c>
      <c r="R112" s="504">
        <v>0</v>
      </c>
      <c r="S112" s="504">
        <v>0</v>
      </c>
      <c r="T112" s="504">
        <v>0</v>
      </c>
      <c r="U112" s="504">
        <v>0</v>
      </c>
      <c r="V112" s="504">
        <v>0</v>
      </c>
      <c r="W112" s="504">
        <v>0</v>
      </c>
      <c r="X112" s="504">
        <v>0</v>
      </c>
    </row>
    <row r="113" spans="1:25">
      <c r="A113" s="88" t="s">
        <v>229</v>
      </c>
      <c r="B113" s="30"/>
      <c r="C113" s="89"/>
      <c r="D113" s="502">
        <v>0</v>
      </c>
      <c r="E113" s="504">
        <v>0</v>
      </c>
      <c r="F113" s="504">
        <v>0</v>
      </c>
      <c r="G113" s="504">
        <v>0</v>
      </c>
      <c r="H113" s="504">
        <v>0</v>
      </c>
      <c r="I113" s="504">
        <v>0</v>
      </c>
      <c r="J113" s="504">
        <v>0</v>
      </c>
      <c r="K113" s="504">
        <v>0</v>
      </c>
      <c r="L113" s="504">
        <v>0</v>
      </c>
      <c r="M113" s="504">
        <v>0</v>
      </c>
      <c r="N113" s="504">
        <v>0</v>
      </c>
      <c r="O113" s="504">
        <v>0</v>
      </c>
      <c r="P113" s="504">
        <v>0</v>
      </c>
      <c r="Q113" s="504">
        <v>0</v>
      </c>
      <c r="R113" s="504">
        <v>0</v>
      </c>
      <c r="S113" s="504">
        <v>0</v>
      </c>
      <c r="T113" s="504">
        <v>0</v>
      </c>
      <c r="U113" s="504">
        <v>0</v>
      </c>
      <c r="V113" s="504">
        <v>0</v>
      </c>
      <c r="W113" s="504">
        <v>0</v>
      </c>
      <c r="X113" s="504">
        <v>0</v>
      </c>
    </row>
    <row r="114" spans="1:25" s="32" customFormat="1">
      <c r="A114" s="299" t="s">
        <v>297</v>
      </c>
      <c r="B114" s="299"/>
      <c r="C114" s="299"/>
      <c r="D114" s="505">
        <v>0</v>
      </c>
      <c r="E114" s="506">
        <v>0</v>
      </c>
      <c r="F114" s="506">
        <v>0</v>
      </c>
      <c r="G114" s="506">
        <f t="shared" ref="G114:X114" si="12">G53</f>
        <v>100000</v>
      </c>
      <c r="H114" s="506">
        <f t="shared" si="12"/>
        <v>100000</v>
      </c>
      <c r="I114" s="506">
        <f t="shared" si="12"/>
        <v>100000</v>
      </c>
      <c r="J114" s="506">
        <f t="shared" si="12"/>
        <v>100000</v>
      </c>
      <c r="K114" s="506">
        <f t="shared" si="12"/>
        <v>100000</v>
      </c>
      <c r="L114" s="506">
        <f t="shared" si="12"/>
        <v>100000</v>
      </c>
      <c r="M114" s="506">
        <f t="shared" si="12"/>
        <v>100000</v>
      </c>
      <c r="N114" s="506">
        <f t="shared" si="12"/>
        <v>100000</v>
      </c>
      <c r="O114" s="506">
        <f t="shared" si="12"/>
        <v>100000</v>
      </c>
      <c r="P114" s="506">
        <f t="shared" si="12"/>
        <v>100000</v>
      </c>
      <c r="Q114" s="506">
        <f t="shared" si="12"/>
        <v>100000</v>
      </c>
      <c r="R114" s="506">
        <f t="shared" si="12"/>
        <v>100000</v>
      </c>
      <c r="S114" s="506">
        <f t="shared" si="12"/>
        <v>100000</v>
      </c>
      <c r="T114" s="506">
        <f t="shared" si="12"/>
        <v>100000</v>
      </c>
      <c r="U114" s="506">
        <f t="shared" si="12"/>
        <v>100000</v>
      </c>
      <c r="V114" s="506">
        <f t="shared" si="12"/>
        <v>100000</v>
      </c>
      <c r="W114" s="506">
        <f t="shared" si="12"/>
        <v>100000</v>
      </c>
      <c r="X114" s="506">
        <f t="shared" si="12"/>
        <v>100000</v>
      </c>
    </row>
    <row r="115" spans="1:25">
      <c r="A115" s="278" t="s">
        <v>147</v>
      </c>
      <c r="D115" s="507">
        <f>SUM(D113:D114)</f>
        <v>0</v>
      </c>
      <c r="E115" s="508">
        <f>SUM(E110:E114)</f>
        <v>0</v>
      </c>
      <c r="F115" s="508">
        <f t="shared" ref="F115:X115" si="13">SUM(F110:F114)</f>
        <v>0</v>
      </c>
      <c r="G115" s="508">
        <f t="shared" si="13"/>
        <v>100000</v>
      </c>
      <c r="H115" s="508">
        <f t="shared" si="13"/>
        <v>100000</v>
      </c>
      <c r="I115" s="508">
        <f t="shared" si="13"/>
        <v>100000</v>
      </c>
      <c r="J115" s="508">
        <f t="shared" si="13"/>
        <v>100000</v>
      </c>
      <c r="K115" s="508">
        <f t="shared" si="13"/>
        <v>100000</v>
      </c>
      <c r="L115" s="508">
        <f t="shared" si="13"/>
        <v>100000</v>
      </c>
      <c r="M115" s="508">
        <f t="shared" si="13"/>
        <v>100000</v>
      </c>
      <c r="N115" s="508">
        <f t="shared" si="13"/>
        <v>100000</v>
      </c>
      <c r="O115" s="508">
        <f t="shared" si="13"/>
        <v>100000</v>
      </c>
      <c r="P115" s="508">
        <f t="shared" si="13"/>
        <v>100000</v>
      </c>
      <c r="Q115" s="508">
        <f t="shared" si="13"/>
        <v>100000</v>
      </c>
      <c r="R115" s="508">
        <f t="shared" si="13"/>
        <v>100000</v>
      </c>
      <c r="S115" s="508">
        <f t="shared" si="13"/>
        <v>100000</v>
      </c>
      <c r="T115" s="508">
        <f t="shared" si="13"/>
        <v>100000</v>
      </c>
      <c r="U115" s="508">
        <f t="shared" si="13"/>
        <v>100000</v>
      </c>
      <c r="V115" s="508">
        <f t="shared" si="13"/>
        <v>100000</v>
      </c>
      <c r="W115" s="508">
        <f t="shared" si="13"/>
        <v>100000</v>
      </c>
      <c r="X115" s="508">
        <f t="shared" si="13"/>
        <v>100000</v>
      </c>
    </row>
    <row r="116" spans="1:25">
      <c r="D116" s="507"/>
      <c r="E116" s="413"/>
      <c r="F116" s="413"/>
      <c r="G116" s="413"/>
      <c r="H116" s="413"/>
      <c r="I116" s="413"/>
      <c r="J116" s="413"/>
      <c r="K116" s="413"/>
      <c r="L116" s="413"/>
      <c r="M116" s="413"/>
      <c r="N116" s="413"/>
      <c r="O116" s="413"/>
      <c r="P116" s="413"/>
      <c r="Q116" s="413"/>
      <c r="R116" s="413"/>
      <c r="S116" s="413"/>
      <c r="T116" s="413"/>
      <c r="U116" s="413"/>
      <c r="V116" s="413"/>
      <c r="W116" s="413"/>
      <c r="X116" s="413"/>
    </row>
    <row r="117" spans="1:25">
      <c r="A117" s="88" t="s">
        <v>608</v>
      </c>
      <c r="D117" s="507">
        <f t="shared" ref="D117" si="14">SUM(D115:D116)</f>
        <v>0</v>
      </c>
      <c r="E117" s="413">
        <v>58025</v>
      </c>
      <c r="F117" s="413">
        <v>0</v>
      </c>
      <c r="G117" s="413">
        <v>0</v>
      </c>
      <c r="H117" s="413">
        <v>0</v>
      </c>
      <c r="I117" s="413">
        <v>0</v>
      </c>
      <c r="J117" s="413">
        <v>0</v>
      </c>
      <c r="K117" s="413">
        <v>0</v>
      </c>
      <c r="L117" s="413">
        <v>0</v>
      </c>
      <c r="M117" s="413">
        <v>0</v>
      </c>
      <c r="N117" s="413">
        <v>0</v>
      </c>
      <c r="O117" s="413">
        <v>0</v>
      </c>
      <c r="P117" s="413">
        <v>0</v>
      </c>
      <c r="Q117" s="413">
        <v>0</v>
      </c>
      <c r="R117" s="413">
        <v>0</v>
      </c>
      <c r="S117" s="413">
        <v>0</v>
      </c>
      <c r="T117" s="413">
        <v>0</v>
      </c>
      <c r="U117" s="413">
        <v>0</v>
      </c>
      <c r="V117" s="413">
        <v>0</v>
      </c>
      <c r="W117" s="413">
        <v>0</v>
      </c>
      <c r="X117" s="413">
        <v>0</v>
      </c>
    </row>
    <row r="118" spans="1:25">
      <c r="D118" s="507"/>
      <c r="E118" s="413"/>
      <c r="F118" s="413"/>
      <c r="G118" s="413"/>
      <c r="H118" s="413"/>
      <c r="I118" s="413"/>
      <c r="J118" s="413"/>
      <c r="K118" s="413"/>
      <c r="L118" s="413"/>
      <c r="M118" s="413"/>
      <c r="N118" s="413"/>
      <c r="O118" s="413"/>
      <c r="P118" s="413"/>
      <c r="Q118" s="413"/>
      <c r="R118" s="413"/>
      <c r="S118" s="413"/>
      <c r="T118" s="413"/>
      <c r="U118" s="413"/>
      <c r="V118" s="413"/>
      <c r="W118" s="413"/>
      <c r="X118" s="413"/>
    </row>
    <row r="119" spans="1:25" s="16" customFormat="1" ht="14.25">
      <c r="A119" s="295" t="s">
        <v>148</v>
      </c>
      <c r="B119" s="295"/>
      <c r="C119" s="295"/>
      <c r="D119" s="511">
        <f>SUM(D105,D115)</f>
        <v>0</v>
      </c>
      <c r="E119" s="511">
        <f>SUM(E105,E115,E117)</f>
        <v>58025</v>
      </c>
      <c r="F119" s="511">
        <f t="shared" ref="F119:X119" si="15">SUM(F105,F115,F117)</f>
        <v>1162622.3325893106</v>
      </c>
      <c r="G119" s="511">
        <f t="shared" si="15"/>
        <v>1302607.1792410968</v>
      </c>
      <c r="H119" s="511">
        <f t="shared" si="15"/>
        <v>1326439.3228259187</v>
      </c>
      <c r="I119" s="511">
        <f t="shared" si="15"/>
        <v>1350748.1092824372</v>
      </c>
      <c r="J119" s="511">
        <f t="shared" si="15"/>
        <v>1623663.0714680857</v>
      </c>
      <c r="K119" s="511">
        <f t="shared" si="15"/>
        <v>1648953.9328974474</v>
      </c>
      <c r="L119" s="511">
        <f t="shared" si="15"/>
        <v>1674750.6115553963</v>
      </c>
      <c r="M119" s="511">
        <f t="shared" si="15"/>
        <v>1701063.2237865047</v>
      </c>
      <c r="N119" s="511">
        <f t="shared" si="15"/>
        <v>1727902.0882622346</v>
      </c>
      <c r="O119" s="511">
        <f t="shared" si="15"/>
        <v>1817895.2300274796</v>
      </c>
      <c r="P119" s="511">
        <f t="shared" si="15"/>
        <v>1845818.3846280293</v>
      </c>
      <c r="Q119" s="511">
        <f t="shared" si="15"/>
        <v>1874300.0023205895</v>
      </c>
      <c r="R119" s="511">
        <f t="shared" si="15"/>
        <v>1903351.2523670013</v>
      </c>
      <c r="S119" s="511">
        <f t="shared" si="15"/>
        <v>1932983.5274143415</v>
      </c>
      <c r="T119" s="511">
        <f t="shared" si="15"/>
        <v>2025925.9479626282</v>
      </c>
      <c r="U119" s="511">
        <f t="shared" si="15"/>
        <v>2056755.366921881</v>
      </c>
      <c r="V119" s="511">
        <f t="shared" si="15"/>
        <v>2088201.3742603185</v>
      </c>
      <c r="W119" s="511">
        <f t="shared" si="15"/>
        <v>2120276.3017455256</v>
      </c>
      <c r="X119" s="511">
        <f t="shared" si="15"/>
        <v>2152992.7277804357</v>
      </c>
      <c r="Y119" s="622">
        <f>SUM(D119:X119)</f>
        <v>33395274.987336658</v>
      </c>
    </row>
    <row r="120" spans="1:25">
      <c r="A120" s="30"/>
      <c r="B120" s="30"/>
      <c r="C120" s="30"/>
      <c r="D120" s="502"/>
      <c r="E120" s="512"/>
      <c r="F120" s="512"/>
      <c r="G120" s="512"/>
      <c r="H120" s="512"/>
      <c r="I120" s="512"/>
      <c r="J120" s="512"/>
      <c r="K120" s="512"/>
      <c r="L120" s="512"/>
      <c r="M120" s="512"/>
      <c r="N120" s="512"/>
      <c r="O120" s="512"/>
      <c r="P120" s="512"/>
      <c r="Q120" s="512"/>
      <c r="R120" s="512"/>
      <c r="S120" s="512"/>
      <c r="T120" s="512"/>
      <c r="U120" s="512"/>
      <c r="V120" s="512"/>
      <c r="W120" s="512"/>
      <c r="X120" s="512"/>
    </row>
    <row r="121" spans="1:25" s="33" customFormat="1">
      <c r="A121" s="47" t="s">
        <v>7</v>
      </c>
      <c r="B121" s="47" t="s">
        <v>7</v>
      </c>
      <c r="C121" s="78" t="s">
        <v>7</v>
      </c>
      <c r="D121" s="604" t="s">
        <v>7</v>
      </c>
      <c r="E121" s="78" t="s">
        <v>7</v>
      </c>
      <c r="F121" s="78" t="s">
        <v>7</v>
      </c>
      <c r="G121" s="78" t="s">
        <v>7</v>
      </c>
      <c r="H121" s="78" t="s">
        <v>7</v>
      </c>
      <c r="I121" s="78" t="s">
        <v>7</v>
      </c>
      <c r="J121" s="78" t="s">
        <v>7</v>
      </c>
      <c r="K121" s="78" t="s">
        <v>7</v>
      </c>
      <c r="L121" s="78" t="s">
        <v>7</v>
      </c>
      <c r="M121" s="78" t="s">
        <v>7</v>
      </c>
      <c r="N121" s="78" t="s">
        <v>7</v>
      </c>
      <c r="O121" s="78" t="s">
        <v>7</v>
      </c>
      <c r="P121" s="78" t="s">
        <v>7</v>
      </c>
      <c r="Q121" s="78" t="s">
        <v>7</v>
      </c>
      <c r="R121" s="78" t="s">
        <v>7</v>
      </c>
      <c r="S121" s="78" t="s">
        <v>7</v>
      </c>
      <c r="T121" s="78" t="s">
        <v>7</v>
      </c>
      <c r="U121" s="78" t="s">
        <v>7</v>
      </c>
      <c r="V121" s="78" t="s">
        <v>7</v>
      </c>
      <c r="W121" s="78" t="s">
        <v>7</v>
      </c>
      <c r="X121" s="78" t="s">
        <v>7</v>
      </c>
    </row>
    <row r="122" spans="1:25">
      <c r="A122" s="30"/>
      <c r="B122" s="30"/>
      <c r="C122" s="30"/>
      <c r="D122" s="502"/>
      <c r="E122" s="512"/>
      <c r="F122" s="512"/>
      <c r="G122" s="512"/>
      <c r="H122" s="512"/>
      <c r="I122" s="512"/>
      <c r="J122" s="512"/>
      <c r="K122" s="512"/>
      <c r="L122" s="512"/>
      <c r="M122" s="512"/>
      <c r="N122" s="512"/>
      <c r="O122" s="512"/>
      <c r="P122" s="512"/>
      <c r="Q122" s="512"/>
      <c r="R122" s="512"/>
      <c r="S122" s="512"/>
      <c r="T122" s="512"/>
      <c r="U122" s="512"/>
      <c r="V122" s="512"/>
      <c r="W122" s="512"/>
      <c r="X122" s="512"/>
    </row>
    <row r="123" spans="1:25">
      <c r="A123" s="269" t="s">
        <v>131</v>
      </c>
      <c r="B123" s="269"/>
      <c r="C123" s="270"/>
      <c r="D123" s="513"/>
      <c r="E123" s="513"/>
      <c r="F123" s="513"/>
      <c r="G123" s="513"/>
      <c r="H123" s="513"/>
      <c r="I123" s="513"/>
      <c r="J123" s="513"/>
      <c r="K123" s="513"/>
      <c r="L123" s="513"/>
      <c r="M123" s="513"/>
      <c r="N123" s="513"/>
      <c r="O123" s="513"/>
      <c r="P123" s="513"/>
      <c r="Q123" s="513"/>
      <c r="R123" s="513"/>
      <c r="S123" s="513"/>
      <c r="T123" s="513"/>
      <c r="U123" s="513"/>
      <c r="V123" s="513"/>
      <c r="W123" s="513"/>
      <c r="X123" s="513"/>
    </row>
    <row r="124" spans="1:25">
      <c r="A124" s="69"/>
      <c r="B124" s="69"/>
      <c r="C124" s="69"/>
      <c r="D124" s="502"/>
      <c r="E124" s="504"/>
      <c r="F124" s="504"/>
      <c r="G124" s="504"/>
      <c r="H124" s="504"/>
      <c r="I124" s="504"/>
      <c r="J124" s="504"/>
      <c r="K124" s="504"/>
      <c r="L124" s="504"/>
      <c r="M124" s="504"/>
      <c r="N124" s="504"/>
      <c r="O124" s="504"/>
      <c r="P124" s="504"/>
      <c r="Q124" s="504"/>
      <c r="R124" s="504"/>
      <c r="S124" s="504"/>
      <c r="T124" s="504"/>
      <c r="U124" s="504"/>
      <c r="V124" s="504"/>
      <c r="W124" s="504"/>
      <c r="X124" s="504"/>
    </row>
    <row r="125" spans="1:25" s="96" customFormat="1">
      <c r="A125" s="69" t="s">
        <v>13</v>
      </c>
      <c r="B125" s="69"/>
      <c r="C125" s="69"/>
      <c r="D125" s="514">
        <v>0</v>
      </c>
      <c r="E125" s="515">
        <f>'OPEX - Concept B1 - RCCL'!L78</f>
        <v>12250</v>
      </c>
      <c r="F125" s="515">
        <f>'OPEX - Concept B1 - RCCL'!M78</f>
        <v>129500</v>
      </c>
      <c r="G125" s="515">
        <f>'OPEX - Concept B1 - RCCL'!N78</f>
        <v>132090</v>
      </c>
      <c r="H125" s="515">
        <f>'OPEX - Concept B1 - RCCL'!O78</f>
        <v>134731.79999999999</v>
      </c>
      <c r="I125" s="515">
        <f>'OPEX - Concept B1 - RCCL'!P78</f>
        <v>137426.43599999999</v>
      </c>
      <c r="J125" s="515">
        <f>'OPEX - Concept B1 - RCCL'!Q78</f>
        <v>140174.96471999999</v>
      </c>
      <c r="K125" s="515">
        <f>'OPEX - Concept B1 - RCCL'!R78</f>
        <v>142978.4640144</v>
      </c>
      <c r="L125" s="515">
        <f>'OPEX - Concept B1 - RCCL'!S78</f>
        <v>145838.03329468801</v>
      </c>
      <c r="M125" s="515">
        <f>'OPEX - Concept B1 - RCCL'!T78</f>
        <v>148754.79396058177</v>
      </c>
      <c r="N125" s="515">
        <f>'OPEX - Concept B1 - RCCL'!U78</f>
        <v>151729.88983979341</v>
      </c>
      <c r="O125" s="515">
        <f>'OPEX - Concept B1 - RCCL'!V78</f>
        <v>154764.48763658927</v>
      </c>
      <c r="P125" s="515">
        <f>'OPEX - Concept B1 - RCCL'!W78</f>
        <v>157859.77738932107</v>
      </c>
      <c r="Q125" s="515">
        <f>'OPEX - Concept B1 - RCCL'!X78</f>
        <v>161016.97293710749</v>
      </c>
      <c r="R125" s="515">
        <f>'OPEX - Concept B1 - RCCL'!Y78</f>
        <v>164237.31239584964</v>
      </c>
      <c r="S125" s="515">
        <f>'OPEX - Concept B1 - RCCL'!Z78</f>
        <v>167522.05864376662</v>
      </c>
      <c r="T125" s="515">
        <f>'OPEX - Concept B1 - RCCL'!AA78</f>
        <v>170872.49981664197</v>
      </c>
      <c r="U125" s="515">
        <f>'OPEX - Concept B1 - RCCL'!AB78</f>
        <v>174289.94981297481</v>
      </c>
      <c r="V125" s="515">
        <f>'OPEX - Concept B1 - RCCL'!AC78</f>
        <v>177775.7488092343</v>
      </c>
      <c r="W125" s="515">
        <f>'OPEX - Concept B1 - RCCL'!AD78</f>
        <v>181331.26378541903</v>
      </c>
      <c r="X125" s="515">
        <f>'OPEX - Concept B1 - RCCL'!AE78</f>
        <v>184957.88906112738</v>
      </c>
    </row>
    <row r="126" spans="1:25" s="96" customFormat="1">
      <c r="A126" s="69" t="s">
        <v>41</v>
      </c>
      <c r="B126" s="69"/>
      <c r="C126" s="69"/>
      <c r="D126" s="514">
        <v>0</v>
      </c>
      <c r="E126" s="515">
        <f>'OPEX - Concept B1 - RCCL'!L86</f>
        <v>25000</v>
      </c>
      <c r="F126" s="515">
        <f>'OPEX - Concept B1 - RCCL'!M86</f>
        <v>1000</v>
      </c>
      <c r="G126" s="515">
        <f>'OPEX - Concept B1 - RCCL'!N86</f>
        <v>1020</v>
      </c>
      <c r="H126" s="515">
        <f>'OPEX - Concept B1 - RCCL'!O86</f>
        <v>1040.4000000000001</v>
      </c>
      <c r="I126" s="515">
        <f>'OPEX - Concept B1 - RCCL'!P86</f>
        <v>1061.2079999999999</v>
      </c>
      <c r="J126" s="515">
        <f>'OPEX - Concept B1 - RCCL'!Q86</f>
        <v>1082.4321600000001</v>
      </c>
      <c r="K126" s="515">
        <f>'OPEX - Concept B1 - RCCL'!R86</f>
        <v>1104.0808032</v>
      </c>
      <c r="L126" s="515">
        <f>'OPEX - Concept B1 - RCCL'!S86</f>
        <v>1126.1624192640002</v>
      </c>
      <c r="M126" s="515">
        <f>'OPEX - Concept B1 - RCCL'!T86</f>
        <v>1148.68566764928</v>
      </c>
      <c r="N126" s="515">
        <f>'OPEX - Concept B1 - RCCL'!U86</f>
        <v>1171.6593810022657</v>
      </c>
      <c r="O126" s="515">
        <f>'OPEX - Concept B1 - RCCL'!V86</f>
        <v>25000</v>
      </c>
      <c r="P126" s="515">
        <f>'OPEX - Concept B1 - RCCL'!W86</f>
        <v>1218.9944199947574</v>
      </c>
      <c r="Q126" s="515">
        <f>'OPEX - Concept B1 - RCCL'!X86</f>
        <v>1243.3743083946524</v>
      </c>
      <c r="R126" s="515">
        <f>'OPEX - Concept B1 - RCCL'!Y86</f>
        <v>1268.2417945625455</v>
      </c>
      <c r="S126" s="515">
        <f>'OPEX - Concept B1 - RCCL'!Z86</f>
        <v>1293.6066304537962</v>
      </c>
      <c r="T126" s="515">
        <f>'OPEX - Concept B1 - RCCL'!AA86</f>
        <v>1319.4787630628723</v>
      </c>
      <c r="U126" s="515">
        <f>'OPEX - Concept B1 - RCCL'!AB86</f>
        <v>1345.8683383241298</v>
      </c>
      <c r="V126" s="515">
        <f>'OPEX - Concept B1 - RCCL'!AC86</f>
        <v>1372.7857050906125</v>
      </c>
      <c r="W126" s="515">
        <f>'OPEX - Concept B1 - RCCL'!AD86</f>
        <v>1400.2414191924249</v>
      </c>
      <c r="X126" s="515">
        <f>'OPEX - Concept B1 - RCCL'!AE86</f>
        <v>1428.2462475762734</v>
      </c>
    </row>
    <row r="127" spans="1:25" s="96" customFormat="1">
      <c r="A127" s="69" t="s">
        <v>424</v>
      </c>
      <c r="B127" s="69"/>
      <c r="C127" s="69"/>
      <c r="D127" s="514">
        <v>0</v>
      </c>
      <c r="E127" s="515">
        <f>'OPEX - Concept B1 - RCCL'!L87</f>
        <v>10000</v>
      </c>
      <c r="F127" s="515">
        <f>'OPEX - Concept B1 - RCCL'!M87</f>
        <v>500</v>
      </c>
      <c r="G127" s="515">
        <f>'OPEX - Concept B1 - RCCL'!N87</f>
        <v>520.20000000000005</v>
      </c>
      <c r="H127" s="515">
        <f>'OPEX - Concept B1 - RCCL'!O87</f>
        <v>530.60399999999993</v>
      </c>
      <c r="I127" s="515">
        <f>'OPEX - Concept B1 - RCCL'!P87</f>
        <v>541.21608000000003</v>
      </c>
      <c r="J127" s="515">
        <f>'OPEX - Concept B1 - RCCL'!Q87</f>
        <v>5000</v>
      </c>
      <c r="K127" s="515">
        <f>'OPEX - Concept B1 - RCCL'!R87</f>
        <v>563.08120963200008</v>
      </c>
      <c r="L127" s="515">
        <f>'OPEX - Concept B1 - RCCL'!S87</f>
        <v>574.34283382464002</v>
      </c>
      <c r="M127" s="515">
        <f>'OPEX - Concept B1 - RCCL'!T87</f>
        <v>585.82969050113286</v>
      </c>
      <c r="N127" s="515">
        <f>'OPEX - Concept B1 - RCCL'!U87</f>
        <v>597.54628431115555</v>
      </c>
      <c r="O127" s="515">
        <f>'OPEX - Concept B1 - RCCL'!V87</f>
        <v>5000</v>
      </c>
      <c r="P127" s="515">
        <f>'OPEX - Concept B1 - RCCL'!W87</f>
        <v>621.68715419732621</v>
      </c>
      <c r="Q127" s="515">
        <f>'OPEX - Concept B1 - RCCL'!X87</f>
        <v>634.12089728127273</v>
      </c>
      <c r="R127" s="515">
        <f>'OPEX - Concept B1 - RCCL'!Y87</f>
        <v>646.80331522689812</v>
      </c>
      <c r="S127" s="515">
        <f>'OPEX - Concept B1 - RCCL'!Z87</f>
        <v>659.73938153143615</v>
      </c>
      <c r="T127" s="515">
        <f>'OPEX - Concept B1 - RCCL'!AA87</f>
        <v>5000</v>
      </c>
      <c r="U127" s="515">
        <f>'OPEX - Concept B1 - RCCL'!AB87</f>
        <v>686.39285254530625</v>
      </c>
      <c r="V127" s="515">
        <f>'OPEX - Concept B1 - RCCL'!AC87</f>
        <v>700.12070959621246</v>
      </c>
      <c r="W127" s="515">
        <f>'OPEX - Concept B1 - RCCL'!AD87</f>
        <v>714.1231237881367</v>
      </c>
      <c r="X127" s="515">
        <f>'OPEX - Concept B1 - RCCL'!AE87</f>
        <v>728.40558626389941</v>
      </c>
    </row>
    <row r="128" spans="1:25" s="96" customFormat="1">
      <c r="A128" s="69" t="s">
        <v>42</v>
      </c>
      <c r="B128" s="69"/>
      <c r="C128" s="69"/>
      <c r="D128" s="514">
        <v>0</v>
      </c>
      <c r="E128" s="515">
        <f>'OPEX - Concept B1 - RCCL'!L88</f>
        <v>50000</v>
      </c>
      <c r="F128" s="515">
        <f>'OPEX - Concept B1 - RCCL'!M88</f>
        <v>51000</v>
      </c>
      <c r="G128" s="515">
        <f>'OPEX - Concept B1 - RCCL'!N88</f>
        <v>52020</v>
      </c>
      <c r="H128" s="515">
        <f>'OPEX - Concept B1 - RCCL'!O88</f>
        <v>53060.399999999994</v>
      </c>
      <c r="I128" s="515">
        <f>'OPEX - Concept B1 - RCCL'!P88</f>
        <v>54121.608</v>
      </c>
      <c r="J128" s="515">
        <f>'OPEX - Concept B1 - RCCL'!Q88</f>
        <v>55204.040160000004</v>
      </c>
      <c r="K128" s="515">
        <f>'OPEX - Concept B1 - RCCL'!R88</f>
        <v>56308.120963200003</v>
      </c>
      <c r="L128" s="515">
        <f>'OPEX - Concept B1 - RCCL'!S88</f>
        <v>57434.283382464004</v>
      </c>
      <c r="M128" s="515">
        <f>'OPEX - Concept B1 - RCCL'!T88</f>
        <v>58582.969050113286</v>
      </c>
      <c r="N128" s="515">
        <f>'OPEX - Concept B1 - RCCL'!U88</f>
        <v>59754.628431115554</v>
      </c>
      <c r="O128" s="515">
        <f>'OPEX - Concept B1 - RCCL'!V88</f>
        <v>60949.720999737867</v>
      </c>
      <c r="P128" s="515">
        <f>'OPEX - Concept B1 - RCCL'!W88</f>
        <v>62168.715419732624</v>
      </c>
      <c r="Q128" s="515">
        <f>'OPEX - Concept B1 - RCCL'!X88</f>
        <v>63412.089728127277</v>
      </c>
      <c r="R128" s="515">
        <f>'OPEX - Concept B1 - RCCL'!Y88</f>
        <v>64680.331522689812</v>
      </c>
      <c r="S128" s="515">
        <f>'OPEX - Concept B1 - RCCL'!Z88</f>
        <v>65973.938153143623</v>
      </c>
      <c r="T128" s="515">
        <f>'OPEX - Concept B1 - RCCL'!AA88</f>
        <v>67293.416916206494</v>
      </c>
      <c r="U128" s="515">
        <f>'OPEX - Concept B1 - RCCL'!AB88</f>
        <v>68639.285254530623</v>
      </c>
      <c r="V128" s="515">
        <f>'OPEX - Concept B1 - RCCL'!AC88</f>
        <v>70012.07095962124</v>
      </c>
      <c r="W128" s="515">
        <f>'OPEX - Concept B1 - RCCL'!AD88</f>
        <v>71412.312378813673</v>
      </c>
      <c r="X128" s="515">
        <f>'OPEX - Concept B1 - RCCL'!AE88</f>
        <v>72840.558626389946</v>
      </c>
    </row>
    <row r="129" spans="1:24" s="96" customFormat="1">
      <c r="A129" s="69" t="s">
        <v>43</v>
      </c>
      <c r="B129" s="69"/>
      <c r="C129" s="69"/>
      <c r="D129" s="514">
        <v>0</v>
      </c>
      <c r="E129" s="515">
        <f>'OPEX - Concept B1 - RCCL'!L89</f>
        <v>500</v>
      </c>
      <c r="F129" s="515">
        <f>'OPEX - Concept B1 - RCCL'!M89</f>
        <v>1020</v>
      </c>
      <c r="G129" s="515">
        <f>'OPEX - Concept B1 - RCCL'!N89</f>
        <v>1040.4000000000001</v>
      </c>
      <c r="H129" s="515">
        <f>'OPEX - Concept B1 - RCCL'!O89</f>
        <v>1061.2079999999999</v>
      </c>
      <c r="I129" s="515">
        <f>'OPEX - Concept B1 - RCCL'!P89</f>
        <v>1082.4321600000001</v>
      </c>
      <c r="J129" s="515">
        <f>'OPEX - Concept B1 - RCCL'!Q89</f>
        <v>1104.0808032</v>
      </c>
      <c r="K129" s="515">
        <f>'OPEX - Concept B1 - RCCL'!R89</f>
        <v>1126.1624192640002</v>
      </c>
      <c r="L129" s="515">
        <f>'OPEX - Concept B1 - RCCL'!S89</f>
        <v>1148.68566764928</v>
      </c>
      <c r="M129" s="515">
        <f>'OPEX - Concept B1 - RCCL'!T89</f>
        <v>1171.6593810022657</v>
      </c>
      <c r="N129" s="515">
        <f>'OPEX - Concept B1 - RCCL'!U89</f>
        <v>1195.0925686223111</v>
      </c>
      <c r="O129" s="515">
        <f>'OPEX - Concept B1 - RCCL'!V89</f>
        <v>1218.9944199947574</v>
      </c>
      <c r="P129" s="515">
        <f>'OPEX - Concept B1 - RCCL'!W89</f>
        <v>1243.3743083946524</v>
      </c>
      <c r="Q129" s="515">
        <f>'OPEX - Concept B1 - RCCL'!X89</f>
        <v>1268.2417945625455</v>
      </c>
      <c r="R129" s="515">
        <f>'OPEX - Concept B1 - RCCL'!Y89</f>
        <v>1293.6066304537962</v>
      </c>
      <c r="S129" s="515">
        <f>'OPEX - Concept B1 - RCCL'!Z89</f>
        <v>1319.4787630628723</v>
      </c>
      <c r="T129" s="515">
        <f>'OPEX - Concept B1 - RCCL'!AA89</f>
        <v>1345.8683383241298</v>
      </c>
      <c r="U129" s="515">
        <f>'OPEX - Concept B1 - RCCL'!AB89</f>
        <v>1372.7857050906125</v>
      </c>
      <c r="V129" s="515">
        <f>'OPEX - Concept B1 - RCCL'!AC89</f>
        <v>1400.2414191924249</v>
      </c>
      <c r="W129" s="515">
        <f>'OPEX - Concept B1 - RCCL'!AD89</f>
        <v>1428.2462475762734</v>
      </c>
      <c r="X129" s="515">
        <f>'OPEX - Concept B1 - RCCL'!AE89</f>
        <v>1456.8111725277988</v>
      </c>
    </row>
    <row r="130" spans="1:24" s="96" customFormat="1">
      <c r="A130" s="69" t="s">
        <v>44</v>
      </c>
      <c r="B130" s="69"/>
      <c r="C130" s="69"/>
      <c r="D130" s="514">
        <v>0</v>
      </c>
      <c r="E130" s="515">
        <f>'OPEX - Concept B1 - RCCL'!L90</f>
        <v>250</v>
      </c>
      <c r="F130" s="515">
        <f>'OPEX - Concept B1 - RCCL'!M90</f>
        <v>510</v>
      </c>
      <c r="G130" s="515">
        <f>'OPEX - Concept B1 - RCCL'!N90</f>
        <v>520.20000000000005</v>
      </c>
      <c r="H130" s="515">
        <f>'OPEX - Concept B1 - RCCL'!O90</f>
        <v>530.60399999999993</v>
      </c>
      <c r="I130" s="515">
        <f>'OPEX - Concept B1 - RCCL'!P90</f>
        <v>541.21608000000003</v>
      </c>
      <c r="J130" s="515">
        <f>'OPEX - Concept B1 - RCCL'!Q90</f>
        <v>552.0404016</v>
      </c>
      <c r="K130" s="515">
        <f>'OPEX - Concept B1 - RCCL'!R90</f>
        <v>563.08120963200008</v>
      </c>
      <c r="L130" s="515">
        <f>'OPEX - Concept B1 - RCCL'!S90</f>
        <v>574.34283382464002</v>
      </c>
      <c r="M130" s="515">
        <f>'OPEX - Concept B1 - RCCL'!T90</f>
        <v>585.82969050113286</v>
      </c>
      <c r="N130" s="515">
        <f>'OPEX - Concept B1 - RCCL'!U90</f>
        <v>597.54628431115555</v>
      </c>
      <c r="O130" s="515">
        <f>'OPEX - Concept B1 - RCCL'!V90</f>
        <v>609.49720999737872</v>
      </c>
      <c r="P130" s="515">
        <f>'OPEX - Concept B1 - RCCL'!W90</f>
        <v>621.68715419732621</v>
      </c>
      <c r="Q130" s="515">
        <f>'OPEX - Concept B1 - RCCL'!X90</f>
        <v>634.12089728127273</v>
      </c>
      <c r="R130" s="515">
        <f>'OPEX - Concept B1 - RCCL'!Y90</f>
        <v>646.80331522689812</v>
      </c>
      <c r="S130" s="515">
        <f>'OPEX - Concept B1 - RCCL'!Z90</f>
        <v>659.73938153143615</v>
      </c>
      <c r="T130" s="515">
        <f>'OPEX - Concept B1 - RCCL'!AA90</f>
        <v>672.9341691620649</v>
      </c>
      <c r="U130" s="515">
        <f>'OPEX - Concept B1 - RCCL'!AB90</f>
        <v>686.39285254530625</v>
      </c>
      <c r="V130" s="515">
        <f>'OPEX - Concept B1 - RCCL'!AC90</f>
        <v>700.12070959621246</v>
      </c>
      <c r="W130" s="515">
        <f>'OPEX - Concept B1 - RCCL'!AD90</f>
        <v>714.1231237881367</v>
      </c>
      <c r="X130" s="515">
        <f>'OPEX - Concept B1 - RCCL'!AE90</f>
        <v>728.40558626389941</v>
      </c>
    </row>
    <row r="131" spans="1:24" s="96" customFormat="1">
      <c r="A131" s="69" t="s">
        <v>2</v>
      </c>
      <c r="B131" s="69"/>
      <c r="C131" s="69"/>
      <c r="D131" s="514">
        <v>0</v>
      </c>
      <c r="E131" s="515">
        <f>'OPEX - Concept B1 - RCCL'!L91</f>
        <v>1000</v>
      </c>
      <c r="F131" s="515">
        <f>'OPEX - Concept B1 - RCCL'!M91</f>
        <v>1020</v>
      </c>
      <c r="G131" s="515">
        <f>'OPEX - Concept B1 - RCCL'!N91</f>
        <v>1040.4000000000001</v>
      </c>
      <c r="H131" s="515">
        <f>'OPEX - Concept B1 - RCCL'!O91</f>
        <v>1061.2079999999999</v>
      </c>
      <c r="I131" s="515">
        <f>'OPEX - Concept B1 - RCCL'!P91</f>
        <v>1082.4321600000001</v>
      </c>
      <c r="J131" s="515">
        <f>'OPEX - Concept B1 - RCCL'!Q91</f>
        <v>1104.0808032</v>
      </c>
      <c r="K131" s="515">
        <f>'OPEX - Concept B1 - RCCL'!R91</f>
        <v>1126.1624192640002</v>
      </c>
      <c r="L131" s="515">
        <f>'OPEX - Concept B1 - RCCL'!S91</f>
        <v>1148.68566764928</v>
      </c>
      <c r="M131" s="515">
        <f>'OPEX - Concept B1 - RCCL'!T91</f>
        <v>1171.6593810022657</v>
      </c>
      <c r="N131" s="515">
        <f>'OPEX - Concept B1 - RCCL'!U91</f>
        <v>1195.0925686223111</v>
      </c>
      <c r="O131" s="515">
        <f>'OPEX - Concept B1 - RCCL'!V91</f>
        <v>1218.9944199947574</v>
      </c>
      <c r="P131" s="515">
        <f>'OPEX - Concept B1 - RCCL'!W91</f>
        <v>1243.3743083946524</v>
      </c>
      <c r="Q131" s="515">
        <f>'OPEX - Concept B1 - RCCL'!X91</f>
        <v>1268.2417945625455</v>
      </c>
      <c r="R131" s="515">
        <f>'OPEX - Concept B1 - RCCL'!Y91</f>
        <v>1293.6066304537962</v>
      </c>
      <c r="S131" s="515">
        <f>'OPEX - Concept B1 - RCCL'!Z91</f>
        <v>1319.4787630628723</v>
      </c>
      <c r="T131" s="515">
        <f>'OPEX - Concept B1 - RCCL'!AA91</f>
        <v>1345.8683383241298</v>
      </c>
      <c r="U131" s="515">
        <f>'OPEX - Concept B1 - RCCL'!AB91</f>
        <v>1372.7857050906125</v>
      </c>
      <c r="V131" s="515">
        <f>'OPEX - Concept B1 - RCCL'!AC91</f>
        <v>1400.2414191924249</v>
      </c>
      <c r="W131" s="515">
        <f>'OPEX - Concept B1 - RCCL'!AD91</f>
        <v>1428.2462475762734</v>
      </c>
      <c r="X131" s="515">
        <f>'OPEX - Concept B1 - RCCL'!AE91</f>
        <v>1456.8111725277988</v>
      </c>
    </row>
    <row r="132" spans="1:24" s="167" customFormat="1">
      <c r="A132" s="591"/>
      <c r="B132" s="591"/>
      <c r="C132" s="591"/>
      <c r="D132" s="592"/>
      <c r="E132" s="593"/>
      <c r="F132" s="593"/>
      <c r="G132" s="593"/>
      <c r="H132" s="593"/>
      <c r="I132" s="593"/>
      <c r="J132" s="593"/>
      <c r="K132" s="593"/>
      <c r="L132" s="593"/>
      <c r="M132" s="593"/>
      <c r="N132" s="593"/>
      <c r="O132" s="593"/>
      <c r="P132" s="593"/>
      <c r="Q132" s="593"/>
      <c r="R132" s="593"/>
      <c r="S132" s="593"/>
      <c r="T132" s="593"/>
      <c r="U132" s="593"/>
      <c r="V132" s="593"/>
      <c r="W132" s="593"/>
      <c r="X132" s="593"/>
    </row>
    <row r="133" spans="1:24" s="96" customFormat="1">
      <c r="A133" s="69" t="s">
        <v>25</v>
      </c>
      <c r="B133" s="69"/>
      <c r="C133" s="69"/>
      <c r="D133" s="514">
        <v>0</v>
      </c>
      <c r="E133" s="515">
        <f>'OPEX - Concept B1 - RCCL'!L107</f>
        <v>23741.666666666664</v>
      </c>
      <c r="F133" s="515">
        <f>'OPEX - Concept B1 - RCCL'!M107</f>
        <v>24216.5</v>
      </c>
      <c r="G133" s="515">
        <f>'OPEX - Concept B1 - RCCL'!N107</f>
        <v>24700.83</v>
      </c>
      <c r="H133" s="515">
        <f>'OPEX - Concept B1 - RCCL'!O107</f>
        <v>25194.846599999997</v>
      </c>
      <c r="I133" s="515">
        <f>'OPEX - Concept B1 - RCCL'!P107</f>
        <v>25698.743532</v>
      </c>
      <c r="J133" s="515">
        <f>'OPEX - Concept B1 - RCCL'!Q107</f>
        <v>26212.718402639999</v>
      </c>
      <c r="K133" s="515">
        <f>'OPEX - Concept B1 - RCCL'!R107</f>
        <v>26736.972770692802</v>
      </c>
      <c r="L133" s="515">
        <f>'OPEX - Concept B1 - RCCL'!S107</f>
        <v>27271.712226106654</v>
      </c>
      <c r="M133" s="515">
        <f>'OPEX - Concept B1 - RCCL'!T107</f>
        <v>27817.146470628788</v>
      </c>
      <c r="N133" s="515">
        <f>'OPEX - Concept B1 - RCCL'!U107</f>
        <v>28373.48940004137</v>
      </c>
      <c r="O133" s="515">
        <f>'OPEX - Concept B1 - RCCL'!V107</f>
        <v>28940.959188042198</v>
      </c>
      <c r="P133" s="515">
        <f>'OPEX - Concept B1 - RCCL'!W107</f>
        <v>29519.77837180304</v>
      </c>
      <c r="Q133" s="515">
        <f>'OPEX - Concept B1 - RCCL'!X107</f>
        <v>30110.173939239099</v>
      </c>
      <c r="R133" s="515">
        <f>'OPEX - Concept B1 - RCCL'!Y107</f>
        <v>30712.37741802388</v>
      </c>
      <c r="S133" s="515">
        <f>'OPEX - Concept B1 - RCCL'!Z107</f>
        <v>31326.624966384359</v>
      </c>
      <c r="T133" s="515">
        <f>'OPEX - Concept B1 - RCCL'!AA107</f>
        <v>31953.157465712051</v>
      </c>
      <c r="U133" s="515">
        <f>'OPEX - Concept B1 - RCCL'!AB107</f>
        <v>32592.220615026294</v>
      </c>
      <c r="V133" s="515">
        <f>'OPEX - Concept B1 - RCCL'!AC107</f>
        <v>33244.065027326818</v>
      </c>
      <c r="W133" s="515">
        <f>'OPEX - Concept B1 - RCCL'!AD107</f>
        <v>33908.946327873353</v>
      </c>
      <c r="X133" s="515">
        <f>'OPEX - Concept B1 - RCCL'!AE107</f>
        <v>34587.125254430823</v>
      </c>
    </row>
    <row r="134" spans="1:24" s="96" customFormat="1">
      <c r="A134" s="782" t="s">
        <v>426</v>
      </c>
      <c r="B134" s="69"/>
      <c r="C134" s="69"/>
      <c r="D134" s="514">
        <v>0</v>
      </c>
      <c r="E134" s="515">
        <f>'OPEX - Concept B1 - RCCL'!L95</f>
        <v>1000</v>
      </c>
      <c r="F134" s="515">
        <f>'OPEX - Concept B1 - RCCL'!M95</f>
        <v>1020</v>
      </c>
      <c r="G134" s="515">
        <f>'OPEX - Concept B1 - RCCL'!N95</f>
        <v>1040.4000000000001</v>
      </c>
      <c r="H134" s="515">
        <f>'OPEX - Concept B1 - RCCL'!O95</f>
        <v>1061.2079999999999</v>
      </c>
      <c r="I134" s="515">
        <f>'OPEX - Concept B1 - RCCL'!P95</f>
        <v>1082.4321600000001</v>
      </c>
      <c r="J134" s="515">
        <f>'OPEX - Concept B1 - RCCL'!Q95</f>
        <v>25000</v>
      </c>
      <c r="K134" s="515">
        <f>'OPEX - Concept B1 - RCCL'!R95</f>
        <v>25500</v>
      </c>
      <c r="L134" s="515">
        <f>'OPEX - Concept B1 - RCCL'!S95</f>
        <v>26010</v>
      </c>
      <c r="M134" s="515">
        <f>'OPEX - Concept B1 - RCCL'!T95</f>
        <v>26530.199999999997</v>
      </c>
      <c r="N134" s="515">
        <f>'OPEX - Concept B1 - RCCL'!U95</f>
        <v>27060.804</v>
      </c>
      <c r="O134" s="515">
        <f>'OPEX - Concept B1 - RCCL'!V95</f>
        <v>27602.020080000002</v>
      </c>
      <c r="P134" s="515">
        <f>'OPEX - Concept B1 - RCCL'!W95</f>
        <v>28154.060481600001</v>
      </c>
      <c r="Q134" s="515">
        <f>'OPEX - Concept B1 - RCCL'!X95</f>
        <v>28717.141691232002</v>
      </c>
      <c r="R134" s="515">
        <f>'OPEX - Concept B1 - RCCL'!Y95</f>
        <v>29291.484525056643</v>
      </c>
      <c r="S134" s="515">
        <f>'OPEX - Concept B1 - RCCL'!Z95</f>
        <v>29877.314215557777</v>
      </c>
      <c r="T134" s="515">
        <f>'OPEX - Concept B1 - RCCL'!AA95</f>
        <v>30474.860499868933</v>
      </c>
      <c r="U134" s="515">
        <f>'OPEX - Concept B1 - RCCL'!AB95</f>
        <v>31084.357709866312</v>
      </c>
      <c r="V134" s="515">
        <f>'OPEX - Concept B1 - RCCL'!AC95</f>
        <v>31706.044864063639</v>
      </c>
      <c r="W134" s="515">
        <f>'OPEX - Concept B1 - RCCL'!AD95</f>
        <v>32340.165761344906</v>
      </c>
      <c r="X134" s="515">
        <f>'OPEX - Concept B1 - RCCL'!AE95</f>
        <v>32986.969076571811</v>
      </c>
    </row>
    <row r="135" spans="1:24" s="96" customFormat="1">
      <c r="A135" s="644" t="s">
        <v>302</v>
      </c>
      <c r="B135" s="69"/>
      <c r="C135" s="69"/>
      <c r="D135" s="514">
        <v>0</v>
      </c>
      <c r="E135" s="515">
        <f>'OPEX - Concept B1 - RCCL'!L96</f>
        <v>233675</v>
      </c>
      <c r="F135" s="515">
        <f>'OPEX - Concept B1 - RCCL'!M96</f>
        <v>476697</v>
      </c>
      <c r="G135" s="515">
        <f>'OPEX - Concept B1 - RCCL'!N96</f>
        <v>486230.94000000006</v>
      </c>
      <c r="H135" s="515">
        <f>'OPEX - Concept B1 - RCCL'!O96</f>
        <v>495955.55879999994</v>
      </c>
      <c r="I135" s="515">
        <f>'OPEX - Concept B1 - RCCL'!P96</f>
        <v>505874.66997599998</v>
      </c>
      <c r="J135" s="515">
        <f>'OPEX - Concept B1 - RCCL'!Q96</f>
        <v>515992.16337552003</v>
      </c>
      <c r="K135" s="515">
        <f>'OPEX - Concept B1 - RCCL'!R96</f>
        <v>526312.00664303044</v>
      </c>
      <c r="L135" s="515">
        <f>'OPEX - Concept B1 - RCCL'!S96</f>
        <v>536838.24677589093</v>
      </c>
      <c r="M135" s="515">
        <f>'OPEX - Concept B1 - RCCL'!T96</f>
        <v>547575.01171140897</v>
      </c>
      <c r="N135" s="515">
        <f>'OPEX - Concept B1 - RCCL'!U96</f>
        <v>558526.51194563706</v>
      </c>
      <c r="O135" s="515">
        <f>'OPEX - Concept B1 - RCCL'!V96</f>
        <v>569697.04218454985</v>
      </c>
      <c r="P135" s="515">
        <f>'OPEX - Concept B1 - RCCL'!W96</f>
        <v>581090.98302824085</v>
      </c>
      <c r="Q135" s="515">
        <f>'OPEX - Concept B1 - RCCL'!X96</f>
        <v>592712.80268880562</v>
      </c>
      <c r="R135" s="515">
        <f>'OPEX - Concept B1 - RCCL'!Y96</f>
        <v>604567.05874258175</v>
      </c>
      <c r="S135" s="515">
        <f>'OPEX - Concept B1 - RCCL'!Z96</f>
        <v>616658.39991743339</v>
      </c>
      <c r="T135" s="515">
        <f>'OPEX - Concept B1 - RCCL'!AA96</f>
        <v>628991.5679157821</v>
      </c>
      <c r="U135" s="515">
        <f>'OPEX - Concept B1 - RCCL'!AB96</f>
        <v>641571.39927409776</v>
      </c>
      <c r="V135" s="515">
        <f>'OPEX - Concept B1 - RCCL'!AC96</f>
        <v>654402.82725957979</v>
      </c>
      <c r="W135" s="515">
        <f>'OPEX - Concept B1 - RCCL'!AD96</f>
        <v>667490.88380477135</v>
      </c>
      <c r="X135" s="515">
        <f>'OPEX - Concept B1 - RCCL'!AE96</f>
        <v>680840.70148086676</v>
      </c>
    </row>
    <row r="136" spans="1:24" s="16" customFormat="1" ht="14.25">
      <c r="A136" s="282" t="s">
        <v>132</v>
      </c>
      <c r="B136" s="276"/>
      <c r="C136" s="276"/>
      <c r="D136" s="516">
        <f>SUM(D124:D135)</f>
        <v>0</v>
      </c>
      <c r="E136" s="517">
        <f t="shared" ref="E136:X136" si="16">SUM(E125:E135)</f>
        <v>357416.66666666663</v>
      </c>
      <c r="F136" s="517">
        <f t="shared" si="16"/>
        <v>686483.5</v>
      </c>
      <c r="G136" s="517">
        <f t="shared" si="16"/>
        <v>700223.37000000011</v>
      </c>
      <c r="H136" s="517">
        <f t="shared" si="16"/>
        <v>714227.83739999996</v>
      </c>
      <c r="I136" s="517">
        <f t="shared" si="16"/>
        <v>728512.39414800005</v>
      </c>
      <c r="J136" s="517">
        <f t="shared" si="16"/>
        <v>771426.52082615998</v>
      </c>
      <c r="K136" s="517">
        <f t="shared" si="16"/>
        <v>782318.13245231519</v>
      </c>
      <c r="L136" s="517">
        <f t="shared" si="16"/>
        <v>797964.49510136142</v>
      </c>
      <c r="M136" s="517">
        <f t="shared" si="16"/>
        <v>813923.78500338888</v>
      </c>
      <c r="N136" s="517">
        <f t="shared" si="16"/>
        <v>830202.26070345659</v>
      </c>
      <c r="O136" s="517">
        <f t="shared" si="16"/>
        <v>875001.71613890608</v>
      </c>
      <c r="P136" s="517">
        <f t="shared" si="16"/>
        <v>863742.43203587632</v>
      </c>
      <c r="Q136" s="517">
        <f t="shared" si="16"/>
        <v>881017.28067659377</v>
      </c>
      <c r="R136" s="517">
        <f t="shared" si="16"/>
        <v>898637.62629012566</v>
      </c>
      <c r="S136" s="517">
        <f t="shared" si="16"/>
        <v>916610.37881592824</v>
      </c>
      <c r="T136" s="517">
        <f t="shared" si="16"/>
        <v>939269.65222308482</v>
      </c>
      <c r="U136" s="517">
        <f t="shared" si="16"/>
        <v>953641.4381200918</v>
      </c>
      <c r="V136" s="517">
        <f t="shared" si="16"/>
        <v>972714.26688249363</v>
      </c>
      <c r="W136" s="517">
        <f t="shared" si="16"/>
        <v>992168.55222014361</v>
      </c>
      <c r="X136" s="517">
        <f t="shared" si="16"/>
        <v>1012011.9232645463</v>
      </c>
    </row>
    <row r="137" spans="1:24">
      <c r="A137" s="92"/>
      <c r="B137" s="69"/>
      <c r="C137" s="69"/>
      <c r="D137" s="514"/>
      <c r="E137" s="515"/>
      <c r="F137" s="515"/>
      <c r="G137" s="515"/>
      <c r="H137" s="515"/>
      <c r="I137" s="515"/>
      <c r="J137" s="515"/>
      <c r="K137" s="515"/>
      <c r="L137" s="515"/>
      <c r="M137" s="515"/>
      <c r="N137" s="515"/>
      <c r="O137" s="515"/>
      <c r="P137" s="515"/>
      <c r="Q137" s="515"/>
      <c r="R137" s="515"/>
      <c r="S137" s="515"/>
      <c r="T137" s="515"/>
      <c r="U137" s="515"/>
      <c r="V137" s="515"/>
      <c r="W137" s="515"/>
      <c r="X137" s="515"/>
    </row>
    <row r="138" spans="1:24">
      <c r="A138" s="269" t="s">
        <v>85</v>
      </c>
      <c r="B138" s="269"/>
      <c r="C138" s="270"/>
      <c r="D138" s="513"/>
      <c r="E138" s="513"/>
      <c r="F138" s="513"/>
      <c r="G138" s="513"/>
      <c r="H138" s="513"/>
      <c r="I138" s="513"/>
      <c r="J138" s="513"/>
      <c r="K138" s="513"/>
      <c r="L138" s="513"/>
      <c r="M138" s="513"/>
      <c r="N138" s="513"/>
      <c r="O138" s="513"/>
      <c r="P138" s="513"/>
      <c r="Q138" s="513"/>
      <c r="R138" s="513"/>
      <c r="S138" s="513"/>
      <c r="T138" s="513"/>
      <c r="U138" s="513"/>
      <c r="V138" s="513"/>
      <c r="W138" s="513"/>
      <c r="X138" s="513"/>
    </row>
    <row r="139" spans="1:24" s="368" customFormat="1">
      <c r="A139" s="263"/>
      <c r="B139" s="263"/>
      <c r="C139" s="367"/>
      <c r="D139" s="514"/>
      <c r="E139" s="515"/>
      <c r="F139" s="515"/>
      <c r="G139" s="515"/>
      <c r="H139" s="515"/>
      <c r="I139" s="515"/>
      <c r="J139" s="515"/>
      <c r="K139" s="515"/>
      <c r="L139" s="515"/>
      <c r="M139" s="515"/>
      <c r="N139" s="515"/>
      <c r="O139" s="515"/>
      <c r="P139" s="515"/>
      <c r="Q139" s="515"/>
      <c r="R139" s="515"/>
      <c r="S139" s="515"/>
      <c r="T139" s="515"/>
      <c r="U139" s="515"/>
      <c r="V139" s="515"/>
      <c r="W139" s="515"/>
      <c r="X139" s="515"/>
    </row>
    <row r="140" spans="1:24" s="58" customFormat="1">
      <c r="A140" s="69" t="s">
        <v>0</v>
      </c>
      <c r="B140" s="263"/>
      <c r="C140" s="783"/>
      <c r="D140" s="514">
        <v>0</v>
      </c>
      <c r="E140" s="515">
        <f>'OPEX - Concept B1 - RCCL'!L130</f>
        <v>0</v>
      </c>
      <c r="F140" s="515">
        <f>'OPEX - Concept B1 - RCCL'!M130</f>
        <v>54570</v>
      </c>
      <c r="G140" s="515">
        <f>'OPEX - Concept B1 - RCCL'!N130</f>
        <v>56774.628000000004</v>
      </c>
      <c r="H140" s="515">
        <f>'OPEX - Concept B1 - RCCL'!O130</f>
        <v>57910.120559999996</v>
      </c>
      <c r="I140" s="515">
        <f>'OPEX - Concept B1 - RCCL'!P130</f>
        <v>59068.322971199988</v>
      </c>
      <c r="J140" s="515">
        <f>'OPEX - Concept B1 - RCCL'!Q130</f>
        <v>60249.689430623999</v>
      </c>
      <c r="K140" s="515">
        <f>'OPEX - Concept B1 - RCCL'!R130</f>
        <v>61454.683219236475</v>
      </c>
      <c r="L140" s="515">
        <f>'OPEX - Concept B1 - RCCL'!S130</f>
        <v>62683.776883621205</v>
      </c>
      <c r="M140" s="515">
        <f>'OPEX - Concept B1 - RCCL'!T130</f>
        <v>63937.452421293638</v>
      </c>
      <c r="N140" s="515">
        <f>'OPEX - Concept B1 - RCCL'!U130</f>
        <v>65216.201469719512</v>
      </c>
      <c r="O140" s="515">
        <f>'OPEX - Concept B1 - RCCL'!V130</f>
        <v>66520.525499113894</v>
      </c>
      <c r="P140" s="515">
        <f>'OPEX - Concept B1 - RCCL'!W130</f>
        <v>67850.936009096185</v>
      </c>
      <c r="Q140" s="515">
        <f>'OPEX - Concept B1 - RCCL'!X130</f>
        <v>69207.954729278121</v>
      </c>
      <c r="R140" s="515">
        <f>'OPEX - Concept B1 - RCCL'!Y130</f>
        <v>70592.113823863678</v>
      </c>
      <c r="S140" s="515">
        <f>'OPEX - Concept B1 - RCCL'!Z130</f>
        <v>72003.956100340947</v>
      </c>
      <c r="T140" s="515">
        <f>'OPEX - Concept B1 - RCCL'!AA130</f>
        <v>73444.035222347768</v>
      </c>
      <c r="U140" s="515">
        <f>'OPEX - Concept B1 - RCCL'!AB130</f>
        <v>74912.915926794725</v>
      </c>
      <c r="V140" s="515">
        <f>'OPEX - Concept B1 - RCCL'!AC130</f>
        <v>76411.174245330621</v>
      </c>
      <c r="W140" s="515">
        <f>'OPEX - Concept B1 - RCCL'!AD130</f>
        <v>77939.397730237237</v>
      </c>
      <c r="X140" s="515">
        <f>'OPEX - Concept B1 - RCCL'!AE130</f>
        <v>79498.18568484197</v>
      </c>
    </row>
    <row r="141" spans="1:24" s="58" customFormat="1">
      <c r="A141" s="69" t="s">
        <v>4</v>
      </c>
      <c r="B141" s="263"/>
      <c r="C141" s="783"/>
      <c r="D141" s="514">
        <v>0</v>
      </c>
      <c r="E141" s="515">
        <f>'OPEX - Concept B1 - RCCL'!L153</f>
        <v>0</v>
      </c>
      <c r="F141" s="515">
        <f>'OPEX - Concept B1 - RCCL'!M153</f>
        <v>85335.846153846156</v>
      </c>
      <c r="G141" s="515">
        <f>'OPEX - Concept B1 - RCCL'!N153</f>
        <v>87042.563076923077</v>
      </c>
      <c r="H141" s="515">
        <f>'OPEX - Concept B1 - RCCL'!O153</f>
        <v>88783.41433846156</v>
      </c>
      <c r="I141" s="515">
        <f>'OPEX - Concept B1 - RCCL'!P153</f>
        <v>90559.082625230774</v>
      </c>
      <c r="J141" s="515">
        <f>'OPEX - Concept B1 - RCCL'!Q153</f>
        <v>92370.264277735376</v>
      </c>
      <c r="K141" s="515">
        <f>'OPEX - Concept B1 - RCCL'!R153</f>
        <v>94217.669563290081</v>
      </c>
      <c r="L141" s="515">
        <f>'OPEX - Concept B1 - RCCL'!S153</f>
        <v>96102.022954555898</v>
      </c>
      <c r="M141" s="515">
        <f>'OPEX - Concept B1 - RCCL'!T153</f>
        <v>98024.063413647003</v>
      </c>
      <c r="N141" s="515">
        <f>'OPEX - Concept B1 - RCCL'!U153</f>
        <v>99984.544681919942</v>
      </c>
      <c r="O141" s="515">
        <f>'OPEX - Concept B1 - RCCL'!V153</f>
        <v>101984.23557555837</v>
      </c>
      <c r="P141" s="515">
        <f>'OPEX - Concept B1 - RCCL'!W153</f>
        <v>104023.92028706953</v>
      </c>
      <c r="Q141" s="515">
        <f>'OPEX - Concept B1 - RCCL'!X153</f>
        <v>106104.39869281092</v>
      </c>
      <c r="R141" s="515">
        <f>'OPEX - Concept B1 - RCCL'!Y153</f>
        <v>108226.48666666714</v>
      </c>
      <c r="S141" s="515">
        <f>'OPEX - Concept B1 - RCCL'!Z153</f>
        <v>110391.01640000047</v>
      </c>
      <c r="T141" s="515">
        <f>'OPEX - Concept B1 - RCCL'!AA153</f>
        <v>112598.8367280005</v>
      </c>
      <c r="U141" s="515">
        <f>'OPEX - Concept B1 - RCCL'!AB153</f>
        <v>114850.8134625605</v>
      </c>
      <c r="V141" s="515">
        <f>'OPEX - Concept B1 - RCCL'!AC153</f>
        <v>117147.82973181173</v>
      </c>
      <c r="W141" s="515">
        <f>'OPEX - Concept B1 - RCCL'!AD153</f>
        <v>119490.78632644797</v>
      </c>
      <c r="X141" s="515">
        <f>'OPEX - Concept B1 - RCCL'!AE153</f>
        <v>121880.60205297693</v>
      </c>
    </row>
    <row r="142" spans="1:24" s="16" customFormat="1" ht="14.25">
      <c r="A142" s="282" t="s">
        <v>133</v>
      </c>
      <c r="B142" s="276"/>
      <c r="C142" s="276"/>
      <c r="D142" s="516">
        <f>SUM(D140:D141)</f>
        <v>0</v>
      </c>
      <c r="E142" s="517">
        <f>SUM(E140:E141)</f>
        <v>0</v>
      </c>
      <c r="F142" s="517">
        <f t="shared" ref="F142:X142" si="17">SUM(F140:F141)</f>
        <v>139905.84615384616</v>
      </c>
      <c r="G142" s="517">
        <f t="shared" si="17"/>
        <v>143817.19107692307</v>
      </c>
      <c r="H142" s="517">
        <f t="shared" si="17"/>
        <v>146693.53489846154</v>
      </c>
      <c r="I142" s="517">
        <f t="shared" si="17"/>
        <v>149627.40559643076</v>
      </c>
      <c r="J142" s="517">
        <f t="shared" si="17"/>
        <v>152619.95370835939</v>
      </c>
      <c r="K142" s="517">
        <f t="shared" si="17"/>
        <v>155672.35278252655</v>
      </c>
      <c r="L142" s="517">
        <f t="shared" si="17"/>
        <v>158785.7998381771</v>
      </c>
      <c r="M142" s="517">
        <f t="shared" si="17"/>
        <v>161961.51583494066</v>
      </c>
      <c r="N142" s="517">
        <f t="shared" si="17"/>
        <v>165200.74615163944</v>
      </c>
      <c r="O142" s="517">
        <f t="shared" si="17"/>
        <v>168504.76107467228</v>
      </c>
      <c r="P142" s="517">
        <f t="shared" si="17"/>
        <v>171874.85629616573</v>
      </c>
      <c r="Q142" s="517">
        <f t="shared" si="17"/>
        <v>175312.35342208904</v>
      </c>
      <c r="R142" s="517">
        <f t="shared" si="17"/>
        <v>178818.60049053084</v>
      </c>
      <c r="S142" s="517">
        <f t="shared" si="17"/>
        <v>182394.97250034142</v>
      </c>
      <c r="T142" s="517">
        <f t="shared" si="17"/>
        <v>186042.87195034826</v>
      </c>
      <c r="U142" s="517">
        <f t="shared" si="17"/>
        <v>189763.72938935523</v>
      </c>
      <c r="V142" s="517">
        <f t="shared" si="17"/>
        <v>193559.00397714233</v>
      </c>
      <c r="W142" s="517">
        <f t="shared" si="17"/>
        <v>197430.18405668519</v>
      </c>
      <c r="X142" s="517">
        <f t="shared" si="17"/>
        <v>201378.7877378189</v>
      </c>
    </row>
    <row r="143" spans="1:24">
      <c r="A143" s="92"/>
      <c r="B143" s="92"/>
      <c r="C143" s="69"/>
      <c r="D143" s="514"/>
      <c r="E143" s="515"/>
      <c r="F143" s="515"/>
      <c r="G143" s="515"/>
      <c r="H143" s="515"/>
      <c r="I143" s="515"/>
      <c r="J143" s="515"/>
      <c r="K143" s="515"/>
      <c r="L143" s="515"/>
      <c r="M143" s="515"/>
      <c r="N143" s="515"/>
      <c r="O143" s="515"/>
      <c r="P143" s="515"/>
      <c r="Q143" s="515"/>
      <c r="R143" s="515"/>
      <c r="S143" s="515"/>
      <c r="T143" s="515"/>
      <c r="U143" s="515"/>
      <c r="V143" s="515"/>
      <c r="W143" s="515"/>
      <c r="X143" s="515"/>
    </row>
    <row r="144" spans="1:24" s="16" customFormat="1" ht="14.25">
      <c r="A144" s="350" t="s">
        <v>118</v>
      </c>
      <c r="B144" s="350"/>
      <c r="C144" s="351"/>
      <c r="D144" s="519">
        <f t="shared" ref="D144:X144" si="18">SUM(D136,D142)</f>
        <v>0</v>
      </c>
      <c r="E144" s="519">
        <f t="shared" si="18"/>
        <v>357416.66666666663</v>
      </c>
      <c r="F144" s="519">
        <f t="shared" si="18"/>
        <v>826389.34615384613</v>
      </c>
      <c r="G144" s="519">
        <f t="shared" si="18"/>
        <v>844040.56107692316</v>
      </c>
      <c r="H144" s="519">
        <f t="shared" si="18"/>
        <v>860921.3722984615</v>
      </c>
      <c r="I144" s="519">
        <f t="shared" si="18"/>
        <v>878139.79974443081</v>
      </c>
      <c r="J144" s="519">
        <f t="shared" si="18"/>
        <v>924046.47453451937</v>
      </c>
      <c r="K144" s="519">
        <f t="shared" si="18"/>
        <v>937990.4852348417</v>
      </c>
      <c r="L144" s="519">
        <f t="shared" si="18"/>
        <v>956750.29493953846</v>
      </c>
      <c r="M144" s="519">
        <f t="shared" si="18"/>
        <v>975885.3008383296</v>
      </c>
      <c r="N144" s="519">
        <f t="shared" si="18"/>
        <v>995403.00685509597</v>
      </c>
      <c r="O144" s="519">
        <f t="shared" si="18"/>
        <v>1043506.4772135783</v>
      </c>
      <c r="P144" s="519">
        <f t="shared" si="18"/>
        <v>1035617.2883320421</v>
      </c>
      <c r="Q144" s="519">
        <f t="shared" si="18"/>
        <v>1056329.6340986828</v>
      </c>
      <c r="R144" s="519">
        <f t="shared" si="18"/>
        <v>1077456.2267806565</v>
      </c>
      <c r="S144" s="519">
        <f t="shared" si="18"/>
        <v>1099005.3513162697</v>
      </c>
      <c r="T144" s="519">
        <f t="shared" si="18"/>
        <v>1125312.524173433</v>
      </c>
      <c r="U144" s="519">
        <f t="shared" si="18"/>
        <v>1143405.1675094471</v>
      </c>
      <c r="V144" s="519">
        <f t="shared" si="18"/>
        <v>1166273.2708596359</v>
      </c>
      <c r="W144" s="519">
        <f t="shared" si="18"/>
        <v>1189598.7362768287</v>
      </c>
      <c r="X144" s="519">
        <f t="shared" si="18"/>
        <v>1213390.7110023652</v>
      </c>
    </row>
    <row r="145" spans="1:24" s="222" customFormat="1" ht="14.25">
      <c r="A145" s="280"/>
      <c r="B145" s="280"/>
      <c r="C145" s="263"/>
      <c r="D145" s="518"/>
      <c r="E145" s="520"/>
      <c r="F145" s="520"/>
      <c r="G145" s="520"/>
      <c r="H145" s="520"/>
      <c r="I145" s="520"/>
      <c r="J145" s="520"/>
      <c r="K145" s="520"/>
      <c r="L145" s="520"/>
      <c r="M145" s="520"/>
      <c r="N145" s="520"/>
      <c r="O145" s="520"/>
      <c r="P145" s="520"/>
      <c r="Q145" s="520"/>
      <c r="R145" s="520"/>
      <c r="S145" s="520"/>
      <c r="T145" s="520"/>
      <c r="U145" s="520"/>
      <c r="V145" s="520"/>
      <c r="W145" s="520"/>
      <c r="X145" s="520"/>
    </row>
    <row r="146" spans="1:24" s="222" customFormat="1" ht="14.25">
      <c r="A146" s="271" t="s">
        <v>295</v>
      </c>
      <c r="B146" s="271"/>
      <c r="C146" s="269"/>
      <c r="D146" s="521"/>
      <c r="E146" s="521"/>
      <c r="F146" s="521"/>
      <c r="G146" s="521"/>
      <c r="H146" s="521"/>
      <c r="I146" s="521"/>
      <c r="J146" s="521"/>
      <c r="K146" s="521"/>
      <c r="L146" s="521"/>
      <c r="M146" s="521"/>
      <c r="N146" s="521"/>
      <c r="O146" s="521"/>
      <c r="P146" s="521"/>
      <c r="Q146" s="521"/>
      <c r="R146" s="521"/>
      <c r="S146" s="521"/>
      <c r="T146" s="521"/>
      <c r="U146" s="521"/>
      <c r="V146" s="521"/>
      <c r="W146" s="521"/>
      <c r="X146" s="521"/>
    </row>
    <row r="147" spans="1:24" s="222" customFormat="1" ht="14.25">
      <c r="A147" s="280"/>
      <c r="B147" s="280"/>
      <c r="C147" s="263"/>
      <c r="D147" s="518"/>
      <c r="E147" s="520"/>
      <c r="F147" s="520"/>
      <c r="G147" s="520"/>
      <c r="H147" s="520"/>
      <c r="I147" s="520"/>
      <c r="J147" s="520"/>
      <c r="K147" s="520"/>
      <c r="L147" s="520"/>
      <c r="M147" s="520"/>
      <c r="N147" s="520"/>
      <c r="O147" s="520"/>
      <c r="P147" s="520"/>
      <c r="Q147" s="520"/>
      <c r="R147" s="520"/>
      <c r="S147" s="520"/>
      <c r="T147" s="520"/>
      <c r="U147" s="520"/>
      <c r="V147" s="520"/>
      <c r="W147" s="520"/>
      <c r="X147" s="520"/>
    </row>
    <row r="148" spans="1:24" s="725" customFormat="1">
      <c r="A148" s="353" t="s">
        <v>228</v>
      </c>
      <c r="B148" s="691"/>
      <c r="C148" s="724"/>
      <c r="D148" s="699">
        <v>0</v>
      </c>
      <c r="E148" s="700"/>
      <c r="F148" s="700"/>
      <c r="G148" s="700"/>
      <c r="H148" s="700"/>
      <c r="I148" s="700"/>
      <c r="J148" s="700"/>
      <c r="K148" s="700"/>
      <c r="L148" s="700"/>
      <c r="M148" s="700"/>
      <c r="N148" s="700"/>
      <c r="O148" s="700"/>
      <c r="P148" s="700"/>
      <c r="Q148" s="700"/>
      <c r="R148" s="700"/>
      <c r="S148" s="700"/>
      <c r="T148" s="700"/>
      <c r="U148" s="700"/>
      <c r="V148" s="700"/>
      <c r="W148" s="700"/>
      <c r="X148" s="700"/>
    </row>
    <row r="149" spans="1:24" s="725" customFormat="1">
      <c r="A149" s="726" t="s">
        <v>228</v>
      </c>
      <c r="B149" s="727"/>
      <c r="C149" s="728"/>
      <c r="D149" s="729">
        <v>0</v>
      </c>
      <c r="E149" s="730"/>
      <c r="F149" s="730"/>
      <c r="G149" s="730"/>
      <c r="H149" s="730"/>
      <c r="I149" s="730"/>
      <c r="J149" s="730"/>
      <c r="K149" s="730"/>
      <c r="L149" s="730"/>
      <c r="M149" s="730"/>
      <c r="N149" s="730"/>
      <c r="O149" s="730"/>
      <c r="P149" s="730"/>
      <c r="Q149" s="730"/>
      <c r="R149" s="730"/>
      <c r="S149" s="730"/>
      <c r="T149" s="730"/>
      <c r="U149" s="730"/>
      <c r="V149" s="730"/>
      <c r="W149" s="730"/>
      <c r="X149" s="730"/>
    </row>
    <row r="150" spans="1:24" s="725" customFormat="1" ht="14.25">
      <c r="A150" s="691" t="s">
        <v>296</v>
      </c>
      <c r="B150" s="691"/>
      <c r="C150" s="724"/>
      <c r="D150" s="731">
        <f t="shared" ref="D150:X150" si="19">SUM(D148:D149)</f>
        <v>0</v>
      </c>
      <c r="E150" s="732">
        <f t="shared" si="19"/>
        <v>0</v>
      </c>
      <c r="F150" s="732">
        <f t="shared" si="19"/>
        <v>0</v>
      </c>
      <c r="G150" s="732">
        <f t="shared" si="19"/>
        <v>0</v>
      </c>
      <c r="H150" s="732">
        <f t="shared" si="19"/>
        <v>0</v>
      </c>
      <c r="I150" s="732">
        <f t="shared" si="19"/>
        <v>0</v>
      </c>
      <c r="J150" s="732">
        <f t="shared" si="19"/>
        <v>0</v>
      </c>
      <c r="K150" s="732">
        <f t="shared" si="19"/>
        <v>0</v>
      </c>
      <c r="L150" s="732">
        <f t="shared" si="19"/>
        <v>0</v>
      </c>
      <c r="M150" s="732">
        <f t="shared" si="19"/>
        <v>0</v>
      </c>
      <c r="N150" s="732">
        <f t="shared" si="19"/>
        <v>0</v>
      </c>
      <c r="O150" s="732">
        <f t="shared" si="19"/>
        <v>0</v>
      </c>
      <c r="P150" s="732">
        <f t="shared" si="19"/>
        <v>0</v>
      </c>
      <c r="Q150" s="732">
        <f t="shared" si="19"/>
        <v>0</v>
      </c>
      <c r="R150" s="732">
        <f t="shared" si="19"/>
        <v>0</v>
      </c>
      <c r="S150" s="732">
        <f t="shared" si="19"/>
        <v>0</v>
      </c>
      <c r="T150" s="732">
        <f t="shared" si="19"/>
        <v>0</v>
      </c>
      <c r="U150" s="732">
        <f t="shared" si="19"/>
        <v>0</v>
      </c>
      <c r="V150" s="732">
        <f t="shared" si="19"/>
        <v>0</v>
      </c>
      <c r="W150" s="732">
        <f t="shared" si="19"/>
        <v>0</v>
      </c>
      <c r="X150" s="732">
        <f t="shared" si="19"/>
        <v>0</v>
      </c>
    </row>
    <row r="151" spans="1:24" s="222" customFormat="1">
      <c r="A151" s="280"/>
      <c r="B151" s="280"/>
      <c r="C151" s="263"/>
      <c r="D151" s="514"/>
      <c r="E151" s="515"/>
      <c r="F151" s="520"/>
      <c r="G151" s="520"/>
      <c r="H151" s="520"/>
      <c r="I151" s="520"/>
      <c r="J151" s="520"/>
      <c r="K151" s="520"/>
      <c r="L151" s="520"/>
      <c r="M151" s="520"/>
      <c r="N151" s="520"/>
      <c r="O151" s="520"/>
      <c r="P151" s="520"/>
      <c r="Q151" s="520"/>
      <c r="R151" s="520"/>
      <c r="S151" s="520"/>
      <c r="T151" s="520"/>
      <c r="U151" s="520"/>
      <c r="V151" s="520"/>
      <c r="W151" s="520"/>
      <c r="X151" s="520"/>
    </row>
    <row r="152" spans="1:24" s="222" customFormat="1" ht="14.25">
      <c r="A152" s="296" t="s">
        <v>140</v>
      </c>
      <c r="B152" s="296"/>
      <c r="C152" s="297"/>
      <c r="D152" s="522">
        <f t="shared" ref="D152:X152" si="20">SUM(D144,D150)</f>
        <v>0</v>
      </c>
      <c r="E152" s="522">
        <f t="shared" si="20"/>
        <v>357416.66666666663</v>
      </c>
      <c r="F152" s="522">
        <f t="shared" si="20"/>
        <v>826389.34615384613</v>
      </c>
      <c r="G152" s="522">
        <f t="shared" si="20"/>
        <v>844040.56107692316</v>
      </c>
      <c r="H152" s="522">
        <f t="shared" si="20"/>
        <v>860921.3722984615</v>
      </c>
      <c r="I152" s="522">
        <f t="shared" si="20"/>
        <v>878139.79974443081</v>
      </c>
      <c r="J152" s="522">
        <f t="shared" si="20"/>
        <v>924046.47453451937</v>
      </c>
      <c r="K152" s="522">
        <f t="shared" si="20"/>
        <v>937990.4852348417</v>
      </c>
      <c r="L152" s="522">
        <f t="shared" si="20"/>
        <v>956750.29493953846</v>
      </c>
      <c r="M152" s="522">
        <f t="shared" si="20"/>
        <v>975885.3008383296</v>
      </c>
      <c r="N152" s="522">
        <f t="shared" si="20"/>
        <v>995403.00685509597</v>
      </c>
      <c r="O152" s="522">
        <f t="shared" si="20"/>
        <v>1043506.4772135783</v>
      </c>
      <c r="P152" s="522">
        <f t="shared" si="20"/>
        <v>1035617.2883320421</v>
      </c>
      <c r="Q152" s="522">
        <f t="shared" si="20"/>
        <v>1056329.6340986828</v>
      </c>
      <c r="R152" s="522">
        <f t="shared" si="20"/>
        <v>1077456.2267806565</v>
      </c>
      <c r="S152" s="522">
        <f t="shared" si="20"/>
        <v>1099005.3513162697</v>
      </c>
      <c r="T152" s="522">
        <f t="shared" si="20"/>
        <v>1125312.524173433</v>
      </c>
      <c r="U152" s="522">
        <f t="shared" si="20"/>
        <v>1143405.1675094471</v>
      </c>
      <c r="V152" s="522">
        <f t="shared" si="20"/>
        <v>1166273.2708596359</v>
      </c>
      <c r="W152" s="522">
        <f t="shared" si="20"/>
        <v>1189598.7362768287</v>
      </c>
      <c r="X152" s="522">
        <f t="shared" si="20"/>
        <v>1213390.7110023652</v>
      </c>
    </row>
    <row r="153" spans="1:24">
      <c r="A153" s="92"/>
      <c r="B153" s="92"/>
      <c r="C153" s="69"/>
      <c r="D153" s="514"/>
      <c r="E153" s="515"/>
      <c r="F153" s="515"/>
      <c r="G153" s="515"/>
      <c r="H153" s="515"/>
      <c r="I153" s="515"/>
      <c r="J153" s="515"/>
      <c r="K153" s="515"/>
      <c r="L153" s="515"/>
      <c r="M153" s="515"/>
      <c r="N153" s="515"/>
      <c r="O153" s="515"/>
      <c r="P153" s="515"/>
      <c r="Q153" s="515"/>
      <c r="R153" s="515"/>
      <c r="S153" s="515"/>
      <c r="T153" s="515"/>
      <c r="U153" s="515"/>
      <c r="V153" s="515"/>
      <c r="W153" s="515"/>
      <c r="X153" s="515"/>
    </row>
    <row r="154" spans="1:24" s="33" customFormat="1">
      <c r="A154" s="47" t="s">
        <v>7</v>
      </c>
      <c r="B154" s="47" t="s">
        <v>7</v>
      </c>
      <c r="C154" s="78" t="s">
        <v>7</v>
      </c>
      <c r="D154" s="604" t="s">
        <v>7</v>
      </c>
      <c r="E154" s="78" t="s">
        <v>7</v>
      </c>
      <c r="F154" s="78" t="s">
        <v>7</v>
      </c>
      <c r="G154" s="78" t="s">
        <v>7</v>
      </c>
      <c r="H154" s="78" t="s">
        <v>7</v>
      </c>
      <c r="I154" s="78" t="s">
        <v>7</v>
      </c>
      <c r="J154" s="78" t="s">
        <v>7</v>
      </c>
      <c r="K154" s="78" t="s">
        <v>7</v>
      </c>
      <c r="L154" s="78" t="s">
        <v>7</v>
      </c>
      <c r="M154" s="78" t="s">
        <v>7</v>
      </c>
      <c r="N154" s="78" t="s">
        <v>7</v>
      </c>
      <c r="O154" s="78" t="s">
        <v>7</v>
      </c>
      <c r="P154" s="78" t="s">
        <v>7</v>
      </c>
      <c r="Q154" s="78" t="s">
        <v>7</v>
      </c>
      <c r="R154" s="78" t="s">
        <v>7</v>
      </c>
      <c r="S154" s="78" t="s">
        <v>7</v>
      </c>
      <c r="T154" s="78" t="s">
        <v>7</v>
      </c>
      <c r="U154" s="78" t="s">
        <v>7</v>
      </c>
      <c r="V154" s="78" t="s">
        <v>7</v>
      </c>
      <c r="W154" s="78" t="s">
        <v>7</v>
      </c>
      <c r="X154" s="78" t="s">
        <v>7</v>
      </c>
    </row>
    <row r="155" spans="1:24">
      <c r="A155" s="92"/>
      <c r="B155" s="92"/>
      <c r="C155" s="69"/>
      <c r="D155" s="518"/>
      <c r="E155" s="515"/>
      <c r="F155" s="515"/>
      <c r="G155" s="515"/>
      <c r="H155" s="515"/>
      <c r="I155" s="515"/>
      <c r="J155" s="515"/>
      <c r="K155" s="515"/>
      <c r="L155" s="515"/>
      <c r="M155" s="515"/>
      <c r="N155" s="515"/>
      <c r="O155" s="515"/>
      <c r="P155" s="515"/>
      <c r="Q155" s="515"/>
      <c r="R155" s="515"/>
      <c r="S155" s="515"/>
      <c r="T155" s="515"/>
      <c r="U155" s="515"/>
      <c r="V155" s="515"/>
      <c r="W155" s="515"/>
      <c r="X155" s="515"/>
    </row>
    <row r="156" spans="1:24" s="16" customFormat="1" ht="14.25">
      <c r="A156" s="278" t="s">
        <v>116</v>
      </c>
      <c r="B156" s="263"/>
      <c r="C156" s="263"/>
      <c r="D156" s="518">
        <f>D119-(D136+D142)</f>
        <v>0</v>
      </c>
      <c r="E156" s="520">
        <f>E119-E152</f>
        <v>-299391.66666666663</v>
      </c>
      <c r="F156" s="520">
        <f t="shared" ref="F156:X156" si="21">F119-F152</f>
        <v>336232.98643546447</v>
      </c>
      <c r="G156" s="520">
        <f t="shared" si="21"/>
        <v>458566.61816417368</v>
      </c>
      <c r="H156" s="520">
        <f t="shared" si="21"/>
        <v>465517.95052745717</v>
      </c>
      <c r="I156" s="520">
        <f t="shared" si="21"/>
        <v>472608.30953800643</v>
      </c>
      <c r="J156" s="520">
        <f t="shared" si="21"/>
        <v>699616.59693356638</v>
      </c>
      <c r="K156" s="520">
        <f t="shared" si="21"/>
        <v>710963.44766260567</v>
      </c>
      <c r="L156" s="520">
        <f t="shared" si="21"/>
        <v>718000.31661585788</v>
      </c>
      <c r="M156" s="520">
        <f t="shared" si="21"/>
        <v>725177.92294817511</v>
      </c>
      <c r="N156" s="520">
        <f t="shared" si="21"/>
        <v>732499.08140713861</v>
      </c>
      <c r="O156" s="520">
        <f t="shared" si="21"/>
        <v>774388.75281390129</v>
      </c>
      <c r="P156" s="520">
        <f t="shared" si="21"/>
        <v>810201.09629598726</v>
      </c>
      <c r="Q156" s="520">
        <f t="shared" si="21"/>
        <v>817970.36822190671</v>
      </c>
      <c r="R156" s="520">
        <f t="shared" si="21"/>
        <v>825895.02558634477</v>
      </c>
      <c r="S156" s="520">
        <f t="shared" si="21"/>
        <v>833978.17609807174</v>
      </c>
      <c r="T156" s="520">
        <f t="shared" si="21"/>
        <v>900613.42378919525</v>
      </c>
      <c r="U156" s="520">
        <f t="shared" si="21"/>
        <v>913350.1994124339</v>
      </c>
      <c r="V156" s="520">
        <f t="shared" si="21"/>
        <v>921928.10340068256</v>
      </c>
      <c r="W156" s="520">
        <f t="shared" si="21"/>
        <v>930677.56546869688</v>
      </c>
      <c r="X156" s="520">
        <f t="shared" si="21"/>
        <v>939602.01677807048</v>
      </c>
    </row>
    <row r="157" spans="1:24">
      <c r="A157" s="30"/>
      <c r="B157" s="92"/>
      <c r="C157" s="69"/>
      <c r="D157" s="514"/>
      <c r="E157" s="515"/>
      <c r="F157" s="515"/>
      <c r="G157" s="515"/>
      <c r="H157" s="515"/>
      <c r="I157" s="515"/>
      <c r="J157" s="515"/>
      <c r="K157" s="515"/>
      <c r="L157" s="515"/>
      <c r="M157" s="515"/>
      <c r="N157" s="515"/>
      <c r="O157" s="515"/>
      <c r="P157" s="515"/>
      <c r="Q157" s="515"/>
      <c r="R157" s="515"/>
      <c r="S157" s="515"/>
      <c r="T157" s="515"/>
      <c r="U157" s="515"/>
      <c r="V157" s="515"/>
      <c r="W157" s="515"/>
      <c r="X157" s="515"/>
    </row>
    <row r="158" spans="1:24" s="594" customFormat="1">
      <c r="A158" s="589" t="s">
        <v>125</v>
      </c>
      <c r="B158" s="590"/>
      <c r="C158" s="591"/>
      <c r="D158" s="592">
        <v>0</v>
      </c>
      <c r="E158" s="593">
        <v>0</v>
      </c>
      <c r="F158" s="593">
        <v>0</v>
      </c>
      <c r="G158" s="593">
        <v>0</v>
      </c>
      <c r="H158" s="593">
        <v>0</v>
      </c>
      <c r="I158" s="593">
        <v>0</v>
      </c>
      <c r="J158" s="593">
        <v>0</v>
      </c>
      <c r="K158" s="593">
        <v>0</v>
      </c>
      <c r="L158" s="593">
        <v>0</v>
      </c>
      <c r="M158" s="593">
        <v>0</v>
      </c>
      <c r="N158" s="593">
        <v>0</v>
      </c>
      <c r="O158" s="593">
        <v>0</v>
      </c>
      <c r="P158" s="593">
        <v>0</v>
      </c>
      <c r="Q158" s="593">
        <v>0</v>
      </c>
      <c r="R158" s="593">
        <v>0</v>
      </c>
      <c r="S158" s="593">
        <v>0</v>
      </c>
      <c r="T158" s="593">
        <v>0</v>
      </c>
      <c r="U158" s="593">
        <v>0</v>
      </c>
      <c r="V158" s="593">
        <v>0</v>
      </c>
      <c r="W158" s="593">
        <v>0</v>
      </c>
      <c r="X158" s="593">
        <v>0</v>
      </c>
    </row>
    <row r="159" spans="1:24">
      <c r="A159" s="92"/>
      <c r="B159" s="92"/>
      <c r="C159" s="69"/>
      <c r="D159" s="514"/>
      <c r="E159" s="515"/>
      <c r="F159" s="515"/>
      <c r="G159" s="515"/>
      <c r="H159" s="515"/>
      <c r="I159" s="515"/>
      <c r="J159" s="515"/>
      <c r="K159" s="515"/>
      <c r="L159" s="515"/>
      <c r="M159" s="515"/>
      <c r="N159" s="515"/>
      <c r="O159" s="515"/>
      <c r="P159" s="515"/>
      <c r="Q159" s="515"/>
      <c r="R159" s="515"/>
      <c r="S159" s="515"/>
      <c r="T159" s="515"/>
      <c r="U159" s="515"/>
      <c r="V159" s="515"/>
      <c r="W159" s="515"/>
      <c r="X159" s="515"/>
    </row>
    <row r="160" spans="1:24" s="16" customFormat="1" ht="14.25">
      <c r="A160" s="278" t="s">
        <v>117</v>
      </c>
      <c r="B160" s="278"/>
      <c r="C160" s="263"/>
      <c r="D160" s="518">
        <v>0</v>
      </c>
      <c r="E160" s="520">
        <f>E156-E158</f>
        <v>-299391.66666666663</v>
      </c>
      <c r="F160" s="520">
        <f t="shared" ref="F160:X160" si="22">F156-F158</f>
        <v>336232.98643546447</v>
      </c>
      <c r="G160" s="520">
        <f t="shared" si="22"/>
        <v>458566.61816417368</v>
      </c>
      <c r="H160" s="520">
        <f t="shared" si="22"/>
        <v>465517.95052745717</v>
      </c>
      <c r="I160" s="520">
        <f t="shared" si="22"/>
        <v>472608.30953800643</v>
      </c>
      <c r="J160" s="520">
        <f t="shared" si="22"/>
        <v>699616.59693356638</v>
      </c>
      <c r="K160" s="520">
        <f t="shared" si="22"/>
        <v>710963.44766260567</v>
      </c>
      <c r="L160" s="520">
        <f t="shared" si="22"/>
        <v>718000.31661585788</v>
      </c>
      <c r="M160" s="520">
        <f t="shared" si="22"/>
        <v>725177.92294817511</v>
      </c>
      <c r="N160" s="520">
        <f t="shared" si="22"/>
        <v>732499.08140713861</v>
      </c>
      <c r="O160" s="520">
        <f t="shared" si="22"/>
        <v>774388.75281390129</v>
      </c>
      <c r="P160" s="520">
        <f t="shared" si="22"/>
        <v>810201.09629598726</v>
      </c>
      <c r="Q160" s="520">
        <f t="shared" si="22"/>
        <v>817970.36822190671</v>
      </c>
      <c r="R160" s="520">
        <f t="shared" si="22"/>
        <v>825895.02558634477</v>
      </c>
      <c r="S160" s="520">
        <f t="shared" si="22"/>
        <v>833978.17609807174</v>
      </c>
      <c r="T160" s="520">
        <f t="shared" si="22"/>
        <v>900613.42378919525</v>
      </c>
      <c r="U160" s="520">
        <f t="shared" si="22"/>
        <v>913350.1994124339</v>
      </c>
      <c r="V160" s="520">
        <f t="shared" si="22"/>
        <v>921928.10340068256</v>
      </c>
      <c r="W160" s="520">
        <f t="shared" si="22"/>
        <v>930677.56546869688</v>
      </c>
      <c r="X160" s="520">
        <f t="shared" si="22"/>
        <v>939602.01677807048</v>
      </c>
    </row>
    <row r="161" spans="1:24">
      <c r="A161" s="92"/>
      <c r="B161" s="92"/>
      <c r="C161" s="69"/>
      <c r="D161" s="514"/>
      <c r="E161" s="515"/>
      <c r="F161" s="515"/>
      <c r="G161" s="515"/>
      <c r="H161" s="515"/>
      <c r="I161" s="515"/>
      <c r="J161" s="515"/>
      <c r="K161" s="515"/>
      <c r="L161" s="515"/>
      <c r="M161" s="515"/>
      <c r="N161" s="515"/>
      <c r="O161" s="515"/>
      <c r="P161" s="515"/>
      <c r="Q161" s="515"/>
      <c r="R161" s="515"/>
      <c r="S161" s="515"/>
      <c r="T161" s="515"/>
      <c r="U161" s="515"/>
      <c r="V161" s="515"/>
      <c r="W161" s="515"/>
      <c r="X161" s="515"/>
    </row>
    <row r="162" spans="1:24">
      <c r="A162" s="271" t="s">
        <v>126</v>
      </c>
      <c r="B162" s="272"/>
      <c r="C162" s="273"/>
      <c r="D162" s="523"/>
      <c r="E162" s="523"/>
      <c r="F162" s="523"/>
      <c r="G162" s="523"/>
      <c r="H162" s="523"/>
      <c r="I162" s="523"/>
      <c r="J162" s="523"/>
      <c r="K162" s="523"/>
      <c r="L162" s="523"/>
      <c r="M162" s="523"/>
      <c r="N162" s="523"/>
      <c r="O162" s="523"/>
      <c r="P162" s="523"/>
      <c r="Q162" s="523"/>
      <c r="R162" s="523"/>
      <c r="S162" s="523"/>
      <c r="T162" s="523"/>
      <c r="U162" s="523"/>
      <c r="V162" s="523"/>
      <c r="W162" s="523"/>
      <c r="X162" s="523"/>
    </row>
    <row r="163" spans="1:24" s="32" customFormat="1">
      <c r="A163" s="280"/>
      <c r="B163" s="91"/>
      <c r="C163" s="69"/>
      <c r="D163" s="514"/>
      <c r="E163" s="515"/>
      <c r="F163" s="515"/>
      <c r="G163" s="515"/>
      <c r="H163" s="515"/>
      <c r="I163" s="515"/>
      <c r="J163" s="515"/>
      <c r="K163" s="515"/>
      <c r="L163" s="515"/>
      <c r="M163" s="515"/>
      <c r="N163" s="515"/>
      <c r="O163" s="515"/>
      <c r="P163" s="515"/>
      <c r="Q163" s="515"/>
      <c r="R163" s="515"/>
      <c r="S163" s="515"/>
      <c r="T163" s="515"/>
      <c r="U163" s="515"/>
      <c r="V163" s="515"/>
      <c r="W163" s="515"/>
      <c r="X163" s="515"/>
    </row>
    <row r="164" spans="1:24" s="96" customFormat="1">
      <c r="A164" s="885" t="s">
        <v>136</v>
      </c>
      <c r="B164" s="719"/>
      <c r="C164" s="69"/>
      <c r="D164" s="514">
        <v>0</v>
      </c>
      <c r="E164" s="515">
        <f>'OPEX - Concept B1 - RCCL'!L168</f>
        <v>0</v>
      </c>
      <c r="F164" s="515">
        <f>'OPEX - Concept B1 - RCCL'!M168</f>
        <v>53485</v>
      </c>
      <c r="G164" s="515">
        <f>'OPEX - Concept B1 - RCCL'!N168</f>
        <v>54554.700000000004</v>
      </c>
      <c r="H164" s="515">
        <f>'OPEX - Concept B1 - RCCL'!O168</f>
        <v>55645.794000000002</v>
      </c>
      <c r="I164" s="515">
        <f>'OPEX - Concept B1 - RCCL'!P168</f>
        <v>56758.709879999995</v>
      </c>
      <c r="J164" s="515">
        <f>'OPEX - Concept B1 - RCCL'!Q168</f>
        <v>57893.8840776</v>
      </c>
      <c r="K164" s="515">
        <f>'OPEX - Concept B1 - RCCL'!R168</f>
        <v>59051.761759152003</v>
      </c>
      <c r="L164" s="515">
        <f>'OPEX - Concept B1 - RCCL'!S168</f>
        <v>60232.796994335047</v>
      </c>
      <c r="M164" s="515">
        <f>'OPEX - Concept B1 - RCCL'!T168</f>
        <v>61437.452934221743</v>
      </c>
      <c r="N164" s="515">
        <f>'OPEX - Concept B1 - RCCL'!U168</f>
        <v>62666.201992906186</v>
      </c>
      <c r="O164" s="515">
        <f>'OPEX - Concept B1 - RCCL'!V168</f>
        <v>63919.526032764305</v>
      </c>
      <c r="P164" s="515">
        <f>'OPEX - Concept B1 - RCCL'!W168</f>
        <v>65197.916553419593</v>
      </c>
      <c r="Q164" s="515">
        <f>'OPEX - Concept B1 - RCCL'!X168</f>
        <v>66501.874884487988</v>
      </c>
      <c r="R164" s="515">
        <f>'OPEX - Concept B1 - RCCL'!Y168</f>
        <v>67831.912382177747</v>
      </c>
      <c r="S164" s="515">
        <f>'OPEX - Concept B1 - RCCL'!Z168</f>
        <v>69188.5506298213</v>
      </c>
      <c r="T164" s="515">
        <f>'OPEX - Concept B1 - RCCL'!AA168</f>
        <v>70572.321642417723</v>
      </c>
      <c r="U164" s="515">
        <f>'OPEX - Concept B1 - RCCL'!AB168</f>
        <v>71983.768075266082</v>
      </c>
      <c r="V164" s="515">
        <f>'OPEX - Concept B1 - RCCL'!AC168</f>
        <v>73423.443436771413</v>
      </c>
      <c r="W164" s="515">
        <f>'OPEX - Concept B1 - RCCL'!AD168</f>
        <v>74891.912305506848</v>
      </c>
      <c r="X164" s="515">
        <f>'OPEX - Concept B1 - RCCL'!AE168</f>
        <v>76389.750551616977</v>
      </c>
    </row>
    <row r="165" spans="1:24" s="96" customFormat="1">
      <c r="A165" s="885" t="s">
        <v>458</v>
      </c>
      <c r="B165" s="719"/>
      <c r="C165" s="69"/>
      <c r="D165" s="514">
        <v>0</v>
      </c>
      <c r="E165" s="515">
        <f>'OPEX - Concept B1 - RCCL'!L170</f>
        <v>612119.16</v>
      </c>
      <c r="F165" s="515">
        <f>'OPEX - Concept B1 - RCCL'!M170</f>
        <v>612119.16</v>
      </c>
      <c r="G165" s="515">
        <f>'OPEX - Concept B1 - RCCL'!N170</f>
        <v>612119.16</v>
      </c>
      <c r="H165" s="515">
        <f>'OPEX - Concept B1 - RCCL'!O170</f>
        <v>612119.16</v>
      </c>
      <c r="I165" s="515">
        <f>'OPEX - Concept B1 - RCCL'!P170</f>
        <v>612119.16</v>
      </c>
      <c r="J165" s="515">
        <f>'OPEX - Concept B1 - RCCL'!Q170</f>
        <v>612119.16</v>
      </c>
      <c r="K165" s="515">
        <f>'OPEX - Concept B1 - RCCL'!R170</f>
        <v>612119.16</v>
      </c>
      <c r="L165" s="515">
        <f>'OPEX - Concept B1 - RCCL'!S170</f>
        <v>612119.16</v>
      </c>
      <c r="M165" s="515">
        <f>'OPEX - Concept B1 - RCCL'!T170</f>
        <v>612119.16</v>
      </c>
      <c r="N165" s="515">
        <f>'OPEX - Concept B1 - RCCL'!U170</f>
        <v>612119.16</v>
      </c>
      <c r="O165" s="515">
        <f>'OPEX - Concept B1 - RCCL'!V170</f>
        <v>612119.16</v>
      </c>
      <c r="P165" s="515">
        <f>'OPEX - Concept B1 - RCCL'!W170</f>
        <v>612119.16</v>
      </c>
      <c r="Q165" s="515">
        <f>'OPEX - Concept B1 - RCCL'!X170</f>
        <v>612119.16</v>
      </c>
      <c r="R165" s="515">
        <f>'OPEX - Concept B1 - RCCL'!Y170</f>
        <v>612119.16</v>
      </c>
      <c r="S165" s="515">
        <f>'OPEX - Concept B1 - RCCL'!Z170</f>
        <v>612119.16</v>
      </c>
      <c r="T165" s="515">
        <f>'OPEX - Concept B1 - RCCL'!AA170</f>
        <v>612119.16</v>
      </c>
      <c r="U165" s="515">
        <f>'OPEX - Concept B1 - RCCL'!AB170</f>
        <v>612119.16</v>
      </c>
      <c r="V165" s="515">
        <f>'OPEX - Concept B1 - RCCL'!AC170</f>
        <v>612119.16</v>
      </c>
      <c r="W165" s="515">
        <f>'OPEX - Concept B1 - RCCL'!AD170</f>
        <v>612119.16</v>
      </c>
      <c r="X165" s="515">
        <f>'OPEX - Concept B1 - RCCL'!AE170</f>
        <v>612119.16</v>
      </c>
    </row>
    <row r="166" spans="1:24" s="341" customFormat="1">
      <c r="A166" s="696" t="s">
        <v>315</v>
      </c>
      <c r="B166" s="697"/>
      <c r="C166" s="698"/>
      <c r="D166" s="699">
        <v>0</v>
      </c>
      <c r="E166" s="700">
        <v>0</v>
      </c>
      <c r="F166" s="700">
        <v>0</v>
      </c>
      <c r="G166" s="700">
        <v>0</v>
      </c>
      <c r="H166" s="700">
        <v>0</v>
      </c>
      <c r="I166" s="700">
        <v>0</v>
      </c>
      <c r="J166" s="700">
        <v>0</v>
      </c>
      <c r="K166" s="700">
        <v>0</v>
      </c>
      <c r="L166" s="700">
        <v>0</v>
      </c>
      <c r="M166" s="700">
        <v>0</v>
      </c>
      <c r="N166" s="700">
        <v>0</v>
      </c>
      <c r="O166" s="700">
        <v>0</v>
      </c>
      <c r="P166" s="700">
        <v>0</v>
      </c>
      <c r="Q166" s="700">
        <v>0</v>
      </c>
      <c r="R166" s="700">
        <v>0</v>
      </c>
      <c r="S166" s="700">
        <v>0</v>
      </c>
      <c r="T166" s="700">
        <v>0</v>
      </c>
      <c r="U166" s="700">
        <v>0</v>
      </c>
      <c r="V166" s="700">
        <v>0</v>
      </c>
      <c r="W166" s="700">
        <v>0</v>
      </c>
      <c r="X166" s="700">
        <v>0</v>
      </c>
    </row>
    <row r="167" spans="1:24" s="32" customFormat="1">
      <c r="A167" s="93" t="s">
        <v>316</v>
      </c>
      <c r="B167" s="298"/>
      <c r="C167" s="298"/>
      <c r="D167" s="505">
        <v>0</v>
      </c>
      <c r="E167" s="506">
        <v>246000</v>
      </c>
      <c r="F167" s="506">
        <v>246000</v>
      </c>
      <c r="G167" s="506">
        <v>246000</v>
      </c>
      <c r="H167" s="506">
        <v>246000</v>
      </c>
      <c r="I167" s="506">
        <v>246000</v>
      </c>
      <c r="J167" s="506">
        <v>246000</v>
      </c>
      <c r="K167" s="506">
        <v>246000</v>
      </c>
      <c r="L167" s="506">
        <v>246000</v>
      </c>
      <c r="M167" s="506">
        <v>246000</v>
      </c>
      <c r="N167" s="506">
        <v>246000</v>
      </c>
      <c r="O167" s="506">
        <v>246000</v>
      </c>
      <c r="P167" s="506">
        <v>246000</v>
      </c>
      <c r="Q167" s="506">
        <v>246000</v>
      </c>
      <c r="R167" s="506">
        <v>246000</v>
      </c>
      <c r="S167" s="506">
        <v>246000</v>
      </c>
      <c r="T167" s="506">
        <v>246000</v>
      </c>
      <c r="U167" s="506">
        <v>246000</v>
      </c>
      <c r="V167" s="506">
        <v>246000</v>
      </c>
      <c r="W167" s="506">
        <v>246000</v>
      </c>
      <c r="X167" s="506">
        <v>246000</v>
      </c>
    </row>
    <row r="168" spans="1:24" s="222" customFormat="1" ht="14.25">
      <c r="A168" s="263" t="s">
        <v>134</v>
      </c>
      <c r="B168" s="264"/>
      <c r="C168" s="264"/>
      <c r="D168" s="524">
        <f>SUM(D164:D167)</f>
        <v>0</v>
      </c>
      <c r="E168" s="525">
        <f t="shared" ref="E168:X168" si="23">SUM(E164:E167)</f>
        <v>858119.16</v>
      </c>
      <c r="F168" s="525">
        <f t="shared" si="23"/>
        <v>911604.16</v>
      </c>
      <c r="G168" s="525">
        <f t="shared" si="23"/>
        <v>912673.86</v>
      </c>
      <c r="H168" s="525">
        <f t="shared" si="23"/>
        <v>913764.95400000003</v>
      </c>
      <c r="I168" s="525">
        <f t="shared" si="23"/>
        <v>914877.86988000001</v>
      </c>
      <c r="J168" s="525">
        <f t="shared" si="23"/>
        <v>916013.0440776</v>
      </c>
      <c r="K168" s="525">
        <f t="shared" si="23"/>
        <v>917170.92175915209</v>
      </c>
      <c r="L168" s="525">
        <f t="shared" si="23"/>
        <v>918351.95699433505</v>
      </c>
      <c r="M168" s="525">
        <f t="shared" si="23"/>
        <v>919556.61293422175</v>
      </c>
      <c r="N168" s="525">
        <f t="shared" si="23"/>
        <v>920785.3619929062</v>
      </c>
      <c r="O168" s="525">
        <f t="shared" si="23"/>
        <v>922038.68603276438</v>
      </c>
      <c r="P168" s="525">
        <f t="shared" si="23"/>
        <v>923317.07655341958</v>
      </c>
      <c r="Q168" s="525">
        <f t="shared" si="23"/>
        <v>924621.03488448798</v>
      </c>
      <c r="R168" s="525">
        <f t="shared" si="23"/>
        <v>925951.07238217781</v>
      </c>
      <c r="S168" s="525">
        <f t="shared" si="23"/>
        <v>927307.71062982129</v>
      </c>
      <c r="T168" s="525">
        <f t="shared" si="23"/>
        <v>928691.48164241773</v>
      </c>
      <c r="U168" s="525">
        <f t="shared" si="23"/>
        <v>930102.92807526607</v>
      </c>
      <c r="V168" s="525">
        <f t="shared" si="23"/>
        <v>931542.60343677143</v>
      </c>
      <c r="W168" s="525">
        <f t="shared" si="23"/>
        <v>933011.07230550691</v>
      </c>
      <c r="X168" s="525">
        <f t="shared" si="23"/>
        <v>934508.91055161704</v>
      </c>
    </row>
    <row r="169" spans="1:24" s="32" customFormat="1">
      <c r="A169" s="69"/>
      <c r="B169" s="90"/>
      <c r="C169" s="90"/>
      <c r="D169" s="526"/>
      <c r="E169" s="527"/>
      <c r="F169" s="527"/>
      <c r="G169" s="527"/>
      <c r="H169" s="527"/>
      <c r="I169" s="527"/>
      <c r="J169" s="527"/>
      <c r="K169" s="527"/>
      <c r="L169" s="527"/>
      <c r="M169" s="527"/>
      <c r="N169" s="527"/>
      <c r="O169" s="527"/>
      <c r="P169" s="527"/>
      <c r="Q169" s="527"/>
      <c r="R169" s="527"/>
      <c r="S169" s="527"/>
      <c r="T169" s="527"/>
      <c r="U169" s="527"/>
      <c r="V169" s="527"/>
      <c r="W169" s="527"/>
      <c r="X169" s="527"/>
    </row>
    <row r="170" spans="1:24" s="32" customFormat="1">
      <c r="A170" s="94" t="s">
        <v>137</v>
      </c>
      <c r="C170" s="69"/>
      <c r="D170" s="514">
        <v>0</v>
      </c>
      <c r="E170" s="515">
        <f>E160-E164</f>
        <v>-299391.66666666663</v>
      </c>
      <c r="F170" s="515">
        <f t="shared" ref="F170:X170" si="24">F156-F164</f>
        <v>282747.98643546447</v>
      </c>
      <c r="G170" s="515">
        <f t="shared" si="24"/>
        <v>404011.91816417366</v>
      </c>
      <c r="H170" s="515">
        <f t="shared" si="24"/>
        <v>409872.15652745718</v>
      </c>
      <c r="I170" s="515">
        <f t="shared" si="24"/>
        <v>415849.59965800645</v>
      </c>
      <c r="J170" s="515">
        <f t="shared" si="24"/>
        <v>641722.71285596641</v>
      </c>
      <c r="K170" s="515">
        <f t="shared" si="24"/>
        <v>651911.68590345362</v>
      </c>
      <c r="L170" s="515">
        <f t="shared" si="24"/>
        <v>657767.51962152286</v>
      </c>
      <c r="M170" s="515">
        <f t="shared" si="24"/>
        <v>663740.4700139534</v>
      </c>
      <c r="N170" s="515">
        <f t="shared" si="24"/>
        <v>669832.87941423245</v>
      </c>
      <c r="O170" s="515">
        <f t="shared" si="24"/>
        <v>710469.22678113694</v>
      </c>
      <c r="P170" s="515">
        <f t="shared" si="24"/>
        <v>745003.17974256771</v>
      </c>
      <c r="Q170" s="515">
        <f t="shared" si="24"/>
        <v>751468.49333741877</v>
      </c>
      <c r="R170" s="515">
        <f t="shared" si="24"/>
        <v>758063.11320416699</v>
      </c>
      <c r="S170" s="515">
        <f t="shared" si="24"/>
        <v>764789.62546825048</v>
      </c>
      <c r="T170" s="515">
        <f t="shared" si="24"/>
        <v>830041.10214677756</v>
      </c>
      <c r="U170" s="515">
        <f t="shared" si="24"/>
        <v>841366.43133716786</v>
      </c>
      <c r="V170" s="515">
        <f t="shared" si="24"/>
        <v>848504.65996391117</v>
      </c>
      <c r="W170" s="515">
        <f t="shared" si="24"/>
        <v>855785.65316319</v>
      </c>
      <c r="X170" s="515">
        <f t="shared" si="24"/>
        <v>863212.26622645347</v>
      </c>
    </row>
    <row r="171" spans="1:24" ht="16.5" customHeight="1">
      <c r="A171" s="88" t="s">
        <v>128</v>
      </c>
      <c r="B171" s="98"/>
      <c r="C171" s="98"/>
      <c r="D171" s="528">
        <v>0</v>
      </c>
      <c r="E171" s="529">
        <f>E160-E168</f>
        <v>-1157510.8266666667</v>
      </c>
      <c r="F171" s="529">
        <f t="shared" ref="F171:X171" si="25">F160-F168</f>
        <v>-575371.17356453557</v>
      </c>
      <c r="G171" s="529">
        <f t="shared" si="25"/>
        <v>-454107.24183582631</v>
      </c>
      <c r="H171" s="529">
        <f t="shared" si="25"/>
        <v>-448247.00347254286</v>
      </c>
      <c r="I171" s="529">
        <f t="shared" si="25"/>
        <v>-442269.56034199358</v>
      </c>
      <c r="J171" s="529">
        <f t="shared" si="25"/>
        <v>-216396.44714403362</v>
      </c>
      <c r="K171" s="529">
        <f t="shared" si="25"/>
        <v>-206207.47409654642</v>
      </c>
      <c r="L171" s="529">
        <f t="shared" si="25"/>
        <v>-200351.64037847717</v>
      </c>
      <c r="M171" s="529">
        <f t="shared" si="25"/>
        <v>-194378.68998604664</v>
      </c>
      <c r="N171" s="529">
        <f t="shared" si="25"/>
        <v>-188286.28058576758</v>
      </c>
      <c r="O171" s="529">
        <f t="shared" si="25"/>
        <v>-147649.93321886309</v>
      </c>
      <c r="P171" s="529">
        <f t="shared" si="25"/>
        <v>-113115.98025743233</v>
      </c>
      <c r="Q171" s="529">
        <f t="shared" si="25"/>
        <v>-106650.66666258126</v>
      </c>
      <c r="R171" s="529">
        <f t="shared" si="25"/>
        <v>-100056.04679583304</v>
      </c>
      <c r="S171" s="529">
        <f t="shared" si="25"/>
        <v>-93329.534531749552</v>
      </c>
      <c r="T171" s="529">
        <f t="shared" si="25"/>
        <v>-28078.057853222475</v>
      </c>
      <c r="U171" s="529">
        <f t="shared" si="25"/>
        <v>-16752.728662832174</v>
      </c>
      <c r="V171" s="529">
        <f t="shared" si="25"/>
        <v>-9614.5000360888662</v>
      </c>
      <c r="W171" s="529">
        <f t="shared" si="25"/>
        <v>-2333.5068368100328</v>
      </c>
      <c r="X171" s="529">
        <f t="shared" si="25"/>
        <v>5093.1062264534412</v>
      </c>
    </row>
    <row r="172" spans="1:24" ht="16.5" customHeight="1">
      <c r="A172" s="88"/>
      <c r="B172" s="88"/>
      <c r="C172" s="88"/>
      <c r="D172" s="526"/>
      <c r="E172" s="527"/>
      <c r="F172" s="527"/>
      <c r="G172" s="527"/>
      <c r="H172" s="527"/>
      <c r="I172" s="527"/>
      <c r="J172" s="527"/>
      <c r="K172" s="527"/>
      <c r="L172" s="527"/>
      <c r="M172" s="527"/>
      <c r="N172" s="527"/>
      <c r="O172" s="527"/>
      <c r="P172" s="527"/>
      <c r="Q172" s="527"/>
      <c r="R172" s="527"/>
      <c r="S172" s="527"/>
      <c r="T172" s="527"/>
      <c r="U172" s="527"/>
      <c r="V172" s="527"/>
      <c r="W172" s="527"/>
      <c r="X172" s="527"/>
    </row>
    <row r="173" spans="1:24" ht="16.5" customHeight="1">
      <c r="A173" s="88" t="s">
        <v>129</v>
      </c>
      <c r="B173" s="632">
        <f>NPV(Cost_of_Money__DPC,E160:X160)</f>
        <v>13688396.291431071</v>
      </c>
      <c r="C173" s="88"/>
      <c r="D173" s="526"/>
      <c r="E173" s="527"/>
      <c r="F173" s="527"/>
      <c r="G173" s="527"/>
      <c r="H173" s="527"/>
      <c r="I173" s="527"/>
      <c r="J173" s="527"/>
      <c r="K173" s="527"/>
      <c r="L173" s="527"/>
      <c r="M173" s="527"/>
      <c r="N173" s="527"/>
      <c r="O173" s="527"/>
      <c r="P173" s="527"/>
      <c r="Q173" s="527"/>
      <c r="R173" s="527"/>
      <c r="S173" s="527"/>
      <c r="T173" s="527"/>
      <c r="U173" s="527"/>
      <c r="V173" s="527"/>
      <c r="W173" s="527"/>
      <c r="X173" s="527"/>
    </row>
    <row r="174" spans="1:24" ht="16.5" customHeight="1">
      <c r="A174" s="300" t="s">
        <v>130</v>
      </c>
      <c r="B174" s="733">
        <f>SUM(E171:X171)</f>
        <v>-4695614.1867013955</v>
      </c>
      <c r="C174" s="301"/>
      <c r="D174" s="530">
        <v>0</v>
      </c>
      <c r="E174" s="530">
        <f>E160-E168</f>
        <v>-1157510.8266666667</v>
      </c>
      <c r="F174" s="530">
        <f t="shared" ref="F174:X174" si="26">F160-F168</f>
        <v>-575371.17356453557</v>
      </c>
      <c r="G174" s="530">
        <f t="shared" si="26"/>
        <v>-454107.24183582631</v>
      </c>
      <c r="H174" s="530">
        <f t="shared" si="26"/>
        <v>-448247.00347254286</v>
      </c>
      <c r="I174" s="530">
        <f t="shared" si="26"/>
        <v>-442269.56034199358</v>
      </c>
      <c r="J174" s="530">
        <f t="shared" si="26"/>
        <v>-216396.44714403362</v>
      </c>
      <c r="K174" s="530">
        <f t="shared" si="26"/>
        <v>-206207.47409654642</v>
      </c>
      <c r="L174" s="530">
        <f t="shared" si="26"/>
        <v>-200351.64037847717</v>
      </c>
      <c r="M174" s="530">
        <f t="shared" si="26"/>
        <v>-194378.68998604664</v>
      </c>
      <c r="N174" s="530">
        <f t="shared" si="26"/>
        <v>-188286.28058576758</v>
      </c>
      <c r="O174" s="530">
        <f t="shared" si="26"/>
        <v>-147649.93321886309</v>
      </c>
      <c r="P174" s="530">
        <f t="shared" si="26"/>
        <v>-113115.98025743233</v>
      </c>
      <c r="Q174" s="530">
        <f t="shared" si="26"/>
        <v>-106650.66666258126</v>
      </c>
      <c r="R174" s="530">
        <f t="shared" si="26"/>
        <v>-100056.04679583304</v>
      </c>
      <c r="S174" s="530">
        <f t="shared" si="26"/>
        <v>-93329.534531749552</v>
      </c>
      <c r="T174" s="530">
        <f t="shared" si="26"/>
        <v>-28078.057853222475</v>
      </c>
      <c r="U174" s="530">
        <f t="shared" si="26"/>
        <v>-16752.728662832174</v>
      </c>
      <c r="V174" s="530">
        <f t="shared" si="26"/>
        <v>-9614.5000360888662</v>
      </c>
      <c r="W174" s="530">
        <f t="shared" si="26"/>
        <v>-2333.5068368100328</v>
      </c>
      <c r="X174" s="530">
        <f t="shared" si="26"/>
        <v>5093.1062264534412</v>
      </c>
    </row>
    <row r="175" spans="1:24" s="58" customFormat="1" ht="16.5" customHeight="1">
      <c r="A175" s="90" t="s">
        <v>32</v>
      </c>
      <c r="B175" s="792" t="e">
        <f>IRR(E174:X174)</f>
        <v>#NUM!</v>
      </c>
      <c r="C175" s="356"/>
      <c r="D175" s="502"/>
      <c r="E175" s="504"/>
      <c r="F175" s="504"/>
      <c r="G175" s="504"/>
      <c r="H175" s="504"/>
      <c r="I175" s="504"/>
      <c r="J175" s="504"/>
      <c r="K175" s="504"/>
      <c r="L175" s="504"/>
      <c r="M175" s="504"/>
      <c r="N175" s="504"/>
      <c r="O175" s="504"/>
      <c r="P175" s="504"/>
      <c r="Q175" s="504"/>
      <c r="R175" s="504"/>
      <c r="S175" s="504"/>
      <c r="T175" s="504"/>
      <c r="U175" s="504"/>
      <c r="V175" s="504"/>
      <c r="W175" s="504"/>
      <c r="X175" s="504"/>
    </row>
    <row r="176" spans="1:24">
      <c r="A176" s="30"/>
      <c r="B176" s="30"/>
      <c r="C176" s="30"/>
      <c r="D176" s="502"/>
      <c r="E176" s="512"/>
      <c r="F176" s="512"/>
      <c r="G176" s="512"/>
      <c r="H176" s="512"/>
      <c r="I176" s="512"/>
      <c r="J176" s="512"/>
      <c r="K176" s="512"/>
      <c r="L176" s="512"/>
      <c r="M176" s="512"/>
      <c r="N176" s="512"/>
      <c r="O176" s="512"/>
      <c r="P176" s="512"/>
      <c r="Q176" s="512"/>
      <c r="R176" s="512"/>
      <c r="S176" s="512"/>
      <c r="T176" s="512"/>
      <c r="U176" s="512"/>
      <c r="V176" s="512"/>
      <c r="W176" s="512"/>
      <c r="X176" s="512"/>
    </row>
    <row r="177" spans="1:24">
      <c r="A177" s="274" t="s">
        <v>28</v>
      </c>
      <c r="B177" s="275"/>
      <c r="C177" s="275"/>
      <c r="D177" s="531"/>
      <c r="E177" s="531"/>
      <c r="F177" s="531"/>
      <c r="G177" s="531"/>
      <c r="H177" s="531"/>
      <c r="I177" s="531"/>
      <c r="J177" s="531"/>
      <c r="K177" s="531"/>
      <c r="L177" s="531"/>
      <c r="M177" s="531"/>
      <c r="N177" s="531"/>
      <c r="O177" s="531"/>
      <c r="P177" s="531"/>
      <c r="Q177" s="531"/>
      <c r="R177" s="531"/>
      <c r="S177" s="531"/>
      <c r="T177" s="531"/>
      <c r="U177" s="531"/>
      <c r="V177" s="531"/>
      <c r="W177" s="531"/>
      <c r="X177" s="531"/>
    </row>
    <row r="178" spans="1:24">
      <c r="A178" s="30"/>
      <c r="B178" s="30"/>
      <c r="C178" s="30"/>
      <c r="D178" s="502"/>
      <c r="E178" s="512"/>
      <c r="F178" s="512"/>
      <c r="G178" s="512"/>
      <c r="H178" s="512"/>
      <c r="I178" s="512"/>
      <c r="J178" s="512"/>
      <c r="K178" s="512"/>
      <c r="L178" s="512"/>
      <c r="M178" s="512"/>
      <c r="N178" s="512"/>
      <c r="O178" s="512"/>
      <c r="P178" s="512"/>
      <c r="Q178" s="512"/>
      <c r="R178" s="512"/>
      <c r="S178" s="512"/>
      <c r="T178" s="512"/>
      <c r="U178" s="512"/>
      <c r="V178" s="512"/>
      <c r="W178" s="512"/>
      <c r="X178" s="512"/>
    </row>
    <row r="179" spans="1:24">
      <c r="A179" s="30" t="s">
        <v>300</v>
      </c>
      <c r="B179" s="30"/>
      <c r="C179" s="87"/>
      <c r="D179" s="502">
        <v>0</v>
      </c>
      <c r="E179" s="512"/>
      <c r="F179" s="512"/>
      <c r="G179" s="512"/>
      <c r="H179" s="512"/>
      <c r="I179" s="512"/>
      <c r="J179" s="512"/>
      <c r="K179" s="512"/>
      <c r="L179" s="512"/>
      <c r="M179" s="512"/>
      <c r="N179" s="512"/>
      <c r="O179" s="512"/>
      <c r="P179" s="512"/>
      <c r="Q179" s="512"/>
      <c r="R179" s="512"/>
      <c r="S179" s="512"/>
      <c r="T179" s="512"/>
      <c r="U179" s="512"/>
      <c r="V179" s="512"/>
      <c r="W179" s="512"/>
      <c r="X179" s="512"/>
    </row>
    <row r="180" spans="1:24">
      <c r="A180" s="30" t="s">
        <v>301</v>
      </c>
      <c r="B180" s="30"/>
      <c r="C180" s="30"/>
      <c r="D180" s="502">
        <v>0</v>
      </c>
      <c r="E180" s="512"/>
      <c r="F180" s="512"/>
      <c r="G180" s="512"/>
      <c r="H180" s="512"/>
      <c r="I180" s="512"/>
      <c r="J180" s="512"/>
      <c r="K180" s="512"/>
      <c r="L180" s="512"/>
      <c r="M180" s="512"/>
      <c r="N180" s="512"/>
      <c r="O180" s="512"/>
      <c r="P180" s="512"/>
      <c r="Q180" s="512"/>
      <c r="R180" s="512"/>
      <c r="S180" s="512"/>
      <c r="T180" s="512"/>
      <c r="U180" s="512"/>
      <c r="V180" s="512"/>
      <c r="W180" s="512"/>
      <c r="X180" s="512"/>
    </row>
    <row r="181" spans="1:24">
      <c r="A181" s="30"/>
      <c r="B181" s="30"/>
      <c r="C181" s="30"/>
      <c r="D181" s="502"/>
      <c r="E181" s="512"/>
      <c r="F181" s="512"/>
      <c r="G181" s="512"/>
      <c r="H181" s="512"/>
      <c r="I181" s="512"/>
      <c r="J181" s="512"/>
      <c r="K181" s="512"/>
      <c r="L181" s="512"/>
      <c r="M181" s="512"/>
      <c r="N181" s="512"/>
      <c r="O181" s="512"/>
      <c r="P181" s="512"/>
      <c r="Q181" s="512"/>
      <c r="R181" s="512"/>
      <c r="S181" s="512"/>
      <c r="T181" s="512"/>
      <c r="U181" s="512"/>
      <c r="V181" s="512"/>
      <c r="W181" s="512"/>
      <c r="X181" s="512"/>
    </row>
    <row r="182" spans="1:24">
      <c r="A182" s="30" t="s">
        <v>298</v>
      </c>
      <c r="B182" s="30"/>
      <c r="C182" s="30"/>
      <c r="D182" s="502">
        <v>0</v>
      </c>
      <c r="E182" s="512"/>
      <c r="F182" s="512"/>
      <c r="G182" s="512"/>
      <c r="H182" s="512"/>
      <c r="I182" s="512"/>
      <c r="J182" s="512"/>
      <c r="K182" s="512"/>
      <c r="L182" s="512"/>
      <c r="M182" s="512"/>
      <c r="N182" s="512"/>
      <c r="O182" s="512"/>
      <c r="P182" s="512"/>
      <c r="Q182" s="512"/>
      <c r="R182" s="512"/>
      <c r="S182" s="512"/>
      <c r="T182" s="512"/>
      <c r="U182" s="512"/>
      <c r="V182" s="512"/>
      <c r="W182" s="512"/>
      <c r="X182" s="512"/>
    </row>
    <row r="183" spans="1:24">
      <c r="A183" s="30" t="s">
        <v>299</v>
      </c>
      <c r="B183" s="30"/>
      <c r="C183" s="30"/>
      <c r="D183" s="502">
        <v>0</v>
      </c>
      <c r="E183" s="512"/>
      <c r="F183" s="512"/>
      <c r="G183" s="512"/>
      <c r="H183" s="512"/>
      <c r="I183" s="512"/>
      <c r="J183" s="512"/>
      <c r="K183" s="512"/>
      <c r="L183" s="512"/>
      <c r="M183" s="512"/>
      <c r="N183" s="512"/>
      <c r="O183" s="512"/>
      <c r="P183" s="512"/>
      <c r="Q183" s="512"/>
      <c r="R183" s="512"/>
      <c r="S183" s="512"/>
      <c r="T183" s="512"/>
      <c r="U183" s="512"/>
      <c r="V183" s="512"/>
      <c r="W183" s="512"/>
      <c r="X183" s="512"/>
    </row>
    <row r="184" spans="1:24">
      <c r="D184" s="502"/>
      <c r="E184" s="532"/>
      <c r="F184" s="532"/>
      <c r="G184" s="532"/>
      <c r="H184" s="532"/>
      <c r="I184" s="532"/>
      <c r="J184" s="532"/>
      <c r="K184" s="532"/>
      <c r="L184" s="532"/>
      <c r="M184" s="532"/>
      <c r="N184" s="532"/>
      <c r="O184" s="532"/>
      <c r="P184" s="532"/>
      <c r="Q184" s="532"/>
      <c r="R184" s="532"/>
      <c r="S184" s="532"/>
      <c r="T184" s="532"/>
      <c r="U184" s="532"/>
      <c r="V184" s="532"/>
      <c r="W184" s="532"/>
      <c r="X184" s="532"/>
    </row>
    <row r="185" spans="1:24">
      <c r="A185" s="131"/>
      <c r="B185" s="131"/>
      <c r="C185" s="131"/>
      <c r="D185" s="493"/>
      <c r="E185" s="334"/>
      <c r="F185" s="334"/>
      <c r="G185" s="334"/>
      <c r="H185" s="334"/>
      <c r="I185" s="334"/>
      <c r="J185" s="334"/>
      <c r="K185" s="334"/>
      <c r="L185" s="334"/>
      <c r="M185" s="334"/>
      <c r="N185" s="334"/>
      <c r="O185" s="334"/>
      <c r="P185" s="334"/>
      <c r="Q185" s="334"/>
      <c r="R185" s="334"/>
      <c r="S185" s="334"/>
      <c r="T185" s="334"/>
      <c r="U185" s="334"/>
      <c r="V185" s="334"/>
      <c r="W185" s="334"/>
      <c r="X185" s="334"/>
    </row>
    <row r="186" spans="1:24">
      <c r="D186" s="494"/>
      <c r="E186" s="327"/>
      <c r="F186" s="327"/>
      <c r="G186" s="327"/>
      <c r="H186" s="327"/>
      <c r="I186" s="327"/>
      <c r="J186" s="327"/>
      <c r="K186" s="327"/>
      <c r="L186" s="327"/>
      <c r="M186" s="327"/>
      <c r="N186" s="327"/>
      <c r="O186" s="327"/>
      <c r="P186" s="327"/>
      <c r="Q186" s="327"/>
      <c r="R186" s="327"/>
      <c r="S186" s="327"/>
      <c r="T186" s="327"/>
      <c r="U186" s="327"/>
      <c r="V186" s="327"/>
      <c r="W186" s="327"/>
      <c r="X186" s="327"/>
    </row>
    <row r="187" spans="1:24">
      <c r="A187"/>
      <c r="D187" s="494"/>
      <c r="E187" s="327"/>
      <c r="F187" s="327"/>
      <c r="G187" s="327"/>
      <c r="H187" s="327"/>
      <c r="I187" s="327"/>
      <c r="J187" s="327"/>
      <c r="K187" s="327"/>
      <c r="L187" s="327"/>
      <c r="M187" s="327"/>
      <c r="N187" s="327"/>
      <c r="O187" s="327"/>
      <c r="P187" s="327"/>
      <c r="Q187" s="327"/>
      <c r="R187" s="327"/>
      <c r="S187" s="327"/>
      <c r="T187" s="327"/>
      <c r="U187" s="327"/>
      <c r="V187" s="327"/>
      <c r="W187" s="327"/>
      <c r="X187" s="327"/>
    </row>
    <row r="188" spans="1:24">
      <c r="A188"/>
      <c r="D188" s="494"/>
      <c r="E188" s="327"/>
      <c r="F188" s="327"/>
      <c r="G188" s="327"/>
      <c r="H188" s="327"/>
      <c r="I188" s="327"/>
      <c r="J188" s="327"/>
      <c r="K188" s="327"/>
      <c r="L188" s="327"/>
      <c r="M188" s="327"/>
      <c r="N188" s="327"/>
      <c r="O188" s="327"/>
      <c r="P188" s="327"/>
      <c r="Q188" s="327"/>
      <c r="R188" s="327"/>
      <c r="S188" s="327"/>
      <c r="T188" s="327"/>
      <c r="U188" s="327"/>
      <c r="V188" s="327"/>
      <c r="W188" s="327"/>
      <c r="X188" s="327"/>
    </row>
    <row r="189" spans="1:24">
      <c r="D189" s="494"/>
      <c r="E189" s="327"/>
      <c r="F189" s="327"/>
      <c r="G189" s="327"/>
      <c r="H189" s="362"/>
      <c r="I189" s="327"/>
      <c r="J189" s="327"/>
      <c r="K189" s="327"/>
      <c r="L189" s="327"/>
      <c r="M189" s="327"/>
      <c r="N189" s="327"/>
      <c r="O189" s="327"/>
      <c r="P189" s="327"/>
      <c r="Q189" s="327"/>
      <c r="R189" s="327"/>
      <c r="S189" s="327"/>
      <c r="T189" s="327"/>
      <c r="U189" s="327"/>
      <c r="V189" s="327"/>
      <c r="W189" s="327"/>
      <c r="X189" s="327"/>
    </row>
    <row r="190" spans="1:24">
      <c r="D190" s="326"/>
      <c r="E190" s="327"/>
      <c r="F190" s="327"/>
      <c r="G190" s="327"/>
      <c r="H190" s="359"/>
      <c r="I190" s="327"/>
      <c r="J190" s="327"/>
      <c r="K190" s="327"/>
      <c r="L190" s="327"/>
      <c r="M190" s="327"/>
      <c r="N190" s="327"/>
      <c r="O190" s="327"/>
      <c r="P190" s="327"/>
      <c r="Q190" s="327"/>
      <c r="R190" s="327"/>
      <c r="S190" s="327"/>
      <c r="T190" s="327"/>
      <c r="U190" s="327"/>
      <c r="V190" s="327"/>
      <c r="W190" s="327"/>
      <c r="X190" s="327"/>
    </row>
    <row r="191" spans="1:24">
      <c r="H191" s="305"/>
    </row>
    <row r="192" spans="1:24">
      <c r="H192" s="30"/>
    </row>
    <row r="193" spans="8:8">
      <c r="H193" s="87"/>
    </row>
    <row r="195" spans="8:8">
      <c r="H195" s="360"/>
    </row>
    <row r="196" spans="8:8">
      <c r="H196" s="361"/>
    </row>
  </sheetData>
  <pageMargins left="0.7" right="0.7" top="0.75" bottom="0.75" header="0.3" footer="0.3"/>
  <pageSetup paperSize="9" scale="2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XFD196"/>
  <sheetViews>
    <sheetView topLeftCell="A73" zoomScale="62" zoomScaleNormal="55" workbookViewId="0">
      <selection activeCell="A117" sqref="A117:XFD117"/>
    </sheetView>
  </sheetViews>
  <sheetFormatPr defaultColWidth="9" defaultRowHeight="16.5"/>
  <cols>
    <col min="1" max="1" width="71.875" style="18" customWidth="1"/>
    <col min="2" max="2" width="50.5" style="18" bestFit="1" customWidth="1"/>
    <col min="3" max="3" width="8" style="18" bestFit="1" customWidth="1"/>
    <col min="4" max="4" width="8" style="262" bestFit="1" customWidth="1"/>
    <col min="5" max="5" width="17.625" style="18" bestFit="1" customWidth="1"/>
    <col min="6" max="6" width="16.25" style="18" bestFit="1" customWidth="1"/>
    <col min="7" max="12" width="17.25" style="18" bestFit="1" customWidth="1"/>
    <col min="13" max="13" width="16.625" style="18" bestFit="1" customWidth="1"/>
    <col min="14" max="14" width="16.875" style="18" bestFit="1" customWidth="1"/>
    <col min="15" max="15" width="17.25" style="18" bestFit="1" customWidth="1"/>
    <col min="16" max="16" width="16.875" style="18" bestFit="1" customWidth="1"/>
    <col min="17" max="20" width="17.25" style="18" bestFit="1" customWidth="1"/>
    <col min="21" max="23" width="16.875" style="18" bestFit="1" customWidth="1"/>
    <col min="24" max="24" width="17.25" style="18" bestFit="1" customWidth="1"/>
    <col min="25" max="25" width="22.625" style="18" bestFit="1" customWidth="1"/>
    <col min="26" max="16384" width="9" style="18"/>
  </cols>
  <sheetData>
    <row r="1" spans="1:25" ht="18.75" thickBot="1">
      <c r="A1" s="11" t="str">
        <f>Intro!A1</f>
        <v>Town of Bar Harbor</v>
      </c>
      <c r="B1" s="27"/>
      <c r="C1" s="17"/>
      <c r="D1" s="260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</row>
    <row r="2" spans="1:25" ht="17.25" thickBot="1">
      <c r="A2" s="380" t="str">
        <f>Intro!A2</f>
        <v>Ferry Property Business Plan</v>
      </c>
      <c r="B2" s="13"/>
      <c r="C2" s="17"/>
      <c r="D2" s="260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</row>
    <row r="3" spans="1:25" s="381" customFormat="1" ht="14.25" thickBot="1">
      <c r="A3" s="384" t="str">
        <f>Intro!A3</f>
        <v>05.23.2018</v>
      </c>
      <c r="B3" s="304"/>
      <c r="C3" s="387"/>
      <c r="D3" s="388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7"/>
      <c r="X3" s="387"/>
    </row>
    <row r="4" spans="1:25" s="381" customFormat="1" ht="13.5">
      <c r="A4" s="384" t="str">
        <f ca="1">Intro!A4</f>
        <v>Town of Bar Harbor</v>
      </c>
      <c r="B4" s="382"/>
      <c r="C4" s="383">
        <f ca="1">NOW()</f>
        <v>43242.835659143515</v>
      </c>
      <c r="D4" s="388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  <c r="Q4" s="387"/>
      <c r="R4" s="387"/>
      <c r="S4" s="387"/>
      <c r="T4" s="387"/>
      <c r="U4" s="387"/>
      <c r="V4" s="387"/>
      <c r="W4" s="387"/>
      <c r="X4" s="387"/>
    </row>
    <row r="5" spans="1:25">
      <c r="A5" s="244" t="s">
        <v>343</v>
      </c>
      <c r="B5" s="244"/>
      <c r="C5" s="245"/>
      <c r="D5" s="261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</row>
    <row r="6" spans="1:25">
      <c r="D6" s="485"/>
    </row>
    <row r="7" spans="1:25">
      <c r="A7" s="22"/>
      <c r="B7" s="71"/>
      <c r="C7" s="71"/>
      <c r="D7" s="72">
        <f>'Cruise Projections'!T7</f>
        <v>2018</v>
      </c>
      <c r="E7" s="72">
        <f>'Cruise Projections'!U7</f>
        <v>2019</v>
      </c>
      <c r="F7" s="72">
        <f>'Cruise Projections'!V7</f>
        <v>2020</v>
      </c>
      <c r="G7" s="72">
        <f>'Cruise Projections'!W7</f>
        <v>2021</v>
      </c>
      <c r="H7" s="72">
        <f>'Cruise Projections'!X7</f>
        <v>2022</v>
      </c>
      <c r="I7" s="72">
        <f>'Cruise Projections'!Y7</f>
        <v>2023</v>
      </c>
      <c r="J7" s="72">
        <f>'Cruise Projections'!Z7</f>
        <v>2024</v>
      </c>
      <c r="K7" s="72">
        <f>'Cruise Projections'!AA7</f>
        <v>2025</v>
      </c>
      <c r="L7" s="72">
        <f>'Cruise Projections'!AB7</f>
        <v>2026</v>
      </c>
      <c r="M7" s="72">
        <f>'Cruise Projections'!AC7</f>
        <v>2027</v>
      </c>
      <c r="N7" s="72">
        <f>'Cruise Projections'!AD7</f>
        <v>2028</v>
      </c>
      <c r="O7" s="72">
        <f>'Cruise Projections'!AE7</f>
        <v>2029</v>
      </c>
      <c r="P7" s="72">
        <f>'Cruise Projections'!AF7</f>
        <v>2030</v>
      </c>
      <c r="Q7" s="72">
        <f>'Cruise Projections'!AG7</f>
        <v>2031</v>
      </c>
      <c r="R7" s="72">
        <f>'Cruise Projections'!AH7</f>
        <v>2032</v>
      </c>
      <c r="S7" s="72">
        <f>'Cruise Projections'!AI7</f>
        <v>2033</v>
      </c>
      <c r="T7" s="72">
        <f>'Cruise Projections'!AJ7</f>
        <v>2034</v>
      </c>
      <c r="U7" s="72">
        <f>'Cruise Projections'!AK7</f>
        <v>2035</v>
      </c>
      <c r="V7" s="72">
        <f>'Cruise Projections'!AL7</f>
        <v>2036</v>
      </c>
      <c r="W7" s="72">
        <f>'Cruise Projections'!AM7</f>
        <v>2037</v>
      </c>
      <c r="X7" s="72">
        <f>'Cruise Projections'!AN7</f>
        <v>2038</v>
      </c>
    </row>
    <row r="8" spans="1:25" ht="17.25" thickBot="1">
      <c r="D8" s="488"/>
    </row>
    <row r="9" spans="1:25" ht="17.25" thickBot="1">
      <c r="A9" s="117" t="s">
        <v>34</v>
      </c>
      <c r="B9" s="484" t="str">
        <f>'Cruise Projections'!A89</f>
        <v>Scenario 5 - Percent of 2018 Business - NCLH</v>
      </c>
      <c r="D9" s="489"/>
      <c r="E9" s="327"/>
      <c r="F9" s="327"/>
      <c r="G9" s="327"/>
      <c r="H9" s="327"/>
      <c r="I9" s="327"/>
      <c r="J9" s="327"/>
      <c r="K9" s="327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</row>
    <row r="10" spans="1:25">
      <c r="D10" s="489"/>
      <c r="E10" s="327"/>
      <c r="F10" s="327"/>
      <c r="G10" s="327"/>
      <c r="H10" s="327"/>
      <c r="I10" s="327"/>
      <c r="J10" s="327"/>
      <c r="K10" s="327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</row>
    <row r="11" spans="1:25" s="279" customFormat="1" ht="14.25">
      <c r="A11" s="279" t="s">
        <v>83</v>
      </c>
      <c r="D11" s="490"/>
      <c r="E11" s="328"/>
      <c r="F11" s="328"/>
      <c r="G11" s="328"/>
      <c r="H11" s="328"/>
      <c r="I11" s="328"/>
      <c r="J11" s="328"/>
      <c r="K11" s="328"/>
      <c r="L11" s="328"/>
      <c r="M11" s="328"/>
      <c r="N11" s="328"/>
      <c r="O11" s="328"/>
      <c r="P11" s="328"/>
      <c r="Q11" s="328"/>
      <c r="R11" s="328"/>
      <c r="S11" s="328"/>
      <c r="T11" s="328"/>
      <c r="U11" s="328"/>
      <c r="V11" s="328"/>
      <c r="W11" s="328"/>
      <c r="X11" s="328"/>
    </row>
    <row r="12" spans="1:25">
      <c r="A12" s="53" t="str">
        <f>'Cruise Projections'!A67</f>
        <v>Passengers</v>
      </c>
      <c r="B12" s="21"/>
      <c r="C12" s="21"/>
      <c r="D12" s="486">
        <f>'Cruise Projections'!T67</f>
        <v>0</v>
      </c>
      <c r="E12" s="313">
        <v>0</v>
      </c>
      <c r="F12" s="313">
        <f>'Cruise Projections'!V91</f>
        <v>51920.067226246269</v>
      </c>
      <c r="G12" s="313">
        <f>'Cruise Projections'!W91</f>
        <v>51920.067226246269</v>
      </c>
      <c r="H12" s="313">
        <f>'Cruise Projections'!X91</f>
        <v>51920.067226246269</v>
      </c>
      <c r="I12" s="313">
        <f>'Cruise Projections'!Y91</f>
        <v>51920.067226246269</v>
      </c>
      <c r="J12" s="313">
        <f>'Cruise Projections'!Z91</f>
        <v>51920.067226246269</v>
      </c>
      <c r="K12" s="313">
        <f>'Cruise Projections'!AA91</f>
        <v>51920.067226246269</v>
      </c>
      <c r="L12" s="313">
        <f>'Cruise Projections'!AB91</f>
        <v>51920.067226246269</v>
      </c>
      <c r="M12" s="313">
        <f>'Cruise Projections'!AC91</f>
        <v>51920.067226246269</v>
      </c>
      <c r="N12" s="313">
        <f>'Cruise Projections'!AD91</f>
        <v>51920.067226246269</v>
      </c>
      <c r="O12" s="313">
        <f>'Cruise Projections'!AE91</f>
        <v>51920.067226246269</v>
      </c>
      <c r="P12" s="313">
        <f>'Cruise Projections'!AF91</f>
        <v>51920.067226246269</v>
      </c>
      <c r="Q12" s="313">
        <f>'Cruise Projections'!AG91</f>
        <v>51920.067226246269</v>
      </c>
      <c r="R12" s="313">
        <f>'Cruise Projections'!AH91</f>
        <v>51920.067226246269</v>
      </c>
      <c r="S12" s="313">
        <f>'Cruise Projections'!AI91</f>
        <v>51920.067226246269</v>
      </c>
      <c r="T12" s="313">
        <f>'Cruise Projections'!AJ91</f>
        <v>51920.067226246269</v>
      </c>
      <c r="U12" s="313">
        <f>'Cruise Projections'!AK91</f>
        <v>51920.067226246269</v>
      </c>
      <c r="V12" s="313">
        <f>'Cruise Projections'!AL91</f>
        <v>51920.067226246269</v>
      </c>
      <c r="W12" s="313">
        <f>'Cruise Projections'!AM91</f>
        <v>51920.067226246269</v>
      </c>
      <c r="X12" s="313">
        <f>'Cruise Projections'!AN91</f>
        <v>51920.067226246269</v>
      </c>
      <c r="Y12" s="312"/>
    </row>
    <row r="13" spans="1:25">
      <c r="A13" s="53" t="str">
        <f>'Cruise Projections'!A68</f>
        <v>Calls</v>
      </c>
      <c r="B13" s="21"/>
      <c r="C13" s="21"/>
      <c r="D13" s="486">
        <f>'Cruise Projections'!T68</f>
        <v>0</v>
      </c>
      <c r="E13" s="313">
        <v>0</v>
      </c>
      <c r="F13" s="313">
        <f>'Cruise Projections'!V92</f>
        <v>27.711111111111112</v>
      </c>
      <c r="G13" s="313">
        <f>'Cruise Projections'!W92</f>
        <v>27.711111111111112</v>
      </c>
      <c r="H13" s="313">
        <f>'Cruise Projections'!X92</f>
        <v>27.711111111111112</v>
      </c>
      <c r="I13" s="313">
        <f>'Cruise Projections'!Y92</f>
        <v>27.711111111111112</v>
      </c>
      <c r="J13" s="313">
        <f>'Cruise Projections'!Z92</f>
        <v>27.711111111111112</v>
      </c>
      <c r="K13" s="313">
        <f>'Cruise Projections'!AA92</f>
        <v>27.711111111111112</v>
      </c>
      <c r="L13" s="313">
        <f>'Cruise Projections'!AB92</f>
        <v>27.711111111111112</v>
      </c>
      <c r="M13" s="313">
        <f>'Cruise Projections'!AC92</f>
        <v>27.711111111111112</v>
      </c>
      <c r="N13" s="313">
        <f>'Cruise Projections'!AD92</f>
        <v>27.711111111111112</v>
      </c>
      <c r="O13" s="313">
        <f>'Cruise Projections'!AE92</f>
        <v>27.711111111111112</v>
      </c>
      <c r="P13" s="313">
        <f>'Cruise Projections'!AF92</f>
        <v>27.711111111111112</v>
      </c>
      <c r="Q13" s="313">
        <f>'Cruise Projections'!AG92</f>
        <v>27.711111111111112</v>
      </c>
      <c r="R13" s="313">
        <f>'Cruise Projections'!AH92</f>
        <v>27.711111111111112</v>
      </c>
      <c r="S13" s="313">
        <f>'Cruise Projections'!AI92</f>
        <v>27.711111111111112</v>
      </c>
      <c r="T13" s="313">
        <f>'Cruise Projections'!AJ92</f>
        <v>27.711111111111112</v>
      </c>
      <c r="U13" s="313">
        <f>'Cruise Projections'!AK92</f>
        <v>27.711111111111112</v>
      </c>
      <c r="V13" s="313">
        <f>'Cruise Projections'!AL92</f>
        <v>27.711111111111112</v>
      </c>
      <c r="W13" s="313">
        <f>'Cruise Projections'!AM92</f>
        <v>27.711111111111112</v>
      </c>
      <c r="X13" s="313">
        <f>'Cruise Projections'!AN92</f>
        <v>27.711111111111112</v>
      </c>
      <c r="Y13" s="312"/>
    </row>
    <row r="14" spans="1:25">
      <c r="A14" s="53" t="str">
        <f>'Cruise Projections'!A69</f>
        <v>Passengers per Call</v>
      </c>
      <c r="B14" s="21"/>
      <c r="C14" s="21"/>
      <c r="D14" s="486">
        <f>'Cruise Projections'!T69</f>
        <v>0</v>
      </c>
      <c r="E14" s="313">
        <v>0</v>
      </c>
      <c r="F14" s="313">
        <f>'Cruise Projections'!V93</f>
        <v>1873.6191059992639</v>
      </c>
      <c r="G14" s="313">
        <f>'Cruise Projections'!W93</f>
        <v>1873.6191059992639</v>
      </c>
      <c r="H14" s="313">
        <f>'Cruise Projections'!X93</f>
        <v>1873.6191059992639</v>
      </c>
      <c r="I14" s="313">
        <f>'Cruise Projections'!Y93</f>
        <v>1873.6191059992639</v>
      </c>
      <c r="J14" s="313">
        <f>'Cruise Projections'!Z93</f>
        <v>1873.6191059992639</v>
      </c>
      <c r="K14" s="313">
        <f>'Cruise Projections'!AA93</f>
        <v>1873.6191059992639</v>
      </c>
      <c r="L14" s="313">
        <f>'Cruise Projections'!AB93</f>
        <v>1873.6191059992639</v>
      </c>
      <c r="M14" s="313">
        <f>'Cruise Projections'!AC93</f>
        <v>1873.6191059992639</v>
      </c>
      <c r="N14" s="313">
        <f>'Cruise Projections'!AD93</f>
        <v>1873.6191059992639</v>
      </c>
      <c r="O14" s="313">
        <f>'Cruise Projections'!AE93</f>
        <v>1873.6191059992639</v>
      </c>
      <c r="P14" s="313">
        <f>'Cruise Projections'!AF93</f>
        <v>1873.6191059992639</v>
      </c>
      <c r="Q14" s="313">
        <f>'Cruise Projections'!AG93</f>
        <v>1873.6191059992639</v>
      </c>
      <c r="R14" s="313">
        <f>'Cruise Projections'!AH93</f>
        <v>1873.6191059992639</v>
      </c>
      <c r="S14" s="313">
        <f>'Cruise Projections'!AI93</f>
        <v>1873.6191059992639</v>
      </c>
      <c r="T14" s="313">
        <f>'Cruise Projections'!AJ93</f>
        <v>1873.6191059992639</v>
      </c>
      <c r="U14" s="313">
        <f>'Cruise Projections'!AK93</f>
        <v>1873.6191059992639</v>
      </c>
      <c r="V14" s="313">
        <f>'Cruise Projections'!AL93</f>
        <v>1873.6191059992639</v>
      </c>
      <c r="W14" s="313">
        <f>'Cruise Projections'!AM93</f>
        <v>1873.6191059992639</v>
      </c>
      <c r="X14" s="313">
        <f>'Cruise Projections'!AN93</f>
        <v>1873.6191059992639</v>
      </c>
      <c r="Y14" s="312"/>
    </row>
    <row r="15" spans="1:25" s="96" customFormat="1">
      <c r="A15" s="54" t="s">
        <v>313</v>
      </c>
      <c r="B15" s="487"/>
      <c r="C15" s="487"/>
      <c r="D15" s="486">
        <f>'Cruise Projections'!T70</f>
        <v>0</v>
      </c>
      <c r="E15" s="313">
        <v>0</v>
      </c>
      <c r="F15" s="313">
        <f>'Shuttle Projections'!D24</f>
        <v>4120</v>
      </c>
      <c r="G15" s="313">
        <f>'Shuttle Projections'!E24</f>
        <v>4120</v>
      </c>
      <c r="H15" s="313">
        <f>'Shuttle Projections'!F24</f>
        <v>4120</v>
      </c>
      <c r="I15" s="313">
        <f>'Shuttle Projections'!G24</f>
        <v>4120</v>
      </c>
      <c r="J15" s="313">
        <f>'Shuttle Projections'!H24</f>
        <v>4120</v>
      </c>
      <c r="K15" s="313">
        <f>'Shuttle Projections'!I24</f>
        <v>4120</v>
      </c>
      <c r="L15" s="313">
        <f>'Shuttle Projections'!J24</f>
        <v>4120</v>
      </c>
      <c r="M15" s="313">
        <f>'Shuttle Projections'!K24</f>
        <v>4120</v>
      </c>
      <c r="N15" s="313">
        <f>'Shuttle Projections'!L24</f>
        <v>4120</v>
      </c>
      <c r="O15" s="313">
        <f>'Shuttle Projections'!M24</f>
        <v>4120</v>
      </c>
      <c r="P15" s="313">
        <f>'Shuttle Projections'!N24</f>
        <v>4120</v>
      </c>
      <c r="Q15" s="313">
        <f>'Shuttle Projections'!O24</f>
        <v>4120</v>
      </c>
      <c r="R15" s="313">
        <f>'Shuttle Projections'!P24</f>
        <v>4120</v>
      </c>
      <c r="S15" s="313">
        <f>'Shuttle Projections'!Q24</f>
        <v>4120</v>
      </c>
      <c r="T15" s="313">
        <f>'Shuttle Projections'!R24</f>
        <v>4120</v>
      </c>
      <c r="U15" s="313">
        <f>'Shuttle Projections'!S24</f>
        <v>4120</v>
      </c>
      <c r="V15" s="313">
        <f>'Shuttle Projections'!T24</f>
        <v>4120</v>
      </c>
      <c r="W15" s="313">
        <f>'Shuttle Projections'!U24</f>
        <v>4120</v>
      </c>
      <c r="X15" s="313">
        <f>'Shuttle Projections'!V24</f>
        <v>4120</v>
      </c>
      <c r="Y15" s="313"/>
    </row>
    <row r="16" spans="1:25">
      <c r="A16" s="54"/>
      <c r="B16" s="21"/>
      <c r="C16" s="21"/>
      <c r="D16" s="486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</row>
    <row r="17" spans="1:25" s="547" customFormat="1" ht="14.25">
      <c r="A17" s="549" t="s">
        <v>163</v>
      </c>
      <c r="B17" s="550"/>
      <c r="C17" s="550"/>
      <c r="D17" s="610"/>
      <c r="E17" s="551"/>
      <c r="F17" s="551"/>
      <c r="G17" s="551"/>
      <c r="H17" s="551"/>
      <c r="I17" s="551"/>
      <c r="J17" s="551"/>
      <c r="K17" s="551"/>
      <c r="L17" s="551"/>
      <c r="M17" s="551"/>
      <c r="N17" s="551"/>
      <c r="O17" s="551"/>
      <c r="P17" s="551"/>
      <c r="Q17" s="551"/>
      <c r="R17" s="551"/>
      <c r="S17" s="551"/>
      <c r="T17" s="551"/>
      <c r="U17" s="551"/>
      <c r="V17" s="551"/>
      <c r="W17" s="551"/>
      <c r="X17" s="551"/>
    </row>
    <row r="18" spans="1:25" s="341" customFormat="1">
      <c r="A18" s="552" t="str">
        <f>'International Ferry Projections'!A11</f>
        <v>Passengers</v>
      </c>
      <c r="B18" s="553"/>
      <c r="C18" s="553"/>
      <c r="D18" s="554">
        <f>'International Ferry Projections'!B11</f>
        <v>0</v>
      </c>
      <c r="E18" s="555">
        <f>'International Ferry Projections'!C11</f>
        <v>60000</v>
      </c>
      <c r="F18" s="555">
        <f>'International Ferry Projections'!D11</f>
        <v>70000</v>
      </c>
      <c r="G18" s="555">
        <f>'International Ferry Projections'!E11</f>
        <v>80000</v>
      </c>
      <c r="H18" s="555">
        <f>'International Ferry Projections'!F11</f>
        <v>80000</v>
      </c>
      <c r="I18" s="555">
        <f>'International Ferry Projections'!G11</f>
        <v>80000</v>
      </c>
      <c r="J18" s="555">
        <f>'International Ferry Projections'!H11</f>
        <v>80000</v>
      </c>
      <c r="K18" s="555">
        <f>'International Ferry Projections'!I11</f>
        <v>80000</v>
      </c>
      <c r="L18" s="555">
        <f>'International Ferry Projections'!J11</f>
        <v>80000</v>
      </c>
      <c r="M18" s="555">
        <f>'International Ferry Projections'!K11</f>
        <v>80000</v>
      </c>
      <c r="N18" s="555">
        <f>'International Ferry Projections'!L11</f>
        <v>80000</v>
      </c>
      <c r="O18" s="555">
        <f>'International Ferry Projections'!M11</f>
        <v>80000</v>
      </c>
      <c r="P18" s="555">
        <f>'International Ferry Projections'!N11</f>
        <v>80000</v>
      </c>
      <c r="Q18" s="555">
        <f>'International Ferry Projections'!O11</f>
        <v>80000</v>
      </c>
      <c r="R18" s="555">
        <f>'International Ferry Projections'!P11</f>
        <v>80000</v>
      </c>
      <c r="S18" s="555">
        <f>'International Ferry Projections'!Q11</f>
        <v>80000</v>
      </c>
      <c r="T18" s="555">
        <f>'International Ferry Projections'!R11</f>
        <v>80000</v>
      </c>
      <c r="U18" s="555">
        <f>'International Ferry Projections'!S11</f>
        <v>80000</v>
      </c>
      <c r="V18" s="555">
        <f>'International Ferry Projections'!T11</f>
        <v>80000</v>
      </c>
      <c r="W18" s="555">
        <f>'International Ferry Projections'!U11</f>
        <v>80000</v>
      </c>
      <c r="X18" s="555">
        <f>'International Ferry Projections'!V11</f>
        <v>80000</v>
      </c>
    </row>
    <row r="19" spans="1:25" s="341" customFormat="1">
      <c r="A19" s="552" t="str">
        <f>'International Ferry Projections'!A12</f>
        <v>Cars</v>
      </c>
      <c r="B19" s="553"/>
      <c r="C19" s="553"/>
      <c r="D19" s="554">
        <f>'International Ferry Projections'!B12</f>
        <v>0</v>
      </c>
      <c r="E19" s="555">
        <f>'International Ferry Projections'!C12</f>
        <v>24000</v>
      </c>
      <c r="F19" s="555">
        <f>'International Ferry Projections'!D12</f>
        <v>28000</v>
      </c>
      <c r="G19" s="555">
        <f>'International Ferry Projections'!E12</f>
        <v>32000</v>
      </c>
      <c r="H19" s="555">
        <f>'International Ferry Projections'!F12</f>
        <v>32000</v>
      </c>
      <c r="I19" s="555">
        <f>'International Ferry Projections'!G12</f>
        <v>32000</v>
      </c>
      <c r="J19" s="555">
        <f>'International Ferry Projections'!H12</f>
        <v>32000</v>
      </c>
      <c r="K19" s="555">
        <f>'International Ferry Projections'!I12</f>
        <v>32000</v>
      </c>
      <c r="L19" s="555">
        <f>'International Ferry Projections'!J12</f>
        <v>32000</v>
      </c>
      <c r="M19" s="555">
        <f>'International Ferry Projections'!K12</f>
        <v>32000</v>
      </c>
      <c r="N19" s="555">
        <f>'International Ferry Projections'!L12</f>
        <v>32000</v>
      </c>
      <c r="O19" s="555">
        <f>'International Ferry Projections'!M12</f>
        <v>32000</v>
      </c>
      <c r="P19" s="555">
        <f>'International Ferry Projections'!N12</f>
        <v>32000</v>
      </c>
      <c r="Q19" s="555">
        <f>'International Ferry Projections'!O12</f>
        <v>32000</v>
      </c>
      <c r="R19" s="555">
        <f>'International Ferry Projections'!P12</f>
        <v>32000</v>
      </c>
      <c r="S19" s="555">
        <f>'International Ferry Projections'!Q12</f>
        <v>32000</v>
      </c>
      <c r="T19" s="555">
        <f>'International Ferry Projections'!R12</f>
        <v>32000</v>
      </c>
      <c r="U19" s="555">
        <f>'International Ferry Projections'!S12</f>
        <v>32000</v>
      </c>
      <c r="V19" s="555">
        <f>'International Ferry Projections'!T12</f>
        <v>32000</v>
      </c>
      <c r="W19" s="555">
        <f>'International Ferry Projections'!U12</f>
        <v>32000</v>
      </c>
      <c r="X19" s="555">
        <f>'International Ferry Projections'!V12</f>
        <v>32000</v>
      </c>
    </row>
    <row r="20" spans="1:25" s="341" customFormat="1">
      <c r="A20" s="552" t="str">
        <f>'International Ferry Projections'!A13</f>
        <v>Buses</v>
      </c>
      <c r="B20" s="553"/>
      <c r="C20" s="553"/>
      <c r="D20" s="554">
        <f>'International Ferry Projections'!B13</f>
        <v>0</v>
      </c>
      <c r="E20" s="555">
        <f>'International Ferry Projections'!C13</f>
        <v>40</v>
      </c>
      <c r="F20" s="555">
        <f>'International Ferry Projections'!D13</f>
        <v>50</v>
      </c>
      <c r="G20" s="555">
        <f>'International Ferry Projections'!E13</f>
        <v>60</v>
      </c>
      <c r="H20" s="555">
        <f>'International Ferry Projections'!F13</f>
        <v>60</v>
      </c>
      <c r="I20" s="555">
        <f>'International Ferry Projections'!G13</f>
        <v>60</v>
      </c>
      <c r="J20" s="555">
        <f>'International Ferry Projections'!H13</f>
        <v>60</v>
      </c>
      <c r="K20" s="555">
        <f>'International Ferry Projections'!I13</f>
        <v>60</v>
      </c>
      <c r="L20" s="555">
        <f>'International Ferry Projections'!J13</f>
        <v>60</v>
      </c>
      <c r="M20" s="555">
        <f>'International Ferry Projections'!K13</f>
        <v>60</v>
      </c>
      <c r="N20" s="555">
        <f>'International Ferry Projections'!L13</f>
        <v>60</v>
      </c>
      <c r="O20" s="555">
        <f>'International Ferry Projections'!M13</f>
        <v>60</v>
      </c>
      <c r="P20" s="555">
        <f>'International Ferry Projections'!N13</f>
        <v>60</v>
      </c>
      <c r="Q20" s="555">
        <f>'International Ferry Projections'!O13</f>
        <v>60</v>
      </c>
      <c r="R20" s="555">
        <f>'International Ferry Projections'!P13</f>
        <v>60</v>
      </c>
      <c r="S20" s="555">
        <f>'International Ferry Projections'!Q13</f>
        <v>60</v>
      </c>
      <c r="T20" s="555">
        <f>'International Ferry Projections'!R13</f>
        <v>60</v>
      </c>
      <c r="U20" s="555">
        <f>'International Ferry Projections'!S13</f>
        <v>60</v>
      </c>
      <c r="V20" s="555">
        <f>'International Ferry Projections'!T13</f>
        <v>60</v>
      </c>
      <c r="W20" s="555">
        <f>'International Ferry Projections'!U13</f>
        <v>60</v>
      </c>
      <c r="X20" s="555">
        <f>'International Ferry Projections'!V13</f>
        <v>60</v>
      </c>
    </row>
    <row r="21" spans="1:25">
      <c r="A21" s="54"/>
      <c r="B21" s="21"/>
      <c r="C21" s="21"/>
      <c r="D21" s="486"/>
      <c r="E21" s="313"/>
      <c r="F21" s="313"/>
      <c r="G21" s="313"/>
      <c r="H21" s="313"/>
      <c r="I21" s="313"/>
      <c r="J21" s="313"/>
      <c r="K21" s="313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</row>
    <row r="22" spans="1:25" s="582" customFormat="1">
      <c r="A22" s="293" t="str">
        <f>'BH Tariffs'!A30</f>
        <v>Local Ferry</v>
      </c>
      <c r="B22" s="581"/>
      <c r="C22" s="581"/>
      <c r="D22" s="486">
        <v>0</v>
      </c>
      <c r="E22" s="329"/>
      <c r="F22" s="329"/>
      <c r="G22" s="329"/>
      <c r="H22" s="329"/>
      <c r="I22" s="329"/>
      <c r="J22" s="329"/>
      <c r="K22" s="329"/>
      <c r="L22" s="329"/>
      <c r="M22" s="329"/>
      <c r="N22" s="329"/>
      <c r="O22" s="329"/>
      <c r="P22" s="329"/>
      <c r="Q22" s="329"/>
      <c r="R22" s="329"/>
      <c r="S22" s="329"/>
      <c r="T22" s="329"/>
      <c r="U22" s="329"/>
      <c r="V22" s="329"/>
      <c r="W22" s="329"/>
      <c r="X22" s="329"/>
    </row>
    <row r="23" spans="1:25" s="96" customFormat="1">
      <c r="A23" s="54" t="str">
        <f>'BH Tariffs'!A31</f>
        <v>Dock Rent (6 Months Only)</v>
      </c>
      <c r="B23" s="487"/>
      <c r="C23" s="487"/>
      <c r="D23" s="486">
        <v>0</v>
      </c>
      <c r="E23" s="623" t="s">
        <v>286</v>
      </c>
      <c r="F23" s="623" t="s">
        <v>286</v>
      </c>
      <c r="G23" s="623" t="s">
        <v>286</v>
      </c>
      <c r="H23" s="623" t="s">
        <v>286</v>
      </c>
      <c r="I23" s="623" t="s">
        <v>286</v>
      </c>
      <c r="J23" s="623" t="s">
        <v>286</v>
      </c>
      <c r="K23" s="623" t="s">
        <v>286</v>
      </c>
      <c r="L23" s="623" t="s">
        <v>286</v>
      </c>
      <c r="M23" s="623" t="s">
        <v>286</v>
      </c>
      <c r="N23" s="623" t="s">
        <v>286</v>
      </c>
      <c r="O23" s="623" t="s">
        <v>286</v>
      </c>
      <c r="P23" s="623" t="s">
        <v>286</v>
      </c>
      <c r="Q23" s="623" t="s">
        <v>286</v>
      </c>
      <c r="R23" s="623" t="s">
        <v>286</v>
      </c>
      <c r="S23" s="623" t="s">
        <v>286</v>
      </c>
      <c r="T23" s="623" t="s">
        <v>286</v>
      </c>
      <c r="U23" s="623" t="s">
        <v>286</v>
      </c>
      <c r="V23" s="623" t="s">
        <v>286</v>
      </c>
      <c r="W23" s="623" t="s">
        <v>286</v>
      </c>
      <c r="X23" s="623" t="s">
        <v>286</v>
      </c>
    </row>
    <row r="24" spans="1:25" s="341" customFormat="1">
      <c r="A24" s="552"/>
      <c r="B24" s="553"/>
      <c r="C24" s="553"/>
      <c r="D24" s="554"/>
      <c r="E24" s="555"/>
      <c r="F24" s="555"/>
      <c r="G24" s="555"/>
      <c r="H24" s="555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</row>
    <row r="25" spans="1:25" s="96" customFormat="1">
      <c r="A25" s="559" t="s">
        <v>227</v>
      </c>
      <c r="B25" s="487"/>
      <c r="C25" s="487"/>
      <c r="D25" s="486"/>
      <c r="E25" s="313"/>
      <c r="F25" s="313"/>
      <c r="G25" s="313"/>
      <c r="H25" s="313"/>
      <c r="I25" s="313"/>
      <c r="J25" s="313"/>
      <c r="K25" s="313"/>
      <c r="L25" s="313"/>
      <c r="M25" s="313"/>
      <c r="N25" s="313"/>
      <c r="O25" s="313"/>
      <c r="P25" s="313"/>
      <c r="Q25" s="313"/>
      <c r="R25" s="313"/>
      <c r="S25" s="313"/>
      <c r="T25" s="313"/>
      <c r="U25" s="313"/>
      <c r="V25" s="313"/>
      <c r="W25" s="313"/>
      <c r="X25" s="313"/>
    </row>
    <row r="26" spans="1:25">
      <c r="A26" s="54"/>
      <c r="B26" s="21"/>
      <c r="C26" s="21"/>
      <c r="D26" s="486"/>
      <c r="E26" s="313"/>
      <c r="F26" s="313"/>
      <c r="G26" s="313"/>
      <c r="H26" s="313"/>
      <c r="I26" s="313"/>
      <c r="J26" s="313"/>
      <c r="K26" s="313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</row>
    <row r="27" spans="1:25">
      <c r="A27" s="54" t="s">
        <v>420</v>
      </c>
      <c r="B27" s="21"/>
      <c r="C27" s="21"/>
      <c r="D27" s="486">
        <v>0</v>
      </c>
      <c r="E27" s="313">
        <f>'Marina Projections'!C9</f>
        <v>0</v>
      </c>
      <c r="F27" s="313">
        <f>'Marina Projections'!D9</f>
        <v>214</v>
      </c>
      <c r="G27" s="313">
        <f>'Marina Projections'!E9</f>
        <v>214</v>
      </c>
      <c r="H27" s="313">
        <f>'Marina Projections'!F9</f>
        <v>214</v>
      </c>
      <c r="I27" s="313">
        <f>'Marina Projections'!G9</f>
        <v>214</v>
      </c>
      <c r="J27" s="313">
        <f>'Marina Projections'!H9</f>
        <v>214</v>
      </c>
      <c r="K27" s="313">
        <f>'Marina Projections'!I9</f>
        <v>214</v>
      </c>
      <c r="L27" s="313">
        <f>'Marina Projections'!J9</f>
        <v>214</v>
      </c>
      <c r="M27" s="313">
        <f>'Marina Projections'!K9</f>
        <v>214</v>
      </c>
      <c r="N27" s="313">
        <f>'Marina Projections'!L9</f>
        <v>214</v>
      </c>
      <c r="O27" s="313">
        <f>'Marina Projections'!M9</f>
        <v>214</v>
      </c>
      <c r="P27" s="313">
        <f>'Marina Projections'!N9</f>
        <v>214</v>
      </c>
      <c r="Q27" s="313">
        <f>'Marina Projections'!O9</f>
        <v>214</v>
      </c>
      <c r="R27" s="313">
        <f>'Marina Projections'!P9</f>
        <v>214</v>
      </c>
      <c r="S27" s="313">
        <f>'Marina Projections'!Q9</f>
        <v>214</v>
      </c>
      <c r="T27" s="313">
        <f>'Marina Projections'!R9</f>
        <v>214</v>
      </c>
      <c r="U27" s="313">
        <f>'Marina Projections'!S9</f>
        <v>214</v>
      </c>
      <c r="V27" s="313">
        <f>'Marina Projections'!T9</f>
        <v>214</v>
      </c>
      <c r="W27" s="313">
        <f>'Marina Projections'!U9</f>
        <v>214</v>
      </c>
      <c r="X27" s="313">
        <f>'Marina Projections'!V9</f>
        <v>214</v>
      </c>
    </row>
    <row r="28" spans="1:25">
      <c r="A28" s="54" t="s">
        <v>205</v>
      </c>
      <c r="B28" s="21"/>
      <c r="C28" s="21"/>
      <c r="D28" s="486">
        <v>0</v>
      </c>
      <c r="E28" s="330">
        <v>0</v>
      </c>
      <c r="F28" s="330">
        <f>'Cruise Projections'!U92</f>
        <v>27.711111111111112</v>
      </c>
      <c r="G28" s="330">
        <f>'Cruise Projections'!V92</f>
        <v>27.711111111111112</v>
      </c>
      <c r="H28" s="330">
        <f>'Cruise Projections'!W92</f>
        <v>27.711111111111112</v>
      </c>
      <c r="I28" s="330">
        <f>'Cruise Projections'!X92</f>
        <v>27.711111111111112</v>
      </c>
      <c r="J28" s="330">
        <f>'Cruise Projections'!Y92</f>
        <v>27.711111111111112</v>
      </c>
      <c r="K28" s="330">
        <f>'Cruise Projections'!Z92</f>
        <v>27.711111111111112</v>
      </c>
      <c r="L28" s="330">
        <f>'Cruise Projections'!AA92</f>
        <v>27.711111111111112</v>
      </c>
      <c r="M28" s="330">
        <f>'Cruise Projections'!AB92</f>
        <v>27.711111111111112</v>
      </c>
      <c r="N28" s="330">
        <f>'Cruise Projections'!AC92</f>
        <v>27.711111111111112</v>
      </c>
      <c r="O28" s="330">
        <f>'Cruise Projections'!AD92</f>
        <v>27.711111111111112</v>
      </c>
      <c r="P28" s="330">
        <f>'Cruise Projections'!AE92</f>
        <v>27.711111111111112</v>
      </c>
      <c r="Q28" s="330">
        <f>'Cruise Projections'!AF92</f>
        <v>27.711111111111112</v>
      </c>
      <c r="R28" s="330">
        <f>'Cruise Projections'!AG92</f>
        <v>27.711111111111112</v>
      </c>
      <c r="S28" s="330">
        <f>'Cruise Projections'!AH92</f>
        <v>27.711111111111112</v>
      </c>
      <c r="T28" s="330">
        <f>'Cruise Projections'!AI92</f>
        <v>27.711111111111112</v>
      </c>
      <c r="U28" s="330">
        <f>'Cruise Projections'!AJ92</f>
        <v>27.711111111111112</v>
      </c>
      <c r="V28" s="330">
        <f>'Cruise Projections'!AK92</f>
        <v>27.711111111111112</v>
      </c>
      <c r="W28" s="330">
        <f>'Cruise Projections'!AL92</f>
        <v>27.711111111111112</v>
      </c>
      <c r="X28" s="330">
        <f>'Cruise Projections'!AM92</f>
        <v>27.711111111111112</v>
      </c>
      <c r="Y28" s="32"/>
    </row>
    <row r="29" spans="1:25" s="341" customFormat="1">
      <c r="A29" s="552" t="s">
        <v>219</v>
      </c>
      <c r="B29" s="553"/>
      <c r="C29" s="553"/>
      <c r="D29" s="554">
        <v>0</v>
      </c>
      <c r="E29" s="560">
        <v>150</v>
      </c>
      <c r="F29" s="560">
        <f>E29</f>
        <v>150</v>
      </c>
      <c r="G29" s="560">
        <f t="shared" ref="G29:X29" si="0">F29</f>
        <v>150</v>
      </c>
      <c r="H29" s="560">
        <f t="shared" si="0"/>
        <v>150</v>
      </c>
      <c r="I29" s="560">
        <f t="shared" si="0"/>
        <v>150</v>
      </c>
      <c r="J29" s="560">
        <f t="shared" si="0"/>
        <v>150</v>
      </c>
      <c r="K29" s="560">
        <f t="shared" si="0"/>
        <v>150</v>
      </c>
      <c r="L29" s="560">
        <f t="shared" si="0"/>
        <v>150</v>
      </c>
      <c r="M29" s="560">
        <f t="shared" si="0"/>
        <v>150</v>
      </c>
      <c r="N29" s="560">
        <f t="shared" si="0"/>
        <v>150</v>
      </c>
      <c r="O29" s="560">
        <f t="shared" si="0"/>
        <v>150</v>
      </c>
      <c r="P29" s="560">
        <f t="shared" si="0"/>
        <v>150</v>
      </c>
      <c r="Q29" s="560">
        <f t="shared" si="0"/>
        <v>150</v>
      </c>
      <c r="R29" s="560">
        <f t="shared" si="0"/>
        <v>150</v>
      </c>
      <c r="S29" s="560">
        <f t="shared" si="0"/>
        <v>150</v>
      </c>
      <c r="T29" s="560">
        <f t="shared" si="0"/>
        <v>150</v>
      </c>
      <c r="U29" s="560">
        <f t="shared" si="0"/>
        <v>150</v>
      </c>
      <c r="V29" s="560">
        <f t="shared" si="0"/>
        <v>150</v>
      </c>
      <c r="W29" s="560">
        <f t="shared" si="0"/>
        <v>150</v>
      </c>
      <c r="X29" s="560">
        <f t="shared" si="0"/>
        <v>150</v>
      </c>
      <c r="Y29" s="561"/>
    </row>
    <row r="30" spans="1:25" s="341" customFormat="1">
      <c r="A30" s="552" t="s">
        <v>220</v>
      </c>
      <c r="B30" s="553"/>
      <c r="C30" s="553"/>
      <c r="D30" s="554">
        <v>0</v>
      </c>
      <c r="E30" s="611">
        <f>E28/E29</f>
        <v>0</v>
      </c>
      <c r="F30" s="611">
        <f t="shared" ref="F30:X30" si="1">F28/F29</f>
        <v>0.18474074074074076</v>
      </c>
      <c r="G30" s="611">
        <f t="shared" si="1"/>
        <v>0.18474074074074076</v>
      </c>
      <c r="H30" s="611">
        <f t="shared" si="1"/>
        <v>0.18474074074074076</v>
      </c>
      <c r="I30" s="611">
        <f t="shared" si="1"/>
        <v>0.18474074074074076</v>
      </c>
      <c r="J30" s="611">
        <f t="shared" si="1"/>
        <v>0.18474074074074076</v>
      </c>
      <c r="K30" s="611">
        <f t="shared" si="1"/>
        <v>0.18474074074074076</v>
      </c>
      <c r="L30" s="611">
        <f t="shared" si="1"/>
        <v>0.18474074074074076</v>
      </c>
      <c r="M30" s="611">
        <f t="shared" si="1"/>
        <v>0.18474074074074076</v>
      </c>
      <c r="N30" s="611">
        <f t="shared" si="1"/>
        <v>0.18474074074074076</v>
      </c>
      <c r="O30" s="611">
        <f t="shared" si="1"/>
        <v>0.18474074074074076</v>
      </c>
      <c r="P30" s="611">
        <f t="shared" si="1"/>
        <v>0.18474074074074076</v>
      </c>
      <c r="Q30" s="611">
        <f t="shared" si="1"/>
        <v>0.18474074074074076</v>
      </c>
      <c r="R30" s="611">
        <f t="shared" si="1"/>
        <v>0.18474074074074076</v>
      </c>
      <c r="S30" s="611">
        <f t="shared" si="1"/>
        <v>0.18474074074074076</v>
      </c>
      <c r="T30" s="611">
        <f t="shared" si="1"/>
        <v>0.18474074074074076</v>
      </c>
      <c r="U30" s="611">
        <f t="shared" si="1"/>
        <v>0.18474074074074076</v>
      </c>
      <c r="V30" s="611">
        <f t="shared" si="1"/>
        <v>0.18474074074074076</v>
      </c>
      <c r="W30" s="611">
        <f t="shared" si="1"/>
        <v>0.18474074074074076</v>
      </c>
      <c r="X30" s="611">
        <f t="shared" si="1"/>
        <v>0.18474074074074076</v>
      </c>
      <c r="Y30" s="561"/>
    </row>
    <row r="31" spans="1:25" s="96" customFormat="1">
      <c r="A31" s="54" t="s">
        <v>226</v>
      </c>
      <c r="B31" s="487"/>
      <c r="C31" s="487"/>
      <c r="D31" s="486">
        <v>0</v>
      </c>
      <c r="E31" s="330">
        <v>0</v>
      </c>
      <c r="F31" s="330">
        <v>125</v>
      </c>
      <c r="G31" s="330">
        <v>125</v>
      </c>
      <c r="H31" s="330">
        <v>125</v>
      </c>
      <c r="I31" s="330">
        <v>125</v>
      </c>
      <c r="J31" s="330">
        <v>125</v>
      </c>
      <c r="K31" s="330">
        <v>125</v>
      </c>
      <c r="L31" s="330">
        <v>125</v>
      </c>
      <c r="M31" s="330">
        <v>125</v>
      </c>
      <c r="N31" s="330">
        <v>125</v>
      </c>
      <c r="O31" s="330">
        <v>125</v>
      </c>
      <c r="P31" s="330">
        <v>125</v>
      </c>
      <c r="Q31" s="330">
        <v>125</v>
      </c>
      <c r="R31" s="330">
        <v>125</v>
      </c>
      <c r="S31" s="330">
        <v>125</v>
      </c>
      <c r="T31" s="330">
        <v>125</v>
      </c>
      <c r="U31" s="330">
        <v>125</v>
      </c>
      <c r="V31" s="330">
        <v>125</v>
      </c>
      <c r="W31" s="330">
        <v>125</v>
      </c>
      <c r="X31" s="330">
        <v>125</v>
      </c>
      <c r="Y31" s="58"/>
    </row>
    <row r="32" spans="1:25">
      <c r="A32" s="54"/>
      <c r="B32" s="21"/>
      <c r="C32" s="21"/>
      <c r="D32" s="486"/>
      <c r="E32" s="495"/>
      <c r="F32" s="495"/>
      <c r="G32" s="495"/>
      <c r="H32" s="495"/>
      <c r="I32" s="495"/>
      <c r="J32" s="495"/>
      <c r="K32" s="495"/>
      <c r="L32" s="495"/>
      <c r="M32" s="495"/>
      <c r="N32" s="495"/>
      <c r="O32" s="495"/>
      <c r="P32" s="495"/>
      <c r="Q32" s="495"/>
      <c r="R32" s="495"/>
      <c r="S32" s="495"/>
      <c r="T32" s="495"/>
      <c r="U32" s="495"/>
      <c r="V32" s="495"/>
      <c r="W32" s="495"/>
      <c r="X32" s="495"/>
      <c r="Y32" s="32"/>
    </row>
    <row r="33" spans="1:24">
      <c r="A33" s="54" t="s">
        <v>206</v>
      </c>
      <c r="B33" s="21"/>
      <c r="C33" s="21"/>
      <c r="D33" s="486">
        <v>0</v>
      </c>
      <c r="E33" s="313">
        <v>0</v>
      </c>
      <c r="F33" s="313">
        <f t="shared" ref="F33:X33" si="2">F12/F28</f>
        <v>1873.6191059992639</v>
      </c>
      <c r="G33" s="313">
        <f t="shared" si="2"/>
        <v>1873.6191059992639</v>
      </c>
      <c r="H33" s="313">
        <f t="shared" si="2"/>
        <v>1873.6191059992639</v>
      </c>
      <c r="I33" s="313">
        <f t="shared" si="2"/>
        <v>1873.6191059992639</v>
      </c>
      <c r="J33" s="313">
        <f t="shared" si="2"/>
        <v>1873.6191059992639</v>
      </c>
      <c r="K33" s="313">
        <f t="shared" si="2"/>
        <v>1873.6191059992639</v>
      </c>
      <c r="L33" s="313">
        <f t="shared" si="2"/>
        <v>1873.6191059992639</v>
      </c>
      <c r="M33" s="313">
        <f t="shared" si="2"/>
        <v>1873.6191059992639</v>
      </c>
      <c r="N33" s="313">
        <f t="shared" si="2"/>
        <v>1873.6191059992639</v>
      </c>
      <c r="O33" s="313">
        <f t="shared" si="2"/>
        <v>1873.6191059992639</v>
      </c>
      <c r="P33" s="313">
        <f t="shared" si="2"/>
        <v>1873.6191059992639</v>
      </c>
      <c r="Q33" s="313">
        <f t="shared" si="2"/>
        <v>1873.6191059992639</v>
      </c>
      <c r="R33" s="313">
        <f t="shared" si="2"/>
        <v>1873.6191059992639</v>
      </c>
      <c r="S33" s="313">
        <f t="shared" si="2"/>
        <v>1873.6191059992639</v>
      </c>
      <c r="T33" s="313">
        <f t="shared" si="2"/>
        <v>1873.6191059992639</v>
      </c>
      <c r="U33" s="313">
        <f t="shared" si="2"/>
        <v>1873.6191059992639</v>
      </c>
      <c r="V33" s="313">
        <f t="shared" si="2"/>
        <v>1873.6191059992639</v>
      </c>
      <c r="W33" s="313">
        <f t="shared" si="2"/>
        <v>1873.6191059992639</v>
      </c>
      <c r="X33" s="313">
        <f t="shared" si="2"/>
        <v>1873.6191059992639</v>
      </c>
    </row>
    <row r="34" spans="1:24">
      <c r="A34" s="54" t="s">
        <v>207</v>
      </c>
      <c r="B34" s="21"/>
      <c r="C34" s="21"/>
      <c r="D34" s="486">
        <v>0</v>
      </c>
      <c r="E34" s="313">
        <v>0</v>
      </c>
      <c r="F34" s="313">
        <v>5500</v>
      </c>
      <c r="G34" s="313">
        <v>5500</v>
      </c>
      <c r="H34" s="313">
        <v>5500</v>
      </c>
      <c r="I34" s="313">
        <v>5500</v>
      </c>
      <c r="J34" s="313">
        <v>5500</v>
      </c>
      <c r="K34" s="313">
        <v>5500</v>
      </c>
      <c r="L34" s="313">
        <v>5500</v>
      </c>
      <c r="M34" s="313">
        <v>5500</v>
      </c>
      <c r="N34" s="313">
        <v>5500</v>
      </c>
      <c r="O34" s="313">
        <v>5500</v>
      </c>
      <c r="P34" s="313">
        <v>5500</v>
      </c>
      <c r="Q34" s="313">
        <v>5500</v>
      </c>
      <c r="R34" s="313">
        <v>5500</v>
      </c>
      <c r="S34" s="313">
        <v>5500</v>
      </c>
      <c r="T34" s="313">
        <v>5500</v>
      </c>
      <c r="U34" s="313">
        <v>5500</v>
      </c>
      <c r="V34" s="313">
        <v>5500</v>
      </c>
      <c r="W34" s="313">
        <v>5500</v>
      </c>
      <c r="X34" s="313">
        <v>5500</v>
      </c>
    </row>
    <row r="35" spans="1:24" s="341" customFormat="1">
      <c r="A35" s="552" t="s">
        <v>221</v>
      </c>
      <c r="B35" s="553"/>
      <c r="C35" s="553"/>
      <c r="D35" s="554">
        <v>0</v>
      </c>
      <c r="E35" s="560">
        <f>E18/E29</f>
        <v>400</v>
      </c>
      <c r="F35" s="560">
        <f t="shared" ref="F35:X35" si="3">F18/F29</f>
        <v>466.66666666666669</v>
      </c>
      <c r="G35" s="560">
        <f t="shared" si="3"/>
        <v>533.33333333333337</v>
      </c>
      <c r="H35" s="560">
        <f t="shared" si="3"/>
        <v>533.33333333333337</v>
      </c>
      <c r="I35" s="560">
        <f t="shared" si="3"/>
        <v>533.33333333333337</v>
      </c>
      <c r="J35" s="560">
        <f t="shared" si="3"/>
        <v>533.33333333333337</v>
      </c>
      <c r="K35" s="560">
        <f t="shared" si="3"/>
        <v>533.33333333333337</v>
      </c>
      <c r="L35" s="560">
        <f t="shared" si="3"/>
        <v>533.33333333333337</v>
      </c>
      <c r="M35" s="560">
        <f t="shared" si="3"/>
        <v>533.33333333333337</v>
      </c>
      <c r="N35" s="560">
        <f t="shared" si="3"/>
        <v>533.33333333333337</v>
      </c>
      <c r="O35" s="560">
        <f t="shared" si="3"/>
        <v>533.33333333333337</v>
      </c>
      <c r="P35" s="560">
        <f t="shared" si="3"/>
        <v>533.33333333333337</v>
      </c>
      <c r="Q35" s="560">
        <f t="shared" si="3"/>
        <v>533.33333333333337</v>
      </c>
      <c r="R35" s="560">
        <f t="shared" si="3"/>
        <v>533.33333333333337</v>
      </c>
      <c r="S35" s="560">
        <f t="shared" si="3"/>
        <v>533.33333333333337</v>
      </c>
      <c r="T35" s="560">
        <f t="shared" si="3"/>
        <v>533.33333333333337</v>
      </c>
      <c r="U35" s="560">
        <f t="shared" si="3"/>
        <v>533.33333333333337</v>
      </c>
      <c r="V35" s="560">
        <f t="shared" si="3"/>
        <v>533.33333333333337</v>
      </c>
      <c r="W35" s="560">
        <f t="shared" si="3"/>
        <v>533.33333333333337</v>
      </c>
      <c r="X35" s="560">
        <f t="shared" si="3"/>
        <v>533.33333333333337</v>
      </c>
    </row>
    <row r="36" spans="1:24" s="341" customFormat="1">
      <c r="A36" s="552" t="s">
        <v>222</v>
      </c>
      <c r="B36" s="553"/>
      <c r="C36" s="553"/>
      <c r="D36" s="554">
        <v>0</v>
      </c>
      <c r="E36" s="560">
        <v>800</v>
      </c>
      <c r="F36" s="560">
        <v>800</v>
      </c>
      <c r="G36" s="560">
        <v>800</v>
      </c>
      <c r="H36" s="560">
        <v>800</v>
      </c>
      <c r="I36" s="560">
        <v>800</v>
      </c>
      <c r="J36" s="560">
        <v>800</v>
      </c>
      <c r="K36" s="560">
        <v>800</v>
      </c>
      <c r="L36" s="560">
        <v>800</v>
      </c>
      <c r="M36" s="560">
        <v>800</v>
      </c>
      <c r="N36" s="560">
        <v>800</v>
      </c>
      <c r="O36" s="560">
        <v>800</v>
      </c>
      <c r="P36" s="560">
        <v>800</v>
      </c>
      <c r="Q36" s="560">
        <v>800</v>
      </c>
      <c r="R36" s="560">
        <v>800</v>
      </c>
      <c r="S36" s="560">
        <v>800</v>
      </c>
      <c r="T36" s="560">
        <v>800</v>
      </c>
      <c r="U36" s="560">
        <v>800</v>
      </c>
      <c r="V36" s="560">
        <v>800</v>
      </c>
      <c r="W36" s="560">
        <v>800</v>
      </c>
      <c r="X36" s="560">
        <v>800</v>
      </c>
    </row>
    <row r="37" spans="1:24" s="341" customFormat="1">
      <c r="A37" s="552" t="s">
        <v>208</v>
      </c>
      <c r="B37" s="553"/>
      <c r="C37" s="553"/>
      <c r="D37" s="554">
        <v>0</v>
      </c>
      <c r="E37" s="560">
        <f>SUM(E34,E36)</f>
        <v>800</v>
      </c>
      <c r="F37" s="560">
        <f t="shared" ref="F37:X37" si="4">SUM(F34,F36)</f>
        <v>6300</v>
      </c>
      <c r="G37" s="560">
        <f t="shared" si="4"/>
        <v>6300</v>
      </c>
      <c r="H37" s="560">
        <f t="shared" si="4"/>
        <v>6300</v>
      </c>
      <c r="I37" s="560">
        <f t="shared" si="4"/>
        <v>6300</v>
      </c>
      <c r="J37" s="560">
        <f t="shared" si="4"/>
        <v>6300</v>
      </c>
      <c r="K37" s="560">
        <f t="shared" si="4"/>
        <v>6300</v>
      </c>
      <c r="L37" s="560">
        <f t="shared" si="4"/>
        <v>6300</v>
      </c>
      <c r="M37" s="560">
        <f t="shared" si="4"/>
        <v>6300</v>
      </c>
      <c r="N37" s="560">
        <f t="shared" si="4"/>
        <v>6300</v>
      </c>
      <c r="O37" s="560">
        <f t="shared" si="4"/>
        <v>6300</v>
      </c>
      <c r="P37" s="560">
        <f t="shared" si="4"/>
        <v>6300</v>
      </c>
      <c r="Q37" s="560">
        <f t="shared" si="4"/>
        <v>6300</v>
      </c>
      <c r="R37" s="560">
        <f t="shared" si="4"/>
        <v>6300</v>
      </c>
      <c r="S37" s="560">
        <f t="shared" si="4"/>
        <v>6300</v>
      </c>
      <c r="T37" s="560">
        <f t="shared" si="4"/>
        <v>6300</v>
      </c>
      <c r="U37" s="560">
        <f t="shared" si="4"/>
        <v>6300</v>
      </c>
      <c r="V37" s="560">
        <f t="shared" si="4"/>
        <v>6300</v>
      </c>
      <c r="W37" s="560">
        <f t="shared" si="4"/>
        <v>6300</v>
      </c>
      <c r="X37" s="560">
        <f t="shared" si="4"/>
        <v>6300</v>
      </c>
    </row>
    <row r="38" spans="1:24">
      <c r="A38" s="54"/>
      <c r="B38" s="21"/>
      <c r="C38" s="21"/>
      <c r="D38" s="486"/>
      <c r="E38" s="330"/>
      <c r="F38" s="330"/>
      <c r="G38" s="330"/>
      <c r="H38" s="330"/>
      <c r="I38" s="330"/>
      <c r="J38" s="330"/>
      <c r="K38" s="330"/>
      <c r="L38" s="330"/>
      <c r="M38" s="330"/>
      <c r="N38" s="330"/>
      <c r="O38" s="330"/>
      <c r="P38" s="330"/>
      <c r="Q38" s="330"/>
      <c r="R38" s="330"/>
      <c r="S38" s="330"/>
      <c r="T38" s="330"/>
      <c r="U38" s="330"/>
      <c r="V38" s="330"/>
      <c r="W38" s="330"/>
      <c r="X38" s="330"/>
    </row>
    <row r="39" spans="1:24" s="341" customFormat="1">
      <c r="A39" s="552" t="s">
        <v>223</v>
      </c>
      <c r="B39" s="557"/>
      <c r="C39" s="557"/>
      <c r="D39" s="554">
        <v>0</v>
      </c>
      <c r="E39" s="555">
        <f>(E19+E20)/E29</f>
        <v>160.26666666666668</v>
      </c>
      <c r="F39" s="555">
        <f t="shared" ref="F39:X39" si="5">(F19+F20)/F29</f>
        <v>187</v>
      </c>
      <c r="G39" s="555">
        <f t="shared" si="5"/>
        <v>213.73333333333332</v>
      </c>
      <c r="H39" s="555">
        <f t="shared" si="5"/>
        <v>213.73333333333332</v>
      </c>
      <c r="I39" s="555">
        <f t="shared" si="5"/>
        <v>213.73333333333332</v>
      </c>
      <c r="J39" s="555">
        <f t="shared" si="5"/>
        <v>213.73333333333332</v>
      </c>
      <c r="K39" s="555">
        <f t="shared" si="5"/>
        <v>213.73333333333332</v>
      </c>
      <c r="L39" s="555">
        <f t="shared" si="5"/>
        <v>213.73333333333332</v>
      </c>
      <c r="M39" s="555">
        <f t="shared" si="5"/>
        <v>213.73333333333332</v>
      </c>
      <c r="N39" s="555">
        <f t="shared" si="5"/>
        <v>213.73333333333332</v>
      </c>
      <c r="O39" s="555">
        <f t="shared" si="5"/>
        <v>213.73333333333332</v>
      </c>
      <c r="P39" s="555">
        <f t="shared" si="5"/>
        <v>213.73333333333332</v>
      </c>
      <c r="Q39" s="555">
        <f t="shared" si="5"/>
        <v>213.73333333333332</v>
      </c>
      <c r="R39" s="555">
        <f t="shared" si="5"/>
        <v>213.73333333333332</v>
      </c>
      <c r="S39" s="555">
        <f t="shared" si="5"/>
        <v>213.73333333333332</v>
      </c>
      <c r="T39" s="555">
        <f t="shared" si="5"/>
        <v>213.73333333333332</v>
      </c>
      <c r="U39" s="555">
        <f t="shared" si="5"/>
        <v>213.73333333333332</v>
      </c>
      <c r="V39" s="555">
        <f t="shared" si="5"/>
        <v>213.73333333333332</v>
      </c>
      <c r="W39" s="555">
        <f t="shared" si="5"/>
        <v>213.73333333333332</v>
      </c>
      <c r="X39" s="555">
        <f t="shared" si="5"/>
        <v>213.73333333333332</v>
      </c>
    </row>
    <row r="40" spans="1:24">
      <c r="A40" s="54"/>
      <c r="B40" s="74"/>
      <c r="C40" s="74"/>
      <c r="D40" s="492"/>
      <c r="E40" s="308"/>
      <c r="F40" s="308"/>
      <c r="G40" s="308"/>
      <c r="H40" s="308"/>
      <c r="I40" s="308"/>
      <c r="J40" s="308"/>
      <c r="K40" s="308"/>
      <c r="L40" s="308"/>
      <c r="M40" s="308"/>
      <c r="N40" s="308"/>
      <c r="O40" s="308"/>
      <c r="P40" s="308"/>
      <c r="Q40" s="308"/>
      <c r="R40" s="308"/>
      <c r="S40" s="308"/>
      <c r="T40" s="308"/>
      <c r="U40" s="308"/>
      <c r="V40" s="308"/>
      <c r="W40" s="308"/>
      <c r="X40" s="308"/>
    </row>
    <row r="41" spans="1:24">
      <c r="A41" s="293" t="s">
        <v>26</v>
      </c>
      <c r="B41" s="74"/>
      <c r="C41" s="74"/>
      <c r="D41" s="492"/>
      <c r="E41" s="308"/>
      <c r="F41" s="308"/>
      <c r="G41" s="308"/>
      <c r="H41" s="308"/>
      <c r="I41" s="308"/>
      <c r="J41" s="308"/>
      <c r="K41" s="308"/>
      <c r="L41" s="308"/>
      <c r="M41" s="308"/>
      <c r="N41" s="308"/>
      <c r="O41" s="308"/>
      <c r="P41" s="308"/>
      <c r="Q41" s="308"/>
      <c r="R41" s="308"/>
      <c r="S41" s="308"/>
      <c r="T41" s="308"/>
      <c r="U41" s="308"/>
      <c r="V41" s="308"/>
      <c r="W41" s="308"/>
      <c r="X41" s="308"/>
    </row>
    <row r="42" spans="1:24">
      <c r="A42" s="54" t="s">
        <v>264</v>
      </c>
      <c r="B42" s="277"/>
      <c r="C42" s="74"/>
      <c r="D42" s="486">
        <v>0</v>
      </c>
      <c r="E42" s="313">
        <f>'Parking Projections'!C42/2</f>
        <v>1201.4583333333335</v>
      </c>
      <c r="F42" s="313">
        <f>'Parking Projections'!D42</f>
        <v>2402.916666666667</v>
      </c>
      <c r="G42" s="313">
        <f>'Parking Projections'!E42</f>
        <v>2402.916666666667</v>
      </c>
      <c r="H42" s="313">
        <f>'Parking Projections'!F42</f>
        <v>2402.916666666667</v>
      </c>
      <c r="I42" s="313">
        <f>'Parking Projections'!G42</f>
        <v>2402.916666666667</v>
      </c>
      <c r="J42" s="313">
        <f>'Parking Projections'!H42</f>
        <v>2402.916666666667</v>
      </c>
      <c r="K42" s="313">
        <f>'Parking Projections'!I42</f>
        <v>2402.916666666667</v>
      </c>
      <c r="L42" s="313">
        <f>'Parking Projections'!J42</f>
        <v>2402.916666666667</v>
      </c>
      <c r="M42" s="313">
        <f>'Parking Projections'!K42</f>
        <v>2402.916666666667</v>
      </c>
      <c r="N42" s="313">
        <f>'Parking Projections'!L42</f>
        <v>2402.916666666667</v>
      </c>
      <c r="O42" s="313">
        <f>'Parking Projections'!M42</f>
        <v>2402.916666666667</v>
      </c>
      <c r="P42" s="313">
        <f>'Parking Projections'!N42</f>
        <v>2402.916666666667</v>
      </c>
      <c r="Q42" s="313">
        <f>'Parking Projections'!O42</f>
        <v>2402.916666666667</v>
      </c>
      <c r="R42" s="313">
        <f>'Parking Projections'!P42</f>
        <v>2402.916666666667</v>
      </c>
      <c r="S42" s="313">
        <f>'Parking Projections'!Q42</f>
        <v>2402.916666666667</v>
      </c>
      <c r="T42" s="313">
        <f>'Parking Projections'!R42</f>
        <v>2402.916666666667</v>
      </c>
      <c r="U42" s="313">
        <f>'Parking Projections'!S42</f>
        <v>2402.916666666667</v>
      </c>
      <c r="V42" s="313">
        <f>'Parking Projections'!T42</f>
        <v>2402.916666666667</v>
      </c>
      <c r="W42" s="313">
        <f>'Parking Projections'!U42</f>
        <v>2402.916666666667</v>
      </c>
      <c r="X42" s="313">
        <f>'Parking Projections'!V42</f>
        <v>2402.916666666667</v>
      </c>
    </row>
    <row r="43" spans="1:24">
      <c r="A43" s="54" t="s">
        <v>267</v>
      </c>
      <c r="B43" s="277"/>
      <c r="C43" s="74"/>
      <c r="D43" s="486">
        <v>0</v>
      </c>
      <c r="E43" s="313">
        <f>'Parking Projections'!C46/2</f>
        <v>14265.416666666664</v>
      </c>
      <c r="F43" s="313">
        <f>'Parking Projections'!D46</f>
        <v>28530.833333333328</v>
      </c>
      <c r="G43" s="313">
        <f>'Parking Projections'!E46</f>
        <v>28530.833333333328</v>
      </c>
      <c r="H43" s="313">
        <f>'Parking Projections'!F46</f>
        <v>28530.833333333328</v>
      </c>
      <c r="I43" s="313">
        <f>'Parking Projections'!G46</f>
        <v>28530.833333333328</v>
      </c>
      <c r="J43" s="313">
        <f>'Parking Projections'!H46</f>
        <v>28530.833333333328</v>
      </c>
      <c r="K43" s="313">
        <f>'Parking Projections'!I46</f>
        <v>28530.833333333328</v>
      </c>
      <c r="L43" s="313">
        <f>'Parking Projections'!J46</f>
        <v>28530.833333333328</v>
      </c>
      <c r="M43" s="313">
        <f>'Parking Projections'!K46</f>
        <v>28530.833333333328</v>
      </c>
      <c r="N43" s="313">
        <f>'Parking Projections'!L46</f>
        <v>28530.833333333328</v>
      </c>
      <c r="O43" s="313">
        <f>'Parking Projections'!M46</f>
        <v>28530.833333333328</v>
      </c>
      <c r="P43" s="313">
        <f>'Parking Projections'!N46</f>
        <v>28530.833333333328</v>
      </c>
      <c r="Q43" s="313">
        <f>'Parking Projections'!O46</f>
        <v>28530.833333333328</v>
      </c>
      <c r="R43" s="313">
        <f>'Parking Projections'!P46</f>
        <v>28530.833333333328</v>
      </c>
      <c r="S43" s="313">
        <f>'Parking Projections'!Q46</f>
        <v>28530.833333333328</v>
      </c>
      <c r="T43" s="313">
        <f>'Parking Projections'!R46</f>
        <v>28530.833333333328</v>
      </c>
      <c r="U43" s="313">
        <f>'Parking Projections'!S46</f>
        <v>28530.833333333328</v>
      </c>
      <c r="V43" s="313">
        <f>'Parking Projections'!T46</f>
        <v>28530.833333333328</v>
      </c>
      <c r="W43" s="313">
        <f>'Parking Projections'!U46</f>
        <v>28530.833333333328</v>
      </c>
      <c r="X43" s="313">
        <f>'Parking Projections'!V46</f>
        <v>28530.833333333328</v>
      </c>
    </row>
    <row r="44" spans="1:24" s="96" customFormat="1">
      <c r="A44" s="54" t="s">
        <v>274</v>
      </c>
      <c r="B44" s="435"/>
      <c r="C44" s="583"/>
      <c r="D44" s="486">
        <v>0</v>
      </c>
      <c r="E44" s="313">
        <f>SUM(E42:E43)</f>
        <v>15466.874999999998</v>
      </c>
      <c r="F44" s="313">
        <f t="shared" ref="F44:X44" si="6">SUM(F42:F43)</f>
        <v>30933.749999999996</v>
      </c>
      <c r="G44" s="313">
        <f t="shared" si="6"/>
        <v>30933.749999999996</v>
      </c>
      <c r="H44" s="313">
        <f t="shared" si="6"/>
        <v>30933.749999999996</v>
      </c>
      <c r="I44" s="313">
        <f t="shared" si="6"/>
        <v>30933.749999999996</v>
      </c>
      <c r="J44" s="313">
        <f t="shared" si="6"/>
        <v>30933.749999999996</v>
      </c>
      <c r="K44" s="313">
        <f t="shared" si="6"/>
        <v>30933.749999999996</v>
      </c>
      <c r="L44" s="313">
        <f t="shared" si="6"/>
        <v>30933.749999999996</v>
      </c>
      <c r="M44" s="313">
        <f t="shared" si="6"/>
        <v>30933.749999999996</v>
      </c>
      <c r="N44" s="313">
        <f t="shared" si="6"/>
        <v>30933.749999999996</v>
      </c>
      <c r="O44" s="313">
        <f t="shared" si="6"/>
        <v>30933.749999999996</v>
      </c>
      <c r="P44" s="313">
        <f t="shared" si="6"/>
        <v>30933.749999999996</v>
      </c>
      <c r="Q44" s="313">
        <f t="shared" si="6"/>
        <v>30933.749999999996</v>
      </c>
      <c r="R44" s="313">
        <f t="shared" si="6"/>
        <v>30933.749999999996</v>
      </c>
      <c r="S44" s="313">
        <f t="shared" si="6"/>
        <v>30933.749999999996</v>
      </c>
      <c r="T44" s="313">
        <f t="shared" si="6"/>
        <v>30933.749999999996</v>
      </c>
      <c r="U44" s="313">
        <f t="shared" si="6"/>
        <v>30933.749999999996</v>
      </c>
      <c r="V44" s="313">
        <f t="shared" si="6"/>
        <v>30933.749999999996</v>
      </c>
      <c r="W44" s="313">
        <f t="shared" si="6"/>
        <v>30933.749999999996</v>
      </c>
      <c r="X44" s="313">
        <f t="shared" si="6"/>
        <v>30933.749999999996</v>
      </c>
    </row>
    <row r="45" spans="1:24">
      <c r="A45" s="54"/>
      <c r="B45" s="277"/>
      <c r="C45" s="74"/>
      <c r="D45" s="499"/>
      <c r="E45" s="308"/>
      <c r="F45" s="308"/>
      <c r="G45" s="308"/>
      <c r="H45" s="308"/>
      <c r="I45" s="308"/>
      <c r="J45" s="308"/>
      <c r="K45" s="308"/>
      <c r="L45" s="308"/>
      <c r="M45" s="308"/>
      <c r="N45" s="308"/>
      <c r="O45" s="308"/>
      <c r="P45" s="308"/>
      <c r="Q45" s="308"/>
      <c r="R45" s="308"/>
      <c r="S45" s="308"/>
      <c r="T45" s="308"/>
      <c r="U45" s="308"/>
      <c r="V45" s="308"/>
      <c r="W45" s="308"/>
      <c r="X45" s="308"/>
    </row>
    <row r="46" spans="1:24" s="341" customFormat="1">
      <c r="A46" s="552" t="s">
        <v>224</v>
      </c>
      <c r="B46" s="556"/>
      <c r="C46" s="557"/>
      <c r="D46" s="554">
        <v>0</v>
      </c>
      <c r="E46" s="558">
        <v>3</v>
      </c>
      <c r="F46" s="558">
        <v>3</v>
      </c>
      <c r="G46" s="558">
        <v>3</v>
      </c>
      <c r="H46" s="558">
        <v>3</v>
      </c>
      <c r="I46" s="558">
        <v>3</v>
      </c>
      <c r="J46" s="558">
        <v>3</v>
      </c>
      <c r="K46" s="558">
        <v>3</v>
      </c>
      <c r="L46" s="558">
        <v>3</v>
      </c>
      <c r="M46" s="558">
        <v>3</v>
      </c>
      <c r="N46" s="558">
        <v>3</v>
      </c>
      <c r="O46" s="558">
        <v>3</v>
      </c>
      <c r="P46" s="558">
        <v>3</v>
      </c>
      <c r="Q46" s="558">
        <v>3</v>
      </c>
      <c r="R46" s="558">
        <v>3</v>
      </c>
      <c r="S46" s="558">
        <v>3</v>
      </c>
      <c r="T46" s="558">
        <v>3</v>
      </c>
      <c r="U46" s="558">
        <v>3</v>
      </c>
      <c r="V46" s="558">
        <v>3</v>
      </c>
      <c r="W46" s="558">
        <v>3</v>
      </c>
      <c r="X46" s="558">
        <v>3</v>
      </c>
    </row>
    <row r="47" spans="1:24" s="96" customFormat="1">
      <c r="A47" s="54" t="s">
        <v>225</v>
      </c>
      <c r="B47" s="435"/>
      <c r="C47" s="583"/>
      <c r="D47" s="486">
        <v>0</v>
      </c>
      <c r="E47" s="496">
        <v>1</v>
      </c>
      <c r="F47" s="496">
        <v>1</v>
      </c>
      <c r="G47" s="496">
        <v>1</v>
      </c>
      <c r="H47" s="496">
        <v>1</v>
      </c>
      <c r="I47" s="496">
        <v>1</v>
      </c>
      <c r="J47" s="496">
        <v>1</v>
      </c>
      <c r="K47" s="496">
        <v>1</v>
      </c>
      <c r="L47" s="496">
        <v>1</v>
      </c>
      <c r="M47" s="496">
        <v>1</v>
      </c>
      <c r="N47" s="496">
        <v>1</v>
      </c>
      <c r="O47" s="496">
        <v>1</v>
      </c>
      <c r="P47" s="496">
        <v>1</v>
      </c>
      <c r="Q47" s="496">
        <v>1</v>
      </c>
      <c r="R47" s="496">
        <v>1</v>
      </c>
      <c r="S47" s="496">
        <v>1</v>
      </c>
      <c r="T47" s="496">
        <v>1</v>
      </c>
      <c r="U47" s="496">
        <v>1</v>
      </c>
      <c r="V47" s="496">
        <v>1</v>
      </c>
      <c r="W47" s="496">
        <v>1</v>
      </c>
      <c r="X47" s="496">
        <v>1</v>
      </c>
    </row>
    <row r="48" spans="1:24">
      <c r="A48" s="54" t="s">
        <v>209</v>
      </c>
      <c r="B48" s="277"/>
      <c r="C48" s="74"/>
      <c r="D48" s="486">
        <v>0</v>
      </c>
      <c r="E48" s="496">
        <v>0.5</v>
      </c>
      <c r="F48" s="496">
        <v>0.5</v>
      </c>
      <c r="G48" s="496">
        <v>0.5</v>
      </c>
      <c r="H48" s="496">
        <v>0.5</v>
      </c>
      <c r="I48" s="496">
        <v>0.5</v>
      </c>
      <c r="J48" s="496">
        <v>0.5</v>
      </c>
      <c r="K48" s="496">
        <v>0.5</v>
      </c>
      <c r="L48" s="496">
        <v>0.5</v>
      </c>
      <c r="M48" s="496">
        <v>0.5</v>
      </c>
      <c r="N48" s="496">
        <v>0.5</v>
      </c>
      <c r="O48" s="496">
        <v>0.5</v>
      </c>
      <c r="P48" s="496">
        <v>0.5</v>
      </c>
      <c r="Q48" s="496">
        <v>0.5</v>
      </c>
      <c r="R48" s="496">
        <v>0.5</v>
      </c>
      <c r="S48" s="496">
        <v>0.5</v>
      </c>
      <c r="T48" s="496">
        <v>0.5</v>
      </c>
      <c r="U48" s="496">
        <v>0.5</v>
      </c>
      <c r="V48" s="496">
        <v>0.5</v>
      </c>
      <c r="W48" s="496">
        <v>0.5</v>
      </c>
      <c r="X48" s="496">
        <v>0.5</v>
      </c>
    </row>
    <row r="49" spans="1:25 16384:16384">
      <c r="A49" s="54" t="s">
        <v>289</v>
      </c>
      <c r="B49" s="277"/>
      <c r="C49" s="74"/>
      <c r="D49" s="486">
        <v>0</v>
      </c>
      <c r="E49" s="496">
        <f>SUM(E47:E48)/2</f>
        <v>0.75</v>
      </c>
      <c r="F49" s="496">
        <f t="shared" ref="F49:X49" si="7">SUM(F47:F48)/2</f>
        <v>0.75</v>
      </c>
      <c r="G49" s="496">
        <f t="shared" si="7"/>
        <v>0.75</v>
      </c>
      <c r="H49" s="496">
        <f t="shared" si="7"/>
        <v>0.75</v>
      </c>
      <c r="I49" s="496">
        <f t="shared" si="7"/>
        <v>0.75</v>
      </c>
      <c r="J49" s="496">
        <f t="shared" si="7"/>
        <v>0.75</v>
      </c>
      <c r="K49" s="496">
        <f t="shared" si="7"/>
        <v>0.75</v>
      </c>
      <c r="L49" s="496">
        <f t="shared" si="7"/>
        <v>0.75</v>
      </c>
      <c r="M49" s="496">
        <f t="shared" si="7"/>
        <v>0.75</v>
      </c>
      <c r="N49" s="496">
        <f t="shared" si="7"/>
        <v>0.75</v>
      </c>
      <c r="O49" s="496">
        <f t="shared" si="7"/>
        <v>0.75</v>
      </c>
      <c r="P49" s="496">
        <f t="shared" si="7"/>
        <v>0.75</v>
      </c>
      <c r="Q49" s="496">
        <f t="shared" si="7"/>
        <v>0.75</v>
      </c>
      <c r="R49" s="496">
        <f t="shared" si="7"/>
        <v>0.75</v>
      </c>
      <c r="S49" s="496">
        <f t="shared" si="7"/>
        <v>0.75</v>
      </c>
      <c r="T49" s="496">
        <f t="shared" si="7"/>
        <v>0.75</v>
      </c>
      <c r="U49" s="496">
        <f t="shared" si="7"/>
        <v>0.75</v>
      </c>
      <c r="V49" s="496">
        <f t="shared" si="7"/>
        <v>0.75</v>
      </c>
      <c r="W49" s="496">
        <f t="shared" si="7"/>
        <v>0.75</v>
      </c>
      <c r="X49" s="496">
        <f t="shared" si="7"/>
        <v>0.75</v>
      </c>
      <c r="XFD49" s="570">
        <f>SUM(D49:XFC49)</f>
        <v>15</v>
      </c>
    </row>
    <row r="50" spans="1:25 16384:16384">
      <c r="A50" s="54"/>
      <c r="B50" s="277"/>
      <c r="C50" s="74"/>
      <c r="D50" s="486"/>
      <c r="E50" s="496"/>
      <c r="F50" s="496"/>
      <c r="G50" s="496"/>
      <c r="H50" s="496"/>
      <c r="I50" s="496"/>
      <c r="J50" s="496"/>
      <c r="K50" s="496"/>
      <c r="L50" s="496"/>
      <c r="M50" s="496"/>
      <c r="N50" s="496"/>
      <c r="O50" s="496"/>
      <c r="P50" s="496"/>
      <c r="Q50" s="496"/>
      <c r="R50" s="496"/>
      <c r="S50" s="496"/>
      <c r="T50" s="496"/>
      <c r="U50" s="496"/>
      <c r="V50" s="496"/>
      <c r="W50" s="496"/>
      <c r="X50" s="496"/>
      <c r="XFD50" s="570"/>
    </row>
    <row r="51" spans="1:25 16384:16384">
      <c r="A51" s="54" t="s">
        <v>312</v>
      </c>
      <c r="B51" s="277"/>
      <c r="C51" s="74"/>
      <c r="D51" s="486">
        <v>0</v>
      </c>
      <c r="E51" s="313">
        <f>'Shuttle Projections'!C22*0.5</f>
        <v>3595</v>
      </c>
      <c r="F51" s="313">
        <f>'Shuttle Projections'!D22</f>
        <v>7190</v>
      </c>
      <c r="G51" s="313">
        <f>'Shuttle Projections'!E22</f>
        <v>7190</v>
      </c>
      <c r="H51" s="313">
        <f>'Shuttle Projections'!F22</f>
        <v>7190</v>
      </c>
      <c r="I51" s="313">
        <f>'Shuttle Projections'!G22</f>
        <v>7190</v>
      </c>
      <c r="J51" s="313">
        <f>'Shuttle Projections'!H22</f>
        <v>7190</v>
      </c>
      <c r="K51" s="313">
        <f>'Shuttle Projections'!I22</f>
        <v>7190</v>
      </c>
      <c r="L51" s="313">
        <f>'Shuttle Projections'!J22</f>
        <v>7190</v>
      </c>
      <c r="M51" s="313">
        <f>'Shuttle Projections'!K22</f>
        <v>7190</v>
      </c>
      <c r="N51" s="313">
        <f>'Shuttle Projections'!L22</f>
        <v>7190</v>
      </c>
      <c r="O51" s="313">
        <f>'Shuttle Projections'!M22</f>
        <v>7190</v>
      </c>
      <c r="P51" s="313">
        <f>'Shuttle Projections'!N22</f>
        <v>7190</v>
      </c>
      <c r="Q51" s="313">
        <f>'Shuttle Projections'!O22</f>
        <v>7190</v>
      </c>
      <c r="R51" s="313">
        <f>'Shuttle Projections'!P22</f>
        <v>7190</v>
      </c>
      <c r="S51" s="313">
        <f>'Shuttle Projections'!Q22</f>
        <v>7190</v>
      </c>
      <c r="T51" s="313">
        <f>'Shuttle Projections'!R22</f>
        <v>7190</v>
      </c>
      <c r="U51" s="313">
        <f>'Shuttle Projections'!S22</f>
        <v>7190</v>
      </c>
      <c r="V51" s="313">
        <f>'Shuttle Projections'!T22</f>
        <v>7190</v>
      </c>
      <c r="W51" s="313">
        <f>'Shuttle Projections'!U22</f>
        <v>7190</v>
      </c>
      <c r="X51" s="313">
        <f>'Shuttle Projections'!V22</f>
        <v>7190</v>
      </c>
      <c r="XFD51" s="570"/>
    </row>
    <row r="52" spans="1:25 16384:16384">
      <c r="A52" s="54"/>
      <c r="B52" s="277"/>
      <c r="C52" s="74"/>
      <c r="D52" s="486"/>
      <c r="E52" s="308"/>
      <c r="F52" s="308"/>
      <c r="G52" s="308"/>
      <c r="H52" s="308"/>
      <c r="I52" s="308"/>
      <c r="J52" s="308"/>
      <c r="K52" s="308"/>
      <c r="L52" s="308"/>
      <c r="M52" s="308"/>
      <c r="N52" s="308"/>
      <c r="O52" s="308"/>
      <c r="P52" s="308"/>
      <c r="Q52" s="308"/>
      <c r="R52" s="308"/>
      <c r="S52" s="308"/>
      <c r="T52" s="308"/>
      <c r="U52" s="308"/>
      <c r="V52" s="308"/>
      <c r="W52" s="308"/>
      <c r="X52" s="308"/>
    </row>
    <row r="53" spans="1:25 16384:16384" s="612" customFormat="1">
      <c r="A53" s="613" t="s">
        <v>292</v>
      </c>
      <c r="B53" s="614"/>
      <c r="C53" s="615"/>
      <c r="D53" s="616">
        <v>0</v>
      </c>
      <c r="E53" s="617">
        <v>0</v>
      </c>
      <c r="F53" s="617">
        <v>0</v>
      </c>
      <c r="G53" s="617">
        <v>100000</v>
      </c>
      <c r="H53" s="617">
        <v>100000</v>
      </c>
      <c r="I53" s="617">
        <v>100000</v>
      </c>
      <c r="J53" s="617">
        <v>100000</v>
      </c>
      <c r="K53" s="617">
        <v>100000</v>
      </c>
      <c r="L53" s="617">
        <v>100000</v>
      </c>
      <c r="M53" s="617">
        <v>100000</v>
      </c>
      <c r="N53" s="617">
        <v>100000</v>
      </c>
      <c r="O53" s="617">
        <v>100000</v>
      </c>
      <c r="P53" s="617">
        <v>100000</v>
      </c>
      <c r="Q53" s="617">
        <v>100000</v>
      </c>
      <c r="R53" s="617">
        <v>100000</v>
      </c>
      <c r="S53" s="617">
        <v>100000</v>
      </c>
      <c r="T53" s="617">
        <v>100000</v>
      </c>
      <c r="U53" s="617">
        <v>100000</v>
      </c>
      <c r="V53" s="617">
        <v>100000</v>
      </c>
      <c r="W53" s="617">
        <v>100000</v>
      </c>
      <c r="X53" s="618">
        <v>100000</v>
      </c>
    </row>
    <row r="54" spans="1:25 16384:16384">
      <c r="A54" s="54"/>
      <c r="B54" s="277"/>
      <c r="C54" s="74"/>
      <c r="D54" s="486"/>
      <c r="E54" s="308"/>
      <c r="F54" s="308"/>
      <c r="G54" s="308"/>
      <c r="H54" s="308"/>
      <c r="I54" s="308"/>
      <c r="J54" s="308"/>
      <c r="K54" s="308"/>
      <c r="L54" s="308"/>
      <c r="M54" s="308"/>
      <c r="N54" s="308"/>
      <c r="O54" s="308"/>
      <c r="P54" s="308"/>
      <c r="Q54" s="308"/>
      <c r="R54" s="308"/>
      <c r="S54" s="308"/>
      <c r="T54" s="308"/>
      <c r="U54" s="308"/>
      <c r="V54" s="308"/>
      <c r="W54" s="308"/>
      <c r="X54" s="308"/>
    </row>
    <row r="55" spans="1:25 16384:16384" s="547" customFormat="1">
      <c r="A55" s="549" t="str">
        <f>'BH Tariffs'!A33</f>
        <v>Recreational/Commercial Marina</v>
      </c>
      <c r="B55" s="714"/>
      <c r="C55" s="715"/>
      <c r="D55" s="554"/>
      <c r="E55" s="716"/>
      <c r="F55" s="716"/>
      <c r="G55" s="716"/>
      <c r="H55" s="716"/>
      <c r="I55" s="716"/>
      <c r="J55" s="716"/>
      <c r="K55" s="716"/>
      <c r="L55" s="716"/>
      <c r="M55" s="716"/>
      <c r="N55" s="716"/>
      <c r="O55" s="716"/>
      <c r="P55" s="716"/>
      <c r="Q55" s="716"/>
      <c r="R55" s="716"/>
      <c r="S55" s="716"/>
      <c r="T55" s="716"/>
      <c r="U55" s="716"/>
      <c r="V55" s="716"/>
      <c r="W55" s="716"/>
      <c r="X55" s="716"/>
    </row>
    <row r="56" spans="1:25 16384:16384" s="341" customFormat="1">
      <c r="A56" s="552" t="s">
        <v>291</v>
      </c>
      <c r="B56" s="556"/>
      <c r="C56" s="557"/>
      <c r="D56" s="554">
        <v>0</v>
      </c>
      <c r="E56" s="555">
        <v>0</v>
      </c>
      <c r="F56" s="555">
        <v>0</v>
      </c>
      <c r="G56" s="555">
        <v>0</v>
      </c>
      <c r="H56" s="555">
        <v>0</v>
      </c>
      <c r="I56" s="555">
        <v>0</v>
      </c>
      <c r="J56" s="555">
        <v>0</v>
      </c>
      <c r="K56" s="555">
        <v>0</v>
      </c>
      <c r="L56" s="555">
        <v>0</v>
      </c>
      <c r="M56" s="555">
        <v>0</v>
      </c>
      <c r="N56" s="555">
        <v>0</v>
      </c>
      <c r="O56" s="555">
        <v>0</v>
      </c>
      <c r="P56" s="555">
        <v>0</v>
      </c>
      <c r="Q56" s="555">
        <v>0</v>
      </c>
      <c r="R56" s="555">
        <v>0</v>
      </c>
      <c r="S56" s="555">
        <v>0</v>
      </c>
      <c r="T56" s="555">
        <v>0</v>
      </c>
      <c r="U56" s="555">
        <v>0</v>
      </c>
      <c r="V56" s="555">
        <v>0</v>
      </c>
      <c r="W56" s="555">
        <v>0</v>
      </c>
      <c r="X56" s="555">
        <v>0</v>
      </c>
    </row>
    <row r="57" spans="1:25 16384:16384" s="341" customFormat="1">
      <c r="A57" s="552" t="s">
        <v>293</v>
      </c>
      <c r="B57" s="556"/>
      <c r="C57" s="557"/>
      <c r="D57" s="554">
        <v>0</v>
      </c>
      <c r="E57" s="555">
        <v>0</v>
      </c>
      <c r="F57" s="555">
        <v>0</v>
      </c>
      <c r="G57" s="555">
        <v>0</v>
      </c>
      <c r="H57" s="555">
        <v>0</v>
      </c>
      <c r="I57" s="555">
        <v>0</v>
      </c>
      <c r="J57" s="555">
        <v>0</v>
      </c>
      <c r="K57" s="555">
        <v>0</v>
      </c>
      <c r="L57" s="555">
        <v>0</v>
      </c>
      <c r="M57" s="555">
        <v>0</v>
      </c>
      <c r="N57" s="555">
        <v>0</v>
      </c>
      <c r="O57" s="555">
        <v>0</v>
      </c>
      <c r="P57" s="555">
        <v>0</v>
      </c>
      <c r="Q57" s="555">
        <v>0</v>
      </c>
      <c r="R57" s="555">
        <v>0</v>
      </c>
      <c r="S57" s="555">
        <v>0</v>
      </c>
      <c r="T57" s="555">
        <v>0</v>
      </c>
      <c r="U57" s="555">
        <v>0</v>
      </c>
      <c r="V57" s="555">
        <v>0</v>
      </c>
      <c r="W57" s="555">
        <v>0</v>
      </c>
      <c r="X57" s="555">
        <v>0</v>
      </c>
    </row>
    <row r="58" spans="1:25 16384:16384" s="341" customFormat="1">
      <c r="A58" s="552" t="s">
        <v>294</v>
      </c>
      <c r="B58" s="556"/>
      <c r="C58" s="557"/>
      <c r="D58" s="554">
        <v>0</v>
      </c>
      <c r="E58" s="555">
        <v>0</v>
      </c>
      <c r="F58" s="555">
        <v>0</v>
      </c>
      <c r="G58" s="555">
        <v>0</v>
      </c>
      <c r="H58" s="555">
        <v>0</v>
      </c>
      <c r="I58" s="555">
        <v>0</v>
      </c>
      <c r="J58" s="555">
        <v>0</v>
      </c>
      <c r="K58" s="555">
        <v>0</v>
      </c>
      <c r="L58" s="555">
        <v>0</v>
      </c>
      <c r="M58" s="555">
        <v>0</v>
      </c>
      <c r="N58" s="555">
        <v>0</v>
      </c>
      <c r="O58" s="555">
        <v>0</v>
      </c>
      <c r="P58" s="555">
        <v>0</v>
      </c>
      <c r="Q58" s="555">
        <v>0</v>
      </c>
      <c r="R58" s="555">
        <v>0</v>
      </c>
      <c r="S58" s="555">
        <v>0</v>
      </c>
      <c r="T58" s="555">
        <v>0</v>
      </c>
      <c r="U58" s="555">
        <v>0</v>
      </c>
      <c r="V58" s="555">
        <v>0</v>
      </c>
      <c r="W58" s="555">
        <v>0</v>
      </c>
      <c r="X58" s="555">
        <v>0</v>
      </c>
    </row>
    <row r="59" spans="1:25 16384:16384" s="167" customFormat="1">
      <c r="A59" s="497" t="s">
        <v>170</v>
      </c>
      <c r="B59" s="450"/>
      <c r="C59" s="498"/>
      <c r="D59" s="486">
        <v>0</v>
      </c>
      <c r="E59" s="587">
        <v>0</v>
      </c>
      <c r="F59" s="587">
        <v>0</v>
      </c>
      <c r="G59" s="587">
        <v>0</v>
      </c>
      <c r="H59" s="587">
        <v>0</v>
      </c>
      <c r="I59" s="587">
        <v>0</v>
      </c>
      <c r="J59" s="587">
        <v>0</v>
      </c>
      <c r="K59" s="587">
        <v>0</v>
      </c>
      <c r="L59" s="587">
        <v>0</v>
      </c>
      <c r="M59" s="587">
        <v>0</v>
      </c>
      <c r="N59" s="587">
        <v>0</v>
      </c>
      <c r="O59" s="587">
        <v>0</v>
      </c>
      <c r="P59" s="587">
        <v>0</v>
      </c>
      <c r="Q59" s="587">
        <v>0</v>
      </c>
      <c r="R59" s="587">
        <v>0</v>
      </c>
      <c r="S59" s="587">
        <v>0</v>
      </c>
      <c r="T59" s="587">
        <v>0</v>
      </c>
      <c r="U59" s="587">
        <v>0</v>
      </c>
      <c r="V59" s="587">
        <v>0</v>
      </c>
      <c r="W59" s="587">
        <v>0</v>
      </c>
      <c r="X59" s="587">
        <v>0</v>
      </c>
      <c r="Y59" s="167" t="s">
        <v>282</v>
      </c>
    </row>
    <row r="60" spans="1:25 16384:16384" s="167" customFormat="1">
      <c r="A60" s="497" t="s">
        <v>16</v>
      </c>
      <c r="B60" s="450"/>
      <c r="C60" s="498"/>
      <c r="D60" s="499">
        <v>0</v>
      </c>
      <c r="E60" s="587">
        <v>0</v>
      </c>
      <c r="F60" s="587">
        <v>0</v>
      </c>
      <c r="G60" s="587">
        <v>0</v>
      </c>
      <c r="H60" s="587">
        <v>0</v>
      </c>
      <c r="I60" s="587">
        <v>0</v>
      </c>
      <c r="J60" s="587">
        <v>0</v>
      </c>
      <c r="K60" s="587">
        <v>0</v>
      </c>
      <c r="L60" s="587">
        <v>0</v>
      </c>
      <c r="M60" s="587">
        <v>0</v>
      </c>
      <c r="N60" s="587">
        <v>0</v>
      </c>
      <c r="O60" s="587">
        <v>0</v>
      </c>
      <c r="P60" s="587">
        <v>0</v>
      </c>
      <c r="Q60" s="587">
        <v>0</v>
      </c>
      <c r="R60" s="587">
        <v>0</v>
      </c>
      <c r="S60" s="587">
        <v>0</v>
      </c>
      <c r="T60" s="587">
        <v>0</v>
      </c>
      <c r="U60" s="587">
        <v>0</v>
      </c>
      <c r="V60" s="587">
        <v>0</v>
      </c>
      <c r="W60" s="587">
        <v>0</v>
      </c>
      <c r="X60" s="587">
        <v>0</v>
      </c>
      <c r="Y60" s="167" t="s">
        <v>282</v>
      </c>
    </row>
    <row r="61" spans="1:25 16384:16384">
      <c r="A61" s="54"/>
      <c r="B61" s="277"/>
      <c r="C61" s="74"/>
      <c r="D61" s="492"/>
      <c r="E61" s="308"/>
      <c r="F61" s="308"/>
      <c r="G61" s="308"/>
      <c r="H61" s="308"/>
      <c r="I61" s="308"/>
      <c r="J61" s="308"/>
      <c r="K61" s="308"/>
      <c r="L61" s="308"/>
      <c r="M61" s="308"/>
      <c r="N61" s="308"/>
      <c r="O61" s="308"/>
      <c r="P61" s="308"/>
      <c r="Q61" s="308"/>
      <c r="R61" s="308"/>
      <c r="S61" s="308"/>
      <c r="T61" s="308"/>
      <c r="U61" s="308"/>
      <c r="V61" s="308"/>
      <c r="W61" s="308"/>
      <c r="X61" s="308"/>
    </row>
    <row r="62" spans="1:25 16384:16384">
      <c r="A62" s="293" t="s">
        <v>2</v>
      </c>
      <c r="B62" s="277"/>
      <c r="C62" s="74"/>
      <c r="D62" s="492"/>
      <c r="E62" s="308"/>
      <c r="F62" s="308"/>
      <c r="G62" s="308"/>
      <c r="H62" s="308"/>
      <c r="I62" s="308"/>
      <c r="J62" s="308"/>
      <c r="K62" s="308"/>
      <c r="L62" s="308"/>
      <c r="M62" s="308"/>
      <c r="N62" s="308"/>
      <c r="O62" s="308"/>
      <c r="P62" s="308"/>
      <c r="Q62" s="308"/>
      <c r="R62" s="308"/>
      <c r="S62" s="308"/>
      <c r="T62" s="308"/>
      <c r="U62" s="308"/>
      <c r="V62" s="308"/>
      <c r="W62" s="308"/>
      <c r="X62" s="308"/>
    </row>
    <row r="63" spans="1:25 16384:16384" s="96" customFormat="1">
      <c r="A63" s="54" t="s">
        <v>290</v>
      </c>
      <c r="B63" s="435">
        <v>500</v>
      </c>
      <c r="C63" s="487"/>
      <c r="D63" s="486">
        <v>0</v>
      </c>
      <c r="E63" s="313">
        <v>0</v>
      </c>
      <c r="F63" s="313">
        <v>0</v>
      </c>
      <c r="G63" s="313">
        <f t="shared" ref="G63:X63" si="8">$B$63</f>
        <v>500</v>
      </c>
      <c r="H63" s="313">
        <f t="shared" si="8"/>
        <v>500</v>
      </c>
      <c r="I63" s="313">
        <f t="shared" si="8"/>
        <v>500</v>
      </c>
      <c r="J63" s="313">
        <f t="shared" si="8"/>
        <v>500</v>
      </c>
      <c r="K63" s="313">
        <f t="shared" si="8"/>
        <v>500</v>
      </c>
      <c r="L63" s="313">
        <f t="shared" si="8"/>
        <v>500</v>
      </c>
      <c r="M63" s="313">
        <f t="shared" si="8"/>
        <v>500</v>
      </c>
      <c r="N63" s="313">
        <f t="shared" si="8"/>
        <v>500</v>
      </c>
      <c r="O63" s="313">
        <f t="shared" si="8"/>
        <v>500</v>
      </c>
      <c r="P63" s="313">
        <f t="shared" si="8"/>
        <v>500</v>
      </c>
      <c r="Q63" s="313">
        <f t="shared" si="8"/>
        <v>500</v>
      </c>
      <c r="R63" s="313">
        <f t="shared" si="8"/>
        <v>500</v>
      </c>
      <c r="S63" s="313">
        <f t="shared" si="8"/>
        <v>500</v>
      </c>
      <c r="T63" s="313">
        <f t="shared" si="8"/>
        <v>500</v>
      </c>
      <c r="U63" s="313">
        <f t="shared" si="8"/>
        <v>500</v>
      </c>
      <c r="V63" s="313">
        <f t="shared" si="8"/>
        <v>500</v>
      </c>
      <c r="W63" s="313">
        <f t="shared" si="8"/>
        <v>500</v>
      </c>
      <c r="X63" s="313">
        <f t="shared" si="8"/>
        <v>500</v>
      </c>
    </row>
    <row r="64" spans="1:25 16384:16384" s="96" customFormat="1">
      <c r="A64" s="54" t="s">
        <v>540</v>
      </c>
      <c r="B64" s="435"/>
      <c r="C64" s="487"/>
      <c r="D64" s="1055">
        <v>0</v>
      </c>
      <c r="E64" s="1056">
        <v>0</v>
      </c>
      <c r="F64" s="1056">
        <v>0</v>
      </c>
      <c r="G64" s="1056">
        <v>200000</v>
      </c>
      <c r="H64" s="1056">
        <f>G64</f>
        <v>200000</v>
      </c>
      <c r="I64" s="1056">
        <f t="shared" ref="I64:X64" si="9">H64</f>
        <v>200000</v>
      </c>
      <c r="J64" s="1056">
        <f t="shared" si="9"/>
        <v>200000</v>
      </c>
      <c r="K64" s="1056">
        <f t="shared" si="9"/>
        <v>200000</v>
      </c>
      <c r="L64" s="1056">
        <f t="shared" si="9"/>
        <v>200000</v>
      </c>
      <c r="M64" s="1056">
        <f t="shared" si="9"/>
        <v>200000</v>
      </c>
      <c r="N64" s="1056">
        <f t="shared" si="9"/>
        <v>200000</v>
      </c>
      <c r="O64" s="1056">
        <f t="shared" si="9"/>
        <v>200000</v>
      </c>
      <c r="P64" s="1056">
        <f t="shared" si="9"/>
        <v>200000</v>
      </c>
      <c r="Q64" s="1056">
        <f t="shared" si="9"/>
        <v>200000</v>
      </c>
      <c r="R64" s="1056">
        <f t="shared" si="9"/>
        <v>200000</v>
      </c>
      <c r="S64" s="1056">
        <f t="shared" si="9"/>
        <v>200000</v>
      </c>
      <c r="T64" s="1056">
        <f t="shared" si="9"/>
        <v>200000</v>
      </c>
      <c r="U64" s="1056">
        <f t="shared" si="9"/>
        <v>200000</v>
      </c>
      <c r="V64" s="1056">
        <f t="shared" si="9"/>
        <v>200000</v>
      </c>
      <c r="W64" s="1056">
        <f t="shared" si="9"/>
        <v>200000</v>
      </c>
      <c r="X64" s="1056">
        <f t="shared" si="9"/>
        <v>200000</v>
      </c>
    </row>
    <row r="65" spans="1:25" s="96" customFormat="1">
      <c r="A65" s="54" t="s">
        <v>210</v>
      </c>
      <c r="B65" s="487"/>
      <c r="C65" s="487"/>
      <c r="D65" s="486">
        <v>0</v>
      </c>
      <c r="E65" s="313">
        <v>0</v>
      </c>
      <c r="F65" s="313">
        <v>1</v>
      </c>
      <c r="G65" s="313">
        <v>2</v>
      </c>
      <c r="H65" s="313">
        <v>2</v>
      </c>
      <c r="I65" s="313">
        <v>2</v>
      </c>
      <c r="J65" s="313">
        <v>3</v>
      </c>
      <c r="K65" s="313">
        <v>3</v>
      </c>
      <c r="L65" s="313">
        <v>3</v>
      </c>
      <c r="M65" s="313">
        <v>3</v>
      </c>
      <c r="N65" s="313">
        <v>3</v>
      </c>
      <c r="O65" s="313">
        <v>4</v>
      </c>
      <c r="P65" s="313">
        <v>4</v>
      </c>
      <c r="Q65" s="313">
        <v>4</v>
      </c>
      <c r="R65" s="313">
        <v>4</v>
      </c>
      <c r="S65" s="313">
        <v>4</v>
      </c>
      <c r="T65" s="313">
        <v>5</v>
      </c>
      <c r="U65" s="313">
        <v>5</v>
      </c>
      <c r="V65" s="313">
        <v>5</v>
      </c>
      <c r="W65" s="313">
        <v>5</v>
      </c>
      <c r="X65" s="313">
        <v>5</v>
      </c>
      <c r="Y65" s="313"/>
    </row>
    <row r="66" spans="1:25" s="96" customFormat="1">
      <c r="A66" s="96" t="s">
        <v>211</v>
      </c>
      <c r="D66" s="486">
        <v>0</v>
      </c>
      <c r="E66" s="435">
        <v>0</v>
      </c>
      <c r="F66" s="435">
        <v>3</v>
      </c>
      <c r="G66" s="435">
        <v>3</v>
      </c>
      <c r="H66" s="435">
        <v>3</v>
      </c>
      <c r="I66" s="435">
        <v>3</v>
      </c>
      <c r="J66" s="435">
        <v>3</v>
      </c>
      <c r="K66" s="435">
        <v>3</v>
      </c>
      <c r="L66" s="435">
        <v>3</v>
      </c>
      <c r="M66" s="435">
        <v>3</v>
      </c>
      <c r="N66" s="435">
        <v>3</v>
      </c>
      <c r="O66" s="435">
        <v>3</v>
      </c>
      <c r="P66" s="435">
        <v>3</v>
      </c>
      <c r="Q66" s="435">
        <v>3</v>
      </c>
      <c r="R66" s="435">
        <v>3</v>
      </c>
      <c r="S66" s="435">
        <v>3</v>
      </c>
      <c r="T66" s="435">
        <v>3</v>
      </c>
      <c r="U66" s="435">
        <v>3</v>
      </c>
      <c r="V66" s="435">
        <v>3</v>
      </c>
      <c r="W66" s="435">
        <v>3</v>
      </c>
      <c r="X66" s="435">
        <v>3</v>
      </c>
    </row>
    <row r="67" spans="1:25" s="167" customFormat="1">
      <c r="A67" s="497"/>
      <c r="B67" s="501"/>
      <c r="C67" s="501"/>
      <c r="D67" s="499"/>
      <c r="E67" s="500"/>
      <c r="F67" s="500"/>
      <c r="G67" s="500"/>
      <c r="H67" s="500"/>
      <c r="I67" s="500"/>
      <c r="J67" s="500"/>
      <c r="K67" s="500"/>
      <c r="L67" s="500"/>
      <c r="M67" s="500"/>
      <c r="N67" s="500"/>
      <c r="O67" s="500"/>
      <c r="P67" s="500"/>
      <c r="Q67" s="500"/>
      <c r="R67" s="500"/>
      <c r="S67" s="500"/>
      <c r="T67" s="500"/>
      <c r="U67" s="500"/>
      <c r="V67" s="500"/>
      <c r="W67" s="500"/>
      <c r="X67" s="500"/>
      <c r="Y67" s="500"/>
    </row>
    <row r="68" spans="1:25">
      <c r="A68" s="28"/>
      <c r="D68" s="486"/>
      <c r="E68" s="331"/>
      <c r="F68" s="333"/>
      <c r="G68" s="331"/>
      <c r="H68" s="331"/>
      <c r="I68" s="331"/>
      <c r="J68" s="331"/>
      <c r="K68" s="331"/>
      <c r="L68" s="331"/>
      <c r="M68" s="331"/>
      <c r="N68" s="331"/>
      <c r="O68" s="331"/>
      <c r="P68" s="331"/>
      <c r="Q68" s="331"/>
      <c r="R68" s="331"/>
      <c r="S68" s="331"/>
      <c r="T68" s="331"/>
      <c r="U68" s="331"/>
      <c r="V68" s="331"/>
      <c r="W68" s="331"/>
      <c r="X68" s="331"/>
    </row>
    <row r="69" spans="1:25">
      <c r="A69" s="266" t="s">
        <v>135</v>
      </c>
      <c r="B69" s="223"/>
      <c r="C69" s="267"/>
      <c r="D69" s="332"/>
      <c r="E69" s="332"/>
      <c r="F69" s="349"/>
      <c r="G69" s="332"/>
      <c r="H69" s="332"/>
      <c r="I69" s="332"/>
      <c r="J69" s="332"/>
      <c r="K69" s="332"/>
      <c r="L69" s="332"/>
      <c r="M69" s="332"/>
      <c r="N69" s="332"/>
      <c r="O69" s="332"/>
      <c r="P69" s="332"/>
      <c r="Q69" s="332"/>
      <c r="R69" s="332"/>
      <c r="S69" s="332"/>
      <c r="T69" s="332"/>
      <c r="U69" s="332"/>
      <c r="V69" s="332"/>
      <c r="W69" s="332"/>
      <c r="X69" s="332"/>
    </row>
    <row r="70" spans="1:25" s="341" customFormat="1">
      <c r="A70" s="353"/>
      <c r="B70" s="355"/>
      <c r="C70" s="355"/>
      <c r="D70" s="502"/>
      <c r="E70" s="503"/>
      <c r="F70" s="503"/>
      <c r="G70" s="503"/>
      <c r="H70" s="503"/>
      <c r="I70" s="503"/>
      <c r="J70" s="503"/>
      <c r="K70" s="503"/>
      <c r="L70" s="503"/>
      <c r="M70" s="503"/>
      <c r="N70" s="503"/>
      <c r="O70" s="503"/>
      <c r="P70" s="503"/>
      <c r="Q70" s="503"/>
      <c r="R70" s="503"/>
      <c r="S70" s="503"/>
      <c r="T70" s="503"/>
      <c r="U70" s="503"/>
      <c r="V70" s="503"/>
      <c r="W70" s="503"/>
      <c r="X70" s="503"/>
    </row>
    <row r="71" spans="1:25" s="341" customFormat="1">
      <c r="A71" s="691" t="s">
        <v>144</v>
      </c>
      <c r="B71" s="355"/>
      <c r="C71" s="355"/>
      <c r="D71" s="548"/>
      <c r="E71" s="503"/>
      <c r="F71" s="503"/>
      <c r="G71" s="503"/>
      <c r="H71" s="503"/>
      <c r="I71" s="503"/>
      <c r="J71" s="503"/>
      <c r="K71" s="503"/>
      <c r="L71" s="503"/>
      <c r="M71" s="503"/>
      <c r="N71" s="503"/>
      <c r="O71" s="503"/>
      <c r="P71" s="503"/>
      <c r="Q71" s="503"/>
      <c r="R71" s="503"/>
      <c r="S71" s="503"/>
      <c r="T71" s="503"/>
      <c r="U71" s="503"/>
      <c r="V71" s="503"/>
      <c r="W71" s="503"/>
      <c r="X71" s="503"/>
    </row>
    <row r="72" spans="1:25" s="561" customFormat="1">
      <c r="A72" s="353" t="str">
        <f>'BH Tariffs'!A11</f>
        <v>Port Fee</v>
      </c>
      <c r="B72" s="355"/>
      <c r="C72" s="355"/>
      <c r="D72" s="548">
        <v>0</v>
      </c>
      <c r="E72" s="503">
        <f>'BH Tariffs'!D11*'P&amp;L - Concept B1 - NCLH'!E12</f>
        <v>0</v>
      </c>
      <c r="F72" s="503">
        <v>0</v>
      </c>
      <c r="G72" s="503">
        <v>0</v>
      </c>
      <c r="H72" s="503">
        <v>0</v>
      </c>
      <c r="I72" s="503">
        <v>0</v>
      </c>
      <c r="J72" s="503">
        <v>0</v>
      </c>
      <c r="K72" s="503">
        <v>0</v>
      </c>
      <c r="L72" s="503">
        <v>0</v>
      </c>
      <c r="M72" s="503">
        <v>0</v>
      </c>
      <c r="N72" s="503">
        <v>0</v>
      </c>
      <c r="O72" s="503">
        <v>0</v>
      </c>
      <c r="P72" s="503">
        <v>0</v>
      </c>
      <c r="Q72" s="503">
        <v>0</v>
      </c>
      <c r="R72" s="503">
        <v>0</v>
      </c>
      <c r="S72" s="503">
        <v>0</v>
      </c>
      <c r="T72" s="503">
        <v>0</v>
      </c>
      <c r="U72" s="503">
        <v>0</v>
      </c>
      <c r="V72" s="503">
        <v>0</v>
      </c>
      <c r="W72" s="503">
        <v>0</v>
      </c>
      <c r="X72" s="503">
        <v>0</v>
      </c>
    </row>
    <row r="73" spans="1:25">
      <c r="A73" s="88"/>
      <c r="B73" s="89"/>
      <c r="C73" s="89"/>
      <c r="D73" s="502"/>
      <c r="E73" s="504"/>
      <c r="F73" s="504"/>
      <c r="G73" s="504"/>
      <c r="H73" s="504"/>
      <c r="I73" s="504"/>
      <c r="J73" s="504"/>
      <c r="K73" s="504"/>
      <c r="L73" s="504"/>
      <c r="M73" s="504"/>
      <c r="N73" s="504"/>
      <c r="O73" s="504"/>
      <c r="P73" s="504"/>
      <c r="Q73" s="504"/>
      <c r="R73" s="504"/>
      <c r="S73" s="504"/>
      <c r="T73" s="504"/>
      <c r="U73" s="504"/>
      <c r="V73" s="504"/>
      <c r="W73" s="504"/>
      <c r="X73" s="504"/>
    </row>
    <row r="74" spans="1:25" s="16" customFormat="1" ht="14.25">
      <c r="A74" s="280" t="s">
        <v>124</v>
      </c>
      <c r="B74" s="533"/>
      <c r="C74" s="533"/>
      <c r="D74" s="534"/>
      <c r="E74" s="535"/>
      <c r="F74" s="535"/>
      <c r="G74" s="535"/>
      <c r="H74" s="535"/>
      <c r="I74" s="535"/>
      <c r="J74" s="535"/>
      <c r="K74" s="535"/>
      <c r="L74" s="535"/>
      <c r="M74" s="535"/>
      <c r="N74" s="535"/>
      <c r="O74" s="535"/>
      <c r="P74" s="535"/>
      <c r="Q74" s="535"/>
      <c r="R74" s="535"/>
      <c r="S74" s="535"/>
      <c r="T74" s="535"/>
      <c r="U74" s="535"/>
      <c r="V74" s="535"/>
      <c r="W74" s="535"/>
      <c r="X74" s="535"/>
    </row>
    <row r="75" spans="1:25" s="279" customFormat="1" ht="14.25">
      <c r="A75" s="91" t="s">
        <v>83</v>
      </c>
      <c r="B75" s="536"/>
      <c r="C75" s="536"/>
      <c r="D75" s="537"/>
      <c r="E75" s="538"/>
      <c r="F75" s="538"/>
      <c r="G75" s="538"/>
      <c r="H75" s="538"/>
      <c r="I75" s="538"/>
      <c r="J75" s="538"/>
      <c r="K75" s="538"/>
      <c r="L75" s="538"/>
      <c r="M75" s="538"/>
      <c r="N75" s="538"/>
      <c r="O75" s="538"/>
      <c r="P75" s="538"/>
      <c r="Q75" s="538"/>
      <c r="R75" s="538"/>
      <c r="S75" s="538"/>
      <c r="T75" s="538"/>
      <c r="U75" s="538"/>
      <c r="V75" s="538"/>
      <c r="W75" s="538"/>
      <c r="X75" s="538"/>
    </row>
    <row r="76" spans="1:25">
      <c r="A76" s="90" t="str">
        <f>'BH Tariffs'!A19</f>
        <v>Town Wharfage (Exclusive Use, Ferry Property Only)</v>
      </c>
      <c r="B76" s="89"/>
      <c r="C76" s="89"/>
      <c r="D76" s="502">
        <v>0</v>
      </c>
      <c r="E76" s="504">
        <f>'BH Tariffs'!D19*'P&amp;L - Concept B1 - NCLH'!E12</f>
        <v>0</v>
      </c>
      <c r="F76" s="504">
        <f>'BH Tariffs'!E19*'P&amp;L - Concept B1 - NCLH'!F12</f>
        <v>363295.09439549042</v>
      </c>
      <c r="G76" s="504">
        <f>'BH Tariffs'!F19*'P&amp;L - Concept B1 - NCLH'!G12</f>
        <v>370560.99628340022</v>
      </c>
      <c r="H76" s="504">
        <f>'BH Tariffs'!G19*'P&amp;L - Concept B1 - NCLH'!H12</f>
        <v>377972.2162090682</v>
      </c>
      <c r="I76" s="504">
        <f>'BH Tariffs'!H19*'P&amp;L - Concept B1 - NCLH'!I12</f>
        <v>385531.66053324961</v>
      </c>
      <c r="J76" s="504">
        <f>'BH Tariffs'!I19*'P&amp;L - Concept B1 - NCLH'!J12</f>
        <v>393242.29374391458</v>
      </c>
      <c r="K76" s="504">
        <f>'BH Tariffs'!J19*'P&amp;L - Concept B1 - NCLH'!K12</f>
        <v>401107.13961879286</v>
      </c>
      <c r="L76" s="504">
        <f>'BH Tariffs'!K19*'P&amp;L - Concept B1 - NCLH'!L12</f>
        <v>409129.28241116874</v>
      </c>
      <c r="M76" s="504">
        <f>'BH Tariffs'!L19*'P&amp;L - Concept B1 - NCLH'!M12</f>
        <v>417311.86805939215</v>
      </c>
      <c r="N76" s="504">
        <f>'BH Tariffs'!M19*'P&amp;L - Concept B1 - NCLH'!N12</f>
        <v>425658.10542058002</v>
      </c>
      <c r="O76" s="504">
        <f>'BH Tariffs'!N19*'P&amp;L - Concept B1 - NCLH'!O12</f>
        <v>434171.26752899162</v>
      </c>
      <c r="P76" s="504">
        <f>'BH Tariffs'!O19*'P&amp;L - Concept B1 - NCLH'!P12</f>
        <v>442854.69287957146</v>
      </c>
      <c r="Q76" s="504">
        <f>'BH Tariffs'!P19*'P&amp;L - Concept B1 - NCLH'!Q12</f>
        <v>451711.78673716291</v>
      </c>
      <c r="R76" s="504">
        <f>'BH Tariffs'!Q19*'P&amp;L - Concept B1 - NCLH'!R12</f>
        <v>460746.02247190609</v>
      </c>
      <c r="S76" s="504">
        <f>'BH Tariffs'!R19*'P&amp;L - Concept B1 - NCLH'!S12</f>
        <v>469960.94292134425</v>
      </c>
      <c r="T76" s="504">
        <f>'BH Tariffs'!S19*'P&amp;L - Concept B1 - NCLH'!T12</f>
        <v>479360.16177977109</v>
      </c>
      <c r="U76" s="504">
        <f>'BH Tariffs'!T19*'P&amp;L - Concept B1 - NCLH'!U12</f>
        <v>488947.36501536664</v>
      </c>
      <c r="V76" s="504">
        <f>'BH Tariffs'!U19*'P&amp;L - Concept B1 - NCLH'!V12</f>
        <v>498726.31231567392</v>
      </c>
      <c r="W76" s="504">
        <f>'BH Tariffs'!V19*'P&amp;L - Concept B1 - NCLH'!W12</f>
        <v>508700.83856198745</v>
      </c>
      <c r="X76" s="504">
        <f>'BH Tariffs'!W19*'P&amp;L - Concept B1 - NCLH'!X12</f>
        <v>518874.8553332272</v>
      </c>
    </row>
    <row r="77" spans="1:25" s="341" customFormat="1">
      <c r="A77" s="353" t="str">
        <f>'BH Tariffs'!A21</f>
        <v>CBP Infastructure Fee (Ferry Property Only)</v>
      </c>
      <c r="B77" s="355"/>
      <c r="C77" s="355"/>
      <c r="D77" s="548">
        <v>0</v>
      </c>
      <c r="E77" s="503">
        <v>0</v>
      </c>
      <c r="F77" s="503">
        <v>0</v>
      </c>
      <c r="G77" s="503">
        <v>0</v>
      </c>
      <c r="H77" s="503">
        <v>0</v>
      </c>
      <c r="I77" s="503">
        <v>0</v>
      </c>
      <c r="J77" s="503">
        <v>0</v>
      </c>
      <c r="K77" s="503">
        <v>0</v>
      </c>
      <c r="L77" s="503">
        <v>0</v>
      </c>
      <c r="M77" s="503">
        <v>0</v>
      </c>
      <c r="N77" s="503">
        <v>0</v>
      </c>
      <c r="O77" s="503">
        <v>0</v>
      </c>
      <c r="P77" s="503">
        <v>0</v>
      </c>
      <c r="Q77" s="503">
        <v>0</v>
      </c>
      <c r="R77" s="503">
        <v>0</v>
      </c>
      <c r="S77" s="503">
        <v>0</v>
      </c>
      <c r="T77" s="503">
        <v>0</v>
      </c>
      <c r="U77" s="503">
        <v>0</v>
      </c>
      <c r="V77" s="503">
        <v>0</v>
      </c>
      <c r="W77" s="503">
        <v>0</v>
      </c>
      <c r="X77" s="503">
        <v>0</v>
      </c>
    </row>
    <row r="78" spans="1:25" s="96" customFormat="1">
      <c r="A78" s="90" t="str">
        <f>'BH Tariffs'!A22</f>
        <v>Infrastructure Fee</v>
      </c>
      <c r="B78" s="356"/>
      <c r="C78" s="356"/>
      <c r="D78" s="502">
        <v>0</v>
      </c>
      <c r="E78" s="504">
        <v>0</v>
      </c>
      <c r="F78" s="504">
        <f>'BH Tariffs'!E22*'Cruise Projections'!V97</f>
        <v>522936.74160000001</v>
      </c>
      <c r="G78" s="504">
        <f>'BH Tariffs'!F22*'Cruise Projections'!W97</f>
        <v>533395.47643200005</v>
      </c>
      <c r="H78" s="504">
        <f>'BH Tariffs'!G22*'Cruise Projections'!X97</f>
        <v>544063.38596063992</v>
      </c>
      <c r="I78" s="504">
        <f>'BH Tariffs'!H22*'Cruise Projections'!Y97</f>
        <v>554944.65367985272</v>
      </c>
      <c r="J78" s="504">
        <f>'BH Tariffs'!I22*'Cruise Projections'!Z97</f>
        <v>566043.54675344983</v>
      </c>
      <c r="K78" s="504">
        <f>'BH Tariffs'!J22*'Cruise Projections'!AA97</f>
        <v>577364.41768851888</v>
      </c>
      <c r="L78" s="504">
        <f>'BH Tariffs'!K22*'Cruise Projections'!AB97</f>
        <v>588911.70604228915</v>
      </c>
      <c r="M78" s="504">
        <f>'BH Tariffs'!L22*'Cruise Projections'!AC97</f>
        <v>600689.94016313506</v>
      </c>
      <c r="N78" s="504">
        <f>'BH Tariffs'!M22*'Cruise Projections'!AD97</f>
        <v>612703.73896639771</v>
      </c>
      <c r="O78" s="504">
        <f>'BH Tariffs'!N22*'Cruise Projections'!AE97</f>
        <v>624957.81374572578</v>
      </c>
      <c r="P78" s="504">
        <f>'BH Tariffs'!O22*'Cruise Projections'!AF97</f>
        <v>637456.97002064029</v>
      </c>
      <c r="Q78" s="504">
        <f>'BH Tariffs'!P22*'Cruise Projections'!AG97</f>
        <v>650206.10942105309</v>
      </c>
      <c r="R78" s="504">
        <f>'BH Tariffs'!Q22*'Cruise Projections'!AH97</f>
        <v>663210.23160947405</v>
      </c>
      <c r="S78" s="504">
        <f>'BH Tariffs'!R22*'Cruise Projections'!AI97</f>
        <v>676474.43624166364</v>
      </c>
      <c r="T78" s="504">
        <f>'BH Tariffs'!S22*'Cruise Projections'!AJ97</f>
        <v>690003.924966497</v>
      </c>
      <c r="U78" s="504">
        <f>'BH Tariffs'!T22*'Cruise Projections'!AK97</f>
        <v>703804.00346582686</v>
      </c>
      <c r="V78" s="504">
        <f>'BH Tariffs'!U22*'Cruise Projections'!AL97</f>
        <v>717880.08353514341</v>
      </c>
      <c r="W78" s="504">
        <f>'BH Tariffs'!V22*'Cruise Projections'!AM97</f>
        <v>732237.68520584644</v>
      </c>
      <c r="X78" s="504">
        <f>'BH Tariffs'!W22*'Cruise Projections'!AN97</f>
        <v>746882.43890996324</v>
      </c>
    </row>
    <row r="79" spans="1:25">
      <c r="A79" s="90"/>
      <c r="B79" s="89"/>
      <c r="C79" s="89"/>
      <c r="D79" s="502"/>
      <c r="E79" s="504"/>
      <c r="F79" s="504"/>
      <c r="G79" s="504"/>
      <c r="H79" s="504"/>
      <c r="I79" s="504"/>
      <c r="J79" s="504"/>
      <c r="K79" s="504"/>
      <c r="L79" s="504"/>
      <c r="M79" s="504"/>
      <c r="N79" s="504"/>
      <c r="O79" s="504"/>
      <c r="P79" s="504"/>
      <c r="Q79" s="504"/>
      <c r="R79" s="504"/>
      <c r="S79" s="504"/>
      <c r="T79" s="504"/>
      <c r="U79" s="504"/>
      <c r="V79" s="504"/>
      <c r="W79" s="504"/>
      <c r="X79" s="504"/>
    </row>
    <row r="80" spans="1:25" s="341" customFormat="1">
      <c r="A80" s="543" t="s">
        <v>163</v>
      </c>
      <c r="B80" s="354"/>
      <c r="C80" s="355"/>
      <c r="D80" s="548"/>
      <c r="E80" s="503"/>
      <c r="F80" s="503"/>
      <c r="G80" s="503"/>
      <c r="H80" s="503"/>
      <c r="I80" s="503"/>
      <c r="J80" s="503"/>
      <c r="K80" s="503"/>
      <c r="L80" s="503"/>
      <c r="M80" s="503"/>
      <c r="N80" s="503"/>
      <c r="O80" s="503"/>
      <c r="P80" s="503"/>
      <c r="Q80" s="503"/>
      <c r="R80" s="503"/>
      <c r="S80" s="503"/>
      <c r="T80" s="503"/>
      <c r="U80" s="503"/>
      <c r="V80" s="503"/>
      <c r="W80" s="503"/>
      <c r="X80" s="503"/>
    </row>
    <row r="81" spans="1:25" s="341" customFormat="1">
      <c r="A81" s="353" t="str">
        <f>'BH Tariffs'!A25</f>
        <v>Dock Rent (12 months)</v>
      </c>
      <c r="B81" s="354"/>
      <c r="C81" s="355"/>
      <c r="D81" s="548">
        <v>0</v>
      </c>
      <c r="E81" s="503">
        <v>0</v>
      </c>
      <c r="F81" s="503">
        <v>0</v>
      </c>
      <c r="G81" s="503">
        <v>0</v>
      </c>
      <c r="H81" s="503">
        <v>0</v>
      </c>
      <c r="I81" s="503">
        <v>0</v>
      </c>
      <c r="J81" s="503">
        <v>0</v>
      </c>
      <c r="K81" s="503">
        <v>0</v>
      </c>
      <c r="L81" s="503">
        <v>0</v>
      </c>
      <c r="M81" s="503">
        <v>0</v>
      </c>
      <c r="N81" s="503">
        <v>0</v>
      </c>
      <c r="O81" s="503">
        <v>0</v>
      </c>
      <c r="P81" s="503">
        <v>0</v>
      </c>
      <c r="Q81" s="503">
        <v>0</v>
      </c>
      <c r="R81" s="503">
        <v>0</v>
      </c>
      <c r="S81" s="503">
        <v>0</v>
      </c>
      <c r="T81" s="503">
        <v>0</v>
      </c>
      <c r="U81" s="503">
        <v>0</v>
      </c>
      <c r="V81" s="503">
        <v>0</v>
      </c>
      <c r="W81" s="503">
        <v>0</v>
      </c>
      <c r="X81" s="503">
        <v>0</v>
      </c>
    </row>
    <row r="82" spans="1:25" s="341" customFormat="1">
      <c r="A82" s="353" t="str">
        <f>'BH Tariffs'!A26</f>
        <v>Ferry Passenger Wharfage</v>
      </c>
      <c r="B82" s="354"/>
      <c r="C82" s="355"/>
      <c r="D82" s="548">
        <v>0</v>
      </c>
      <c r="E82" s="503">
        <v>0</v>
      </c>
      <c r="F82" s="503">
        <v>0</v>
      </c>
      <c r="G82" s="503">
        <v>0</v>
      </c>
      <c r="H82" s="503">
        <v>0</v>
      </c>
      <c r="I82" s="503">
        <v>0</v>
      </c>
      <c r="J82" s="503">
        <v>0</v>
      </c>
      <c r="K82" s="503">
        <v>0</v>
      </c>
      <c r="L82" s="503">
        <v>0</v>
      </c>
      <c r="M82" s="503">
        <v>0</v>
      </c>
      <c r="N82" s="503">
        <v>0</v>
      </c>
      <c r="O82" s="503">
        <v>0</v>
      </c>
      <c r="P82" s="503">
        <v>0</v>
      </c>
      <c r="Q82" s="503">
        <v>0</v>
      </c>
      <c r="R82" s="503">
        <v>0</v>
      </c>
      <c r="S82" s="503">
        <v>0</v>
      </c>
      <c r="T82" s="503">
        <v>0</v>
      </c>
      <c r="U82" s="503">
        <v>0</v>
      </c>
      <c r="V82" s="503">
        <v>0</v>
      </c>
      <c r="W82" s="503">
        <v>0</v>
      </c>
      <c r="X82" s="503">
        <v>0</v>
      </c>
    </row>
    <row r="83" spans="1:25" s="341" customFormat="1">
      <c r="A83" s="353" t="str">
        <f>'BH Tariffs'!A27</f>
        <v>Ferry Passenger Vehicle Wharfage</v>
      </c>
      <c r="B83" s="354"/>
      <c r="C83" s="355"/>
      <c r="D83" s="548">
        <v>0</v>
      </c>
      <c r="E83" s="503">
        <v>0</v>
      </c>
      <c r="F83" s="503">
        <v>0</v>
      </c>
      <c r="G83" s="503">
        <v>0</v>
      </c>
      <c r="H83" s="503">
        <v>0</v>
      </c>
      <c r="I83" s="503">
        <v>0</v>
      </c>
      <c r="J83" s="503">
        <v>0</v>
      </c>
      <c r="K83" s="503">
        <v>0</v>
      </c>
      <c r="L83" s="503">
        <v>0</v>
      </c>
      <c r="M83" s="503">
        <v>0</v>
      </c>
      <c r="N83" s="503">
        <v>0</v>
      </c>
      <c r="O83" s="503">
        <v>0</v>
      </c>
      <c r="P83" s="503">
        <v>0</v>
      </c>
      <c r="Q83" s="503">
        <v>0</v>
      </c>
      <c r="R83" s="503">
        <v>0</v>
      </c>
      <c r="S83" s="503">
        <v>0</v>
      </c>
      <c r="T83" s="503">
        <v>0</v>
      </c>
      <c r="U83" s="503">
        <v>0</v>
      </c>
      <c r="V83" s="503">
        <v>0</v>
      </c>
      <c r="W83" s="503">
        <v>0</v>
      </c>
      <c r="X83" s="503">
        <v>0</v>
      </c>
    </row>
    <row r="84" spans="1:25" s="341" customFormat="1">
      <c r="A84" s="353" t="str">
        <f>'BH Tariffs'!A28</f>
        <v>Ferry Bus Wharfage</v>
      </c>
      <c r="B84" s="354"/>
      <c r="C84" s="355"/>
      <c r="D84" s="548">
        <v>0</v>
      </c>
      <c r="E84" s="503">
        <v>0</v>
      </c>
      <c r="F84" s="503">
        <v>0</v>
      </c>
      <c r="G84" s="503">
        <v>0</v>
      </c>
      <c r="H84" s="503">
        <v>0</v>
      </c>
      <c r="I84" s="503">
        <v>0</v>
      </c>
      <c r="J84" s="503">
        <v>0</v>
      </c>
      <c r="K84" s="503">
        <v>0</v>
      </c>
      <c r="L84" s="503">
        <v>0</v>
      </c>
      <c r="M84" s="503">
        <v>0</v>
      </c>
      <c r="N84" s="503">
        <v>0</v>
      </c>
      <c r="O84" s="503">
        <v>0</v>
      </c>
      <c r="P84" s="503">
        <v>0</v>
      </c>
      <c r="Q84" s="503">
        <v>0</v>
      </c>
      <c r="R84" s="503">
        <v>0</v>
      </c>
      <c r="S84" s="503">
        <v>0</v>
      </c>
      <c r="T84" s="503">
        <v>0</v>
      </c>
      <c r="U84" s="503">
        <v>0</v>
      </c>
      <c r="V84" s="503">
        <v>0</v>
      </c>
      <c r="W84" s="503">
        <v>0</v>
      </c>
      <c r="X84" s="503">
        <v>0</v>
      </c>
    </row>
    <row r="85" spans="1:25">
      <c r="A85" s="88"/>
      <c r="B85" s="30"/>
      <c r="C85" s="89"/>
      <c r="D85" s="502"/>
      <c r="E85" s="504"/>
      <c r="F85" s="504"/>
      <c r="G85" s="504"/>
      <c r="H85" s="504"/>
      <c r="I85" s="504"/>
      <c r="J85" s="504"/>
      <c r="K85" s="504"/>
      <c r="L85" s="504"/>
      <c r="M85" s="504"/>
      <c r="N85" s="504"/>
      <c r="O85" s="504"/>
      <c r="P85" s="504"/>
      <c r="Q85" s="504"/>
      <c r="R85" s="504"/>
      <c r="S85" s="504"/>
      <c r="T85" s="504"/>
      <c r="U85" s="504"/>
      <c r="V85" s="504"/>
      <c r="W85" s="504"/>
      <c r="X85" s="504"/>
    </row>
    <row r="86" spans="1:25" s="96" customFormat="1">
      <c r="A86" s="605" t="s">
        <v>164</v>
      </c>
      <c r="B86" s="606"/>
      <c r="C86" s="356"/>
      <c r="D86" s="502"/>
      <c r="E86" s="504"/>
      <c r="F86" s="504"/>
      <c r="G86" s="504"/>
      <c r="H86" s="504"/>
      <c r="I86" s="504"/>
      <c r="J86" s="504"/>
      <c r="K86" s="504"/>
      <c r="L86" s="504"/>
      <c r="M86" s="504"/>
      <c r="N86" s="504"/>
      <c r="O86" s="504"/>
      <c r="P86" s="504"/>
      <c r="Q86" s="504"/>
      <c r="R86" s="504"/>
      <c r="S86" s="504"/>
      <c r="T86" s="504"/>
      <c r="U86" s="504"/>
      <c r="V86" s="504"/>
      <c r="W86" s="504"/>
      <c r="X86" s="504"/>
    </row>
    <row r="87" spans="1:25" s="96" customFormat="1">
      <c r="A87" s="90" t="str">
        <f>'BH Tariffs'!A31</f>
        <v>Dock Rent (6 Months Only)</v>
      </c>
      <c r="B87" s="606"/>
      <c r="C87" s="356"/>
      <c r="D87" s="502">
        <v>0</v>
      </c>
      <c r="E87" s="504">
        <v>0</v>
      </c>
      <c r="F87" s="504">
        <f>'BH Tariffs'!E31*6</f>
        <v>12240</v>
      </c>
      <c r="G87" s="504">
        <f>'BH Tariffs'!F31*6</f>
        <v>12484.800000000001</v>
      </c>
      <c r="H87" s="504">
        <f>'BH Tariffs'!G31*6</f>
        <v>12734.495999999999</v>
      </c>
      <c r="I87" s="504">
        <f>'BH Tariffs'!H31*6</f>
        <v>12989.18592</v>
      </c>
      <c r="J87" s="504">
        <f>'BH Tariffs'!I31*6</f>
        <v>13248.9696384</v>
      </c>
      <c r="K87" s="504">
        <f>'BH Tariffs'!J31*6</f>
        <v>13513.949031168002</v>
      </c>
      <c r="L87" s="504">
        <f>'BH Tariffs'!K31*6</f>
        <v>13784.228011791361</v>
      </c>
      <c r="M87" s="504">
        <f>'BH Tariffs'!L31*6</f>
        <v>14059.912572027188</v>
      </c>
      <c r="N87" s="504">
        <f>'BH Tariffs'!M31*6</f>
        <v>14341.110823467734</v>
      </c>
      <c r="O87" s="504">
        <f>'BH Tariffs'!N31*6</f>
        <v>14627.933039937088</v>
      </c>
      <c r="P87" s="504">
        <f>'BH Tariffs'!O31*6</f>
        <v>14920.491700735829</v>
      </c>
      <c r="Q87" s="504">
        <f>'BH Tariffs'!P31*6</f>
        <v>15218.901534750545</v>
      </c>
      <c r="R87" s="504">
        <f>'BH Tariffs'!Q31*6</f>
        <v>15523.279565445555</v>
      </c>
      <c r="S87" s="504">
        <f>'BH Tariffs'!R31*6</f>
        <v>15833.745156754467</v>
      </c>
      <c r="T87" s="504">
        <f>'BH Tariffs'!S31*6</f>
        <v>16150.420059889559</v>
      </c>
      <c r="U87" s="504">
        <f>'BH Tariffs'!T31*6</f>
        <v>16473.428461087351</v>
      </c>
      <c r="V87" s="504">
        <f>'BH Tariffs'!U31*6</f>
        <v>16802.897030309097</v>
      </c>
      <c r="W87" s="504">
        <f>'BH Tariffs'!V31*6</f>
        <v>17138.954970915282</v>
      </c>
      <c r="X87" s="504">
        <f>'BH Tariffs'!W31*6</f>
        <v>17481.734070333587</v>
      </c>
    </row>
    <row r="88" spans="1:25" s="96" customFormat="1">
      <c r="A88" s="90"/>
      <c r="B88" s="606"/>
      <c r="C88" s="356"/>
      <c r="D88" s="502"/>
      <c r="E88" s="504"/>
      <c r="F88" s="504"/>
      <c r="G88" s="504"/>
      <c r="H88" s="504"/>
      <c r="I88" s="504"/>
      <c r="J88" s="504"/>
      <c r="K88" s="504"/>
      <c r="L88" s="504"/>
      <c r="M88" s="504"/>
      <c r="N88" s="504"/>
      <c r="O88" s="504"/>
      <c r="P88" s="504"/>
      <c r="Q88" s="504"/>
      <c r="R88" s="504"/>
      <c r="S88" s="504"/>
      <c r="T88" s="504"/>
      <c r="U88" s="504"/>
      <c r="V88" s="504"/>
      <c r="W88" s="504"/>
      <c r="X88" s="504"/>
    </row>
    <row r="89" spans="1:25" s="547" customFormat="1" ht="14.25">
      <c r="A89" s="543" t="str">
        <f>'BH Tariffs'!A33</f>
        <v>Recreational/Commercial Marina</v>
      </c>
      <c r="B89" s="789"/>
      <c r="C89" s="544"/>
      <c r="D89" s="545"/>
      <c r="E89" s="546"/>
      <c r="F89" s="546"/>
      <c r="G89" s="546"/>
      <c r="H89" s="546"/>
      <c r="I89" s="546"/>
      <c r="J89" s="546"/>
      <c r="K89" s="546"/>
      <c r="L89" s="546"/>
      <c r="M89" s="546"/>
      <c r="N89" s="546"/>
      <c r="O89" s="546"/>
      <c r="P89" s="546"/>
      <c r="Q89" s="546"/>
      <c r="R89" s="546"/>
      <c r="S89" s="546"/>
      <c r="T89" s="546"/>
      <c r="U89" s="546"/>
      <c r="V89" s="546"/>
      <c r="W89" s="546"/>
      <c r="X89" s="546"/>
    </row>
    <row r="90" spans="1:25" s="341" customFormat="1">
      <c r="A90" s="353" t="str">
        <f>'BH Tariffs'!A34</f>
        <v>Transient Slip Rent</v>
      </c>
      <c r="B90" s="354"/>
      <c r="C90" s="355"/>
      <c r="D90" s="548">
        <v>0</v>
      </c>
      <c r="E90" s="503">
        <v>0</v>
      </c>
      <c r="F90" s="503">
        <f>'BH Tariffs'!E34*'P&amp;L - Concept B1 - NCLH'!F57</f>
        <v>0</v>
      </c>
      <c r="G90" s="503">
        <f>'BH Tariffs'!F34*'P&amp;L - Concept B1 - NCLH'!G57</f>
        <v>0</v>
      </c>
      <c r="H90" s="503">
        <f>'BH Tariffs'!G34*'P&amp;L - Concept B1 - NCLH'!H57</f>
        <v>0</v>
      </c>
      <c r="I90" s="503">
        <f>'BH Tariffs'!H34*'P&amp;L - Concept B1 - NCLH'!I57</f>
        <v>0</v>
      </c>
      <c r="J90" s="503">
        <f>'BH Tariffs'!I34*'P&amp;L - Concept B1 - NCLH'!J57</f>
        <v>0</v>
      </c>
      <c r="K90" s="503">
        <f>'BH Tariffs'!J34*'P&amp;L - Concept B1 - NCLH'!K57</f>
        <v>0</v>
      </c>
      <c r="L90" s="503">
        <f>'BH Tariffs'!K34*'P&amp;L - Concept B1 - NCLH'!L57</f>
        <v>0</v>
      </c>
      <c r="M90" s="503">
        <f>'BH Tariffs'!L34*'P&amp;L - Concept B1 - NCLH'!M57</f>
        <v>0</v>
      </c>
      <c r="N90" s="503">
        <f>'BH Tariffs'!M34*'P&amp;L - Concept B1 - NCLH'!N57</f>
        <v>0</v>
      </c>
      <c r="O90" s="503">
        <f>'BH Tariffs'!N34*'P&amp;L - Concept B1 - NCLH'!O57</f>
        <v>0</v>
      </c>
      <c r="P90" s="503">
        <f>'BH Tariffs'!O34*'P&amp;L - Concept B1 - NCLH'!P57</f>
        <v>0</v>
      </c>
      <c r="Q90" s="503">
        <f>'BH Tariffs'!P34*'P&amp;L - Concept B1 - NCLH'!Q57</f>
        <v>0</v>
      </c>
      <c r="R90" s="503">
        <f>'BH Tariffs'!Q34*'P&amp;L - Concept B1 - NCLH'!R57</f>
        <v>0</v>
      </c>
      <c r="S90" s="503">
        <f>'BH Tariffs'!R34*'P&amp;L - Concept B1 - NCLH'!S57</f>
        <v>0</v>
      </c>
      <c r="T90" s="503">
        <f>'BH Tariffs'!S34*'P&amp;L - Concept B1 - NCLH'!T57</f>
        <v>0</v>
      </c>
      <c r="U90" s="503">
        <f>'BH Tariffs'!T34*'P&amp;L - Concept B1 - NCLH'!U57</f>
        <v>0</v>
      </c>
      <c r="V90" s="503">
        <f>'BH Tariffs'!U34*'P&amp;L - Concept B1 - NCLH'!V57</f>
        <v>0</v>
      </c>
      <c r="W90" s="503">
        <f>'BH Tariffs'!V34*'P&amp;L - Concept B1 - NCLH'!W57</f>
        <v>0</v>
      </c>
      <c r="X90" s="503">
        <f>'BH Tariffs'!W34*'P&amp;L - Concept B1 - NCLH'!X57</f>
        <v>0</v>
      </c>
    </row>
    <row r="91" spans="1:25" s="341" customFormat="1">
      <c r="A91" s="353" t="s">
        <v>280</v>
      </c>
      <c r="B91" s="354"/>
      <c r="C91" s="355"/>
      <c r="D91" s="548">
        <v>0</v>
      </c>
      <c r="E91" s="503">
        <v>0</v>
      </c>
      <c r="F91" s="503">
        <f>'BH Tariffs'!E35*'P&amp;L - Concept B1 - NCLH'!F58</f>
        <v>0</v>
      </c>
      <c r="G91" s="503">
        <f>'BH Tariffs'!F35*'P&amp;L - Concept B1 - NCLH'!G58</f>
        <v>0</v>
      </c>
      <c r="H91" s="503">
        <f>'BH Tariffs'!G35*'P&amp;L - Concept B1 - NCLH'!H58</f>
        <v>0</v>
      </c>
      <c r="I91" s="503">
        <f>'BH Tariffs'!H35*'P&amp;L - Concept B1 - NCLH'!I58</f>
        <v>0</v>
      </c>
      <c r="J91" s="503">
        <f>'BH Tariffs'!I35*'P&amp;L - Concept B1 - NCLH'!J58</f>
        <v>0</v>
      </c>
      <c r="K91" s="503">
        <f>'BH Tariffs'!J35*'P&amp;L - Concept B1 - NCLH'!K58</f>
        <v>0</v>
      </c>
      <c r="L91" s="503">
        <f>'BH Tariffs'!K35*'P&amp;L - Concept B1 - NCLH'!L58</f>
        <v>0</v>
      </c>
      <c r="M91" s="503">
        <f>'BH Tariffs'!L35*'P&amp;L - Concept B1 - NCLH'!M58</f>
        <v>0</v>
      </c>
      <c r="N91" s="503">
        <f>'BH Tariffs'!M35*'P&amp;L - Concept B1 - NCLH'!N58</f>
        <v>0</v>
      </c>
      <c r="O91" s="503">
        <f>'BH Tariffs'!N35*'P&amp;L - Concept B1 - NCLH'!O58</f>
        <v>0</v>
      </c>
      <c r="P91" s="503">
        <f>'BH Tariffs'!O35*'P&amp;L - Concept B1 - NCLH'!P58</f>
        <v>0</v>
      </c>
      <c r="Q91" s="503">
        <f>'BH Tariffs'!P35*'P&amp;L - Concept B1 - NCLH'!Q58</f>
        <v>0</v>
      </c>
      <c r="R91" s="503">
        <f>'BH Tariffs'!Q35*'P&amp;L - Concept B1 - NCLH'!R58</f>
        <v>0</v>
      </c>
      <c r="S91" s="503">
        <f>'BH Tariffs'!R35*'P&amp;L - Concept B1 - NCLH'!S58</f>
        <v>0</v>
      </c>
      <c r="T91" s="503">
        <f>'BH Tariffs'!S35*'P&amp;L - Concept B1 - NCLH'!T58</f>
        <v>0</v>
      </c>
      <c r="U91" s="503">
        <f>'BH Tariffs'!T35*'P&amp;L - Concept B1 - NCLH'!U58</f>
        <v>0</v>
      </c>
      <c r="V91" s="503">
        <f>'BH Tariffs'!U35*'P&amp;L - Concept B1 - NCLH'!V58</f>
        <v>0</v>
      </c>
      <c r="W91" s="503">
        <f>'BH Tariffs'!V35*'P&amp;L - Concept B1 - NCLH'!W58</f>
        <v>0</v>
      </c>
      <c r="X91" s="503">
        <f>'BH Tariffs'!W35*'P&amp;L - Concept B1 - NCLH'!X58</f>
        <v>0</v>
      </c>
    </row>
    <row r="92" spans="1:25" s="341" customFormat="1">
      <c r="A92" s="353" t="str">
        <f>'BH Tariffs'!A36</f>
        <v>Water/Sewer</v>
      </c>
      <c r="B92" s="354"/>
      <c r="C92" s="355"/>
      <c r="D92" s="548">
        <v>0</v>
      </c>
      <c r="E92" s="503">
        <v>0</v>
      </c>
      <c r="F92" s="503">
        <v>0</v>
      </c>
      <c r="G92" s="503">
        <v>0</v>
      </c>
      <c r="H92" s="503">
        <v>0</v>
      </c>
      <c r="I92" s="503">
        <v>0</v>
      </c>
      <c r="J92" s="503">
        <v>0</v>
      </c>
      <c r="K92" s="503">
        <v>0</v>
      </c>
      <c r="L92" s="503">
        <v>0</v>
      </c>
      <c r="M92" s="503">
        <v>0</v>
      </c>
      <c r="N92" s="503">
        <v>0</v>
      </c>
      <c r="O92" s="503">
        <v>0</v>
      </c>
      <c r="P92" s="503">
        <v>0</v>
      </c>
      <c r="Q92" s="503">
        <v>0</v>
      </c>
      <c r="R92" s="503">
        <v>0</v>
      </c>
      <c r="S92" s="503">
        <v>0</v>
      </c>
      <c r="T92" s="503">
        <v>0</v>
      </c>
      <c r="U92" s="503">
        <v>0</v>
      </c>
      <c r="V92" s="503">
        <v>0</v>
      </c>
      <c r="W92" s="503">
        <v>0</v>
      </c>
      <c r="X92" s="503">
        <v>0</v>
      </c>
      <c r="Y92" s="341" t="s">
        <v>282</v>
      </c>
    </row>
    <row r="93" spans="1:25" s="341" customFormat="1">
      <c r="A93" s="353" t="str">
        <f>'BH Tariffs'!A37</f>
        <v xml:space="preserve">Power (Electricity) </v>
      </c>
      <c r="B93" s="354"/>
      <c r="C93" s="355"/>
      <c r="D93" s="548">
        <v>0</v>
      </c>
      <c r="E93" s="503">
        <v>0</v>
      </c>
      <c r="F93" s="503">
        <v>0</v>
      </c>
      <c r="G93" s="503">
        <v>0</v>
      </c>
      <c r="H93" s="503">
        <v>0</v>
      </c>
      <c r="I93" s="503">
        <v>0</v>
      </c>
      <c r="J93" s="503">
        <v>0</v>
      </c>
      <c r="K93" s="503">
        <v>0</v>
      </c>
      <c r="L93" s="503">
        <v>0</v>
      </c>
      <c r="M93" s="503">
        <v>0</v>
      </c>
      <c r="N93" s="503">
        <v>0</v>
      </c>
      <c r="O93" s="503">
        <v>0</v>
      </c>
      <c r="P93" s="503">
        <v>0</v>
      </c>
      <c r="Q93" s="503">
        <v>0</v>
      </c>
      <c r="R93" s="503">
        <v>0</v>
      </c>
      <c r="S93" s="503">
        <v>0</v>
      </c>
      <c r="T93" s="503">
        <v>0</v>
      </c>
      <c r="U93" s="503">
        <v>0</v>
      </c>
      <c r="V93" s="503">
        <v>0</v>
      </c>
      <c r="W93" s="503">
        <v>0</v>
      </c>
      <c r="X93" s="503">
        <v>0</v>
      </c>
      <c r="Y93" s="341" t="s">
        <v>282</v>
      </c>
    </row>
    <row r="94" spans="1:25" s="341" customFormat="1">
      <c r="A94" s="353" t="s">
        <v>526</v>
      </c>
      <c r="B94" s="354"/>
      <c r="C94" s="355"/>
      <c r="D94" s="548">
        <v>0</v>
      </c>
      <c r="E94" s="503">
        <v>0</v>
      </c>
      <c r="F94" s="503">
        <f>'BH Tariffs'!E38*'P&amp;L - Concept B1 - NCLH'!F56</f>
        <v>0</v>
      </c>
      <c r="G94" s="503">
        <f>'BH Tariffs'!F38*'P&amp;L - Concept B1 - NCLH'!G56</f>
        <v>0</v>
      </c>
      <c r="H94" s="503">
        <f>'BH Tariffs'!G38*'P&amp;L - Concept B1 - NCLH'!H56</f>
        <v>0</v>
      </c>
      <c r="I94" s="503">
        <f>'BH Tariffs'!H38*'P&amp;L - Concept B1 - NCLH'!I56</f>
        <v>0</v>
      </c>
      <c r="J94" s="503">
        <f>'BH Tariffs'!I38*'P&amp;L - Concept B1 - NCLH'!J56</f>
        <v>0</v>
      </c>
      <c r="K94" s="503">
        <f>'BH Tariffs'!J38*'P&amp;L - Concept B1 - NCLH'!K56</f>
        <v>0</v>
      </c>
      <c r="L94" s="503">
        <f>'BH Tariffs'!K38*'P&amp;L - Concept B1 - NCLH'!L56</f>
        <v>0</v>
      </c>
      <c r="M94" s="503">
        <f>'BH Tariffs'!L38*'P&amp;L - Concept B1 - NCLH'!M56</f>
        <v>0</v>
      </c>
      <c r="N94" s="503">
        <f>'BH Tariffs'!M38*'P&amp;L - Concept B1 - NCLH'!N56</f>
        <v>0</v>
      </c>
      <c r="O94" s="503">
        <f>'BH Tariffs'!N38*'P&amp;L - Concept B1 - NCLH'!O56</f>
        <v>0</v>
      </c>
      <c r="P94" s="503">
        <f>'BH Tariffs'!O38*'P&amp;L - Concept B1 - NCLH'!P56</f>
        <v>0</v>
      </c>
      <c r="Q94" s="503">
        <f>'BH Tariffs'!P38*'P&amp;L - Concept B1 - NCLH'!Q56</f>
        <v>0</v>
      </c>
      <c r="R94" s="503">
        <f>'BH Tariffs'!Q38*'P&amp;L - Concept B1 - NCLH'!R56</f>
        <v>0</v>
      </c>
      <c r="S94" s="503">
        <f>'BH Tariffs'!R38*'P&amp;L - Concept B1 - NCLH'!S56</f>
        <v>0</v>
      </c>
      <c r="T94" s="503">
        <f>'BH Tariffs'!S38*'P&amp;L - Concept B1 - NCLH'!T56</f>
        <v>0</v>
      </c>
      <c r="U94" s="503">
        <f>'BH Tariffs'!T38*'P&amp;L - Concept B1 - NCLH'!U56</f>
        <v>0</v>
      </c>
      <c r="V94" s="503">
        <f>'BH Tariffs'!U38*'P&amp;L - Concept B1 - NCLH'!V56</f>
        <v>0</v>
      </c>
      <c r="W94" s="503">
        <f>'BH Tariffs'!V38*'P&amp;L - Concept B1 - NCLH'!W56</f>
        <v>0</v>
      </c>
      <c r="X94" s="503">
        <f>'BH Tariffs'!W38*'P&amp;L - Concept B1 - NCLH'!X56</f>
        <v>0</v>
      </c>
    </row>
    <row r="95" spans="1:25">
      <c r="A95" s="88"/>
      <c r="B95" s="30"/>
      <c r="C95" s="89"/>
      <c r="D95" s="502"/>
      <c r="E95" s="504"/>
      <c r="F95" s="504"/>
      <c r="G95" s="504"/>
      <c r="H95" s="504"/>
      <c r="I95" s="504"/>
      <c r="J95" s="504"/>
      <c r="K95" s="504"/>
      <c r="L95" s="504"/>
      <c r="M95" s="504"/>
      <c r="N95" s="504"/>
      <c r="O95" s="504"/>
      <c r="P95" s="504"/>
      <c r="Q95" s="504"/>
      <c r="R95" s="504"/>
      <c r="S95" s="504"/>
      <c r="T95" s="504"/>
      <c r="U95" s="504"/>
      <c r="V95" s="504"/>
      <c r="W95" s="504"/>
      <c r="X95" s="504"/>
    </row>
    <row r="96" spans="1:25">
      <c r="A96" s="91" t="s">
        <v>26</v>
      </c>
      <c r="B96" s="30"/>
      <c r="C96" s="89"/>
      <c r="D96" s="502"/>
      <c r="E96" s="504"/>
      <c r="F96" s="504"/>
      <c r="G96" s="504"/>
      <c r="H96" s="504"/>
      <c r="I96" s="504"/>
      <c r="J96" s="504"/>
      <c r="K96" s="504"/>
      <c r="L96" s="504"/>
      <c r="M96" s="504"/>
      <c r="N96" s="504"/>
      <c r="O96" s="504"/>
      <c r="P96" s="504"/>
      <c r="Q96" s="504"/>
      <c r="R96" s="504"/>
      <c r="S96" s="504"/>
      <c r="T96" s="504"/>
      <c r="U96" s="504"/>
      <c r="V96" s="504"/>
      <c r="W96" s="504"/>
      <c r="X96" s="504"/>
    </row>
    <row r="97" spans="1:24" s="341" customFormat="1">
      <c r="A97" s="353" t="s">
        <v>214</v>
      </c>
      <c r="B97" s="354"/>
      <c r="C97" s="355"/>
      <c r="D97" s="548">
        <v>0</v>
      </c>
      <c r="E97" s="503">
        <v>0</v>
      </c>
      <c r="F97" s="503">
        <v>0</v>
      </c>
      <c r="G97" s="503">
        <v>0</v>
      </c>
      <c r="H97" s="503">
        <v>0</v>
      </c>
      <c r="I97" s="503">
        <v>0</v>
      </c>
      <c r="J97" s="503">
        <v>0</v>
      </c>
      <c r="K97" s="503">
        <v>0</v>
      </c>
      <c r="L97" s="503">
        <v>0</v>
      </c>
      <c r="M97" s="503">
        <v>0</v>
      </c>
      <c r="N97" s="503">
        <v>0</v>
      </c>
      <c r="O97" s="503">
        <v>0</v>
      </c>
      <c r="P97" s="503">
        <v>0</v>
      </c>
      <c r="Q97" s="503">
        <v>0</v>
      </c>
      <c r="R97" s="503">
        <v>0</v>
      </c>
      <c r="S97" s="503">
        <v>0</v>
      </c>
      <c r="T97" s="503">
        <v>0</v>
      </c>
      <c r="U97" s="503">
        <v>0</v>
      </c>
      <c r="V97" s="503">
        <v>0</v>
      </c>
      <c r="W97" s="503">
        <v>0</v>
      </c>
      <c r="X97" s="503">
        <v>0</v>
      </c>
    </row>
    <row r="98" spans="1:24">
      <c r="A98" s="88" t="s">
        <v>215</v>
      </c>
      <c r="B98" s="30"/>
      <c r="C98" s="89"/>
      <c r="D98" s="502">
        <v>0</v>
      </c>
      <c r="E98" s="504">
        <f>'BH Tariffs'!D43*'P&amp;L - Concept B1 - NCLH'!E44</f>
        <v>0</v>
      </c>
      <c r="F98" s="504">
        <f>'BH Tariffs'!E43*'P&amp;L - Concept B1 - NCLH'!F44</f>
        <v>0</v>
      </c>
      <c r="G98" s="504">
        <f>'BH Tariffs'!F43*'P&amp;L - Concept B1 - NCLH'!G44</f>
        <v>0</v>
      </c>
      <c r="H98" s="504">
        <f>'BH Tariffs'!G43*'P&amp;L - Concept B1 - NCLH'!H44</f>
        <v>0</v>
      </c>
      <c r="I98" s="504">
        <f>'BH Tariffs'!H43*'P&amp;L - Concept B1 - NCLH'!I44</f>
        <v>0</v>
      </c>
      <c r="J98" s="504">
        <f>'BH Tariffs'!I43*'P&amp;L - Concept B1 - NCLH'!J44</f>
        <v>247469.99999999997</v>
      </c>
      <c r="K98" s="504">
        <f>'BH Tariffs'!J43*'P&amp;L - Concept B1 - NCLH'!K44</f>
        <v>247469.99999999997</v>
      </c>
      <c r="L98" s="504">
        <f>'BH Tariffs'!K43*'P&amp;L - Concept B1 - NCLH'!L44</f>
        <v>247469.99999999997</v>
      </c>
      <c r="M98" s="504">
        <f>'BH Tariffs'!L43*'P&amp;L - Concept B1 - NCLH'!M44</f>
        <v>247469.99999999997</v>
      </c>
      <c r="N98" s="504">
        <f>'BH Tariffs'!M43*'P&amp;L - Concept B1 - NCLH'!N44</f>
        <v>247469.99999999997</v>
      </c>
      <c r="O98" s="504">
        <f>'BH Tariffs'!N43*'P&amp;L - Concept B1 - NCLH'!O44</f>
        <v>309337.49999999994</v>
      </c>
      <c r="P98" s="504">
        <f>'BH Tariffs'!O43*'P&amp;L - Concept B1 - NCLH'!P44</f>
        <v>309337.49999999994</v>
      </c>
      <c r="Q98" s="504">
        <f>'BH Tariffs'!P43*'P&amp;L - Concept B1 - NCLH'!Q44</f>
        <v>309337.49999999994</v>
      </c>
      <c r="R98" s="504">
        <f>'BH Tariffs'!Q43*'P&amp;L - Concept B1 - NCLH'!R44</f>
        <v>309337.49999999994</v>
      </c>
      <c r="S98" s="504">
        <f>'BH Tariffs'!R43*'P&amp;L - Concept B1 - NCLH'!S44</f>
        <v>309337.49999999994</v>
      </c>
      <c r="T98" s="504">
        <f>'BH Tariffs'!S43*'P&amp;L - Concept B1 - NCLH'!T44</f>
        <v>371204.99999999994</v>
      </c>
      <c r="U98" s="504">
        <f>'BH Tariffs'!T43*'P&amp;L - Concept B1 - NCLH'!U44</f>
        <v>371204.99999999994</v>
      </c>
      <c r="V98" s="504">
        <f>'BH Tariffs'!U43*'P&amp;L - Concept B1 - NCLH'!V44</f>
        <v>371204.99999999994</v>
      </c>
      <c r="W98" s="504">
        <f>'BH Tariffs'!V43*'P&amp;L - Concept B1 - NCLH'!W44</f>
        <v>371204.99999999994</v>
      </c>
      <c r="X98" s="504">
        <f>'BH Tariffs'!W43*'P&amp;L - Concept B1 - NCLH'!X44</f>
        <v>371204.99999999994</v>
      </c>
    </row>
    <row r="99" spans="1:24">
      <c r="A99" s="91"/>
      <c r="B99" s="30"/>
      <c r="C99" s="89"/>
      <c r="D99" s="502"/>
      <c r="E99" s="504"/>
      <c r="F99" s="504"/>
      <c r="G99" s="504"/>
      <c r="H99" s="504"/>
      <c r="I99" s="504"/>
      <c r="J99" s="504"/>
      <c r="K99" s="504"/>
      <c r="L99" s="504"/>
      <c r="M99" s="504"/>
      <c r="N99" s="504"/>
      <c r="O99" s="504"/>
      <c r="P99" s="504"/>
      <c r="Q99" s="504"/>
      <c r="R99" s="504"/>
      <c r="S99" s="504"/>
      <c r="T99" s="504"/>
      <c r="U99" s="504"/>
      <c r="V99" s="504"/>
      <c r="W99" s="504"/>
      <c r="X99" s="504"/>
    </row>
    <row r="100" spans="1:24">
      <c r="A100" s="91" t="s">
        <v>2</v>
      </c>
      <c r="B100" s="30"/>
      <c r="C100" s="89"/>
      <c r="D100" s="502"/>
      <c r="E100" s="504"/>
      <c r="F100" s="504"/>
      <c r="G100" s="504"/>
      <c r="H100" s="504"/>
      <c r="I100" s="504"/>
      <c r="J100" s="504"/>
      <c r="K100" s="504"/>
      <c r="L100" s="504"/>
      <c r="M100" s="504"/>
      <c r="N100" s="504"/>
      <c r="O100" s="504"/>
      <c r="P100" s="504"/>
      <c r="Q100" s="504"/>
      <c r="R100" s="504"/>
      <c r="S100" s="504"/>
      <c r="T100" s="504"/>
      <c r="U100" s="504"/>
      <c r="V100" s="504"/>
      <c r="W100" s="504"/>
      <c r="X100" s="504"/>
    </row>
    <row r="101" spans="1:24">
      <c r="A101" s="88" t="str">
        <f>'BH Tariffs'!A44</f>
        <v>Commerical Rent (Seasonal Kiosk(s)/Vendor(s))</v>
      </c>
      <c r="B101" s="30"/>
      <c r="C101" s="89"/>
      <c r="D101" s="502">
        <v>0</v>
      </c>
      <c r="E101" s="504">
        <f>'BH Tariffs'!D44*'P&amp;L - Concept B1 - NCLH'!E63</f>
        <v>0</v>
      </c>
      <c r="F101" s="504">
        <f>'BH Tariffs'!E44*'P&amp;L - Concept B1 - NCLH'!F63</f>
        <v>0</v>
      </c>
      <c r="G101" s="504">
        <f>'BH Tariffs'!F44*'P&amp;L - Concept B1 - NCLH'!G63*6</f>
        <v>6242.4000000000005</v>
      </c>
      <c r="H101" s="504">
        <f>'BH Tariffs'!G44*'P&amp;L - Concept B1 - NCLH'!H63*6</f>
        <v>6367.2479999999996</v>
      </c>
      <c r="I101" s="504">
        <f>'BH Tariffs'!H44*'P&amp;L - Concept B1 - NCLH'!I63*6</f>
        <v>6494.5929599999999</v>
      </c>
      <c r="J101" s="504">
        <f>'BH Tariffs'!I44*'P&amp;L - Concept B1 - NCLH'!J63*6</f>
        <v>6624.4848191999999</v>
      </c>
      <c r="K101" s="504">
        <f>'BH Tariffs'!J44*'P&amp;L - Concept B1 - NCLH'!K63*6</f>
        <v>6756.974515584001</v>
      </c>
      <c r="L101" s="504">
        <f>'BH Tariffs'!K44*'P&amp;L - Concept B1 - NCLH'!L63*6</f>
        <v>6892.1140058956807</v>
      </c>
      <c r="M101" s="504">
        <f>'BH Tariffs'!L44*'P&amp;L - Concept B1 - NCLH'!M63*6</f>
        <v>7029.9562860135939</v>
      </c>
      <c r="N101" s="504">
        <f>'BH Tariffs'!M44*'P&amp;L - Concept B1 - NCLH'!N63*6</f>
        <v>7170.555411733867</v>
      </c>
      <c r="O101" s="504">
        <f>'BH Tariffs'!N44*'P&amp;L - Concept B1 - NCLH'!O63*6</f>
        <v>7313.9665199685442</v>
      </c>
      <c r="P101" s="504">
        <f>'BH Tariffs'!O44*'P&amp;L - Concept B1 - NCLH'!P63*6</f>
        <v>7460.2458503679145</v>
      </c>
      <c r="Q101" s="504">
        <f>'BH Tariffs'!P44*'P&amp;L - Concept B1 - NCLH'!Q63*6</f>
        <v>7609.4507673752723</v>
      </c>
      <c r="R101" s="504">
        <f>'BH Tariffs'!Q44*'P&amp;L - Concept B1 - NCLH'!R63*6</f>
        <v>7761.6397827227775</v>
      </c>
      <c r="S101" s="504">
        <f>'BH Tariffs'!R44*'P&amp;L - Concept B1 - NCLH'!S63*6</f>
        <v>7916.8725783772334</v>
      </c>
      <c r="T101" s="504">
        <f>'BH Tariffs'!S44*'P&amp;L - Concept B1 - NCLH'!T63*6</f>
        <v>8075.2100299447793</v>
      </c>
      <c r="U101" s="504">
        <f>'BH Tariffs'!T44*'P&amp;L - Concept B1 - NCLH'!U63*6</f>
        <v>8236.7142305436755</v>
      </c>
      <c r="V101" s="504">
        <f>'BH Tariffs'!U44*'P&amp;L - Concept B1 - NCLH'!V63*6</f>
        <v>8401.4485151545487</v>
      </c>
      <c r="W101" s="504">
        <f>'BH Tariffs'!V44*'P&amp;L - Concept B1 - NCLH'!W63*6</f>
        <v>8569.4774854576408</v>
      </c>
      <c r="X101" s="504">
        <f>'BH Tariffs'!W44*'P&amp;L - Concept B1 - NCLH'!X63*6</f>
        <v>8740.8670351667934</v>
      </c>
    </row>
    <row r="102" spans="1:24" s="96" customFormat="1">
      <c r="A102" s="90" t="s">
        <v>541</v>
      </c>
      <c r="B102" s="606"/>
      <c r="C102" s="356"/>
      <c r="D102" s="502">
        <v>0</v>
      </c>
      <c r="E102" s="504">
        <v>0</v>
      </c>
      <c r="F102" s="504">
        <v>0</v>
      </c>
      <c r="G102" s="504">
        <f>G64*0.05</f>
        <v>10000</v>
      </c>
      <c r="H102" s="504">
        <f t="shared" ref="H102:X102" si="10">H64*0.05</f>
        <v>10000</v>
      </c>
      <c r="I102" s="504">
        <f t="shared" si="10"/>
        <v>10000</v>
      </c>
      <c r="J102" s="504">
        <f t="shared" si="10"/>
        <v>10000</v>
      </c>
      <c r="K102" s="504">
        <f t="shared" si="10"/>
        <v>10000</v>
      </c>
      <c r="L102" s="504">
        <f t="shared" si="10"/>
        <v>10000</v>
      </c>
      <c r="M102" s="504">
        <f t="shared" si="10"/>
        <v>10000</v>
      </c>
      <c r="N102" s="504">
        <f t="shared" si="10"/>
        <v>10000</v>
      </c>
      <c r="O102" s="504">
        <f t="shared" si="10"/>
        <v>10000</v>
      </c>
      <c r="P102" s="504">
        <f t="shared" si="10"/>
        <v>10000</v>
      </c>
      <c r="Q102" s="504">
        <f t="shared" si="10"/>
        <v>10000</v>
      </c>
      <c r="R102" s="504">
        <f t="shared" si="10"/>
        <v>10000</v>
      </c>
      <c r="S102" s="504">
        <f t="shared" si="10"/>
        <v>10000</v>
      </c>
      <c r="T102" s="504">
        <f t="shared" si="10"/>
        <v>10000</v>
      </c>
      <c r="U102" s="504">
        <f t="shared" si="10"/>
        <v>10000</v>
      </c>
      <c r="V102" s="504">
        <f t="shared" si="10"/>
        <v>10000</v>
      </c>
      <c r="W102" s="504">
        <f t="shared" si="10"/>
        <v>10000</v>
      </c>
      <c r="X102" s="504">
        <f t="shared" si="10"/>
        <v>10000</v>
      </c>
    </row>
    <row r="103" spans="1:24">
      <c r="A103" s="88" t="str">
        <f>'BH Tariffs'!A45</f>
        <v>Motorcoach Access/Tour Operator Licenses</v>
      </c>
      <c r="B103" s="30"/>
      <c r="C103" s="89"/>
      <c r="D103" s="502">
        <v>0</v>
      </c>
      <c r="E103" s="504">
        <v>0</v>
      </c>
      <c r="F103" s="504">
        <f>'BH Tariffs'!E45*'P&amp;L - Concept B1 - NCLH'!F66</f>
        <v>3060</v>
      </c>
      <c r="G103" s="504">
        <f>'BH Tariffs'!F45*'P&amp;L - Concept B1 - NCLH'!G66</f>
        <v>3121.2000000000003</v>
      </c>
      <c r="H103" s="504">
        <f>'BH Tariffs'!G45*'P&amp;L - Concept B1 - NCLH'!H66</f>
        <v>3183.6239999999998</v>
      </c>
      <c r="I103" s="504">
        <f>'BH Tariffs'!H45*'P&amp;L - Concept B1 - NCLH'!I66</f>
        <v>3247.29648</v>
      </c>
      <c r="J103" s="504">
        <f>'BH Tariffs'!I45*'P&amp;L - Concept B1 - NCLH'!J66</f>
        <v>3312.2424096</v>
      </c>
      <c r="K103" s="504">
        <f>'BH Tariffs'!J45*'P&amp;L - Concept B1 - NCLH'!K66</f>
        <v>3378.4872577920005</v>
      </c>
      <c r="L103" s="504">
        <f>'BH Tariffs'!K45*'P&amp;L - Concept B1 - NCLH'!L66</f>
        <v>3446.0570029478404</v>
      </c>
      <c r="M103" s="504">
        <f>'BH Tariffs'!L45*'P&amp;L - Concept B1 - NCLH'!M66</f>
        <v>3514.9781430067969</v>
      </c>
      <c r="N103" s="504">
        <f>'BH Tariffs'!M45*'P&amp;L - Concept B1 - NCLH'!N66</f>
        <v>3585.2777058669335</v>
      </c>
      <c r="O103" s="504">
        <f>'BH Tariffs'!N45*'P&amp;L - Concept B1 - NCLH'!O66</f>
        <v>3656.9832599842721</v>
      </c>
      <c r="P103" s="504">
        <f>'BH Tariffs'!O45*'P&amp;L - Concept B1 - NCLH'!P66</f>
        <v>3730.1229251839572</v>
      </c>
      <c r="Q103" s="504">
        <f>'BH Tariffs'!P45*'P&amp;L - Concept B1 - NCLH'!Q66</f>
        <v>3804.7253836876362</v>
      </c>
      <c r="R103" s="504">
        <f>'BH Tariffs'!Q45*'P&amp;L - Concept B1 - NCLH'!R66</f>
        <v>3880.8198913613887</v>
      </c>
      <c r="S103" s="504">
        <f>'BH Tariffs'!R45*'P&amp;L - Concept B1 - NCLH'!S66</f>
        <v>3958.4362891886167</v>
      </c>
      <c r="T103" s="504">
        <f>'BH Tariffs'!S45*'P&amp;L - Concept B1 - NCLH'!T66</f>
        <v>4037.6050149723897</v>
      </c>
      <c r="U103" s="504">
        <f>'BH Tariffs'!T45*'P&amp;L - Concept B1 - NCLH'!U66</f>
        <v>4118.3571152718378</v>
      </c>
      <c r="V103" s="504">
        <f>'BH Tariffs'!U45*'P&amp;L - Concept B1 - NCLH'!V66</f>
        <v>4200.7242575772743</v>
      </c>
      <c r="W103" s="504">
        <f>'BH Tariffs'!V45*'P&amp;L - Concept B1 - NCLH'!W66</f>
        <v>4284.7387427288204</v>
      </c>
      <c r="X103" s="504">
        <f>'BH Tariffs'!W45*'P&amp;L - Concept B1 - NCLH'!X66</f>
        <v>4370.4335175833967</v>
      </c>
    </row>
    <row r="104" spans="1:24">
      <c r="A104" s="299" t="s">
        <v>217</v>
      </c>
      <c r="B104" s="299"/>
      <c r="C104" s="299"/>
      <c r="D104" s="505">
        <v>0</v>
      </c>
      <c r="E104" s="506">
        <v>0</v>
      </c>
      <c r="F104" s="506">
        <f>'BH Tariffs'!E46*'P&amp;L - Concept B1 - NCLH'!F65</f>
        <v>500</v>
      </c>
      <c r="G104" s="506">
        <f>'BH Tariffs'!F46*'P&amp;L - Concept B1 - NCLH'!G65</f>
        <v>1000</v>
      </c>
      <c r="H104" s="506">
        <f>'BH Tariffs'!G46*'P&amp;L - Concept B1 - NCLH'!H65</f>
        <v>1000</v>
      </c>
      <c r="I104" s="506">
        <f>'BH Tariffs'!H46*'P&amp;L - Concept B1 - NCLH'!I65</f>
        <v>1000</v>
      </c>
      <c r="J104" s="506">
        <f>'BH Tariffs'!I46*'P&amp;L - Concept B1 - NCLH'!J65</f>
        <v>1650</v>
      </c>
      <c r="K104" s="506">
        <f>'BH Tariffs'!J46*'P&amp;L - Concept B1 - NCLH'!K65</f>
        <v>1650</v>
      </c>
      <c r="L104" s="506">
        <f>'BH Tariffs'!K46*'P&amp;L - Concept B1 - NCLH'!L65</f>
        <v>1650</v>
      </c>
      <c r="M104" s="506">
        <f>'BH Tariffs'!L46*'P&amp;L - Concept B1 - NCLH'!M65</f>
        <v>1650</v>
      </c>
      <c r="N104" s="506">
        <f>'BH Tariffs'!M46*'P&amp;L - Concept B1 - NCLH'!N65</f>
        <v>1650</v>
      </c>
      <c r="O104" s="506">
        <f>'BH Tariffs'!N46*'P&amp;L - Concept B1 - NCLH'!O65</f>
        <v>2400</v>
      </c>
      <c r="P104" s="506">
        <f>'BH Tariffs'!O46*'P&amp;L - Concept B1 - NCLH'!P65</f>
        <v>2400</v>
      </c>
      <c r="Q104" s="506">
        <f>'BH Tariffs'!P46*'P&amp;L - Concept B1 - NCLH'!Q65</f>
        <v>2400</v>
      </c>
      <c r="R104" s="506">
        <f>'BH Tariffs'!Q46*'P&amp;L - Concept B1 - NCLH'!R65</f>
        <v>2400</v>
      </c>
      <c r="S104" s="506">
        <f>'BH Tariffs'!R46*'P&amp;L - Concept B1 - NCLH'!S65</f>
        <v>2400</v>
      </c>
      <c r="T104" s="506">
        <f>'BH Tariffs'!S46*'P&amp;L - Concept B1 - NCLH'!T65</f>
        <v>3250</v>
      </c>
      <c r="U104" s="506">
        <f>'BH Tariffs'!T46*'P&amp;L - Concept B1 - NCLH'!U65</f>
        <v>3250</v>
      </c>
      <c r="V104" s="506">
        <f>'BH Tariffs'!U46*'P&amp;L - Concept B1 - NCLH'!V65</f>
        <v>3250</v>
      </c>
      <c r="W104" s="506">
        <f>'BH Tariffs'!V46*'P&amp;L - Concept B1 - NCLH'!W65</f>
        <v>3250</v>
      </c>
      <c r="X104" s="506">
        <f>'BH Tariffs'!W46*'P&amp;L - Concept B1 - NCLH'!X65</f>
        <v>3250</v>
      </c>
    </row>
    <row r="105" spans="1:24">
      <c r="A105" s="278" t="s">
        <v>145</v>
      </c>
      <c r="D105" s="507">
        <f>SUM(D71:D104)</f>
        <v>0</v>
      </c>
      <c r="E105" s="508">
        <f>SUM(E70:E104)</f>
        <v>0</v>
      </c>
      <c r="F105" s="508">
        <f t="shared" ref="F105:X105" si="11">SUM(F70:F104)</f>
        <v>902031.83599549043</v>
      </c>
      <c r="G105" s="508">
        <f t="shared" si="11"/>
        <v>936804.8727154003</v>
      </c>
      <c r="H105" s="508">
        <f t="shared" si="11"/>
        <v>955320.97016970813</v>
      </c>
      <c r="I105" s="508">
        <f t="shared" si="11"/>
        <v>974207.38957310235</v>
      </c>
      <c r="J105" s="508">
        <f t="shared" si="11"/>
        <v>1241591.5373645641</v>
      </c>
      <c r="K105" s="508">
        <f t="shared" si="11"/>
        <v>1261240.9681118557</v>
      </c>
      <c r="L105" s="508">
        <f t="shared" si="11"/>
        <v>1281283.3874740929</v>
      </c>
      <c r="M105" s="508">
        <f t="shared" si="11"/>
        <v>1301726.6552235747</v>
      </c>
      <c r="N105" s="508">
        <f t="shared" si="11"/>
        <v>1322578.7883280462</v>
      </c>
      <c r="O105" s="508">
        <f t="shared" si="11"/>
        <v>1406465.4640946074</v>
      </c>
      <c r="P105" s="508">
        <f t="shared" si="11"/>
        <v>1428160.0233764995</v>
      </c>
      <c r="Q105" s="508">
        <f t="shared" si="11"/>
        <v>1450288.4738440295</v>
      </c>
      <c r="R105" s="508">
        <f t="shared" si="11"/>
        <v>1472859.4933209098</v>
      </c>
      <c r="S105" s="508">
        <f t="shared" si="11"/>
        <v>1495881.9331873283</v>
      </c>
      <c r="T105" s="508">
        <f t="shared" si="11"/>
        <v>1582082.3218510747</v>
      </c>
      <c r="U105" s="508">
        <f t="shared" si="11"/>
        <v>1606034.8682880963</v>
      </c>
      <c r="V105" s="508">
        <f t="shared" si="11"/>
        <v>1630466.4656538581</v>
      </c>
      <c r="W105" s="508">
        <f t="shared" si="11"/>
        <v>1655386.6949669356</v>
      </c>
      <c r="X105" s="508">
        <f t="shared" si="11"/>
        <v>1680805.3288662743</v>
      </c>
    </row>
    <row r="106" spans="1:24">
      <c r="D106" s="507"/>
      <c r="E106" s="413"/>
      <c r="F106" s="413"/>
      <c r="G106" s="413"/>
      <c r="H106" s="413"/>
      <c r="I106" s="413"/>
      <c r="J106" s="413"/>
      <c r="K106" s="413"/>
      <c r="L106" s="413"/>
      <c r="M106" s="413"/>
      <c r="N106" s="413"/>
      <c r="O106" s="413"/>
      <c r="P106" s="413"/>
      <c r="Q106" s="413"/>
      <c r="R106" s="413"/>
      <c r="S106" s="413"/>
      <c r="T106" s="413"/>
      <c r="U106" s="413"/>
      <c r="V106" s="413"/>
      <c r="W106" s="413"/>
      <c r="X106" s="413"/>
    </row>
    <row r="107" spans="1:24">
      <c r="A107" s="271" t="s">
        <v>146</v>
      </c>
      <c r="B107" s="149"/>
      <c r="C107" s="149"/>
      <c r="D107" s="509"/>
      <c r="E107" s="510"/>
      <c r="F107" s="510"/>
      <c r="G107" s="510"/>
      <c r="H107" s="510"/>
      <c r="I107" s="510"/>
      <c r="J107" s="510"/>
      <c r="K107" s="510"/>
      <c r="L107" s="510"/>
      <c r="M107" s="510"/>
      <c r="N107" s="510"/>
      <c r="O107" s="510"/>
      <c r="P107" s="510"/>
      <c r="Q107" s="510"/>
      <c r="R107" s="510"/>
      <c r="S107" s="510"/>
      <c r="T107" s="510"/>
      <c r="U107" s="510"/>
      <c r="V107" s="510"/>
      <c r="W107" s="510"/>
      <c r="X107" s="510"/>
    </row>
    <row r="108" spans="1:24">
      <c r="D108" s="507"/>
      <c r="E108" s="413"/>
      <c r="F108" s="413"/>
      <c r="G108" s="413"/>
      <c r="H108" s="413"/>
      <c r="I108" s="413"/>
      <c r="J108" s="413"/>
      <c r="K108" s="413"/>
      <c r="L108" s="413"/>
      <c r="M108" s="413"/>
      <c r="N108" s="413"/>
      <c r="O108" s="413"/>
      <c r="P108" s="413"/>
      <c r="Q108" s="413"/>
      <c r="R108" s="413"/>
      <c r="S108" s="413"/>
      <c r="T108" s="413"/>
      <c r="U108" s="413"/>
      <c r="V108" s="413"/>
      <c r="W108" s="413"/>
      <c r="X108" s="413"/>
    </row>
    <row r="109" spans="1:24">
      <c r="A109" s="91" t="s">
        <v>380</v>
      </c>
      <c r="B109" s="89"/>
      <c r="C109" s="89"/>
      <c r="D109" s="502"/>
      <c r="E109" s="504"/>
      <c r="F109" s="504"/>
      <c r="G109" s="504"/>
      <c r="H109" s="504"/>
      <c r="I109" s="504"/>
      <c r="J109" s="504"/>
      <c r="K109" s="504"/>
      <c r="L109" s="504"/>
      <c r="M109" s="504"/>
      <c r="N109" s="504"/>
      <c r="O109" s="504"/>
      <c r="P109" s="504"/>
      <c r="Q109" s="504"/>
      <c r="R109" s="504"/>
      <c r="S109" s="504"/>
      <c r="T109" s="504"/>
      <c r="U109" s="504"/>
      <c r="V109" s="504"/>
      <c r="W109" s="504"/>
      <c r="X109" s="504"/>
    </row>
    <row r="110" spans="1:24">
      <c r="A110" s="88" t="s">
        <v>432</v>
      </c>
      <c r="B110" s="89"/>
      <c r="C110" s="89"/>
      <c r="D110" s="502">
        <v>0</v>
      </c>
      <c r="E110" s="504">
        <v>0</v>
      </c>
      <c r="F110" s="504">
        <v>0</v>
      </c>
      <c r="G110" s="504">
        <v>0</v>
      </c>
      <c r="H110" s="504">
        <v>0</v>
      </c>
      <c r="I110" s="504">
        <v>0</v>
      </c>
      <c r="J110" s="504">
        <v>0</v>
      </c>
      <c r="K110" s="504">
        <v>0</v>
      </c>
      <c r="L110" s="504">
        <v>0</v>
      </c>
      <c r="M110" s="504">
        <v>0</v>
      </c>
      <c r="N110" s="504">
        <v>0</v>
      </c>
      <c r="O110" s="504">
        <v>0</v>
      </c>
      <c r="P110" s="504">
        <v>0</v>
      </c>
      <c r="Q110" s="504">
        <v>0</v>
      </c>
      <c r="R110" s="504">
        <v>0</v>
      </c>
      <c r="S110" s="504">
        <v>0</v>
      </c>
      <c r="T110" s="504">
        <v>0</v>
      </c>
      <c r="U110" s="504">
        <v>0</v>
      </c>
      <c r="V110" s="504">
        <v>0</v>
      </c>
      <c r="W110" s="504">
        <v>0</v>
      </c>
      <c r="X110" s="504">
        <v>0</v>
      </c>
    </row>
    <row r="111" spans="1:24">
      <c r="A111" s="88" t="s">
        <v>433</v>
      </c>
      <c r="B111" s="89"/>
      <c r="C111" s="89"/>
      <c r="D111" s="502">
        <v>0</v>
      </c>
      <c r="E111" s="504">
        <v>0</v>
      </c>
      <c r="F111" s="504">
        <v>0</v>
      </c>
      <c r="G111" s="504">
        <v>0</v>
      </c>
      <c r="H111" s="504">
        <v>0</v>
      </c>
      <c r="I111" s="504">
        <v>0</v>
      </c>
      <c r="J111" s="504">
        <v>0</v>
      </c>
      <c r="K111" s="504">
        <v>0</v>
      </c>
      <c r="L111" s="504">
        <v>0</v>
      </c>
      <c r="M111" s="504">
        <v>0</v>
      </c>
      <c r="N111" s="504">
        <v>0</v>
      </c>
      <c r="O111" s="504">
        <v>0</v>
      </c>
      <c r="P111" s="504">
        <v>0</v>
      </c>
      <c r="Q111" s="504">
        <v>0</v>
      </c>
      <c r="R111" s="504">
        <v>0</v>
      </c>
      <c r="S111" s="504">
        <v>0</v>
      </c>
      <c r="T111" s="504">
        <v>0</v>
      </c>
      <c r="U111" s="504">
        <v>0</v>
      </c>
      <c r="V111" s="504">
        <v>0</v>
      </c>
      <c r="W111" s="504">
        <v>0</v>
      </c>
      <c r="X111" s="504">
        <v>0</v>
      </c>
    </row>
    <row r="112" spans="1:24">
      <c r="A112" s="88" t="s">
        <v>434</v>
      </c>
      <c r="B112" s="89"/>
      <c r="C112" s="89"/>
      <c r="D112" s="502">
        <v>0</v>
      </c>
      <c r="E112" s="504">
        <v>0</v>
      </c>
      <c r="F112" s="504">
        <v>0</v>
      </c>
      <c r="G112" s="504">
        <v>0</v>
      </c>
      <c r="H112" s="504">
        <v>0</v>
      </c>
      <c r="I112" s="504">
        <v>0</v>
      </c>
      <c r="J112" s="504">
        <v>0</v>
      </c>
      <c r="K112" s="504">
        <v>0</v>
      </c>
      <c r="L112" s="504">
        <v>0</v>
      </c>
      <c r="M112" s="504">
        <v>0</v>
      </c>
      <c r="N112" s="504">
        <v>0</v>
      </c>
      <c r="O112" s="504">
        <v>0</v>
      </c>
      <c r="P112" s="504">
        <v>0</v>
      </c>
      <c r="Q112" s="504">
        <v>0</v>
      </c>
      <c r="R112" s="504">
        <v>0</v>
      </c>
      <c r="S112" s="504">
        <v>0</v>
      </c>
      <c r="T112" s="504">
        <v>0</v>
      </c>
      <c r="U112" s="504">
        <v>0</v>
      </c>
      <c r="V112" s="504">
        <v>0</v>
      </c>
      <c r="W112" s="504">
        <v>0</v>
      </c>
      <c r="X112" s="504">
        <v>0</v>
      </c>
    </row>
    <row r="113" spans="1:25">
      <c r="A113" s="88" t="s">
        <v>229</v>
      </c>
      <c r="B113" s="30"/>
      <c r="C113" s="89"/>
      <c r="D113" s="502">
        <v>0</v>
      </c>
      <c r="E113" s="504">
        <v>0</v>
      </c>
      <c r="F113" s="504">
        <v>0</v>
      </c>
      <c r="G113" s="504">
        <v>0</v>
      </c>
      <c r="H113" s="504">
        <v>0</v>
      </c>
      <c r="I113" s="504">
        <v>0</v>
      </c>
      <c r="J113" s="504">
        <v>0</v>
      </c>
      <c r="K113" s="504">
        <v>0</v>
      </c>
      <c r="L113" s="504">
        <v>0</v>
      </c>
      <c r="M113" s="504">
        <v>0</v>
      </c>
      <c r="N113" s="504">
        <v>0</v>
      </c>
      <c r="O113" s="504">
        <v>0</v>
      </c>
      <c r="P113" s="504">
        <v>0</v>
      </c>
      <c r="Q113" s="504">
        <v>0</v>
      </c>
      <c r="R113" s="504">
        <v>0</v>
      </c>
      <c r="S113" s="504">
        <v>0</v>
      </c>
      <c r="T113" s="504">
        <v>0</v>
      </c>
      <c r="U113" s="504">
        <v>0</v>
      </c>
      <c r="V113" s="504">
        <v>0</v>
      </c>
      <c r="W113" s="504">
        <v>0</v>
      </c>
      <c r="X113" s="504">
        <v>0</v>
      </c>
    </row>
    <row r="114" spans="1:25" s="32" customFormat="1">
      <c r="A114" s="299" t="s">
        <v>297</v>
      </c>
      <c r="B114" s="299"/>
      <c r="C114" s="299"/>
      <c r="D114" s="505">
        <v>0</v>
      </c>
      <c r="E114" s="506">
        <v>0</v>
      </c>
      <c r="F114" s="506">
        <v>0</v>
      </c>
      <c r="G114" s="506">
        <f t="shared" ref="G114:X114" si="12">G53</f>
        <v>100000</v>
      </c>
      <c r="H114" s="506">
        <f t="shared" si="12"/>
        <v>100000</v>
      </c>
      <c r="I114" s="506">
        <f t="shared" si="12"/>
        <v>100000</v>
      </c>
      <c r="J114" s="506">
        <f t="shared" si="12"/>
        <v>100000</v>
      </c>
      <c r="K114" s="506">
        <f t="shared" si="12"/>
        <v>100000</v>
      </c>
      <c r="L114" s="506">
        <f t="shared" si="12"/>
        <v>100000</v>
      </c>
      <c r="M114" s="506">
        <f t="shared" si="12"/>
        <v>100000</v>
      </c>
      <c r="N114" s="506">
        <f t="shared" si="12"/>
        <v>100000</v>
      </c>
      <c r="O114" s="506">
        <f t="shared" si="12"/>
        <v>100000</v>
      </c>
      <c r="P114" s="506">
        <f t="shared" si="12"/>
        <v>100000</v>
      </c>
      <c r="Q114" s="506">
        <f t="shared" si="12"/>
        <v>100000</v>
      </c>
      <c r="R114" s="506">
        <f t="shared" si="12"/>
        <v>100000</v>
      </c>
      <c r="S114" s="506">
        <f t="shared" si="12"/>
        <v>100000</v>
      </c>
      <c r="T114" s="506">
        <f t="shared" si="12"/>
        <v>100000</v>
      </c>
      <c r="U114" s="506">
        <f t="shared" si="12"/>
        <v>100000</v>
      </c>
      <c r="V114" s="506">
        <f t="shared" si="12"/>
        <v>100000</v>
      </c>
      <c r="W114" s="506">
        <f t="shared" si="12"/>
        <v>100000</v>
      </c>
      <c r="X114" s="506">
        <f t="shared" si="12"/>
        <v>100000</v>
      </c>
    </row>
    <row r="115" spans="1:25">
      <c r="A115" s="278" t="s">
        <v>147</v>
      </c>
      <c r="D115" s="507">
        <f>SUM(D113:D114)</f>
        <v>0</v>
      </c>
      <c r="E115" s="508">
        <f>SUM(E110:E114)</f>
        <v>0</v>
      </c>
      <c r="F115" s="508">
        <f t="shared" ref="F115:X115" si="13">SUM(F110:F114)</f>
        <v>0</v>
      </c>
      <c r="G115" s="508">
        <f t="shared" si="13"/>
        <v>100000</v>
      </c>
      <c r="H115" s="508">
        <f t="shared" si="13"/>
        <v>100000</v>
      </c>
      <c r="I115" s="508">
        <f t="shared" si="13"/>
        <v>100000</v>
      </c>
      <c r="J115" s="508">
        <f t="shared" si="13"/>
        <v>100000</v>
      </c>
      <c r="K115" s="508">
        <f t="shared" si="13"/>
        <v>100000</v>
      </c>
      <c r="L115" s="508">
        <f t="shared" si="13"/>
        <v>100000</v>
      </c>
      <c r="M115" s="508">
        <f t="shared" si="13"/>
        <v>100000</v>
      </c>
      <c r="N115" s="508">
        <f t="shared" si="13"/>
        <v>100000</v>
      </c>
      <c r="O115" s="508">
        <f t="shared" si="13"/>
        <v>100000</v>
      </c>
      <c r="P115" s="508">
        <f t="shared" si="13"/>
        <v>100000</v>
      </c>
      <c r="Q115" s="508">
        <f t="shared" si="13"/>
        <v>100000</v>
      </c>
      <c r="R115" s="508">
        <f t="shared" si="13"/>
        <v>100000</v>
      </c>
      <c r="S115" s="508">
        <f t="shared" si="13"/>
        <v>100000</v>
      </c>
      <c r="T115" s="508">
        <f t="shared" si="13"/>
        <v>100000</v>
      </c>
      <c r="U115" s="508">
        <f t="shared" si="13"/>
        <v>100000</v>
      </c>
      <c r="V115" s="508">
        <f t="shared" si="13"/>
        <v>100000</v>
      </c>
      <c r="W115" s="508">
        <f t="shared" si="13"/>
        <v>100000</v>
      </c>
      <c r="X115" s="508">
        <f t="shared" si="13"/>
        <v>100000</v>
      </c>
    </row>
    <row r="116" spans="1:25">
      <c r="D116" s="507"/>
      <c r="E116" s="413"/>
      <c r="F116" s="413"/>
      <c r="G116" s="413"/>
      <c r="H116" s="413"/>
      <c r="I116" s="413"/>
      <c r="J116" s="413"/>
      <c r="K116" s="413"/>
      <c r="L116" s="413"/>
      <c r="M116" s="413"/>
      <c r="N116" s="413"/>
      <c r="O116" s="413"/>
      <c r="P116" s="413"/>
      <c r="Q116" s="413"/>
      <c r="R116" s="413"/>
      <c r="S116" s="413"/>
      <c r="T116" s="413"/>
      <c r="U116" s="413"/>
      <c r="V116" s="413"/>
      <c r="W116" s="413"/>
      <c r="X116" s="413"/>
    </row>
    <row r="117" spans="1:25">
      <c r="A117" s="88" t="s">
        <v>608</v>
      </c>
      <c r="D117" s="507">
        <f t="shared" ref="D117" si="14">SUM(D115:D116)</f>
        <v>0</v>
      </c>
      <c r="E117" s="413">
        <v>58025</v>
      </c>
      <c r="F117" s="413">
        <v>0</v>
      </c>
      <c r="G117" s="413">
        <v>0</v>
      </c>
      <c r="H117" s="413">
        <v>0</v>
      </c>
      <c r="I117" s="413">
        <v>0</v>
      </c>
      <c r="J117" s="413">
        <v>0</v>
      </c>
      <c r="K117" s="413">
        <v>0</v>
      </c>
      <c r="L117" s="413">
        <v>0</v>
      </c>
      <c r="M117" s="413">
        <v>0</v>
      </c>
      <c r="N117" s="413">
        <v>0</v>
      </c>
      <c r="O117" s="413">
        <v>0</v>
      </c>
      <c r="P117" s="413">
        <v>0</v>
      </c>
      <c r="Q117" s="413">
        <v>0</v>
      </c>
      <c r="R117" s="413">
        <v>0</v>
      </c>
      <c r="S117" s="413">
        <v>0</v>
      </c>
      <c r="T117" s="413">
        <v>0</v>
      </c>
      <c r="U117" s="413">
        <v>0</v>
      </c>
      <c r="V117" s="413">
        <v>0</v>
      </c>
      <c r="W117" s="413">
        <v>0</v>
      </c>
      <c r="X117" s="413">
        <v>0</v>
      </c>
    </row>
    <row r="118" spans="1:25">
      <c r="D118" s="507"/>
      <c r="E118" s="413"/>
      <c r="F118" s="413"/>
      <c r="G118" s="413"/>
      <c r="H118" s="413"/>
      <c r="I118" s="413"/>
      <c r="J118" s="413"/>
      <c r="K118" s="413"/>
      <c r="L118" s="413"/>
      <c r="M118" s="413"/>
      <c r="N118" s="413"/>
      <c r="O118" s="413"/>
      <c r="P118" s="413"/>
      <c r="Q118" s="413"/>
      <c r="R118" s="413"/>
      <c r="S118" s="413"/>
      <c r="T118" s="413"/>
      <c r="U118" s="413"/>
      <c r="V118" s="413"/>
      <c r="W118" s="413"/>
      <c r="X118" s="413"/>
    </row>
    <row r="119" spans="1:25" s="16" customFormat="1" ht="14.25">
      <c r="A119" s="295" t="s">
        <v>148</v>
      </c>
      <c r="B119" s="295"/>
      <c r="C119" s="295"/>
      <c r="D119" s="511">
        <f>SUM(D105,D115)</f>
        <v>0</v>
      </c>
      <c r="E119" s="511">
        <f>SUM(E105,E115,E117)</f>
        <v>58025</v>
      </c>
      <c r="F119" s="511">
        <f t="shared" ref="F119:X119" si="15">SUM(F105,F115,F117)</f>
        <v>902031.83599549043</v>
      </c>
      <c r="G119" s="511">
        <f t="shared" si="15"/>
        <v>1036804.8727154003</v>
      </c>
      <c r="H119" s="511">
        <f t="shared" si="15"/>
        <v>1055320.9701697081</v>
      </c>
      <c r="I119" s="511">
        <f t="shared" si="15"/>
        <v>1074207.3895731024</v>
      </c>
      <c r="J119" s="511">
        <f t="shared" si="15"/>
        <v>1341591.5373645641</v>
      </c>
      <c r="K119" s="511">
        <f t="shared" si="15"/>
        <v>1361240.9681118557</v>
      </c>
      <c r="L119" s="511">
        <f t="shared" si="15"/>
        <v>1381283.3874740929</v>
      </c>
      <c r="M119" s="511">
        <f t="shared" si="15"/>
        <v>1401726.6552235747</v>
      </c>
      <c r="N119" s="511">
        <f t="shared" si="15"/>
        <v>1422578.7883280462</v>
      </c>
      <c r="O119" s="511">
        <f t="shared" si="15"/>
        <v>1506465.4640946074</v>
      </c>
      <c r="P119" s="511">
        <f t="shared" si="15"/>
        <v>1528160.0233764995</v>
      </c>
      <c r="Q119" s="511">
        <f t="shared" si="15"/>
        <v>1550288.4738440295</v>
      </c>
      <c r="R119" s="511">
        <f t="shared" si="15"/>
        <v>1572859.4933209098</v>
      </c>
      <c r="S119" s="511">
        <f t="shared" si="15"/>
        <v>1595881.9331873283</v>
      </c>
      <c r="T119" s="511">
        <f t="shared" si="15"/>
        <v>1682082.3218510747</v>
      </c>
      <c r="U119" s="511">
        <f t="shared" si="15"/>
        <v>1706034.8682880963</v>
      </c>
      <c r="V119" s="511">
        <f t="shared" si="15"/>
        <v>1730466.4656538581</v>
      </c>
      <c r="W119" s="511">
        <f t="shared" si="15"/>
        <v>1755386.6949669356</v>
      </c>
      <c r="X119" s="511">
        <f t="shared" si="15"/>
        <v>1780805.3288662743</v>
      </c>
      <c r="Y119" s="622">
        <f>SUM(D119:X119)</f>
        <v>27443242.472405445</v>
      </c>
    </row>
    <row r="120" spans="1:25">
      <c r="A120" s="30"/>
      <c r="B120" s="30"/>
      <c r="C120" s="30"/>
      <c r="D120" s="502"/>
      <c r="E120" s="512"/>
      <c r="F120" s="512"/>
      <c r="G120" s="512"/>
      <c r="H120" s="512"/>
      <c r="I120" s="512"/>
      <c r="J120" s="512"/>
      <c r="K120" s="512"/>
      <c r="L120" s="512"/>
      <c r="M120" s="512"/>
      <c r="N120" s="512"/>
      <c r="O120" s="512"/>
      <c r="P120" s="512"/>
      <c r="Q120" s="512"/>
      <c r="R120" s="512"/>
      <c r="S120" s="512"/>
      <c r="T120" s="512"/>
      <c r="U120" s="512"/>
      <c r="V120" s="512"/>
      <c r="W120" s="512"/>
      <c r="X120" s="512"/>
    </row>
    <row r="121" spans="1:25" s="33" customFormat="1">
      <c r="A121" s="47" t="s">
        <v>7</v>
      </c>
      <c r="B121" s="47" t="s">
        <v>7</v>
      </c>
      <c r="C121" s="78" t="s">
        <v>7</v>
      </c>
      <c r="D121" s="604" t="s">
        <v>7</v>
      </c>
      <c r="E121" s="78" t="s">
        <v>7</v>
      </c>
      <c r="F121" s="78" t="s">
        <v>7</v>
      </c>
      <c r="G121" s="78" t="s">
        <v>7</v>
      </c>
      <c r="H121" s="78" t="s">
        <v>7</v>
      </c>
      <c r="I121" s="78" t="s">
        <v>7</v>
      </c>
      <c r="J121" s="78" t="s">
        <v>7</v>
      </c>
      <c r="K121" s="78" t="s">
        <v>7</v>
      </c>
      <c r="L121" s="78" t="s">
        <v>7</v>
      </c>
      <c r="M121" s="78" t="s">
        <v>7</v>
      </c>
      <c r="N121" s="78" t="s">
        <v>7</v>
      </c>
      <c r="O121" s="78" t="s">
        <v>7</v>
      </c>
      <c r="P121" s="78" t="s">
        <v>7</v>
      </c>
      <c r="Q121" s="78" t="s">
        <v>7</v>
      </c>
      <c r="R121" s="78" t="s">
        <v>7</v>
      </c>
      <c r="S121" s="78" t="s">
        <v>7</v>
      </c>
      <c r="T121" s="78" t="s">
        <v>7</v>
      </c>
      <c r="U121" s="78" t="s">
        <v>7</v>
      </c>
      <c r="V121" s="78" t="s">
        <v>7</v>
      </c>
      <c r="W121" s="78" t="s">
        <v>7</v>
      </c>
      <c r="X121" s="78" t="s">
        <v>7</v>
      </c>
    </row>
    <row r="122" spans="1:25">
      <c r="A122" s="30"/>
      <c r="B122" s="30"/>
      <c r="C122" s="30"/>
      <c r="D122" s="502"/>
      <c r="E122" s="512"/>
      <c r="F122" s="512"/>
      <c r="G122" s="512"/>
      <c r="H122" s="512"/>
      <c r="I122" s="512"/>
      <c r="J122" s="512"/>
      <c r="K122" s="512"/>
      <c r="L122" s="512"/>
      <c r="M122" s="512"/>
      <c r="N122" s="512"/>
      <c r="O122" s="512"/>
      <c r="P122" s="512"/>
      <c r="Q122" s="512"/>
      <c r="R122" s="512"/>
      <c r="S122" s="512"/>
      <c r="T122" s="512"/>
      <c r="U122" s="512"/>
      <c r="V122" s="512"/>
      <c r="W122" s="512"/>
      <c r="X122" s="512"/>
    </row>
    <row r="123" spans="1:25">
      <c r="A123" s="269" t="s">
        <v>131</v>
      </c>
      <c r="B123" s="269"/>
      <c r="C123" s="270"/>
      <c r="D123" s="513"/>
      <c r="E123" s="513"/>
      <c r="F123" s="513"/>
      <c r="G123" s="513"/>
      <c r="H123" s="513"/>
      <c r="I123" s="513"/>
      <c r="J123" s="513"/>
      <c r="K123" s="513"/>
      <c r="L123" s="513"/>
      <c r="M123" s="513"/>
      <c r="N123" s="513"/>
      <c r="O123" s="513"/>
      <c r="P123" s="513"/>
      <c r="Q123" s="513"/>
      <c r="R123" s="513"/>
      <c r="S123" s="513"/>
      <c r="T123" s="513"/>
      <c r="U123" s="513"/>
      <c r="V123" s="513"/>
      <c r="W123" s="513"/>
      <c r="X123" s="513"/>
    </row>
    <row r="124" spans="1:25">
      <c r="A124" s="69"/>
      <c r="B124" s="69"/>
      <c r="C124" s="69"/>
      <c r="D124" s="502"/>
      <c r="E124" s="504"/>
      <c r="F124" s="504"/>
      <c r="G124" s="504"/>
      <c r="H124" s="504"/>
      <c r="I124" s="504"/>
      <c r="J124" s="504"/>
      <c r="K124" s="504"/>
      <c r="L124" s="504"/>
      <c r="M124" s="504"/>
      <c r="N124" s="504"/>
      <c r="O124" s="504"/>
      <c r="P124" s="504"/>
      <c r="Q124" s="504"/>
      <c r="R124" s="504"/>
      <c r="S124" s="504"/>
      <c r="T124" s="504"/>
      <c r="U124" s="504"/>
      <c r="V124" s="504"/>
      <c r="W124" s="504"/>
      <c r="X124" s="504"/>
    </row>
    <row r="125" spans="1:25" s="96" customFormat="1">
      <c r="A125" s="69" t="s">
        <v>13</v>
      </c>
      <c r="B125" s="69"/>
      <c r="C125" s="69"/>
      <c r="D125" s="514">
        <v>0</v>
      </c>
      <c r="E125" s="515">
        <f>'OPEX - Concept B1 - NCLH'!L78</f>
        <v>12250</v>
      </c>
      <c r="F125" s="515">
        <f>'OPEX - Concept B1 - NCLH'!M78</f>
        <v>129500</v>
      </c>
      <c r="G125" s="515">
        <f>'OPEX - Concept B1 - NCLH'!N78</f>
        <v>132090</v>
      </c>
      <c r="H125" s="515">
        <f>'OPEX - Concept B1 - NCLH'!O78</f>
        <v>134731.79999999999</v>
      </c>
      <c r="I125" s="515">
        <f>'OPEX - Concept B1 - NCLH'!P78</f>
        <v>137426.43599999999</v>
      </c>
      <c r="J125" s="515">
        <f>'OPEX - Concept B1 - NCLH'!Q78</f>
        <v>140174.96471999999</v>
      </c>
      <c r="K125" s="515">
        <f>'OPEX - Concept B1 - NCLH'!R78</f>
        <v>142978.4640144</v>
      </c>
      <c r="L125" s="515">
        <f>'OPEX - Concept B1 - NCLH'!S78</f>
        <v>145838.03329468801</v>
      </c>
      <c r="M125" s="515">
        <f>'OPEX - Concept B1 - NCLH'!T78</f>
        <v>148754.79396058177</v>
      </c>
      <c r="N125" s="515">
        <f>'OPEX - Concept B1 - NCLH'!U78</f>
        <v>151729.88983979341</v>
      </c>
      <c r="O125" s="515">
        <f>'OPEX - Concept B1 - NCLH'!V78</f>
        <v>154764.48763658927</v>
      </c>
      <c r="P125" s="515">
        <f>'OPEX - Concept B1 - NCLH'!W78</f>
        <v>157859.77738932107</v>
      </c>
      <c r="Q125" s="515">
        <f>'OPEX - Concept B1 - NCLH'!X78</f>
        <v>161016.97293710749</v>
      </c>
      <c r="R125" s="515">
        <f>'OPEX - Concept B1 - NCLH'!Y78</f>
        <v>164237.31239584964</v>
      </c>
      <c r="S125" s="515">
        <f>'OPEX - Concept B1 - NCLH'!Z78</f>
        <v>167522.05864376662</v>
      </c>
      <c r="T125" s="515">
        <f>'OPEX - Concept B1 - NCLH'!AA78</f>
        <v>170872.49981664197</v>
      </c>
      <c r="U125" s="515">
        <f>'OPEX - Concept B1 - NCLH'!AB78</f>
        <v>174289.94981297481</v>
      </c>
      <c r="V125" s="515">
        <f>'OPEX - Concept B1 - NCLH'!AC78</f>
        <v>177775.7488092343</v>
      </c>
      <c r="W125" s="515">
        <f>'OPEX - Concept B1 - NCLH'!AD78</f>
        <v>181331.26378541903</v>
      </c>
      <c r="X125" s="515">
        <f>'OPEX - Concept B1 - NCLH'!AE78</f>
        <v>184957.88906112738</v>
      </c>
    </row>
    <row r="126" spans="1:25" s="96" customFormat="1">
      <c r="A126" s="69" t="s">
        <v>41</v>
      </c>
      <c r="B126" s="69"/>
      <c r="C126" s="69"/>
      <c r="D126" s="514">
        <v>0</v>
      </c>
      <c r="E126" s="515">
        <f>'OPEX - Concept B1 - NCLH'!L86</f>
        <v>25000</v>
      </c>
      <c r="F126" s="515">
        <f>'OPEX - Concept B1 - NCLH'!M86</f>
        <v>1000</v>
      </c>
      <c r="G126" s="515">
        <f>'OPEX - Concept B1 - NCLH'!N86</f>
        <v>1020</v>
      </c>
      <c r="H126" s="515">
        <f>'OPEX - Concept B1 - NCLH'!O86</f>
        <v>1040.4000000000001</v>
      </c>
      <c r="I126" s="515">
        <f>'OPEX - Concept B1 - NCLH'!P86</f>
        <v>1061.2079999999999</v>
      </c>
      <c r="J126" s="515">
        <f>'OPEX - Concept B1 - NCLH'!Q86</f>
        <v>1082.4321600000001</v>
      </c>
      <c r="K126" s="515">
        <f>'OPEX - Concept B1 - NCLH'!R86</f>
        <v>1104.0808032</v>
      </c>
      <c r="L126" s="515">
        <f>'OPEX - Concept B1 - NCLH'!S86</f>
        <v>1126.1624192640002</v>
      </c>
      <c r="M126" s="515">
        <f>'OPEX - Concept B1 - NCLH'!T86</f>
        <v>1148.68566764928</v>
      </c>
      <c r="N126" s="515">
        <f>'OPEX - Concept B1 - NCLH'!U86</f>
        <v>1171.6593810022657</v>
      </c>
      <c r="O126" s="515">
        <f>'OPEX - Concept B1 - NCLH'!V86</f>
        <v>25000</v>
      </c>
      <c r="P126" s="515">
        <f>'OPEX - Concept B1 - NCLH'!W86</f>
        <v>1218.9944199947574</v>
      </c>
      <c r="Q126" s="515">
        <f>'OPEX - Concept B1 - NCLH'!X86</f>
        <v>1243.3743083946524</v>
      </c>
      <c r="R126" s="515">
        <f>'OPEX - Concept B1 - NCLH'!Y86</f>
        <v>1268.2417945625455</v>
      </c>
      <c r="S126" s="515">
        <f>'OPEX - Concept B1 - NCLH'!Z86</f>
        <v>1293.6066304537962</v>
      </c>
      <c r="T126" s="515">
        <f>'OPEX - Concept B1 - NCLH'!AA86</f>
        <v>1319.4787630628723</v>
      </c>
      <c r="U126" s="515">
        <f>'OPEX - Concept B1 - NCLH'!AB86</f>
        <v>1345.8683383241298</v>
      </c>
      <c r="V126" s="515">
        <f>'OPEX - Concept B1 - NCLH'!AC86</f>
        <v>1372.7857050906125</v>
      </c>
      <c r="W126" s="515">
        <f>'OPEX - Concept B1 - NCLH'!AD86</f>
        <v>1400.2414191924249</v>
      </c>
      <c r="X126" s="515">
        <f>'OPEX - Concept B1 - NCLH'!AE86</f>
        <v>1428.2462475762734</v>
      </c>
    </row>
    <row r="127" spans="1:25" s="96" customFormat="1">
      <c r="A127" s="69" t="s">
        <v>424</v>
      </c>
      <c r="B127" s="69"/>
      <c r="C127" s="69"/>
      <c r="D127" s="514">
        <v>0</v>
      </c>
      <c r="E127" s="515">
        <f>'OPEX - Concept B1 - NCLH'!L87</f>
        <v>10000</v>
      </c>
      <c r="F127" s="515">
        <f>'OPEX - Concept B1 - NCLH'!M87</f>
        <v>500</v>
      </c>
      <c r="G127" s="515">
        <f>'OPEX - Concept B1 - NCLH'!N87</f>
        <v>520.20000000000005</v>
      </c>
      <c r="H127" s="515">
        <f>'OPEX - Concept B1 - NCLH'!O87</f>
        <v>530.60399999999993</v>
      </c>
      <c r="I127" s="515">
        <f>'OPEX - Concept B1 - NCLH'!P87</f>
        <v>541.21608000000003</v>
      </c>
      <c r="J127" s="515">
        <f>'OPEX - Concept B1 - NCLH'!Q87</f>
        <v>5000</v>
      </c>
      <c r="K127" s="515">
        <f>'OPEX - Concept B1 - NCLH'!R87</f>
        <v>563.08120963200008</v>
      </c>
      <c r="L127" s="515">
        <f>'OPEX - Concept B1 - NCLH'!S87</f>
        <v>574.34283382464002</v>
      </c>
      <c r="M127" s="515">
        <f>'OPEX - Concept B1 - NCLH'!T87</f>
        <v>585.82969050113286</v>
      </c>
      <c r="N127" s="515">
        <f>'OPEX - Concept B1 - NCLH'!U87</f>
        <v>597.54628431115555</v>
      </c>
      <c r="O127" s="515">
        <f>'OPEX - Concept B1 - NCLH'!V87</f>
        <v>5000</v>
      </c>
      <c r="P127" s="515">
        <f>'OPEX - Concept B1 - NCLH'!W87</f>
        <v>621.68715419732621</v>
      </c>
      <c r="Q127" s="515">
        <f>'OPEX - Concept B1 - NCLH'!X87</f>
        <v>634.12089728127273</v>
      </c>
      <c r="R127" s="515">
        <f>'OPEX - Concept B1 - NCLH'!Y87</f>
        <v>646.80331522689812</v>
      </c>
      <c r="S127" s="515">
        <f>'OPEX - Concept B1 - NCLH'!Z87</f>
        <v>659.73938153143615</v>
      </c>
      <c r="T127" s="515">
        <f>'OPEX - Concept B1 - NCLH'!AA87</f>
        <v>5000</v>
      </c>
      <c r="U127" s="515">
        <f>'OPEX - Concept B1 - NCLH'!AB87</f>
        <v>686.39285254530625</v>
      </c>
      <c r="V127" s="515">
        <f>'OPEX - Concept B1 - NCLH'!AC87</f>
        <v>700.12070959621246</v>
      </c>
      <c r="W127" s="515">
        <f>'OPEX - Concept B1 - NCLH'!AD87</f>
        <v>714.1231237881367</v>
      </c>
      <c r="X127" s="515">
        <f>'OPEX - Concept B1 - NCLH'!AE87</f>
        <v>728.40558626389941</v>
      </c>
    </row>
    <row r="128" spans="1:25" s="96" customFormat="1">
      <c r="A128" s="69" t="s">
        <v>42</v>
      </c>
      <c r="B128" s="69"/>
      <c r="C128" s="69"/>
      <c r="D128" s="514">
        <v>0</v>
      </c>
      <c r="E128" s="515">
        <f>'OPEX - Concept B1 - NCLH'!L88</f>
        <v>50000</v>
      </c>
      <c r="F128" s="515">
        <f>'OPEX - Concept B1 - NCLH'!M88</f>
        <v>51000</v>
      </c>
      <c r="G128" s="515">
        <f>'OPEX - Concept B1 - NCLH'!N88</f>
        <v>52020</v>
      </c>
      <c r="H128" s="515">
        <f>'OPEX - Concept B1 - NCLH'!O88</f>
        <v>53060.399999999994</v>
      </c>
      <c r="I128" s="515">
        <f>'OPEX - Concept B1 - NCLH'!P88</f>
        <v>54121.608</v>
      </c>
      <c r="J128" s="515">
        <f>'OPEX - Concept B1 - NCLH'!Q88</f>
        <v>55204.040160000004</v>
      </c>
      <c r="K128" s="515">
        <f>'OPEX - Concept B1 - NCLH'!R88</f>
        <v>56308.120963200003</v>
      </c>
      <c r="L128" s="515">
        <f>'OPEX - Concept B1 - NCLH'!S88</f>
        <v>57434.283382464004</v>
      </c>
      <c r="M128" s="515">
        <f>'OPEX - Concept B1 - NCLH'!T88</f>
        <v>58582.969050113286</v>
      </c>
      <c r="N128" s="515">
        <f>'OPEX - Concept B1 - NCLH'!U88</f>
        <v>59754.628431115554</v>
      </c>
      <c r="O128" s="515">
        <f>'OPEX - Concept B1 - NCLH'!V88</f>
        <v>60949.720999737867</v>
      </c>
      <c r="P128" s="515">
        <f>'OPEX - Concept B1 - NCLH'!W88</f>
        <v>62168.715419732624</v>
      </c>
      <c r="Q128" s="515">
        <f>'OPEX - Concept B1 - NCLH'!X88</f>
        <v>63412.089728127277</v>
      </c>
      <c r="R128" s="515">
        <f>'OPEX - Concept B1 - NCLH'!Y88</f>
        <v>64680.331522689812</v>
      </c>
      <c r="S128" s="515">
        <f>'OPEX - Concept B1 - NCLH'!Z88</f>
        <v>65973.938153143623</v>
      </c>
      <c r="T128" s="515">
        <f>'OPEX - Concept B1 - NCLH'!AA88</f>
        <v>67293.416916206494</v>
      </c>
      <c r="U128" s="515">
        <f>'OPEX - Concept B1 - NCLH'!AB88</f>
        <v>68639.285254530623</v>
      </c>
      <c r="V128" s="515">
        <f>'OPEX - Concept B1 - NCLH'!AC88</f>
        <v>70012.07095962124</v>
      </c>
      <c r="W128" s="515">
        <f>'OPEX - Concept B1 - NCLH'!AD88</f>
        <v>71412.312378813673</v>
      </c>
      <c r="X128" s="515">
        <f>'OPEX - Concept B1 - NCLH'!AE88</f>
        <v>72840.558626389946</v>
      </c>
    </row>
    <row r="129" spans="1:24" s="96" customFormat="1">
      <c r="A129" s="69" t="s">
        <v>43</v>
      </c>
      <c r="B129" s="69"/>
      <c r="C129" s="69"/>
      <c r="D129" s="514">
        <v>0</v>
      </c>
      <c r="E129" s="515">
        <f>'OPEX - Concept B1 - NCLH'!L89</f>
        <v>500</v>
      </c>
      <c r="F129" s="515">
        <f>'OPEX - Concept B1 - NCLH'!M89</f>
        <v>1020</v>
      </c>
      <c r="G129" s="515">
        <f>'OPEX - Concept B1 - NCLH'!N89</f>
        <v>1040.4000000000001</v>
      </c>
      <c r="H129" s="515">
        <f>'OPEX - Concept B1 - NCLH'!O89</f>
        <v>1061.2079999999999</v>
      </c>
      <c r="I129" s="515">
        <f>'OPEX - Concept B1 - NCLH'!P89</f>
        <v>1082.4321600000001</v>
      </c>
      <c r="J129" s="515">
        <f>'OPEX - Concept B1 - NCLH'!Q89</f>
        <v>1104.0808032</v>
      </c>
      <c r="K129" s="515">
        <f>'OPEX - Concept B1 - NCLH'!R89</f>
        <v>1126.1624192640002</v>
      </c>
      <c r="L129" s="515">
        <f>'OPEX - Concept B1 - NCLH'!S89</f>
        <v>1148.68566764928</v>
      </c>
      <c r="M129" s="515">
        <f>'OPEX - Concept B1 - NCLH'!T89</f>
        <v>1171.6593810022657</v>
      </c>
      <c r="N129" s="515">
        <f>'OPEX - Concept B1 - NCLH'!U89</f>
        <v>1195.0925686223111</v>
      </c>
      <c r="O129" s="515">
        <f>'OPEX - Concept B1 - NCLH'!V89</f>
        <v>1218.9944199947574</v>
      </c>
      <c r="P129" s="515">
        <f>'OPEX - Concept B1 - NCLH'!W89</f>
        <v>1243.3743083946524</v>
      </c>
      <c r="Q129" s="515">
        <f>'OPEX - Concept B1 - NCLH'!X89</f>
        <v>1268.2417945625455</v>
      </c>
      <c r="R129" s="515">
        <f>'OPEX - Concept B1 - NCLH'!Y89</f>
        <v>1293.6066304537962</v>
      </c>
      <c r="S129" s="515">
        <f>'OPEX - Concept B1 - NCLH'!Z89</f>
        <v>1319.4787630628723</v>
      </c>
      <c r="T129" s="515">
        <f>'OPEX - Concept B1 - NCLH'!AA89</f>
        <v>1345.8683383241298</v>
      </c>
      <c r="U129" s="515">
        <f>'OPEX - Concept B1 - NCLH'!AB89</f>
        <v>1372.7857050906125</v>
      </c>
      <c r="V129" s="515">
        <f>'OPEX - Concept B1 - NCLH'!AC89</f>
        <v>1400.2414191924249</v>
      </c>
      <c r="W129" s="515">
        <f>'OPEX - Concept B1 - NCLH'!AD89</f>
        <v>1428.2462475762734</v>
      </c>
      <c r="X129" s="515">
        <f>'OPEX - Concept B1 - NCLH'!AE89</f>
        <v>1456.8111725277988</v>
      </c>
    </row>
    <row r="130" spans="1:24" s="96" customFormat="1">
      <c r="A130" s="69" t="s">
        <v>44</v>
      </c>
      <c r="B130" s="69"/>
      <c r="C130" s="69"/>
      <c r="D130" s="514">
        <v>0</v>
      </c>
      <c r="E130" s="515">
        <f>'OPEX - Concept B1 - NCLH'!L90</f>
        <v>250</v>
      </c>
      <c r="F130" s="515">
        <f>'OPEX - Concept B1 - NCLH'!M90</f>
        <v>510</v>
      </c>
      <c r="G130" s="515">
        <f>'OPEX - Concept B1 - NCLH'!N90</f>
        <v>520.20000000000005</v>
      </c>
      <c r="H130" s="515">
        <f>'OPEX - Concept B1 - NCLH'!O90</f>
        <v>530.60399999999993</v>
      </c>
      <c r="I130" s="515">
        <f>'OPEX - Concept B1 - NCLH'!P90</f>
        <v>541.21608000000003</v>
      </c>
      <c r="J130" s="515">
        <f>'OPEX - Concept B1 - NCLH'!Q90</f>
        <v>552.0404016</v>
      </c>
      <c r="K130" s="515">
        <f>'OPEX - Concept B1 - NCLH'!R90</f>
        <v>563.08120963200008</v>
      </c>
      <c r="L130" s="515">
        <f>'OPEX - Concept B1 - NCLH'!S90</f>
        <v>574.34283382464002</v>
      </c>
      <c r="M130" s="515">
        <f>'OPEX - Concept B1 - NCLH'!T90</f>
        <v>585.82969050113286</v>
      </c>
      <c r="N130" s="515">
        <f>'OPEX - Concept B1 - NCLH'!U90</f>
        <v>597.54628431115555</v>
      </c>
      <c r="O130" s="515">
        <f>'OPEX - Concept B1 - NCLH'!V90</f>
        <v>609.49720999737872</v>
      </c>
      <c r="P130" s="515">
        <f>'OPEX - Concept B1 - NCLH'!W90</f>
        <v>621.68715419732621</v>
      </c>
      <c r="Q130" s="515">
        <f>'OPEX - Concept B1 - NCLH'!X90</f>
        <v>634.12089728127273</v>
      </c>
      <c r="R130" s="515">
        <f>'OPEX - Concept B1 - NCLH'!Y90</f>
        <v>646.80331522689812</v>
      </c>
      <c r="S130" s="515">
        <f>'OPEX - Concept B1 - NCLH'!Z90</f>
        <v>659.73938153143615</v>
      </c>
      <c r="T130" s="515">
        <f>'OPEX - Concept B1 - NCLH'!AA90</f>
        <v>672.9341691620649</v>
      </c>
      <c r="U130" s="515">
        <f>'OPEX - Concept B1 - NCLH'!AB90</f>
        <v>686.39285254530625</v>
      </c>
      <c r="V130" s="515">
        <f>'OPEX - Concept B1 - NCLH'!AC90</f>
        <v>700.12070959621246</v>
      </c>
      <c r="W130" s="515">
        <f>'OPEX - Concept B1 - NCLH'!AD90</f>
        <v>714.1231237881367</v>
      </c>
      <c r="X130" s="515">
        <f>'OPEX - Concept B1 - NCLH'!AE90</f>
        <v>728.40558626389941</v>
      </c>
    </row>
    <row r="131" spans="1:24" s="96" customFormat="1">
      <c r="A131" s="69" t="s">
        <v>2</v>
      </c>
      <c r="B131" s="69"/>
      <c r="C131" s="69"/>
      <c r="D131" s="514">
        <v>0</v>
      </c>
      <c r="E131" s="515">
        <f>'OPEX - Concept B1 - NCLH'!L91</f>
        <v>1000</v>
      </c>
      <c r="F131" s="515">
        <f>'OPEX - Concept B1 - NCLH'!M91</f>
        <v>1020</v>
      </c>
      <c r="G131" s="515">
        <f>'OPEX - Concept B1 - NCLH'!N91</f>
        <v>1040.4000000000001</v>
      </c>
      <c r="H131" s="515">
        <f>'OPEX - Concept B1 - NCLH'!O91</f>
        <v>1061.2079999999999</v>
      </c>
      <c r="I131" s="515">
        <f>'OPEX - Concept B1 - NCLH'!P91</f>
        <v>1082.4321600000001</v>
      </c>
      <c r="J131" s="515">
        <f>'OPEX - Concept B1 - NCLH'!Q91</f>
        <v>1104.0808032</v>
      </c>
      <c r="K131" s="515">
        <f>'OPEX - Concept B1 - NCLH'!R91</f>
        <v>1126.1624192640002</v>
      </c>
      <c r="L131" s="515">
        <f>'OPEX - Concept B1 - NCLH'!S91</f>
        <v>1148.68566764928</v>
      </c>
      <c r="M131" s="515">
        <f>'OPEX - Concept B1 - NCLH'!T91</f>
        <v>1171.6593810022657</v>
      </c>
      <c r="N131" s="515">
        <f>'OPEX - Concept B1 - NCLH'!U91</f>
        <v>1195.0925686223111</v>
      </c>
      <c r="O131" s="515">
        <f>'OPEX - Concept B1 - NCLH'!V91</f>
        <v>1218.9944199947574</v>
      </c>
      <c r="P131" s="515">
        <f>'OPEX - Concept B1 - NCLH'!W91</f>
        <v>1243.3743083946524</v>
      </c>
      <c r="Q131" s="515">
        <f>'OPEX - Concept B1 - NCLH'!X91</f>
        <v>1268.2417945625455</v>
      </c>
      <c r="R131" s="515">
        <f>'OPEX - Concept B1 - NCLH'!Y91</f>
        <v>1293.6066304537962</v>
      </c>
      <c r="S131" s="515">
        <f>'OPEX - Concept B1 - NCLH'!Z91</f>
        <v>1319.4787630628723</v>
      </c>
      <c r="T131" s="515">
        <f>'OPEX - Concept B1 - NCLH'!AA91</f>
        <v>1345.8683383241298</v>
      </c>
      <c r="U131" s="515">
        <f>'OPEX - Concept B1 - NCLH'!AB91</f>
        <v>1372.7857050906125</v>
      </c>
      <c r="V131" s="515">
        <f>'OPEX - Concept B1 - NCLH'!AC91</f>
        <v>1400.2414191924249</v>
      </c>
      <c r="W131" s="515">
        <f>'OPEX - Concept B1 - NCLH'!AD91</f>
        <v>1428.2462475762734</v>
      </c>
      <c r="X131" s="515">
        <f>'OPEX - Concept B1 - NCLH'!AE91</f>
        <v>1456.8111725277988</v>
      </c>
    </row>
    <row r="132" spans="1:24" s="167" customFormat="1">
      <c r="A132" s="591"/>
      <c r="B132" s="591"/>
      <c r="C132" s="591"/>
      <c r="D132" s="592"/>
      <c r="E132" s="593"/>
      <c r="F132" s="593"/>
      <c r="G132" s="593"/>
      <c r="H132" s="593"/>
      <c r="I132" s="593"/>
      <c r="J132" s="593"/>
      <c r="K132" s="593"/>
      <c r="L132" s="593"/>
      <c r="M132" s="593"/>
      <c r="N132" s="593"/>
      <c r="O132" s="593"/>
      <c r="P132" s="593"/>
      <c r="Q132" s="593"/>
      <c r="R132" s="593"/>
      <c r="S132" s="593"/>
      <c r="T132" s="593"/>
      <c r="U132" s="593"/>
      <c r="V132" s="593"/>
      <c r="W132" s="593"/>
      <c r="X132" s="593"/>
    </row>
    <row r="133" spans="1:24" s="96" customFormat="1">
      <c r="A133" s="69" t="s">
        <v>25</v>
      </c>
      <c r="B133" s="69"/>
      <c r="C133" s="69"/>
      <c r="D133" s="514">
        <v>0</v>
      </c>
      <c r="E133" s="515">
        <f>'OPEX - Concept B1 - NCLH'!L107</f>
        <v>23741.666666666664</v>
      </c>
      <c r="F133" s="515">
        <f>'OPEX - Concept B1 - NCLH'!M107</f>
        <v>24216.5</v>
      </c>
      <c r="G133" s="515">
        <f>'OPEX - Concept B1 - NCLH'!N107</f>
        <v>24700.83</v>
      </c>
      <c r="H133" s="515">
        <f>'OPEX - Concept B1 - NCLH'!O107</f>
        <v>25194.846599999997</v>
      </c>
      <c r="I133" s="515">
        <f>'OPEX - Concept B1 - NCLH'!P107</f>
        <v>25698.743532</v>
      </c>
      <c r="J133" s="515">
        <f>'OPEX - Concept B1 - NCLH'!Q107</f>
        <v>26212.718402639999</v>
      </c>
      <c r="K133" s="515">
        <f>'OPEX - Concept B1 - NCLH'!R107</f>
        <v>26736.972770692802</v>
      </c>
      <c r="L133" s="515">
        <f>'OPEX - Concept B1 - NCLH'!S107</f>
        <v>27271.712226106654</v>
      </c>
      <c r="M133" s="515">
        <f>'OPEX - Concept B1 - NCLH'!T107</f>
        <v>27817.146470628788</v>
      </c>
      <c r="N133" s="515">
        <f>'OPEX - Concept B1 - NCLH'!U107</f>
        <v>28373.48940004137</v>
      </c>
      <c r="O133" s="515">
        <f>'OPEX - Concept B1 - NCLH'!V107</f>
        <v>28940.959188042198</v>
      </c>
      <c r="P133" s="515">
        <f>'OPEX - Concept B1 - NCLH'!W107</f>
        <v>29519.77837180304</v>
      </c>
      <c r="Q133" s="515">
        <f>'OPEX - Concept B1 - NCLH'!X107</f>
        <v>30110.173939239099</v>
      </c>
      <c r="R133" s="515">
        <f>'OPEX - Concept B1 - NCLH'!Y107</f>
        <v>30712.37741802388</v>
      </c>
      <c r="S133" s="515">
        <f>'OPEX - Concept B1 - NCLH'!Z107</f>
        <v>31326.624966384359</v>
      </c>
      <c r="T133" s="515">
        <f>'OPEX - Concept B1 - NCLH'!AA107</f>
        <v>31953.157465712051</v>
      </c>
      <c r="U133" s="515">
        <f>'OPEX - Concept B1 - NCLH'!AB107</f>
        <v>32592.220615026294</v>
      </c>
      <c r="V133" s="515">
        <f>'OPEX - Concept B1 - NCLH'!AC107</f>
        <v>33244.065027326818</v>
      </c>
      <c r="W133" s="515">
        <f>'OPEX - Concept B1 - NCLH'!AD107</f>
        <v>33908.946327873353</v>
      </c>
      <c r="X133" s="515">
        <f>'OPEX - Concept B1 - NCLH'!AE107</f>
        <v>34587.125254430823</v>
      </c>
    </row>
    <row r="134" spans="1:24" s="96" customFormat="1">
      <c r="A134" s="782" t="s">
        <v>426</v>
      </c>
      <c r="B134" s="69"/>
      <c r="C134" s="69"/>
      <c r="D134" s="514">
        <v>0</v>
      </c>
      <c r="E134" s="515">
        <f>'OPEX - Concept B1 - NCLH'!L95</f>
        <v>1000</v>
      </c>
      <c r="F134" s="515">
        <f>'OPEX - Concept B1 - NCLH'!M95</f>
        <v>1020</v>
      </c>
      <c r="G134" s="515">
        <f>'OPEX - Concept B1 - NCLH'!N95</f>
        <v>1040.4000000000001</v>
      </c>
      <c r="H134" s="515">
        <f>'OPEX - Concept B1 - NCLH'!O95</f>
        <v>1061.2079999999999</v>
      </c>
      <c r="I134" s="515">
        <f>'OPEX - Concept B1 - NCLH'!P95</f>
        <v>1082.4321600000001</v>
      </c>
      <c r="J134" s="515">
        <f>'OPEX - Concept B1 - NCLH'!Q95</f>
        <v>25000</v>
      </c>
      <c r="K134" s="515">
        <f>'OPEX - Concept B1 - NCLH'!R95</f>
        <v>25500</v>
      </c>
      <c r="L134" s="515">
        <f>'OPEX - Concept B1 - NCLH'!S95</f>
        <v>26010</v>
      </c>
      <c r="M134" s="515">
        <f>'OPEX - Concept B1 - NCLH'!T95</f>
        <v>26530.199999999997</v>
      </c>
      <c r="N134" s="515">
        <f>'OPEX - Concept B1 - NCLH'!U95</f>
        <v>27060.804</v>
      </c>
      <c r="O134" s="515">
        <f>'OPEX - Concept B1 - NCLH'!V95</f>
        <v>27602.020080000002</v>
      </c>
      <c r="P134" s="515">
        <f>'OPEX - Concept B1 - NCLH'!W95</f>
        <v>28154.060481600001</v>
      </c>
      <c r="Q134" s="515">
        <f>'OPEX - Concept B1 - NCLH'!X95</f>
        <v>28717.141691232002</v>
      </c>
      <c r="R134" s="515">
        <f>'OPEX - Concept B1 - NCLH'!Y95</f>
        <v>29291.484525056643</v>
      </c>
      <c r="S134" s="515">
        <f>'OPEX - Concept B1 - NCLH'!Z95</f>
        <v>29877.314215557777</v>
      </c>
      <c r="T134" s="515">
        <f>'OPEX - Concept B1 - NCLH'!AA95</f>
        <v>30474.860499868933</v>
      </c>
      <c r="U134" s="515">
        <f>'OPEX - Concept B1 - NCLH'!AB95</f>
        <v>31084.357709866312</v>
      </c>
      <c r="V134" s="515">
        <f>'OPEX - Concept B1 - NCLH'!AC95</f>
        <v>31706.044864063639</v>
      </c>
      <c r="W134" s="515">
        <f>'OPEX - Concept B1 - NCLH'!AD95</f>
        <v>32340.165761344906</v>
      </c>
      <c r="X134" s="515">
        <f>'OPEX - Concept B1 - NCLH'!AE95</f>
        <v>32986.969076571811</v>
      </c>
    </row>
    <row r="135" spans="1:24" s="96" customFormat="1">
      <c r="A135" s="644" t="s">
        <v>302</v>
      </c>
      <c r="B135" s="69"/>
      <c r="C135" s="69"/>
      <c r="D135" s="514">
        <v>0</v>
      </c>
      <c r="E135" s="515">
        <f>'OPEX - Concept B1 - NCLH'!L96</f>
        <v>233675</v>
      </c>
      <c r="F135" s="515">
        <f>'OPEX - Concept B1 - NCLH'!M96</f>
        <v>476697</v>
      </c>
      <c r="G135" s="515">
        <f>'OPEX - Concept B1 - NCLH'!N96</f>
        <v>486230.94000000006</v>
      </c>
      <c r="H135" s="515">
        <f>'OPEX - Concept B1 - NCLH'!O96</f>
        <v>495955.55879999994</v>
      </c>
      <c r="I135" s="515">
        <f>'OPEX - Concept B1 - NCLH'!P96</f>
        <v>505874.66997599998</v>
      </c>
      <c r="J135" s="515">
        <f>'OPEX - Concept B1 - NCLH'!Q96</f>
        <v>515992.16337552003</v>
      </c>
      <c r="K135" s="515">
        <f>'OPEX - Concept B1 - NCLH'!R96</f>
        <v>526312.00664303044</v>
      </c>
      <c r="L135" s="515">
        <f>'OPEX - Concept B1 - NCLH'!S96</f>
        <v>536838.24677589093</v>
      </c>
      <c r="M135" s="515">
        <f>'OPEX - Concept B1 - NCLH'!T96</f>
        <v>547575.01171140897</v>
      </c>
      <c r="N135" s="515">
        <f>'OPEX - Concept B1 - NCLH'!U96</f>
        <v>558526.51194563706</v>
      </c>
      <c r="O135" s="515">
        <f>'OPEX - Concept B1 - NCLH'!V96</f>
        <v>569697.04218454985</v>
      </c>
      <c r="P135" s="515">
        <f>'OPEX - Concept B1 - NCLH'!W96</f>
        <v>581090.98302824085</v>
      </c>
      <c r="Q135" s="515">
        <f>'OPEX - Concept B1 - NCLH'!X96</f>
        <v>592712.80268880562</v>
      </c>
      <c r="R135" s="515">
        <f>'OPEX - Concept B1 - NCLH'!Y96</f>
        <v>604567.05874258175</v>
      </c>
      <c r="S135" s="515">
        <f>'OPEX - Concept B1 - NCLH'!Z96</f>
        <v>616658.39991743339</v>
      </c>
      <c r="T135" s="515">
        <f>'OPEX - Concept B1 - NCLH'!AA96</f>
        <v>628991.5679157821</v>
      </c>
      <c r="U135" s="515">
        <f>'OPEX - Concept B1 - NCLH'!AB96</f>
        <v>641571.39927409776</v>
      </c>
      <c r="V135" s="515">
        <f>'OPEX - Concept B1 - NCLH'!AC96</f>
        <v>654402.82725957979</v>
      </c>
      <c r="W135" s="515">
        <f>'OPEX - Concept B1 - NCLH'!AD96</f>
        <v>667490.88380477135</v>
      </c>
      <c r="X135" s="515">
        <f>'OPEX - Concept B1 - NCLH'!AE96</f>
        <v>680840.70148086676</v>
      </c>
    </row>
    <row r="136" spans="1:24" s="16" customFormat="1" ht="14.25">
      <c r="A136" s="282" t="s">
        <v>132</v>
      </c>
      <c r="B136" s="276"/>
      <c r="C136" s="276"/>
      <c r="D136" s="516">
        <f>SUM(D124:D135)</f>
        <v>0</v>
      </c>
      <c r="E136" s="517">
        <f t="shared" ref="E136:X136" si="16">SUM(E125:E135)</f>
        <v>357416.66666666663</v>
      </c>
      <c r="F136" s="517">
        <f t="shared" si="16"/>
        <v>686483.5</v>
      </c>
      <c r="G136" s="517">
        <f t="shared" si="16"/>
        <v>700223.37000000011</v>
      </c>
      <c r="H136" s="517">
        <f t="shared" si="16"/>
        <v>714227.83739999996</v>
      </c>
      <c r="I136" s="517">
        <f t="shared" si="16"/>
        <v>728512.39414800005</v>
      </c>
      <c r="J136" s="517">
        <f t="shared" si="16"/>
        <v>771426.52082615998</v>
      </c>
      <c r="K136" s="517">
        <f t="shared" si="16"/>
        <v>782318.13245231519</v>
      </c>
      <c r="L136" s="517">
        <f t="shared" si="16"/>
        <v>797964.49510136142</v>
      </c>
      <c r="M136" s="517">
        <f t="shared" si="16"/>
        <v>813923.78500338888</v>
      </c>
      <c r="N136" s="517">
        <f t="shared" si="16"/>
        <v>830202.26070345659</v>
      </c>
      <c r="O136" s="517">
        <f t="shared" si="16"/>
        <v>875001.71613890608</v>
      </c>
      <c r="P136" s="517">
        <f t="shared" si="16"/>
        <v>863742.43203587632</v>
      </c>
      <c r="Q136" s="517">
        <f t="shared" si="16"/>
        <v>881017.28067659377</v>
      </c>
      <c r="R136" s="517">
        <f t="shared" si="16"/>
        <v>898637.62629012566</v>
      </c>
      <c r="S136" s="517">
        <f t="shared" si="16"/>
        <v>916610.37881592824</v>
      </c>
      <c r="T136" s="517">
        <f t="shared" si="16"/>
        <v>939269.65222308482</v>
      </c>
      <c r="U136" s="517">
        <f t="shared" si="16"/>
        <v>953641.4381200918</v>
      </c>
      <c r="V136" s="517">
        <f t="shared" si="16"/>
        <v>972714.26688249363</v>
      </c>
      <c r="W136" s="517">
        <f t="shared" si="16"/>
        <v>992168.55222014361</v>
      </c>
      <c r="X136" s="517">
        <f t="shared" si="16"/>
        <v>1012011.9232645463</v>
      </c>
    </row>
    <row r="137" spans="1:24">
      <c r="A137" s="92"/>
      <c r="B137" s="69"/>
      <c r="C137" s="69"/>
      <c r="D137" s="514"/>
      <c r="E137" s="515"/>
      <c r="F137" s="515"/>
      <c r="G137" s="515"/>
      <c r="H137" s="515"/>
      <c r="I137" s="515"/>
      <c r="J137" s="515"/>
      <c r="K137" s="515"/>
      <c r="L137" s="515"/>
      <c r="M137" s="515"/>
      <c r="N137" s="515"/>
      <c r="O137" s="515"/>
      <c r="P137" s="515"/>
      <c r="Q137" s="515"/>
      <c r="R137" s="515"/>
      <c r="S137" s="515"/>
      <c r="T137" s="515"/>
      <c r="U137" s="515"/>
      <c r="V137" s="515"/>
      <c r="W137" s="515"/>
      <c r="X137" s="515"/>
    </row>
    <row r="138" spans="1:24">
      <c r="A138" s="269" t="s">
        <v>85</v>
      </c>
      <c r="B138" s="269"/>
      <c r="C138" s="270"/>
      <c r="D138" s="513"/>
      <c r="E138" s="513"/>
      <c r="F138" s="513"/>
      <c r="G138" s="513"/>
      <c r="H138" s="513"/>
      <c r="I138" s="513"/>
      <c r="J138" s="513"/>
      <c r="K138" s="513"/>
      <c r="L138" s="513"/>
      <c r="M138" s="513"/>
      <c r="N138" s="513"/>
      <c r="O138" s="513"/>
      <c r="P138" s="513"/>
      <c r="Q138" s="513"/>
      <c r="R138" s="513"/>
      <c r="S138" s="513"/>
      <c r="T138" s="513"/>
      <c r="U138" s="513"/>
      <c r="V138" s="513"/>
      <c r="W138" s="513"/>
      <c r="X138" s="513"/>
    </row>
    <row r="139" spans="1:24" s="368" customFormat="1">
      <c r="A139" s="263"/>
      <c r="B139" s="263"/>
      <c r="C139" s="367"/>
      <c r="D139" s="514"/>
      <c r="E139" s="515"/>
      <c r="F139" s="515"/>
      <c r="G139" s="515"/>
      <c r="H139" s="515"/>
      <c r="I139" s="515"/>
      <c r="J139" s="515"/>
      <c r="K139" s="515"/>
      <c r="L139" s="515"/>
      <c r="M139" s="515"/>
      <c r="N139" s="515"/>
      <c r="O139" s="515"/>
      <c r="P139" s="515"/>
      <c r="Q139" s="515"/>
      <c r="R139" s="515"/>
      <c r="S139" s="515"/>
      <c r="T139" s="515"/>
      <c r="U139" s="515"/>
      <c r="V139" s="515"/>
      <c r="W139" s="515"/>
      <c r="X139" s="515"/>
    </row>
    <row r="140" spans="1:24" s="58" customFormat="1">
      <c r="A140" s="69" t="s">
        <v>0</v>
      </c>
      <c r="B140" s="263"/>
      <c r="C140" s="783"/>
      <c r="D140" s="514">
        <v>0</v>
      </c>
      <c r="E140" s="515">
        <f>'OPEX - Concept B1 - NCLH'!L130</f>
        <v>0</v>
      </c>
      <c r="F140" s="515">
        <f>'OPEX - Concept B1 - NCLH'!M130</f>
        <v>54570</v>
      </c>
      <c r="G140" s="515">
        <f>'OPEX - Concept B1 - NCLH'!N130</f>
        <v>56774.628000000004</v>
      </c>
      <c r="H140" s="515">
        <f>'OPEX - Concept B1 - NCLH'!O130</f>
        <v>57910.120559999996</v>
      </c>
      <c r="I140" s="515">
        <f>'OPEX - Concept B1 - NCLH'!P130</f>
        <v>59068.322971199988</v>
      </c>
      <c r="J140" s="515">
        <f>'OPEX - Concept B1 - NCLH'!Q130</f>
        <v>60249.689430623999</v>
      </c>
      <c r="K140" s="515">
        <f>'OPEX - Concept B1 - NCLH'!R130</f>
        <v>61454.683219236475</v>
      </c>
      <c r="L140" s="515">
        <f>'OPEX - Concept B1 - NCLH'!S130</f>
        <v>62683.776883621205</v>
      </c>
      <c r="M140" s="515">
        <f>'OPEX - Concept B1 - NCLH'!T130</f>
        <v>63937.452421293638</v>
      </c>
      <c r="N140" s="515">
        <f>'OPEX - Concept B1 - NCLH'!U130</f>
        <v>65216.201469719512</v>
      </c>
      <c r="O140" s="515">
        <f>'OPEX - Concept B1 - NCLH'!V130</f>
        <v>66520.525499113894</v>
      </c>
      <c r="P140" s="515">
        <f>'OPEX - Concept B1 - NCLH'!W130</f>
        <v>67850.936009096185</v>
      </c>
      <c r="Q140" s="515">
        <f>'OPEX - Concept B1 - NCLH'!X130</f>
        <v>69207.954729278121</v>
      </c>
      <c r="R140" s="515">
        <f>'OPEX - Concept B1 - NCLH'!Y130</f>
        <v>70592.113823863678</v>
      </c>
      <c r="S140" s="515">
        <f>'OPEX - Concept B1 - NCLH'!Z130</f>
        <v>72003.956100340947</v>
      </c>
      <c r="T140" s="515">
        <f>'OPEX - Concept B1 - NCLH'!AA130</f>
        <v>73444.035222347768</v>
      </c>
      <c r="U140" s="515">
        <f>'OPEX - Concept B1 - NCLH'!AB130</f>
        <v>74912.915926794725</v>
      </c>
      <c r="V140" s="515">
        <f>'OPEX - Concept B1 - NCLH'!AC130</f>
        <v>76411.174245330621</v>
      </c>
      <c r="W140" s="515">
        <f>'OPEX - Concept B1 - NCLH'!AD130</f>
        <v>77939.397730237237</v>
      </c>
      <c r="X140" s="515">
        <f>'OPEX - Concept B1 - NCLH'!AE130</f>
        <v>79498.18568484197</v>
      </c>
    </row>
    <row r="141" spans="1:24" s="58" customFormat="1">
      <c r="A141" s="69" t="s">
        <v>4</v>
      </c>
      <c r="B141" s="263"/>
      <c r="C141" s="783"/>
      <c r="D141" s="514">
        <v>0</v>
      </c>
      <c r="E141" s="515">
        <f>'OPEX - Concept B1 - NCLH'!L153</f>
        <v>0</v>
      </c>
      <c r="F141" s="515">
        <f>'OPEX - Concept B1 - NCLH'!M153</f>
        <v>85335.846153846156</v>
      </c>
      <c r="G141" s="515">
        <f>'OPEX - Concept B1 - NCLH'!N153</f>
        <v>87042.563076923077</v>
      </c>
      <c r="H141" s="515">
        <f>'OPEX - Concept B1 - NCLH'!O153</f>
        <v>88783.41433846156</v>
      </c>
      <c r="I141" s="515">
        <f>'OPEX - Concept B1 - NCLH'!P153</f>
        <v>90559.082625230774</v>
      </c>
      <c r="J141" s="515">
        <f>'OPEX - Concept B1 - NCLH'!Q153</f>
        <v>92370.264277735376</v>
      </c>
      <c r="K141" s="515">
        <f>'OPEX - Concept B1 - NCLH'!R153</f>
        <v>94217.669563290081</v>
      </c>
      <c r="L141" s="515">
        <f>'OPEX - Concept B1 - NCLH'!S153</f>
        <v>96102.022954555898</v>
      </c>
      <c r="M141" s="515">
        <f>'OPEX - Concept B1 - NCLH'!T153</f>
        <v>98024.063413647003</v>
      </c>
      <c r="N141" s="515">
        <f>'OPEX - Concept B1 - NCLH'!U153</f>
        <v>99984.544681919942</v>
      </c>
      <c r="O141" s="515">
        <f>'OPEX - Concept B1 - NCLH'!V153</f>
        <v>101984.23557555837</v>
      </c>
      <c r="P141" s="515">
        <f>'OPEX - Concept B1 - NCLH'!W153</f>
        <v>104023.92028706953</v>
      </c>
      <c r="Q141" s="515">
        <f>'OPEX - Concept B1 - NCLH'!X153</f>
        <v>106104.39869281092</v>
      </c>
      <c r="R141" s="515">
        <f>'OPEX - Concept B1 - NCLH'!Y153</f>
        <v>108226.48666666714</v>
      </c>
      <c r="S141" s="515">
        <f>'OPEX - Concept B1 - NCLH'!Z153</f>
        <v>110391.01640000047</v>
      </c>
      <c r="T141" s="515">
        <f>'OPEX - Concept B1 - NCLH'!AA153</f>
        <v>112598.8367280005</v>
      </c>
      <c r="U141" s="515">
        <f>'OPEX - Concept B1 - NCLH'!AB153</f>
        <v>114850.8134625605</v>
      </c>
      <c r="V141" s="515">
        <f>'OPEX - Concept B1 - NCLH'!AC153</f>
        <v>117147.82973181173</v>
      </c>
      <c r="W141" s="515">
        <f>'OPEX - Concept B1 - NCLH'!AD153</f>
        <v>119490.78632644797</v>
      </c>
      <c r="X141" s="515">
        <f>'OPEX - Concept B1 - NCLH'!AE153</f>
        <v>121880.60205297693</v>
      </c>
    </row>
    <row r="142" spans="1:24" s="422" customFormat="1" ht="14.25">
      <c r="A142" s="790" t="s">
        <v>133</v>
      </c>
      <c r="B142" s="276"/>
      <c r="C142" s="276"/>
      <c r="D142" s="516">
        <f>SUM(D140:D141)</f>
        <v>0</v>
      </c>
      <c r="E142" s="517">
        <f>SUM(E140:E141)</f>
        <v>0</v>
      </c>
      <c r="F142" s="517">
        <f t="shared" ref="F142:X142" si="17">SUM(F140:F141)</f>
        <v>139905.84615384616</v>
      </c>
      <c r="G142" s="517">
        <f t="shared" si="17"/>
        <v>143817.19107692307</v>
      </c>
      <c r="H142" s="517">
        <f t="shared" si="17"/>
        <v>146693.53489846154</v>
      </c>
      <c r="I142" s="517">
        <f t="shared" si="17"/>
        <v>149627.40559643076</v>
      </c>
      <c r="J142" s="517">
        <f t="shared" si="17"/>
        <v>152619.95370835939</v>
      </c>
      <c r="K142" s="517">
        <f t="shared" si="17"/>
        <v>155672.35278252655</v>
      </c>
      <c r="L142" s="517">
        <f t="shared" si="17"/>
        <v>158785.7998381771</v>
      </c>
      <c r="M142" s="517">
        <f t="shared" si="17"/>
        <v>161961.51583494066</v>
      </c>
      <c r="N142" s="517">
        <f t="shared" si="17"/>
        <v>165200.74615163944</v>
      </c>
      <c r="O142" s="517">
        <f t="shared" si="17"/>
        <v>168504.76107467228</v>
      </c>
      <c r="P142" s="517">
        <f t="shared" si="17"/>
        <v>171874.85629616573</v>
      </c>
      <c r="Q142" s="517">
        <f t="shared" si="17"/>
        <v>175312.35342208904</v>
      </c>
      <c r="R142" s="517">
        <f t="shared" si="17"/>
        <v>178818.60049053084</v>
      </c>
      <c r="S142" s="517">
        <f t="shared" si="17"/>
        <v>182394.97250034142</v>
      </c>
      <c r="T142" s="517">
        <f t="shared" si="17"/>
        <v>186042.87195034826</v>
      </c>
      <c r="U142" s="517">
        <f t="shared" si="17"/>
        <v>189763.72938935523</v>
      </c>
      <c r="V142" s="517">
        <f t="shared" si="17"/>
        <v>193559.00397714233</v>
      </c>
      <c r="W142" s="517">
        <f t="shared" si="17"/>
        <v>197430.18405668519</v>
      </c>
      <c r="X142" s="517">
        <f t="shared" si="17"/>
        <v>201378.7877378189</v>
      </c>
    </row>
    <row r="143" spans="1:24">
      <c r="A143" s="92"/>
      <c r="B143" s="92"/>
      <c r="C143" s="69"/>
      <c r="D143" s="514"/>
      <c r="E143" s="515"/>
      <c r="F143" s="515"/>
      <c r="G143" s="515"/>
      <c r="H143" s="515"/>
      <c r="I143" s="515"/>
      <c r="J143" s="515"/>
      <c r="K143" s="515"/>
      <c r="L143" s="515"/>
      <c r="M143" s="515"/>
      <c r="N143" s="515"/>
      <c r="O143" s="515"/>
      <c r="P143" s="515"/>
      <c r="Q143" s="515"/>
      <c r="R143" s="515"/>
      <c r="S143" s="515"/>
      <c r="T143" s="515"/>
      <c r="U143" s="515"/>
      <c r="V143" s="515"/>
      <c r="W143" s="515"/>
      <c r="X143" s="515"/>
    </row>
    <row r="144" spans="1:24" s="16" customFormat="1" ht="14.25">
      <c r="A144" s="350" t="s">
        <v>118</v>
      </c>
      <c r="B144" s="350"/>
      <c r="C144" s="351"/>
      <c r="D144" s="519">
        <f t="shared" ref="D144:X144" si="18">SUM(D136,D142)</f>
        <v>0</v>
      </c>
      <c r="E144" s="519">
        <f t="shared" si="18"/>
        <v>357416.66666666663</v>
      </c>
      <c r="F144" s="519">
        <f t="shared" si="18"/>
        <v>826389.34615384613</v>
      </c>
      <c r="G144" s="519">
        <f t="shared" si="18"/>
        <v>844040.56107692316</v>
      </c>
      <c r="H144" s="519">
        <f t="shared" si="18"/>
        <v>860921.3722984615</v>
      </c>
      <c r="I144" s="519">
        <f t="shared" si="18"/>
        <v>878139.79974443081</v>
      </c>
      <c r="J144" s="519">
        <f t="shared" si="18"/>
        <v>924046.47453451937</v>
      </c>
      <c r="K144" s="519">
        <f t="shared" si="18"/>
        <v>937990.4852348417</v>
      </c>
      <c r="L144" s="519">
        <f t="shared" si="18"/>
        <v>956750.29493953846</v>
      </c>
      <c r="M144" s="519">
        <f t="shared" si="18"/>
        <v>975885.3008383296</v>
      </c>
      <c r="N144" s="519">
        <f t="shared" si="18"/>
        <v>995403.00685509597</v>
      </c>
      <c r="O144" s="519">
        <f t="shared" si="18"/>
        <v>1043506.4772135783</v>
      </c>
      <c r="P144" s="519">
        <f t="shared" si="18"/>
        <v>1035617.2883320421</v>
      </c>
      <c r="Q144" s="519">
        <f t="shared" si="18"/>
        <v>1056329.6340986828</v>
      </c>
      <c r="R144" s="519">
        <f t="shared" si="18"/>
        <v>1077456.2267806565</v>
      </c>
      <c r="S144" s="519">
        <f t="shared" si="18"/>
        <v>1099005.3513162697</v>
      </c>
      <c r="T144" s="519">
        <f t="shared" si="18"/>
        <v>1125312.524173433</v>
      </c>
      <c r="U144" s="519">
        <f t="shared" si="18"/>
        <v>1143405.1675094471</v>
      </c>
      <c r="V144" s="519">
        <f t="shared" si="18"/>
        <v>1166273.2708596359</v>
      </c>
      <c r="W144" s="519">
        <f t="shared" si="18"/>
        <v>1189598.7362768287</v>
      </c>
      <c r="X144" s="519">
        <f t="shared" si="18"/>
        <v>1213390.7110023652</v>
      </c>
    </row>
    <row r="145" spans="1:24" s="222" customFormat="1" ht="14.25">
      <c r="A145" s="280"/>
      <c r="B145" s="280"/>
      <c r="C145" s="263"/>
      <c r="D145" s="518"/>
      <c r="E145" s="520"/>
      <c r="F145" s="520"/>
      <c r="G145" s="520"/>
      <c r="H145" s="520"/>
      <c r="I145" s="520"/>
      <c r="J145" s="520"/>
      <c r="K145" s="520"/>
      <c r="L145" s="520"/>
      <c r="M145" s="520"/>
      <c r="N145" s="520"/>
      <c r="O145" s="520"/>
      <c r="P145" s="520"/>
      <c r="Q145" s="520"/>
      <c r="R145" s="520"/>
      <c r="S145" s="520"/>
      <c r="T145" s="520"/>
      <c r="U145" s="520"/>
      <c r="V145" s="520"/>
      <c r="W145" s="520"/>
      <c r="X145" s="520"/>
    </row>
    <row r="146" spans="1:24" s="222" customFormat="1" ht="14.25">
      <c r="A146" s="271" t="s">
        <v>295</v>
      </c>
      <c r="B146" s="271"/>
      <c r="C146" s="269"/>
      <c r="D146" s="521"/>
      <c r="E146" s="521"/>
      <c r="F146" s="521"/>
      <c r="G146" s="521"/>
      <c r="H146" s="521"/>
      <c r="I146" s="521"/>
      <c r="J146" s="521"/>
      <c r="K146" s="521"/>
      <c r="L146" s="521"/>
      <c r="M146" s="521"/>
      <c r="N146" s="521"/>
      <c r="O146" s="521"/>
      <c r="P146" s="521"/>
      <c r="Q146" s="521"/>
      <c r="R146" s="521"/>
      <c r="S146" s="521"/>
      <c r="T146" s="521"/>
      <c r="U146" s="521"/>
      <c r="V146" s="521"/>
      <c r="W146" s="521"/>
      <c r="X146" s="521"/>
    </row>
    <row r="147" spans="1:24" s="222" customFormat="1" ht="14.25">
      <c r="A147" s="280"/>
      <c r="B147" s="280"/>
      <c r="C147" s="263"/>
      <c r="D147" s="518"/>
      <c r="E147" s="520"/>
      <c r="F147" s="520"/>
      <c r="G147" s="520"/>
      <c r="H147" s="520"/>
      <c r="I147" s="520"/>
      <c r="J147" s="520"/>
      <c r="K147" s="520"/>
      <c r="L147" s="520"/>
      <c r="M147" s="520"/>
      <c r="N147" s="520"/>
      <c r="O147" s="520"/>
      <c r="P147" s="520"/>
      <c r="Q147" s="520"/>
      <c r="R147" s="520"/>
      <c r="S147" s="520"/>
      <c r="T147" s="520"/>
      <c r="U147" s="520"/>
      <c r="V147" s="520"/>
      <c r="W147" s="520"/>
      <c r="X147" s="520"/>
    </row>
    <row r="148" spans="1:24" s="725" customFormat="1">
      <c r="A148" s="353" t="s">
        <v>228</v>
      </c>
      <c r="B148" s="691"/>
      <c r="C148" s="724"/>
      <c r="D148" s="699">
        <v>0</v>
      </c>
      <c r="E148" s="700"/>
      <c r="F148" s="700"/>
      <c r="G148" s="700"/>
      <c r="H148" s="700"/>
      <c r="I148" s="700"/>
      <c r="J148" s="700"/>
      <c r="K148" s="700"/>
      <c r="L148" s="700"/>
      <c r="M148" s="700"/>
      <c r="N148" s="700"/>
      <c r="O148" s="700"/>
      <c r="P148" s="700"/>
      <c r="Q148" s="700"/>
      <c r="R148" s="700"/>
      <c r="S148" s="700"/>
      <c r="T148" s="700"/>
      <c r="U148" s="700"/>
      <c r="V148" s="700"/>
      <c r="W148" s="700"/>
      <c r="X148" s="700"/>
    </row>
    <row r="149" spans="1:24" s="725" customFormat="1">
      <c r="A149" s="726" t="s">
        <v>228</v>
      </c>
      <c r="B149" s="727"/>
      <c r="C149" s="728"/>
      <c r="D149" s="729">
        <v>0</v>
      </c>
      <c r="E149" s="730"/>
      <c r="F149" s="730"/>
      <c r="G149" s="730"/>
      <c r="H149" s="730"/>
      <c r="I149" s="730"/>
      <c r="J149" s="730"/>
      <c r="K149" s="730"/>
      <c r="L149" s="730"/>
      <c r="M149" s="730"/>
      <c r="N149" s="730"/>
      <c r="O149" s="730"/>
      <c r="P149" s="730"/>
      <c r="Q149" s="730"/>
      <c r="R149" s="730"/>
      <c r="S149" s="730"/>
      <c r="T149" s="730"/>
      <c r="U149" s="730"/>
      <c r="V149" s="730"/>
      <c r="W149" s="730"/>
      <c r="X149" s="730"/>
    </row>
    <row r="150" spans="1:24" s="725" customFormat="1" ht="14.25">
      <c r="A150" s="691" t="s">
        <v>296</v>
      </c>
      <c r="B150" s="691"/>
      <c r="C150" s="724"/>
      <c r="D150" s="731">
        <f t="shared" ref="D150:X150" si="19">SUM(D148:D149)</f>
        <v>0</v>
      </c>
      <c r="E150" s="732">
        <f t="shared" si="19"/>
        <v>0</v>
      </c>
      <c r="F150" s="732">
        <f t="shared" si="19"/>
        <v>0</v>
      </c>
      <c r="G150" s="732">
        <f t="shared" si="19"/>
        <v>0</v>
      </c>
      <c r="H150" s="732">
        <f t="shared" si="19"/>
        <v>0</v>
      </c>
      <c r="I150" s="732">
        <f t="shared" si="19"/>
        <v>0</v>
      </c>
      <c r="J150" s="732">
        <f t="shared" si="19"/>
        <v>0</v>
      </c>
      <c r="K150" s="732">
        <f t="shared" si="19"/>
        <v>0</v>
      </c>
      <c r="L150" s="732">
        <f t="shared" si="19"/>
        <v>0</v>
      </c>
      <c r="M150" s="732">
        <f t="shared" si="19"/>
        <v>0</v>
      </c>
      <c r="N150" s="732">
        <f t="shared" si="19"/>
        <v>0</v>
      </c>
      <c r="O150" s="732">
        <f t="shared" si="19"/>
        <v>0</v>
      </c>
      <c r="P150" s="732">
        <f t="shared" si="19"/>
        <v>0</v>
      </c>
      <c r="Q150" s="732">
        <f t="shared" si="19"/>
        <v>0</v>
      </c>
      <c r="R150" s="732">
        <f t="shared" si="19"/>
        <v>0</v>
      </c>
      <c r="S150" s="732">
        <f t="shared" si="19"/>
        <v>0</v>
      </c>
      <c r="T150" s="732">
        <f t="shared" si="19"/>
        <v>0</v>
      </c>
      <c r="U150" s="732">
        <f t="shared" si="19"/>
        <v>0</v>
      </c>
      <c r="V150" s="732">
        <f t="shared" si="19"/>
        <v>0</v>
      </c>
      <c r="W150" s="732">
        <f t="shared" si="19"/>
        <v>0</v>
      </c>
      <c r="X150" s="732">
        <f t="shared" si="19"/>
        <v>0</v>
      </c>
    </row>
    <row r="151" spans="1:24" s="222" customFormat="1">
      <c r="A151" s="280"/>
      <c r="B151" s="280"/>
      <c r="C151" s="263"/>
      <c r="D151" s="514"/>
      <c r="E151" s="515"/>
      <c r="F151" s="520"/>
      <c r="G151" s="520"/>
      <c r="H151" s="520"/>
      <c r="I151" s="520"/>
      <c r="J151" s="520"/>
      <c r="K151" s="520"/>
      <c r="L151" s="520"/>
      <c r="M151" s="520"/>
      <c r="N151" s="520"/>
      <c r="O151" s="520"/>
      <c r="P151" s="520"/>
      <c r="Q151" s="520"/>
      <c r="R151" s="520"/>
      <c r="S151" s="520"/>
      <c r="T151" s="520"/>
      <c r="U151" s="520"/>
      <c r="V151" s="520"/>
      <c r="W151" s="520"/>
      <c r="X151" s="520"/>
    </row>
    <row r="152" spans="1:24" s="222" customFormat="1" ht="14.25">
      <c r="A152" s="296" t="s">
        <v>140</v>
      </c>
      <c r="B152" s="296"/>
      <c r="C152" s="297"/>
      <c r="D152" s="522">
        <f t="shared" ref="D152:X152" si="20">SUM(D144,D150)</f>
        <v>0</v>
      </c>
      <c r="E152" s="522">
        <f t="shared" si="20"/>
        <v>357416.66666666663</v>
      </c>
      <c r="F152" s="522">
        <f t="shared" si="20"/>
        <v>826389.34615384613</v>
      </c>
      <c r="G152" s="522">
        <f t="shared" si="20"/>
        <v>844040.56107692316</v>
      </c>
      <c r="H152" s="522">
        <f t="shared" si="20"/>
        <v>860921.3722984615</v>
      </c>
      <c r="I152" s="522">
        <f t="shared" si="20"/>
        <v>878139.79974443081</v>
      </c>
      <c r="J152" s="522">
        <f t="shared" si="20"/>
        <v>924046.47453451937</v>
      </c>
      <c r="K152" s="522">
        <f t="shared" si="20"/>
        <v>937990.4852348417</v>
      </c>
      <c r="L152" s="522">
        <f t="shared" si="20"/>
        <v>956750.29493953846</v>
      </c>
      <c r="M152" s="522">
        <f t="shared" si="20"/>
        <v>975885.3008383296</v>
      </c>
      <c r="N152" s="522">
        <f t="shared" si="20"/>
        <v>995403.00685509597</v>
      </c>
      <c r="O152" s="522">
        <f t="shared" si="20"/>
        <v>1043506.4772135783</v>
      </c>
      <c r="P152" s="522">
        <f t="shared" si="20"/>
        <v>1035617.2883320421</v>
      </c>
      <c r="Q152" s="522">
        <f t="shared" si="20"/>
        <v>1056329.6340986828</v>
      </c>
      <c r="R152" s="522">
        <f t="shared" si="20"/>
        <v>1077456.2267806565</v>
      </c>
      <c r="S152" s="522">
        <f t="shared" si="20"/>
        <v>1099005.3513162697</v>
      </c>
      <c r="T152" s="522">
        <f t="shared" si="20"/>
        <v>1125312.524173433</v>
      </c>
      <c r="U152" s="522">
        <f t="shared" si="20"/>
        <v>1143405.1675094471</v>
      </c>
      <c r="V152" s="522">
        <f t="shared" si="20"/>
        <v>1166273.2708596359</v>
      </c>
      <c r="W152" s="522">
        <f t="shared" si="20"/>
        <v>1189598.7362768287</v>
      </c>
      <c r="X152" s="522">
        <f t="shared" si="20"/>
        <v>1213390.7110023652</v>
      </c>
    </row>
    <row r="153" spans="1:24">
      <c r="A153" s="92"/>
      <c r="B153" s="92"/>
      <c r="C153" s="69"/>
      <c r="D153" s="514"/>
      <c r="E153" s="515"/>
      <c r="F153" s="515"/>
      <c r="G153" s="515"/>
      <c r="H153" s="515"/>
      <c r="I153" s="515"/>
      <c r="J153" s="515"/>
      <c r="K153" s="515"/>
      <c r="L153" s="515"/>
      <c r="M153" s="515"/>
      <c r="N153" s="515"/>
      <c r="O153" s="515"/>
      <c r="P153" s="515"/>
      <c r="Q153" s="515"/>
      <c r="R153" s="515"/>
      <c r="S153" s="515"/>
      <c r="T153" s="515"/>
      <c r="U153" s="515"/>
      <c r="V153" s="515"/>
      <c r="W153" s="515"/>
      <c r="X153" s="515"/>
    </row>
    <row r="154" spans="1:24" s="33" customFormat="1">
      <c r="A154" s="47" t="s">
        <v>7</v>
      </c>
      <c r="B154" s="47" t="s">
        <v>7</v>
      </c>
      <c r="C154" s="78" t="s">
        <v>7</v>
      </c>
      <c r="D154" s="604" t="s">
        <v>7</v>
      </c>
      <c r="E154" s="78" t="s">
        <v>7</v>
      </c>
      <c r="F154" s="78" t="s">
        <v>7</v>
      </c>
      <c r="G154" s="78" t="s">
        <v>7</v>
      </c>
      <c r="H154" s="78" t="s">
        <v>7</v>
      </c>
      <c r="I154" s="78" t="s">
        <v>7</v>
      </c>
      <c r="J154" s="78" t="s">
        <v>7</v>
      </c>
      <c r="K154" s="78" t="s">
        <v>7</v>
      </c>
      <c r="L154" s="78" t="s">
        <v>7</v>
      </c>
      <c r="M154" s="78" t="s">
        <v>7</v>
      </c>
      <c r="N154" s="78" t="s">
        <v>7</v>
      </c>
      <c r="O154" s="78" t="s">
        <v>7</v>
      </c>
      <c r="P154" s="78" t="s">
        <v>7</v>
      </c>
      <c r="Q154" s="78" t="s">
        <v>7</v>
      </c>
      <c r="R154" s="78" t="s">
        <v>7</v>
      </c>
      <c r="S154" s="78" t="s">
        <v>7</v>
      </c>
      <c r="T154" s="78" t="s">
        <v>7</v>
      </c>
      <c r="U154" s="78" t="s">
        <v>7</v>
      </c>
      <c r="V154" s="78" t="s">
        <v>7</v>
      </c>
      <c r="W154" s="78" t="s">
        <v>7</v>
      </c>
      <c r="X154" s="78" t="s">
        <v>7</v>
      </c>
    </row>
    <row r="155" spans="1:24">
      <c r="A155" s="92"/>
      <c r="B155" s="92"/>
      <c r="C155" s="69"/>
      <c r="D155" s="518"/>
      <c r="E155" s="515"/>
      <c r="F155" s="515"/>
      <c r="G155" s="515"/>
      <c r="H155" s="515"/>
      <c r="I155" s="515"/>
      <c r="J155" s="515"/>
      <c r="K155" s="515"/>
      <c r="L155" s="515"/>
      <c r="M155" s="515"/>
      <c r="N155" s="515"/>
      <c r="O155" s="515"/>
      <c r="P155" s="515"/>
      <c r="Q155" s="515"/>
      <c r="R155" s="515"/>
      <c r="S155" s="515"/>
      <c r="T155" s="515"/>
      <c r="U155" s="515"/>
      <c r="V155" s="515"/>
      <c r="W155" s="515"/>
      <c r="X155" s="515"/>
    </row>
    <row r="156" spans="1:24" s="16" customFormat="1" ht="14.25">
      <c r="A156" s="278" t="s">
        <v>116</v>
      </c>
      <c r="B156" s="263"/>
      <c r="C156" s="263"/>
      <c r="D156" s="518">
        <f>D119-(D136+D142)</f>
        <v>0</v>
      </c>
      <c r="E156" s="520">
        <f>E119-E152</f>
        <v>-299391.66666666663</v>
      </c>
      <c r="F156" s="520">
        <f t="shared" ref="F156:X156" si="21">F119-F152</f>
        <v>75642.489841644303</v>
      </c>
      <c r="G156" s="520">
        <f t="shared" si="21"/>
        <v>192764.31163847714</v>
      </c>
      <c r="H156" s="520">
        <f t="shared" si="21"/>
        <v>194399.59787124663</v>
      </c>
      <c r="I156" s="520">
        <f t="shared" si="21"/>
        <v>196067.58982867154</v>
      </c>
      <c r="J156" s="520">
        <f t="shared" si="21"/>
        <v>417545.06283004477</v>
      </c>
      <c r="K156" s="520">
        <f t="shared" si="21"/>
        <v>423250.48287701397</v>
      </c>
      <c r="L156" s="520">
        <f t="shared" si="21"/>
        <v>424533.09253455442</v>
      </c>
      <c r="M156" s="520">
        <f t="shared" si="21"/>
        <v>425841.35438524513</v>
      </c>
      <c r="N156" s="520">
        <f t="shared" si="21"/>
        <v>427175.78147295024</v>
      </c>
      <c r="O156" s="520">
        <f t="shared" si="21"/>
        <v>462958.98688102909</v>
      </c>
      <c r="P156" s="520">
        <f t="shared" si="21"/>
        <v>492542.73504445748</v>
      </c>
      <c r="Q156" s="520">
        <f t="shared" si="21"/>
        <v>493958.83974534669</v>
      </c>
      <c r="R156" s="520">
        <f t="shared" si="21"/>
        <v>495403.2665402533</v>
      </c>
      <c r="S156" s="520">
        <f t="shared" si="21"/>
        <v>496876.58187105856</v>
      </c>
      <c r="T156" s="520">
        <f t="shared" si="21"/>
        <v>556769.79767764173</v>
      </c>
      <c r="U156" s="520">
        <f t="shared" si="21"/>
        <v>562629.70077864919</v>
      </c>
      <c r="V156" s="520">
        <f t="shared" si="21"/>
        <v>564193.19479422225</v>
      </c>
      <c r="W156" s="520">
        <f t="shared" si="21"/>
        <v>565787.95869010687</v>
      </c>
      <c r="X156" s="520">
        <f t="shared" si="21"/>
        <v>567414.61786390911</v>
      </c>
    </row>
    <row r="157" spans="1:24">
      <c r="A157" s="30"/>
      <c r="B157" s="92"/>
      <c r="C157" s="69"/>
      <c r="D157" s="514"/>
      <c r="E157" s="515"/>
      <c r="F157" s="515"/>
      <c r="G157" s="515"/>
      <c r="H157" s="515"/>
      <c r="I157" s="515"/>
      <c r="J157" s="515"/>
      <c r="K157" s="515"/>
      <c r="L157" s="515"/>
      <c r="M157" s="515"/>
      <c r="N157" s="515"/>
      <c r="O157" s="515"/>
      <c r="P157" s="515"/>
      <c r="Q157" s="515"/>
      <c r="R157" s="515"/>
      <c r="S157" s="515"/>
      <c r="T157" s="515"/>
      <c r="U157" s="515"/>
      <c r="V157" s="515"/>
      <c r="W157" s="515"/>
      <c r="X157" s="515"/>
    </row>
    <row r="158" spans="1:24" s="594" customFormat="1">
      <c r="A158" s="589" t="s">
        <v>125</v>
      </c>
      <c r="B158" s="590"/>
      <c r="C158" s="591"/>
      <c r="D158" s="592">
        <v>0</v>
      </c>
      <c r="E158" s="593">
        <v>0</v>
      </c>
      <c r="F158" s="593">
        <v>0</v>
      </c>
      <c r="G158" s="593">
        <v>0</v>
      </c>
      <c r="H158" s="593">
        <v>0</v>
      </c>
      <c r="I158" s="593">
        <v>0</v>
      </c>
      <c r="J158" s="593">
        <v>0</v>
      </c>
      <c r="K158" s="593">
        <v>0</v>
      </c>
      <c r="L158" s="593">
        <v>0</v>
      </c>
      <c r="M158" s="593">
        <v>0</v>
      </c>
      <c r="N158" s="593">
        <v>0</v>
      </c>
      <c r="O158" s="593">
        <v>0</v>
      </c>
      <c r="P158" s="593">
        <v>0</v>
      </c>
      <c r="Q158" s="593">
        <v>0</v>
      </c>
      <c r="R158" s="593">
        <v>0</v>
      </c>
      <c r="S158" s="593">
        <v>0</v>
      </c>
      <c r="T158" s="593">
        <v>0</v>
      </c>
      <c r="U158" s="593">
        <v>0</v>
      </c>
      <c r="V158" s="593">
        <v>0</v>
      </c>
      <c r="W158" s="593">
        <v>0</v>
      </c>
      <c r="X158" s="593">
        <v>0</v>
      </c>
    </row>
    <row r="159" spans="1:24">
      <c r="A159" s="92"/>
      <c r="B159" s="92"/>
      <c r="C159" s="69"/>
      <c r="D159" s="514"/>
      <c r="E159" s="515"/>
      <c r="F159" s="515"/>
      <c r="G159" s="515"/>
      <c r="H159" s="515"/>
      <c r="I159" s="515"/>
      <c r="J159" s="515"/>
      <c r="K159" s="515"/>
      <c r="L159" s="515"/>
      <c r="M159" s="515"/>
      <c r="N159" s="515"/>
      <c r="O159" s="515"/>
      <c r="P159" s="515"/>
      <c r="Q159" s="515"/>
      <c r="R159" s="515"/>
      <c r="S159" s="515"/>
      <c r="T159" s="515"/>
      <c r="U159" s="515"/>
      <c r="V159" s="515"/>
      <c r="W159" s="515"/>
      <c r="X159" s="515"/>
    </row>
    <row r="160" spans="1:24" s="16" customFormat="1" ht="14.25">
      <c r="A160" s="278" t="s">
        <v>117</v>
      </c>
      <c r="B160" s="278"/>
      <c r="C160" s="263"/>
      <c r="D160" s="518">
        <v>0</v>
      </c>
      <c r="E160" s="520">
        <f>E156-E158</f>
        <v>-299391.66666666663</v>
      </c>
      <c r="F160" s="520">
        <f t="shared" ref="F160:X160" si="22">F156-F158</f>
        <v>75642.489841644303</v>
      </c>
      <c r="G160" s="520">
        <f t="shared" si="22"/>
        <v>192764.31163847714</v>
      </c>
      <c r="H160" s="520">
        <f t="shared" si="22"/>
        <v>194399.59787124663</v>
      </c>
      <c r="I160" s="520">
        <f t="shared" si="22"/>
        <v>196067.58982867154</v>
      </c>
      <c r="J160" s="520">
        <f t="shared" si="22"/>
        <v>417545.06283004477</v>
      </c>
      <c r="K160" s="520">
        <f t="shared" si="22"/>
        <v>423250.48287701397</v>
      </c>
      <c r="L160" s="520">
        <f t="shared" si="22"/>
        <v>424533.09253455442</v>
      </c>
      <c r="M160" s="520">
        <f t="shared" si="22"/>
        <v>425841.35438524513</v>
      </c>
      <c r="N160" s="520">
        <f t="shared" si="22"/>
        <v>427175.78147295024</v>
      </c>
      <c r="O160" s="520">
        <f t="shared" si="22"/>
        <v>462958.98688102909</v>
      </c>
      <c r="P160" s="520">
        <f t="shared" si="22"/>
        <v>492542.73504445748</v>
      </c>
      <c r="Q160" s="520">
        <f t="shared" si="22"/>
        <v>493958.83974534669</v>
      </c>
      <c r="R160" s="520">
        <f t="shared" si="22"/>
        <v>495403.2665402533</v>
      </c>
      <c r="S160" s="520">
        <f t="shared" si="22"/>
        <v>496876.58187105856</v>
      </c>
      <c r="T160" s="520">
        <f t="shared" si="22"/>
        <v>556769.79767764173</v>
      </c>
      <c r="U160" s="520">
        <f t="shared" si="22"/>
        <v>562629.70077864919</v>
      </c>
      <c r="V160" s="520">
        <f t="shared" si="22"/>
        <v>564193.19479422225</v>
      </c>
      <c r="W160" s="520">
        <f t="shared" si="22"/>
        <v>565787.95869010687</v>
      </c>
      <c r="X160" s="520">
        <f t="shared" si="22"/>
        <v>567414.61786390911</v>
      </c>
    </row>
    <row r="161" spans="1:24">
      <c r="A161" s="92"/>
      <c r="B161" s="92"/>
      <c r="C161" s="69"/>
      <c r="D161" s="514"/>
      <c r="E161" s="515"/>
      <c r="F161" s="515"/>
      <c r="G161" s="515"/>
      <c r="H161" s="515"/>
      <c r="I161" s="515"/>
      <c r="J161" s="515"/>
      <c r="K161" s="515"/>
      <c r="L161" s="515"/>
      <c r="M161" s="515"/>
      <c r="N161" s="515"/>
      <c r="O161" s="515"/>
      <c r="P161" s="515"/>
      <c r="Q161" s="515"/>
      <c r="R161" s="515"/>
      <c r="S161" s="515"/>
      <c r="T161" s="515"/>
      <c r="U161" s="515"/>
      <c r="V161" s="515"/>
      <c r="W161" s="515"/>
      <c r="X161" s="515"/>
    </row>
    <row r="162" spans="1:24">
      <c r="A162" s="271" t="s">
        <v>126</v>
      </c>
      <c r="B162" s="272"/>
      <c r="C162" s="273"/>
      <c r="D162" s="523"/>
      <c r="E162" s="523"/>
      <c r="F162" s="523"/>
      <c r="G162" s="523"/>
      <c r="H162" s="523"/>
      <c r="I162" s="523"/>
      <c r="J162" s="523"/>
      <c r="K162" s="523"/>
      <c r="L162" s="523"/>
      <c r="M162" s="523"/>
      <c r="N162" s="523"/>
      <c r="O162" s="523"/>
      <c r="P162" s="523"/>
      <c r="Q162" s="523"/>
      <c r="R162" s="523"/>
      <c r="S162" s="523"/>
      <c r="T162" s="523"/>
      <c r="U162" s="523"/>
      <c r="V162" s="523"/>
      <c r="W162" s="523"/>
      <c r="X162" s="523"/>
    </row>
    <row r="163" spans="1:24" s="32" customFormat="1">
      <c r="A163" s="280"/>
      <c r="B163" s="91"/>
      <c r="C163" s="69"/>
      <c r="D163" s="514"/>
      <c r="E163" s="515"/>
      <c r="F163" s="515"/>
      <c r="G163" s="515"/>
      <c r="H163" s="515"/>
      <c r="I163" s="515"/>
      <c r="J163" s="515"/>
      <c r="K163" s="515"/>
      <c r="L163" s="515"/>
      <c r="M163" s="515"/>
      <c r="N163" s="515"/>
      <c r="O163" s="515"/>
      <c r="P163" s="515"/>
      <c r="Q163" s="515"/>
      <c r="R163" s="515"/>
      <c r="S163" s="515"/>
      <c r="T163" s="515"/>
      <c r="U163" s="515"/>
      <c r="V163" s="515"/>
      <c r="W163" s="515"/>
      <c r="X163" s="515"/>
    </row>
    <row r="164" spans="1:24" s="96" customFormat="1">
      <c r="A164" s="885" t="s">
        <v>136</v>
      </c>
      <c r="B164" s="719"/>
      <c r="C164" s="69"/>
      <c r="D164" s="514">
        <v>0</v>
      </c>
      <c r="E164" s="515">
        <f>'OPEX - Concept B1 - NCLH'!L168</f>
        <v>0</v>
      </c>
      <c r="F164" s="515">
        <f>'OPEX - Concept B1 - NCLH'!M168</f>
        <v>53485</v>
      </c>
      <c r="G164" s="515">
        <f>'OPEX - Concept B1 - NCLH'!N168</f>
        <v>54554.700000000004</v>
      </c>
      <c r="H164" s="515">
        <f>'OPEX - Concept B1 - NCLH'!O168</f>
        <v>55645.794000000002</v>
      </c>
      <c r="I164" s="515">
        <f>'OPEX - Concept B1 - NCLH'!P168</f>
        <v>56758.709879999995</v>
      </c>
      <c r="J164" s="515">
        <f>'OPEX - Concept B1 - NCLH'!Q168</f>
        <v>57893.8840776</v>
      </c>
      <c r="K164" s="515">
        <f>'OPEX - Concept B1 - NCLH'!R168</f>
        <v>59051.761759152003</v>
      </c>
      <c r="L164" s="515">
        <f>'OPEX - Concept B1 - NCLH'!S168</f>
        <v>60232.796994335047</v>
      </c>
      <c r="M164" s="515">
        <f>'OPEX - Concept B1 - NCLH'!T168</f>
        <v>61437.452934221743</v>
      </c>
      <c r="N164" s="515">
        <f>'OPEX - Concept B1 - NCLH'!U168</f>
        <v>62666.201992906186</v>
      </c>
      <c r="O164" s="515">
        <f>'OPEX - Concept B1 - NCLH'!V168</f>
        <v>63919.526032764305</v>
      </c>
      <c r="P164" s="515">
        <f>'OPEX - Concept B1 - NCLH'!W168</f>
        <v>65197.916553419593</v>
      </c>
      <c r="Q164" s="515">
        <f>'OPEX - Concept B1 - NCLH'!X168</f>
        <v>66501.874884487988</v>
      </c>
      <c r="R164" s="515">
        <f>'OPEX - Concept B1 - NCLH'!Y168</f>
        <v>67831.912382177747</v>
      </c>
      <c r="S164" s="515">
        <f>'OPEX - Concept B1 - NCLH'!Z168</f>
        <v>69188.5506298213</v>
      </c>
      <c r="T164" s="515">
        <f>'OPEX - Concept B1 - NCLH'!AA168</f>
        <v>70572.321642417723</v>
      </c>
      <c r="U164" s="515">
        <f>'OPEX - Concept B1 - NCLH'!AB168</f>
        <v>71983.768075266082</v>
      </c>
      <c r="V164" s="515">
        <f>'OPEX - Concept B1 - NCLH'!AC168</f>
        <v>73423.443436771413</v>
      </c>
      <c r="W164" s="515">
        <f>'OPEX - Concept B1 - NCLH'!AD168</f>
        <v>74891.912305506848</v>
      </c>
      <c r="X164" s="515">
        <f>'OPEX - Concept B1 - NCLH'!AE168</f>
        <v>76389.750551616977</v>
      </c>
    </row>
    <row r="165" spans="1:24" s="96" customFormat="1">
      <c r="A165" s="885" t="s">
        <v>458</v>
      </c>
      <c r="B165" s="719"/>
      <c r="C165" s="69"/>
      <c r="D165" s="514">
        <v>0</v>
      </c>
      <c r="E165" s="515">
        <f>'OPEX - Concept B1 - NCLH'!L170</f>
        <v>612119.16</v>
      </c>
      <c r="F165" s="515">
        <f>'OPEX - Concept B1 - NCLH'!M170</f>
        <v>612119.16</v>
      </c>
      <c r="G165" s="515">
        <f>'OPEX - Concept B1 - NCLH'!N170</f>
        <v>612119.16</v>
      </c>
      <c r="H165" s="515">
        <f>'OPEX - Concept B1 - NCLH'!O170</f>
        <v>612119.16</v>
      </c>
      <c r="I165" s="515">
        <f>'OPEX - Concept B1 - NCLH'!P170</f>
        <v>612119.16</v>
      </c>
      <c r="J165" s="515">
        <f>'OPEX - Concept B1 - NCLH'!Q170</f>
        <v>612119.16</v>
      </c>
      <c r="K165" s="515">
        <f>'OPEX - Concept B1 - NCLH'!R170</f>
        <v>612119.16</v>
      </c>
      <c r="L165" s="515">
        <f>'OPEX - Concept B1 - NCLH'!S170</f>
        <v>612119.16</v>
      </c>
      <c r="M165" s="515">
        <f>'OPEX - Concept B1 - NCLH'!T170</f>
        <v>612119.16</v>
      </c>
      <c r="N165" s="515">
        <f>'OPEX - Concept B1 - NCLH'!U170</f>
        <v>612119.16</v>
      </c>
      <c r="O165" s="515">
        <f>'OPEX - Concept B1 - NCLH'!V170</f>
        <v>612119.16</v>
      </c>
      <c r="P165" s="515">
        <f>'OPEX - Concept B1 - NCLH'!W170</f>
        <v>612119.16</v>
      </c>
      <c r="Q165" s="515">
        <f>'OPEX - Concept B1 - NCLH'!X170</f>
        <v>612119.16</v>
      </c>
      <c r="R165" s="515">
        <f>'OPEX - Concept B1 - NCLH'!Y170</f>
        <v>612119.16</v>
      </c>
      <c r="S165" s="515">
        <f>'OPEX - Concept B1 - NCLH'!Z170</f>
        <v>612119.16</v>
      </c>
      <c r="T165" s="515">
        <f>'OPEX - Concept B1 - NCLH'!AA170</f>
        <v>612119.16</v>
      </c>
      <c r="U165" s="515">
        <f>'OPEX - Concept B1 - NCLH'!AB170</f>
        <v>612119.16</v>
      </c>
      <c r="V165" s="515">
        <f>'OPEX - Concept B1 - NCLH'!AC170</f>
        <v>612119.16</v>
      </c>
      <c r="W165" s="515">
        <f>'OPEX - Concept B1 - NCLH'!AD170</f>
        <v>612119.16</v>
      </c>
      <c r="X165" s="515">
        <f>'OPEX - Concept B1 - NCLH'!AE170</f>
        <v>612119.16</v>
      </c>
    </row>
    <row r="166" spans="1:24" s="341" customFormat="1">
      <c r="A166" s="696" t="s">
        <v>315</v>
      </c>
      <c r="B166" s="697"/>
      <c r="C166" s="698"/>
      <c r="D166" s="699">
        <v>0</v>
      </c>
      <c r="E166" s="700">
        <v>0</v>
      </c>
      <c r="F166" s="700">
        <v>0</v>
      </c>
      <c r="G166" s="700">
        <v>0</v>
      </c>
      <c r="H166" s="700">
        <v>0</v>
      </c>
      <c r="I166" s="700">
        <v>0</v>
      </c>
      <c r="J166" s="700">
        <v>0</v>
      </c>
      <c r="K166" s="700">
        <v>0</v>
      </c>
      <c r="L166" s="700">
        <v>0</v>
      </c>
      <c r="M166" s="700">
        <v>0</v>
      </c>
      <c r="N166" s="700">
        <v>0</v>
      </c>
      <c r="O166" s="700">
        <v>0</v>
      </c>
      <c r="P166" s="700">
        <v>0</v>
      </c>
      <c r="Q166" s="700">
        <v>0</v>
      </c>
      <c r="R166" s="700">
        <v>0</v>
      </c>
      <c r="S166" s="700">
        <v>0</v>
      </c>
      <c r="T166" s="700">
        <v>0</v>
      </c>
      <c r="U166" s="700">
        <v>0</v>
      </c>
      <c r="V166" s="700">
        <v>0</v>
      </c>
      <c r="W166" s="700">
        <v>0</v>
      </c>
      <c r="X166" s="700">
        <v>0</v>
      </c>
    </row>
    <row r="167" spans="1:24" s="32" customFormat="1">
      <c r="A167" s="93" t="s">
        <v>316</v>
      </c>
      <c r="B167" s="298"/>
      <c r="C167" s="298"/>
      <c r="D167" s="505">
        <v>0</v>
      </c>
      <c r="E167" s="506">
        <v>246000</v>
      </c>
      <c r="F167" s="506">
        <v>246000</v>
      </c>
      <c r="G167" s="506">
        <v>246000</v>
      </c>
      <c r="H167" s="506">
        <v>246000</v>
      </c>
      <c r="I167" s="506">
        <v>246000</v>
      </c>
      <c r="J167" s="506">
        <v>246000</v>
      </c>
      <c r="K167" s="506">
        <v>246000</v>
      </c>
      <c r="L167" s="506">
        <v>246000</v>
      </c>
      <c r="M167" s="506">
        <v>246000</v>
      </c>
      <c r="N167" s="506">
        <v>246000</v>
      </c>
      <c r="O167" s="506">
        <v>246000</v>
      </c>
      <c r="P167" s="506">
        <v>246000</v>
      </c>
      <c r="Q167" s="506">
        <v>246000</v>
      </c>
      <c r="R167" s="506">
        <v>246000</v>
      </c>
      <c r="S167" s="506">
        <v>246000</v>
      </c>
      <c r="T167" s="506">
        <v>246000</v>
      </c>
      <c r="U167" s="506">
        <v>246000</v>
      </c>
      <c r="V167" s="506">
        <v>246000</v>
      </c>
      <c r="W167" s="506">
        <v>246000</v>
      </c>
      <c r="X167" s="506">
        <v>246000</v>
      </c>
    </row>
    <row r="168" spans="1:24" s="222" customFormat="1" ht="14.25">
      <c r="A168" s="263" t="s">
        <v>134</v>
      </c>
      <c r="B168" s="264"/>
      <c r="C168" s="264"/>
      <c r="D168" s="524">
        <f>SUM(D164:D167)</f>
        <v>0</v>
      </c>
      <c r="E168" s="525">
        <f t="shared" ref="E168:X168" si="23">SUM(E164:E167)</f>
        <v>858119.16</v>
      </c>
      <c r="F168" s="525">
        <f t="shared" si="23"/>
        <v>911604.16</v>
      </c>
      <c r="G168" s="525">
        <f t="shared" si="23"/>
        <v>912673.86</v>
      </c>
      <c r="H168" s="525">
        <f t="shared" si="23"/>
        <v>913764.95400000003</v>
      </c>
      <c r="I168" s="525">
        <f t="shared" si="23"/>
        <v>914877.86988000001</v>
      </c>
      <c r="J168" s="525">
        <f t="shared" si="23"/>
        <v>916013.0440776</v>
      </c>
      <c r="K168" s="525">
        <f t="shared" si="23"/>
        <v>917170.92175915209</v>
      </c>
      <c r="L168" s="525">
        <f t="shared" si="23"/>
        <v>918351.95699433505</v>
      </c>
      <c r="M168" s="525">
        <f t="shared" si="23"/>
        <v>919556.61293422175</v>
      </c>
      <c r="N168" s="525">
        <f t="shared" si="23"/>
        <v>920785.3619929062</v>
      </c>
      <c r="O168" s="525">
        <f t="shared" si="23"/>
        <v>922038.68603276438</v>
      </c>
      <c r="P168" s="525">
        <f t="shared" si="23"/>
        <v>923317.07655341958</v>
      </c>
      <c r="Q168" s="525">
        <f t="shared" si="23"/>
        <v>924621.03488448798</v>
      </c>
      <c r="R168" s="525">
        <f t="shared" si="23"/>
        <v>925951.07238217781</v>
      </c>
      <c r="S168" s="525">
        <f t="shared" si="23"/>
        <v>927307.71062982129</v>
      </c>
      <c r="T168" s="525">
        <f t="shared" si="23"/>
        <v>928691.48164241773</v>
      </c>
      <c r="U168" s="525">
        <f t="shared" si="23"/>
        <v>930102.92807526607</v>
      </c>
      <c r="V168" s="525">
        <f t="shared" si="23"/>
        <v>931542.60343677143</v>
      </c>
      <c r="W168" s="525">
        <f t="shared" si="23"/>
        <v>933011.07230550691</v>
      </c>
      <c r="X168" s="525">
        <f t="shared" si="23"/>
        <v>934508.91055161704</v>
      </c>
    </row>
    <row r="169" spans="1:24" s="32" customFormat="1">
      <c r="A169" s="69"/>
      <c r="B169" s="90"/>
      <c r="C169" s="90"/>
      <c r="D169" s="526"/>
      <c r="E169" s="527"/>
      <c r="F169" s="527"/>
      <c r="G169" s="527"/>
      <c r="H169" s="527"/>
      <c r="I169" s="527"/>
      <c r="J169" s="527"/>
      <c r="K169" s="527"/>
      <c r="L169" s="527"/>
      <c r="M169" s="527"/>
      <c r="N169" s="527"/>
      <c r="O169" s="527"/>
      <c r="P169" s="527"/>
      <c r="Q169" s="527"/>
      <c r="R169" s="527"/>
      <c r="S169" s="527"/>
      <c r="T169" s="527"/>
      <c r="U169" s="527"/>
      <c r="V169" s="527"/>
      <c r="W169" s="527"/>
      <c r="X169" s="527"/>
    </row>
    <row r="170" spans="1:24" s="32" customFormat="1">
      <c r="A170" s="94" t="s">
        <v>137</v>
      </c>
      <c r="C170" s="69"/>
      <c r="D170" s="514">
        <v>0</v>
      </c>
      <c r="E170" s="515">
        <f>E160-E164</f>
        <v>-299391.66666666663</v>
      </c>
      <c r="F170" s="515">
        <f t="shared" ref="F170:X170" si="24">F156-F164</f>
        <v>22157.489841644303</v>
      </c>
      <c r="G170" s="515">
        <f t="shared" si="24"/>
        <v>138209.61163847713</v>
      </c>
      <c r="H170" s="515">
        <f t="shared" si="24"/>
        <v>138753.80387124664</v>
      </c>
      <c r="I170" s="515">
        <f t="shared" si="24"/>
        <v>139308.87994867156</v>
      </c>
      <c r="J170" s="515">
        <f t="shared" si="24"/>
        <v>359651.1787524448</v>
      </c>
      <c r="K170" s="515">
        <f t="shared" si="24"/>
        <v>364198.72111786198</v>
      </c>
      <c r="L170" s="515">
        <f t="shared" si="24"/>
        <v>364300.29554021941</v>
      </c>
      <c r="M170" s="515">
        <f t="shared" si="24"/>
        <v>364403.90145102341</v>
      </c>
      <c r="N170" s="515">
        <f t="shared" si="24"/>
        <v>364509.57948004408</v>
      </c>
      <c r="O170" s="515">
        <f t="shared" si="24"/>
        <v>399039.4608482648</v>
      </c>
      <c r="P170" s="515">
        <f t="shared" si="24"/>
        <v>427344.81849103788</v>
      </c>
      <c r="Q170" s="515">
        <f t="shared" si="24"/>
        <v>427456.96486085869</v>
      </c>
      <c r="R170" s="515">
        <f t="shared" si="24"/>
        <v>427571.35415807553</v>
      </c>
      <c r="S170" s="515">
        <f t="shared" si="24"/>
        <v>427688.03124123724</v>
      </c>
      <c r="T170" s="515">
        <f t="shared" si="24"/>
        <v>486197.47603522404</v>
      </c>
      <c r="U170" s="515">
        <f t="shared" si="24"/>
        <v>490645.93270338309</v>
      </c>
      <c r="V170" s="515">
        <f t="shared" si="24"/>
        <v>490769.75135745085</v>
      </c>
      <c r="W170" s="515">
        <f t="shared" si="24"/>
        <v>490896.04638459999</v>
      </c>
      <c r="X170" s="515">
        <f t="shared" si="24"/>
        <v>491024.8673122921</v>
      </c>
    </row>
    <row r="171" spans="1:24" ht="16.5" customHeight="1">
      <c r="A171" s="88" t="s">
        <v>128</v>
      </c>
      <c r="B171" s="98"/>
      <c r="C171" s="98"/>
      <c r="D171" s="528">
        <v>0</v>
      </c>
      <c r="E171" s="529">
        <f>E160-E168</f>
        <v>-1157510.8266666667</v>
      </c>
      <c r="F171" s="529">
        <f t="shared" ref="F171:X171" si="25">F160-F168</f>
        <v>-835961.67015835573</v>
      </c>
      <c r="G171" s="529">
        <f t="shared" si="25"/>
        <v>-719909.54836152284</v>
      </c>
      <c r="H171" s="529">
        <f t="shared" si="25"/>
        <v>-719365.3561287534</v>
      </c>
      <c r="I171" s="529">
        <f t="shared" si="25"/>
        <v>-718810.28005132847</v>
      </c>
      <c r="J171" s="529">
        <f t="shared" si="25"/>
        <v>-498467.98124755523</v>
      </c>
      <c r="K171" s="529">
        <f t="shared" si="25"/>
        <v>-493920.43888213811</v>
      </c>
      <c r="L171" s="529">
        <f t="shared" si="25"/>
        <v>-493818.86445978063</v>
      </c>
      <c r="M171" s="529">
        <f t="shared" si="25"/>
        <v>-493715.25854897662</v>
      </c>
      <c r="N171" s="529">
        <f t="shared" si="25"/>
        <v>-493609.58051995595</v>
      </c>
      <c r="O171" s="529">
        <f t="shared" si="25"/>
        <v>-459079.69915173529</v>
      </c>
      <c r="P171" s="529">
        <f t="shared" si="25"/>
        <v>-430774.3415089621</v>
      </c>
      <c r="Q171" s="529">
        <f t="shared" si="25"/>
        <v>-430662.19513914129</v>
      </c>
      <c r="R171" s="529">
        <f t="shared" si="25"/>
        <v>-430547.80584192451</v>
      </c>
      <c r="S171" s="529">
        <f t="shared" si="25"/>
        <v>-430431.12875876273</v>
      </c>
      <c r="T171" s="529">
        <f t="shared" si="25"/>
        <v>-371921.68396477599</v>
      </c>
      <c r="U171" s="529">
        <f t="shared" si="25"/>
        <v>-367473.22729661688</v>
      </c>
      <c r="V171" s="529">
        <f t="shared" si="25"/>
        <v>-367349.40864254918</v>
      </c>
      <c r="W171" s="529">
        <f t="shared" si="25"/>
        <v>-367223.11361540004</v>
      </c>
      <c r="X171" s="529">
        <f t="shared" si="25"/>
        <v>-367094.29268770793</v>
      </c>
    </row>
    <row r="172" spans="1:24" ht="16.5" customHeight="1">
      <c r="A172" s="88"/>
      <c r="B172" s="88"/>
      <c r="C172" s="88"/>
      <c r="D172" s="526"/>
      <c r="E172" s="527"/>
      <c r="F172" s="527"/>
      <c r="G172" s="527"/>
      <c r="H172" s="527"/>
      <c r="I172" s="527"/>
      <c r="J172" s="527"/>
      <c r="K172" s="527"/>
      <c r="L172" s="527"/>
      <c r="M172" s="527"/>
      <c r="N172" s="527"/>
      <c r="O172" s="527"/>
      <c r="P172" s="527"/>
      <c r="Q172" s="527"/>
      <c r="R172" s="527"/>
      <c r="S172" s="527"/>
      <c r="T172" s="527"/>
      <c r="U172" s="527"/>
      <c r="V172" s="527"/>
      <c r="W172" s="527"/>
      <c r="X172" s="527"/>
    </row>
    <row r="173" spans="1:24" ht="16.5" customHeight="1">
      <c r="A173" s="88" t="s">
        <v>129</v>
      </c>
      <c r="B173" s="632">
        <f>NPV(Cost_of_Money__DPC,E160:X160)</f>
        <v>7736363.7764998572</v>
      </c>
      <c r="C173" s="88"/>
      <c r="D173" s="526"/>
      <c r="E173" s="527"/>
      <c r="F173" s="527"/>
      <c r="G173" s="527"/>
      <c r="H173" s="527"/>
      <c r="I173" s="527"/>
      <c r="J173" s="527"/>
      <c r="K173" s="527"/>
      <c r="L173" s="527"/>
      <c r="M173" s="527"/>
      <c r="N173" s="527"/>
      <c r="O173" s="527"/>
      <c r="P173" s="527"/>
      <c r="Q173" s="527"/>
      <c r="R173" s="527"/>
      <c r="S173" s="527"/>
      <c r="T173" s="527"/>
      <c r="U173" s="527"/>
      <c r="V173" s="527"/>
      <c r="W173" s="527"/>
      <c r="X173" s="527"/>
    </row>
    <row r="174" spans="1:24" ht="16.5" customHeight="1">
      <c r="A174" s="300" t="s">
        <v>130</v>
      </c>
      <c r="B174" s="733">
        <f>SUM(E171:X171)</f>
        <v>-10647646.70163261</v>
      </c>
      <c r="C174" s="301"/>
      <c r="D174" s="530">
        <v>0</v>
      </c>
      <c r="E174" s="530">
        <f>E160-E168</f>
        <v>-1157510.8266666667</v>
      </c>
      <c r="F174" s="530">
        <f t="shared" ref="F174:X174" si="26">F160-F168</f>
        <v>-835961.67015835573</v>
      </c>
      <c r="G174" s="530">
        <f t="shared" si="26"/>
        <v>-719909.54836152284</v>
      </c>
      <c r="H174" s="530">
        <f t="shared" si="26"/>
        <v>-719365.3561287534</v>
      </c>
      <c r="I174" s="530">
        <f t="shared" si="26"/>
        <v>-718810.28005132847</v>
      </c>
      <c r="J174" s="530">
        <f t="shared" si="26"/>
        <v>-498467.98124755523</v>
      </c>
      <c r="K174" s="530">
        <f t="shared" si="26"/>
        <v>-493920.43888213811</v>
      </c>
      <c r="L174" s="530">
        <f t="shared" si="26"/>
        <v>-493818.86445978063</v>
      </c>
      <c r="M174" s="530">
        <f t="shared" si="26"/>
        <v>-493715.25854897662</v>
      </c>
      <c r="N174" s="530">
        <f t="shared" si="26"/>
        <v>-493609.58051995595</v>
      </c>
      <c r="O174" s="530">
        <f t="shared" si="26"/>
        <v>-459079.69915173529</v>
      </c>
      <c r="P174" s="530">
        <f t="shared" si="26"/>
        <v>-430774.3415089621</v>
      </c>
      <c r="Q174" s="530">
        <f t="shared" si="26"/>
        <v>-430662.19513914129</v>
      </c>
      <c r="R174" s="530">
        <f t="shared" si="26"/>
        <v>-430547.80584192451</v>
      </c>
      <c r="S174" s="530">
        <f t="shared" si="26"/>
        <v>-430431.12875876273</v>
      </c>
      <c r="T174" s="530">
        <f t="shared" si="26"/>
        <v>-371921.68396477599</v>
      </c>
      <c r="U174" s="530">
        <f t="shared" si="26"/>
        <v>-367473.22729661688</v>
      </c>
      <c r="V174" s="530">
        <f t="shared" si="26"/>
        <v>-367349.40864254918</v>
      </c>
      <c r="W174" s="530">
        <f t="shared" si="26"/>
        <v>-367223.11361540004</v>
      </c>
      <c r="X174" s="530">
        <f t="shared" si="26"/>
        <v>-367094.29268770793</v>
      </c>
    </row>
    <row r="175" spans="1:24" s="58" customFormat="1" ht="16.5" customHeight="1">
      <c r="A175" s="90" t="s">
        <v>32</v>
      </c>
      <c r="B175" s="792" t="e">
        <f>IRR(E174:X174)</f>
        <v>#NUM!</v>
      </c>
      <c r="C175" s="356"/>
      <c r="D175" s="502"/>
      <c r="E175" s="504"/>
      <c r="F175" s="504"/>
      <c r="G175" s="504"/>
      <c r="H175" s="504"/>
      <c r="I175" s="504"/>
      <c r="J175" s="504"/>
      <c r="K175" s="504"/>
      <c r="L175" s="504"/>
      <c r="M175" s="504"/>
      <c r="N175" s="504"/>
      <c r="O175" s="504"/>
      <c r="P175" s="504"/>
      <c r="Q175" s="504"/>
      <c r="R175" s="504"/>
      <c r="S175" s="504"/>
      <c r="T175" s="504"/>
      <c r="U175" s="504"/>
      <c r="V175" s="504"/>
      <c r="W175" s="504"/>
      <c r="X175" s="504"/>
    </row>
    <row r="176" spans="1:24">
      <c r="A176" s="30"/>
      <c r="B176" s="30"/>
      <c r="C176" s="30"/>
      <c r="D176" s="502"/>
      <c r="E176" s="512"/>
      <c r="F176" s="512"/>
      <c r="G176" s="512"/>
      <c r="H176" s="512"/>
      <c r="I176" s="512"/>
      <c r="J176" s="512"/>
      <c r="K176" s="512"/>
      <c r="L176" s="512"/>
      <c r="M176" s="512"/>
      <c r="N176" s="512"/>
      <c r="O176" s="512"/>
      <c r="P176" s="512"/>
      <c r="Q176" s="512"/>
      <c r="R176" s="512"/>
      <c r="S176" s="512"/>
      <c r="T176" s="512"/>
      <c r="U176" s="512"/>
      <c r="V176" s="512"/>
      <c r="W176" s="512"/>
      <c r="X176" s="512"/>
    </row>
    <row r="177" spans="1:24">
      <c r="A177" s="274" t="s">
        <v>28</v>
      </c>
      <c r="B177" s="275"/>
      <c r="C177" s="275"/>
      <c r="D177" s="531"/>
      <c r="E177" s="531"/>
      <c r="F177" s="531"/>
      <c r="G177" s="531"/>
      <c r="H177" s="531"/>
      <c r="I177" s="531"/>
      <c r="J177" s="531"/>
      <c r="K177" s="531"/>
      <c r="L177" s="531"/>
      <c r="M177" s="531"/>
      <c r="N177" s="531"/>
      <c r="O177" s="531"/>
      <c r="P177" s="531"/>
      <c r="Q177" s="531"/>
      <c r="R177" s="531"/>
      <c r="S177" s="531"/>
      <c r="T177" s="531"/>
      <c r="U177" s="531"/>
      <c r="V177" s="531"/>
      <c r="W177" s="531"/>
      <c r="X177" s="531"/>
    </row>
    <row r="178" spans="1:24">
      <c r="A178" s="30"/>
      <c r="B178" s="30"/>
      <c r="C178" s="30"/>
      <c r="D178" s="502"/>
      <c r="E178" s="512"/>
      <c r="F178" s="512"/>
      <c r="G178" s="512"/>
      <c r="H178" s="512"/>
      <c r="I178" s="512"/>
      <c r="J178" s="512"/>
      <c r="K178" s="512"/>
      <c r="L178" s="512"/>
      <c r="M178" s="512"/>
      <c r="N178" s="512"/>
      <c r="O178" s="512"/>
      <c r="P178" s="512"/>
      <c r="Q178" s="512"/>
      <c r="R178" s="512"/>
      <c r="S178" s="512"/>
      <c r="T178" s="512"/>
      <c r="U178" s="512"/>
      <c r="V178" s="512"/>
      <c r="W178" s="512"/>
      <c r="X178" s="512"/>
    </row>
    <row r="179" spans="1:24">
      <c r="A179" s="30" t="s">
        <v>300</v>
      </c>
      <c r="B179" s="30"/>
      <c r="C179" s="87"/>
      <c r="D179" s="502">
        <v>0</v>
      </c>
      <c r="E179" s="512"/>
      <c r="F179" s="512"/>
      <c r="G179" s="512"/>
      <c r="H179" s="512"/>
      <c r="I179" s="512"/>
      <c r="J179" s="512"/>
      <c r="K179" s="512"/>
      <c r="L179" s="512"/>
      <c r="M179" s="512"/>
      <c r="N179" s="512"/>
      <c r="O179" s="512"/>
      <c r="P179" s="512"/>
      <c r="Q179" s="512"/>
      <c r="R179" s="512"/>
      <c r="S179" s="512"/>
      <c r="T179" s="512"/>
      <c r="U179" s="512"/>
      <c r="V179" s="512"/>
      <c r="W179" s="512"/>
      <c r="X179" s="512"/>
    </row>
    <row r="180" spans="1:24">
      <c r="A180" s="30" t="s">
        <v>301</v>
      </c>
      <c r="B180" s="30"/>
      <c r="C180" s="30"/>
      <c r="D180" s="502">
        <v>0</v>
      </c>
      <c r="E180" s="512"/>
      <c r="F180" s="512"/>
      <c r="G180" s="512"/>
      <c r="H180" s="512"/>
      <c r="I180" s="512"/>
      <c r="J180" s="512"/>
      <c r="K180" s="512"/>
      <c r="L180" s="512"/>
      <c r="M180" s="512"/>
      <c r="N180" s="512"/>
      <c r="O180" s="512"/>
      <c r="P180" s="512"/>
      <c r="Q180" s="512"/>
      <c r="R180" s="512"/>
      <c r="S180" s="512"/>
      <c r="T180" s="512"/>
      <c r="U180" s="512"/>
      <c r="V180" s="512"/>
      <c r="W180" s="512"/>
      <c r="X180" s="512"/>
    </row>
    <row r="181" spans="1:24">
      <c r="A181" s="30"/>
      <c r="B181" s="30"/>
      <c r="C181" s="30"/>
      <c r="D181" s="502"/>
      <c r="E181" s="512"/>
      <c r="F181" s="512"/>
      <c r="G181" s="512"/>
      <c r="H181" s="512"/>
      <c r="I181" s="512"/>
      <c r="J181" s="512"/>
      <c r="K181" s="512"/>
      <c r="L181" s="512"/>
      <c r="M181" s="512"/>
      <c r="N181" s="512"/>
      <c r="O181" s="512"/>
      <c r="P181" s="512"/>
      <c r="Q181" s="512"/>
      <c r="R181" s="512"/>
      <c r="S181" s="512"/>
      <c r="T181" s="512"/>
      <c r="U181" s="512"/>
      <c r="V181" s="512"/>
      <c r="W181" s="512"/>
      <c r="X181" s="512"/>
    </row>
    <row r="182" spans="1:24">
      <c r="A182" s="30" t="s">
        <v>298</v>
      </c>
      <c r="B182" s="30"/>
      <c r="C182" s="30"/>
      <c r="D182" s="502">
        <v>0</v>
      </c>
      <c r="E182" s="512"/>
      <c r="F182" s="512"/>
      <c r="G182" s="512"/>
      <c r="H182" s="512"/>
      <c r="I182" s="512"/>
      <c r="J182" s="512"/>
      <c r="K182" s="512"/>
      <c r="L182" s="512"/>
      <c r="M182" s="512"/>
      <c r="N182" s="512"/>
      <c r="O182" s="512"/>
      <c r="P182" s="512"/>
      <c r="Q182" s="512"/>
      <c r="R182" s="512"/>
      <c r="S182" s="512"/>
      <c r="T182" s="512"/>
      <c r="U182" s="512"/>
      <c r="V182" s="512"/>
      <c r="W182" s="512"/>
      <c r="X182" s="512"/>
    </row>
    <row r="183" spans="1:24">
      <c r="A183" s="30" t="s">
        <v>299</v>
      </c>
      <c r="B183" s="30"/>
      <c r="C183" s="30"/>
      <c r="D183" s="502">
        <v>0</v>
      </c>
      <c r="E183" s="512"/>
      <c r="F183" s="512"/>
      <c r="G183" s="512"/>
      <c r="H183" s="512"/>
      <c r="I183" s="512"/>
      <c r="J183" s="512"/>
      <c r="K183" s="512"/>
      <c r="L183" s="512"/>
      <c r="M183" s="512"/>
      <c r="N183" s="512"/>
      <c r="O183" s="512"/>
      <c r="P183" s="512"/>
      <c r="Q183" s="512"/>
      <c r="R183" s="512"/>
      <c r="S183" s="512"/>
      <c r="T183" s="512"/>
      <c r="U183" s="512"/>
      <c r="V183" s="512"/>
      <c r="W183" s="512"/>
      <c r="X183" s="512"/>
    </row>
    <row r="184" spans="1:24">
      <c r="D184" s="502"/>
      <c r="E184" s="532"/>
      <c r="F184" s="532"/>
      <c r="G184" s="532"/>
      <c r="H184" s="532"/>
      <c r="I184" s="532"/>
      <c r="J184" s="532"/>
      <c r="K184" s="532"/>
      <c r="L184" s="532"/>
      <c r="M184" s="532"/>
      <c r="N184" s="532"/>
      <c r="O184" s="532"/>
      <c r="P184" s="532"/>
      <c r="Q184" s="532"/>
      <c r="R184" s="532"/>
      <c r="S184" s="532"/>
      <c r="T184" s="532"/>
      <c r="U184" s="532"/>
      <c r="V184" s="532"/>
      <c r="W184" s="532"/>
      <c r="X184" s="532"/>
    </row>
    <row r="185" spans="1:24">
      <c r="A185" s="131"/>
      <c r="B185" s="131"/>
      <c r="C185" s="131"/>
      <c r="D185" s="493"/>
      <c r="E185" s="334"/>
      <c r="F185" s="334"/>
      <c r="G185" s="334"/>
      <c r="H185" s="334"/>
      <c r="I185" s="334"/>
      <c r="J185" s="334"/>
      <c r="K185" s="334"/>
      <c r="L185" s="334"/>
      <c r="M185" s="334"/>
      <c r="N185" s="334"/>
      <c r="O185" s="334"/>
      <c r="P185" s="334"/>
      <c r="Q185" s="334"/>
      <c r="R185" s="334"/>
      <c r="S185" s="334"/>
      <c r="T185" s="334"/>
      <c r="U185" s="334"/>
      <c r="V185" s="334"/>
      <c r="W185" s="334"/>
      <c r="X185" s="334"/>
    </row>
    <row r="186" spans="1:24">
      <c r="D186" s="494"/>
      <c r="E186" s="327"/>
      <c r="F186" s="327"/>
      <c r="G186" s="327"/>
      <c r="H186" s="327"/>
      <c r="I186" s="327"/>
      <c r="J186" s="327"/>
      <c r="K186" s="327"/>
      <c r="L186" s="327"/>
      <c r="M186" s="327"/>
      <c r="N186" s="327"/>
      <c r="O186" s="327"/>
      <c r="P186" s="327"/>
      <c r="Q186" s="327"/>
      <c r="R186" s="327"/>
      <c r="S186" s="327"/>
      <c r="T186" s="327"/>
      <c r="U186" s="327"/>
      <c r="V186" s="327"/>
      <c r="W186" s="327"/>
      <c r="X186" s="327"/>
    </row>
    <row r="187" spans="1:24">
      <c r="A187"/>
      <c r="D187" s="494"/>
      <c r="E187" s="327"/>
      <c r="F187" s="327"/>
      <c r="G187" s="327"/>
      <c r="H187" s="327"/>
      <c r="I187" s="327"/>
      <c r="J187" s="327"/>
      <c r="K187" s="327"/>
      <c r="L187" s="327"/>
      <c r="M187" s="327"/>
      <c r="N187" s="327"/>
      <c r="O187" s="327"/>
      <c r="P187" s="327"/>
      <c r="Q187" s="327"/>
      <c r="R187" s="327"/>
      <c r="S187" s="327"/>
      <c r="T187" s="327"/>
      <c r="U187" s="327"/>
      <c r="V187" s="327"/>
      <c r="W187" s="327"/>
      <c r="X187" s="327"/>
    </row>
    <row r="188" spans="1:24">
      <c r="A188"/>
      <c r="D188" s="494"/>
      <c r="E188" s="327"/>
      <c r="F188" s="327"/>
      <c r="G188" s="327"/>
      <c r="H188" s="327"/>
      <c r="I188" s="327"/>
      <c r="J188" s="327"/>
      <c r="K188" s="327"/>
      <c r="L188" s="327"/>
      <c r="M188" s="327"/>
      <c r="N188" s="327"/>
      <c r="O188" s="327"/>
      <c r="P188" s="327"/>
      <c r="Q188" s="327"/>
      <c r="R188" s="327"/>
      <c r="S188" s="327"/>
      <c r="T188" s="327"/>
      <c r="U188" s="327"/>
      <c r="V188" s="327"/>
      <c r="W188" s="327"/>
      <c r="X188" s="327"/>
    </row>
    <row r="189" spans="1:24">
      <c r="D189" s="494"/>
      <c r="E189" s="327"/>
      <c r="F189" s="327"/>
      <c r="G189" s="327"/>
      <c r="H189" s="362"/>
      <c r="I189" s="327"/>
      <c r="J189" s="327"/>
      <c r="K189" s="327"/>
      <c r="L189" s="327"/>
      <c r="M189" s="327"/>
      <c r="N189" s="327"/>
      <c r="O189" s="327"/>
      <c r="P189" s="327"/>
      <c r="Q189" s="327"/>
      <c r="R189" s="327"/>
      <c r="S189" s="327"/>
      <c r="T189" s="327"/>
      <c r="U189" s="327"/>
      <c r="V189" s="327"/>
      <c r="W189" s="327"/>
      <c r="X189" s="327"/>
    </row>
    <row r="190" spans="1:24">
      <c r="D190" s="326"/>
      <c r="E190" s="327"/>
      <c r="F190" s="327"/>
      <c r="G190" s="327"/>
      <c r="H190" s="359"/>
      <c r="I190" s="327"/>
      <c r="J190" s="327"/>
      <c r="K190" s="327"/>
      <c r="L190" s="327"/>
      <c r="M190" s="327"/>
      <c r="N190" s="327"/>
      <c r="O190" s="327"/>
      <c r="P190" s="327"/>
      <c r="Q190" s="327"/>
      <c r="R190" s="327"/>
      <c r="S190" s="327"/>
      <c r="T190" s="327"/>
      <c r="U190" s="327"/>
      <c r="V190" s="327"/>
      <c r="W190" s="327"/>
      <c r="X190" s="327"/>
    </row>
    <row r="191" spans="1:24">
      <c r="H191" s="305"/>
    </row>
    <row r="192" spans="1:24">
      <c r="H192" s="30"/>
    </row>
    <row r="193" spans="8:8">
      <c r="H193" s="87"/>
    </row>
    <row r="195" spans="8:8">
      <c r="H195" s="360"/>
    </row>
    <row r="196" spans="8:8">
      <c r="H196" s="361"/>
    </row>
  </sheetData>
  <pageMargins left="0.7" right="0.7" top="0.75" bottom="0.75" header="0.3" footer="0.3"/>
  <pageSetup paperSize="9" scale="2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XFD196"/>
  <sheetViews>
    <sheetView topLeftCell="A79" zoomScale="62" zoomScaleNormal="55" workbookViewId="0">
      <selection activeCell="A117" sqref="A117:XFD117"/>
    </sheetView>
  </sheetViews>
  <sheetFormatPr defaultColWidth="9" defaultRowHeight="16.5"/>
  <cols>
    <col min="1" max="1" width="71.875" style="18" customWidth="1"/>
    <col min="2" max="2" width="17.625" style="18" bestFit="1" customWidth="1"/>
    <col min="3" max="3" width="8" style="18" bestFit="1" customWidth="1"/>
    <col min="4" max="4" width="8" style="262" bestFit="1" customWidth="1"/>
    <col min="5" max="5" width="17.625" style="18" bestFit="1" customWidth="1"/>
    <col min="6" max="6" width="16.5" style="18" bestFit="1" customWidth="1"/>
    <col min="7" max="8" width="17.25" style="18" bestFit="1" customWidth="1"/>
    <col min="9" max="9" width="16.875" style="18" bestFit="1" customWidth="1"/>
    <col min="10" max="10" width="17.25" style="18" bestFit="1" customWidth="1"/>
    <col min="11" max="11" width="17.625" style="18" bestFit="1" customWidth="1"/>
    <col min="12" max="12" width="17.25" style="18" bestFit="1" customWidth="1"/>
    <col min="13" max="13" width="16.875" style="18" bestFit="1" customWidth="1"/>
    <col min="14" max="15" width="17.625" style="18" bestFit="1" customWidth="1"/>
    <col min="16" max="16" width="17.25" style="18" bestFit="1" customWidth="1"/>
    <col min="17" max="17" width="17.625" style="18" bestFit="1" customWidth="1"/>
    <col min="18" max="18" width="17.25" style="18" bestFit="1" customWidth="1"/>
    <col min="19" max="20" width="17.625" style="18" bestFit="1" customWidth="1"/>
    <col min="21" max="22" width="17.25" style="18" bestFit="1" customWidth="1"/>
    <col min="23" max="23" width="17.625" style="18" bestFit="1" customWidth="1"/>
    <col min="24" max="24" width="17.25" style="18" bestFit="1" customWidth="1"/>
    <col min="25" max="25" width="22.625" style="18" bestFit="1" customWidth="1"/>
    <col min="26" max="16384" width="9" style="18"/>
  </cols>
  <sheetData>
    <row r="1" spans="1:25" ht="18.75" thickBot="1">
      <c r="A1" s="11" t="str">
        <f>Intro!A1</f>
        <v>Town of Bar Harbor</v>
      </c>
      <c r="B1" s="27"/>
      <c r="C1" s="17"/>
      <c r="D1" s="260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</row>
    <row r="2" spans="1:25" ht="17.25" thickBot="1">
      <c r="A2" s="380" t="str">
        <f>Intro!A2</f>
        <v>Ferry Property Business Plan</v>
      </c>
      <c r="B2" s="13"/>
      <c r="C2" s="17"/>
      <c r="D2" s="260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</row>
    <row r="3" spans="1:25" s="381" customFormat="1" ht="14.25" thickBot="1">
      <c r="A3" s="384" t="str">
        <f>Intro!A3</f>
        <v>05.23.2018</v>
      </c>
      <c r="B3" s="304"/>
      <c r="C3" s="387"/>
      <c r="D3" s="388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7"/>
      <c r="X3" s="387"/>
    </row>
    <row r="4" spans="1:25" s="381" customFormat="1" ht="13.5">
      <c r="A4" s="384" t="str">
        <f ca="1">Intro!A4</f>
        <v>Town of Bar Harbor</v>
      </c>
      <c r="B4" s="382"/>
      <c r="C4" s="383">
        <f ca="1">NOW()</f>
        <v>43242.835659143515</v>
      </c>
      <c r="D4" s="388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  <c r="Q4" s="387"/>
      <c r="R4" s="387"/>
      <c r="S4" s="387"/>
      <c r="T4" s="387"/>
      <c r="U4" s="387"/>
      <c r="V4" s="387"/>
      <c r="W4" s="387"/>
      <c r="X4" s="387"/>
    </row>
    <row r="5" spans="1:25">
      <c r="A5" s="244" t="s">
        <v>343</v>
      </c>
      <c r="B5" s="244"/>
      <c r="C5" s="245"/>
      <c r="D5" s="261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</row>
    <row r="6" spans="1:25">
      <c r="D6" s="485"/>
    </row>
    <row r="7" spans="1:25">
      <c r="A7" s="22"/>
      <c r="B7" s="71"/>
      <c r="C7" s="71"/>
      <c r="D7" s="72">
        <f>'Cruise Projections'!T7</f>
        <v>2018</v>
      </c>
      <c r="E7" s="72">
        <f>'Cruise Projections'!U7</f>
        <v>2019</v>
      </c>
      <c r="F7" s="72">
        <f>'Cruise Projections'!V7</f>
        <v>2020</v>
      </c>
      <c r="G7" s="72">
        <f>'Cruise Projections'!W7</f>
        <v>2021</v>
      </c>
      <c r="H7" s="72">
        <f>'Cruise Projections'!X7</f>
        <v>2022</v>
      </c>
      <c r="I7" s="72">
        <f>'Cruise Projections'!Y7</f>
        <v>2023</v>
      </c>
      <c r="J7" s="72">
        <f>'Cruise Projections'!Z7</f>
        <v>2024</v>
      </c>
      <c r="K7" s="72">
        <f>'Cruise Projections'!AA7</f>
        <v>2025</v>
      </c>
      <c r="L7" s="72">
        <f>'Cruise Projections'!AB7</f>
        <v>2026</v>
      </c>
      <c r="M7" s="72">
        <f>'Cruise Projections'!AC7</f>
        <v>2027</v>
      </c>
      <c r="N7" s="72">
        <f>'Cruise Projections'!AD7</f>
        <v>2028</v>
      </c>
      <c r="O7" s="72">
        <f>'Cruise Projections'!AE7</f>
        <v>2029</v>
      </c>
      <c r="P7" s="72">
        <f>'Cruise Projections'!AF7</f>
        <v>2030</v>
      </c>
      <c r="Q7" s="72">
        <f>'Cruise Projections'!AG7</f>
        <v>2031</v>
      </c>
      <c r="R7" s="72">
        <f>'Cruise Projections'!AH7</f>
        <v>2032</v>
      </c>
      <c r="S7" s="72">
        <f>'Cruise Projections'!AI7</f>
        <v>2033</v>
      </c>
      <c r="T7" s="72">
        <f>'Cruise Projections'!AJ7</f>
        <v>2034</v>
      </c>
      <c r="U7" s="72">
        <f>'Cruise Projections'!AK7</f>
        <v>2035</v>
      </c>
      <c r="V7" s="72">
        <f>'Cruise Projections'!AL7</f>
        <v>2036</v>
      </c>
      <c r="W7" s="72">
        <f>'Cruise Projections'!AM7</f>
        <v>2037</v>
      </c>
      <c r="X7" s="72">
        <f>'Cruise Projections'!AN7</f>
        <v>2038</v>
      </c>
    </row>
    <row r="8" spans="1:25" ht="17.25" thickBot="1">
      <c r="D8" s="488"/>
    </row>
    <row r="9" spans="1:25" ht="17.25" thickBot="1">
      <c r="A9" s="117" t="s">
        <v>34</v>
      </c>
      <c r="B9" s="484" t="str">
        <f>'Cruise Projections'!A95</f>
        <v>Scenario 6 - All</v>
      </c>
      <c r="D9" s="489"/>
      <c r="E9" s="327"/>
      <c r="F9" s="327"/>
      <c r="G9" s="327"/>
      <c r="H9" s="327"/>
      <c r="I9" s="327"/>
      <c r="J9" s="327"/>
      <c r="K9" s="327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</row>
    <row r="10" spans="1:25">
      <c r="D10" s="489"/>
      <c r="E10" s="327"/>
      <c r="F10" s="327"/>
      <c r="G10" s="327"/>
      <c r="H10" s="327"/>
      <c r="I10" s="327"/>
      <c r="J10" s="327"/>
      <c r="K10" s="327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</row>
    <row r="11" spans="1:25" s="279" customFormat="1" ht="14.25">
      <c r="A11" s="279" t="s">
        <v>83</v>
      </c>
      <c r="D11" s="490"/>
      <c r="E11" s="328"/>
      <c r="F11" s="328"/>
      <c r="G11" s="328"/>
      <c r="H11" s="328"/>
      <c r="I11" s="328"/>
      <c r="J11" s="328"/>
      <c r="K11" s="328"/>
      <c r="L11" s="328"/>
      <c r="M11" s="328"/>
      <c r="N11" s="328"/>
      <c r="O11" s="328"/>
      <c r="P11" s="328"/>
      <c r="Q11" s="328"/>
      <c r="R11" s="328"/>
      <c r="S11" s="328"/>
      <c r="T11" s="328"/>
      <c r="U11" s="328"/>
      <c r="V11" s="328"/>
      <c r="W11" s="328"/>
      <c r="X11" s="328"/>
    </row>
    <row r="12" spans="1:25">
      <c r="A12" s="53" t="str">
        <f>'Cruise Projections'!A67</f>
        <v>Passengers</v>
      </c>
      <c r="B12" s="21"/>
      <c r="C12" s="21"/>
      <c r="D12" s="486">
        <f>'Cruise Projections'!T67</f>
        <v>0</v>
      </c>
      <c r="E12" s="313">
        <v>0</v>
      </c>
      <c r="F12" s="313">
        <f>'Cruise Projections'!V97</f>
        <v>261573</v>
      </c>
      <c r="G12" s="313">
        <f>'Cruise Projections'!W97</f>
        <v>261573</v>
      </c>
      <c r="H12" s="313">
        <f>'Cruise Projections'!X97</f>
        <v>261573</v>
      </c>
      <c r="I12" s="313">
        <f>'Cruise Projections'!Y97</f>
        <v>261573</v>
      </c>
      <c r="J12" s="313">
        <f>'Cruise Projections'!Z97</f>
        <v>261573</v>
      </c>
      <c r="K12" s="313">
        <f>'Cruise Projections'!AA97</f>
        <v>261573</v>
      </c>
      <c r="L12" s="313">
        <f>'Cruise Projections'!AB97</f>
        <v>261573</v>
      </c>
      <c r="M12" s="313">
        <f>'Cruise Projections'!AC97</f>
        <v>261573</v>
      </c>
      <c r="N12" s="313">
        <f>'Cruise Projections'!AD97</f>
        <v>261573</v>
      </c>
      <c r="O12" s="313">
        <f>'Cruise Projections'!AE97</f>
        <v>261573</v>
      </c>
      <c r="P12" s="313">
        <f>'Cruise Projections'!AF97</f>
        <v>261573</v>
      </c>
      <c r="Q12" s="313">
        <f>'Cruise Projections'!AG97</f>
        <v>261573</v>
      </c>
      <c r="R12" s="313">
        <f>'Cruise Projections'!AH97</f>
        <v>261573</v>
      </c>
      <c r="S12" s="313">
        <f>'Cruise Projections'!AI97</f>
        <v>261573</v>
      </c>
      <c r="T12" s="313">
        <f>'Cruise Projections'!AJ97</f>
        <v>261573</v>
      </c>
      <c r="U12" s="313">
        <f>'Cruise Projections'!AK97</f>
        <v>261573</v>
      </c>
      <c r="V12" s="313">
        <f>'Cruise Projections'!AL97</f>
        <v>261573</v>
      </c>
      <c r="W12" s="313">
        <f>'Cruise Projections'!AM97</f>
        <v>261573</v>
      </c>
      <c r="X12" s="313">
        <f>'Cruise Projections'!AN97</f>
        <v>261573</v>
      </c>
      <c r="Y12" s="312"/>
    </row>
    <row r="13" spans="1:25">
      <c r="A13" s="53" t="str">
        <f>'Cruise Projections'!A68</f>
        <v>Calls</v>
      </c>
      <c r="B13" s="21"/>
      <c r="C13" s="21"/>
      <c r="D13" s="486">
        <f>'Cruise Projections'!T68</f>
        <v>0</v>
      </c>
      <c r="E13" s="313">
        <v>0</v>
      </c>
      <c r="F13" s="313">
        <f>'Cruise Projections'!V98</f>
        <v>172</v>
      </c>
      <c r="G13" s="313">
        <f>'Cruise Projections'!W98</f>
        <v>172</v>
      </c>
      <c r="H13" s="313">
        <f>'Cruise Projections'!X98</f>
        <v>172</v>
      </c>
      <c r="I13" s="313">
        <f>'Cruise Projections'!Y98</f>
        <v>172</v>
      </c>
      <c r="J13" s="313">
        <f>'Cruise Projections'!Z98</f>
        <v>172</v>
      </c>
      <c r="K13" s="313">
        <f>'Cruise Projections'!AA98</f>
        <v>172</v>
      </c>
      <c r="L13" s="313">
        <f>'Cruise Projections'!AB98</f>
        <v>172</v>
      </c>
      <c r="M13" s="313">
        <f>'Cruise Projections'!AC98</f>
        <v>172</v>
      </c>
      <c r="N13" s="313">
        <f>'Cruise Projections'!AD98</f>
        <v>172</v>
      </c>
      <c r="O13" s="313">
        <f>'Cruise Projections'!AE98</f>
        <v>172</v>
      </c>
      <c r="P13" s="313">
        <f>'Cruise Projections'!AF98</f>
        <v>172</v>
      </c>
      <c r="Q13" s="313">
        <f>'Cruise Projections'!AG98</f>
        <v>172</v>
      </c>
      <c r="R13" s="313">
        <f>'Cruise Projections'!AH98</f>
        <v>172</v>
      </c>
      <c r="S13" s="313">
        <f>'Cruise Projections'!AI98</f>
        <v>172</v>
      </c>
      <c r="T13" s="313">
        <f>'Cruise Projections'!AJ98</f>
        <v>172</v>
      </c>
      <c r="U13" s="313">
        <f>'Cruise Projections'!AK98</f>
        <v>172</v>
      </c>
      <c r="V13" s="313">
        <f>'Cruise Projections'!AL98</f>
        <v>172</v>
      </c>
      <c r="W13" s="313">
        <f>'Cruise Projections'!AM98</f>
        <v>172</v>
      </c>
      <c r="X13" s="313">
        <f>'Cruise Projections'!AN98</f>
        <v>172</v>
      </c>
      <c r="Y13" s="312"/>
    </row>
    <row r="14" spans="1:25">
      <c r="A14" s="53" t="str">
        <f>'Cruise Projections'!A69</f>
        <v>Passengers per Call</v>
      </c>
      <c r="B14" s="21"/>
      <c r="C14" s="21"/>
      <c r="D14" s="486">
        <f>'Cruise Projections'!T69</f>
        <v>0</v>
      </c>
      <c r="E14" s="313">
        <v>0</v>
      </c>
      <c r="F14" s="313">
        <f>'Cruise Projections'!V100</f>
        <v>1520.7732558139535</v>
      </c>
      <c r="G14" s="313">
        <f>'Cruise Projections'!W100</f>
        <v>1520.7732558139535</v>
      </c>
      <c r="H14" s="313">
        <f>'Cruise Projections'!X100</f>
        <v>1520.7732558139535</v>
      </c>
      <c r="I14" s="313">
        <f>'Cruise Projections'!Y100</f>
        <v>1520.7732558139535</v>
      </c>
      <c r="J14" s="313">
        <f>'Cruise Projections'!Z100</f>
        <v>1520.7732558139535</v>
      </c>
      <c r="K14" s="313">
        <f>'Cruise Projections'!AA100</f>
        <v>1520.7732558139535</v>
      </c>
      <c r="L14" s="313">
        <f>'Cruise Projections'!AB100</f>
        <v>1520.7732558139535</v>
      </c>
      <c r="M14" s="313">
        <f>'Cruise Projections'!AC100</f>
        <v>1520.7732558139535</v>
      </c>
      <c r="N14" s="313">
        <f>'Cruise Projections'!AD100</f>
        <v>1520.7732558139535</v>
      </c>
      <c r="O14" s="313">
        <f>'Cruise Projections'!AE100</f>
        <v>1520.7732558139535</v>
      </c>
      <c r="P14" s="313">
        <f>'Cruise Projections'!AF100</f>
        <v>1520.7732558139535</v>
      </c>
      <c r="Q14" s="313">
        <f>'Cruise Projections'!AG100</f>
        <v>1520.7732558139535</v>
      </c>
      <c r="R14" s="313">
        <f>'Cruise Projections'!AH100</f>
        <v>1520.7732558139535</v>
      </c>
      <c r="S14" s="313">
        <f>'Cruise Projections'!AI100</f>
        <v>1520.7732558139535</v>
      </c>
      <c r="T14" s="313">
        <f>'Cruise Projections'!AJ100</f>
        <v>1520.7732558139535</v>
      </c>
      <c r="U14" s="313">
        <f>'Cruise Projections'!AK100</f>
        <v>1520.7732558139535</v>
      </c>
      <c r="V14" s="313">
        <f>'Cruise Projections'!AL100</f>
        <v>1520.7732558139535</v>
      </c>
      <c r="W14" s="313">
        <f>'Cruise Projections'!AM100</f>
        <v>1520.7732558139535</v>
      </c>
      <c r="X14" s="313">
        <f>'Cruise Projections'!AN100</f>
        <v>1520.7732558139535</v>
      </c>
      <c r="Y14" s="312"/>
    </row>
    <row r="15" spans="1:25" s="96" customFormat="1">
      <c r="A15" s="54" t="s">
        <v>313</v>
      </c>
      <c r="B15" s="487"/>
      <c r="C15" s="487"/>
      <c r="D15" s="486">
        <f>'Cruise Projections'!T70</f>
        <v>0</v>
      </c>
      <c r="E15" s="313">
        <v>0</v>
      </c>
      <c r="F15" s="313">
        <f>'Shuttle Projections'!D24</f>
        <v>4120</v>
      </c>
      <c r="G15" s="313">
        <f>'Shuttle Projections'!E24</f>
        <v>4120</v>
      </c>
      <c r="H15" s="313">
        <f>'Shuttle Projections'!F24</f>
        <v>4120</v>
      </c>
      <c r="I15" s="313">
        <f>'Shuttle Projections'!G24</f>
        <v>4120</v>
      </c>
      <c r="J15" s="313">
        <f>'Shuttle Projections'!H24</f>
        <v>4120</v>
      </c>
      <c r="K15" s="313">
        <f>'Shuttle Projections'!I24</f>
        <v>4120</v>
      </c>
      <c r="L15" s="313">
        <f>'Shuttle Projections'!J24</f>
        <v>4120</v>
      </c>
      <c r="M15" s="313">
        <f>'Shuttle Projections'!K24</f>
        <v>4120</v>
      </c>
      <c r="N15" s="313">
        <f>'Shuttle Projections'!L24</f>
        <v>4120</v>
      </c>
      <c r="O15" s="313">
        <f>'Shuttle Projections'!M24</f>
        <v>4120</v>
      </c>
      <c r="P15" s="313">
        <f>'Shuttle Projections'!N24</f>
        <v>4120</v>
      </c>
      <c r="Q15" s="313">
        <f>'Shuttle Projections'!O24</f>
        <v>4120</v>
      </c>
      <c r="R15" s="313">
        <f>'Shuttle Projections'!P24</f>
        <v>4120</v>
      </c>
      <c r="S15" s="313">
        <f>'Shuttle Projections'!Q24</f>
        <v>4120</v>
      </c>
      <c r="T15" s="313">
        <f>'Shuttle Projections'!R24</f>
        <v>4120</v>
      </c>
      <c r="U15" s="313">
        <f>'Shuttle Projections'!S24</f>
        <v>4120</v>
      </c>
      <c r="V15" s="313">
        <f>'Shuttle Projections'!T24</f>
        <v>4120</v>
      </c>
      <c r="W15" s="313">
        <f>'Shuttle Projections'!U24</f>
        <v>4120</v>
      </c>
      <c r="X15" s="313">
        <f>'Shuttle Projections'!V24</f>
        <v>4120</v>
      </c>
      <c r="Y15" s="313"/>
    </row>
    <row r="16" spans="1:25">
      <c r="A16" s="54"/>
      <c r="B16" s="21"/>
      <c r="C16" s="21"/>
      <c r="D16" s="486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</row>
    <row r="17" spans="1:25" s="547" customFormat="1" ht="14.25">
      <c r="A17" s="549" t="s">
        <v>163</v>
      </c>
      <c r="B17" s="550"/>
      <c r="C17" s="550"/>
      <c r="D17" s="610"/>
      <c r="E17" s="551"/>
      <c r="F17" s="551"/>
      <c r="G17" s="551"/>
      <c r="H17" s="551"/>
      <c r="I17" s="551"/>
      <c r="J17" s="551"/>
      <c r="K17" s="551"/>
      <c r="L17" s="551"/>
      <c r="M17" s="551"/>
      <c r="N17" s="551"/>
      <c r="O17" s="551"/>
      <c r="P17" s="551"/>
      <c r="Q17" s="551"/>
      <c r="R17" s="551"/>
      <c r="S17" s="551"/>
      <c r="T17" s="551"/>
      <c r="U17" s="551"/>
      <c r="V17" s="551"/>
      <c r="W17" s="551"/>
      <c r="X17" s="551"/>
    </row>
    <row r="18" spans="1:25" s="341" customFormat="1">
      <c r="A18" s="552" t="str">
        <f>'International Ferry Projections'!A11</f>
        <v>Passengers</v>
      </c>
      <c r="B18" s="553"/>
      <c r="C18" s="553"/>
      <c r="D18" s="554">
        <f>'International Ferry Projections'!B11</f>
        <v>0</v>
      </c>
      <c r="E18" s="555">
        <f>'International Ferry Projections'!C11</f>
        <v>60000</v>
      </c>
      <c r="F18" s="555">
        <f>'International Ferry Projections'!D11</f>
        <v>70000</v>
      </c>
      <c r="G18" s="555">
        <f>'International Ferry Projections'!E11</f>
        <v>80000</v>
      </c>
      <c r="H18" s="555">
        <f>'International Ferry Projections'!F11</f>
        <v>80000</v>
      </c>
      <c r="I18" s="555">
        <f>'International Ferry Projections'!G11</f>
        <v>80000</v>
      </c>
      <c r="J18" s="555">
        <f>'International Ferry Projections'!H11</f>
        <v>80000</v>
      </c>
      <c r="K18" s="555">
        <f>'International Ferry Projections'!I11</f>
        <v>80000</v>
      </c>
      <c r="L18" s="555">
        <f>'International Ferry Projections'!J11</f>
        <v>80000</v>
      </c>
      <c r="M18" s="555">
        <f>'International Ferry Projections'!K11</f>
        <v>80000</v>
      </c>
      <c r="N18" s="555">
        <f>'International Ferry Projections'!L11</f>
        <v>80000</v>
      </c>
      <c r="O18" s="555">
        <f>'International Ferry Projections'!M11</f>
        <v>80000</v>
      </c>
      <c r="P18" s="555">
        <f>'International Ferry Projections'!N11</f>
        <v>80000</v>
      </c>
      <c r="Q18" s="555">
        <f>'International Ferry Projections'!O11</f>
        <v>80000</v>
      </c>
      <c r="R18" s="555">
        <f>'International Ferry Projections'!P11</f>
        <v>80000</v>
      </c>
      <c r="S18" s="555">
        <f>'International Ferry Projections'!Q11</f>
        <v>80000</v>
      </c>
      <c r="T18" s="555">
        <f>'International Ferry Projections'!R11</f>
        <v>80000</v>
      </c>
      <c r="U18" s="555">
        <f>'International Ferry Projections'!S11</f>
        <v>80000</v>
      </c>
      <c r="V18" s="555">
        <f>'International Ferry Projections'!T11</f>
        <v>80000</v>
      </c>
      <c r="W18" s="555">
        <f>'International Ferry Projections'!U11</f>
        <v>80000</v>
      </c>
      <c r="X18" s="555">
        <f>'International Ferry Projections'!V11</f>
        <v>80000</v>
      </c>
    </row>
    <row r="19" spans="1:25" s="341" customFormat="1">
      <c r="A19" s="552" t="str">
        <f>'International Ferry Projections'!A12</f>
        <v>Cars</v>
      </c>
      <c r="B19" s="553"/>
      <c r="C19" s="553"/>
      <c r="D19" s="554">
        <f>'International Ferry Projections'!B12</f>
        <v>0</v>
      </c>
      <c r="E19" s="555">
        <f>'International Ferry Projections'!C12</f>
        <v>24000</v>
      </c>
      <c r="F19" s="555">
        <f>'International Ferry Projections'!D12</f>
        <v>28000</v>
      </c>
      <c r="G19" s="555">
        <f>'International Ferry Projections'!E12</f>
        <v>32000</v>
      </c>
      <c r="H19" s="555">
        <f>'International Ferry Projections'!F12</f>
        <v>32000</v>
      </c>
      <c r="I19" s="555">
        <f>'International Ferry Projections'!G12</f>
        <v>32000</v>
      </c>
      <c r="J19" s="555">
        <f>'International Ferry Projections'!H12</f>
        <v>32000</v>
      </c>
      <c r="K19" s="555">
        <f>'International Ferry Projections'!I12</f>
        <v>32000</v>
      </c>
      <c r="L19" s="555">
        <f>'International Ferry Projections'!J12</f>
        <v>32000</v>
      </c>
      <c r="M19" s="555">
        <f>'International Ferry Projections'!K12</f>
        <v>32000</v>
      </c>
      <c r="N19" s="555">
        <f>'International Ferry Projections'!L12</f>
        <v>32000</v>
      </c>
      <c r="O19" s="555">
        <f>'International Ferry Projections'!M12</f>
        <v>32000</v>
      </c>
      <c r="P19" s="555">
        <f>'International Ferry Projections'!N12</f>
        <v>32000</v>
      </c>
      <c r="Q19" s="555">
        <f>'International Ferry Projections'!O12</f>
        <v>32000</v>
      </c>
      <c r="R19" s="555">
        <f>'International Ferry Projections'!P12</f>
        <v>32000</v>
      </c>
      <c r="S19" s="555">
        <f>'International Ferry Projections'!Q12</f>
        <v>32000</v>
      </c>
      <c r="T19" s="555">
        <f>'International Ferry Projections'!R12</f>
        <v>32000</v>
      </c>
      <c r="U19" s="555">
        <f>'International Ferry Projections'!S12</f>
        <v>32000</v>
      </c>
      <c r="V19" s="555">
        <f>'International Ferry Projections'!T12</f>
        <v>32000</v>
      </c>
      <c r="W19" s="555">
        <f>'International Ferry Projections'!U12</f>
        <v>32000</v>
      </c>
      <c r="X19" s="555">
        <f>'International Ferry Projections'!V12</f>
        <v>32000</v>
      </c>
    </row>
    <row r="20" spans="1:25" s="341" customFormat="1">
      <c r="A20" s="552" t="str">
        <f>'International Ferry Projections'!A13</f>
        <v>Buses</v>
      </c>
      <c r="B20" s="553"/>
      <c r="C20" s="553"/>
      <c r="D20" s="554">
        <f>'International Ferry Projections'!B13</f>
        <v>0</v>
      </c>
      <c r="E20" s="555">
        <f>'International Ferry Projections'!C13</f>
        <v>40</v>
      </c>
      <c r="F20" s="555">
        <f>'International Ferry Projections'!D13</f>
        <v>50</v>
      </c>
      <c r="G20" s="555">
        <f>'International Ferry Projections'!E13</f>
        <v>60</v>
      </c>
      <c r="H20" s="555">
        <f>'International Ferry Projections'!F13</f>
        <v>60</v>
      </c>
      <c r="I20" s="555">
        <f>'International Ferry Projections'!G13</f>
        <v>60</v>
      </c>
      <c r="J20" s="555">
        <f>'International Ferry Projections'!H13</f>
        <v>60</v>
      </c>
      <c r="K20" s="555">
        <f>'International Ferry Projections'!I13</f>
        <v>60</v>
      </c>
      <c r="L20" s="555">
        <f>'International Ferry Projections'!J13</f>
        <v>60</v>
      </c>
      <c r="M20" s="555">
        <f>'International Ferry Projections'!K13</f>
        <v>60</v>
      </c>
      <c r="N20" s="555">
        <f>'International Ferry Projections'!L13</f>
        <v>60</v>
      </c>
      <c r="O20" s="555">
        <f>'International Ferry Projections'!M13</f>
        <v>60</v>
      </c>
      <c r="P20" s="555">
        <f>'International Ferry Projections'!N13</f>
        <v>60</v>
      </c>
      <c r="Q20" s="555">
        <f>'International Ferry Projections'!O13</f>
        <v>60</v>
      </c>
      <c r="R20" s="555">
        <f>'International Ferry Projections'!P13</f>
        <v>60</v>
      </c>
      <c r="S20" s="555">
        <f>'International Ferry Projections'!Q13</f>
        <v>60</v>
      </c>
      <c r="T20" s="555">
        <f>'International Ferry Projections'!R13</f>
        <v>60</v>
      </c>
      <c r="U20" s="555">
        <f>'International Ferry Projections'!S13</f>
        <v>60</v>
      </c>
      <c r="V20" s="555">
        <f>'International Ferry Projections'!T13</f>
        <v>60</v>
      </c>
      <c r="W20" s="555">
        <f>'International Ferry Projections'!U13</f>
        <v>60</v>
      </c>
      <c r="X20" s="555">
        <f>'International Ferry Projections'!V13</f>
        <v>60</v>
      </c>
    </row>
    <row r="21" spans="1:25">
      <c r="A21" s="54"/>
      <c r="B21" s="21"/>
      <c r="C21" s="21"/>
      <c r="D21" s="486"/>
      <c r="E21" s="313"/>
      <c r="F21" s="313"/>
      <c r="G21" s="313"/>
      <c r="H21" s="313"/>
      <c r="I21" s="313"/>
      <c r="J21" s="313"/>
      <c r="K21" s="313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</row>
    <row r="22" spans="1:25" s="582" customFormat="1">
      <c r="A22" s="293" t="str">
        <f>'BH Tariffs'!A30</f>
        <v>Local Ferry</v>
      </c>
      <c r="B22" s="581"/>
      <c r="C22" s="581"/>
      <c r="D22" s="486">
        <v>0</v>
      </c>
      <c r="E22" s="329"/>
      <c r="F22" s="329"/>
      <c r="G22" s="329"/>
      <c r="H22" s="329"/>
      <c r="I22" s="329"/>
      <c r="J22" s="329"/>
      <c r="K22" s="329"/>
      <c r="L22" s="329"/>
      <c r="M22" s="329"/>
      <c r="N22" s="329"/>
      <c r="O22" s="329"/>
      <c r="P22" s="329"/>
      <c r="Q22" s="329"/>
      <c r="R22" s="329"/>
      <c r="S22" s="329"/>
      <c r="T22" s="329"/>
      <c r="U22" s="329"/>
      <c r="V22" s="329"/>
      <c r="W22" s="329"/>
      <c r="X22" s="329"/>
    </row>
    <row r="23" spans="1:25" s="96" customFormat="1">
      <c r="A23" s="54" t="str">
        <f>'BH Tariffs'!A31</f>
        <v>Dock Rent (6 Months Only)</v>
      </c>
      <c r="B23" s="487"/>
      <c r="C23" s="487"/>
      <c r="D23" s="486">
        <v>0</v>
      </c>
      <c r="E23" s="623" t="s">
        <v>286</v>
      </c>
      <c r="F23" s="623" t="s">
        <v>286</v>
      </c>
      <c r="G23" s="623" t="s">
        <v>286</v>
      </c>
      <c r="H23" s="623" t="s">
        <v>286</v>
      </c>
      <c r="I23" s="623" t="s">
        <v>286</v>
      </c>
      <c r="J23" s="623" t="s">
        <v>286</v>
      </c>
      <c r="K23" s="623" t="s">
        <v>286</v>
      </c>
      <c r="L23" s="623" t="s">
        <v>286</v>
      </c>
      <c r="M23" s="623" t="s">
        <v>286</v>
      </c>
      <c r="N23" s="623" t="s">
        <v>286</v>
      </c>
      <c r="O23" s="623" t="s">
        <v>286</v>
      </c>
      <c r="P23" s="623" t="s">
        <v>286</v>
      </c>
      <c r="Q23" s="623" t="s">
        <v>286</v>
      </c>
      <c r="R23" s="623" t="s">
        <v>286</v>
      </c>
      <c r="S23" s="623" t="s">
        <v>286</v>
      </c>
      <c r="T23" s="623" t="s">
        <v>286</v>
      </c>
      <c r="U23" s="623" t="s">
        <v>286</v>
      </c>
      <c r="V23" s="623" t="s">
        <v>286</v>
      </c>
      <c r="W23" s="623" t="s">
        <v>286</v>
      </c>
      <c r="X23" s="623" t="s">
        <v>286</v>
      </c>
    </row>
    <row r="24" spans="1:25" s="341" customFormat="1">
      <c r="A24" s="552"/>
      <c r="B24" s="553"/>
      <c r="C24" s="553"/>
      <c r="D24" s="554"/>
      <c r="E24" s="555"/>
      <c r="F24" s="555"/>
      <c r="G24" s="555"/>
      <c r="H24" s="555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</row>
    <row r="25" spans="1:25" s="96" customFormat="1">
      <c r="A25" s="559" t="s">
        <v>227</v>
      </c>
      <c r="B25" s="487"/>
      <c r="C25" s="487"/>
      <c r="D25" s="486"/>
      <c r="E25" s="313"/>
      <c r="F25" s="313"/>
      <c r="G25" s="313"/>
      <c r="H25" s="313"/>
      <c r="I25" s="313"/>
      <c r="J25" s="313"/>
      <c r="K25" s="313"/>
      <c r="L25" s="313"/>
      <c r="M25" s="313"/>
      <c r="N25" s="313"/>
      <c r="O25" s="313"/>
      <c r="P25" s="313"/>
      <c r="Q25" s="313"/>
      <c r="R25" s="313"/>
      <c r="S25" s="313"/>
      <c r="T25" s="313"/>
      <c r="U25" s="313"/>
      <c r="V25" s="313"/>
      <c r="W25" s="313"/>
      <c r="X25" s="313"/>
    </row>
    <row r="26" spans="1:25">
      <c r="A26" s="54"/>
      <c r="B26" s="21"/>
      <c r="C26" s="21"/>
      <c r="D26" s="486"/>
      <c r="E26" s="313"/>
      <c r="F26" s="313"/>
      <c r="G26" s="313"/>
      <c r="H26" s="313"/>
      <c r="I26" s="313"/>
      <c r="J26" s="313"/>
      <c r="K26" s="313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</row>
    <row r="27" spans="1:25">
      <c r="A27" s="54" t="s">
        <v>420</v>
      </c>
      <c r="B27" s="21"/>
      <c r="C27" s="21"/>
      <c r="D27" s="486">
        <v>0</v>
      </c>
      <c r="E27" s="313">
        <f>'Marina Projections'!C9</f>
        <v>0</v>
      </c>
      <c r="F27" s="313">
        <f>'Marina Projections'!D9</f>
        <v>214</v>
      </c>
      <c r="G27" s="313">
        <f>'Marina Projections'!E9</f>
        <v>214</v>
      </c>
      <c r="H27" s="313">
        <f>'Marina Projections'!F9</f>
        <v>214</v>
      </c>
      <c r="I27" s="313">
        <f>'Marina Projections'!G9</f>
        <v>214</v>
      </c>
      <c r="J27" s="313">
        <f>'Marina Projections'!H9</f>
        <v>214</v>
      </c>
      <c r="K27" s="313">
        <f>'Marina Projections'!I9</f>
        <v>214</v>
      </c>
      <c r="L27" s="313">
        <f>'Marina Projections'!J9</f>
        <v>214</v>
      </c>
      <c r="M27" s="313">
        <f>'Marina Projections'!K9</f>
        <v>214</v>
      </c>
      <c r="N27" s="313">
        <f>'Marina Projections'!L9</f>
        <v>214</v>
      </c>
      <c r="O27" s="313">
        <f>'Marina Projections'!M9</f>
        <v>214</v>
      </c>
      <c r="P27" s="313">
        <f>'Marina Projections'!N9</f>
        <v>214</v>
      </c>
      <c r="Q27" s="313">
        <f>'Marina Projections'!O9</f>
        <v>214</v>
      </c>
      <c r="R27" s="313">
        <f>'Marina Projections'!P9</f>
        <v>214</v>
      </c>
      <c r="S27" s="313">
        <f>'Marina Projections'!Q9</f>
        <v>214</v>
      </c>
      <c r="T27" s="313">
        <f>'Marina Projections'!R9</f>
        <v>214</v>
      </c>
      <c r="U27" s="313">
        <f>'Marina Projections'!S9</f>
        <v>214</v>
      </c>
      <c r="V27" s="313">
        <f>'Marina Projections'!T9</f>
        <v>214</v>
      </c>
      <c r="W27" s="313">
        <f>'Marina Projections'!U9</f>
        <v>214</v>
      </c>
      <c r="X27" s="313">
        <f>'Marina Projections'!V9</f>
        <v>214</v>
      </c>
    </row>
    <row r="28" spans="1:25">
      <c r="A28" s="54" t="s">
        <v>205</v>
      </c>
      <c r="B28" s="21"/>
      <c r="C28" s="21"/>
      <c r="D28" s="486">
        <v>0</v>
      </c>
      <c r="E28" s="330">
        <v>0</v>
      </c>
      <c r="F28" s="330">
        <f>'Cruise Projections'!V99</f>
        <v>106</v>
      </c>
      <c r="G28" s="330">
        <f>'Cruise Projections'!W99</f>
        <v>106</v>
      </c>
      <c r="H28" s="330">
        <f>'Cruise Projections'!X99</f>
        <v>106</v>
      </c>
      <c r="I28" s="330">
        <f>'Cruise Projections'!Y99</f>
        <v>106</v>
      </c>
      <c r="J28" s="330">
        <f>'Cruise Projections'!Z99</f>
        <v>106</v>
      </c>
      <c r="K28" s="330">
        <f>'Cruise Projections'!AA99</f>
        <v>106</v>
      </c>
      <c r="L28" s="330">
        <f>'Cruise Projections'!AB99</f>
        <v>106</v>
      </c>
      <c r="M28" s="330">
        <f>'Cruise Projections'!AC99</f>
        <v>106</v>
      </c>
      <c r="N28" s="330">
        <f>'Cruise Projections'!AD99</f>
        <v>106</v>
      </c>
      <c r="O28" s="330">
        <f>'Cruise Projections'!AE99</f>
        <v>106</v>
      </c>
      <c r="P28" s="330">
        <f>'Cruise Projections'!AF99</f>
        <v>106</v>
      </c>
      <c r="Q28" s="330">
        <f>'Cruise Projections'!AG99</f>
        <v>106</v>
      </c>
      <c r="R28" s="330">
        <f>'Cruise Projections'!AH99</f>
        <v>106</v>
      </c>
      <c r="S28" s="330">
        <f>'Cruise Projections'!AI99</f>
        <v>106</v>
      </c>
      <c r="T28" s="330">
        <f>'Cruise Projections'!AJ99</f>
        <v>106</v>
      </c>
      <c r="U28" s="330">
        <f>'Cruise Projections'!AK99</f>
        <v>106</v>
      </c>
      <c r="V28" s="330">
        <f>'Cruise Projections'!AL99</f>
        <v>106</v>
      </c>
      <c r="W28" s="330">
        <f>'Cruise Projections'!AM99</f>
        <v>106</v>
      </c>
      <c r="X28" s="330">
        <f>'Cruise Projections'!AN99</f>
        <v>106</v>
      </c>
      <c r="Y28" s="32"/>
    </row>
    <row r="29" spans="1:25" s="341" customFormat="1">
      <c r="A29" s="552" t="s">
        <v>219</v>
      </c>
      <c r="B29" s="553"/>
      <c r="C29" s="553"/>
      <c r="D29" s="554">
        <v>0</v>
      </c>
      <c r="E29" s="560">
        <v>150</v>
      </c>
      <c r="F29" s="560">
        <f>E29</f>
        <v>150</v>
      </c>
      <c r="G29" s="560">
        <f t="shared" ref="G29:X29" si="0">F29</f>
        <v>150</v>
      </c>
      <c r="H29" s="560">
        <f t="shared" si="0"/>
        <v>150</v>
      </c>
      <c r="I29" s="560">
        <f t="shared" si="0"/>
        <v>150</v>
      </c>
      <c r="J29" s="560">
        <f t="shared" si="0"/>
        <v>150</v>
      </c>
      <c r="K29" s="560">
        <f t="shared" si="0"/>
        <v>150</v>
      </c>
      <c r="L29" s="560">
        <f t="shared" si="0"/>
        <v>150</v>
      </c>
      <c r="M29" s="560">
        <f t="shared" si="0"/>
        <v>150</v>
      </c>
      <c r="N29" s="560">
        <f t="shared" si="0"/>
        <v>150</v>
      </c>
      <c r="O29" s="560">
        <f t="shared" si="0"/>
        <v>150</v>
      </c>
      <c r="P29" s="560">
        <f t="shared" si="0"/>
        <v>150</v>
      </c>
      <c r="Q29" s="560">
        <f t="shared" si="0"/>
        <v>150</v>
      </c>
      <c r="R29" s="560">
        <f t="shared" si="0"/>
        <v>150</v>
      </c>
      <c r="S29" s="560">
        <f t="shared" si="0"/>
        <v>150</v>
      </c>
      <c r="T29" s="560">
        <f t="shared" si="0"/>
        <v>150</v>
      </c>
      <c r="U29" s="560">
        <f t="shared" si="0"/>
        <v>150</v>
      </c>
      <c r="V29" s="560">
        <f t="shared" si="0"/>
        <v>150</v>
      </c>
      <c r="W29" s="560">
        <f t="shared" si="0"/>
        <v>150</v>
      </c>
      <c r="X29" s="560">
        <f t="shared" si="0"/>
        <v>150</v>
      </c>
      <c r="Y29" s="561"/>
    </row>
    <row r="30" spans="1:25" s="341" customFormat="1">
      <c r="A30" s="552" t="s">
        <v>220</v>
      </c>
      <c r="B30" s="553"/>
      <c r="C30" s="553"/>
      <c r="D30" s="554">
        <v>0</v>
      </c>
      <c r="E30" s="611">
        <f>E28/E29</f>
        <v>0</v>
      </c>
      <c r="F30" s="611">
        <f t="shared" ref="F30:X30" si="1">F28/F29</f>
        <v>0.70666666666666667</v>
      </c>
      <c r="G30" s="611">
        <f t="shared" si="1"/>
        <v>0.70666666666666667</v>
      </c>
      <c r="H30" s="611">
        <f t="shared" si="1"/>
        <v>0.70666666666666667</v>
      </c>
      <c r="I30" s="611">
        <f t="shared" si="1"/>
        <v>0.70666666666666667</v>
      </c>
      <c r="J30" s="611">
        <f t="shared" si="1"/>
        <v>0.70666666666666667</v>
      </c>
      <c r="K30" s="611">
        <f t="shared" si="1"/>
        <v>0.70666666666666667</v>
      </c>
      <c r="L30" s="611">
        <f t="shared" si="1"/>
        <v>0.70666666666666667</v>
      </c>
      <c r="M30" s="611">
        <f t="shared" si="1"/>
        <v>0.70666666666666667</v>
      </c>
      <c r="N30" s="611">
        <f t="shared" si="1"/>
        <v>0.70666666666666667</v>
      </c>
      <c r="O30" s="611">
        <f t="shared" si="1"/>
        <v>0.70666666666666667</v>
      </c>
      <c r="P30" s="611">
        <f t="shared" si="1"/>
        <v>0.70666666666666667</v>
      </c>
      <c r="Q30" s="611">
        <f t="shared" si="1"/>
        <v>0.70666666666666667</v>
      </c>
      <c r="R30" s="611">
        <f t="shared" si="1"/>
        <v>0.70666666666666667</v>
      </c>
      <c r="S30" s="611">
        <f t="shared" si="1"/>
        <v>0.70666666666666667</v>
      </c>
      <c r="T30" s="611">
        <f t="shared" si="1"/>
        <v>0.70666666666666667</v>
      </c>
      <c r="U30" s="611">
        <f t="shared" si="1"/>
        <v>0.70666666666666667</v>
      </c>
      <c r="V30" s="611">
        <f t="shared" si="1"/>
        <v>0.70666666666666667</v>
      </c>
      <c r="W30" s="611">
        <f t="shared" si="1"/>
        <v>0.70666666666666667</v>
      </c>
      <c r="X30" s="611">
        <f t="shared" si="1"/>
        <v>0.70666666666666667</v>
      </c>
      <c r="Y30" s="561"/>
    </row>
    <row r="31" spans="1:25" s="96" customFormat="1">
      <c r="A31" s="54" t="s">
        <v>226</v>
      </c>
      <c r="B31" s="487"/>
      <c r="C31" s="487"/>
      <c r="D31" s="486">
        <v>0</v>
      </c>
      <c r="E31" s="330">
        <v>0</v>
      </c>
      <c r="F31" s="330">
        <v>125</v>
      </c>
      <c r="G31" s="330">
        <v>125</v>
      </c>
      <c r="H31" s="330">
        <v>125</v>
      </c>
      <c r="I31" s="330">
        <v>125</v>
      </c>
      <c r="J31" s="330">
        <v>125</v>
      </c>
      <c r="K31" s="330">
        <v>125</v>
      </c>
      <c r="L31" s="330">
        <v>125</v>
      </c>
      <c r="M31" s="330">
        <v>125</v>
      </c>
      <c r="N31" s="330">
        <v>125</v>
      </c>
      <c r="O31" s="330">
        <v>125</v>
      </c>
      <c r="P31" s="330">
        <v>125</v>
      </c>
      <c r="Q31" s="330">
        <v>125</v>
      </c>
      <c r="R31" s="330">
        <v>125</v>
      </c>
      <c r="S31" s="330">
        <v>125</v>
      </c>
      <c r="T31" s="330">
        <v>125</v>
      </c>
      <c r="U31" s="330">
        <v>125</v>
      </c>
      <c r="V31" s="330">
        <v>125</v>
      </c>
      <c r="W31" s="330">
        <v>125</v>
      </c>
      <c r="X31" s="330">
        <v>125</v>
      </c>
      <c r="Y31" s="58"/>
    </row>
    <row r="32" spans="1:25">
      <c r="A32" s="54"/>
      <c r="B32" s="21"/>
      <c r="C32" s="21"/>
      <c r="D32" s="486"/>
      <c r="E32" s="495"/>
      <c r="F32" s="495"/>
      <c r="G32" s="495"/>
      <c r="H32" s="495"/>
      <c r="I32" s="495"/>
      <c r="J32" s="495"/>
      <c r="K32" s="495"/>
      <c r="L32" s="495"/>
      <c r="M32" s="495"/>
      <c r="N32" s="495"/>
      <c r="O32" s="495"/>
      <c r="P32" s="495"/>
      <c r="Q32" s="495"/>
      <c r="R32" s="495"/>
      <c r="S32" s="495"/>
      <c r="T32" s="495"/>
      <c r="U32" s="495"/>
      <c r="V32" s="495"/>
      <c r="W32" s="495"/>
      <c r="X32" s="495"/>
      <c r="Y32" s="32"/>
    </row>
    <row r="33" spans="1:25">
      <c r="A33" s="54" t="s">
        <v>206</v>
      </c>
      <c r="B33" s="21"/>
      <c r="C33" s="21"/>
      <c r="D33" s="486">
        <v>0</v>
      </c>
      <c r="E33" s="313">
        <v>0</v>
      </c>
      <c r="F33" s="313">
        <f t="shared" ref="F33:X33" si="2">F12/F28</f>
        <v>2467.6698113207549</v>
      </c>
      <c r="G33" s="313">
        <f t="shared" si="2"/>
        <v>2467.6698113207549</v>
      </c>
      <c r="H33" s="313">
        <f t="shared" si="2"/>
        <v>2467.6698113207549</v>
      </c>
      <c r="I33" s="313">
        <f t="shared" si="2"/>
        <v>2467.6698113207549</v>
      </c>
      <c r="J33" s="313">
        <f t="shared" si="2"/>
        <v>2467.6698113207549</v>
      </c>
      <c r="K33" s="313">
        <f t="shared" si="2"/>
        <v>2467.6698113207549</v>
      </c>
      <c r="L33" s="313">
        <f t="shared" si="2"/>
        <v>2467.6698113207549</v>
      </c>
      <c r="M33" s="313">
        <f t="shared" si="2"/>
        <v>2467.6698113207549</v>
      </c>
      <c r="N33" s="313">
        <f t="shared" si="2"/>
        <v>2467.6698113207549</v>
      </c>
      <c r="O33" s="313">
        <f t="shared" si="2"/>
        <v>2467.6698113207549</v>
      </c>
      <c r="P33" s="313">
        <f t="shared" si="2"/>
        <v>2467.6698113207549</v>
      </c>
      <c r="Q33" s="313">
        <f t="shared" si="2"/>
        <v>2467.6698113207549</v>
      </c>
      <c r="R33" s="313">
        <f t="shared" si="2"/>
        <v>2467.6698113207549</v>
      </c>
      <c r="S33" s="313">
        <f t="shared" si="2"/>
        <v>2467.6698113207549</v>
      </c>
      <c r="T33" s="313">
        <f t="shared" si="2"/>
        <v>2467.6698113207549</v>
      </c>
      <c r="U33" s="313">
        <f t="shared" si="2"/>
        <v>2467.6698113207549</v>
      </c>
      <c r="V33" s="313">
        <f t="shared" si="2"/>
        <v>2467.6698113207549</v>
      </c>
      <c r="W33" s="313">
        <f t="shared" si="2"/>
        <v>2467.6698113207549</v>
      </c>
      <c r="X33" s="313">
        <f t="shared" si="2"/>
        <v>2467.6698113207549</v>
      </c>
    </row>
    <row r="34" spans="1:25">
      <c r="A34" s="54" t="s">
        <v>207</v>
      </c>
      <c r="B34" s="21"/>
      <c r="C34" s="21"/>
      <c r="D34" s="486">
        <v>0</v>
      </c>
      <c r="E34" s="313">
        <v>0</v>
      </c>
      <c r="F34" s="313">
        <v>5500</v>
      </c>
      <c r="G34" s="313">
        <v>5500</v>
      </c>
      <c r="H34" s="313">
        <v>5500</v>
      </c>
      <c r="I34" s="313">
        <v>5500</v>
      </c>
      <c r="J34" s="313">
        <v>5500</v>
      </c>
      <c r="K34" s="313">
        <v>5500</v>
      </c>
      <c r="L34" s="313">
        <v>5500</v>
      </c>
      <c r="M34" s="313">
        <v>5500</v>
      </c>
      <c r="N34" s="313">
        <v>5500</v>
      </c>
      <c r="O34" s="313">
        <v>5500</v>
      </c>
      <c r="P34" s="313">
        <v>5500</v>
      </c>
      <c r="Q34" s="313">
        <v>5500</v>
      </c>
      <c r="R34" s="313">
        <v>5500</v>
      </c>
      <c r="S34" s="313">
        <v>5500</v>
      </c>
      <c r="T34" s="313">
        <v>5500</v>
      </c>
      <c r="U34" s="313">
        <v>5500</v>
      </c>
      <c r="V34" s="313">
        <v>5500</v>
      </c>
      <c r="W34" s="313">
        <v>5500</v>
      </c>
      <c r="X34" s="313">
        <v>5500</v>
      </c>
    </row>
    <row r="35" spans="1:25" s="341" customFormat="1">
      <c r="A35" s="552" t="s">
        <v>221</v>
      </c>
      <c r="B35" s="553"/>
      <c r="C35" s="553"/>
      <c r="D35" s="554">
        <v>0</v>
      </c>
      <c r="E35" s="560">
        <f>E18/E29</f>
        <v>400</v>
      </c>
      <c r="F35" s="560">
        <f t="shared" ref="F35:X35" si="3">F18/F29</f>
        <v>466.66666666666669</v>
      </c>
      <c r="G35" s="560">
        <f t="shared" si="3"/>
        <v>533.33333333333337</v>
      </c>
      <c r="H35" s="560">
        <f t="shared" si="3"/>
        <v>533.33333333333337</v>
      </c>
      <c r="I35" s="560">
        <f t="shared" si="3"/>
        <v>533.33333333333337</v>
      </c>
      <c r="J35" s="560">
        <f t="shared" si="3"/>
        <v>533.33333333333337</v>
      </c>
      <c r="K35" s="560">
        <f t="shared" si="3"/>
        <v>533.33333333333337</v>
      </c>
      <c r="L35" s="560">
        <f t="shared" si="3"/>
        <v>533.33333333333337</v>
      </c>
      <c r="M35" s="560">
        <f t="shared" si="3"/>
        <v>533.33333333333337</v>
      </c>
      <c r="N35" s="560">
        <f t="shared" si="3"/>
        <v>533.33333333333337</v>
      </c>
      <c r="O35" s="560">
        <f t="shared" si="3"/>
        <v>533.33333333333337</v>
      </c>
      <c r="P35" s="560">
        <f t="shared" si="3"/>
        <v>533.33333333333337</v>
      </c>
      <c r="Q35" s="560">
        <f t="shared" si="3"/>
        <v>533.33333333333337</v>
      </c>
      <c r="R35" s="560">
        <f t="shared" si="3"/>
        <v>533.33333333333337</v>
      </c>
      <c r="S35" s="560">
        <f t="shared" si="3"/>
        <v>533.33333333333337</v>
      </c>
      <c r="T35" s="560">
        <f t="shared" si="3"/>
        <v>533.33333333333337</v>
      </c>
      <c r="U35" s="560">
        <f t="shared" si="3"/>
        <v>533.33333333333337</v>
      </c>
      <c r="V35" s="560">
        <f t="shared" si="3"/>
        <v>533.33333333333337</v>
      </c>
      <c r="W35" s="560">
        <f t="shared" si="3"/>
        <v>533.33333333333337</v>
      </c>
      <c r="X35" s="560">
        <f t="shared" si="3"/>
        <v>533.33333333333337</v>
      </c>
    </row>
    <row r="36" spans="1:25" s="341" customFormat="1">
      <c r="A36" s="552" t="s">
        <v>222</v>
      </c>
      <c r="B36" s="553"/>
      <c r="C36" s="553"/>
      <c r="D36" s="554">
        <v>0</v>
      </c>
      <c r="E36" s="560">
        <v>800</v>
      </c>
      <c r="F36" s="560">
        <v>800</v>
      </c>
      <c r="G36" s="560">
        <v>800</v>
      </c>
      <c r="H36" s="560">
        <v>800</v>
      </c>
      <c r="I36" s="560">
        <v>800</v>
      </c>
      <c r="J36" s="560">
        <v>800</v>
      </c>
      <c r="K36" s="560">
        <v>800</v>
      </c>
      <c r="L36" s="560">
        <v>800</v>
      </c>
      <c r="M36" s="560">
        <v>800</v>
      </c>
      <c r="N36" s="560">
        <v>800</v>
      </c>
      <c r="O36" s="560">
        <v>800</v>
      </c>
      <c r="P36" s="560">
        <v>800</v>
      </c>
      <c r="Q36" s="560">
        <v>800</v>
      </c>
      <c r="R36" s="560">
        <v>800</v>
      </c>
      <c r="S36" s="560">
        <v>800</v>
      </c>
      <c r="T36" s="560">
        <v>800</v>
      </c>
      <c r="U36" s="560">
        <v>800</v>
      </c>
      <c r="V36" s="560">
        <v>800</v>
      </c>
      <c r="W36" s="560">
        <v>800</v>
      </c>
      <c r="X36" s="560">
        <v>800</v>
      </c>
    </row>
    <row r="37" spans="1:25" s="341" customFormat="1">
      <c r="A37" s="552" t="s">
        <v>208</v>
      </c>
      <c r="B37" s="553"/>
      <c r="C37" s="553"/>
      <c r="D37" s="554">
        <v>0</v>
      </c>
      <c r="E37" s="560">
        <f>SUM(E34,E36)</f>
        <v>800</v>
      </c>
      <c r="F37" s="560">
        <f t="shared" ref="F37:X37" si="4">SUM(F34,F36)</f>
        <v>6300</v>
      </c>
      <c r="G37" s="560">
        <f t="shared" si="4"/>
        <v>6300</v>
      </c>
      <c r="H37" s="560">
        <f t="shared" si="4"/>
        <v>6300</v>
      </c>
      <c r="I37" s="560">
        <f t="shared" si="4"/>
        <v>6300</v>
      </c>
      <c r="J37" s="560">
        <f t="shared" si="4"/>
        <v>6300</v>
      </c>
      <c r="K37" s="560">
        <f t="shared" si="4"/>
        <v>6300</v>
      </c>
      <c r="L37" s="560">
        <f t="shared" si="4"/>
        <v>6300</v>
      </c>
      <c r="M37" s="560">
        <f t="shared" si="4"/>
        <v>6300</v>
      </c>
      <c r="N37" s="560">
        <f t="shared" si="4"/>
        <v>6300</v>
      </c>
      <c r="O37" s="560">
        <f t="shared" si="4"/>
        <v>6300</v>
      </c>
      <c r="P37" s="560">
        <f t="shared" si="4"/>
        <v>6300</v>
      </c>
      <c r="Q37" s="560">
        <f t="shared" si="4"/>
        <v>6300</v>
      </c>
      <c r="R37" s="560">
        <f t="shared" si="4"/>
        <v>6300</v>
      </c>
      <c r="S37" s="560">
        <f t="shared" si="4"/>
        <v>6300</v>
      </c>
      <c r="T37" s="560">
        <f t="shared" si="4"/>
        <v>6300</v>
      </c>
      <c r="U37" s="560">
        <f t="shared" si="4"/>
        <v>6300</v>
      </c>
      <c r="V37" s="560">
        <f t="shared" si="4"/>
        <v>6300</v>
      </c>
      <c r="W37" s="560">
        <f t="shared" si="4"/>
        <v>6300</v>
      </c>
      <c r="X37" s="560">
        <f t="shared" si="4"/>
        <v>6300</v>
      </c>
    </row>
    <row r="38" spans="1:25">
      <c r="A38" s="54"/>
      <c r="B38" s="21"/>
      <c r="C38" s="21"/>
      <c r="D38" s="486"/>
      <c r="E38" s="330"/>
      <c r="F38" s="330"/>
      <c r="G38" s="330"/>
      <c r="H38" s="330"/>
      <c r="I38" s="330"/>
      <c r="J38" s="330"/>
      <c r="K38" s="330"/>
      <c r="L38" s="330"/>
      <c r="M38" s="330"/>
      <c r="N38" s="330"/>
      <c r="O38" s="330"/>
      <c r="P38" s="330"/>
      <c r="Q38" s="330"/>
      <c r="R38" s="330"/>
      <c r="S38" s="330"/>
      <c r="T38" s="330"/>
      <c r="U38" s="330"/>
      <c r="V38" s="330"/>
      <c r="W38" s="330"/>
      <c r="X38" s="330"/>
    </row>
    <row r="39" spans="1:25" s="341" customFormat="1">
      <c r="A39" s="552" t="s">
        <v>223</v>
      </c>
      <c r="B39" s="557"/>
      <c r="C39" s="557"/>
      <c r="D39" s="554">
        <v>0</v>
      </c>
      <c r="E39" s="555">
        <f>(E19+E20)/E29</f>
        <v>160.26666666666668</v>
      </c>
      <c r="F39" s="555">
        <f t="shared" ref="F39:X39" si="5">(F19+F20)/F29</f>
        <v>187</v>
      </c>
      <c r="G39" s="555">
        <f t="shared" si="5"/>
        <v>213.73333333333332</v>
      </c>
      <c r="H39" s="555">
        <f t="shared" si="5"/>
        <v>213.73333333333332</v>
      </c>
      <c r="I39" s="555">
        <f t="shared" si="5"/>
        <v>213.73333333333332</v>
      </c>
      <c r="J39" s="555">
        <f t="shared" si="5"/>
        <v>213.73333333333332</v>
      </c>
      <c r="K39" s="555">
        <f t="shared" si="5"/>
        <v>213.73333333333332</v>
      </c>
      <c r="L39" s="555">
        <f t="shared" si="5"/>
        <v>213.73333333333332</v>
      </c>
      <c r="M39" s="555">
        <f t="shared" si="5"/>
        <v>213.73333333333332</v>
      </c>
      <c r="N39" s="555">
        <f t="shared" si="5"/>
        <v>213.73333333333332</v>
      </c>
      <c r="O39" s="555">
        <f t="shared" si="5"/>
        <v>213.73333333333332</v>
      </c>
      <c r="P39" s="555">
        <f t="shared" si="5"/>
        <v>213.73333333333332</v>
      </c>
      <c r="Q39" s="555">
        <f t="shared" si="5"/>
        <v>213.73333333333332</v>
      </c>
      <c r="R39" s="555">
        <f t="shared" si="5"/>
        <v>213.73333333333332</v>
      </c>
      <c r="S39" s="555">
        <f t="shared" si="5"/>
        <v>213.73333333333332</v>
      </c>
      <c r="T39" s="555">
        <f t="shared" si="5"/>
        <v>213.73333333333332</v>
      </c>
      <c r="U39" s="555">
        <f t="shared" si="5"/>
        <v>213.73333333333332</v>
      </c>
      <c r="V39" s="555">
        <f t="shared" si="5"/>
        <v>213.73333333333332</v>
      </c>
      <c r="W39" s="555">
        <f t="shared" si="5"/>
        <v>213.73333333333332</v>
      </c>
      <c r="X39" s="555">
        <f t="shared" si="5"/>
        <v>213.73333333333332</v>
      </c>
    </row>
    <row r="40" spans="1:25">
      <c r="A40" s="54"/>
      <c r="B40" s="74"/>
      <c r="C40" s="74"/>
      <c r="D40" s="492"/>
      <c r="E40" s="308"/>
      <c r="F40" s="308"/>
      <c r="G40" s="308"/>
      <c r="H40" s="308"/>
      <c r="I40" s="308"/>
      <c r="J40" s="308"/>
      <c r="K40" s="308"/>
      <c r="L40" s="308"/>
      <c r="M40" s="308"/>
      <c r="N40" s="308"/>
      <c r="O40" s="308"/>
      <c r="P40" s="308"/>
      <c r="Q40" s="308"/>
      <c r="R40" s="308"/>
      <c r="S40" s="308"/>
      <c r="T40" s="308"/>
      <c r="U40" s="308"/>
      <c r="V40" s="308"/>
      <c r="W40" s="308"/>
      <c r="X40" s="308"/>
    </row>
    <row r="41" spans="1:25">
      <c r="A41" s="293" t="s">
        <v>26</v>
      </c>
      <c r="B41" s="74"/>
      <c r="C41" s="74"/>
      <c r="D41" s="492"/>
      <c r="E41" s="308"/>
      <c r="F41" s="308"/>
      <c r="G41" s="308"/>
      <c r="H41" s="308"/>
      <c r="I41" s="308"/>
      <c r="J41" s="308"/>
      <c r="K41" s="308"/>
      <c r="L41" s="308"/>
      <c r="M41" s="308"/>
      <c r="N41" s="308"/>
      <c r="O41" s="308"/>
      <c r="P41" s="308"/>
      <c r="Q41" s="308"/>
      <c r="R41" s="308"/>
      <c r="S41" s="308"/>
      <c r="T41" s="308"/>
      <c r="U41" s="308"/>
      <c r="V41" s="308"/>
      <c r="W41" s="308"/>
      <c r="X41" s="308"/>
    </row>
    <row r="42" spans="1:25">
      <c r="A42" s="54" t="s">
        <v>264</v>
      </c>
      <c r="B42" s="277"/>
      <c r="C42" s="74"/>
      <c r="D42" s="486">
        <v>0</v>
      </c>
      <c r="E42" s="313">
        <f>'Parking Projections'!C42/2</f>
        <v>1201.4583333333335</v>
      </c>
      <c r="F42" s="313">
        <f>'Parking Projections'!D42</f>
        <v>2402.916666666667</v>
      </c>
      <c r="G42" s="313">
        <f>'Parking Projections'!E42</f>
        <v>2402.916666666667</v>
      </c>
      <c r="H42" s="313">
        <f>'Parking Projections'!F42</f>
        <v>2402.916666666667</v>
      </c>
      <c r="I42" s="313">
        <f>'Parking Projections'!G42</f>
        <v>2402.916666666667</v>
      </c>
      <c r="J42" s="313">
        <f>'Parking Projections'!H42</f>
        <v>2402.916666666667</v>
      </c>
      <c r="K42" s="313">
        <f>'Parking Projections'!I42</f>
        <v>2402.916666666667</v>
      </c>
      <c r="L42" s="313">
        <f>'Parking Projections'!J42</f>
        <v>2402.916666666667</v>
      </c>
      <c r="M42" s="313">
        <f>'Parking Projections'!K42</f>
        <v>2402.916666666667</v>
      </c>
      <c r="N42" s="313">
        <f>'Parking Projections'!L42</f>
        <v>2402.916666666667</v>
      </c>
      <c r="O42" s="313">
        <f>'Parking Projections'!M42</f>
        <v>2402.916666666667</v>
      </c>
      <c r="P42" s="313">
        <f>'Parking Projections'!N42</f>
        <v>2402.916666666667</v>
      </c>
      <c r="Q42" s="313">
        <f>'Parking Projections'!O42</f>
        <v>2402.916666666667</v>
      </c>
      <c r="R42" s="313">
        <f>'Parking Projections'!P42</f>
        <v>2402.916666666667</v>
      </c>
      <c r="S42" s="313">
        <f>'Parking Projections'!Q42</f>
        <v>2402.916666666667</v>
      </c>
      <c r="T42" s="313">
        <f>'Parking Projections'!R42</f>
        <v>2402.916666666667</v>
      </c>
      <c r="U42" s="313">
        <f>'Parking Projections'!S42</f>
        <v>2402.916666666667</v>
      </c>
      <c r="V42" s="313">
        <f>'Parking Projections'!T42</f>
        <v>2402.916666666667</v>
      </c>
      <c r="W42" s="313">
        <f>'Parking Projections'!U42</f>
        <v>2402.916666666667</v>
      </c>
      <c r="X42" s="313">
        <f>'Parking Projections'!V42</f>
        <v>2402.916666666667</v>
      </c>
    </row>
    <row r="43" spans="1:25">
      <c r="A43" s="54" t="s">
        <v>267</v>
      </c>
      <c r="B43" s="277"/>
      <c r="C43" s="74"/>
      <c r="D43" s="486">
        <v>0</v>
      </c>
      <c r="E43" s="313">
        <f>'Parking Projections'!C46/2</f>
        <v>14265.416666666664</v>
      </c>
      <c r="F43" s="313">
        <f>'Parking Projections'!D46</f>
        <v>28530.833333333328</v>
      </c>
      <c r="G43" s="313">
        <f>'Parking Projections'!E46</f>
        <v>28530.833333333328</v>
      </c>
      <c r="H43" s="313">
        <f>'Parking Projections'!F46</f>
        <v>28530.833333333328</v>
      </c>
      <c r="I43" s="313">
        <f>'Parking Projections'!G46</f>
        <v>28530.833333333328</v>
      </c>
      <c r="J43" s="313">
        <f>'Parking Projections'!H46</f>
        <v>28530.833333333328</v>
      </c>
      <c r="K43" s="313">
        <f>'Parking Projections'!I46</f>
        <v>28530.833333333328</v>
      </c>
      <c r="L43" s="313">
        <f>'Parking Projections'!J46</f>
        <v>28530.833333333328</v>
      </c>
      <c r="M43" s="313">
        <f>'Parking Projections'!K46</f>
        <v>28530.833333333328</v>
      </c>
      <c r="N43" s="313">
        <f>'Parking Projections'!L46</f>
        <v>28530.833333333328</v>
      </c>
      <c r="O43" s="313">
        <f>'Parking Projections'!M46</f>
        <v>28530.833333333328</v>
      </c>
      <c r="P43" s="313">
        <f>'Parking Projections'!N46</f>
        <v>28530.833333333328</v>
      </c>
      <c r="Q43" s="313">
        <f>'Parking Projections'!O46</f>
        <v>28530.833333333328</v>
      </c>
      <c r="R43" s="313">
        <f>'Parking Projections'!P46</f>
        <v>28530.833333333328</v>
      </c>
      <c r="S43" s="313">
        <f>'Parking Projections'!Q46</f>
        <v>28530.833333333328</v>
      </c>
      <c r="T43" s="313">
        <f>'Parking Projections'!R46</f>
        <v>28530.833333333328</v>
      </c>
      <c r="U43" s="313">
        <f>'Parking Projections'!S46</f>
        <v>28530.833333333328</v>
      </c>
      <c r="V43" s="313">
        <f>'Parking Projections'!T46</f>
        <v>28530.833333333328</v>
      </c>
      <c r="W43" s="313">
        <f>'Parking Projections'!U46</f>
        <v>28530.833333333328</v>
      </c>
      <c r="X43" s="313">
        <f>'Parking Projections'!V46</f>
        <v>28530.833333333328</v>
      </c>
    </row>
    <row r="44" spans="1:25" s="96" customFormat="1">
      <c r="A44" s="54" t="s">
        <v>274</v>
      </c>
      <c r="B44" s="435"/>
      <c r="C44" s="583"/>
      <c r="D44" s="486">
        <v>0</v>
      </c>
      <c r="E44" s="313">
        <f>SUM(E42:E43)</f>
        <v>15466.874999999998</v>
      </c>
      <c r="F44" s="313">
        <f t="shared" ref="F44:X44" si="6">SUM(F42:F43)</f>
        <v>30933.749999999996</v>
      </c>
      <c r="G44" s="313">
        <f t="shared" si="6"/>
        <v>30933.749999999996</v>
      </c>
      <c r="H44" s="313">
        <f t="shared" si="6"/>
        <v>30933.749999999996</v>
      </c>
      <c r="I44" s="313">
        <f t="shared" si="6"/>
        <v>30933.749999999996</v>
      </c>
      <c r="J44" s="313">
        <f t="shared" si="6"/>
        <v>30933.749999999996</v>
      </c>
      <c r="K44" s="313">
        <f t="shared" si="6"/>
        <v>30933.749999999996</v>
      </c>
      <c r="L44" s="313">
        <f t="shared" si="6"/>
        <v>30933.749999999996</v>
      </c>
      <c r="M44" s="313">
        <f t="shared" si="6"/>
        <v>30933.749999999996</v>
      </c>
      <c r="N44" s="313">
        <f t="shared" si="6"/>
        <v>30933.749999999996</v>
      </c>
      <c r="O44" s="313">
        <f t="shared" si="6"/>
        <v>30933.749999999996</v>
      </c>
      <c r="P44" s="313">
        <f t="shared" si="6"/>
        <v>30933.749999999996</v>
      </c>
      <c r="Q44" s="313">
        <f t="shared" si="6"/>
        <v>30933.749999999996</v>
      </c>
      <c r="R44" s="313">
        <f t="shared" si="6"/>
        <v>30933.749999999996</v>
      </c>
      <c r="S44" s="313">
        <f t="shared" si="6"/>
        <v>30933.749999999996</v>
      </c>
      <c r="T44" s="313">
        <f t="shared" si="6"/>
        <v>30933.749999999996</v>
      </c>
      <c r="U44" s="313">
        <f t="shared" si="6"/>
        <v>30933.749999999996</v>
      </c>
      <c r="V44" s="313">
        <f t="shared" si="6"/>
        <v>30933.749999999996</v>
      </c>
      <c r="W44" s="313">
        <f t="shared" si="6"/>
        <v>30933.749999999996</v>
      </c>
      <c r="X44" s="313">
        <f t="shared" si="6"/>
        <v>30933.749999999996</v>
      </c>
      <c r="Y44" s="313"/>
    </row>
    <row r="45" spans="1:25">
      <c r="A45" s="54"/>
      <c r="B45" s="277"/>
      <c r="C45" s="74"/>
      <c r="D45" s="499"/>
      <c r="E45" s="308"/>
      <c r="F45" s="308"/>
      <c r="G45" s="308"/>
      <c r="H45" s="308"/>
      <c r="I45" s="308"/>
      <c r="J45" s="308"/>
      <c r="K45" s="308"/>
      <c r="L45" s="308"/>
      <c r="M45" s="308"/>
      <c r="N45" s="308"/>
      <c r="O45" s="308"/>
      <c r="P45" s="308"/>
      <c r="Q45" s="308"/>
      <c r="R45" s="308"/>
      <c r="S45" s="308"/>
      <c r="T45" s="308"/>
      <c r="U45" s="308"/>
      <c r="V45" s="308"/>
      <c r="W45" s="308"/>
      <c r="X45" s="308"/>
    </row>
    <row r="46" spans="1:25" s="341" customFormat="1">
      <c r="A46" s="552" t="s">
        <v>224</v>
      </c>
      <c r="B46" s="556"/>
      <c r="C46" s="557"/>
      <c r="D46" s="554">
        <v>0</v>
      </c>
      <c r="E46" s="558">
        <v>3</v>
      </c>
      <c r="F46" s="558">
        <v>3</v>
      </c>
      <c r="G46" s="558">
        <v>3</v>
      </c>
      <c r="H46" s="558">
        <v>3</v>
      </c>
      <c r="I46" s="558">
        <v>3</v>
      </c>
      <c r="J46" s="558">
        <v>3</v>
      </c>
      <c r="K46" s="558">
        <v>3</v>
      </c>
      <c r="L46" s="558">
        <v>3</v>
      </c>
      <c r="M46" s="558">
        <v>3</v>
      </c>
      <c r="N46" s="558">
        <v>3</v>
      </c>
      <c r="O46" s="558">
        <v>3</v>
      </c>
      <c r="P46" s="558">
        <v>3</v>
      </c>
      <c r="Q46" s="558">
        <v>3</v>
      </c>
      <c r="R46" s="558">
        <v>3</v>
      </c>
      <c r="S46" s="558">
        <v>3</v>
      </c>
      <c r="T46" s="558">
        <v>3</v>
      </c>
      <c r="U46" s="558">
        <v>3</v>
      </c>
      <c r="V46" s="558">
        <v>3</v>
      </c>
      <c r="W46" s="558">
        <v>3</v>
      </c>
      <c r="X46" s="558">
        <v>3</v>
      </c>
    </row>
    <row r="47" spans="1:25" s="96" customFormat="1">
      <c r="A47" s="54" t="s">
        <v>225</v>
      </c>
      <c r="B47" s="435"/>
      <c r="C47" s="583"/>
      <c r="D47" s="486">
        <v>0</v>
      </c>
      <c r="E47" s="496">
        <v>1</v>
      </c>
      <c r="F47" s="496">
        <v>1</v>
      </c>
      <c r="G47" s="496">
        <v>1</v>
      </c>
      <c r="H47" s="496">
        <v>1</v>
      </c>
      <c r="I47" s="496">
        <v>1</v>
      </c>
      <c r="J47" s="496">
        <v>1</v>
      </c>
      <c r="K47" s="496">
        <v>1</v>
      </c>
      <c r="L47" s="496">
        <v>1</v>
      </c>
      <c r="M47" s="496">
        <v>1</v>
      </c>
      <c r="N47" s="496">
        <v>1</v>
      </c>
      <c r="O47" s="496">
        <v>1</v>
      </c>
      <c r="P47" s="496">
        <v>1</v>
      </c>
      <c r="Q47" s="496">
        <v>1</v>
      </c>
      <c r="R47" s="496">
        <v>1</v>
      </c>
      <c r="S47" s="496">
        <v>1</v>
      </c>
      <c r="T47" s="496">
        <v>1</v>
      </c>
      <c r="U47" s="496">
        <v>1</v>
      </c>
      <c r="V47" s="496">
        <v>1</v>
      </c>
      <c r="W47" s="496">
        <v>1</v>
      </c>
      <c r="X47" s="496">
        <v>1</v>
      </c>
    </row>
    <row r="48" spans="1:25">
      <c r="A48" s="54" t="s">
        <v>209</v>
      </c>
      <c r="B48" s="277"/>
      <c r="C48" s="74"/>
      <c r="D48" s="486">
        <v>0</v>
      </c>
      <c r="E48" s="496">
        <v>0.5</v>
      </c>
      <c r="F48" s="496">
        <v>0.5</v>
      </c>
      <c r="G48" s="496">
        <v>0.5</v>
      </c>
      <c r="H48" s="496">
        <v>0.5</v>
      </c>
      <c r="I48" s="496">
        <v>0.5</v>
      </c>
      <c r="J48" s="496">
        <v>0.5</v>
      </c>
      <c r="K48" s="496">
        <v>0.5</v>
      </c>
      <c r="L48" s="496">
        <v>0.5</v>
      </c>
      <c r="M48" s="496">
        <v>0.5</v>
      </c>
      <c r="N48" s="496">
        <v>0.5</v>
      </c>
      <c r="O48" s="496">
        <v>0.5</v>
      </c>
      <c r="P48" s="496">
        <v>0.5</v>
      </c>
      <c r="Q48" s="496">
        <v>0.5</v>
      </c>
      <c r="R48" s="496">
        <v>0.5</v>
      </c>
      <c r="S48" s="496">
        <v>0.5</v>
      </c>
      <c r="T48" s="496">
        <v>0.5</v>
      </c>
      <c r="U48" s="496">
        <v>0.5</v>
      </c>
      <c r="V48" s="496">
        <v>0.5</v>
      </c>
      <c r="W48" s="496">
        <v>0.5</v>
      </c>
      <c r="X48" s="496">
        <v>0.5</v>
      </c>
    </row>
    <row r="49" spans="1:25 16384:16384">
      <c r="A49" s="54" t="s">
        <v>289</v>
      </c>
      <c r="B49" s="277"/>
      <c r="C49" s="74"/>
      <c r="D49" s="486">
        <v>0</v>
      </c>
      <c r="E49" s="496">
        <f>SUM(E47:E48)/2</f>
        <v>0.75</v>
      </c>
      <c r="F49" s="496">
        <f t="shared" ref="F49:X49" si="7">SUM(F47:F48)/2</f>
        <v>0.75</v>
      </c>
      <c r="G49" s="496">
        <f t="shared" si="7"/>
        <v>0.75</v>
      </c>
      <c r="H49" s="496">
        <f t="shared" si="7"/>
        <v>0.75</v>
      </c>
      <c r="I49" s="496">
        <f t="shared" si="7"/>
        <v>0.75</v>
      </c>
      <c r="J49" s="496">
        <f t="shared" si="7"/>
        <v>0.75</v>
      </c>
      <c r="K49" s="496">
        <f t="shared" si="7"/>
        <v>0.75</v>
      </c>
      <c r="L49" s="496">
        <f t="shared" si="7"/>
        <v>0.75</v>
      </c>
      <c r="M49" s="496">
        <f t="shared" si="7"/>
        <v>0.75</v>
      </c>
      <c r="N49" s="496">
        <f t="shared" si="7"/>
        <v>0.75</v>
      </c>
      <c r="O49" s="496">
        <f t="shared" si="7"/>
        <v>0.75</v>
      </c>
      <c r="P49" s="496">
        <f t="shared" si="7"/>
        <v>0.75</v>
      </c>
      <c r="Q49" s="496">
        <f t="shared" si="7"/>
        <v>0.75</v>
      </c>
      <c r="R49" s="496">
        <f t="shared" si="7"/>
        <v>0.75</v>
      </c>
      <c r="S49" s="496">
        <f t="shared" si="7"/>
        <v>0.75</v>
      </c>
      <c r="T49" s="496">
        <f t="shared" si="7"/>
        <v>0.75</v>
      </c>
      <c r="U49" s="496">
        <f t="shared" si="7"/>
        <v>0.75</v>
      </c>
      <c r="V49" s="496">
        <f t="shared" si="7"/>
        <v>0.75</v>
      </c>
      <c r="W49" s="496">
        <f t="shared" si="7"/>
        <v>0.75</v>
      </c>
      <c r="X49" s="496">
        <f t="shared" si="7"/>
        <v>0.75</v>
      </c>
      <c r="XFD49" s="570">
        <f>SUM(D49:XFC49)</f>
        <v>15</v>
      </c>
    </row>
    <row r="50" spans="1:25 16384:16384">
      <c r="A50" s="54"/>
      <c r="B50" s="277"/>
      <c r="C50" s="74"/>
      <c r="D50" s="486"/>
      <c r="E50" s="496"/>
      <c r="F50" s="496"/>
      <c r="G50" s="496"/>
      <c r="H50" s="496"/>
      <c r="I50" s="496"/>
      <c r="J50" s="496"/>
      <c r="K50" s="496"/>
      <c r="L50" s="496"/>
      <c r="M50" s="496"/>
      <c r="N50" s="496"/>
      <c r="O50" s="496"/>
      <c r="P50" s="496"/>
      <c r="Q50" s="496"/>
      <c r="R50" s="496"/>
      <c r="S50" s="496"/>
      <c r="T50" s="496"/>
      <c r="U50" s="496"/>
      <c r="V50" s="496"/>
      <c r="W50" s="496"/>
      <c r="X50" s="496"/>
      <c r="XFD50" s="570"/>
    </row>
    <row r="51" spans="1:25 16384:16384">
      <c r="A51" s="54" t="s">
        <v>312</v>
      </c>
      <c r="B51" s="277"/>
      <c r="C51" s="74"/>
      <c r="D51" s="486">
        <v>0</v>
      </c>
      <c r="E51" s="313">
        <f>'Shuttle Projections'!C22*0.5</f>
        <v>3595</v>
      </c>
      <c r="F51" s="313">
        <f>'Shuttle Projections'!D22</f>
        <v>7190</v>
      </c>
      <c r="G51" s="313">
        <f>'Shuttle Projections'!E22</f>
        <v>7190</v>
      </c>
      <c r="H51" s="313">
        <f>'Shuttle Projections'!F22</f>
        <v>7190</v>
      </c>
      <c r="I51" s="313">
        <f>'Shuttle Projections'!G22</f>
        <v>7190</v>
      </c>
      <c r="J51" s="313">
        <f>'Shuttle Projections'!H22</f>
        <v>7190</v>
      </c>
      <c r="K51" s="313">
        <f>'Shuttle Projections'!I22</f>
        <v>7190</v>
      </c>
      <c r="L51" s="313">
        <f>'Shuttle Projections'!J22</f>
        <v>7190</v>
      </c>
      <c r="M51" s="313">
        <f>'Shuttle Projections'!K22</f>
        <v>7190</v>
      </c>
      <c r="N51" s="313">
        <f>'Shuttle Projections'!L22</f>
        <v>7190</v>
      </c>
      <c r="O51" s="313">
        <f>'Shuttle Projections'!M22</f>
        <v>7190</v>
      </c>
      <c r="P51" s="313">
        <f>'Shuttle Projections'!N22</f>
        <v>7190</v>
      </c>
      <c r="Q51" s="313">
        <f>'Shuttle Projections'!O22</f>
        <v>7190</v>
      </c>
      <c r="R51" s="313">
        <f>'Shuttle Projections'!P22</f>
        <v>7190</v>
      </c>
      <c r="S51" s="313">
        <f>'Shuttle Projections'!Q22</f>
        <v>7190</v>
      </c>
      <c r="T51" s="313">
        <f>'Shuttle Projections'!R22</f>
        <v>7190</v>
      </c>
      <c r="U51" s="313">
        <f>'Shuttle Projections'!S22</f>
        <v>7190</v>
      </c>
      <c r="V51" s="313">
        <f>'Shuttle Projections'!T22</f>
        <v>7190</v>
      </c>
      <c r="W51" s="313">
        <f>'Shuttle Projections'!U22</f>
        <v>7190</v>
      </c>
      <c r="X51" s="313">
        <f>'Shuttle Projections'!V22</f>
        <v>7190</v>
      </c>
      <c r="XFD51" s="570"/>
    </row>
    <row r="52" spans="1:25 16384:16384">
      <c r="A52" s="54"/>
      <c r="B52" s="277"/>
      <c r="C52" s="74"/>
      <c r="D52" s="486"/>
      <c r="E52" s="308"/>
      <c r="F52" s="308"/>
      <c r="G52" s="308"/>
      <c r="H52" s="308"/>
      <c r="I52" s="308"/>
      <c r="J52" s="308"/>
      <c r="K52" s="308"/>
      <c r="L52" s="308"/>
      <c r="M52" s="308"/>
      <c r="N52" s="308"/>
      <c r="O52" s="308"/>
      <c r="P52" s="308"/>
      <c r="Q52" s="308"/>
      <c r="R52" s="308"/>
      <c r="S52" s="308"/>
      <c r="T52" s="308"/>
      <c r="U52" s="308"/>
      <c r="V52" s="308"/>
      <c r="W52" s="308"/>
      <c r="X52" s="308"/>
    </row>
    <row r="53" spans="1:25 16384:16384" s="612" customFormat="1">
      <c r="A53" s="613" t="s">
        <v>292</v>
      </c>
      <c r="B53" s="614"/>
      <c r="C53" s="615"/>
      <c r="D53" s="616">
        <v>0</v>
      </c>
      <c r="E53" s="617">
        <v>0</v>
      </c>
      <c r="F53" s="617">
        <v>0</v>
      </c>
      <c r="G53" s="617">
        <v>100000</v>
      </c>
      <c r="H53" s="617">
        <v>100000</v>
      </c>
      <c r="I53" s="617">
        <v>100000</v>
      </c>
      <c r="J53" s="617">
        <v>100000</v>
      </c>
      <c r="K53" s="617">
        <v>100000</v>
      </c>
      <c r="L53" s="617">
        <v>100000</v>
      </c>
      <c r="M53" s="617">
        <v>100000</v>
      </c>
      <c r="N53" s="617">
        <v>100000</v>
      </c>
      <c r="O53" s="617">
        <v>100000</v>
      </c>
      <c r="P53" s="617">
        <v>100000</v>
      </c>
      <c r="Q53" s="617">
        <v>100000</v>
      </c>
      <c r="R53" s="617">
        <v>100000</v>
      </c>
      <c r="S53" s="617">
        <v>100000</v>
      </c>
      <c r="T53" s="617">
        <v>100000</v>
      </c>
      <c r="U53" s="617">
        <v>100000</v>
      </c>
      <c r="V53" s="617">
        <v>100000</v>
      </c>
      <c r="W53" s="617">
        <v>100000</v>
      </c>
      <c r="X53" s="618">
        <v>100000</v>
      </c>
    </row>
    <row r="54" spans="1:25 16384:16384">
      <c r="A54" s="54"/>
      <c r="B54" s="277"/>
      <c r="C54" s="74"/>
      <c r="D54" s="486"/>
      <c r="E54" s="308"/>
      <c r="F54" s="308"/>
      <c r="G54" s="308"/>
      <c r="H54" s="308"/>
      <c r="I54" s="308"/>
      <c r="J54" s="308"/>
      <c r="K54" s="308"/>
      <c r="L54" s="308"/>
      <c r="M54" s="308"/>
      <c r="N54" s="308"/>
      <c r="O54" s="308"/>
      <c r="P54" s="308"/>
      <c r="Q54" s="308"/>
      <c r="R54" s="308"/>
      <c r="S54" s="308"/>
      <c r="T54" s="308"/>
      <c r="U54" s="308"/>
      <c r="V54" s="308"/>
      <c r="W54" s="308"/>
      <c r="X54" s="308"/>
    </row>
    <row r="55" spans="1:25 16384:16384" s="547" customFormat="1">
      <c r="A55" s="549" t="str">
        <f>'BH Tariffs'!A33</f>
        <v>Recreational/Commercial Marina</v>
      </c>
      <c r="B55" s="714"/>
      <c r="C55" s="715"/>
      <c r="D55" s="554"/>
      <c r="E55" s="716"/>
      <c r="F55" s="716"/>
      <c r="G55" s="716"/>
      <c r="H55" s="716"/>
      <c r="I55" s="716"/>
      <c r="J55" s="716"/>
      <c r="K55" s="716"/>
      <c r="L55" s="716"/>
      <c r="M55" s="716"/>
      <c r="N55" s="716"/>
      <c r="O55" s="716"/>
      <c r="P55" s="716"/>
      <c r="Q55" s="716"/>
      <c r="R55" s="716"/>
      <c r="S55" s="716"/>
      <c r="T55" s="716"/>
      <c r="U55" s="716"/>
      <c r="V55" s="716"/>
      <c r="W55" s="716"/>
      <c r="X55" s="716"/>
    </row>
    <row r="56" spans="1:25 16384:16384" s="341" customFormat="1">
      <c r="A56" s="552" t="s">
        <v>291</v>
      </c>
      <c r="B56" s="556"/>
      <c r="C56" s="557"/>
      <c r="D56" s="554">
        <v>0</v>
      </c>
      <c r="E56" s="555">
        <v>0</v>
      </c>
      <c r="F56" s="555">
        <v>0</v>
      </c>
      <c r="G56" s="555">
        <v>0</v>
      </c>
      <c r="H56" s="555">
        <v>0</v>
      </c>
      <c r="I56" s="555">
        <v>0</v>
      </c>
      <c r="J56" s="555">
        <v>0</v>
      </c>
      <c r="K56" s="555">
        <v>0</v>
      </c>
      <c r="L56" s="555">
        <v>0</v>
      </c>
      <c r="M56" s="555">
        <v>0</v>
      </c>
      <c r="N56" s="555">
        <v>0</v>
      </c>
      <c r="O56" s="555">
        <v>0</v>
      </c>
      <c r="P56" s="555">
        <v>0</v>
      </c>
      <c r="Q56" s="555">
        <v>0</v>
      </c>
      <c r="R56" s="555">
        <v>0</v>
      </c>
      <c r="S56" s="555">
        <v>0</v>
      </c>
      <c r="T56" s="555">
        <v>0</v>
      </c>
      <c r="U56" s="555">
        <v>0</v>
      </c>
      <c r="V56" s="555">
        <v>0</v>
      </c>
      <c r="W56" s="555">
        <v>0</v>
      </c>
      <c r="X56" s="555">
        <v>0</v>
      </c>
    </row>
    <row r="57" spans="1:25 16384:16384" s="341" customFormat="1">
      <c r="A57" s="552" t="s">
        <v>293</v>
      </c>
      <c r="B57" s="556"/>
      <c r="C57" s="557"/>
      <c r="D57" s="554">
        <v>0</v>
      </c>
      <c r="E57" s="555">
        <v>0</v>
      </c>
      <c r="F57" s="555">
        <v>0</v>
      </c>
      <c r="G57" s="555">
        <v>0</v>
      </c>
      <c r="H57" s="555">
        <v>0</v>
      </c>
      <c r="I57" s="555">
        <v>0</v>
      </c>
      <c r="J57" s="555">
        <v>0</v>
      </c>
      <c r="K57" s="555">
        <v>0</v>
      </c>
      <c r="L57" s="555">
        <v>0</v>
      </c>
      <c r="M57" s="555">
        <v>0</v>
      </c>
      <c r="N57" s="555">
        <v>0</v>
      </c>
      <c r="O57" s="555">
        <v>0</v>
      </c>
      <c r="P57" s="555">
        <v>0</v>
      </c>
      <c r="Q57" s="555">
        <v>0</v>
      </c>
      <c r="R57" s="555">
        <v>0</v>
      </c>
      <c r="S57" s="555">
        <v>0</v>
      </c>
      <c r="T57" s="555">
        <v>0</v>
      </c>
      <c r="U57" s="555">
        <v>0</v>
      </c>
      <c r="V57" s="555">
        <v>0</v>
      </c>
      <c r="W57" s="555">
        <v>0</v>
      </c>
      <c r="X57" s="555">
        <v>0</v>
      </c>
    </row>
    <row r="58" spans="1:25 16384:16384" s="341" customFormat="1">
      <c r="A58" s="552" t="s">
        <v>294</v>
      </c>
      <c r="B58" s="556"/>
      <c r="C58" s="557"/>
      <c r="D58" s="554">
        <v>0</v>
      </c>
      <c r="E58" s="555">
        <v>0</v>
      </c>
      <c r="F58" s="555">
        <v>0</v>
      </c>
      <c r="G58" s="555">
        <v>0</v>
      </c>
      <c r="H58" s="555">
        <v>0</v>
      </c>
      <c r="I58" s="555">
        <v>0</v>
      </c>
      <c r="J58" s="555">
        <v>0</v>
      </c>
      <c r="K58" s="555">
        <v>0</v>
      </c>
      <c r="L58" s="555">
        <v>0</v>
      </c>
      <c r="M58" s="555">
        <v>0</v>
      </c>
      <c r="N58" s="555">
        <v>0</v>
      </c>
      <c r="O58" s="555">
        <v>0</v>
      </c>
      <c r="P58" s="555">
        <v>0</v>
      </c>
      <c r="Q58" s="555">
        <v>0</v>
      </c>
      <c r="R58" s="555">
        <v>0</v>
      </c>
      <c r="S58" s="555">
        <v>0</v>
      </c>
      <c r="T58" s="555">
        <v>0</v>
      </c>
      <c r="U58" s="555">
        <v>0</v>
      </c>
      <c r="V58" s="555">
        <v>0</v>
      </c>
      <c r="W58" s="555">
        <v>0</v>
      </c>
      <c r="X58" s="555">
        <v>0</v>
      </c>
    </row>
    <row r="59" spans="1:25 16384:16384" s="167" customFormat="1">
      <c r="A59" s="497" t="s">
        <v>170</v>
      </c>
      <c r="B59" s="450"/>
      <c r="C59" s="498"/>
      <c r="D59" s="486">
        <v>0</v>
      </c>
      <c r="E59" s="587">
        <v>0</v>
      </c>
      <c r="F59" s="587">
        <v>0</v>
      </c>
      <c r="G59" s="587">
        <v>0</v>
      </c>
      <c r="H59" s="587">
        <v>0</v>
      </c>
      <c r="I59" s="587">
        <v>0</v>
      </c>
      <c r="J59" s="587">
        <v>0</v>
      </c>
      <c r="K59" s="587">
        <v>0</v>
      </c>
      <c r="L59" s="587">
        <v>0</v>
      </c>
      <c r="M59" s="587">
        <v>0</v>
      </c>
      <c r="N59" s="587">
        <v>0</v>
      </c>
      <c r="O59" s="587">
        <v>0</v>
      </c>
      <c r="P59" s="587">
        <v>0</v>
      </c>
      <c r="Q59" s="587">
        <v>0</v>
      </c>
      <c r="R59" s="587">
        <v>0</v>
      </c>
      <c r="S59" s="587">
        <v>0</v>
      </c>
      <c r="T59" s="587">
        <v>0</v>
      </c>
      <c r="U59" s="587">
        <v>0</v>
      </c>
      <c r="V59" s="587">
        <v>0</v>
      </c>
      <c r="W59" s="587">
        <v>0</v>
      </c>
      <c r="X59" s="587">
        <v>0</v>
      </c>
      <c r="Y59" s="167" t="s">
        <v>282</v>
      </c>
    </row>
    <row r="60" spans="1:25 16384:16384" s="167" customFormat="1">
      <c r="A60" s="497" t="s">
        <v>16</v>
      </c>
      <c r="B60" s="450"/>
      <c r="C60" s="498"/>
      <c r="D60" s="499">
        <v>0</v>
      </c>
      <c r="E60" s="587">
        <v>0</v>
      </c>
      <c r="F60" s="587">
        <v>0</v>
      </c>
      <c r="G60" s="587">
        <v>0</v>
      </c>
      <c r="H60" s="587">
        <v>0</v>
      </c>
      <c r="I60" s="587">
        <v>0</v>
      </c>
      <c r="J60" s="587">
        <v>0</v>
      </c>
      <c r="K60" s="587">
        <v>0</v>
      </c>
      <c r="L60" s="587">
        <v>0</v>
      </c>
      <c r="M60" s="587">
        <v>0</v>
      </c>
      <c r="N60" s="587">
        <v>0</v>
      </c>
      <c r="O60" s="587">
        <v>0</v>
      </c>
      <c r="P60" s="587">
        <v>0</v>
      </c>
      <c r="Q60" s="587">
        <v>0</v>
      </c>
      <c r="R60" s="587">
        <v>0</v>
      </c>
      <c r="S60" s="587">
        <v>0</v>
      </c>
      <c r="T60" s="587">
        <v>0</v>
      </c>
      <c r="U60" s="587">
        <v>0</v>
      </c>
      <c r="V60" s="587">
        <v>0</v>
      </c>
      <c r="W60" s="587">
        <v>0</v>
      </c>
      <c r="X60" s="587">
        <v>0</v>
      </c>
      <c r="Y60" s="167" t="s">
        <v>282</v>
      </c>
    </row>
    <row r="61" spans="1:25 16384:16384">
      <c r="A61" s="54"/>
      <c r="B61" s="277"/>
      <c r="C61" s="74"/>
      <c r="D61" s="492"/>
      <c r="E61" s="308"/>
      <c r="F61" s="308"/>
      <c r="G61" s="308"/>
      <c r="H61" s="308"/>
      <c r="I61" s="308"/>
      <c r="J61" s="308"/>
      <c r="K61" s="308"/>
      <c r="L61" s="308"/>
      <c r="M61" s="308"/>
      <c r="N61" s="308"/>
      <c r="O61" s="308"/>
      <c r="P61" s="308"/>
      <c r="Q61" s="308"/>
      <c r="R61" s="308"/>
      <c r="S61" s="308"/>
      <c r="T61" s="308"/>
      <c r="U61" s="308"/>
      <c r="V61" s="308"/>
      <c r="W61" s="308"/>
      <c r="X61" s="308"/>
    </row>
    <row r="62" spans="1:25 16384:16384">
      <c r="A62" s="293" t="s">
        <v>2</v>
      </c>
      <c r="B62" s="277"/>
      <c r="C62" s="74"/>
      <c r="D62" s="492"/>
      <c r="E62" s="308"/>
      <c r="F62" s="308"/>
      <c r="G62" s="308"/>
      <c r="H62" s="308"/>
      <c r="I62" s="308"/>
      <c r="J62" s="308"/>
      <c r="K62" s="308"/>
      <c r="L62" s="308"/>
      <c r="M62" s="308"/>
      <c r="N62" s="308"/>
      <c r="O62" s="308"/>
      <c r="P62" s="308"/>
      <c r="Q62" s="308"/>
      <c r="R62" s="308"/>
      <c r="S62" s="308"/>
      <c r="T62" s="308"/>
      <c r="U62" s="308"/>
      <c r="V62" s="308"/>
      <c r="W62" s="308"/>
      <c r="X62" s="308"/>
    </row>
    <row r="63" spans="1:25 16384:16384" s="96" customFormat="1">
      <c r="A63" s="54" t="s">
        <v>290</v>
      </c>
      <c r="B63" s="435">
        <v>500</v>
      </c>
      <c r="C63" s="487"/>
      <c r="D63" s="486">
        <v>0</v>
      </c>
      <c r="E63" s="313">
        <v>0</v>
      </c>
      <c r="F63" s="313">
        <v>0</v>
      </c>
      <c r="G63" s="313">
        <f t="shared" ref="G63:X63" si="8">$B$63</f>
        <v>500</v>
      </c>
      <c r="H63" s="313">
        <f t="shared" si="8"/>
        <v>500</v>
      </c>
      <c r="I63" s="313">
        <f t="shared" si="8"/>
        <v>500</v>
      </c>
      <c r="J63" s="313">
        <f t="shared" si="8"/>
        <v>500</v>
      </c>
      <c r="K63" s="313">
        <f t="shared" si="8"/>
        <v>500</v>
      </c>
      <c r="L63" s="313">
        <f t="shared" si="8"/>
        <v>500</v>
      </c>
      <c r="M63" s="313">
        <f t="shared" si="8"/>
        <v>500</v>
      </c>
      <c r="N63" s="313">
        <f t="shared" si="8"/>
        <v>500</v>
      </c>
      <c r="O63" s="313">
        <f t="shared" si="8"/>
        <v>500</v>
      </c>
      <c r="P63" s="313">
        <f t="shared" si="8"/>
        <v>500</v>
      </c>
      <c r="Q63" s="313">
        <f t="shared" si="8"/>
        <v>500</v>
      </c>
      <c r="R63" s="313">
        <f t="shared" si="8"/>
        <v>500</v>
      </c>
      <c r="S63" s="313">
        <f t="shared" si="8"/>
        <v>500</v>
      </c>
      <c r="T63" s="313">
        <f t="shared" si="8"/>
        <v>500</v>
      </c>
      <c r="U63" s="313">
        <f t="shared" si="8"/>
        <v>500</v>
      </c>
      <c r="V63" s="313">
        <f t="shared" si="8"/>
        <v>500</v>
      </c>
      <c r="W63" s="313">
        <f t="shared" si="8"/>
        <v>500</v>
      </c>
      <c r="X63" s="313">
        <f t="shared" si="8"/>
        <v>500</v>
      </c>
    </row>
    <row r="64" spans="1:25 16384:16384" s="96" customFormat="1">
      <c r="A64" s="54" t="s">
        <v>540</v>
      </c>
      <c r="B64" s="435"/>
      <c r="C64" s="487"/>
      <c r="D64" s="1055">
        <v>0</v>
      </c>
      <c r="E64" s="1056">
        <v>0</v>
      </c>
      <c r="F64" s="1056">
        <v>0</v>
      </c>
      <c r="G64" s="1056">
        <v>200000</v>
      </c>
      <c r="H64" s="1056">
        <f>G64</f>
        <v>200000</v>
      </c>
      <c r="I64" s="1056">
        <f t="shared" ref="I64:X64" si="9">H64</f>
        <v>200000</v>
      </c>
      <c r="J64" s="1056">
        <f t="shared" si="9"/>
        <v>200000</v>
      </c>
      <c r="K64" s="1056">
        <f t="shared" si="9"/>
        <v>200000</v>
      </c>
      <c r="L64" s="1056">
        <f t="shared" si="9"/>
        <v>200000</v>
      </c>
      <c r="M64" s="1056">
        <f t="shared" si="9"/>
        <v>200000</v>
      </c>
      <c r="N64" s="1056">
        <f t="shared" si="9"/>
        <v>200000</v>
      </c>
      <c r="O64" s="1056">
        <f t="shared" si="9"/>
        <v>200000</v>
      </c>
      <c r="P64" s="1056">
        <f t="shared" si="9"/>
        <v>200000</v>
      </c>
      <c r="Q64" s="1056">
        <f t="shared" si="9"/>
        <v>200000</v>
      </c>
      <c r="R64" s="1056">
        <f t="shared" si="9"/>
        <v>200000</v>
      </c>
      <c r="S64" s="1056">
        <f t="shared" si="9"/>
        <v>200000</v>
      </c>
      <c r="T64" s="1056">
        <f t="shared" si="9"/>
        <v>200000</v>
      </c>
      <c r="U64" s="1056">
        <f t="shared" si="9"/>
        <v>200000</v>
      </c>
      <c r="V64" s="1056">
        <f t="shared" si="9"/>
        <v>200000</v>
      </c>
      <c r="W64" s="1056">
        <f t="shared" si="9"/>
        <v>200000</v>
      </c>
      <c r="X64" s="1056">
        <f t="shared" si="9"/>
        <v>200000</v>
      </c>
    </row>
    <row r="65" spans="1:25" s="96" customFormat="1">
      <c r="A65" s="54" t="s">
        <v>210</v>
      </c>
      <c r="B65" s="487"/>
      <c r="C65" s="487"/>
      <c r="D65" s="486">
        <v>0</v>
      </c>
      <c r="E65" s="313">
        <v>0</v>
      </c>
      <c r="F65" s="313">
        <v>1</v>
      </c>
      <c r="G65" s="313">
        <v>2</v>
      </c>
      <c r="H65" s="313">
        <v>2</v>
      </c>
      <c r="I65" s="313">
        <v>2</v>
      </c>
      <c r="J65" s="313">
        <v>3</v>
      </c>
      <c r="K65" s="313">
        <v>3</v>
      </c>
      <c r="L65" s="313">
        <v>3</v>
      </c>
      <c r="M65" s="313">
        <v>3</v>
      </c>
      <c r="N65" s="313">
        <v>3</v>
      </c>
      <c r="O65" s="313">
        <v>4</v>
      </c>
      <c r="P65" s="313">
        <v>4</v>
      </c>
      <c r="Q65" s="313">
        <v>4</v>
      </c>
      <c r="R65" s="313">
        <v>4</v>
      </c>
      <c r="S65" s="313">
        <v>4</v>
      </c>
      <c r="T65" s="313">
        <v>5</v>
      </c>
      <c r="U65" s="313">
        <v>5</v>
      </c>
      <c r="V65" s="313">
        <v>5</v>
      </c>
      <c r="W65" s="313">
        <v>5</v>
      </c>
      <c r="X65" s="313">
        <v>5</v>
      </c>
      <c r="Y65" s="313"/>
    </row>
    <row r="66" spans="1:25" s="96" customFormat="1">
      <c r="A66" s="96" t="s">
        <v>211</v>
      </c>
      <c r="D66" s="486">
        <v>0</v>
      </c>
      <c r="E66" s="435">
        <v>0</v>
      </c>
      <c r="F66" s="435">
        <v>3</v>
      </c>
      <c r="G66" s="435">
        <v>3</v>
      </c>
      <c r="H66" s="435">
        <v>3</v>
      </c>
      <c r="I66" s="435">
        <v>3</v>
      </c>
      <c r="J66" s="435">
        <v>3</v>
      </c>
      <c r="K66" s="435">
        <v>3</v>
      </c>
      <c r="L66" s="435">
        <v>3</v>
      </c>
      <c r="M66" s="435">
        <v>3</v>
      </c>
      <c r="N66" s="435">
        <v>3</v>
      </c>
      <c r="O66" s="435">
        <v>3</v>
      </c>
      <c r="P66" s="435">
        <v>3</v>
      </c>
      <c r="Q66" s="435">
        <v>3</v>
      </c>
      <c r="R66" s="435">
        <v>3</v>
      </c>
      <c r="S66" s="435">
        <v>3</v>
      </c>
      <c r="T66" s="435">
        <v>3</v>
      </c>
      <c r="U66" s="435">
        <v>3</v>
      </c>
      <c r="V66" s="435">
        <v>3</v>
      </c>
      <c r="W66" s="435">
        <v>3</v>
      </c>
      <c r="X66" s="435">
        <v>3</v>
      </c>
    </row>
    <row r="67" spans="1:25" s="167" customFormat="1">
      <c r="A67" s="497"/>
      <c r="B67" s="501"/>
      <c r="C67" s="501"/>
      <c r="D67" s="499"/>
      <c r="E67" s="500"/>
      <c r="F67" s="500"/>
      <c r="G67" s="500"/>
      <c r="H67" s="500"/>
      <c r="I67" s="500"/>
      <c r="J67" s="500"/>
      <c r="K67" s="500"/>
      <c r="L67" s="500"/>
      <c r="M67" s="500"/>
      <c r="N67" s="500"/>
      <c r="O67" s="500"/>
      <c r="P67" s="500"/>
      <c r="Q67" s="500"/>
      <c r="R67" s="500"/>
      <c r="S67" s="500"/>
      <c r="T67" s="500"/>
      <c r="U67" s="500"/>
      <c r="V67" s="500"/>
      <c r="W67" s="500"/>
      <c r="X67" s="500"/>
      <c r="Y67" s="500"/>
    </row>
    <row r="68" spans="1:25">
      <c r="A68" s="28"/>
      <c r="D68" s="486"/>
      <c r="E68" s="331"/>
      <c r="F68" s="333"/>
      <c r="G68" s="331"/>
      <c r="H68" s="331"/>
      <c r="I68" s="331"/>
      <c r="J68" s="331"/>
      <c r="K68" s="331"/>
      <c r="L68" s="331"/>
      <c r="M68" s="331"/>
      <c r="N68" s="331"/>
      <c r="O68" s="331"/>
      <c r="P68" s="331"/>
      <c r="Q68" s="331"/>
      <c r="R68" s="331"/>
      <c r="S68" s="331"/>
      <c r="T68" s="331"/>
      <c r="U68" s="331"/>
      <c r="V68" s="331"/>
      <c r="W68" s="331"/>
      <c r="X68" s="331"/>
    </row>
    <row r="69" spans="1:25">
      <c r="A69" s="266" t="s">
        <v>135</v>
      </c>
      <c r="B69" s="223"/>
      <c r="C69" s="267"/>
      <c r="D69" s="332"/>
      <c r="E69" s="332"/>
      <c r="F69" s="349"/>
      <c r="G69" s="332"/>
      <c r="H69" s="332"/>
      <c r="I69" s="332"/>
      <c r="J69" s="332"/>
      <c r="K69" s="332"/>
      <c r="L69" s="332"/>
      <c r="M69" s="332"/>
      <c r="N69" s="332"/>
      <c r="O69" s="332"/>
      <c r="P69" s="332"/>
      <c r="Q69" s="332"/>
      <c r="R69" s="332"/>
      <c r="S69" s="332"/>
      <c r="T69" s="332"/>
      <c r="U69" s="332"/>
      <c r="V69" s="332"/>
      <c r="W69" s="332"/>
      <c r="X69" s="332"/>
    </row>
    <row r="70" spans="1:25" s="341" customFormat="1">
      <c r="A70" s="353"/>
      <c r="B70" s="355"/>
      <c r="C70" s="355"/>
      <c r="D70" s="502"/>
      <c r="E70" s="503"/>
      <c r="F70" s="503"/>
      <c r="G70" s="503"/>
      <c r="H70" s="503"/>
      <c r="I70" s="503"/>
      <c r="J70" s="503"/>
      <c r="K70" s="503"/>
      <c r="L70" s="503"/>
      <c r="M70" s="503"/>
      <c r="N70" s="503"/>
      <c r="O70" s="503"/>
      <c r="P70" s="503"/>
      <c r="Q70" s="503"/>
      <c r="R70" s="503"/>
      <c r="S70" s="503"/>
      <c r="T70" s="503"/>
      <c r="U70" s="503"/>
      <c r="V70" s="503"/>
      <c r="W70" s="503"/>
      <c r="X70" s="503"/>
    </row>
    <row r="71" spans="1:25" s="341" customFormat="1">
      <c r="A71" s="691" t="s">
        <v>144</v>
      </c>
      <c r="B71" s="355"/>
      <c r="C71" s="355"/>
      <c r="D71" s="548"/>
      <c r="E71" s="503"/>
      <c r="F71" s="503"/>
      <c r="G71" s="503"/>
      <c r="H71" s="503"/>
      <c r="I71" s="503"/>
      <c r="J71" s="503"/>
      <c r="K71" s="503"/>
      <c r="L71" s="503"/>
      <c r="M71" s="503"/>
      <c r="N71" s="503"/>
      <c r="O71" s="503"/>
      <c r="P71" s="503"/>
      <c r="Q71" s="503"/>
      <c r="R71" s="503"/>
      <c r="S71" s="503"/>
      <c r="T71" s="503"/>
      <c r="U71" s="503"/>
      <c r="V71" s="503"/>
      <c r="W71" s="503"/>
      <c r="X71" s="503"/>
    </row>
    <row r="72" spans="1:25" s="561" customFormat="1">
      <c r="A72" s="353" t="str">
        <f>'BH Tariffs'!A11</f>
        <v>Port Fee</v>
      </c>
      <c r="B72" s="355"/>
      <c r="C72" s="355"/>
      <c r="D72" s="548">
        <v>0</v>
      </c>
      <c r="E72" s="503">
        <f>'BH Tariffs'!D11*'P&amp;L - Concept B1 - ALL'!E12</f>
        <v>0</v>
      </c>
      <c r="F72" s="503">
        <v>0</v>
      </c>
      <c r="G72" s="503">
        <v>0</v>
      </c>
      <c r="H72" s="503">
        <v>0</v>
      </c>
      <c r="I72" s="503">
        <v>0</v>
      </c>
      <c r="J72" s="503">
        <v>0</v>
      </c>
      <c r="K72" s="503">
        <v>0</v>
      </c>
      <c r="L72" s="503">
        <v>0</v>
      </c>
      <c r="M72" s="503">
        <v>0</v>
      </c>
      <c r="N72" s="503">
        <v>0</v>
      </c>
      <c r="O72" s="503">
        <v>0</v>
      </c>
      <c r="P72" s="503">
        <v>0</v>
      </c>
      <c r="Q72" s="503">
        <v>0</v>
      </c>
      <c r="R72" s="503">
        <v>0</v>
      </c>
      <c r="S72" s="503">
        <v>0</v>
      </c>
      <c r="T72" s="503">
        <v>0</v>
      </c>
      <c r="U72" s="503">
        <v>0</v>
      </c>
      <c r="V72" s="503">
        <v>0</v>
      </c>
      <c r="W72" s="503">
        <v>0</v>
      </c>
      <c r="X72" s="503">
        <v>0</v>
      </c>
    </row>
    <row r="73" spans="1:25">
      <c r="A73" s="88"/>
      <c r="B73" s="89"/>
      <c r="C73" s="89"/>
      <c r="D73" s="502"/>
      <c r="E73" s="504"/>
      <c r="F73" s="504"/>
      <c r="G73" s="504"/>
      <c r="H73" s="504"/>
      <c r="I73" s="504"/>
      <c r="J73" s="504"/>
      <c r="K73" s="504"/>
      <c r="L73" s="504"/>
      <c r="M73" s="504"/>
      <c r="N73" s="504"/>
      <c r="O73" s="504"/>
      <c r="P73" s="504"/>
      <c r="Q73" s="504"/>
      <c r="R73" s="504"/>
      <c r="S73" s="504"/>
      <c r="T73" s="504"/>
      <c r="U73" s="504"/>
      <c r="V73" s="504"/>
      <c r="W73" s="504"/>
      <c r="X73" s="504"/>
    </row>
    <row r="74" spans="1:25" s="16" customFormat="1" ht="14.25">
      <c r="A74" s="280" t="s">
        <v>124</v>
      </c>
      <c r="B74" s="533"/>
      <c r="C74" s="533"/>
      <c r="D74" s="534"/>
      <c r="E74" s="535"/>
      <c r="F74" s="535"/>
      <c r="G74" s="535"/>
      <c r="H74" s="535"/>
      <c r="I74" s="535"/>
      <c r="J74" s="535"/>
      <c r="K74" s="535"/>
      <c r="L74" s="535"/>
      <c r="M74" s="535"/>
      <c r="N74" s="535"/>
      <c r="O74" s="535"/>
      <c r="P74" s="535"/>
      <c r="Q74" s="535"/>
      <c r="R74" s="535"/>
      <c r="S74" s="535"/>
      <c r="T74" s="535"/>
      <c r="U74" s="535"/>
      <c r="V74" s="535"/>
      <c r="W74" s="535"/>
      <c r="X74" s="535"/>
    </row>
    <row r="75" spans="1:25" s="279" customFormat="1" ht="14.25">
      <c r="A75" s="91" t="s">
        <v>83</v>
      </c>
      <c r="B75" s="536"/>
      <c r="C75" s="536"/>
      <c r="D75" s="537"/>
      <c r="E75" s="538"/>
      <c r="F75" s="538"/>
      <c r="G75" s="538"/>
      <c r="H75" s="538"/>
      <c r="I75" s="538"/>
      <c r="J75" s="538"/>
      <c r="K75" s="538"/>
      <c r="L75" s="538"/>
      <c r="M75" s="538"/>
      <c r="N75" s="538"/>
      <c r="O75" s="538"/>
      <c r="P75" s="538"/>
      <c r="Q75" s="538"/>
      <c r="R75" s="538"/>
      <c r="S75" s="538"/>
      <c r="T75" s="538"/>
      <c r="U75" s="538"/>
      <c r="V75" s="538"/>
      <c r="W75" s="538"/>
      <c r="X75" s="538"/>
    </row>
    <row r="76" spans="1:25">
      <c r="A76" s="90" t="str">
        <f>'BH Tariffs'!A20</f>
        <v>Town Wharfage (Non-Exclusive Use, Ferry Property Only)</v>
      </c>
      <c r="B76" s="89"/>
      <c r="C76" s="89"/>
      <c r="D76" s="502">
        <v>0</v>
      </c>
      <c r="E76" s="504">
        <f>'BH Tariffs'!D20*'P&amp;L - Concept B1 - ALL'!E12</f>
        <v>0</v>
      </c>
      <c r="F76" s="504">
        <f>'BH Tariffs'!E20*'P&amp;L - Concept B1 - ALL'!F12</f>
        <v>1176607.6686000002</v>
      </c>
      <c r="G76" s="504">
        <f>'BH Tariffs'!F20*'P&amp;L - Concept B1 - ALL'!G12</f>
        <v>1200139.8219719999</v>
      </c>
      <c r="H76" s="504">
        <f>'BH Tariffs'!G20*'P&amp;L - Concept B1 - ALL'!H12</f>
        <v>1224142.6184114402</v>
      </c>
      <c r="I76" s="504">
        <f>'BH Tariffs'!H20*'P&amp;L - Concept B1 - ALL'!I12</f>
        <v>1248625.4707796688</v>
      </c>
      <c r="J76" s="504">
        <f>'BH Tariffs'!I20*'P&amp;L - Concept B1 - ALL'!J12</f>
        <v>1273597.9801952622</v>
      </c>
      <c r="K76" s="504">
        <f>'BH Tariffs'!J20*'P&amp;L - Concept B1 - ALL'!K12</f>
        <v>1299069.9397991677</v>
      </c>
      <c r="L76" s="504">
        <f>'BH Tariffs'!K20*'P&amp;L - Concept B1 - ALL'!L12</f>
        <v>1325051.338595151</v>
      </c>
      <c r="M76" s="504">
        <f>'BH Tariffs'!L20*'P&amp;L - Concept B1 - ALL'!M12</f>
        <v>1351552.365367054</v>
      </c>
      <c r="N76" s="504">
        <f>'BH Tariffs'!M20*'P&amp;L - Concept B1 - ALL'!N12</f>
        <v>1378583.4126743951</v>
      </c>
      <c r="O76" s="504">
        <f>'BH Tariffs'!N20*'P&amp;L - Concept B1 - ALL'!O12</f>
        <v>1406155.080927883</v>
      </c>
      <c r="P76" s="504">
        <f>'BH Tariffs'!O20*'P&amp;L - Concept B1 - ALL'!P12</f>
        <v>1434278.1825464405</v>
      </c>
      <c r="Q76" s="504">
        <f>'BH Tariffs'!P20*'P&amp;L - Concept B1 - ALL'!Q12</f>
        <v>1462963.7461973694</v>
      </c>
      <c r="R76" s="504">
        <f>'BH Tariffs'!Q20*'P&amp;L - Concept B1 - ALL'!R12</f>
        <v>1492223.0211213168</v>
      </c>
      <c r="S76" s="504">
        <f>'BH Tariffs'!R20*'P&amp;L - Concept B1 - ALL'!S12</f>
        <v>1522067.4815437433</v>
      </c>
      <c r="T76" s="504">
        <f>'BH Tariffs'!S20*'P&amp;L - Concept B1 - ALL'!T12</f>
        <v>1552508.8311746181</v>
      </c>
      <c r="U76" s="504">
        <f>'BH Tariffs'!T20*'P&amp;L - Concept B1 - ALL'!U12</f>
        <v>1583559.0077981106</v>
      </c>
      <c r="V76" s="504">
        <f>'BH Tariffs'!U20*'P&amp;L - Concept B1 - ALL'!V12</f>
        <v>1615230.1879540728</v>
      </c>
      <c r="W76" s="504">
        <f>'BH Tariffs'!V20*'P&amp;L - Concept B1 - ALL'!W12</f>
        <v>1647534.7917131544</v>
      </c>
      <c r="X76" s="504">
        <f>'BH Tariffs'!W20*'P&amp;L - Concept B1 - ALL'!X12</f>
        <v>1680485.4875474174</v>
      </c>
      <c r="Y76" s="413">
        <f>SUM(D76:X76)</f>
        <v>26874376.434918266</v>
      </c>
    </row>
    <row r="77" spans="1:25" s="341" customFormat="1">
      <c r="A77" s="353" t="str">
        <f>'BH Tariffs'!A21</f>
        <v>CBP Infastructure Fee (Ferry Property Only)</v>
      </c>
      <c r="B77" s="355"/>
      <c r="C77" s="355"/>
      <c r="D77" s="548">
        <v>0</v>
      </c>
      <c r="E77" s="503">
        <v>0</v>
      </c>
      <c r="F77" s="503">
        <v>0</v>
      </c>
      <c r="G77" s="503">
        <v>0</v>
      </c>
      <c r="H77" s="503">
        <v>0</v>
      </c>
      <c r="I77" s="503">
        <v>0</v>
      </c>
      <c r="J77" s="503">
        <v>0</v>
      </c>
      <c r="K77" s="503">
        <v>0</v>
      </c>
      <c r="L77" s="503">
        <v>0</v>
      </c>
      <c r="M77" s="503">
        <v>0</v>
      </c>
      <c r="N77" s="503">
        <v>0</v>
      </c>
      <c r="O77" s="503">
        <v>0</v>
      </c>
      <c r="P77" s="503">
        <v>0</v>
      </c>
      <c r="Q77" s="503">
        <v>0</v>
      </c>
      <c r="R77" s="503">
        <v>0</v>
      </c>
      <c r="S77" s="503">
        <v>0</v>
      </c>
      <c r="T77" s="503">
        <v>0</v>
      </c>
      <c r="U77" s="503">
        <v>0</v>
      </c>
      <c r="V77" s="503">
        <v>0</v>
      </c>
      <c r="W77" s="503">
        <v>0</v>
      </c>
      <c r="X77" s="503">
        <v>0</v>
      </c>
    </row>
    <row r="78" spans="1:25" s="96" customFormat="1">
      <c r="A78" s="90" t="str">
        <f>'BH Tariffs'!A22</f>
        <v>Infrastructure Fee</v>
      </c>
      <c r="B78" s="356"/>
      <c r="C78" s="356"/>
      <c r="D78" s="502">
        <v>0</v>
      </c>
      <c r="E78" s="504">
        <v>0</v>
      </c>
      <c r="F78" s="504">
        <f>'BH Tariffs'!E22*'Cruise Projections'!V97</f>
        <v>522936.74160000001</v>
      </c>
      <c r="G78" s="504">
        <f>'BH Tariffs'!F22*'Cruise Projections'!W97</f>
        <v>533395.47643200005</v>
      </c>
      <c r="H78" s="504">
        <f>'BH Tariffs'!G22*'Cruise Projections'!X97</f>
        <v>544063.38596063992</v>
      </c>
      <c r="I78" s="504">
        <f>'BH Tariffs'!H22*'Cruise Projections'!Y97</f>
        <v>554944.65367985272</v>
      </c>
      <c r="J78" s="504">
        <f>'BH Tariffs'!I22*'Cruise Projections'!Z97</f>
        <v>566043.54675344983</v>
      </c>
      <c r="K78" s="504">
        <f>'BH Tariffs'!J22*'Cruise Projections'!AA97</f>
        <v>577364.41768851888</v>
      </c>
      <c r="L78" s="504">
        <f>'BH Tariffs'!K22*'Cruise Projections'!AB97</f>
        <v>588911.70604228915</v>
      </c>
      <c r="M78" s="504">
        <f>'BH Tariffs'!L22*'Cruise Projections'!AC97</f>
        <v>600689.94016313506</v>
      </c>
      <c r="N78" s="504">
        <f>'BH Tariffs'!M22*'Cruise Projections'!AD97</f>
        <v>612703.73896639771</v>
      </c>
      <c r="O78" s="504">
        <f>'BH Tariffs'!N22*'Cruise Projections'!AE97</f>
        <v>624957.81374572578</v>
      </c>
      <c r="P78" s="504">
        <f>'BH Tariffs'!O22*'Cruise Projections'!AF97</f>
        <v>637456.97002064029</v>
      </c>
      <c r="Q78" s="504">
        <f>'BH Tariffs'!P22*'Cruise Projections'!AG97</f>
        <v>650206.10942105309</v>
      </c>
      <c r="R78" s="504">
        <f>'BH Tariffs'!Q22*'Cruise Projections'!AH97</f>
        <v>663210.23160947405</v>
      </c>
      <c r="S78" s="504">
        <f>'BH Tariffs'!R22*'Cruise Projections'!AI97</f>
        <v>676474.43624166364</v>
      </c>
      <c r="T78" s="504">
        <f>'BH Tariffs'!S22*'Cruise Projections'!AJ97</f>
        <v>690003.924966497</v>
      </c>
      <c r="U78" s="504">
        <f>'BH Tariffs'!T22*'Cruise Projections'!AK97</f>
        <v>703804.00346582686</v>
      </c>
      <c r="V78" s="504">
        <f>'BH Tariffs'!U22*'Cruise Projections'!AL97</f>
        <v>717880.08353514341</v>
      </c>
      <c r="W78" s="504">
        <f>'BH Tariffs'!V22*'Cruise Projections'!AM97</f>
        <v>732237.68520584644</v>
      </c>
      <c r="X78" s="504">
        <f>'BH Tariffs'!W22*'Cruise Projections'!AN97</f>
        <v>746882.43890996324</v>
      </c>
    </row>
    <row r="79" spans="1:25">
      <c r="A79" s="90"/>
      <c r="B79" s="89"/>
      <c r="C79" s="89"/>
      <c r="D79" s="502"/>
      <c r="E79" s="504"/>
      <c r="F79" s="504"/>
      <c r="G79" s="504"/>
      <c r="H79" s="504"/>
      <c r="I79" s="504"/>
      <c r="J79" s="504"/>
      <c r="K79" s="504"/>
      <c r="L79" s="504"/>
      <c r="M79" s="504"/>
      <c r="N79" s="504"/>
      <c r="O79" s="504"/>
      <c r="P79" s="504"/>
      <c r="Q79" s="504"/>
      <c r="R79" s="504"/>
      <c r="S79" s="504"/>
      <c r="T79" s="504"/>
      <c r="U79" s="504"/>
      <c r="V79" s="504"/>
      <c r="W79" s="504"/>
      <c r="X79" s="504"/>
    </row>
    <row r="80" spans="1:25" s="341" customFormat="1">
      <c r="A80" s="543" t="s">
        <v>163</v>
      </c>
      <c r="B80" s="354"/>
      <c r="C80" s="355"/>
      <c r="D80" s="548"/>
      <c r="E80" s="503"/>
      <c r="F80" s="503"/>
      <c r="G80" s="503"/>
      <c r="H80" s="503"/>
      <c r="I80" s="503"/>
      <c r="J80" s="503"/>
      <c r="K80" s="503"/>
      <c r="L80" s="503"/>
      <c r="M80" s="503"/>
      <c r="N80" s="503"/>
      <c r="O80" s="503"/>
      <c r="P80" s="503"/>
      <c r="Q80" s="503"/>
      <c r="R80" s="503"/>
      <c r="S80" s="503"/>
      <c r="T80" s="503"/>
      <c r="U80" s="503"/>
      <c r="V80" s="503"/>
      <c r="W80" s="503"/>
      <c r="X80" s="503"/>
    </row>
    <row r="81" spans="1:25" s="341" customFormat="1">
      <c r="A81" s="353" t="str">
        <f>'BH Tariffs'!A25</f>
        <v>Dock Rent (12 months)</v>
      </c>
      <c r="B81" s="354"/>
      <c r="C81" s="355"/>
      <c r="D81" s="548">
        <v>0</v>
      </c>
      <c r="E81" s="503">
        <v>0</v>
      </c>
      <c r="F81" s="503">
        <v>0</v>
      </c>
      <c r="G81" s="503">
        <v>0</v>
      </c>
      <c r="H81" s="503">
        <v>0</v>
      </c>
      <c r="I81" s="503">
        <v>0</v>
      </c>
      <c r="J81" s="503">
        <v>0</v>
      </c>
      <c r="K81" s="503">
        <v>0</v>
      </c>
      <c r="L81" s="503">
        <v>0</v>
      </c>
      <c r="M81" s="503">
        <v>0</v>
      </c>
      <c r="N81" s="503">
        <v>0</v>
      </c>
      <c r="O81" s="503">
        <v>0</v>
      </c>
      <c r="P81" s="503">
        <v>0</v>
      </c>
      <c r="Q81" s="503">
        <v>0</v>
      </c>
      <c r="R81" s="503">
        <v>0</v>
      </c>
      <c r="S81" s="503">
        <v>0</v>
      </c>
      <c r="T81" s="503">
        <v>0</v>
      </c>
      <c r="U81" s="503">
        <v>0</v>
      </c>
      <c r="V81" s="503">
        <v>0</v>
      </c>
      <c r="W81" s="503">
        <v>0</v>
      </c>
      <c r="X81" s="503">
        <v>0</v>
      </c>
    </row>
    <row r="82" spans="1:25" s="341" customFormat="1">
      <c r="A82" s="353" t="str">
        <f>'BH Tariffs'!A26</f>
        <v>Ferry Passenger Wharfage</v>
      </c>
      <c r="B82" s="354"/>
      <c r="C82" s="355"/>
      <c r="D82" s="548">
        <v>0</v>
      </c>
      <c r="E82" s="503">
        <v>0</v>
      </c>
      <c r="F82" s="503">
        <v>0</v>
      </c>
      <c r="G82" s="503">
        <v>0</v>
      </c>
      <c r="H82" s="503">
        <v>0</v>
      </c>
      <c r="I82" s="503">
        <v>0</v>
      </c>
      <c r="J82" s="503">
        <v>0</v>
      </c>
      <c r="K82" s="503">
        <v>0</v>
      </c>
      <c r="L82" s="503">
        <v>0</v>
      </c>
      <c r="M82" s="503">
        <v>0</v>
      </c>
      <c r="N82" s="503">
        <v>0</v>
      </c>
      <c r="O82" s="503">
        <v>0</v>
      </c>
      <c r="P82" s="503">
        <v>0</v>
      </c>
      <c r="Q82" s="503">
        <v>0</v>
      </c>
      <c r="R82" s="503">
        <v>0</v>
      </c>
      <c r="S82" s="503">
        <v>0</v>
      </c>
      <c r="T82" s="503">
        <v>0</v>
      </c>
      <c r="U82" s="503">
        <v>0</v>
      </c>
      <c r="V82" s="503">
        <v>0</v>
      </c>
      <c r="W82" s="503">
        <v>0</v>
      </c>
      <c r="X82" s="503">
        <v>0</v>
      </c>
    </row>
    <row r="83" spans="1:25" s="341" customFormat="1">
      <c r="A83" s="353" t="str">
        <f>'BH Tariffs'!A27</f>
        <v>Ferry Passenger Vehicle Wharfage</v>
      </c>
      <c r="B83" s="354"/>
      <c r="C83" s="355"/>
      <c r="D83" s="548">
        <v>0</v>
      </c>
      <c r="E83" s="503">
        <v>0</v>
      </c>
      <c r="F83" s="503">
        <v>0</v>
      </c>
      <c r="G83" s="503">
        <v>0</v>
      </c>
      <c r="H83" s="503">
        <v>0</v>
      </c>
      <c r="I83" s="503">
        <v>0</v>
      </c>
      <c r="J83" s="503">
        <v>0</v>
      </c>
      <c r="K83" s="503">
        <v>0</v>
      </c>
      <c r="L83" s="503">
        <v>0</v>
      </c>
      <c r="M83" s="503">
        <v>0</v>
      </c>
      <c r="N83" s="503">
        <v>0</v>
      </c>
      <c r="O83" s="503">
        <v>0</v>
      </c>
      <c r="P83" s="503">
        <v>0</v>
      </c>
      <c r="Q83" s="503">
        <v>0</v>
      </c>
      <c r="R83" s="503">
        <v>0</v>
      </c>
      <c r="S83" s="503">
        <v>0</v>
      </c>
      <c r="T83" s="503">
        <v>0</v>
      </c>
      <c r="U83" s="503">
        <v>0</v>
      </c>
      <c r="V83" s="503">
        <v>0</v>
      </c>
      <c r="W83" s="503">
        <v>0</v>
      </c>
      <c r="X83" s="503">
        <v>0</v>
      </c>
    </row>
    <row r="84" spans="1:25" s="341" customFormat="1">
      <c r="A84" s="353" t="str">
        <f>'BH Tariffs'!A28</f>
        <v>Ferry Bus Wharfage</v>
      </c>
      <c r="B84" s="354"/>
      <c r="C84" s="355"/>
      <c r="D84" s="548">
        <v>0</v>
      </c>
      <c r="E84" s="503">
        <v>0</v>
      </c>
      <c r="F84" s="503">
        <v>0</v>
      </c>
      <c r="G84" s="503">
        <v>0</v>
      </c>
      <c r="H84" s="503">
        <v>0</v>
      </c>
      <c r="I84" s="503">
        <v>0</v>
      </c>
      <c r="J84" s="503">
        <v>0</v>
      </c>
      <c r="K84" s="503">
        <v>0</v>
      </c>
      <c r="L84" s="503">
        <v>0</v>
      </c>
      <c r="M84" s="503">
        <v>0</v>
      </c>
      <c r="N84" s="503">
        <v>0</v>
      </c>
      <c r="O84" s="503">
        <v>0</v>
      </c>
      <c r="P84" s="503">
        <v>0</v>
      </c>
      <c r="Q84" s="503">
        <v>0</v>
      </c>
      <c r="R84" s="503">
        <v>0</v>
      </c>
      <c r="S84" s="503">
        <v>0</v>
      </c>
      <c r="T84" s="503">
        <v>0</v>
      </c>
      <c r="U84" s="503">
        <v>0</v>
      </c>
      <c r="V84" s="503">
        <v>0</v>
      </c>
      <c r="W84" s="503">
        <v>0</v>
      </c>
      <c r="X84" s="503">
        <v>0</v>
      </c>
    </row>
    <row r="85" spans="1:25">
      <c r="A85" s="88"/>
      <c r="B85" s="30"/>
      <c r="C85" s="89"/>
      <c r="D85" s="502"/>
      <c r="E85" s="504"/>
      <c r="F85" s="504"/>
      <c r="G85" s="504"/>
      <c r="H85" s="504"/>
      <c r="I85" s="504"/>
      <c r="J85" s="504"/>
      <c r="K85" s="504"/>
      <c r="L85" s="504"/>
      <c r="M85" s="504"/>
      <c r="N85" s="504"/>
      <c r="O85" s="504"/>
      <c r="P85" s="504"/>
      <c r="Q85" s="504"/>
      <c r="R85" s="504"/>
      <c r="S85" s="504"/>
      <c r="T85" s="504"/>
      <c r="U85" s="504"/>
      <c r="V85" s="504"/>
      <c r="W85" s="504"/>
      <c r="X85" s="504"/>
    </row>
    <row r="86" spans="1:25" s="96" customFormat="1">
      <c r="A86" s="605" t="s">
        <v>164</v>
      </c>
      <c r="B86" s="606"/>
      <c r="C86" s="356"/>
      <c r="D86" s="502"/>
      <c r="E86" s="504"/>
      <c r="F86" s="504"/>
      <c r="G86" s="504"/>
      <c r="H86" s="504"/>
      <c r="I86" s="504"/>
      <c r="J86" s="504"/>
      <c r="K86" s="504"/>
      <c r="L86" s="504"/>
      <c r="M86" s="504"/>
      <c r="N86" s="504"/>
      <c r="O86" s="504"/>
      <c r="P86" s="504"/>
      <c r="Q86" s="504"/>
      <c r="R86" s="504"/>
      <c r="S86" s="504"/>
      <c r="T86" s="504"/>
      <c r="U86" s="504"/>
      <c r="V86" s="504"/>
      <c r="W86" s="504"/>
      <c r="X86" s="504"/>
    </row>
    <row r="87" spans="1:25" s="96" customFormat="1">
      <c r="A87" s="90" t="str">
        <f>'BH Tariffs'!A31</f>
        <v>Dock Rent (6 Months Only)</v>
      </c>
      <c r="B87" s="606"/>
      <c r="C87" s="356"/>
      <c r="D87" s="502">
        <v>0</v>
      </c>
      <c r="E87" s="504">
        <v>0</v>
      </c>
      <c r="F87" s="504">
        <f>'BH Tariffs'!E31*6</f>
        <v>12240</v>
      </c>
      <c r="G87" s="504">
        <f>'BH Tariffs'!F31*6</f>
        <v>12484.800000000001</v>
      </c>
      <c r="H87" s="504">
        <f>'BH Tariffs'!G31*6</f>
        <v>12734.495999999999</v>
      </c>
      <c r="I87" s="504">
        <f>'BH Tariffs'!H31*6</f>
        <v>12989.18592</v>
      </c>
      <c r="J87" s="504">
        <f>'BH Tariffs'!I31*6</f>
        <v>13248.9696384</v>
      </c>
      <c r="K87" s="504">
        <f>'BH Tariffs'!J31*6</f>
        <v>13513.949031168002</v>
      </c>
      <c r="L87" s="504">
        <f>'BH Tariffs'!K31*6</f>
        <v>13784.228011791361</v>
      </c>
      <c r="M87" s="504">
        <f>'BH Tariffs'!L31*6</f>
        <v>14059.912572027188</v>
      </c>
      <c r="N87" s="504">
        <f>'BH Tariffs'!M31*6</f>
        <v>14341.110823467734</v>
      </c>
      <c r="O87" s="504">
        <f>'BH Tariffs'!N31*6</f>
        <v>14627.933039937088</v>
      </c>
      <c r="P87" s="504">
        <f>'BH Tariffs'!O31*6</f>
        <v>14920.491700735829</v>
      </c>
      <c r="Q87" s="504">
        <f>'BH Tariffs'!P31*6</f>
        <v>15218.901534750545</v>
      </c>
      <c r="R87" s="504">
        <f>'BH Tariffs'!Q31*6</f>
        <v>15523.279565445555</v>
      </c>
      <c r="S87" s="504">
        <f>'BH Tariffs'!R31*6</f>
        <v>15833.745156754467</v>
      </c>
      <c r="T87" s="504">
        <f>'BH Tariffs'!S31*6</f>
        <v>16150.420059889559</v>
      </c>
      <c r="U87" s="504">
        <f>'BH Tariffs'!T31*6</f>
        <v>16473.428461087351</v>
      </c>
      <c r="V87" s="504">
        <f>'BH Tariffs'!U31*6</f>
        <v>16802.897030309097</v>
      </c>
      <c r="W87" s="504">
        <f>'BH Tariffs'!V31*6</f>
        <v>17138.954970915282</v>
      </c>
      <c r="X87" s="504">
        <f>'BH Tariffs'!W31*6</f>
        <v>17481.734070333587</v>
      </c>
    </row>
    <row r="88" spans="1:25" s="96" customFormat="1">
      <c r="A88" s="90"/>
      <c r="B88" s="606"/>
      <c r="C88" s="356"/>
      <c r="D88" s="502"/>
      <c r="E88" s="504"/>
      <c r="F88" s="504"/>
      <c r="G88" s="504"/>
      <c r="H88" s="504"/>
      <c r="I88" s="504"/>
      <c r="J88" s="504"/>
      <c r="K88" s="504"/>
      <c r="L88" s="504"/>
      <c r="M88" s="504"/>
      <c r="N88" s="504"/>
      <c r="O88" s="504"/>
      <c r="P88" s="504"/>
      <c r="Q88" s="504"/>
      <c r="R88" s="504"/>
      <c r="S88" s="504"/>
      <c r="T88" s="504"/>
      <c r="U88" s="504"/>
      <c r="V88" s="504"/>
      <c r="W88" s="504"/>
      <c r="X88" s="504"/>
    </row>
    <row r="89" spans="1:25" s="547" customFormat="1" ht="14.25">
      <c r="A89" s="543" t="str">
        <f>'BH Tariffs'!A33</f>
        <v>Recreational/Commercial Marina</v>
      </c>
      <c r="B89" s="789"/>
      <c r="C89" s="544"/>
      <c r="D89" s="545"/>
      <c r="E89" s="546"/>
      <c r="F89" s="546"/>
      <c r="G89" s="546"/>
      <c r="H89" s="546"/>
      <c r="I89" s="546"/>
      <c r="J89" s="546"/>
      <c r="K89" s="546"/>
      <c r="L89" s="546"/>
      <c r="M89" s="546"/>
      <c r="N89" s="546"/>
      <c r="O89" s="546"/>
      <c r="P89" s="546"/>
      <c r="Q89" s="546"/>
      <c r="R89" s="546"/>
      <c r="S89" s="546"/>
      <c r="T89" s="546"/>
      <c r="U89" s="546"/>
      <c r="V89" s="546"/>
      <c r="W89" s="546"/>
      <c r="X89" s="546"/>
    </row>
    <row r="90" spans="1:25" s="341" customFormat="1">
      <c r="A90" s="353" t="str">
        <f>'BH Tariffs'!A34</f>
        <v>Transient Slip Rent</v>
      </c>
      <c r="B90" s="354"/>
      <c r="C90" s="355"/>
      <c r="D90" s="548">
        <v>0</v>
      </c>
      <c r="E90" s="503">
        <v>0</v>
      </c>
      <c r="F90" s="503">
        <f>'BH Tariffs'!E34*'P&amp;L - Concept B1 - ALL'!F57</f>
        <v>0</v>
      </c>
      <c r="G90" s="503">
        <f>'BH Tariffs'!F34*'P&amp;L - Concept B1 - ALL'!G57</f>
        <v>0</v>
      </c>
      <c r="H90" s="503">
        <f>'BH Tariffs'!G34*'P&amp;L - Concept B1 - ALL'!H57</f>
        <v>0</v>
      </c>
      <c r="I90" s="503">
        <f>'BH Tariffs'!H34*'P&amp;L - Concept B1 - ALL'!I57</f>
        <v>0</v>
      </c>
      <c r="J90" s="503">
        <f>'BH Tariffs'!I34*'P&amp;L - Concept B1 - ALL'!J57</f>
        <v>0</v>
      </c>
      <c r="K90" s="503">
        <f>'BH Tariffs'!J34*'P&amp;L - Concept B1 - ALL'!K57</f>
        <v>0</v>
      </c>
      <c r="L90" s="503">
        <f>'BH Tariffs'!K34*'P&amp;L - Concept B1 - ALL'!L57</f>
        <v>0</v>
      </c>
      <c r="M90" s="503">
        <f>'BH Tariffs'!L34*'P&amp;L - Concept B1 - ALL'!M57</f>
        <v>0</v>
      </c>
      <c r="N90" s="503">
        <f>'BH Tariffs'!M34*'P&amp;L - Concept B1 - ALL'!N57</f>
        <v>0</v>
      </c>
      <c r="O90" s="503">
        <f>'BH Tariffs'!N34*'P&amp;L - Concept B1 - ALL'!O57</f>
        <v>0</v>
      </c>
      <c r="P90" s="503">
        <f>'BH Tariffs'!O34*'P&amp;L - Concept B1 - ALL'!P57</f>
        <v>0</v>
      </c>
      <c r="Q90" s="503">
        <f>'BH Tariffs'!P34*'P&amp;L - Concept B1 - ALL'!Q57</f>
        <v>0</v>
      </c>
      <c r="R90" s="503">
        <f>'BH Tariffs'!Q34*'P&amp;L - Concept B1 - ALL'!R57</f>
        <v>0</v>
      </c>
      <c r="S90" s="503">
        <f>'BH Tariffs'!R34*'P&amp;L - Concept B1 - ALL'!S57</f>
        <v>0</v>
      </c>
      <c r="T90" s="503">
        <f>'BH Tariffs'!S34*'P&amp;L - Concept B1 - ALL'!T57</f>
        <v>0</v>
      </c>
      <c r="U90" s="503">
        <f>'BH Tariffs'!T34*'P&amp;L - Concept B1 - ALL'!U57</f>
        <v>0</v>
      </c>
      <c r="V90" s="503">
        <f>'BH Tariffs'!U34*'P&amp;L - Concept B1 - ALL'!V57</f>
        <v>0</v>
      </c>
      <c r="W90" s="503">
        <f>'BH Tariffs'!V34*'P&amp;L - Concept B1 - ALL'!W57</f>
        <v>0</v>
      </c>
      <c r="X90" s="503">
        <f>'BH Tariffs'!W34*'P&amp;L - Concept B1 - ALL'!X57</f>
        <v>0</v>
      </c>
    </row>
    <row r="91" spans="1:25" s="341" customFormat="1">
      <c r="A91" s="353" t="s">
        <v>280</v>
      </c>
      <c r="B91" s="354"/>
      <c r="C91" s="355"/>
      <c r="D91" s="548">
        <v>0</v>
      </c>
      <c r="E91" s="503">
        <v>0</v>
      </c>
      <c r="F91" s="503">
        <f>'BH Tariffs'!E35*'P&amp;L - Concept B1 - ALL'!F58</f>
        <v>0</v>
      </c>
      <c r="G91" s="503">
        <f>'BH Tariffs'!F35*'P&amp;L - Concept B1 - ALL'!G58</f>
        <v>0</v>
      </c>
      <c r="H91" s="503">
        <f>'BH Tariffs'!G35*'P&amp;L - Concept B1 - ALL'!H58</f>
        <v>0</v>
      </c>
      <c r="I91" s="503">
        <f>'BH Tariffs'!H35*'P&amp;L - Concept B1 - ALL'!I58</f>
        <v>0</v>
      </c>
      <c r="J91" s="503">
        <f>'BH Tariffs'!I35*'P&amp;L - Concept B1 - ALL'!J58</f>
        <v>0</v>
      </c>
      <c r="K91" s="503">
        <f>'BH Tariffs'!J35*'P&amp;L - Concept B1 - ALL'!K58</f>
        <v>0</v>
      </c>
      <c r="L91" s="503">
        <f>'BH Tariffs'!K35*'P&amp;L - Concept B1 - ALL'!L58</f>
        <v>0</v>
      </c>
      <c r="M91" s="503">
        <f>'BH Tariffs'!L35*'P&amp;L - Concept B1 - ALL'!M58</f>
        <v>0</v>
      </c>
      <c r="N91" s="503">
        <f>'BH Tariffs'!M35*'P&amp;L - Concept B1 - ALL'!N58</f>
        <v>0</v>
      </c>
      <c r="O91" s="503">
        <f>'BH Tariffs'!N35*'P&amp;L - Concept B1 - ALL'!O58</f>
        <v>0</v>
      </c>
      <c r="P91" s="503">
        <f>'BH Tariffs'!O35*'P&amp;L - Concept B1 - ALL'!P58</f>
        <v>0</v>
      </c>
      <c r="Q91" s="503">
        <f>'BH Tariffs'!P35*'P&amp;L - Concept B1 - ALL'!Q58</f>
        <v>0</v>
      </c>
      <c r="R91" s="503">
        <f>'BH Tariffs'!Q35*'P&amp;L - Concept B1 - ALL'!R58</f>
        <v>0</v>
      </c>
      <c r="S91" s="503">
        <f>'BH Tariffs'!R35*'P&amp;L - Concept B1 - ALL'!S58</f>
        <v>0</v>
      </c>
      <c r="T91" s="503">
        <f>'BH Tariffs'!S35*'P&amp;L - Concept B1 - ALL'!T58</f>
        <v>0</v>
      </c>
      <c r="U91" s="503">
        <f>'BH Tariffs'!T35*'P&amp;L - Concept B1 - ALL'!U58</f>
        <v>0</v>
      </c>
      <c r="V91" s="503">
        <f>'BH Tariffs'!U35*'P&amp;L - Concept B1 - ALL'!V58</f>
        <v>0</v>
      </c>
      <c r="W91" s="503">
        <f>'BH Tariffs'!V35*'P&amp;L - Concept B1 - ALL'!W58</f>
        <v>0</v>
      </c>
      <c r="X91" s="503">
        <f>'BH Tariffs'!W35*'P&amp;L - Concept B1 - ALL'!X58</f>
        <v>0</v>
      </c>
    </row>
    <row r="92" spans="1:25" s="341" customFormat="1">
      <c r="A92" s="353" t="str">
        <f>'BH Tariffs'!A36</f>
        <v>Water/Sewer</v>
      </c>
      <c r="B92" s="354"/>
      <c r="C92" s="355"/>
      <c r="D92" s="548">
        <v>0</v>
      </c>
      <c r="E92" s="503">
        <v>0</v>
      </c>
      <c r="F92" s="503">
        <v>0</v>
      </c>
      <c r="G92" s="503">
        <v>0</v>
      </c>
      <c r="H92" s="503">
        <v>0</v>
      </c>
      <c r="I92" s="503">
        <v>0</v>
      </c>
      <c r="J92" s="503">
        <v>0</v>
      </c>
      <c r="K92" s="503">
        <v>0</v>
      </c>
      <c r="L92" s="503">
        <v>0</v>
      </c>
      <c r="M92" s="503">
        <v>0</v>
      </c>
      <c r="N92" s="503">
        <v>0</v>
      </c>
      <c r="O92" s="503">
        <v>0</v>
      </c>
      <c r="P92" s="503">
        <v>0</v>
      </c>
      <c r="Q92" s="503">
        <v>0</v>
      </c>
      <c r="R92" s="503">
        <v>0</v>
      </c>
      <c r="S92" s="503">
        <v>0</v>
      </c>
      <c r="T92" s="503">
        <v>0</v>
      </c>
      <c r="U92" s="503">
        <v>0</v>
      </c>
      <c r="V92" s="503">
        <v>0</v>
      </c>
      <c r="W92" s="503">
        <v>0</v>
      </c>
      <c r="X92" s="503">
        <v>0</v>
      </c>
      <c r="Y92" s="341" t="s">
        <v>282</v>
      </c>
    </row>
    <row r="93" spans="1:25" s="341" customFormat="1">
      <c r="A93" s="353" t="str">
        <f>'BH Tariffs'!A37</f>
        <v xml:space="preserve">Power (Electricity) </v>
      </c>
      <c r="B93" s="354"/>
      <c r="C93" s="355"/>
      <c r="D93" s="548">
        <v>0</v>
      </c>
      <c r="E93" s="503">
        <v>0</v>
      </c>
      <c r="F93" s="503">
        <v>0</v>
      </c>
      <c r="G93" s="503">
        <v>0</v>
      </c>
      <c r="H93" s="503">
        <v>0</v>
      </c>
      <c r="I93" s="503">
        <v>0</v>
      </c>
      <c r="J93" s="503">
        <v>0</v>
      </c>
      <c r="K93" s="503">
        <v>0</v>
      </c>
      <c r="L93" s="503">
        <v>0</v>
      </c>
      <c r="M93" s="503">
        <v>0</v>
      </c>
      <c r="N93" s="503">
        <v>0</v>
      </c>
      <c r="O93" s="503">
        <v>0</v>
      </c>
      <c r="P93" s="503">
        <v>0</v>
      </c>
      <c r="Q93" s="503">
        <v>0</v>
      </c>
      <c r="R93" s="503">
        <v>0</v>
      </c>
      <c r="S93" s="503">
        <v>0</v>
      </c>
      <c r="T93" s="503">
        <v>0</v>
      </c>
      <c r="U93" s="503">
        <v>0</v>
      </c>
      <c r="V93" s="503">
        <v>0</v>
      </c>
      <c r="W93" s="503">
        <v>0</v>
      </c>
      <c r="X93" s="503">
        <v>0</v>
      </c>
      <c r="Y93" s="341" t="s">
        <v>282</v>
      </c>
    </row>
    <row r="94" spans="1:25" s="341" customFormat="1">
      <c r="A94" s="353" t="s">
        <v>526</v>
      </c>
      <c r="B94" s="354"/>
      <c r="C94" s="355"/>
      <c r="D94" s="548">
        <v>0</v>
      </c>
      <c r="E94" s="503">
        <v>0</v>
      </c>
      <c r="F94" s="503">
        <f>'BH Tariffs'!E38*'P&amp;L - Concept B1 - ALL'!F56</f>
        <v>0</v>
      </c>
      <c r="G94" s="503">
        <f>'BH Tariffs'!F38*'P&amp;L - Concept B1 - ALL'!G56</f>
        <v>0</v>
      </c>
      <c r="H94" s="503">
        <f>'BH Tariffs'!G38*'P&amp;L - Concept B1 - ALL'!H56</f>
        <v>0</v>
      </c>
      <c r="I94" s="503">
        <f>'BH Tariffs'!H38*'P&amp;L - Concept B1 - ALL'!I56</f>
        <v>0</v>
      </c>
      <c r="J94" s="503">
        <f>'BH Tariffs'!I38*'P&amp;L - Concept B1 - ALL'!J56</f>
        <v>0</v>
      </c>
      <c r="K94" s="503">
        <f>'BH Tariffs'!J38*'P&amp;L - Concept B1 - ALL'!K56</f>
        <v>0</v>
      </c>
      <c r="L94" s="503">
        <f>'BH Tariffs'!K38*'P&amp;L - Concept B1 - ALL'!L56</f>
        <v>0</v>
      </c>
      <c r="M94" s="503">
        <f>'BH Tariffs'!L38*'P&amp;L - Concept B1 - ALL'!M56</f>
        <v>0</v>
      </c>
      <c r="N94" s="503">
        <f>'BH Tariffs'!M38*'P&amp;L - Concept B1 - ALL'!N56</f>
        <v>0</v>
      </c>
      <c r="O94" s="503">
        <f>'BH Tariffs'!N38*'P&amp;L - Concept B1 - ALL'!O56</f>
        <v>0</v>
      </c>
      <c r="P94" s="503">
        <f>'BH Tariffs'!O38*'P&amp;L - Concept B1 - ALL'!P56</f>
        <v>0</v>
      </c>
      <c r="Q94" s="503">
        <f>'BH Tariffs'!P38*'P&amp;L - Concept B1 - ALL'!Q56</f>
        <v>0</v>
      </c>
      <c r="R94" s="503">
        <f>'BH Tariffs'!Q38*'P&amp;L - Concept B1 - ALL'!R56</f>
        <v>0</v>
      </c>
      <c r="S94" s="503">
        <f>'BH Tariffs'!R38*'P&amp;L - Concept B1 - ALL'!S56</f>
        <v>0</v>
      </c>
      <c r="T94" s="503">
        <f>'BH Tariffs'!S38*'P&amp;L - Concept B1 - ALL'!T56</f>
        <v>0</v>
      </c>
      <c r="U94" s="503">
        <f>'BH Tariffs'!T38*'P&amp;L - Concept B1 - ALL'!U56</f>
        <v>0</v>
      </c>
      <c r="V94" s="503">
        <f>'BH Tariffs'!U38*'P&amp;L - Concept B1 - ALL'!V56</f>
        <v>0</v>
      </c>
      <c r="W94" s="503">
        <f>'BH Tariffs'!V38*'P&amp;L - Concept B1 - ALL'!W56</f>
        <v>0</v>
      </c>
      <c r="X94" s="503">
        <f>'BH Tariffs'!W38*'P&amp;L - Concept B1 - ALL'!X56</f>
        <v>0</v>
      </c>
    </row>
    <row r="95" spans="1:25">
      <c r="A95" s="88"/>
      <c r="B95" s="30"/>
      <c r="C95" s="89"/>
      <c r="D95" s="502"/>
      <c r="E95" s="504"/>
      <c r="F95" s="504"/>
      <c r="G95" s="504"/>
      <c r="H95" s="504"/>
      <c r="I95" s="504"/>
      <c r="J95" s="504"/>
      <c r="K95" s="504"/>
      <c r="L95" s="504"/>
      <c r="M95" s="504"/>
      <c r="N95" s="504"/>
      <c r="O95" s="504"/>
      <c r="P95" s="504"/>
      <c r="Q95" s="504"/>
      <c r="R95" s="504"/>
      <c r="S95" s="504"/>
      <c r="T95" s="504"/>
      <c r="U95" s="504"/>
      <c r="V95" s="504"/>
      <c r="W95" s="504"/>
      <c r="X95" s="504"/>
    </row>
    <row r="96" spans="1:25">
      <c r="A96" s="91" t="s">
        <v>26</v>
      </c>
      <c r="B96" s="30"/>
      <c r="C96" s="89"/>
      <c r="D96" s="502"/>
      <c r="E96" s="504"/>
      <c r="F96" s="504"/>
      <c r="G96" s="504"/>
      <c r="H96" s="504"/>
      <c r="I96" s="504"/>
      <c r="J96" s="504"/>
      <c r="K96" s="504"/>
      <c r="L96" s="504"/>
      <c r="M96" s="504"/>
      <c r="N96" s="504"/>
      <c r="O96" s="504"/>
      <c r="P96" s="504"/>
      <c r="Q96" s="504"/>
      <c r="R96" s="504"/>
      <c r="S96" s="504"/>
      <c r="T96" s="504"/>
      <c r="U96" s="504"/>
      <c r="V96" s="504"/>
      <c r="W96" s="504"/>
      <c r="X96" s="504"/>
    </row>
    <row r="97" spans="1:24" s="341" customFormat="1">
      <c r="A97" s="353" t="s">
        <v>214</v>
      </c>
      <c r="B97" s="354"/>
      <c r="C97" s="355"/>
      <c r="D97" s="548">
        <v>0</v>
      </c>
      <c r="E97" s="503">
        <v>0</v>
      </c>
      <c r="F97" s="503">
        <v>0</v>
      </c>
      <c r="G97" s="503">
        <v>0</v>
      </c>
      <c r="H97" s="503">
        <v>0</v>
      </c>
      <c r="I97" s="503">
        <v>0</v>
      </c>
      <c r="J97" s="503">
        <v>0</v>
      </c>
      <c r="K97" s="503">
        <v>0</v>
      </c>
      <c r="L97" s="503">
        <v>0</v>
      </c>
      <c r="M97" s="503">
        <v>0</v>
      </c>
      <c r="N97" s="503">
        <v>0</v>
      </c>
      <c r="O97" s="503">
        <v>0</v>
      </c>
      <c r="P97" s="503">
        <v>0</v>
      </c>
      <c r="Q97" s="503">
        <v>0</v>
      </c>
      <c r="R97" s="503">
        <v>0</v>
      </c>
      <c r="S97" s="503">
        <v>0</v>
      </c>
      <c r="T97" s="503">
        <v>0</v>
      </c>
      <c r="U97" s="503">
        <v>0</v>
      </c>
      <c r="V97" s="503">
        <v>0</v>
      </c>
      <c r="W97" s="503">
        <v>0</v>
      </c>
      <c r="X97" s="503">
        <v>0</v>
      </c>
    </row>
    <row r="98" spans="1:24">
      <c r="A98" s="88" t="s">
        <v>215</v>
      </c>
      <c r="B98" s="30"/>
      <c r="C98" s="89"/>
      <c r="D98" s="502">
        <v>0</v>
      </c>
      <c r="E98" s="504">
        <f>'BH Tariffs'!D43*'P&amp;L - Concept B1 - ALL'!E44</f>
        <v>0</v>
      </c>
      <c r="F98" s="504">
        <f>'BH Tariffs'!E43*'P&amp;L - Concept B1 - ALL'!F44</f>
        <v>0</v>
      </c>
      <c r="G98" s="504">
        <f>'BH Tariffs'!F43*'P&amp;L - Concept B1 - ALL'!G44</f>
        <v>0</v>
      </c>
      <c r="H98" s="504">
        <f>'BH Tariffs'!G43*'P&amp;L - Concept B1 - ALL'!H44</f>
        <v>0</v>
      </c>
      <c r="I98" s="504">
        <f>'BH Tariffs'!H43*'P&amp;L - Concept B1 - ALL'!I44</f>
        <v>0</v>
      </c>
      <c r="J98" s="504">
        <f>'BH Tariffs'!I43*'P&amp;L - Concept B1 - ALL'!J44</f>
        <v>247469.99999999997</v>
      </c>
      <c r="K98" s="504">
        <f>'BH Tariffs'!J43*'P&amp;L - Concept B1 - ALL'!K44</f>
        <v>247469.99999999997</v>
      </c>
      <c r="L98" s="504">
        <f>'BH Tariffs'!K43*'P&amp;L - Concept B1 - ALL'!L44</f>
        <v>247469.99999999997</v>
      </c>
      <c r="M98" s="504">
        <f>'BH Tariffs'!L43*'P&amp;L - Concept B1 - ALL'!M44</f>
        <v>247469.99999999997</v>
      </c>
      <c r="N98" s="504">
        <f>'BH Tariffs'!M43*'P&amp;L - Concept B1 - ALL'!N44</f>
        <v>247469.99999999997</v>
      </c>
      <c r="O98" s="504">
        <f>'BH Tariffs'!N43*'P&amp;L - Concept B1 - ALL'!O44</f>
        <v>309337.49999999994</v>
      </c>
      <c r="P98" s="504">
        <f>'BH Tariffs'!O43*'P&amp;L - Concept B1 - ALL'!P44</f>
        <v>309337.49999999994</v>
      </c>
      <c r="Q98" s="504">
        <f>'BH Tariffs'!P43*'P&amp;L - Concept B1 - ALL'!Q44</f>
        <v>309337.49999999994</v>
      </c>
      <c r="R98" s="504">
        <f>'BH Tariffs'!Q43*'P&amp;L - Concept B1 - ALL'!R44</f>
        <v>309337.49999999994</v>
      </c>
      <c r="S98" s="504">
        <f>'BH Tariffs'!R43*'P&amp;L - Concept B1 - ALL'!S44</f>
        <v>309337.49999999994</v>
      </c>
      <c r="T98" s="504">
        <f>'BH Tariffs'!S43*'P&amp;L - Concept B1 - ALL'!T44</f>
        <v>371204.99999999994</v>
      </c>
      <c r="U98" s="504">
        <f>'BH Tariffs'!T43*'P&amp;L - Concept B1 - ALL'!U44</f>
        <v>371204.99999999994</v>
      </c>
      <c r="V98" s="504">
        <f>'BH Tariffs'!U43*'P&amp;L - Concept B1 - ALL'!V44</f>
        <v>371204.99999999994</v>
      </c>
      <c r="W98" s="504">
        <f>'BH Tariffs'!V43*'P&amp;L - Concept B1 - ALL'!W44</f>
        <v>371204.99999999994</v>
      </c>
      <c r="X98" s="504">
        <f>'BH Tariffs'!W43*'P&amp;L - Concept B1 - ALL'!X44</f>
        <v>371204.99999999994</v>
      </c>
    </row>
    <row r="99" spans="1:24">
      <c r="A99" s="91"/>
      <c r="B99" s="30"/>
      <c r="C99" s="89"/>
      <c r="D99" s="502"/>
      <c r="E99" s="504"/>
      <c r="F99" s="504"/>
      <c r="G99" s="504"/>
      <c r="H99" s="504"/>
      <c r="I99" s="504"/>
      <c r="J99" s="504"/>
      <c r="K99" s="504"/>
      <c r="L99" s="504"/>
      <c r="M99" s="504"/>
      <c r="N99" s="504"/>
      <c r="O99" s="504"/>
      <c r="P99" s="504"/>
      <c r="Q99" s="504"/>
      <c r="R99" s="504"/>
      <c r="S99" s="504"/>
      <c r="T99" s="504"/>
      <c r="U99" s="504"/>
      <c r="V99" s="504"/>
      <c r="W99" s="504"/>
      <c r="X99" s="504"/>
    </row>
    <row r="100" spans="1:24">
      <c r="A100" s="91" t="s">
        <v>2</v>
      </c>
      <c r="B100" s="30"/>
      <c r="C100" s="89"/>
      <c r="D100" s="502"/>
      <c r="E100" s="504"/>
      <c r="F100" s="504"/>
      <c r="G100" s="504"/>
      <c r="H100" s="504"/>
      <c r="I100" s="504"/>
      <c r="J100" s="504"/>
      <c r="K100" s="504"/>
      <c r="L100" s="504"/>
      <c r="M100" s="504"/>
      <c r="N100" s="504"/>
      <c r="O100" s="504"/>
      <c r="P100" s="504"/>
      <c r="Q100" s="504"/>
      <c r="R100" s="504"/>
      <c r="S100" s="504"/>
      <c r="T100" s="504"/>
      <c r="U100" s="504"/>
      <c r="V100" s="504"/>
      <c r="W100" s="504"/>
      <c r="X100" s="504"/>
    </row>
    <row r="101" spans="1:24">
      <c r="A101" s="88" t="str">
        <f>'BH Tariffs'!A44</f>
        <v>Commerical Rent (Seasonal Kiosk(s)/Vendor(s))</v>
      </c>
      <c r="B101" s="30"/>
      <c r="C101" s="89"/>
      <c r="D101" s="502">
        <v>0</v>
      </c>
      <c r="E101" s="504">
        <f>'BH Tariffs'!D44*'P&amp;L - Concept B1 - ALL'!E63</f>
        <v>0</v>
      </c>
      <c r="F101" s="504">
        <f>'BH Tariffs'!E44*'P&amp;L - Concept B1 - ALL'!F63</f>
        <v>0</v>
      </c>
      <c r="G101" s="504">
        <f>'BH Tariffs'!F44*'P&amp;L - Concept B1 - ALL'!G63*6</f>
        <v>6242.4000000000005</v>
      </c>
      <c r="H101" s="504">
        <f>'BH Tariffs'!G44*'P&amp;L - Concept B1 - ALL'!H63*6</f>
        <v>6367.2479999999996</v>
      </c>
      <c r="I101" s="504">
        <f>'BH Tariffs'!H44*'P&amp;L - Concept B1 - ALL'!I63*6</f>
        <v>6494.5929599999999</v>
      </c>
      <c r="J101" s="504">
        <f>'BH Tariffs'!I44*'P&amp;L - Concept B1 - ALL'!J63*6</f>
        <v>6624.4848191999999</v>
      </c>
      <c r="K101" s="504">
        <f>'BH Tariffs'!J44*'P&amp;L - Concept B1 - ALL'!K63*6</f>
        <v>6756.974515584001</v>
      </c>
      <c r="L101" s="504">
        <f>'BH Tariffs'!K44*'P&amp;L - Concept B1 - ALL'!L63*6</f>
        <v>6892.1140058956807</v>
      </c>
      <c r="M101" s="504">
        <f>'BH Tariffs'!L44*'P&amp;L - Concept B1 - ALL'!M63*6</f>
        <v>7029.9562860135939</v>
      </c>
      <c r="N101" s="504">
        <f>'BH Tariffs'!M44*'P&amp;L - Concept B1 - ALL'!N63*6</f>
        <v>7170.555411733867</v>
      </c>
      <c r="O101" s="504">
        <f>'BH Tariffs'!N44*'P&amp;L - Concept B1 - ALL'!O63*6</f>
        <v>7313.9665199685442</v>
      </c>
      <c r="P101" s="504">
        <f>'BH Tariffs'!O44*'P&amp;L - Concept B1 - ALL'!P63*6</f>
        <v>7460.2458503679145</v>
      </c>
      <c r="Q101" s="504">
        <f>'BH Tariffs'!P44*'P&amp;L - Concept B1 - ALL'!Q63*6</f>
        <v>7609.4507673752723</v>
      </c>
      <c r="R101" s="504">
        <f>'BH Tariffs'!Q44*'P&amp;L - Concept B1 - ALL'!R63*6</f>
        <v>7761.6397827227775</v>
      </c>
      <c r="S101" s="504">
        <f>'BH Tariffs'!R44*'P&amp;L - Concept B1 - ALL'!S63*6</f>
        <v>7916.8725783772334</v>
      </c>
      <c r="T101" s="504">
        <f>'BH Tariffs'!S44*'P&amp;L - Concept B1 - ALL'!T63*6</f>
        <v>8075.2100299447793</v>
      </c>
      <c r="U101" s="504">
        <f>'BH Tariffs'!T44*'P&amp;L - Concept B1 - ALL'!U63*6</f>
        <v>8236.7142305436755</v>
      </c>
      <c r="V101" s="504">
        <f>'BH Tariffs'!U44*'P&amp;L - Concept B1 - ALL'!V63*6</f>
        <v>8401.4485151545487</v>
      </c>
      <c r="W101" s="504">
        <f>'BH Tariffs'!V44*'P&amp;L - Concept B1 - ALL'!W63*6</f>
        <v>8569.4774854576408</v>
      </c>
      <c r="X101" s="504">
        <f>'BH Tariffs'!W44*'P&amp;L - Concept B1 - ALL'!X63*6</f>
        <v>8740.8670351667934</v>
      </c>
    </row>
    <row r="102" spans="1:24" s="96" customFormat="1">
      <c r="A102" s="90" t="s">
        <v>541</v>
      </c>
      <c r="B102" s="606"/>
      <c r="C102" s="356"/>
      <c r="D102" s="502">
        <v>0</v>
      </c>
      <c r="E102" s="504">
        <v>0</v>
      </c>
      <c r="F102" s="504">
        <v>0</v>
      </c>
      <c r="G102" s="504">
        <f>G64*0.05</f>
        <v>10000</v>
      </c>
      <c r="H102" s="504">
        <f t="shared" ref="H102:X102" si="10">H64*0.05</f>
        <v>10000</v>
      </c>
      <c r="I102" s="504">
        <f t="shared" si="10"/>
        <v>10000</v>
      </c>
      <c r="J102" s="504">
        <f t="shared" si="10"/>
        <v>10000</v>
      </c>
      <c r="K102" s="504">
        <f t="shared" si="10"/>
        <v>10000</v>
      </c>
      <c r="L102" s="504">
        <f t="shared" si="10"/>
        <v>10000</v>
      </c>
      <c r="M102" s="504">
        <f t="shared" si="10"/>
        <v>10000</v>
      </c>
      <c r="N102" s="504">
        <f t="shared" si="10"/>
        <v>10000</v>
      </c>
      <c r="O102" s="504">
        <f t="shared" si="10"/>
        <v>10000</v>
      </c>
      <c r="P102" s="504">
        <f t="shared" si="10"/>
        <v>10000</v>
      </c>
      <c r="Q102" s="504">
        <f t="shared" si="10"/>
        <v>10000</v>
      </c>
      <c r="R102" s="504">
        <f t="shared" si="10"/>
        <v>10000</v>
      </c>
      <c r="S102" s="504">
        <f t="shared" si="10"/>
        <v>10000</v>
      </c>
      <c r="T102" s="504">
        <f t="shared" si="10"/>
        <v>10000</v>
      </c>
      <c r="U102" s="504">
        <f t="shared" si="10"/>
        <v>10000</v>
      </c>
      <c r="V102" s="504">
        <f t="shared" si="10"/>
        <v>10000</v>
      </c>
      <c r="W102" s="504">
        <f t="shared" si="10"/>
        <v>10000</v>
      </c>
      <c r="X102" s="504">
        <f t="shared" si="10"/>
        <v>10000</v>
      </c>
    </row>
    <row r="103" spans="1:24">
      <c r="A103" s="88" t="str">
        <f>'BH Tariffs'!A45</f>
        <v>Motorcoach Access/Tour Operator Licenses</v>
      </c>
      <c r="B103" s="30"/>
      <c r="C103" s="89"/>
      <c r="D103" s="502">
        <v>0</v>
      </c>
      <c r="E103" s="504">
        <v>0</v>
      </c>
      <c r="F103" s="504">
        <f>'BH Tariffs'!E45*'P&amp;L - Concept B1 - ALL'!F66</f>
        <v>3060</v>
      </c>
      <c r="G103" s="504">
        <f>'BH Tariffs'!F45*'P&amp;L - Concept B1 - ALL'!G66</f>
        <v>3121.2000000000003</v>
      </c>
      <c r="H103" s="504">
        <f>'BH Tariffs'!G45*'P&amp;L - Concept B1 - ALL'!H66</f>
        <v>3183.6239999999998</v>
      </c>
      <c r="I103" s="504">
        <f>'BH Tariffs'!H45*'P&amp;L - Concept B1 - ALL'!I66</f>
        <v>3247.29648</v>
      </c>
      <c r="J103" s="504">
        <f>'BH Tariffs'!I45*'P&amp;L - Concept B1 - ALL'!J66</f>
        <v>3312.2424096</v>
      </c>
      <c r="K103" s="504">
        <f>'BH Tariffs'!J45*'P&amp;L - Concept B1 - ALL'!K66</f>
        <v>3378.4872577920005</v>
      </c>
      <c r="L103" s="504">
        <f>'BH Tariffs'!K45*'P&amp;L - Concept B1 - ALL'!L66</f>
        <v>3446.0570029478404</v>
      </c>
      <c r="M103" s="504">
        <f>'BH Tariffs'!L45*'P&amp;L - Concept B1 - ALL'!M66</f>
        <v>3514.9781430067969</v>
      </c>
      <c r="N103" s="504">
        <f>'BH Tariffs'!M45*'P&amp;L - Concept B1 - ALL'!N66</f>
        <v>3585.2777058669335</v>
      </c>
      <c r="O103" s="504">
        <f>'BH Tariffs'!N45*'P&amp;L - Concept B1 - ALL'!O66</f>
        <v>3656.9832599842721</v>
      </c>
      <c r="P103" s="504">
        <f>'BH Tariffs'!O45*'P&amp;L - Concept B1 - ALL'!P66</f>
        <v>3730.1229251839572</v>
      </c>
      <c r="Q103" s="504">
        <f>'BH Tariffs'!P45*'P&amp;L - Concept B1 - ALL'!Q66</f>
        <v>3804.7253836876362</v>
      </c>
      <c r="R103" s="504">
        <f>'BH Tariffs'!Q45*'P&amp;L - Concept B1 - ALL'!R66</f>
        <v>3880.8198913613887</v>
      </c>
      <c r="S103" s="504">
        <f>'BH Tariffs'!R45*'P&amp;L - Concept B1 - ALL'!S66</f>
        <v>3958.4362891886167</v>
      </c>
      <c r="T103" s="504">
        <f>'BH Tariffs'!S45*'P&amp;L - Concept B1 - ALL'!T66</f>
        <v>4037.6050149723897</v>
      </c>
      <c r="U103" s="504">
        <f>'BH Tariffs'!T45*'P&amp;L - Concept B1 - ALL'!U66</f>
        <v>4118.3571152718378</v>
      </c>
      <c r="V103" s="504">
        <f>'BH Tariffs'!U45*'P&amp;L - Concept B1 - ALL'!V66</f>
        <v>4200.7242575772743</v>
      </c>
      <c r="W103" s="504">
        <f>'BH Tariffs'!V45*'P&amp;L - Concept B1 - ALL'!W66</f>
        <v>4284.7387427288204</v>
      </c>
      <c r="X103" s="504">
        <f>'BH Tariffs'!W45*'P&amp;L - Concept B1 - ALL'!X66</f>
        <v>4370.4335175833967</v>
      </c>
    </row>
    <row r="104" spans="1:24">
      <c r="A104" s="299" t="s">
        <v>217</v>
      </c>
      <c r="B104" s="299"/>
      <c r="C104" s="299"/>
      <c r="D104" s="505">
        <v>0</v>
      </c>
      <c r="E104" s="506">
        <v>0</v>
      </c>
      <c r="F104" s="506">
        <f>'BH Tariffs'!E46*'P&amp;L - Concept B1 - ALL'!F65</f>
        <v>500</v>
      </c>
      <c r="G104" s="506">
        <f>'BH Tariffs'!F46*'P&amp;L - Concept B1 - ALL'!G65</f>
        <v>1000</v>
      </c>
      <c r="H104" s="506">
        <f>'BH Tariffs'!G46*'P&amp;L - Concept B1 - ALL'!H65</f>
        <v>1000</v>
      </c>
      <c r="I104" s="506">
        <f>'BH Tariffs'!H46*'P&amp;L - Concept B1 - ALL'!I65</f>
        <v>1000</v>
      </c>
      <c r="J104" s="506">
        <f>'BH Tariffs'!I46*'P&amp;L - Concept B1 - ALL'!J65</f>
        <v>1650</v>
      </c>
      <c r="K104" s="506">
        <f>'BH Tariffs'!J46*'P&amp;L - Concept B1 - ALL'!K65</f>
        <v>1650</v>
      </c>
      <c r="L104" s="506">
        <f>'BH Tariffs'!K46*'P&amp;L - Concept B1 - ALL'!L65</f>
        <v>1650</v>
      </c>
      <c r="M104" s="506">
        <f>'BH Tariffs'!L46*'P&amp;L - Concept B1 - ALL'!M65</f>
        <v>1650</v>
      </c>
      <c r="N104" s="506">
        <f>'BH Tariffs'!M46*'P&amp;L - Concept B1 - ALL'!N65</f>
        <v>1650</v>
      </c>
      <c r="O104" s="506">
        <f>'BH Tariffs'!N46*'P&amp;L - Concept B1 - ALL'!O65</f>
        <v>2400</v>
      </c>
      <c r="P104" s="506">
        <f>'BH Tariffs'!O46*'P&amp;L - Concept B1 - ALL'!P65</f>
        <v>2400</v>
      </c>
      <c r="Q104" s="506">
        <f>'BH Tariffs'!P46*'P&amp;L - Concept B1 - ALL'!Q65</f>
        <v>2400</v>
      </c>
      <c r="R104" s="506">
        <f>'BH Tariffs'!Q46*'P&amp;L - Concept B1 - ALL'!R65</f>
        <v>2400</v>
      </c>
      <c r="S104" s="506">
        <f>'BH Tariffs'!R46*'P&amp;L - Concept B1 - ALL'!S65</f>
        <v>2400</v>
      </c>
      <c r="T104" s="506">
        <f>'BH Tariffs'!S46*'P&amp;L - Concept B1 - ALL'!T65</f>
        <v>3250</v>
      </c>
      <c r="U104" s="506">
        <f>'BH Tariffs'!T46*'P&amp;L - Concept B1 - ALL'!U65</f>
        <v>3250</v>
      </c>
      <c r="V104" s="506">
        <f>'BH Tariffs'!U46*'P&amp;L - Concept B1 - ALL'!V65</f>
        <v>3250</v>
      </c>
      <c r="W104" s="506">
        <f>'BH Tariffs'!V46*'P&amp;L - Concept B1 - ALL'!W65</f>
        <v>3250</v>
      </c>
      <c r="X104" s="506">
        <f>'BH Tariffs'!W46*'P&amp;L - Concept B1 - ALL'!X65</f>
        <v>3250</v>
      </c>
    </row>
    <row r="105" spans="1:24">
      <c r="A105" s="278" t="s">
        <v>145</v>
      </c>
      <c r="D105" s="507">
        <f>SUM(D71:D104)</f>
        <v>0</v>
      </c>
      <c r="E105" s="508">
        <f>SUM(E70:E104)</f>
        <v>0</v>
      </c>
      <c r="F105" s="508">
        <f t="shared" ref="F105:X105" si="11">SUM(F70:F104)</f>
        <v>1715344.4102000003</v>
      </c>
      <c r="G105" s="508">
        <f t="shared" si="11"/>
        <v>1766383.6984039999</v>
      </c>
      <c r="H105" s="508">
        <f t="shared" si="11"/>
        <v>1801491.3723720801</v>
      </c>
      <c r="I105" s="508">
        <f t="shared" si="11"/>
        <v>1837301.1998195215</v>
      </c>
      <c r="J105" s="508">
        <f t="shared" si="11"/>
        <v>2121947.2238159119</v>
      </c>
      <c r="K105" s="508">
        <f t="shared" si="11"/>
        <v>2159203.7682922301</v>
      </c>
      <c r="L105" s="508">
        <f t="shared" si="11"/>
        <v>2197205.4436580748</v>
      </c>
      <c r="M105" s="508">
        <f t="shared" si="11"/>
        <v>2235967.1525312369</v>
      </c>
      <c r="N105" s="508">
        <f t="shared" si="11"/>
        <v>2275504.0955818612</v>
      </c>
      <c r="O105" s="508">
        <f t="shared" si="11"/>
        <v>2378449.2774934988</v>
      </c>
      <c r="P105" s="508">
        <f t="shared" si="11"/>
        <v>2419583.5130433682</v>
      </c>
      <c r="Q105" s="508">
        <f t="shared" si="11"/>
        <v>2461540.4333042358</v>
      </c>
      <c r="R105" s="508">
        <f t="shared" si="11"/>
        <v>2504336.4919703207</v>
      </c>
      <c r="S105" s="508">
        <f t="shared" si="11"/>
        <v>2547988.4718097271</v>
      </c>
      <c r="T105" s="508">
        <f t="shared" si="11"/>
        <v>2655230.9912459217</v>
      </c>
      <c r="U105" s="508">
        <f t="shared" si="11"/>
        <v>2700646.5110708405</v>
      </c>
      <c r="V105" s="508">
        <f t="shared" si="11"/>
        <v>2746970.341292257</v>
      </c>
      <c r="W105" s="508">
        <f t="shared" si="11"/>
        <v>2794220.6481181025</v>
      </c>
      <c r="X105" s="508">
        <f t="shared" si="11"/>
        <v>2842415.9610804645</v>
      </c>
    </row>
    <row r="106" spans="1:24">
      <c r="D106" s="507"/>
      <c r="E106" s="413"/>
      <c r="F106" s="413"/>
      <c r="G106" s="413"/>
      <c r="H106" s="413"/>
      <c r="I106" s="413"/>
      <c r="J106" s="413"/>
      <c r="K106" s="413"/>
      <c r="L106" s="413"/>
      <c r="M106" s="413"/>
      <c r="N106" s="413"/>
      <c r="O106" s="413"/>
      <c r="P106" s="413"/>
      <c r="Q106" s="413"/>
      <c r="R106" s="413"/>
      <c r="S106" s="413"/>
      <c r="T106" s="413"/>
      <c r="U106" s="413"/>
      <c r="V106" s="413"/>
      <c r="W106" s="413"/>
      <c r="X106" s="413"/>
    </row>
    <row r="107" spans="1:24">
      <c r="A107" s="271" t="s">
        <v>146</v>
      </c>
      <c r="B107" s="149"/>
      <c r="C107" s="149"/>
      <c r="D107" s="509"/>
      <c r="E107" s="510"/>
      <c r="F107" s="510"/>
      <c r="G107" s="510"/>
      <c r="H107" s="510"/>
      <c r="I107" s="510"/>
      <c r="J107" s="510"/>
      <c r="K107" s="510"/>
      <c r="L107" s="510"/>
      <c r="M107" s="510"/>
      <c r="N107" s="510"/>
      <c r="O107" s="510"/>
      <c r="P107" s="510"/>
      <c r="Q107" s="510"/>
      <c r="R107" s="510"/>
      <c r="S107" s="510"/>
      <c r="T107" s="510"/>
      <c r="U107" s="510"/>
      <c r="V107" s="510"/>
      <c r="W107" s="510"/>
      <c r="X107" s="510"/>
    </row>
    <row r="108" spans="1:24">
      <c r="D108" s="507"/>
      <c r="E108" s="413"/>
      <c r="F108" s="413"/>
      <c r="G108" s="413"/>
      <c r="H108" s="413"/>
      <c r="I108" s="413"/>
      <c r="J108" s="413"/>
      <c r="K108" s="413"/>
      <c r="L108" s="413"/>
      <c r="M108" s="413"/>
      <c r="N108" s="413"/>
      <c r="O108" s="413"/>
      <c r="P108" s="413"/>
      <c r="Q108" s="413"/>
      <c r="R108" s="413"/>
      <c r="S108" s="413"/>
      <c r="T108" s="413"/>
      <c r="U108" s="413"/>
      <c r="V108" s="413"/>
      <c r="W108" s="413"/>
      <c r="X108" s="413"/>
    </row>
    <row r="109" spans="1:24">
      <c r="A109" s="91" t="s">
        <v>380</v>
      </c>
      <c r="B109" s="89"/>
      <c r="C109" s="89"/>
      <c r="D109" s="502"/>
      <c r="E109" s="504"/>
      <c r="F109" s="504"/>
      <c r="G109" s="504"/>
      <c r="H109" s="504"/>
      <c r="I109" s="504"/>
      <c r="J109" s="504"/>
      <c r="K109" s="504"/>
      <c r="L109" s="504"/>
      <c r="M109" s="504"/>
      <c r="N109" s="504"/>
      <c r="O109" s="504"/>
      <c r="P109" s="504"/>
      <c r="Q109" s="504"/>
      <c r="R109" s="504"/>
      <c r="S109" s="504"/>
      <c r="T109" s="504"/>
      <c r="U109" s="504"/>
      <c r="V109" s="504"/>
      <c r="W109" s="504"/>
      <c r="X109" s="504"/>
    </row>
    <row r="110" spans="1:24">
      <c r="A110" s="88" t="s">
        <v>432</v>
      </c>
      <c r="B110" s="89"/>
      <c r="C110" s="89"/>
      <c r="D110" s="502">
        <v>0</v>
      </c>
      <c r="E110" s="504">
        <v>0</v>
      </c>
      <c r="F110" s="504">
        <v>0</v>
      </c>
      <c r="G110" s="504">
        <v>0</v>
      </c>
      <c r="H110" s="504">
        <v>0</v>
      </c>
      <c r="I110" s="504">
        <v>0</v>
      </c>
      <c r="J110" s="504">
        <v>0</v>
      </c>
      <c r="K110" s="504">
        <v>0</v>
      </c>
      <c r="L110" s="504">
        <v>0</v>
      </c>
      <c r="M110" s="504">
        <v>0</v>
      </c>
      <c r="N110" s="504">
        <v>0</v>
      </c>
      <c r="O110" s="504">
        <v>0</v>
      </c>
      <c r="P110" s="504">
        <v>0</v>
      </c>
      <c r="Q110" s="504">
        <v>0</v>
      </c>
      <c r="R110" s="504">
        <v>0</v>
      </c>
      <c r="S110" s="504">
        <v>0</v>
      </c>
      <c r="T110" s="504">
        <v>0</v>
      </c>
      <c r="U110" s="504">
        <v>0</v>
      </c>
      <c r="V110" s="504">
        <v>0</v>
      </c>
      <c r="W110" s="504">
        <v>0</v>
      </c>
      <c r="X110" s="504">
        <v>0</v>
      </c>
    </row>
    <row r="111" spans="1:24">
      <c r="A111" s="88" t="s">
        <v>433</v>
      </c>
      <c r="B111" s="89"/>
      <c r="C111" s="89"/>
      <c r="D111" s="502">
        <v>0</v>
      </c>
      <c r="E111" s="504">
        <v>0</v>
      </c>
      <c r="F111" s="504">
        <v>0</v>
      </c>
      <c r="G111" s="504">
        <v>0</v>
      </c>
      <c r="H111" s="504">
        <v>0</v>
      </c>
      <c r="I111" s="504">
        <v>0</v>
      </c>
      <c r="J111" s="504">
        <v>0</v>
      </c>
      <c r="K111" s="504">
        <v>0</v>
      </c>
      <c r="L111" s="504">
        <v>0</v>
      </c>
      <c r="M111" s="504">
        <v>0</v>
      </c>
      <c r="N111" s="504">
        <v>0</v>
      </c>
      <c r="O111" s="504">
        <v>0</v>
      </c>
      <c r="P111" s="504">
        <v>0</v>
      </c>
      <c r="Q111" s="504">
        <v>0</v>
      </c>
      <c r="R111" s="504">
        <v>0</v>
      </c>
      <c r="S111" s="504">
        <v>0</v>
      </c>
      <c r="T111" s="504">
        <v>0</v>
      </c>
      <c r="U111" s="504">
        <v>0</v>
      </c>
      <c r="V111" s="504">
        <v>0</v>
      </c>
      <c r="W111" s="504">
        <v>0</v>
      </c>
      <c r="X111" s="504">
        <v>0</v>
      </c>
    </row>
    <row r="112" spans="1:24">
      <c r="A112" s="88" t="s">
        <v>434</v>
      </c>
      <c r="B112" s="89"/>
      <c r="C112" s="89"/>
      <c r="D112" s="502">
        <v>0</v>
      </c>
      <c r="E112" s="504">
        <v>0</v>
      </c>
      <c r="F112" s="504">
        <v>0</v>
      </c>
      <c r="G112" s="504">
        <v>0</v>
      </c>
      <c r="H112" s="504">
        <v>0</v>
      </c>
      <c r="I112" s="504">
        <v>0</v>
      </c>
      <c r="J112" s="504">
        <v>0</v>
      </c>
      <c r="K112" s="504">
        <v>0</v>
      </c>
      <c r="L112" s="504">
        <v>0</v>
      </c>
      <c r="M112" s="504">
        <v>0</v>
      </c>
      <c r="N112" s="504">
        <v>0</v>
      </c>
      <c r="O112" s="504">
        <v>0</v>
      </c>
      <c r="P112" s="504">
        <v>0</v>
      </c>
      <c r="Q112" s="504">
        <v>0</v>
      </c>
      <c r="R112" s="504">
        <v>0</v>
      </c>
      <c r="S112" s="504">
        <v>0</v>
      </c>
      <c r="T112" s="504">
        <v>0</v>
      </c>
      <c r="U112" s="504">
        <v>0</v>
      </c>
      <c r="V112" s="504">
        <v>0</v>
      </c>
      <c r="W112" s="504">
        <v>0</v>
      </c>
      <c r="X112" s="504">
        <v>0</v>
      </c>
    </row>
    <row r="113" spans="1:25">
      <c r="A113" s="88" t="s">
        <v>229</v>
      </c>
      <c r="B113" s="30"/>
      <c r="C113" s="89"/>
      <c r="D113" s="502">
        <v>0</v>
      </c>
      <c r="E113" s="504">
        <v>0</v>
      </c>
      <c r="F113" s="504">
        <v>0</v>
      </c>
      <c r="G113" s="504">
        <v>0</v>
      </c>
      <c r="H113" s="504">
        <v>0</v>
      </c>
      <c r="I113" s="504">
        <v>0</v>
      </c>
      <c r="J113" s="504">
        <v>0</v>
      </c>
      <c r="K113" s="504">
        <v>0</v>
      </c>
      <c r="L113" s="504">
        <v>0</v>
      </c>
      <c r="M113" s="504">
        <v>0</v>
      </c>
      <c r="N113" s="504">
        <v>0</v>
      </c>
      <c r="O113" s="504">
        <v>0</v>
      </c>
      <c r="P113" s="504">
        <v>0</v>
      </c>
      <c r="Q113" s="504">
        <v>0</v>
      </c>
      <c r="R113" s="504">
        <v>0</v>
      </c>
      <c r="S113" s="504">
        <v>0</v>
      </c>
      <c r="T113" s="504">
        <v>0</v>
      </c>
      <c r="U113" s="504">
        <v>0</v>
      </c>
      <c r="V113" s="504">
        <v>0</v>
      </c>
      <c r="W113" s="504">
        <v>0</v>
      </c>
      <c r="X113" s="504">
        <v>0</v>
      </c>
    </row>
    <row r="114" spans="1:25" s="32" customFormat="1">
      <c r="A114" s="299" t="s">
        <v>297</v>
      </c>
      <c r="B114" s="299"/>
      <c r="C114" s="299"/>
      <c r="D114" s="505">
        <v>0</v>
      </c>
      <c r="E114" s="506">
        <v>0</v>
      </c>
      <c r="F114" s="506">
        <v>0</v>
      </c>
      <c r="G114" s="506">
        <f t="shared" ref="G114:X114" si="12">G53</f>
        <v>100000</v>
      </c>
      <c r="H114" s="506">
        <f t="shared" si="12"/>
        <v>100000</v>
      </c>
      <c r="I114" s="506">
        <f t="shared" si="12"/>
        <v>100000</v>
      </c>
      <c r="J114" s="506">
        <f t="shared" si="12"/>
        <v>100000</v>
      </c>
      <c r="K114" s="506">
        <f t="shared" si="12"/>
        <v>100000</v>
      </c>
      <c r="L114" s="506">
        <f t="shared" si="12"/>
        <v>100000</v>
      </c>
      <c r="M114" s="506">
        <f t="shared" si="12"/>
        <v>100000</v>
      </c>
      <c r="N114" s="506">
        <f t="shared" si="12"/>
        <v>100000</v>
      </c>
      <c r="O114" s="506">
        <f t="shared" si="12"/>
        <v>100000</v>
      </c>
      <c r="P114" s="506">
        <f t="shared" si="12"/>
        <v>100000</v>
      </c>
      <c r="Q114" s="506">
        <f t="shared" si="12"/>
        <v>100000</v>
      </c>
      <c r="R114" s="506">
        <f t="shared" si="12"/>
        <v>100000</v>
      </c>
      <c r="S114" s="506">
        <f t="shared" si="12"/>
        <v>100000</v>
      </c>
      <c r="T114" s="506">
        <f t="shared" si="12"/>
        <v>100000</v>
      </c>
      <c r="U114" s="506">
        <f t="shared" si="12"/>
        <v>100000</v>
      </c>
      <c r="V114" s="506">
        <f t="shared" si="12"/>
        <v>100000</v>
      </c>
      <c r="W114" s="506">
        <f t="shared" si="12"/>
        <v>100000</v>
      </c>
      <c r="X114" s="506">
        <f t="shared" si="12"/>
        <v>100000</v>
      </c>
    </row>
    <row r="115" spans="1:25">
      <c r="A115" s="278" t="s">
        <v>147</v>
      </c>
      <c r="D115" s="507">
        <f>SUM(D113:D114)</f>
        <v>0</v>
      </c>
      <c r="E115" s="508">
        <f>SUM(E110:E114)</f>
        <v>0</v>
      </c>
      <c r="F115" s="508">
        <f t="shared" ref="F115:X115" si="13">SUM(F110:F114)</f>
        <v>0</v>
      </c>
      <c r="G115" s="508">
        <f t="shared" si="13"/>
        <v>100000</v>
      </c>
      <c r="H115" s="508">
        <f t="shared" si="13"/>
        <v>100000</v>
      </c>
      <c r="I115" s="508">
        <f t="shared" si="13"/>
        <v>100000</v>
      </c>
      <c r="J115" s="508">
        <f t="shared" si="13"/>
        <v>100000</v>
      </c>
      <c r="K115" s="508">
        <f t="shared" si="13"/>
        <v>100000</v>
      </c>
      <c r="L115" s="508">
        <f t="shared" si="13"/>
        <v>100000</v>
      </c>
      <c r="M115" s="508">
        <f t="shared" si="13"/>
        <v>100000</v>
      </c>
      <c r="N115" s="508">
        <f t="shared" si="13"/>
        <v>100000</v>
      </c>
      <c r="O115" s="508">
        <f t="shared" si="13"/>
        <v>100000</v>
      </c>
      <c r="P115" s="508">
        <f t="shared" si="13"/>
        <v>100000</v>
      </c>
      <c r="Q115" s="508">
        <f t="shared" si="13"/>
        <v>100000</v>
      </c>
      <c r="R115" s="508">
        <f t="shared" si="13"/>
        <v>100000</v>
      </c>
      <c r="S115" s="508">
        <f t="shared" si="13"/>
        <v>100000</v>
      </c>
      <c r="T115" s="508">
        <f t="shared" si="13"/>
        <v>100000</v>
      </c>
      <c r="U115" s="508">
        <f t="shared" si="13"/>
        <v>100000</v>
      </c>
      <c r="V115" s="508">
        <f t="shared" si="13"/>
        <v>100000</v>
      </c>
      <c r="W115" s="508">
        <f t="shared" si="13"/>
        <v>100000</v>
      </c>
      <c r="X115" s="508">
        <f t="shared" si="13"/>
        <v>100000</v>
      </c>
    </row>
    <row r="116" spans="1:25">
      <c r="D116" s="507"/>
      <c r="E116" s="413"/>
      <c r="F116" s="413"/>
      <c r="G116" s="413"/>
      <c r="H116" s="413"/>
      <c r="I116" s="413"/>
      <c r="J116" s="413"/>
      <c r="K116" s="413"/>
      <c r="L116" s="413"/>
      <c r="M116" s="413"/>
      <c r="N116" s="413"/>
      <c r="O116" s="413"/>
      <c r="P116" s="413"/>
      <c r="Q116" s="413"/>
      <c r="R116" s="413"/>
      <c r="S116" s="413"/>
      <c r="T116" s="413"/>
      <c r="U116" s="413"/>
      <c r="V116" s="413"/>
      <c r="W116" s="413"/>
      <c r="X116" s="413"/>
    </row>
    <row r="117" spans="1:25">
      <c r="A117" s="88" t="s">
        <v>608</v>
      </c>
      <c r="D117" s="507">
        <f t="shared" ref="D117" si="14">SUM(D115:D116)</f>
        <v>0</v>
      </c>
      <c r="E117" s="413">
        <v>58025</v>
      </c>
      <c r="F117" s="413">
        <v>0</v>
      </c>
      <c r="G117" s="413">
        <v>0</v>
      </c>
      <c r="H117" s="413">
        <v>0</v>
      </c>
      <c r="I117" s="413">
        <v>0</v>
      </c>
      <c r="J117" s="413">
        <v>0</v>
      </c>
      <c r="K117" s="413">
        <v>0</v>
      </c>
      <c r="L117" s="413">
        <v>0</v>
      </c>
      <c r="M117" s="413">
        <v>0</v>
      </c>
      <c r="N117" s="413">
        <v>0</v>
      </c>
      <c r="O117" s="413">
        <v>0</v>
      </c>
      <c r="P117" s="413">
        <v>0</v>
      </c>
      <c r="Q117" s="413">
        <v>0</v>
      </c>
      <c r="R117" s="413">
        <v>0</v>
      </c>
      <c r="S117" s="413">
        <v>0</v>
      </c>
      <c r="T117" s="413">
        <v>0</v>
      </c>
      <c r="U117" s="413">
        <v>0</v>
      </c>
      <c r="V117" s="413">
        <v>0</v>
      </c>
      <c r="W117" s="413">
        <v>0</v>
      </c>
      <c r="X117" s="413">
        <v>0</v>
      </c>
    </row>
    <row r="118" spans="1:25">
      <c r="D118" s="507"/>
      <c r="E118" s="413"/>
      <c r="F118" s="413"/>
      <c r="G118" s="413"/>
      <c r="H118" s="413"/>
      <c r="I118" s="413"/>
      <c r="J118" s="413"/>
      <c r="K118" s="413"/>
      <c r="L118" s="413"/>
      <c r="M118" s="413"/>
      <c r="N118" s="413"/>
      <c r="O118" s="413"/>
      <c r="P118" s="413"/>
      <c r="Q118" s="413"/>
      <c r="R118" s="413"/>
      <c r="S118" s="413"/>
      <c r="T118" s="413"/>
      <c r="U118" s="413"/>
      <c r="V118" s="413"/>
      <c r="W118" s="413"/>
      <c r="X118" s="413"/>
    </row>
    <row r="119" spans="1:25" s="16" customFormat="1" ht="14.25">
      <c r="A119" s="295" t="s">
        <v>148</v>
      </c>
      <c r="B119" s="295"/>
      <c r="C119" s="295"/>
      <c r="D119" s="511">
        <f>SUM(D105,D115)</f>
        <v>0</v>
      </c>
      <c r="E119" s="511">
        <f>SUM(E105,E115,E117)</f>
        <v>58025</v>
      </c>
      <c r="F119" s="511">
        <f t="shared" ref="F119:X119" si="15">SUM(F105,F115,F117)</f>
        <v>1715344.4102000003</v>
      </c>
      <c r="G119" s="511">
        <f t="shared" si="15"/>
        <v>1866383.6984039999</v>
      </c>
      <c r="H119" s="511">
        <f t="shared" si="15"/>
        <v>1901491.3723720801</v>
      </c>
      <c r="I119" s="511">
        <f t="shared" si="15"/>
        <v>1937301.1998195215</v>
      </c>
      <c r="J119" s="511">
        <f t="shared" si="15"/>
        <v>2221947.2238159119</v>
      </c>
      <c r="K119" s="511">
        <f t="shared" si="15"/>
        <v>2259203.7682922301</v>
      </c>
      <c r="L119" s="511">
        <f t="shared" si="15"/>
        <v>2297205.4436580748</v>
      </c>
      <c r="M119" s="511">
        <f t="shared" si="15"/>
        <v>2335967.1525312369</v>
      </c>
      <c r="N119" s="511">
        <f t="shared" si="15"/>
        <v>2375504.0955818612</v>
      </c>
      <c r="O119" s="511">
        <f t="shared" si="15"/>
        <v>2478449.2774934988</v>
      </c>
      <c r="P119" s="511">
        <f t="shared" si="15"/>
        <v>2519583.5130433682</v>
      </c>
      <c r="Q119" s="511">
        <f t="shared" si="15"/>
        <v>2561540.4333042358</v>
      </c>
      <c r="R119" s="511">
        <f t="shared" si="15"/>
        <v>2604336.4919703207</v>
      </c>
      <c r="S119" s="511">
        <f t="shared" si="15"/>
        <v>2647988.4718097271</v>
      </c>
      <c r="T119" s="511">
        <f t="shared" si="15"/>
        <v>2755230.9912459217</v>
      </c>
      <c r="U119" s="511">
        <f t="shared" si="15"/>
        <v>2800646.5110708405</v>
      </c>
      <c r="V119" s="511">
        <f t="shared" si="15"/>
        <v>2846970.341292257</v>
      </c>
      <c r="W119" s="511">
        <f t="shared" si="15"/>
        <v>2894220.6481181025</v>
      </c>
      <c r="X119" s="511">
        <f t="shared" si="15"/>
        <v>2942415.9610804645</v>
      </c>
      <c r="Y119" s="622">
        <f>SUM(D119:X119)</f>
        <v>46019756.00510364</v>
      </c>
    </row>
    <row r="120" spans="1:25">
      <c r="A120" s="30"/>
      <c r="B120" s="30"/>
      <c r="C120" s="30"/>
      <c r="D120" s="502"/>
      <c r="E120" s="512"/>
      <c r="F120" s="512"/>
      <c r="G120" s="512"/>
      <c r="H120" s="512"/>
      <c r="I120" s="512"/>
      <c r="J120" s="512"/>
      <c r="K120" s="512"/>
      <c r="L120" s="512"/>
      <c r="M120" s="512"/>
      <c r="N120" s="512"/>
      <c r="O120" s="512"/>
      <c r="P120" s="512"/>
      <c r="Q120" s="512"/>
      <c r="R120" s="512"/>
      <c r="S120" s="512"/>
      <c r="T120" s="512"/>
      <c r="U120" s="512"/>
      <c r="V120" s="512"/>
      <c r="W120" s="512"/>
      <c r="X120" s="512"/>
    </row>
    <row r="121" spans="1:25" s="33" customFormat="1">
      <c r="A121" s="47" t="s">
        <v>7</v>
      </c>
      <c r="B121" s="47" t="s">
        <v>7</v>
      </c>
      <c r="C121" s="78" t="s">
        <v>7</v>
      </c>
      <c r="D121" s="604" t="s">
        <v>7</v>
      </c>
      <c r="E121" s="78" t="s">
        <v>7</v>
      </c>
      <c r="F121" s="78" t="s">
        <v>7</v>
      </c>
      <c r="G121" s="78" t="s">
        <v>7</v>
      </c>
      <c r="H121" s="78" t="s">
        <v>7</v>
      </c>
      <c r="I121" s="78" t="s">
        <v>7</v>
      </c>
      <c r="J121" s="78" t="s">
        <v>7</v>
      </c>
      <c r="K121" s="78" t="s">
        <v>7</v>
      </c>
      <c r="L121" s="78" t="s">
        <v>7</v>
      </c>
      <c r="M121" s="78" t="s">
        <v>7</v>
      </c>
      <c r="N121" s="78" t="s">
        <v>7</v>
      </c>
      <c r="O121" s="78" t="s">
        <v>7</v>
      </c>
      <c r="P121" s="78" t="s">
        <v>7</v>
      </c>
      <c r="Q121" s="78" t="s">
        <v>7</v>
      </c>
      <c r="R121" s="78" t="s">
        <v>7</v>
      </c>
      <c r="S121" s="78" t="s">
        <v>7</v>
      </c>
      <c r="T121" s="78" t="s">
        <v>7</v>
      </c>
      <c r="U121" s="78" t="s">
        <v>7</v>
      </c>
      <c r="V121" s="78" t="s">
        <v>7</v>
      </c>
      <c r="W121" s="78" t="s">
        <v>7</v>
      </c>
      <c r="X121" s="78" t="s">
        <v>7</v>
      </c>
    </row>
    <row r="122" spans="1:25">
      <c r="A122" s="30"/>
      <c r="B122" s="30"/>
      <c r="C122" s="30"/>
      <c r="D122" s="502"/>
      <c r="E122" s="512"/>
      <c r="F122" s="512"/>
      <c r="G122" s="512"/>
      <c r="H122" s="512"/>
      <c r="I122" s="512"/>
      <c r="J122" s="512"/>
      <c r="K122" s="512"/>
      <c r="L122" s="512"/>
      <c r="M122" s="512"/>
      <c r="N122" s="512"/>
      <c r="O122" s="512"/>
      <c r="P122" s="512"/>
      <c r="Q122" s="512"/>
      <c r="R122" s="512"/>
      <c r="S122" s="512"/>
      <c r="T122" s="512"/>
      <c r="U122" s="512"/>
      <c r="V122" s="512"/>
      <c r="W122" s="512"/>
      <c r="X122" s="512"/>
    </row>
    <row r="123" spans="1:25">
      <c r="A123" s="269" t="s">
        <v>131</v>
      </c>
      <c r="B123" s="269"/>
      <c r="C123" s="270"/>
      <c r="D123" s="513"/>
      <c r="E123" s="513"/>
      <c r="F123" s="513"/>
      <c r="G123" s="513"/>
      <c r="H123" s="513"/>
      <c r="I123" s="513"/>
      <c r="J123" s="513"/>
      <c r="K123" s="513"/>
      <c r="L123" s="513"/>
      <c r="M123" s="513"/>
      <c r="N123" s="513"/>
      <c r="O123" s="513"/>
      <c r="P123" s="513"/>
      <c r="Q123" s="513"/>
      <c r="R123" s="513"/>
      <c r="S123" s="513"/>
      <c r="T123" s="513"/>
      <c r="U123" s="513"/>
      <c r="V123" s="513"/>
      <c r="W123" s="513"/>
      <c r="X123" s="513"/>
    </row>
    <row r="124" spans="1:25">
      <c r="A124" s="69"/>
      <c r="B124" s="69"/>
      <c r="C124" s="69"/>
      <c r="D124" s="502"/>
      <c r="E124" s="504"/>
      <c r="F124" s="504"/>
      <c r="G124" s="504"/>
      <c r="H124" s="504"/>
      <c r="I124" s="504"/>
      <c r="J124" s="504"/>
      <c r="K124" s="504"/>
      <c r="L124" s="504"/>
      <c r="M124" s="504"/>
      <c r="N124" s="504"/>
      <c r="O124" s="504"/>
      <c r="P124" s="504"/>
      <c r="Q124" s="504"/>
      <c r="R124" s="504"/>
      <c r="S124" s="504"/>
      <c r="T124" s="504"/>
      <c r="U124" s="504"/>
      <c r="V124" s="504"/>
      <c r="W124" s="504"/>
      <c r="X124" s="504"/>
    </row>
    <row r="125" spans="1:25" s="96" customFormat="1">
      <c r="A125" s="69" t="s">
        <v>13</v>
      </c>
      <c r="B125" s="69"/>
      <c r="C125" s="69"/>
      <c r="D125" s="514">
        <v>0</v>
      </c>
      <c r="E125" s="515">
        <f>'OPEX - Concept B1 - ALL'!L78</f>
        <v>12250</v>
      </c>
      <c r="F125" s="515">
        <f>'OPEX - Concept B1 - ALL'!M78</f>
        <v>129500</v>
      </c>
      <c r="G125" s="515">
        <f>'OPEX - Concept B1 - ALL'!N78</f>
        <v>132090</v>
      </c>
      <c r="H125" s="515">
        <f>'OPEX - Concept B1 - ALL'!O78</f>
        <v>134731.79999999999</v>
      </c>
      <c r="I125" s="515">
        <f>'OPEX - Concept B1 - ALL'!P78</f>
        <v>137426.43599999999</v>
      </c>
      <c r="J125" s="515">
        <f>'OPEX - Concept B1 - ALL'!Q78</f>
        <v>140174.96471999999</v>
      </c>
      <c r="K125" s="515">
        <f>'OPEX - Concept B1 - ALL'!R78</f>
        <v>142978.4640144</v>
      </c>
      <c r="L125" s="515">
        <f>'OPEX - Concept B1 - ALL'!S78</f>
        <v>145838.03329468801</v>
      </c>
      <c r="M125" s="515">
        <f>'OPEX - Concept B1 - ALL'!T78</f>
        <v>148754.79396058177</v>
      </c>
      <c r="N125" s="515">
        <f>'OPEX - Concept B1 - ALL'!U78</f>
        <v>151729.88983979341</v>
      </c>
      <c r="O125" s="515">
        <f>'OPEX - Concept B1 - ALL'!V78</f>
        <v>154764.48763658927</v>
      </c>
      <c r="P125" s="515">
        <f>'OPEX - Concept B1 - ALL'!W78</f>
        <v>157859.77738932107</v>
      </c>
      <c r="Q125" s="515">
        <f>'OPEX - Concept B1 - ALL'!X78</f>
        <v>161016.97293710749</v>
      </c>
      <c r="R125" s="515">
        <f>'OPEX - Concept B1 - ALL'!Y78</f>
        <v>164237.31239584964</v>
      </c>
      <c r="S125" s="515">
        <f>'OPEX - Concept B1 - ALL'!Z78</f>
        <v>167522.05864376662</v>
      </c>
      <c r="T125" s="515">
        <f>'OPEX - Concept B1 - ALL'!AA78</f>
        <v>170872.49981664197</v>
      </c>
      <c r="U125" s="515">
        <f>'OPEX - Concept B1 - ALL'!AB78</f>
        <v>174289.94981297481</v>
      </c>
      <c r="V125" s="515">
        <f>'OPEX - Concept B1 - ALL'!AC78</f>
        <v>177775.7488092343</v>
      </c>
      <c r="W125" s="515">
        <f>'OPEX - Concept B1 - ALL'!AD78</f>
        <v>181331.26378541903</v>
      </c>
      <c r="X125" s="515">
        <f>'OPEX - Concept B1 - ALL'!AE78</f>
        <v>184957.88906112738</v>
      </c>
    </row>
    <row r="126" spans="1:25" s="96" customFormat="1">
      <c r="A126" s="69" t="s">
        <v>41</v>
      </c>
      <c r="B126" s="69"/>
      <c r="C126" s="69"/>
      <c r="D126" s="514">
        <v>0</v>
      </c>
      <c r="E126" s="515">
        <f>'OPEX - Concept B1 - ALL'!L86</f>
        <v>25000</v>
      </c>
      <c r="F126" s="515">
        <f>'OPEX - Concept B1 - ALL'!M86</f>
        <v>1000</v>
      </c>
      <c r="G126" s="515">
        <f>'OPEX - Concept B1 - ALL'!N86</f>
        <v>1020</v>
      </c>
      <c r="H126" s="515">
        <f>'OPEX - Concept B1 - ALL'!O86</f>
        <v>1040.4000000000001</v>
      </c>
      <c r="I126" s="515">
        <f>'OPEX - Concept B1 - ALL'!P86</f>
        <v>1061.2079999999999</v>
      </c>
      <c r="J126" s="515">
        <f>'OPEX - Concept B1 - ALL'!Q86</f>
        <v>1082.4321600000001</v>
      </c>
      <c r="K126" s="515">
        <f>'OPEX - Concept B1 - ALL'!R86</f>
        <v>1104.0808032</v>
      </c>
      <c r="L126" s="515">
        <f>'OPEX - Concept B1 - ALL'!S86</f>
        <v>1126.1624192640002</v>
      </c>
      <c r="M126" s="515">
        <f>'OPEX - Concept B1 - ALL'!T86</f>
        <v>1148.68566764928</v>
      </c>
      <c r="N126" s="515">
        <f>'OPEX - Concept B1 - ALL'!U86</f>
        <v>1171.6593810022657</v>
      </c>
      <c r="O126" s="515">
        <f>'OPEX - Concept B1 - ALL'!V86</f>
        <v>25000</v>
      </c>
      <c r="P126" s="515">
        <f>'OPEX - Concept B1 - ALL'!W86</f>
        <v>1218.9944199947574</v>
      </c>
      <c r="Q126" s="515">
        <f>'OPEX - Concept B1 - ALL'!X86</f>
        <v>1243.3743083946524</v>
      </c>
      <c r="R126" s="515">
        <f>'OPEX - Concept B1 - ALL'!Y86</f>
        <v>1268.2417945625455</v>
      </c>
      <c r="S126" s="515">
        <f>'OPEX - Concept B1 - ALL'!Z86</f>
        <v>1293.6066304537962</v>
      </c>
      <c r="T126" s="515">
        <f>'OPEX - Concept B1 - ALL'!AA86</f>
        <v>1319.4787630628723</v>
      </c>
      <c r="U126" s="515">
        <f>'OPEX - Concept B1 - ALL'!AB86</f>
        <v>1345.8683383241298</v>
      </c>
      <c r="V126" s="515">
        <f>'OPEX - Concept B1 - ALL'!AC86</f>
        <v>1372.7857050906125</v>
      </c>
      <c r="W126" s="515">
        <f>'OPEX - Concept B1 - ALL'!AD86</f>
        <v>1400.2414191924249</v>
      </c>
      <c r="X126" s="515">
        <f>'OPEX - Concept B1 - ALL'!AE86</f>
        <v>1428.2462475762734</v>
      </c>
    </row>
    <row r="127" spans="1:25" s="96" customFormat="1">
      <c r="A127" s="69" t="s">
        <v>424</v>
      </c>
      <c r="B127" s="69"/>
      <c r="C127" s="69"/>
      <c r="D127" s="514">
        <v>0</v>
      </c>
      <c r="E127" s="515">
        <f>'OPEX - Concept B1 - ALL'!L87</f>
        <v>10000</v>
      </c>
      <c r="F127" s="515">
        <f>'OPEX - Concept B1 - ALL'!M87</f>
        <v>500</v>
      </c>
      <c r="G127" s="515">
        <f>'OPEX - Concept B1 - ALL'!N87</f>
        <v>520.20000000000005</v>
      </c>
      <c r="H127" s="515">
        <f>'OPEX - Concept B1 - ALL'!O87</f>
        <v>530.60399999999993</v>
      </c>
      <c r="I127" s="515">
        <f>'OPEX - Concept B1 - ALL'!P87</f>
        <v>541.21608000000003</v>
      </c>
      <c r="J127" s="515">
        <f>'OPEX - Concept B1 - ALL'!Q87</f>
        <v>5000</v>
      </c>
      <c r="K127" s="515">
        <f>'OPEX - Concept B1 - ALL'!R87</f>
        <v>563.08120963200008</v>
      </c>
      <c r="L127" s="515">
        <f>'OPEX - Concept B1 - ALL'!S87</f>
        <v>574.34283382464002</v>
      </c>
      <c r="M127" s="515">
        <f>'OPEX - Concept B1 - ALL'!T87</f>
        <v>585.82969050113286</v>
      </c>
      <c r="N127" s="515">
        <f>'OPEX - Concept B1 - ALL'!U87</f>
        <v>597.54628431115555</v>
      </c>
      <c r="O127" s="515">
        <f>'OPEX - Concept B1 - ALL'!V87</f>
        <v>5000</v>
      </c>
      <c r="P127" s="515">
        <f>'OPEX - Concept B1 - ALL'!W87</f>
        <v>621.68715419732621</v>
      </c>
      <c r="Q127" s="515">
        <f>'OPEX - Concept B1 - ALL'!X87</f>
        <v>634.12089728127273</v>
      </c>
      <c r="R127" s="515">
        <f>'OPEX - Concept B1 - ALL'!Y87</f>
        <v>646.80331522689812</v>
      </c>
      <c r="S127" s="515">
        <f>'OPEX - Concept B1 - ALL'!Z87</f>
        <v>659.73938153143615</v>
      </c>
      <c r="T127" s="515">
        <f>'OPEX - Concept B1 - ALL'!AA87</f>
        <v>5000</v>
      </c>
      <c r="U127" s="515">
        <f>'OPEX - Concept B1 - ALL'!AB87</f>
        <v>686.39285254530625</v>
      </c>
      <c r="V127" s="515">
        <f>'OPEX - Concept B1 - ALL'!AC87</f>
        <v>700.12070959621246</v>
      </c>
      <c r="W127" s="515">
        <f>'OPEX - Concept B1 - ALL'!AD87</f>
        <v>714.1231237881367</v>
      </c>
      <c r="X127" s="515">
        <f>'OPEX - Concept B1 - ALL'!AE87</f>
        <v>728.40558626389941</v>
      </c>
    </row>
    <row r="128" spans="1:25" s="96" customFormat="1">
      <c r="A128" s="69" t="s">
        <v>42</v>
      </c>
      <c r="B128" s="69"/>
      <c r="C128" s="69"/>
      <c r="D128" s="514">
        <v>0</v>
      </c>
      <c r="E128" s="515">
        <f>'OPEX - Concept B1 - ALL'!L88</f>
        <v>50000</v>
      </c>
      <c r="F128" s="515">
        <f>'OPEX - Concept B1 - ALL'!M88</f>
        <v>51000</v>
      </c>
      <c r="G128" s="515">
        <f>'OPEX - Concept B1 - ALL'!N88</f>
        <v>52020</v>
      </c>
      <c r="H128" s="515">
        <f>'OPEX - Concept B1 - ALL'!O88</f>
        <v>53060.399999999994</v>
      </c>
      <c r="I128" s="515">
        <f>'OPEX - Concept B1 - ALL'!P88</f>
        <v>54121.608</v>
      </c>
      <c r="J128" s="515">
        <f>'OPEX - Concept B1 - ALL'!Q88</f>
        <v>55204.040160000004</v>
      </c>
      <c r="K128" s="515">
        <f>'OPEX - Concept B1 - ALL'!R88</f>
        <v>56308.120963200003</v>
      </c>
      <c r="L128" s="515">
        <f>'OPEX - Concept B1 - ALL'!S88</f>
        <v>57434.283382464004</v>
      </c>
      <c r="M128" s="515">
        <f>'OPEX - Concept B1 - ALL'!T88</f>
        <v>58582.969050113286</v>
      </c>
      <c r="N128" s="515">
        <f>'OPEX - Concept B1 - ALL'!U88</f>
        <v>59754.628431115554</v>
      </c>
      <c r="O128" s="515">
        <f>'OPEX - Concept B1 - ALL'!V88</f>
        <v>60949.720999737867</v>
      </c>
      <c r="P128" s="515">
        <f>'OPEX - Concept B1 - ALL'!W88</f>
        <v>62168.715419732624</v>
      </c>
      <c r="Q128" s="515">
        <f>'OPEX - Concept B1 - ALL'!X88</f>
        <v>63412.089728127277</v>
      </c>
      <c r="R128" s="515">
        <f>'OPEX - Concept B1 - ALL'!Y88</f>
        <v>64680.331522689812</v>
      </c>
      <c r="S128" s="515">
        <f>'OPEX - Concept B1 - ALL'!Z88</f>
        <v>65973.938153143623</v>
      </c>
      <c r="T128" s="515">
        <f>'OPEX - Concept B1 - ALL'!AA88</f>
        <v>67293.416916206494</v>
      </c>
      <c r="U128" s="515">
        <f>'OPEX - Concept B1 - ALL'!AB88</f>
        <v>68639.285254530623</v>
      </c>
      <c r="V128" s="515">
        <f>'OPEX - Concept B1 - ALL'!AC88</f>
        <v>70012.07095962124</v>
      </c>
      <c r="W128" s="515">
        <f>'OPEX - Concept B1 - ALL'!AD88</f>
        <v>71412.312378813673</v>
      </c>
      <c r="X128" s="515">
        <f>'OPEX - Concept B1 - ALL'!AE88</f>
        <v>72840.558626389946</v>
      </c>
    </row>
    <row r="129" spans="1:24" s="96" customFormat="1">
      <c r="A129" s="69" t="s">
        <v>43</v>
      </c>
      <c r="B129" s="69"/>
      <c r="C129" s="69"/>
      <c r="D129" s="514">
        <v>0</v>
      </c>
      <c r="E129" s="515">
        <f>'OPEX - Concept B1 - ALL'!L89</f>
        <v>500</v>
      </c>
      <c r="F129" s="515">
        <f>'OPEX - Concept B1 - ALL'!M89</f>
        <v>1020</v>
      </c>
      <c r="G129" s="515">
        <f>'OPEX - Concept B1 - ALL'!N89</f>
        <v>1040.4000000000001</v>
      </c>
      <c r="H129" s="515">
        <f>'OPEX - Concept B1 - ALL'!O89</f>
        <v>1061.2079999999999</v>
      </c>
      <c r="I129" s="515">
        <f>'OPEX - Concept B1 - ALL'!P89</f>
        <v>1082.4321600000001</v>
      </c>
      <c r="J129" s="515">
        <f>'OPEX - Concept B1 - ALL'!Q89</f>
        <v>1104.0808032</v>
      </c>
      <c r="K129" s="515">
        <f>'OPEX - Concept B1 - ALL'!R89</f>
        <v>1126.1624192640002</v>
      </c>
      <c r="L129" s="515">
        <f>'OPEX - Concept B1 - ALL'!S89</f>
        <v>1148.68566764928</v>
      </c>
      <c r="M129" s="515">
        <f>'OPEX - Concept B1 - ALL'!T89</f>
        <v>1171.6593810022657</v>
      </c>
      <c r="N129" s="515">
        <f>'OPEX - Concept B1 - ALL'!U89</f>
        <v>1195.0925686223111</v>
      </c>
      <c r="O129" s="515">
        <f>'OPEX - Concept B1 - ALL'!V89</f>
        <v>1218.9944199947574</v>
      </c>
      <c r="P129" s="515">
        <f>'OPEX - Concept B1 - ALL'!W89</f>
        <v>1243.3743083946524</v>
      </c>
      <c r="Q129" s="515">
        <f>'OPEX - Concept B1 - ALL'!X89</f>
        <v>1268.2417945625455</v>
      </c>
      <c r="R129" s="515">
        <f>'OPEX - Concept B1 - ALL'!Y89</f>
        <v>1293.6066304537962</v>
      </c>
      <c r="S129" s="515">
        <f>'OPEX - Concept B1 - ALL'!Z89</f>
        <v>1319.4787630628723</v>
      </c>
      <c r="T129" s="515">
        <f>'OPEX - Concept B1 - ALL'!AA89</f>
        <v>1345.8683383241298</v>
      </c>
      <c r="U129" s="515">
        <f>'OPEX - Concept B1 - ALL'!AB89</f>
        <v>1372.7857050906125</v>
      </c>
      <c r="V129" s="515">
        <f>'OPEX - Concept B1 - ALL'!AC89</f>
        <v>1400.2414191924249</v>
      </c>
      <c r="W129" s="515">
        <f>'OPEX - Concept B1 - ALL'!AD89</f>
        <v>1428.2462475762734</v>
      </c>
      <c r="X129" s="515">
        <f>'OPEX - Concept B1 - ALL'!AE89</f>
        <v>1456.8111725277988</v>
      </c>
    </row>
    <row r="130" spans="1:24" s="96" customFormat="1">
      <c r="A130" s="69" t="s">
        <v>44</v>
      </c>
      <c r="B130" s="69"/>
      <c r="C130" s="69"/>
      <c r="D130" s="514">
        <v>0</v>
      </c>
      <c r="E130" s="515">
        <f>'OPEX - Concept B1 - ALL'!L90</f>
        <v>250</v>
      </c>
      <c r="F130" s="515">
        <f>'OPEX - Concept B1 - ALL'!M90</f>
        <v>510</v>
      </c>
      <c r="G130" s="515">
        <f>'OPEX - Concept B1 - ALL'!N90</f>
        <v>520.20000000000005</v>
      </c>
      <c r="H130" s="515">
        <f>'OPEX - Concept B1 - ALL'!O90</f>
        <v>530.60399999999993</v>
      </c>
      <c r="I130" s="515">
        <f>'OPEX - Concept B1 - ALL'!P90</f>
        <v>541.21608000000003</v>
      </c>
      <c r="J130" s="515">
        <f>'OPEX - Concept B1 - ALL'!Q90</f>
        <v>552.0404016</v>
      </c>
      <c r="K130" s="515">
        <f>'OPEX - Concept B1 - ALL'!R90</f>
        <v>563.08120963200008</v>
      </c>
      <c r="L130" s="515">
        <f>'OPEX - Concept B1 - ALL'!S90</f>
        <v>574.34283382464002</v>
      </c>
      <c r="M130" s="515">
        <f>'OPEX - Concept B1 - ALL'!T90</f>
        <v>585.82969050113286</v>
      </c>
      <c r="N130" s="515">
        <f>'OPEX - Concept B1 - ALL'!U90</f>
        <v>597.54628431115555</v>
      </c>
      <c r="O130" s="515">
        <f>'OPEX - Concept B1 - ALL'!V90</f>
        <v>609.49720999737872</v>
      </c>
      <c r="P130" s="515">
        <f>'OPEX - Concept B1 - ALL'!W90</f>
        <v>621.68715419732621</v>
      </c>
      <c r="Q130" s="515">
        <f>'OPEX - Concept B1 - ALL'!X90</f>
        <v>634.12089728127273</v>
      </c>
      <c r="R130" s="515">
        <f>'OPEX - Concept B1 - ALL'!Y90</f>
        <v>646.80331522689812</v>
      </c>
      <c r="S130" s="515">
        <f>'OPEX - Concept B1 - ALL'!Z90</f>
        <v>659.73938153143615</v>
      </c>
      <c r="T130" s="515">
        <f>'OPEX - Concept B1 - ALL'!AA90</f>
        <v>672.9341691620649</v>
      </c>
      <c r="U130" s="515">
        <f>'OPEX - Concept B1 - ALL'!AB90</f>
        <v>686.39285254530625</v>
      </c>
      <c r="V130" s="515">
        <f>'OPEX - Concept B1 - ALL'!AC90</f>
        <v>700.12070959621246</v>
      </c>
      <c r="W130" s="515">
        <f>'OPEX - Concept B1 - ALL'!AD90</f>
        <v>714.1231237881367</v>
      </c>
      <c r="X130" s="515">
        <f>'OPEX - Concept B1 - ALL'!AE90</f>
        <v>728.40558626389941</v>
      </c>
    </row>
    <row r="131" spans="1:24" s="96" customFormat="1">
      <c r="A131" s="69" t="s">
        <v>2</v>
      </c>
      <c r="B131" s="69"/>
      <c r="C131" s="69"/>
      <c r="D131" s="514">
        <v>0</v>
      </c>
      <c r="E131" s="515">
        <f>'OPEX - Concept B1 - ALL'!L91</f>
        <v>1000</v>
      </c>
      <c r="F131" s="515">
        <f>'OPEX - Concept B1 - ALL'!M91</f>
        <v>1020</v>
      </c>
      <c r="G131" s="515">
        <f>'OPEX - Concept B1 - ALL'!N91</f>
        <v>1040.4000000000001</v>
      </c>
      <c r="H131" s="515">
        <f>'OPEX - Concept B1 - ALL'!O91</f>
        <v>1061.2079999999999</v>
      </c>
      <c r="I131" s="515">
        <f>'OPEX - Concept B1 - ALL'!P91</f>
        <v>1082.4321600000001</v>
      </c>
      <c r="J131" s="515">
        <f>'OPEX - Concept B1 - ALL'!Q91</f>
        <v>1104.0808032</v>
      </c>
      <c r="K131" s="515">
        <f>'OPEX - Concept B1 - ALL'!R91</f>
        <v>1126.1624192640002</v>
      </c>
      <c r="L131" s="515">
        <f>'OPEX - Concept B1 - ALL'!S91</f>
        <v>1148.68566764928</v>
      </c>
      <c r="M131" s="515">
        <f>'OPEX - Concept B1 - ALL'!T91</f>
        <v>1171.6593810022657</v>
      </c>
      <c r="N131" s="515">
        <f>'OPEX - Concept B1 - ALL'!U91</f>
        <v>1195.0925686223111</v>
      </c>
      <c r="O131" s="515">
        <f>'OPEX - Concept B1 - ALL'!V91</f>
        <v>1218.9944199947574</v>
      </c>
      <c r="P131" s="515">
        <f>'OPEX - Concept B1 - ALL'!W91</f>
        <v>1243.3743083946524</v>
      </c>
      <c r="Q131" s="515">
        <f>'OPEX - Concept B1 - ALL'!X91</f>
        <v>1268.2417945625455</v>
      </c>
      <c r="R131" s="515">
        <f>'OPEX - Concept B1 - ALL'!Y91</f>
        <v>1293.6066304537962</v>
      </c>
      <c r="S131" s="515">
        <f>'OPEX - Concept B1 - ALL'!Z91</f>
        <v>1319.4787630628723</v>
      </c>
      <c r="T131" s="515">
        <f>'OPEX - Concept B1 - ALL'!AA91</f>
        <v>1345.8683383241298</v>
      </c>
      <c r="U131" s="515">
        <f>'OPEX - Concept B1 - ALL'!AB91</f>
        <v>1372.7857050906125</v>
      </c>
      <c r="V131" s="515">
        <f>'OPEX - Concept B1 - ALL'!AC91</f>
        <v>1400.2414191924249</v>
      </c>
      <c r="W131" s="515">
        <f>'OPEX - Concept B1 - ALL'!AD91</f>
        <v>1428.2462475762734</v>
      </c>
      <c r="X131" s="515">
        <f>'OPEX - Concept B1 - ALL'!AE91</f>
        <v>1456.8111725277988</v>
      </c>
    </row>
    <row r="132" spans="1:24" s="96" customFormat="1">
      <c r="A132" s="69"/>
      <c r="B132" s="69"/>
      <c r="C132" s="69"/>
      <c r="D132" s="514"/>
      <c r="E132" s="515"/>
      <c r="F132" s="515"/>
      <c r="G132" s="515"/>
      <c r="H132" s="515"/>
      <c r="I132" s="515"/>
      <c r="J132" s="515"/>
      <c r="K132" s="515"/>
      <c r="L132" s="515"/>
      <c r="M132" s="515"/>
      <c r="N132" s="515"/>
      <c r="O132" s="515"/>
      <c r="P132" s="515"/>
      <c r="Q132" s="515"/>
      <c r="R132" s="515"/>
      <c r="S132" s="515"/>
      <c r="T132" s="515"/>
      <c r="U132" s="515"/>
      <c r="V132" s="515"/>
      <c r="W132" s="515"/>
      <c r="X132" s="515"/>
    </row>
    <row r="133" spans="1:24" s="96" customFormat="1">
      <c r="A133" s="69" t="s">
        <v>25</v>
      </c>
      <c r="B133" s="69"/>
      <c r="C133" s="69"/>
      <c r="D133" s="514">
        <v>0</v>
      </c>
      <c r="E133" s="515">
        <f>'OPEX - Concept B1 - ALL'!L107</f>
        <v>23741.666666666664</v>
      </c>
      <c r="F133" s="515">
        <f>'OPEX - Concept B1 - ALL'!M107</f>
        <v>24216.5</v>
      </c>
      <c r="G133" s="515">
        <f>'OPEX - Concept B1 - ALL'!N107</f>
        <v>24700.83</v>
      </c>
      <c r="H133" s="515">
        <f>'OPEX - Concept B1 - ALL'!O107</f>
        <v>25194.846599999997</v>
      </c>
      <c r="I133" s="515">
        <f>'OPEX - Concept B1 - ALL'!P107</f>
        <v>25698.743532</v>
      </c>
      <c r="J133" s="515">
        <f>'OPEX - Concept B1 - ALL'!Q107</f>
        <v>26212.718402639999</v>
      </c>
      <c r="K133" s="515">
        <f>'OPEX - Concept B1 - ALL'!R107</f>
        <v>26736.972770692802</v>
      </c>
      <c r="L133" s="515">
        <f>'OPEX - Concept B1 - ALL'!S107</f>
        <v>27271.712226106654</v>
      </c>
      <c r="M133" s="515">
        <f>'OPEX - Concept B1 - ALL'!T107</f>
        <v>27817.146470628788</v>
      </c>
      <c r="N133" s="515">
        <f>'OPEX - Concept B1 - ALL'!U107</f>
        <v>28373.48940004137</v>
      </c>
      <c r="O133" s="515">
        <f>'OPEX - Concept B1 - ALL'!V107</f>
        <v>28940.959188042198</v>
      </c>
      <c r="P133" s="515">
        <f>'OPEX - Concept B1 - ALL'!W107</f>
        <v>29519.77837180304</v>
      </c>
      <c r="Q133" s="515">
        <f>'OPEX - Concept B1 - ALL'!X107</f>
        <v>30110.173939239099</v>
      </c>
      <c r="R133" s="515">
        <f>'OPEX - Concept B1 - ALL'!Y107</f>
        <v>30712.37741802388</v>
      </c>
      <c r="S133" s="515">
        <f>'OPEX - Concept B1 - ALL'!Z107</f>
        <v>31326.624966384359</v>
      </c>
      <c r="T133" s="515">
        <f>'OPEX - Concept B1 - ALL'!AA107</f>
        <v>31953.157465712051</v>
      </c>
      <c r="U133" s="515">
        <f>'OPEX - Concept B1 - ALL'!AB107</f>
        <v>32592.220615026294</v>
      </c>
      <c r="V133" s="515">
        <f>'OPEX - Concept B1 - ALL'!AC107</f>
        <v>33244.065027326818</v>
      </c>
      <c r="W133" s="515">
        <f>'OPEX - Concept B1 - ALL'!AD107</f>
        <v>33908.946327873353</v>
      </c>
      <c r="X133" s="515">
        <f>'OPEX - Concept B1 - ALL'!AE107</f>
        <v>34587.125254430823</v>
      </c>
    </row>
    <row r="134" spans="1:24" s="96" customFormat="1">
      <c r="A134" s="782" t="s">
        <v>426</v>
      </c>
      <c r="B134" s="69"/>
      <c r="C134" s="69"/>
      <c r="D134" s="514">
        <v>0</v>
      </c>
      <c r="E134" s="515">
        <f>'OPEX - Concept B1 - ALL'!L95</f>
        <v>1000</v>
      </c>
      <c r="F134" s="515">
        <f>'OPEX - Concept B1 - ALL'!M95</f>
        <v>1020</v>
      </c>
      <c r="G134" s="515">
        <f>'OPEX - Concept B1 - ALL'!N95</f>
        <v>1040.4000000000001</v>
      </c>
      <c r="H134" s="515">
        <f>'OPEX - Concept B1 - ALL'!O95</f>
        <v>1061.2079999999999</v>
      </c>
      <c r="I134" s="515">
        <f>'OPEX - Concept B1 - ALL'!P95</f>
        <v>1082.4321600000001</v>
      </c>
      <c r="J134" s="515">
        <f>'OPEX - Concept B1 - ALL'!Q95</f>
        <v>25000</v>
      </c>
      <c r="K134" s="515">
        <f>'OPEX - Concept B1 - ALL'!R95</f>
        <v>25500</v>
      </c>
      <c r="L134" s="515">
        <f>'OPEX - Concept B1 - ALL'!S95</f>
        <v>26010</v>
      </c>
      <c r="M134" s="515">
        <f>'OPEX - Concept B1 - ALL'!T95</f>
        <v>26530.199999999997</v>
      </c>
      <c r="N134" s="515">
        <f>'OPEX - Concept B1 - ALL'!U95</f>
        <v>27060.804</v>
      </c>
      <c r="O134" s="515">
        <f>'OPEX - Concept B1 - ALL'!V95</f>
        <v>27602.020080000002</v>
      </c>
      <c r="P134" s="515">
        <f>'OPEX - Concept B1 - ALL'!W95</f>
        <v>28154.060481600001</v>
      </c>
      <c r="Q134" s="515">
        <f>'OPEX - Concept B1 - ALL'!X95</f>
        <v>28717.141691232002</v>
      </c>
      <c r="R134" s="515">
        <f>'OPEX - Concept B1 - ALL'!Y95</f>
        <v>29291.484525056643</v>
      </c>
      <c r="S134" s="515">
        <f>'OPEX - Concept B1 - ALL'!Z95</f>
        <v>29877.314215557777</v>
      </c>
      <c r="T134" s="515">
        <f>'OPEX - Concept B1 - ALL'!AA95</f>
        <v>30474.860499868933</v>
      </c>
      <c r="U134" s="515">
        <f>'OPEX - Concept B1 - ALL'!AB95</f>
        <v>31084.357709866312</v>
      </c>
      <c r="V134" s="515">
        <f>'OPEX - Concept B1 - ALL'!AC95</f>
        <v>31706.044864063639</v>
      </c>
      <c r="W134" s="515">
        <f>'OPEX - Concept B1 - ALL'!AD95</f>
        <v>32340.165761344906</v>
      </c>
      <c r="X134" s="515">
        <f>'OPEX - Concept B1 - ALL'!AE95</f>
        <v>32986.969076571811</v>
      </c>
    </row>
    <row r="135" spans="1:24" s="96" customFormat="1">
      <c r="A135" s="644" t="s">
        <v>302</v>
      </c>
      <c r="B135" s="69"/>
      <c r="C135" s="69"/>
      <c r="D135" s="514">
        <v>0</v>
      </c>
      <c r="E135" s="515">
        <f>'OPEX - Concept B1 - ALL'!L96</f>
        <v>233675</v>
      </c>
      <c r="F135" s="515">
        <f>'OPEX - Concept B1 - ALL'!M96</f>
        <v>476697</v>
      </c>
      <c r="G135" s="515">
        <f>'OPEX - Concept B1 - ALL'!N96</f>
        <v>486230.94000000006</v>
      </c>
      <c r="H135" s="515">
        <f>'OPEX - Concept B1 - ALL'!O96</f>
        <v>495955.55879999994</v>
      </c>
      <c r="I135" s="515">
        <f>'OPEX - Concept B1 - ALL'!P96</f>
        <v>505874.66997599998</v>
      </c>
      <c r="J135" s="515">
        <f>'OPEX - Concept B1 - ALL'!Q96</f>
        <v>515992.16337552003</v>
      </c>
      <c r="K135" s="515">
        <f>'OPEX - Concept B1 - ALL'!R96</f>
        <v>526312.00664303044</v>
      </c>
      <c r="L135" s="515">
        <f>'OPEX - Concept B1 - ALL'!S96</f>
        <v>536838.24677589093</v>
      </c>
      <c r="M135" s="515">
        <f>'OPEX - Concept B1 - ALL'!T96</f>
        <v>547575.01171140897</v>
      </c>
      <c r="N135" s="515">
        <f>'OPEX - Concept B1 - ALL'!U96</f>
        <v>558526.51194563706</v>
      </c>
      <c r="O135" s="515">
        <f>'OPEX - Concept B1 - ALL'!V96</f>
        <v>569697.04218454985</v>
      </c>
      <c r="P135" s="515">
        <f>'OPEX - Concept B1 - ALL'!W96</f>
        <v>581090.98302824085</v>
      </c>
      <c r="Q135" s="515">
        <f>'OPEX - Concept B1 - ALL'!X96</f>
        <v>592712.80268880562</v>
      </c>
      <c r="R135" s="515">
        <f>'OPEX - Concept B1 - ALL'!Y96</f>
        <v>604567.05874258175</v>
      </c>
      <c r="S135" s="515">
        <f>'OPEX - Concept B1 - ALL'!Z96</f>
        <v>616658.39991743339</v>
      </c>
      <c r="T135" s="515">
        <f>'OPEX - Concept B1 - ALL'!AA96</f>
        <v>628991.5679157821</v>
      </c>
      <c r="U135" s="515">
        <f>'OPEX - Concept B1 - ALL'!AB96</f>
        <v>641571.39927409776</v>
      </c>
      <c r="V135" s="515">
        <f>'OPEX - Concept B1 - ALL'!AC96</f>
        <v>654402.82725957979</v>
      </c>
      <c r="W135" s="515">
        <f>'OPEX - Concept B1 - ALL'!AD96</f>
        <v>667490.88380477135</v>
      </c>
      <c r="X135" s="515">
        <f>'OPEX - Concept B1 - ALL'!AE96</f>
        <v>680840.70148086676</v>
      </c>
    </row>
    <row r="136" spans="1:24" s="16" customFormat="1" ht="14.25">
      <c r="A136" s="282" t="s">
        <v>132</v>
      </c>
      <c r="B136" s="276"/>
      <c r="C136" s="276"/>
      <c r="D136" s="516">
        <f>SUM(D124:D135)</f>
        <v>0</v>
      </c>
      <c r="E136" s="517">
        <f t="shared" ref="E136:X136" si="16">SUM(E125:E135)</f>
        <v>357416.66666666663</v>
      </c>
      <c r="F136" s="517">
        <f t="shared" si="16"/>
        <v>686483.5</v>
      </c>
      <c r="G136" s="517">
        <f t="shared" si="16"/>
        <v>700223.37000000011</v>
      </c>
      <c r="H136" s="517">
        <f t="shared" si="16"/>
        <v>714227.83739999996</v>
      </c>
      <c r="I136" s="517">
        <f t="shared" si="16"/>
        <v>728512.39414800005</v>
      </c>
      <c r="J136" s="517">
        <f t="shared" si="16"/>
        <v>771426.52082615998</v>
      </c>
      <c r="K136" s="517">
        <f t="shared" si="16"/>
        <v>782318.13245231519</v>
      </c>
      <c r="L136" s="517">
        <f t="shared" si="16"/>
        <v>797964.49510136142</v>
      </c>
      <c r="M136" s="517">
        <f t="shared" si="16"/>
        <v>813923.78500338888</v>
      </c>
      <c r="N136" s="517">
        <f t="shared" si="16"/>
        <v>830202.26070345659</v>
      </c>
      <c r="O136" s="517">
        <f t="shared" si="16"/>
        <v>875001.71613890608</v>
      </c>
      <c r="P136" s="517">
        <f t="shared" si="16"/>
        <v>863742.43203587632</v>
      </c>
      <c r="Q136" s="517">
        <f t="shared" si="16"/>
        <v>881017.28067659377</v>
      </c>
      <c r="R136" s="517">
        <f t="shared" si="16"/>
        <v>898637.62629012566</v>
      </c>
      <c r="S136" s="517">
        <f t="shared" si="16"/>
        <v>916610.37881592824</v>
      </c>
      <c r="T136" s="517">
        <f t="shared" si="16"/>
        <v>939269.65222308482</v>
      </c>
      <c r="U136" s="517">
        <f t="shared" si="16"/>
        <v>953641.4381200918</v>
      </c>
      <c r="V136" s="517">
        <f t="shared" si="16"/>
        <v>972714.26688249363</v>
      </c>
      <c r="W136" s="517">
        <f t="shared" si="16"/>
        <v>992168.55222014361</v>
      </c>
      <c r="X136" s="517">
        <f t="shared" si="16"/>
        <v>1012011.9232645463</v>
      </c>
    </row>
    <row r="137" spans="1:24">
      <c r="A137" s="92"/>
      <c r="B137" s="69"/>
      <c r="C137" s="69"/>
      <c r="D137" s="514"/>
      <c r="E137" s="515"/>
      <c r="F137" s="515"/>
      <c r="G137" s="515"/>
      <c r="H137" s="515"/>
      <c r="I137" s="515"/>
      <c r="J137" s="515"/>
      <c r="K137" s="515"/>
      <c r="L137" s="515"/>
      <c r="M137" s="515"/>
      <c r="N137" s="515"/>
      <c r="O137" s="515"/>
      <c r="P137" s="515"/>
      <c r="Q137" s="515"/>
      <c r="R137" s="515"/>
      <c r="S137" s="515"/>
      <c r="T137" s="515"/>
      <c r="U137" s="515"/>
      <c r="V137" s="515"/>
      <c r="W137" s="515"/>
      <c r="X137" s="515"/>
    </row>
    <row r="138" spans="1:24">
      <c r="A138" s="269" t="s">
        <v>85</v>
      </c>
      <c r="B138" s="269"/>
      <c r="C138" s="270"/>
      <c r="D138" s="513"/>
      <c r="E138" s="513"/>
      <c r="F138" s="513"/>
      <c r="G138" s="513"/>
      <c r="H138" s="513"/>
      <c r="I138" s="513"/>
      <c r="J138" s="513"/>
      <c r="K138" s="513"/>
      <c r="L138" s="513"/>
      <c r="M138" s="513"/>
      <c r="N138" s="513"/>
      <c r="O138" s="513"/>
      <c r="P138" s="513"/>
      <c r="Q138" s="513"/>
      <c r="R138" s="513"/>
      <c r="S138" s="513"/>
      <c r="T138" s="513"/>
      <c r="U138" s="513"/>
      <c r="V138" s="513"/>
      <c r="W138" s="513"/>
      <c r="X138" s="513"/>
    </row>
    <row r="139" spans="1:24" s="368" customFormat="1">
      <c r="A139" s="263"/>
      <c r="B139" s="263"/>
      <c r="C139" s="367"/>
      <c r="D139" s="514"/>
      <c r="E139" s="515"/>
      <c r="F139" s="515"/>
      <c r="G139" s="515"/>
      <c r="H139" s="515"/>
      <c r="I139" s="515"/>
      <c r="J139" s="515"/>
      <c r="K139" s="515"/>
      <c r="L139" s="515"/>
      <c r="M139" s="515"/>
      <c r="N139" s="515"/>
      <c r="O139" s="515"/>
      <c r="P139" s="515"/>
      <c r="Q139" s="515"/>
      <c r="R139" s="515"/>
      <c r="S139" s="515"/>
      <c r="T139" s="515"/>
      <c r="U139" s="515"/>
      <c r="V139" s="515"/>
      <c r="W139" s="515"/>
      <c r="X139" s="515"/>
    </row>
    <row r="140" spans="1:24" s="418" customFormat="1">
      <c r="A140" s="591" t="s">
        <v>0</v>
      </c>
      <c r="B140" s="595"/>
      <c r="C140" s="596"/>
      <c r="D140" s="592">
        <v>0</v>
      </c>
      <c r="E140" s="593">
        <f>'OPEX - Concept B1 - ALL'!L130</f>
        <v>0</v>
      </c>
      <c r="F140" s="593">
        <f>'OPEX - Concept B1 - ALL'!M130</f>
        <v>54570</v>
      </c>
      <c r="G140" s="593">
        <f>'OPEX - Concept B1 - ALL'!N130</f>
        <v>56774.628000000004</v>
      </c>
      <c r="H140" s="593">
        <f>'OPEX - Concept B1 - ALL'!O130</f>
        <v>57910.120559999996</v>
      </c>
      <c r="I140" s="593">
        <f>'OPEX - Concept B1 - ALL'!P130</f>
        <v>59068.322971199988</v>
      </c>
      <c r="J140" s="593">
        <f>'OPEX - Concept B1 - ALL'!Q130</f>
        <v>60249.689430623999</v>
      </c>
      <c r="K140" s="593">
        <f>'OPEX - Concept B1 - ALL'!R130</f>
        <v>61454.683219236475</v>
      </c>
      <c r="L140" s="593">
        <f>'OPEX - Concept B1 - ALL'!S130</f>
        <v>62683.776883621205</v>
      </c>
      <c r="M140" s="593">
        <f>'OPEX - Concept B1 - ALL'!T130</f>
        <v>63937.452421293638</v>
      </c>
      <c r="N140" s="593">
        <f>'OPEX - Concept B1 - ALL'!U130</f>
        <v>65216.201469719512</v>
      </c>
      <c r="O140" s="593">
        <f>'OPEX - Concept B1 - ALL'!V130</f>
        <v>66520.525499113894</v>
      </c>
      <c r="P140" s="593">
        <f>'OPEX - Concept B1 - ALL'!W130</f>
        <v>67850.936009096185</v>
      </c>
      <c r="Q140" s="593">
        <f>'OPEX - Concept B1 - ALL'!X130</f>
        <v>69207.954729278121</v>
      </c>
      <c r="R140" s="593">
        <f>'OPEX - Concept B1 - ALL'!Y130</f>
        <v>70592.113823863678</v>
      </c>
      <c r="S140" s="593">
        <f>'OPEX - Concept B1 - ALL'!Z130</f>
        <v>72003.956100340947</v>
      </c>
      <c r="T140" s="593">
        <f>'OPEX - Concept B1 - ALL'!AA130</f>
        <v>73444.035222347768</v>
      </c>
      <c r="U140" s="593">
        <f>'OPEX - Concept B1 - ALL'!AB130</f>
        <v>74912.915926794725</v>
      </c>
      <c r="V140" s="593">
        <f>'OPEX - Concept B1 - ALL'!AC130</f>
        <v>76411.174245330621</v>
      </c>
      <c r="W140" s="593">
        <f>'OPEX - Concept B1 - ALL'!AD130</f>
        <v>77939.397730237237</v>
      </c>
      <c r="X140" s="593">
        <f>'OPEX - Concept B1 - ALL'!AE130</f>
        <v>79498.18568484197</v>
      </c>
    </row>
    <row r="141" spans="1:24" s="418" customFormat="1">
      <c r="A141" s="591" t="s">
        <v>4</v>
      </c>
      <c r="B141" s="595"/>
      <c r="C141" s="596"/>
      <c r="D141" s="592">
        <v>0</v>
      </c>
      <c r="E141" s="593">
        <f>'OPEX - Concept B1 - ALL'!L153</f>
        <v>0</v>
      </c>
      <c r="F141" s="593">
        <f>'OPEX - Concept B1 - ALL'!M153</f>
        <v>85335.846153846156</v>
      </c>
      <c r="G141" s="593">
        <f>'OPEX - Concept B1 - ALL'!N153</f>
        <v>87042.563076923077</v>
      </c>
      <c r="H141" s="593">
        <f>'OPEX - Concept B1 - ALL'!O153</f>
        <v>88783.41433846156</v>
      </c>
      <c r="I141" s="593">
        <f>'OPEX - Concept B1 - ALL'!P153</f>
        <v>90559.082625230774</v>
      </c>
      <c r="J141" s="593">
        <f>'OPEX - Concept B1 - ALL'!Q153</f>
        <v>92370.264277735376</v>
      </c>
      <c r="K141" s="593">
        <f>'OPEX - Concept B1 - ALL'!R153</f>
        <v>94217.669563290081</v>
      </c>
      <c r="L141" s="593">
        <f>'OPEX - Concept B1 - ALL'!S153</f>
        <v>96102.022954555898</v>
      </c>
      <c r="M141" s="593">
        <f>'OPEX - Concept B1 - ALL'!T153</f>
        <v>98024.063413647003</v>
      </c>
      <c r="N141" s="593">
        <f>'OPEX - Concept B1 - ALL'!U153</f>
        <v>99984.544681919942</v>
      </c>
      <c r="O141" s="593">
        <f>'OPEX - Concept B1 - ALL'!V153</f>
        <v>101984.23557555837</v>
      </c>
      <c r="P141" s="593">
        <f>'OPEX - Concept B1 - ALL'!W153</f>
        <v>104023.92028706953</v>
      </c>
      <c r="Q141" s="593">
        <f>'OPEX - Concept B1 - ALL'!X153</f>
        <v>106104.39869281092</v>
      </c>
      <c r="R141" s="593">
        <f>'OPEX - Concept B1 - ALL'!Y153</f>
        <v>108226.48666666714</v>
      </c>
      <c r="S141" s="593">
        <f>'OPEX - Concept B1 - ALL'!Z153</f>
        <v>110391.01640000047</v>
      </c>
      <c r="T141" s="593">
        <f>'OPEX - Concept B1 - ALL'!AA153</f>
        <v>112598.8367280005</v>
      </c>
      <c r="U141" s="593">
        <f>'OPEX - Concept B1 - ALL'!AB153</f>
        <v>114850.8134625605</v>
      </c>
      <c r="V141" s="593">
        <f>'OPEX - Concept B1 - ALL'!AC153</f>
        <v>117147.82973181173</v>
      </c>
      <c r="W141" s="593">
        <f>'OPEX - Concept B1 - ALL'!AD153</f>
        <v>119490.78632644797</v>
      </c>
      <c r="X141" s="593">
        <f>'OPEX - Concept B1 - ALL'!AE153</f>
        <v>121880.60205297693</v>
      </c>
    </row>
    <row r="142" spans="1:24" s="16" customFormat="1" ht="14.25">
      <c r="A142" s="282" t="s">
        <v>133</v>
      </c>
      <c r="B142" s="276"/>
      <c r="C142" s="276"/>
      <c r="D142" s="516">
        <f>SUM(D140:D141)</f>
        <v>0</v>
      </c>
      <c r="E142" s="517">
        <f>SUM(E140:E141)</f>
        <v>0</v>
      </c>
      <c r="F142" s="517">
        <f t="shared" ref="F142:X142" si="17">SUM(F140:F141)</f>
        <v>139905.84615384616</v>
      </c>
      <c r="G142" s="517">
        <f t="shared" si="17"/>
        <v>143817.19107692307</v>
      </c>
      <c r="H142" s="517">
        <f t="shared" si="17"/>
        <v>146693.53489846154</v>
      </c>
      <c r="I142" s="517">
        <f t="shared" si="17"/>
        <v>149627.40559643076</v>
      </c>
      <c r="J142" s="517">
        <f t="shared" si="17"/>
        <v>152619.95370835939</v>
      </c>
      <c r="K142" s="517">
        <f t="shared" si="17"/>
        <v>155672.35278252655</v>
      </c>
      <c r="L142" s="517">
        <f t="shared" si="17"/>
        <v>158785.7998381771</v>
      </c>
      <c r="M142" s="517">
        <f t="shared" si="17"/>
        <v>161961.51583494066</v>
      </c>
      <c r="N142" s="517">
        <f t="shared" si="17"/>
        <v>165200.74615163944</v>
      </c>
      <c r="O142" s="517">
        <f t="shared" si="17"/>
        <v>168504.76107467228</v>
      </c>
      <c r="P142" s="517">
        <f t="shared" si="17"/>
        <v>171874.85629616573</v>
      </c>
      <c r="Q142" s="517">
        <f t="shared" si="17"/>
        <v>175312.35342208904</v>
      </c>
      <c r="R142" s="517">
        <f t="shared" si="17"/>
        <v>178818.60049053084</v>
      </c>
      <c r="S142" s="517">
        <f t="shared" si="17"/>
        <v>182394.97250034142</v>
      </c>
      <c r="T142" s="517">
        <f t="shared" si="17"/>
        <v>186042.87195034826</v>
      </c>
      <c r="U142" s="517">
        <f t="shared" si="17"/>
        <v>189763.72938935523</v>
      </c>
      <c r="V142" s="517">
        <f t="shared" si="17"/>
        <v>193559.00397714233</v>
      </c>
      <c r="W142" s="517">
        <f t="shared" si="17"/>
        <v>197430.18405668519</v>
      </c>
      <c r="X142" s="517">
        <f t="shared" si="17"/>
        <v>201378.7877378189</v>
      </c>
    </row>
    <row r="143" spans="1:24">
      <c r="A143" s="92"/>
      <c r="B143" s="92"/>
      <c r="C143" s="69"/>
      <c r="D143" s="514"/>
      <c r="E143" s="515"/>
      <c r="F143" s="515"/>
      <c r="G143" s="515"/>
      <c r="H143" s="515"/>
      <c r="I143" s="515"/>
      <c r="J143" s="515"/>
      <c r="K143" s="515"/>
      <c r="L143" s="515"/>
      <c r="M143" s="515"/>
      <c r="N143" s="515"/>
      <c r="O143" s="515"/>
      <c r="P143" s="515"/>
      <c r="Q143" s="515"/>
      <c r="R143" s="515"/>
      <c r="S143" s="515"/>
      <c r="T143" s="515"/>
      <c r="U143" s="515"/>
      <c r="V143" s="515"/>
      <c r="W143" s="515"/>
      <c r="X143" s="515"/>
    </row>
    <row r="144" spans="1:24" s="16" customFormat="1" ht="14.25">
      <c r="A144" s="350" t="s">
        <v>118</v>
      </c>
      <c r="B144" s="350"/>
      <c r="C144" s="351"/>
      <c r="D144" s="519">
        <f t="shared" ref="D144:X144" si="18">SUM(D136,D142)</f>
        <v>0</v>
      </c>
      <c r="E144" s="519">
        <f t="shared" si="18"/>
        <v>357416.66666666663</v>
      </c>
      <c r="F144" s="519">
        <f t="shared" si="18"/>
        <v>826389.34615384613</v>
      </c>
      <c r="G144" s="519">
        <f t="shared" si="18"/>
        <v>844040.56107692316</v>
      </c>
      <c r="H144" s="519">
        <f t="shared" si="18"/>
        <v>860921.3722984615</v>
      </c>
      <c r="I144" s="519">
        <f t="shared" si="18"/>
        <v>878139.79974443081</v>
      </c>
      <c r="J144" s="519">
        <f t="shared" si="18"/>
        <v>924046.47453451937</v>
      </c>
      <c r="K144" s="519">
        <f t="shared" si="18"/>
        <v>937990.4852348417</v>
      </c>
      <c r="L144" s="519">
        <f t="shared" si="18"/>
        <v>956750.29493953846</v>
      </c>
      <c r="M144" s="519">
        <f t="shared" si="18"/>
        <v>975885.3008383296</v>
      </c>
      <c r="N144" s="519">
        <f t="shared" si="18"/>
        <v>995403.00685509597</v>
      </c>
      <c r="O144" s="519">
        <f t="shared" si="18"/>
        <v>1043506.4772135783</v>
      </c>
      <c r="P144" s="519">
        <f t="shared" si="18"/>
        <v>1035617.2883320421</v>
      </c>
      <c r="Q144" s="519">
        <f t="shared" si="18"/>
        <v>1056329.6340986828</v>
      </c>
      <c r="R144" s="519">
        <f t="shared" si="18"/>
        <v>1077456.2267806565</v>
      </c>
      <c r="S144" s="519">
        <f t="shared" si="18"/>
        <v>1099005.3513162697</v>
      </c>
      <c r="T144" s="519">
        <f t="shared" si="18"/>
        <v>1125312.524173433</v>
      </c>
      <c r="U144" s="519">
        <f t="shared" si="18"/>
        <v>1143405.1675094471</v>
      </c>
      <c r="V144" s="519">
        <f t="shared" si="18"/>
        <v>1166273.2708596359</v>
      </c>
      <c r="W144" s="519">
        <f t="shared" si="18"/>
        <v>1189598.7362768287</v>
      </c>
      <c r="X144" s="519">
        <f t="shared" si="18"/>
        <v>1213390.7110023652</v>
      </c>
    </row>
    <row r="145" spans="1:24" s="222" customFormat="1" ht="14.25">
      <c r="A145" s="280"/>
      <c r="B145" s="280"/>
      <c r="C145" s="263"/>
      <c r="D145" s="518"/>
      <c r="E145" s="520"/>
      <c r="F145" s="520"/>
      <c r="G145" s="520"/>
      <c r="H145" s="520"/>
      <c r="I145" s="520"/>
      <c r="J145" s="520"/>
      <c r="K145" s="520"/>
      <c r="L145" s="520"/>
      <c r="M145" s="520"/>
      <c r="N145" s="520"/>
      <c r="O145" s="520"/>
      <c r="P145" s="520"/>
      <c r="Q145" s="520"/>
      <c r="R145" s="520"/>
      <c r="S145" s="520"/>
      <c r="T145" s="520"/>
      <c r="U145" s="520"/>
      <c r="V145" s="520"/>
      <c r="W145" s="520"/>
      <c r="X145" s="520"/>
    </row>
    <row r="146" spans="1:24" s="222" customFormat="1" ht="14.25">
      <c r="A146" s="271" t="s">
        <v>295</v>
      </c>
      <c r="B146" s="271"/>
      <c r="C146" s="269"/>
      <c r="D146" s="521"/>
      <c r="E146" s="521"/>
      <c r="F146" s="521"/>
      <c r="G146" s="521"/>
      <c r="H146" s="521"/>
      <c r="I146" s="521"/>
      <c r="J146" s="521"/>
      <c r="K146" s="521"/>
      <c r="L146" s="521"/>
      <c r="M146" s="521"/>
      <c r="N146" s="521"/>
      <c r="O146" s="521"/>
      <c r="P146" s="521"/>
      <c r="Q146" s="521"/>
      <c r="R146" s="521"/>
      <c r="S146" s="521"/>
      <c r="T146" s="521"/>
      <c r="U146" s="521"/>
      <c r="V146" s="521"/>
      <c r="W146" s="521"/>
      <c r="X146" s="521"/>
    </row>
    <row r="147" spans="1:24" s="222" customFormat="1" ht="14.25">
      <c r="A147" s="280"/>
      <c r="B147" s="280"/>
      <c r="C147" s="263"/>
      <c r="D147" s="518"/>
      <c r="E147" s="520"/>
      <c r="F147" s="520"/>
      <c r="G147" s="520"/>
      <c r="H147" s="520"/>
      <c r="I147" s="520"/>
      <c r="J147" s="520"/>
      <c r="K147" s="520"/>
      <c r="L147" s="520"/>
      <c r="M147" s="520"/>
      <c r="N147" s="520"/>
      <c r="O147" s="520"/>
      <c r="P147" s="520"/>
      <c r="Q147" s="520"/>
      <c r="R147" s="520"/>
      <c r="S147" s="520"/>
      <c r="T147" s="520"/>
      <c r="U147" s="520"/>
      <c r="V147" s="520"/>
      <c r="W147" s="520"/>
      <c r="X147" s="520"/>
    </row>
    <row r="148" spans="1:24" s="725" customFormat="1">
      <c r="A148" s="353" t="s">
        <v>228</v>
      </c>
      <c r="B148" s="691"/>
      <c r="C148" s="724"/>
      <c r="D148" s="699">
        <v>0</v>
      </c>
      <c r="E148" s="700"/>
      <c r="F148" s="700"/>
      <c r="G148" s="700"/>
      <c r="H148" s="700"/>
      <c r="I148" s="700"/>
      <c r="J148" s="700"/>
      <c r="K148" s="700"/>
      <c r="L148" s="700"/>
      <c r="M148" s="700"/>
      <c r="N148" s="700"/>
      <c r="O148" s="700"/>
      <c r="P148" s="700"/>
      <c r="Q148" s="700"/>
      <c r="R148" s="700"/>
      <c r="S148" s="700"/>
      <c r="T148" s="700"/>
      <c r="U148" s="700"/>
      <c r="V148" s="700"/>
      <c r="W148" s="700"/>
      <c r="X148" s="700"/>
    </row>
    <row r="149" spans="1:24" s="725" customFormat="1">
      <c r="A149" s="726" t="s">
        <v>228</v>
      </c>
      <c r="B149" s="727"/>
      <c r="C149" s="728"/>
      <c r="D149" s="729">
        <v>0</v>
      </c>
      <c r="E149" s="730"/>
      <c r="F149" s="730"/>
      <c r="G149" s="730"/>
      <c r="H149" s="730"/>
      <c r="I149" s="730"/>
      <c r="J149" s="730"/>
      <c r="K149" s="730"/>
      <c r="L149" s="730"/>
      <c r="M149" s="730"/>
      <c r="N149" s="730"/>
      <c r="O149" s="730"/>
      <c r="P149" s="730"/>
      <c r="Q149" s="730"/>
      <c r="R149" s="730"/>
      <c r="S149" s="730"/>
      <c r="T149" s="730"/>
      <c r="U149" s="730"/>
      <c r="V149" s="730"/>
      <c r="W149" s="730"/>
      <c r="X149" s="730"/>
    </row>
    <row r="150" spans="1:24" s="725" customFormat="1" ht="14.25">
      <c r="A150" s="691" t="s">
        <v>296</v>
      </c>
      <c r="B150" s="691"/>
      <c r="C150" s="724"/>
      <c r="D150" s="731">
        <f t="shared" ref="D150:X150" si="19">SUM(D148:D149)</f>
        <v>0</v>
      </c>
      <c r="E150" s="732">
        <f t="shared" si="19"/>
        <v>0</v>
      </c>
      <c r="F150" s="732">
        <f t="shared" si="19"/>
        <v>0</v>
      </c>
      <c r="G150" s="732">
        <f t="shared" si="19"/>
        <v>0</v>
      </c>
      <c r="H150" s="732">
        <f t="shared" si="19"/>
        <v>0</v>
      </c>
      <c r="I150" s="732">
        <f t="shared" si="19"/>
        <v>0</v>
      </c>
      <c r="J150" s="732">
        <f t="shared" si="19"/>
        <v>0</v>
      </c>
      <c r="K150" s="732">
        <f t="shared" si="19"/>
        <v>0</v>
      </c>
      <c r="L150" s="732">
        <f t="shared" si="19"/>
        <v>0</v>
      </c>
      <c r="M150" s="732">
        <f t="shared" si="19"/>
        <v>0</v>
      </c>
      <c r="N150" s="732">
        <f t="shared" si="19"/>
        <v>0</v>
      </c>
      <c r="O150" s="732">
        <f t="shared" si="19"/>
        <v>0</v>
      </c>
      <c r="P150" s="732">
        <f t="shared" si="19"/>
        <v>0</v>
      </c>
      <c r="Q150" s="732">
        <f t="shared" si="19"/>
        <v>0</v>
      </c>
      <c r="R150" s="732">
        <f t="shared" si="19"/>
        <v>0</v>
      </c>
      <c r="S150" s="732">
        <f t="shared" si="19"/>
        <v>0</v>
      </c>
      <c r="T150" s="732">
        <f t="shared" si="19"/>
        <v>0</v>
      </c>
      <c r="U150" s="732">
        <f t="shared" si="19"/>
        <v>0</v>
      </c>
      <c r="V150" s="732">
        <f t="shared" si="19"/>
        <v>0</v>
      </c>
      <c r="W150" s="732">
        <f t="shared" si="19"/>
        <v>0</v>
      </c>
      <c r="X150" s="732">
        <f t="shared" si="19"/>
        <v>0</v>
      </c>
    </row>
    <row r="151" spans="1:24" s="222" customFormat="1">
      <c r="A151" s="280"/>
      <c r="B151" s="280"/>
      <c r="C151" s="263"/>
      <c r="D151" s="514"/>
      <c r="E151" s="515"/>
      <c r="F151" s="520"/>
      <c r="G151" s="520"/>
      <c r="H151" s="520"/>
      <c r="I151" s="520"/>
      <c r="J151" s="520"/>
      <c r="K151" s="520"/>
      <c r="L151" s="520"/>
      <c r="M151" s="520"/>
      <c r="N151" s="520"/>
      <c r="O151" s="520"/>
      <c r="P151" s="520"/>
      <c r="Q151" s="520"/>
      <c r="R151" s="520"/>
      <c r="S151" s="520"/>
      <c r="T151" s="520"/>
      <c r="U151" s="520"/>
      <c r="V151" s="520"/>
      <c r="W151" s="520"/>
      <c r="X151" s="520"/>
    </row>
    <row r="152" spans="1:24" s="222" customFormat="1" ht="14.25">
      <c r="A152" s="296" t="s">
        <v>140</v>
      </c>
      <c r="B152" s="296"/>
      <c r="C152" s="297"/>
      <c r="D152" s="522">
        <f t="shared" ref="D152:X152" si="20">SUM(D144,D150)</f>
        <v>0</v>
      </c>
      <c r="E152" s="522">
        <f t="shared" si="20"/>
        <v>357416.66666666663</v>
      </c>
      <c r="F152" s="522">
        <f t="shared" si="20"/>
        <v>826389.34615384613</v>
      </c>
      <c r="G152" s="522">
        <f t="shared" si="20"/>
        <v>844040.56107692316</v>
      </c>
      <c r="H152" s="522">
        <f t="shared" si="20"/>
        <v>860921.3722984615</v>
      </c>
      <c r="I152" s="522">
        <f t="shared" si="20"/>
        <v>878139.79974443081</v>
      </c>
      <c r="J152" s="522">
        <f t="shared" si="20"/>
        <v>924046.47453451937</v>
      </c>
      <c r="K152" s="522">
        <f t="shared" si="20"/>
        <v>937990.4852348417</v>
      </c>
      <c r="L152" s="522">
        <f t="shared" si="20"/>
        <v>956750.29493953846</v>
      </c>
      <c r="M152" s="522">
        <f t="shared" si="20"/>
        <v>975885.3008383296</v>
      </c>
      <c r="N152" s="522">
        <f t="shared" si="20"/>
        <v>995403.00685509597</v>
      </c>
      <c r="O152" s="522">
        <f t="shared" si="20"/>
        <v>1043506.4772135783</v>
      </c>
      <c r="P152" s="522">
        <f t="shared" si="20"/>
        <v>1035617.2883320421</v>
      </c>
      <c r="Q152" s="522">
        <f t="shared" si="20"/>
        <v>1056329.6340986828</v>
      </c>
      <c r="R152" s="522">
        <f t="shared" si="20"/>
        <v>1077456.2267806565</v>
      </c>
      <c r="S152" s="522">
        <f t="shared" si="20"/>
        <v>1099005.3513162697</v>
      </c>
      <c r="T152" s="522">
        <f t="shared" si="20"/>
        <v>1125312.524173433</v>
      </c>
      <c r="U152" s="522">
        <f t="shared" si="20"/>
        <v>1143405.1675094471</v>
      </c>
      <c r="V152" s="522">
        <f t="shared" si="20"/>
        <v>1166273.2708596359</v>
      </c>
      <c r="W152" s="522">
        <f t="shared" si="20"/>
        <v>1189598.7362768287</v>
      </c>
      <c r="X152" s="522">
        <f t="shared" si="20"/>
        <v>1213390.7110023652</v>
      </c>
    </row>
    <row r="153" spans="1:24">
      <c r="A153" s="92"/>
      <c r="B153" s="92"/>
      <c r="C153" s="69"/>
      <c r="D153" s="514"/>
      <c r="E153" s="515"/>
      <c r="F153" s="515"/>
      <c r="G153" s="515"/>
      <c r="H153" s="515"/>
      <c r="I153" s="515"/>
      <c r="J153" s="515"/>
      <c r="K153" s="515"/>
      <c r="L153" s="515"/>
      <c r="M153" s="515"/>
      <c r="N153" s="515"/>
      <c r="O153" s="515"/>
      <c r="P153" s="515"/>
      <c r="Q153" s="515"/>
      <c r="R153" s="515"/>
      <c r="S153" s="515"/>
      <c r="T153" s="515"/>
      <c r="U153" s="515"/>
      <c r="V153" s="515"/>
      <c r="W153" s="515"/>
      <c r="X153" s="515"/>
    </row>
    <row r="154" spans="1:24" s="33" customFormat="1">
      <c r="A154" s="47" t="s">
        <v>7</v>
      </c>
      <c r="B154" s="47" t="s">
        <v>7</v>
      </c>
      <c r="C154" s="78" t="s">
        <v>7</v>
      </c>
      <c r="D154" s="604" t="s">
        <v>7</v>
      </c>
      <c r="E154" s="78" t="s">
        <v>7</v>
      </c>
      <c r="F154" s="78" t="s">
        <v>7</v>
      </c>
      <c r="G154" s="78" t="s">
        <v>7</v>
      </c>
      <c r="H154" s="78" t="s">
        <v>7</v>
      </c>
      <c r="I154" s="78" t="s">
        <v>7</v>
      </c>
      <c r="J154" s="78" t="s">
        <v>7</v>
      </c>
      <c r="K154" s="78" t="s">
        <v>7</v>
      </c>
      <c r="L154" s="78" t="s">
        <v>7</v>
      </c>
      <c r="M154" s="78" t="s">
        <v>7</v>
      </c>
      <c r="N154" s="78" t="s">
        <v>7</v>
      </c>
      <c r="O154" s="78" t="s">
        <v>7</v>
      </c>
      <c r="P154" s="78" t="s">
        <v>7</v>
      </c>
      <c r="Q154" s="78" t="s">
        <v>7</v>
      </c>
      <c r="R154" s="78" t="s">
        <v>7</v>
      </c>
      <c r="S154" s="78" t="s">
        <v>7</v>
      </c>
      <c r="T154" s="78" t="s">
        <v>7</v>
      </c>
      <c r="U154" s="78" t="s">
        <v>7</v>
      </c>
      <c r="V154" s="78" t="s">
        <v>7</v>
      </c>
      <c r="W154" s="78" t="s">
        <v>7</v>
      </c>
      <c r="X154" s="78" t="s">
        <v>7</v>
      </c>
    </row>
    <row r="155" spans="1:24">
      <c r="A155" s="92"/>
      <c r="B155" s="92"/>
      <c r="C155" s="69"/>
      <c r="D155" s="518"/>
      <c r="E155" s="515"/>
      <c r="F155" s="515"/>
      <c r="G155" s="515"/>
      <c r="H155" s="515"/>
      <c r="I155" s="515"/>
      <c r="J155" s="515"/>
      <c r="K155" s="515"/>
      <c r="L155" s="515"/>
      <c r="M155" s="515"/>
      <c r="N155" s="515"/>
      <c r="O155" s="515"/>
      <c r="P155" s="515"/>
      <c r="Q155" s="515"/>
      <c r="R155" s="515"/>
      <c r="S155" s="515"/>
      <c r="T155" s="515"/>
      <c r="U155" s="515"/>
      <c r="V155" s="515"/>
      <c r="W155" s="515"/>
      <c r="X155" s="515"/>
    </row>
    <row r="156" spans="1:24" s="16" customFormat="1" ht="14.25">
      <c r="A156" s="278" t="s">
        <v>116</v>
      </c>
      <c r="B156" s="263"/>
      <c r="C156" s="263"/>
      <c r="D156" s="518">
        <f>D119-(D136+D142)</f>
        <v>0</v>
      </c>
      <c r="E156" s="520">
        <f>E119-E152</f>
        <v>-299391.66666666663</v>
      </c>
      <c r="F156" s="520">
        <f t="shared" ref="F156:X156" si="21">F119-F152</f>
        <v>888955.06404615415</v>
      </c>
      <c r="G156" s="520">
        <f t="shared" si="21"/>
        <v>1022343.1373270768</v>
      </c>
      <c r="H156" s="520">
        <f t="shared" si="21"/>
        <v>1040570.0000736186</v>
      </c>
      <c r="I156" s="520">
        <f t="shared" si="21"/>
        <v>1059161.4000750906</v>
      </c>
      <c r="J156" s="520">
        <f t="shared" si="21"/>
        <v>1297900.7492813924</v>
      </c>
      <c r="K156" s="520">
        <f t="shared" si="21"/>
        <v>1321213.2830573884</v>
      </c>
      <c r="L156" s="520">
        <f t="shared" si="21"/>
        <v>1340455.1487185364</v>
      </c>
      <c r="M156" s="520">
        <f t="shared" si="21"/>
        <v>1360081.8516929073</v>
      </c>
      <c r="N156" s="520">
        <f t="shared" si="21"/>
        <v>1380101.0887267652</v>
      </c>
      <c r="O156" s="520">
        <f t="shared" si="21"/>
        <v>1434942.8002799205</v>
      </c>
      <c r="P156" s="520">
        <f t="shared" si="21"/>
        <v>1483966.2247113262</v>
      </c>
      <c r="Q156" s="520">
        <f t="shared" si="21"/>
        <v>1505210.799205553</v>
      </c>
      <c r="R156" s="520">
        <f t="shared" si="21"/>
        <v>1526880.2651896642</v>
      </c>
      <c r="S156" s="520">
        <f t="shared" si="21"/>
        <v>1548983.1204934574</v>
      </c>
      <c r="T156" s="520">
        <f t="shared" si="21"/>
        <v>1629918.4670724887</v>
      </c>
      <c r="U156" s="520">
        <f t="shared" si="21"/>
        <v>1657241.3435613934</v>
      </c>
      <c r="V156" s="520">
        <f t="shared" si="21"/>
        <v>1680697.0704326211</v>
      </c>
      <c r="W156" s="520">
        <f t="shared" si="21"/>
        <v>1704621.9118412738</v>
      </c>
      <c r="X156" s="520">
        <f t="shared" si="21"/>
        <v>1729025.2500780993</v>
      </c>
    </row>
    <row r="157" spans="1:24">
      <c r="A157" s="30"/>
      <c r="B157" s="92"/>
      <c r="C157" s="69"/>
      <c r="D157" s="514"/>
      <c r="E157" s="515"/>
      <c r="F157" s="515"/>
      <c r="G157" s="515"/>
      <c r="H157" s="515"/>
      <c r="I157" s="515"/>
      <c r="J157" s="515"/>
      <c r="K157" s="515"/>
      <c r="L157" s="515"/>
      <c r="M157" s="515"/>
      <c r="N157" s="515"/>
      <c r="O157" s="515"/>
      <c r="P157" s="515"/>
      <c r="Q157" s="515"/>
      <c r="R157" s="515"/>
      <c r="S157" s="515"/>
      <c r="T157" s="515"/>
      <c r="U157" s="515"/>
      <c r="V157" s="515"/>
      <c r="W157" s="515"/>
      <c r="X157" s="515"/>
    </row>
    <row r="158" spans="1:24" s="594" customFormat="1">
      <c r="A158" s="589" t="s">
        <v>125</v>
      </c>
      <c r="B158" s="590"/>
      <c r="C158" s="591"/>
      <c r="D158" s="592">
        <v>0</v>
      </c>
      <c r="E158" s="593">
        <v>0</v>
      </c>
      <c r="F158" s="593">
        <v>0</v>
      </c>
      <c r="G158" s="593">
        <v>0</v>
      </c>
      <c r="H158" s="593">
        <v>0</v>
      </c>
      <c r="I158" s="593">
        <v>0</v>
      </c>
      <c r="J158" s="593">
        <v>0</v>
      </c>
      <c r="K158" s="593">
        <v>0</v>
      </c>
      <c r="L158" s="593">
        <v>0</v>
      </c>
      <c r="M158" s="593">
        <v>0</v>
      </c>
      <c r="N158" s="593">
        <v>0</v>
      </c>
      <c r="O158" s="593">
        <v>0</v>
      </c>
      <c r="P158" s="593">
        <v>0</v>
      </c>
      <c r="Q158" s="593">
        <v>0</v>
      </c>
      <c r="R158" s="593">
        <v>0</v>
      </c>
      <c r="S158" s="593">
        <v>0</v>
      </c>
      <c r="T158" s="593">
        <v>0</v>
      </c>
      <c r="U158" s="593">
        <v>0</v>
      </c>
      <c r="V158" s="593">
        <v>0</v>
      </c>
      <c r="W158" s="593">
        <v>0</v>
      </c>
      <c r="X158" s="593">
        <v>0</v>
      </c>
    </row>
    <row r="159" spans="1:24">
      <c r="A159" s="92"/>
      <c r="B159" s="92"/>
      <c r="C159" s="69"/>
      <c r="D159" s="514"/>
      <c r="E159" s="515"/>
      <c r="F159" s="515"/>
      <c r="G159" s="515"/>
      <c r="H159" s="515"/>
      <c r="I159" s="515"/>
      <c r="J159" s="515"/>
      <c r="K159" s="515"/>
      <c r="L159" s="515"/>
      <c r="M159" s="515"/>
      <c r="N159" s="515"/>
      <c r="O159" s="515"/>
      <c r="P159" s="515"/>
      <c r="Q159" s="515"/>
      <c r="R159" s="515"/>
      <c r="S159" s="515"/>
      <c r="T159" s="515"/>
      <c r="U159" s="515"/>
      <c r="V159" s="515"/>
      <c r="W159" s="515"/>
      <c r="X159" s="515"/>
    </row>
    <row r="160" spans="1:24" s="16" customFormat="1" ht="14.25">
      <c r="A160" s="278" t="s">
        <v>117</v>
      </c>
      <c r="B160" s="278"/>
      <c r="C160" s="263"/>
      <c r="D160" s="518">
        <v>0</v>
      </c>
      <c r="E160" s="520">
        <f>E156-E158</f>
        <v>-299391.66666666663</v>
      </c>
      <c r="F160" s="520">
        <f t="shared" ref="F160:X160" si="22">F156-F158</f>
        <v>888955.06404615415</v>
      </c>
      <c r="G160" s="520">
        <f t="shared" si="22"/>
        <v>1022343.1373270768</v>
      </c>
      <c r="H160" s="520">
        <f t="shared" si="22"/>
        <v>1040570.0000736186</v>
      </c>
      <c r="I160" s="520">
        <f t="shared" si="22"/>
        <v>1059161.4000750906</v>
      </c>
      <c r="J160" s="520">
        <f t="shared" si="22"/>
        <v>1297900.7492813924</v>
      </c>
      <c r="K160" s="520">
        <f t="shared" si="22"/>
        <v>1321213.2830573884</v>
      </c>
      <c r="L160" s="520">
        <f t="shared" si="22"/>
        <v>1340455.1487185364</v>
      </c>
      <c r="M160" s="520">
        <f t="shared" si="22"/>
        <v>1360081.8516929073</v>
      </c>
      <c r="N160" s="520">
        <f t="shared" si="22"/>
        <v>1380101.0887267652</v>
      </c>
      <c r="O160" s="520">
        <f t="shared" si="22"/>
        <v>1434942.8002799205</v>
      </c>
      <c r="P160" s="520">
        <f t="shared" si="22"/>
        <v>1483966.2247113262</v>
      </c>
      <c r="Q160" s="520">
        <f t="shared" si="22"/>
        <v>1505210.799205553</v>
      </c>
      <c r="R160" s="520">
        <f t="shared" si="22"/>
        <v>1526880.2651896642</v>
      </c>
      <c r="S160" s="520">
        <f t="shared" si="22"/>
        <v>1548983.1204934574</v>
      </c>
      <c r="T160" s="520">
        <f t="shared" si="22"/>
        <v>1629918.4670724887</v>
      </c>
      <c r="U160" s="520">
        <f t="shared" si="22"/>
        <v>1657241.3435613934</v>
      </c>
      <c r="V160" s="520">
        <f t="shared" si="22"/>
        <v>1680697.0704326211</v>
      </c>
      <c r="W160" s="520">
        <f t="shared" si="22"/>
        <v>1704621.9118412738</v>
      </c>
      <c r="X160" s="520">
        <f t="shared" si="22"/>
        <v>1729025.2500780993</v>
      </c>
    </row>
    <row r="161" spans="1:24">
      <c r="A161" s="92"/>
      <c r="B161" s="92"/>
      <c r="C161" s="69"/>
      <c r="D161" s="514"/>
      <c r="E161" s="515"/>
      <c r="F161" s="515"/>
      <c r="G161" s="515"/>
      <c r="H161" s="515"/>
      <c r="I161" s="515"/>
      <c r="J161" s="515"/>
      <c r="K161" s="515"/>
      <c r="L161" s="515"/>
      <c r="M161" s="515"/>
      <c r="N161" s="515"/>
      <c r="O161" s="515"/>
      <c r="P161" s="515"/>
      <c r="Q161" s="515"/>
      <c r="R161" s="515"/>
      <c r="S161" s="515"/>
      <c r="T161" s="515"/>
      <c r="U161" s="515"/>
      <c r="V161" s="515"/>
      <c r="W161" s="515"/>
      <c r="X161" s="515"/>
    </row>
    <row r="162" spans="1:24">
      <c r="A162" s="271" t="s">
        <v>126</v>
      </c>
      <c r="B162" s="272"/>
      <c r="C162" s="273"/>
      <c r="D162" s="523"/>
      <c r="E162" s="523"/>
      <c r="F162" s="523"/>
      <c r="G162" s="523"/>
      <c r="H162" s="523"/>
      <c r="I162" s="523"/>
      <c r="J162" s="523"/>
      <c r="K162" s="523"/>
      <c r="L162" s="523"/>
      <c r="M162" s="523"/>
      <c r="N162" s="523"/>
      <c r="O162" s="523"/>
      <c r="P162" s="523"/>
      <c r="Q162" s="523"/>
      <c r="R162" s="523"/>
      <c r="S162" s="523"/>
      <c r="T162" s="523"/>
      <c r="U162" s="523"/>
      <c r="V162" s="523"/>
      <c r="W162" s="523"/>
      <c r="X162" s="523"/>
    </row>
    <row r="163" spans="1:24" s="32" customFormat="1">
      <c r="A163" s="280"/>
      <c r="B163" s="91"/>
      <c r="C163" s="69"/>
      <c r="D163" s="514"/>
      <c r="E163" s="515"/>
      <c r="F163" s="515"/>
      <c r="G163" s="515"/>
      <c r="H163" s="515"/>
      <c r="I163" s="515"/>
      <c r="J163" s="515"/>
      <c r="K163" s="515"/>
      <c r="L163" s="515"/>
      <c r="M163" s="515"/>
      <c r="N163" s="515"/>
      <c r="O163" s="515"/>
      <c r="P163" s="515"/>
      <c r="Q163" s="515"/>
      <c r="R163" s="515"/>
      <c r="S163" s="515"/>
      <c r="T163" s="515"/>
      <c r="U163" s="515"/>
      <c r="V163" s="515"/>
      <c r="W163" s="515"/>
      <c r="X163" s="515"/>
    </row>
    <row r="164" spans="1:24" s="96" customFormat="1">
      <c r="A164" s="885" t="s">
        <v>136</v>
      </c>
      <c r="B164" s="719"/>
      <c r="C164" s="69"/>
      <c r="D164" s="514">
        <v>0</v>
      </c>
      <c r="E164" s="515">
        <f>'OPEX - Concept B1 - ALL'!L168</f>
        <v>0</v>
      </c>
      <c r="F164" s="515">
        <f>'OPEX - Concept B1 - ALL'!M168</f>
        <v>53485</v>
      </c>
      <c r="G164" s="515">
        <f>'OPEX - Concept B1 - ALL'!N168</f>
        <v>54554.700000000004</v>
      </c>
      <c r="H164" s="515">
        <f>'OPEX - Concept B1 - ALL'!O168</f>
        <v>55645.794000000002</v>
      </c>
      <c r="I164" s="515">
        <f>'OPEX - Concept B1 - ALL'!P168</f>
        <v>56758.709879999995</v>
      </c>
      <c r="J164" s="515">
        <f>'OPEX - Concept B1 - ALL'!Q168</f>
        <v>57893.8840776</v>
      </c>
      <c r="K164" s="515">
        <f>'OPEX - Concept B1 - ALL'!R168</f>
        <v>59051.761759152003</v>
      </c>
      <c r="L164" s="515">
        <f>'OPEX - Concept B1 - ALL'!S168</f>
        <v>60232.796994335047</v>
      </c>
      <c r="M164" s="515">
        <f>'OPEX - Concept B1 - ALL'!T168</f>
        <v>61437.452934221743</v>
      </c>
      <c r="N164" s="515">
        <f>'OPEX - Concept B1 - ALL'!U168</f>
        <v>62666.201992906186</v>
      </c>
      <c r="O164" s="515">
        <f>'OPEX - Concept B1 - ALL'!V168</f>
        <v>63919.526032764305</v>
      </c>
      <c r="P164" s="515">
        <f>'OPEX - Concept B1 - ALL'!W168</f>
        <v>65197.916553419593</v>
      </c>
      <c r="Q164" s="515">
        <f>'OPEX - Concept B1 - ALL'!X168</f>
        <v>66501.874884487988</v>
      </c>
      <c r="R164" s="515">
        <f>'OPEX - Concept B1 - ALL'!Y168</f>
        <v>67831.912382177747</v>
      </c>
      <c r="S164" s="515">
        <f>'OPEX - Concept B1 - ALL'!Z168</f>
        <v>69188.5506298213</v>
      </c>
      <c r="T164" s="515">
        <f>'OPEX - Concept B1 - ALL'!AA168</f>
        <v>70572.321642417723</v>
      </c>
      <c r="U164" s="515">
        <f>'OPEX - Concept B1 - ALL'!AB168</f>
        <v>71983.768075266082</v>
      </c>
      <c r="V164" s="515">
        <f>'OPEX - Concept B1 - ALL'!AC168</f>
        <v>73423.443436771413</v>
      </c>
      <c r="W164" s="515">
        <f>'OPEX - Concept B1 - ALL'!AD168</f>
        <v>74891.912305506848</v>
      </c>
      <c r="X164" s="515">
        <f>'OPEX - Concept B1 - ALL'!AE168</f>
        <v>76389.750551616977</v>
      </c>
    </row>
    <row r="165" spans="1:24" s="96" customFormat="1">
      <c r="A165" s="885" t="s">
        <v>458</v>
      </c>
      <c r="B165" s="719"/>
      <c r="C165" s="69"/>
      <c r="D165" s="514">
        <v>0</v>
      </c>
      <c r="E165" s="515">
        <f>'OPEX - Concept B1 - ALL'!L170</f>
        <v>612119.16</v>
      </c>
      <c r="F165" s="515">
        <f>'OPEX - Concept B1 - ALL'!M170</f>
        <v>612119.16</v>
      </c>
      <c r="G165" s="515">
        <f>'OPEX - Concept B1 - ALL'!N170</f>
        <v>612119.16</v>
      </c>
      <c r="H165" s="515">
        <f>'OPEX - Concept B1 - ALL'!O170</f>
        <v>612119.16</v>
      </c>
      <c r="I165" s="515">
        <f>'OPEX - Concept B1 - ALL'!P170</f>
        <v>612119.16</v>
      </c>
      <c r="J165" s="515">
        <f>'OPEX - Concept B1 - ALL'!Q170</f>
        <v>612119.16</v>
      </c>
      <c r="K165" s="515">
        <f>'OPEX - Concept B1 - ALL'!R170</f>
        <v>612119.16</v>
      </c>
      <c r="L165" s="515">
        <f>'OPEX - Concept B1 - ALL'!S170</f>
        <v>612119.16</v>
      </c>
      <c r="M165" s="515">
        <f>'OPEX - Concept B1 - ALL'!T170</f>
        <v>612119.16</v>
      </c>
      <c r="N165" s="515">
        <f>'OPEX - Concept B1 - ALL'!U170</f>
        <v>612119.16</v>
      </c>
      <c r="O165" s="515">
        <f>'OPEX - Concept B1 - ALL'!V170</f>
        <v>612119.16</v>
      </c>
      <c r="P165" s="515">
        <f>'OPEX - Concept B1 - ALL'!W170</f>
        <v>612119.16</v>
      </c>
      <c r="Q165" s="515">
        <f>'OPEX - Concept B1 - ALL'!X170</f>
        <v>612119.16</v>
      </c>
      <c r="R165" s="515">
        <f>'OPEX - Concept B1 - ALL'!Y170</f>
        <v>612119.16</v>
      </c>
      <c r="S165" s="515">
        <f>'OPEX - Concept B1 - ALL'!Z170</f>
        <v>612119.16</v>
      </c>
      <c r="T165" s="515">
        <f>'OPEX - Concept B1 - ALL'!AA170</f>
        <v>612119.16</v>
      </c>
      <c r="U165" s="515">
        <f>'OPEX - Concept B1 - ALL'!AB170</f>
        <v>612119.16</v>
      </c>
      <c r="V165" s="515">
        <f>'OPEX - Concept B1 - ALL'!AC170</f>
        <v>612119.16</v>
      </c>
      <c r="W165" s="515">
        <f>'OPEX - Concept B1 - ALL'!AD170</f>
        <v>612119.16</v>
      </c>
      <c r="X165" s="515">
        <f>'OPEX - Concept B1 - ALL'!AE170</f>
        <v>612119.16</v>
      </c>
    </row>
    <row r="166" spans="1:24" s="341" customFormat="1">
      <c r="A166" s="696" t="s">
        <v>315</v>
      </c>
      <c r="B166" s="697"/>
      <c r="C166" s="698"/>
      <c r="D166" s="699">
        <v>0</v>
      </c>
      <c r="E166" s="700">
        <v>0</v>
      </c>
      <c r="F166" s="700">
        <v>0</v>
      </c>
      <c r="G166" s="700">
        <v>0</v>
      </c>
      <c r="H166" s="700">
        <v>0</v>
      </c>
      <c r="I166" s="700">
        <v>0</v>
      </c>
      <c r="J166" s="700">
        <v>0</v>
      </c>
      <c r="K166" s="700">
        <v>0</v>
      </c>
      <c r="L166" s="700">
        <v>0</v>
      </c>
      <c r="M166" s="700">
        <v>0</v>
      </c>
      <c r="N166" s="700">
        <v>0</v>
      </c>
      <c r="O166" s="700">
        <v>0</v>
      </c>
      <c r="P166" s="700">
        <v>0</v>
      </c>
      <c r="Q166" s="700">
        <v>0</v>
      </c>
      <c r="R166" s="700">
        <v>0</v>
      </c>
      <c r="S166" s="700">
        <v>0</v>
      </c>
      <c r="T166" s="700">
        <v>0</v>
      </c>
      <c r="U166" s="700">
        <v>0</v>
      </c>
      <c r="V166" s="700">
        <v>0</v>
      </c>
      <c r="W166" s="700">
        <v>0</v>
      </c>
      <c r="X166" s="700">
        <v>0</v>
      </c>
    </row>
    <row r="167" spans="1:24" s="32" customFormat="1">
      <c r="A167" s="93" t="s">
        <v>316</v>
      </c>
      <c r="B167" s="298"/>
      <c r="C167" s="298"/>
      <c r="D167" s="505">
        <v>0</v>
      </c>
      <c r="E167" s="506">
        <v>246000</v>
      </c>
      <c r="F167" s="506">
        <v>246000</v>
      </c>
      <c r="G167" s="506">
        <v>246000</v>
      </c>
      <c r="H167" s="506">
        <v>246000</v>
      </c>
      <c r="I167" s="506">
        <v>246000</v>
      </c>
      <c r="J167" s="506">
        <v>246000</v>
      </c>
      <c r="K167" s="506">
        <v>246000</v>
      </c>
      <c r="L167" s="506">
        <v>246000</v>
      </c>
      <c r="M167" s="506">
        <v>246000</v>
      </c>
      <c r="N167" s="506">
        <v>246000</v>
      </c>
      <c r="O167" s="506">
        <v>246000</v>
      </c>
      <c r="P167" s="506">
        <v>246000</v>
      </c>
      <c r="Q167" s="506">
        <v>246000</v>
      </c>
      <c r="R167" s="506">
        <v>246000</v>
      </c>
      <c r="S167" s="506">
        <v>246000</v>
      </c>
      <c r="T167" s="506">
        <v>246000</v>
      </c>
      <c r="U167" s="506">
        <v>246000</v>
      </c>
      <c r="V167" s="506">
        <v>246000</v>
      </c>
      <c r="W167" s="506">
        <v>246000</v>
      </c>
      <c r="X167" s="506">
        <v>246000</v>
      </c>
    </row>
    <row r="168" spans="1:24" s="222" customFormat="1" ht="14.25">
      <c r="A168" s="263" t="s">
        <v>134</v>
      </c>
      <c r="B168" s="264"/>
      <c r="C168" s="264"/>
      <c r="D168" s="524">
        <f>SUM(D164:D167)</f>
        <v>0</v>
      </c>
      <c r="E168" s="525">
        <f t="shared" ref="E168:X168" si="23">SUM(E164:E167)</f>
        <v>858119.16</v>
      </c>
      <c r="F168" s="525">
        <f t="shared" si="23"/>
        <v>911604.16</v>
      </c>
      <c r="G168" s="525">
        <f t="shared" si="23"/>
        <v>912673.86</v>
      </c>
      <c r="H168" s="525">
        <f t="shared" si="23"/>
        <v>913764.95400000003</v>
      </c>
      <c r="I168" s="525">
        <f t="shared" si="23"/>
        <v>914877.86988000001</v>
      </c>
      <c r="J168" s="525">
        <f t="shared" si="23"/>
        <v>916013.0440776</v>
      </c>
      <c r="K168" s="525">
        <f t="shared" si="23"/>
        <v>917170.92175915209</v>
      </c>
      <c r="L168" s="525">
        <f t="shared" si="23"/>
        <v>918351.95699433505</v>
      </c>
      <c r="M168" s="525">
        <f t="shared" si="23"/>
        <v>919556.61293422175</v>
      </c>
      <c r="N168" s="525">
        <f t="shared" si="23"/>
        <v>920785.3619929062</v>
      </c>
      <c r="O168" s="525">
        <f t="shared" si="23"/>
        <v>922038.68603276438</v>
      </c>
      <c r="P168" s="525">
        <f t="shared" si="23"/>
        <v>923317.07655341958</v>
      </c>
      <c r="Q168" s="525">
        <f t="shared" si="23"/>
        <v>924621.03488448798</v>
      </c>
      <c r="R168" s="525">
        <f t="shared" si="23"/>
        <v>925951.07238217781</v>
      </c>
      <c r="S168" s="525">
        <f t="shared" si="23"/>
        <v>927307.71062982129</v>
      </c>
      <c r="T168" s="525">
        <f t="shared" si="23"/>
        <v>928691.48164241773</v>
      </c>
      <c r="U168" s="525">
        <f t="shared" si="23"/>
        <v>930102.92807526607</v>
      </c>
      <c r="V168" s="525">
        <f t="shared" si="23"/>
        <v>931542.60343677143</v>
      </c>
      <c r="W168" s="525">
        <f t="shared" si="23"/>
        <v>933011.07230550691</v>
      </c>
      <c r="X168" s="525">
        <f t="shared" si="23"/>
        <v>934508.91055161704</v>
      </c>
    </row>
    <row r="169" spans="1:24" s="32" customFormat="1">
      <c r="A169" s="69"/>
      <c r="B169" s="90"/>
      <c r="C169" s="90"/>
      <c r="D169" s="526"/>
      <c r="E169" s="527"/>
      <c r="F169" s="527"/>
      <c r="G169" s="527"/>
      <c r="H169" s="527"/>
      <c r="I169" s="527"/>
      <c r="J169" s="527"/>
      <c r="K169" s="527"/>
      <c r="L169" s="527"/>
      <c r="M169" s="527"/>
      <c r="N169" s="527"/>
      <c r="O169" s="527"/>
      <c r="P169" s="527"/>
      <c r="Q169" s="527"/>
      <c r="R169" s="527"/>
      <c r="S169" s="527"/>
      <c r="T169" s="527"/>
      <c r="U169" s="527"/>
      <c r="V169" s="527"/>
      <c r="W169" s="527"/>
      <c r="X169" s="527"/>
    </row>
    <row r="170" spans="1:24" s="32" customFormat="1">
      <c r="A170" s="94" t="s">
        <v>137</v>
      </c>
      <c r="C170" s="69"/>
      <c r="D170" s="514">
        <v>0</v>
      </c>
      <c r="E170" s="515">
        <f>E160-E164</f>
        <v>-299391.66666666663</v>
      </c>
      <c r="F170" s="515">
        <f t="shared" ref="F170:X170" si="24">F156-F164</f>
        <v>835470.06404615415</v>
      </c>
      <c r="G170" s="515">
        <f t="shared" si="24"/>
        <v>967788.4373270768</v>
      </c>
      <c r="H170" s="515">
        <f t="shared" si="24"/>
        <v>984924.20607361861</v>
      </c>
      <c r="I170" s="515">
        <f t="shared" si="24"/>
        <v>1002402.6901950906</v>
      </c>
      <c r="J170" s="515">
        <f t="shared" si="24"/>
        <v>1240006.8652037925</v>
      </c>
      <c r="K170" s="515">
        <f t="shared" si="24"/>
        <v>1262161.5212982364</v>
      </c>
      <c r="L170" s="515">
        <f t="shared" si="24"/>
        <v>1280222.3517242013</v>
      </c>
      <c r="M170" s="515">
        <f t="shared" si="24"/>
        <v>1298644.3987586854</v>
      </c>
      <c r="N170" s="515">
        <f t="shared" si="24"/>
        <v>1317434.8867338591</v>
      </c>
      <c r="O170" s="515">
        <f t="shared" si="24"/>
        <v>1371023.2742471562</v>
      </c>
      <c r="P170" s="515">
        <f t="shared" si="24"/>
        <v>1418768.3081579066</v>
      </c>
      <c r="Q170" s="515">
        <f t="shared" si="24"/>
        <v>1438708.924321065</v>
      </c>
      <c r="R170" s="515">
        <f t="shared" si="24"/>
        <v>1459048.3528074864</v>
      </c>
      <c r="S170" s="515">
        <f t="shared" si="24"/>
        <v>1479794.569863636</v>
      </c>
      <c r="T170" s="515">
        <f t="shared" si="24"/>
        <v>1559346.145430071</v>
      </c>
      <c r="U170" s="515">
        <f t="shared" si="24"/>
        <v>1585257.5754861273</v>
      </c>
      <c r="V170" s="515">
        <f t="shared" si="24"/>
        <v>1607273.6269958497</v>
      </c>
      <c r="W170" s="515">
        <f t="shared" si="24"/>
        <v>1629729.9995357669</v>
      </c>
      <c r="X170" s="515">
        <f t="shared" si="24"/>
        <v>1652635.4995264823</v>
      </c>
    </row>
    <row r="171" spans="1:24" ht="16.5" customHeight="1">
      <c r="A171" s="88" t="s">
        <v>128</v>
      </c>
      <c r="B171" s="98"/>
      <c r="C171" s="98"/>
      <c r="D171" s="528">
        <v>0</v>
      </c>
      <c r="E171" s="529">
        <f>E160-E168</f>
        <v>-1157510.8266666667</v>
      </c>
      <c r="F171" s="529">
        <f t="shared" ref="F171:X171" si="25">F160-F168</f>
        <v>-22649.095953845885</v>
      </c>
      <c r="G171" s="529">
        <f t="shared" si="25"/>
        <v>109669.27732707676</v>
      </c>
      <c r="H171" s="529">
        <f t="shared" si="25"/>
        <v>126805.04607361858</v>
      </c>
      <c r="I171" s="529">
        <f t="shared" si="25"/>
        <v>144283.53019509057</v>
      </c>
      <c r="J171" s="529">
        <f t="shared" si="25"/>
        <v>381887.70520379243</v>
      </c>
      <c r="K171" s="529">
        <f t="shared" si="25"/>
        <v>404042.3612982363</v>
      </c>
      <c r="L171" s="529">
        <f t="shared" si="25"/>
        <v>422103.19172420132</v>
      </c>
      <c r="M171" s="529">
        <f t="shared" si="25"/>
        <v>440525.23875868553</v>
      </c>
      <c r="N171" s="529">
        <f t="shared" si="25"/>
        <v>459315.72673385905</v>
      </c>
      <c r="O171" s="529">
        <f t="shared" si="25"/>
        <v>512904.11424715607</v>
      </c>
      <c r="P171" s="529">
        <f t="shared" si="25"/>
        <v>560649.1481579066</v>
      </c>
      <c r="Q171" s="529">
        <f t="shared" si="25"/>
        <v>580589.76432106504</v>
      </c>
      <c r="R171" s="529">
        <f t="shared" si="25"/>
        <v>600929.1928074864</v>
      </c>
      <c r="S171" s="529">
        <f t="shared" si="25"/>
        <v>621675.40986363613</v>
      </c>
      <c r="T171" s="529">
        <f t="shared" si="25"/>
        <v>701226.98543007101</v>
      </c>
      <c r="U171" s="529">
        <f t="shared" si="25"/>
        <v>727138.41548612737</v>
      </c>
      <c r="V171" s="529">
        <f t="shared" si="25"/>
        <v>749154.46699584962</v>
      </c>
      <c r="W171" s="529">
        <f t="shared" si="25"/>
        <v>771610.83953576686</v>
      </c>
      <c r="X171" s="529">
        <f t="shared" si="25"/>
        <v>794516.33952648228</v>
      </c>
    </row>
    <row r="172" spans="1:24" ht="16.5" customHeight="1">
      <c r="A172" s="88"/>
      <c r="B172" s="88"/>
      <c r="C172" s="88"/>
      <c r="D172" s="526"/>
      <c r="E172" s="527"/>
      <c r="F172" s="527"/>
      <c r="G172" s="527"/>
      <c r="H172" s="527"/>
      <c r="I172" s="527"/>
      <c r="J172" s="527"/>
      <c r="K172" s="527"/>
      <c r="L172" s="527"/>
      <c r="M172" s="527"/>
      <c r="N172" s="527"/>
      <c r="O172" s="527"/>
      <c r="P172" s="527"/>
      <c r="Q172" s="527"/>
      <c r="R172" s="527"/>
      <c r="S172" s="527"/>
      <c r="T172" s="527"/>
      <c r="U172" s="527"/>
      <c r="V172" s="527"/>
      <c r="W172" s="527"/>
      <c r="X172" s="527"/>
    </row>
    <row r="173" spans="1:24" ht="16.5" customHeight="1">
      <c r="A173" s="88" t="s">
        <v>129</v>
      </c>
      <c r="B173" s="632">
        <f>NPV(Cost_of_Money__DPC,E160:X160)</f>
        <v>26312877.309198063</v>
      </c>
      <c r="C173" s="88"/>
      <c r="D173" s="526"/>
      <c r="E173" s="527"/>
      <c r="F173" s="527"/>
      <c r="G173" s="527"/>
      <c r="H173" s="527"/>
      <c r="I173" s="527"/>
      <c r="J173" s="527"/>
      <c r="K173" s="527"/>
      <c r="L173" s="527"/>
      <c r="M173" s="527"/>
      <c r="N173" s="527"/>
      <c r="O173" s="527"/>
      <c r="P173" s="527"/>
      <c r="Q173" s="527"/>
      <c r="R173" s="527"/>
      <c r="S173" s="527"/>
      <c r="T173" s="527"/>
      <c r="U173" s="527"/>
      <c r="V173" s="527"/>
      <c r="W173" s="527"/>
      <c r="X173" s="527"/>
    </row>
    <row r="174" spans="1:24" ht="16.5" customHeight="1">
      <c r="A174" s="300" t="s">
        <v>130</v>
      </c>
      <c r="B174" s="733">
        <f>SUM(E171:X171)</f>
        <v>7928866.8310655951</v>
      </c>
      <c r="C174" s="301"/>
      <c r="D174" s="530">
        <v>0</v>
      </c>
      <c r="E174" s="530">
        <f>E160-E168</f>
        <v>-1157510.8266666667</v>
      </c>
      <c r="F174" s="530">
        <f t="shared" ref="F174:X174" si="26">F160-F168</f>
        <v>-22649.095953845885</v>
      </c>
      <c r="G174" s="530">
        <f t="shared" si="26"/>
        <v>109669.27732707676</v>
      </c>
      <c r="H174" s="530">
        <f t="shared" si="26"/>
        <v>126805.04607361858</v>
      </c>
      <c r="I174" s="530">
        <f t="shared" si="26"/>
        <v>144283.53019509057</v>
      </c>
      <c r="J174" s="530">
        <f t="shared" si="26"/>
        <v>381887.70520379243</v>
      </c>
      <c r="K174" s="530">
        <f t="shared" si="26"/>
        <v>404042.3612982363</v>
      </c>
      <c r="L174" s="530">
        <f t="shared" si="26"/>
        <v>422103.19172420132</v>
      </c>
      <c r="M174" s="530">
        <f t="shared" si="26"/>
        <v>440525.23875868553</v>
      </c>
      <c r="N174" s="530">
        <f t="shared" si="26"/>
        <v>459315.72673385905</v>
      </c>
      <c r="O174" s="530">
        <f t="shared" si="26"/>
        <v>512904.11424715607</v>
      </c>
      <c r="P174" s="530">
        <f t="shared" si="26"/>
        <v>560649.1481579066</v>
      </c>
      <c r="Q174" s="530">
        <f t="shared" si="26"/>
        <v>580589.76432106504</v>
      </c>
      <c r="R174" s="530">
        <f t="shared" si="26"/>
        <v>600929.1928074864</v>
      </c>
      <c r="S174" s="530">
        <f t="shared" si="26"/>
        <v>621675.40986363613</v>
      </c>
      <c r="T174" s="530">
        <f t="shared" si="26"/>
        <v>701226.98543007101</v>
      </c>
      <c r="U174" s="530">
        <f t="shared" si="26"/>
        <v>727138.41548612737</v>
      </c>
      <c r="V174" s="530">
        <f t="shared" si="26"/>
        <v>749154.46699584962</v>
      </c>
      <c r="W174" s="530">
        <f t="shared" si="26"/>
        <v>771610.83953576686</v>
      </c>
      <c r="X174" s="530">
        <f t="shared" si="26"/>
        <v>794516.33952648228</v>
      </c>
    </row>
    <row r="175" spans="1:24" s="58" customFormat="1" ht="16.5" customHeight="1">
      <c r="A175" s="90" t="s">
        <v>32</v>
      </c>
      <c r="B175" s="358">
        <f>IRR(E174:X174)</f>
        <v>0.21609819248545192</v>
      </c>
      <c r="C175" s="356"/>
      <c r="D175" s="502"/>
      <c r="E175" s="504"/>
      <c r="F175" s="504"/>
      <c r="G175" s="504"/>
      <c r="H175" s="504"/>
      <c r="I175" s="504"/>
      <c r="J175" s="504"/>
      <c r="K175" s="504"/>
      <c r="L175" s="504"/>
      <c r="M175" s="504"/>
      <c r="N175" s="504"/>
      <c r="O175" s="504"/>
      <c r="P175" s="504"/>
      <c r="Q175" s="504"/>
      <c r="R175" s="504"/>
      <c r="S175" s="504"/>
      <c r="T175" s="504"/>
      <c r="U175" s="504"/>
      <c r="V175" s="504"/>
      <c r="W175" s="504"/>
      <c r="X175" s="504"/>
    </row>
    <row r="176" spans="1:24">
      <c r="A176" s="30"/>
      <c r="B176" s="30"/>
      <c r="C176" s="30"/>
      <c r="D176" s="502"/>
      <c r="E176" s="512"/>
      <c r="F176" s="512"/>
      <c r="G176" s="512"/>
      <c r="H176" s="512"/>
      <c r="I176" s="512"/>
      <c r="J176" s="512"/>
      <c r="K176" s="512"/>
      <c r="L176" s="512"/>
      <c r="M176" s="512"/>
      <c r="N176" s="512"/>
      <c r="O176" s="512"/>
      <c r="P176" s="512"/>
      <c r="Q176" s="512"/>
      <c r="R176" s="512"/>
      <c r="S176" s="512"/>
      <c r="T176" s="512"/>
      <c r="U176" s="512"/>
      <c r="V176" s="512"/>
      <c r="W176" s="512"/>
      <c r="X176" s="512"/>
    </row>
    <row r="177" spans="1:24">
      <c r="A177" s="274" t="s">
        <v>28</v>
      </c>
      <c r="B177" s="275"/>
      <c r="C177" s="275"/>
      <c r="D177" s="531"/>
      <c r="E177" s="531"/>
      <c r="F177" s="531"/>
      <c r="G177" s="531"/>
      <c r="H177" s="531"/>
      <c r="I177" s="531"/>
      <c r="J177" s="531"/>
      <c r="K177" s="531"/>
      <c r="L177" s="531"/>
      <c r="M177" s="531"/>
      <c r="N177" s="531"/>
      <c r="O177" s="531"/>
      <c r="P177" s="531"/>
      <c r="Q177" s="531"/>
      <c r="R177" s="531"/>
      <c r="S177" s="531"/>
      <c r="T177" s="531"/>
      <c r="U177" s="531"/>
      <c r="V177" s="531"/>
      <c r="W177" s="531"/>
      <c r="X177" s="531"/>
    </row>
    <row r="178" spans="1:24">
      <c r="A178" s="30"/>
      <c r="B178" s="30"/>
      <c r="C178" s="30"/>
      <c r="D178" s="502"/>
      <c r="E178" s="512"/>
      <c r="F178" s="512"/>
      <c r="G178" s="512"/>
      <c r="H178" s="512"/>
      <c r="I178" s="512"/>
      <c r="J178" s="512"/>
      <c r="K178" s="512"/>
      <c r="L178" s="512"/>
      <c r="M178" s="512"/>
      <c r="N178" s="512"/>
      <c r="O178" s="512"/>
      <c r="P178" s="512"/>
      <c r="Q178" s="512"/>
      <c r="R178" s="512"/>
      <c r="S178" s="512"/>
      <c r="T178" s="512"/>
      <c r="U178" s="512"/>
      <c r="V178" s="512"/>
      <c r="W178" s="512"/>
      <c r="X178" s="512"/>
    </row>
    <row r="179" spans="1:24">
      <c r="A179" s="30" t="s">
        <v>300</v>
      </c>
      <c r="B179" s="30"/>
      <c r="C179" s="87"/>
      <c r="D179" s="502">
        <v>0</v>
      </c>
      <c r="E179" s="512"/>
      <c r="F179" s="512"/>
      <c r="G179" s="512"/>
      <c r="H179" s="512"/>
      <c r="I179" s="512"/>
      <c r="J179" s="512"/>
      <c r="K179" s="512"/>
      <c r="L179" s="512"/>
      <c r="M179" s="512"/>
      <c r="N179" s="512"/>
      <c r="O179" s="512"/>
      <c r="P179" s="512"/>
      <c r="Q179" s="512"/>
      <c r="R179" s="512"/>
      <c r="S179" s="512"/>
      <c r="T179" s="512"/>
      <c r="U179" s="512"/>
      <c r="V179" s="512"/>
      <c r="W179" s="512"/>
      <c r="X179" s="512"/>
    </row>
    <row r="180" spans="1:24">
      <c r="A180" s="30" t="s">
        <v>301</v>
      </c>
      <c r="B180" s="30"/>
      <c r="C180" s="30"/>
      <c r="D180" s="502">
        <v>0</v>
      </c>
      <c r="E180" s="512"/>
      <c r="F180" s="512"/>
      <c r="G180" s="512"/>
      <c r="H180" s="512"/>
      <c r="I180" s="512"/>
      <c r="J180" s="512"/>
      <c r="K180" s="512"/>
      <c r="L180" s="512"/>
      <c r="M180" s="512"/>
      <c r="N180" s="512"/>
      <c r="O180" s="512"/>
      <c r="P180" s="512"/>
      <c r="Q180" s="512"/>
      <c r="R180" s="512"/>
      <c r="S180" s="512"/>
      <c r="T180" s="512"/>
      <c r="U180" s="512"/>
      <c r="V180" s="512"/>
      <c r="W180" s="512"/>
      <c r="X180" s="512"/>
    </row>
    <row r="181" spans="1:24">
      <c r="A181" s="30"/>
      <c r="B181" s="30"/>
      <c r="C181" s="30"/>
      <c r="D181" s="502"/>
      <c r="E181" s="512"/>
      <c r="F181" s="512"/>
      <c r="G181" s="512"/>
      <c r="H181" s="512"/>
      <c r="I181" s="512"/>
      <c r="J181" s="512"/>
      <c r="K181" s="512"/>
      <c r="L181" s="512"/>
      <c r="M181" s="512"/>
      <c r="N181" s="512"/>
      <c r="O181" s="512"/>
      <c r="P181" s="512"/>
      <c r="Q181" s="512"/>
      <c r="R181" s="512"/>
      <c r="S181" s="512"/>
      <c r="T181" s="512"/>
      <c r="U181" s="512"/>
      <c r="V181" s="512"/>
      <c r="W181" s="512"/>
      <c r="X181" s="512"/>
    </row>
    <row r="182" spans="1:24">
      <c r="A182" s="30" t="s">
        <v>298</v>
      </c>
      <c r="B182" s="30"/>
      <c r="C182" s="30"/>
      <c r="D182" s="502">
        <v>0</v>
      </c>
      <c r="E182" s="512"/>
      <c r="F182" s="512"/>
      <c r="G182" s="512"/>
      <c r="H182" s="512"/>
      <c r="I182" s="512"/>
      <c r="J182" s="512"/>
      <c r="K182" s="512"/>
      <c r="L182" s="512"/>
      <c r="M182" s="512"/>
      <c r="N182" s="512"/>
      <c r="O182" s="512"/>
      <c r="P182" s="512"/>
      <c r="Q182" s="512"/>
      <c r="R182" s="512"/>
      <c r="S182" s="512"/>
      <c r="T182" s="512"/>
      <c r="U182" s="512"/>
      <c r="V182" s="512"/>
      <c r="W182" s="512"/>
      <c r="X182" s="512"/>
    </row>
    <row r="183" spans="1:24">
      <c r="A183" s="30" t="s">
        <v>299</v>
      </c>
      <c r="B183" s="30"/>
      <c r="C183" s="30"/>
      <c r="D183" s="502">
        <v>0</v>
      </c>
      <c r="E183" s="512"/>
      <c r="F183" s="512"/>
      <c r="G183" s="512"/>
      <c r="H183" s="512"/>
      <c r="I183" s="512"/>
      <c r="J183" s="512"/>
      <c r="K183" s="512"/>
      <c r="L183" s="512"/>
      <c r="M183" s="512"/>
      <c r="N183" s="512"/>
      <c r="O183" s="512"/>
      <c r="P183" s="512"/>
      <c r="Q183" s="512"/>
      <c r="R183" s="512"/>
      <c r="S183" s="512"/>
      <c r="T183" s="512"/>
      <c r="U183" s="512"/>
      <c r="V183" s="512"/>
      <c r="W183" s="512"/>
      <c r="X183" s="512"/>
    </row>
    <row r="184" spans="1:24">
      <c r="D184" s="502"/>
      <c r="E184" s="532"/>
      <c r="F184" s="532"/>
      <c r="G184" s="532"/>
      <c r="H184" s="532"/>
      <c r="I184" s="532"/>
      <c r="J184" s="532"/>
      <c r="K184" s="532"/>
      <c r="L184" s="532"/>
      <c r="M184" s="532"/>
      <c r="N184" s="532"/>
      <c r="O184" s="532"/>
      <c r="P184" s="532"/>
      <c r="Q184" s="532"/>
      <c r="R184" s="532"/>
      <c r="S184" s="532"/>
      <c r="T184" s="532"/>
      <c r="U184" s="532"/>
      <c r="V184" s="532"/>
      <c r="W184" s="532"/>
      <c r="X184" s="532"/>
    </row>
    <row r="185" spans="1:24">
      <c r="A185" s="131"/>
      <c r="B185" s="131"/>
      <c r="C185" s="131"/>
      <c r="D185" s="493"/>
      <c r="E185" s="334"/>
      <c r="F185" s="334"/>
      <c r="G185" s="334"/>
      <c r="H185" s="334"/>
      <c r="I185" s="334"/>
      <c r="J185" s="334"/>
      <c r="K185" s="334"/>
      <c r="L185" s="334"/>
      <c r="M185" s="334"/>
      <c r="N185" s="334"/>
      <c r="O185" s="334"/>
      <c r="P185" s="334"/>
      <c r="Q185" s="334"/>
      <c r="R185" s="334"/>
      <c r="S185" s="334"/>
      <c r="T185" s="334"/>
      <c r="U185" s="334"/>
      <c r="V185" s="334"/>
      <c r="W185" s="334"/>
      <c r="X185" s="334"/>
    </row>
    <row r="186" spans="1:24">
      <c r="D186" s="494"/>
      <c r="E186" s="327"/>
      <c r="F186" s="327"/>
      <c r="G186" s="327"/>
      <c r="H186" s="327"/>
      <c r="I186" s="327"/>
      <c r="J186" s="327"/>
      <c r="K186" s="327"/>
      <c r="L186" s="327"/>
      <c r="M186" s="327"/>
      <c r="N186" s="327"/>
      <c r="O186" s="327"/>
      <c r="P186" s="327"/>
      <c r="Q186" s="327"/>
      <c r="R186" s="327"/>
      <c r="S186" s="327"/>
      <c r="T186" s="327"/>
      <c r="U186" s="327"/>
      <c r="V186" s="327"/>
      <c r="W186" s="327"/>
      <c r="X186" s="327"/>
    </row>
    <row r="187" spans="1:24">
      <c r="A187"/>
      <c r="D187" s="494"/>
      <c r="E187" s="327"/>
      <c r="F187" s="327"/>
      <c r="G187" s="327"/>
      <c r="H187" s="327"/>
      <c r="I187" s="327"/>
      <c r="J187" s="327"/>
      <c r="K187" s="327"/>
      <c r="L187" s="327"/>
      <c r="M187" s="327"/>
      <c r="N187" s="327"/>
      <c r="O187" s="327"/>
      <c r="P187" s="327"/>
      <c r="Q187" s="327"/>
      <c r="R187" s="327"/>
      <c r="S187" s="327"/>
      <c r="T187" s="327"/>
      <c r="U187" s="327"/>
      <c r="V187" s="327"/>
      <c r="W187" s="327"/>
      <c r="X187" s="327"/>
    </row>
    <row r="188" spans="1:24">
      <c r="A188"/>
      <c r="D188" s="494"/>
      <c r="E188" s="327"/>
      <c r="F188" s="327"/>
      <c r="G188" s="327"/>
      <c r="H188" s="327"/>
      <c r="I188" s="327"/>
      <c r="J188" s="327"/>
      <c r="K188" s="327"/>
      <c r="L188" s="327"/>
      <c r="M188" s="327"/>
      <c r="N188" s="327"/>
      <c r="O188" s="327"/>
      <c r="P188" s="327"/>
      <c r="Q188" s="327"/>
      <c r="R188" s="327"/>
      <c r="S188" s="327"/>
      <c r="T188" s="327"/>
      <c r="U188" s="327"/>
      <c r="V188" s="327"/>
      <c r="W188" s="327"/>
      <c r="X188" s="327"/>
    </row>
    <row r="189" spans="1:24">
      <c r="D189" s="494"/>
      <c r="E189" s="327"/>
      <c r="F189" s="327"/>
      <c r="G189" s="327"/>
      <c r="H189" s="362"/>
      <c r="I189" s="327"/>
      <c r="J189" s="327"/>
      <c r="K189" s="327"/>
      <c r="L189" s="327"/>
      <c r="M189" s="327"/>
      <c r="N189" s="327"/>
      <c r="O189" s="327"/>
      <c r="P189" s="327"/>
      <c r="Q189" s="327"/>
      <c r="R189" s="327"/>
      <c r="S189" s="327"/>
      <c r="T189" s="327"/>
      <c r="U189" s="327"/>
      <c r="V189" s="327"/>
      <c r="W189" s="327"/>
      <c r="X189" s="327"/>
    </row>
    <row r="190" spans="1:24">
      <c r="D190" s="326"/>
      <c r="E190" s="327"/>
      <c r="F190" s="327"/>
      <c r="G190" s="327"/>
      <c r="H190" s="359"/>
      <c r="I190" s="327"/>
      <c r="J190" s="327"/>
      <c r="K190" s="327"/>
      <c r="L190" s="327"/>
      <c r="M190" s="327"/>
      <c r="N190" s="327"/>
      <c r="O190" s="327"/>
      <c r="P190" s="327"/>
      <c r="Q190" s="327"/>
      <c r="R190" s="327"/>
      <c r="S190" s="327"/>
      <c r="T190" s="327"/>
      <c r="U190" s="327"/>
      <c r="V190" s="327"/>
      <c r="W190" s="327"/>
      <c r="X190" s="327"/>
    </row>
    <row r="191" spans="1:24">
      <c r="H191" s="305"/>
    </row>
    <row r="192" spans="1:24">
      <c r="H192" s="30"/>
    </row>
    <row r="193" spans="8:8">
      <c r="H193" s="87"/>
    </row>
    <row r="195" spans="8:8">
      <c r="H195" s="360"/>
    </row>
    <row r="196" spans="8:8">
      <c r="H196" s="361"/>
    </row>
  </sheetData>
  <pageMargins left="0.7" right="0.7" top="0.75" bottom="0.75" header="0.3" footer="0.3"/>
  <pageSetup paperSize="9" scale="2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60</vt:i4>
      </vt:variant>
      <vt:variant>
        <vt:lpstr>Named Ranges</vt:lpstr>
      </vt:variant>
      <vt:variant>
        <vt:i4>72</vt:i4>
      </vt:variant>
    </vt:vector>
  </HeadingPairs>
  <TitlesOfParts>
    <vt:vector size="132" baseType="lpstr">
      <vt:lpstr>Intro</vt:lpstr>
      <vt:lpstr>Inputs</vt:lpstr>
      <vt:lpstr>Annual Summaries</vt:lpstr>
      <vt:lpstr>P&amp;L - Concept A1</vt:lpstr>
      <vt:lpstr>P&amp;L - Concept A2</vt:lpstr>
      <vt:lpstr>P&amp;L - Concept B1 - Carnival</vt:lpstr>
      <vt:lpstr>P&amp;L - Concept B1 - RCCL</vt:lpstr>
      <vt:lpstr>P&amp;L - Concept B1 - NCLH</vt:lpstr>
      <vt:lpstr>P&amp;L - Concept B1 - ALL</vt:lpstr>
      <vt:lpstr>P&amp;L - Concept B2 - Carnival</vt:lpstr>
      <vt:lpstr>P&amp;L - Concept B2 - RCCL</vt:lpstr>
      <vt:lpstr>P&amp;L - Concept B2 - NCLH</vt:lpstr>
      <vt:lpstr>P&amp;L - Concept B2 - ALL</vt:lpstr>
      <vt:lpstr>P&amp;L - Concept B3 - Carnival</vt:lpstr>
      <vt:lpstr>P&amp;L - Concept B3 - RCCL</vt:lpstr>
      <vt:lpstr>P&amp;L - Concept B3 - NCLH</vt:lpstr>
      <vt:lpstr>P&amp;L - Concept B3 - ALL</vt:lpstr>
      <vt:lpstr>P&amp;L - Concept C1 - Carnival</vt:lpstr>
      <vt:lpstr>P&amp;L - Concept C1 - RCCL</vt:lpstr>
      <vt:lpstr>P&amp;L - Concept C1 - NCLH</vt:lpstr>
      <vt:lpstr>P&amp;L - Concept C1 - All</vt:lpstr>
      <vt:lpstr>P&amp;L - Concept C2 - Carnival</vt:lpstr>
      <vt:lpstr>P&amp;L - Concept C2 - RCCL</vt:lpstr>
      <vt:lpstr>P&amp;L - Concept C2 - NCLH</vt:lpstr>
      <vt:lpstr>P&amp;L - Concept C2 - All</vt:lpstr>
      <vt:lpstr>BH Tariffs</vt:lpstr>
      <vt:lpstr>CCNE Comps</vt:lpstr>
      <vt:lpstr>OPEX - Concept A1</vt:lpstr>
      <vt:lpstr>OPEX - Concept A2</vt:lpstr>
      <vt:lpstr>OPEX - Concept B1 - Carnival</vt:lpstr>
      <vt:lpstr>OPEX - Concept B1 - RCCL</vt:lpstr>
      <vt:lpstr>OPEX - Concept B1 - NCLH</vt:lpstr>
      <vt:lpstr>OPEX - Concept B1 - ALL</vt:lpstr>
      <vt:lpstr>OPEX - Concept B2 - Carnival</vt:lpstr>
      <vt:lpstr>OPEX - Concept B2 - RCCL</vt:lpstr>
      <vt:lpstr>OPEX - Concept B2 - NCLH</vt:lpstr>
      <vt:lpstr>OPEX - Concept B2 - ALL</vt:lpstr>
      <vt:lpstr>OPEX - Concept B3 - Carnival</vt:lpstr>
      <vt:lpstr>OPEX - Concept B3 - RCCL</vt:lpstr>
      <vt:lpstr>OPEX - Concept B3 - NCLH</vt:lpstr>
      <vt:lpstr>OPEX - Concept B3 - ALL</vt:lpstr>
      <vt:lpstr>OPEX - Concept C1 - Carnival</vt:lpstr>
      <vt:lpstr>OPEX - Concept C1 - RCCL</vt:lpstr>
      <vt:lpstr>OPEX - Concept C1 - NCLH</vt:lpstr>
      <vt:lpstr>OPEX - Concept C1 - ALL</vt:lpstr>
      <vt:lpstr>OPEX - Concept C2 - Carnival</vt:lpstr>
      <vt:lpstr>OPEX - Concept C2 - RCCL</vt:lpstr>
      <vt:lpstr>OPEX - Concept C2 - NCLH</vt:lpstr>
      <vt:lpstr>OPEX - Concept C2 - ALL</vt:lpstr>
      <vt:lpstr>Cruise Projections</vt:lpstr>
      <vt:lpstr>Marina Projections</vt:lpstr>
      <vt:lpstr>International Ferry Projections</vt:lpstr>
      <vt:lpstr>Parking Projections</vt:lpstr>
      <vt:lpstr>Shuttle Projections</vt:lpstr>
      <vt:lpstr>Slips by Length</vt:lpstr>
      <vt:lpstr>Parking by Use</vt:lpstr>
      <vt:lpstr>Capital Financing</vt:lpstr>
      <vt:lpstr>Comparison Tables</vt:lpstr>
      <vt:lpstr>Comparison Graphs</vt:lpstr>
      <vt:lpstr>Overall P&amp;L Comparisons</vt:lpstr>
      <vt:lpstr>Assistant_Manager</vt:lpstr>
      <vt:lpstr>Assistant_Manager___Maintenance</vt:lpstr>
      <vt:lpstr>Assistant_manager___security</vt:lpstr>
      <vt:lpstr>Assistant_Secretary</vt:lpstr>
      <vt:lpstr>Average_number_of_crew__2012</vt:lpstr>
      <vt:lpstr>Average_shp_size</vt:lpstr>
      <vt:lpstr>Berth_per_lm</vt:lpstr>
      <vt:lpstr>Berthing_Officer</vt:lpstr>
      <vt:lpstr>Building_demolition__SM</vt:lpstr>
      <vt:lpstr>Collector</vt:lpstr>
      <vt:lpstr>Computer_Support</vt:lpstr>
      <vt:lpstr>Contingency</vt:lpstr>
      <vt:lpstr>Control_officers</vt:lpstr>
      <vt:lpstr>Cost_of_Money__DPC</vt:lpstr>
      <vt:lpstr>Electric_consumption_per_sf_yr</vt:lpstr>
      <vt:lpstr>Engineer</vt:lpstr>
      <vt:lpstr>Engineer_2</vt:lpstr>
      <vt:lpstr>Financing_cost</vt:lpstr>
      <vt:lpstr>Foreperson</vt:lpstr>
      <vt:lpstr>Forklift_operator</vt:lpstr>
      <vt:lpstr>General_Manager</vt:lpstr>
      <vt:lpstr>Growth_of_crew_size</vt:lpstr>
      <vt:lpstr>Growth_rate_of_cruise_ships</vt:lpstr>
      <vt:lpstr>Growth_rate_of_cruise_ships_GRT</vt:lpstr>
      <vt:lpstr>Hours_of_operations_per_call_of_PS_staff</vt:lpstr>
      <vt:lpstr>Hours_of_operations_per_call_of_security_staff</vt:lpstr>
      <vt:lpstr>Hours_of_pperations_per_call_for_terminal_staff</vt:lpstr>
      <vt:lpstr>Hours_of_ship_in_port_per_call</vt:lpstr>
      <vt:lpstr>Housekeeper</vt:lpstr>
      <vt:lpstr>Indirect_multiplier</vt:lpstr>
      <vt:lpstr>Insured_property_value</vt:lpstr>
      <vt:lpstr>Luggage_per_passenger</vt:lpstr>
      <vt:lpstr>Manager___Housekeeping</vt:lpstr>
      <vt:lpstr>Manager___Maintenance</vt:lpstr>
      <vt:lpstr>Manager___Parking</vt:lpstr>
      <vt:lpstr>Manager___Security</vt:lpstr>
      <vt:lpstr>Mark_up_on_subs</vt:lpstr>
      <vt:lpstr>Marketing_Assistant</vt:lpstr>
      <vt:lpstr>Maximum_occupancy</vt:lpstr>
      <vt:lpstr>Maximum_practical_berth_occupancy</vt:lpstr>
      <vt:lpstr>Mechanic</vt:lpstr>
      <vt:lpstr>MIS_Manager_Support_Web</vt:lpstr>
      <vt:lpstr>Passenger_growth_after_2033</vt:lpstr>
      <vt:lpstr>Passenger_growth_rate_after_2025</vt:lpstr>
      <vt:lpstr>Passengers_per_counter</vt:lpstr>
      <vt:lpstr>Pavement__SM</vt:lpstr>
      <vt:lpstr>Porter</vt:lpstr>
      <vt:lpstr>Porter_hours_per_call</vt:lpstr>
      <vt:lpstr>Practical_cruise_berth_occupancy</vt:lpstr>
      <vt:lpstr>Property_value</vt:lpstr>
      <vt:lpstr>PUB___Sewage_charges_per_cubic_meter</vt:lpstr>
      <vt:lpstr>PUB___Water_charges_per_cubic_meter</vt:lpstr>
      <vt:lpstr>Rate_of_cost_escalation</vt:lpstr>
      <vt:lpstr>Rate_of_tariff_escalation</vt:lpstr>
      <vt:lpstr>Sewage_charges_per_cubic_meter</vt:lpstr>
      <vt:lpstr>Ship_size_increase_factor</vt:lpstr>
      <vt:lpstr>Ships_size_growth_rate</vt:lpstr>
      <vt:lpstr>Soft_costs</vt:lpstr>
      <vt:lpstr>Stevedore___TO_profit</vt:lpstr>
      <vt:lpstr>Stores_per_ship__tonnes</vt:lpstr>
      <vt:lpstr>Supervisor___housekeeping</vt:lpstr>
      <vt:lpstr>Supervisor___stevdoring</vt:lpstr>
      <vt:lpstr>Technical_staff</vt:lpstr>
      <vt:lpstr>Temporary_terminal__SM</vt:lpstr>
      <vt:lpstr>Term__years</vt:lpstr>
      <vt:lpstr>Terminal__SM</vt:lpstr>
      <vt:lpstr>Terminal_per_sm</vt:lpstr>
      <vt:lpstr>Trailers_per_call</vt:lpstr>
      <vt:lpstr>Vehicles_per_call</vt:lpstr>
      <vt:lpstr>Water_charges_per_cubic_meter__land</vt:lpstr>
      <vt:lpstr>Water_charges_per_cubic_meter__ship</vt:lpstr>
      <vt:lpstr>Working_hours__yr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Dublin Cruise financial model</dc:title>
  <dc:creator>Luis Ajamil;Bermello;Ajamil &amp; Partners</dc:creator>
  <cp:keywords>Dublin, Cruise Terminal, Financial Model</cp:keywords>
  <cp:lastModifiedBy>Windows User</cp:lastModifiedBy>
  <cp:lastPrinted>2012-03-05T14:04:10Z</cp:lastPrinted>
  <dcterms:created xsi:type="dcterms:W3CDTF">2009-08-21T14:37:22Z</dcterms:created>
  <dcterms:modified xsi:type="dcterms:W3CDTF">2018-05-23T00:03:21Z</dcterms:modified>
  <cp:category>Cruise Terminal</cp:category>
</cp:coreProperties>
</file>